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slicers/slicer4.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timelines/timeline1.xml" ContentType="application/vnd.ms-excel.timelin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slicers/slicer5.xml" ContentType="application/vnd.ms-excel.slicer+xml"/>
  <Override PartName="/xl/timelines/timeline2.xml" ContentType="application/vnd.ms-excel.timelin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drawings/drawing11.xml" ContentType="application/vnd.openxmlformats-officedocument.drawing+xml"/>
  <Override PartName="/xl/slicers/slicer6.xml" ContentType="application/vnd.ms-excel.slicer+xml"/>
  <Override PartName="/xl/timelines/timeline3.xml" ContentType="application/vnd.ms-excel.timelin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omments2.xml" ContentType="application/vnd.openxmlformats-officedocument.spreadsheetml.comments+xml"/>
  <Override PartName="/xl/tables/table2.xml" ContentType="application/vnd.openxmlformats-officedocument.spreadsheetml.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2.xml" ContentType="application/vnd.openxmlformats-officedocument.drawing+xml"/>
  <Override PartName="/xl/tables/table3.xml" ContentType="application/vnd.openxmlformats-officedocument.spreadsheetml.table+xml"/>
  <Override PartName="/xl/drawings/drawing13.xml" ContentType="application/vnd.openxmlformats-officedocument.drawing+xml"/>
  <Override PartName="/xl/tables/table4.xml" ContentType="application/vnd.openxmlformats-officedocument.spreadsheetml.table+xml"/>
  <Override PartName="/xl/drawings/drawing14.xml" ContentType="application/vnd.openxmlformats-officedocument.drawing+xml"/>
  <Override PartName="/xl/tables/table5.xml" ContentType="application/vnd.openxmlformats-officedocument.spreadsheetml.table+xml"/>
  <Override PartName="/xl/drawings/drawing15.xml" ContentType="application/vnd.openxmlformats-officedocument.drawing+xml"/>
  <Override PartName="/xl/tables/table6.xml" ContentType="application/vnd.openxmlformats-officedocument.spreadsheetml.table+xml"/>
  <Override PartName="/xl/drawings/drawing16.xml" ContentType="application/vnd.openxmlformats-officedocument.drawing+xml"/>
  <Override PartName="/xl/tables/table7.xml" ContentType="application/vnd.openxmlformats-officedocument.spreadsheetml.table+xml"/>
  <Override PartName="/xl/drawings/drawing17.xml" ContentType="application/vnd.openxmlformats-officedocument.drawing+xml"/>
  <Override PartName="/xl/tables/table8.xml" ContentType="application/vnd.openxmlformats-officedocument.spreadsheetml.table+xml"/>
  <Override PartName="/xl/drawings/drawing18.xml" ContentType="application/vnd.openxmlformats-officedocument.drawing+xml"/>
  <Override PartName="/xl/tables/table9.xml" ContentType="application/vnd.openxmlformats-officedocument.spreadsheetml.table+xml"/>
  <Override PartName="/xl/drawings/drawing19.xml" ContentType="application/vnd.openxmlformats-officedocument.drawing+xml"/>
  <Override PartName="/xl/tables/table10.xml" ContentType="application/vnd.openxmlformats-officedocument.spreadsheetml.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Laurent\MAPES\Templates\SE_EnCoursDeDev\1.2\"/>
    </mc:Choice>
  </mc:AlternateContent>
  <bookViews>
    <workbookView xWindow="0" yWindow="0" windowWidth="20490" windowHeight="7620"/>
  </bookViews>
  <sheets>
    <sheet name="Site" sheetId="10" r:id="rId1"/>
    <sheet name="Synthèse" sheetId="21" r:id="rId2"/>
    <sheet name="Choix DEET" sheetId="22" r:id="rId3"/>
    <sheet name="Suivi DEET" sheetId="20" r:id="rId4"/>
    <sheet name="Déclaration OPERAT" sheetId="44" r:id="rId5"/>
    <sheet name="Rigueur Climat." sheetId="34" state="hidden" r:id="rId6"/>
    <sheet name="Coût Energie" sheetId="27" r:id="rId7"/>
    <sheet name="Suivi Production" sheetId="26" state="hidden" r:id="rId8"/>
    <sheet name="Suivi Compteur" sheetId="39" r:id="rId9"/>
    <sheet name="TCD_souscompteur" sheetId="41" state="hidden" r:id="rId10"/>
    <sheet name="TCD_compteur" sheetId="37" state="hidden" r:id="rId11"/>
    <sheet name="Calculs_Consos" sheetId="9" state="hidden" r:id="rId12"/>
    <sheet name="Suivi Sous_compteur" sheetId="40" r:id="rId13"/>
    <sheet name="Aide CME" sheetId="36" state="hidden" r:id="rId14"/>
    <sheet name="Liste" sheetId="12" state="hidden" r:id="rId15"/>
    <sheet name="Ouverture" sheetId="42" state="hidden" r:id="rId16"/>
    <sheet name="Calcul_Bilan_Energie" sheetId="24" state="hidden" r:id="rId17"/>
    <sheet name="Controle_des_données" sheetId="11" state="hidden" r:id="rId18"/>
    <sheet name="CALCUL DEET" sheetId="14" state="hidden" r:id="rId19"/>
    <sheet name="Analyse_Chauffage" sheetId="35" state="hidden" r:id="rId20"/>
    <sheet name="Estimation_ECS" sheetId="43" state="hidden" r:id="rId21"/>
    <sheet name="Compteur_1" sheetId="4" r:id="rId22"/>
    <sheet name="Compteur_2" sheetId="1" r:id="rId23"/>
    <sheet name="Compteur_3" sheetId="2" r:id="rId24"/>
    <sheet name="Compteur_4" sheetId="3" r:id="rId25"/>
    <sheet name="Compteur_5" sheetId="28" r:id="rId26"/>
    <sheet name="Compteur_6" sheetId="8" r:id="rId27"/>
    <sheet name="Compteur_7" sheetId="15" r:id="rId28"/>
    <sheet name="Compteur_8" sheetId="16" r:id="rId29"/>
    <sheet name="Notes_Versions" sheetId="32" state="hidden" r:id="rId30"/>
    <sheet name="BDD_DJU" sheetId="17" state="hidden" r:id="rId31"/>
  </sheets>
  <externalReferences>
    <externalReference r:id="rId32"/>
  </externalReferences>
  <definedNames>
    <definedName name="Chaleur">Liste!$R$3:$R$7</definedName>
    <definedName name="ChronologieNative_fin_mois">#N/A</definedName>
    <definedName name="ChronologieNative_fin_mois1">#N/A</definedName>
    <definedName name="Cogénération">Liste!$W$3:$W$7</definedName>
    <definedName name="Collecteurs_solaires">Liste!$X$3:$X$7</definedName>
    <definedName name="Combustibles" localSheetId="13">[1]Liste!$T$3:$T$17</definedName>
    <definedName name="Combustibles">Liste!$T$3:$T$17</definedName>
    <definedName name="Consommation">Liste!$O$3:$O$6</definedName>
    <definedName name="Eau">Liste!$U$3:$U$6</definedName>
    <definedName name="Electricité">Liste!$Q$3:$Q$7</definedName>
    <definedName name="Liste_Type_compteur" localSheetId="13">[1]Liste!$N$3:$N$5</definedName>
    <definedName name="Liste_Type_compteur">Liste!$N$3:$N$5</definedName>
    <definedName name="Photovolaïque">Liste!$V$3:$V$6</definedName>
    <definedName name="Process">Liste!$S$3:$S$4</definedName>
    <definedName name="Production">Liste!$P$3:$P$7</definedName>
    <definedName name="Segment_ANNEE">#N/A</definedName>
    <definedName name="Segment_ANNEE1">#N/A</definedName>
    <definedName name="Segment_Nom">#N/A</definedName>
    <definedName name="Segment_Nom1">#N/A</definedName>
    <definedName name="Segment_Nom2">#N/A</definedName>
    <definedName name="Segment_Source">#N/A</definedName>
    <definedName name="Segment_Station">#N/A</definedName>
    <definedName name="Sous_comptage">Liste!$Y$3:$Y$5</definedName>
    <definedName name="Sous_comptage_Chaleur">Liste!$Z$3:$Z$6</definedName>
    <definedName name="Sous_comptage_eau">Liste!$AB$3:$AB$7</definedName>
    <definedName name="Sous_comptage_elec">Liste!$AA$3:$AA$8</definedName>
    <definedName name="_xlnm.Print_Area" localSheetId="0">Site!$A:$J</definedName>
  </definedNames>
  <calcPr calcId="162913"/>
  <pivotCaches>
    <pivotCache cacheId="48" r:id="rId33"/>
    <pivotCache cacheId="59" r:id="rId34"/>
  </pivotCaches>
  <extLst>
    <ext xmlns:x14="http://schemas.microsoft.com/office/spreadsheetml/2009/9/main" uri="{BBE1A952-AA13-448e-AADC-164F8A28A991}">
      <x14:slicerCaches>
        <x14:slicerCache r:id="rId35"/>
        <x14:slicerCache r:id="rId36"/>
        <x14:slicerCache r:id="rId37"/>
        <x14:slicerCache r:id="rId38"/>
        <x14:slicerCache r:id="rId39"/>
        <x14:slicerCache r:id="rId40"/>
        <x14:slicerCache r:id="rId41"/>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42"/>
        <x15:timelineCacheRef r:id="rId43"/>
      </x15:timelineCacheRef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8" l="1"/>
  <c r="A4" i="8"/>
  <c r="A3" i="8"/>
  <c r="B24" i="8"/>
  <c r="A25" i="8" s="1"/>
  <c r="B25" i="8"/>
  <c r="A26" i="8" s="1"/>
  <c r="F223" i="36" l="1"/>
  <c r="F224" i="36" s="1"/>
  <c r="F225" i="36" s="1"/>
  <c r="F226" i="36" s="1"/>
  <c r="F227" i="36" s="1"/>
  <c r="F228" i="36" s="1"/>
  <c r="F229" i="36" s="1"/>
  <c r="F230" i="36" s="1"/>
  <c r="F231" i="36" s="1"/>
  <c r="F232" i="36" s="1"/>
  <c r="F233" i="36" s="1"/>
  <c r="F234" i="36" s="1"/>
  <c r="F211" i="36"/>
  <c r="F212" i="36" s="1"/>
  <c r="F213" i="36" s="1"/>
  <c r="F214" i="36" s="1"/>
  <c r="F215" i="36" s="1"/>
  <c r="F216" i="36" s="1"/>
  <c r="F217" i="36" s="1"/>
  <c r="F218" i="36" s="1"/>
  <c r="F219" i="36" s="1"/>
  <c r="F220" i="36" s="1"/>
  <c r="F221" i="36" s="1"/>
  <c r="F222" i="36" s="1"/>
  <c r="B223" i="36"/>
  <c r="B224" i="36"/>
  <c r="B225" i="36"/>
  <c r="B226" i="36"/>
  <c r="B227" i="36"/>
  <c r="B228" i="36"/>
  <c r="B229" i="36"/>
  <c r="B230" i="36"/>
  <c r="B231" i="36"/>
  <c r="B232" i="36"/>
  <c r="B233" i="36"/>
  <c r="B234" i="36"/>
  <c r="B199" i="36"/>
  <c r="B200" i="36"/>
  <c r="B201" i="36"/>
  <c r="B202" i="36"/>
  <c r="B203" i="36"/>
  <c r="B204" i="36"/>
  <c r="B205" i="36"/>
  <c r="B206" i="36"/>
  <c r="B207" i="36"/>
  <c r="B208" i="36"/>
  <c r="B209" i="36"/>
  <c r="B210" i="36"/>
  <c r="B211" i="36"/>
  <c r="B212" i="36"/>
  <c r="B213" i="36"/>
  <c r="B214" i="36"/>
  <c r="B215" i="36"/>
  <c r="B216" i="36"/>
  <c r="B217" i="36"/>
  <c r="B218" i="36"/>
  <c r="B219" i="36"/>
  <c r="B220" i="36"/>
  <c r="B221" i="36"/>
  <c r="B222" i="36"/>
  <c r="D211" i="36"/>
  <c r="D223" i="36"/>
  <c r="D4" i="44" l="1"/>
  <c r="C3" i="44"/>
  <c r="C7" i="14" l="1"/>
  <c r="B30" i="11" l="1"/>
  <c r="A38" i="11" l="1"/>
  <c r="A40" i="11"/>
  <c r="B41" i="11"/>
  <c r="B42" i="11"/>
  <c r="B43" i="11" l="1"/>
  <c r="C51" i="43" s="1"/>
  <c r="C50" i="43"/>
  <c r="X16" i="24" l="1"/>
  <c r="X15" i="24"/>
  <c r="C49" i="43" l="1"/>
  <c r="X14" i="24"/>
  <c r="H4" i="10" l="1"/>
  <c r="B2" i="42" l="1"/>
  <c r="N20" i="24"/>
  <c r="F199" i="36" l="1"/>
  <c r="F200" i="36" s="1"/>
  <c r="F201" i="36" s="1"/>
  <c r="F202" i="36" s="1"/>
  <c r="F203" i="36" s="1"/>
  <c r="F204" i="36" s="1"/>
  <c r="F205" i="36" s="1"/>
  <c r="F206" i="36" s="1"/>
  <c r="F207" i="36" s="1"/>
  <c r="F208" i="36" s="1"/>
  <c r="F209" i="36" s="1"/>
  <c r="F210" i="36" s="1"/>
  <c r="D199" i="36"/>
  <c r="B198" i="36"/>
  <c r="B197" i="36"/>
  <c r="B196" i="36"/>
  <c r="B195" i="36"/>
  <c r="B194" i="36"/>
  <c r="B193" i="36"/>
  <c r="B192" i="36"/>
  <c r="B191" i="36"/>
  <c r="B190" i="36"/>
  <c r="B189" i="36"/>
  <c r="B188" i="36"/>
  <c r="F187" i="36"/>
  <c r="F188" i="36" s="1"/>
  <c r="F189" i="36" s="1"/>
  <c r="F190" i="36" s="1"/>
  <c r="F191" i="36" s="1"/>
  <c r="F192" i="36" s="1"/>
  <c r="F193" i="36" s="1"/>
  <c r="F194" i="36" s="1"/>
  <c r="F195" i="36" s="1"/>
  <c r="F196" i="36" s="1"/>
  <c r="F197" i="36" s="1"/>
  <c r="F198" i="36" s="1"/>
  <c r="D187" i="36"/>
  <c r="B187" i="36"/>
  <c r="B186" i="36"/>
  <c r="B185" i="36"/>
  <c r="B184" i="36"/>
  <c r="B183" i="36"/>
  <c r="B182" i="36"/>
  <c r="B181" i="36"/>
  <c r="B180" i="36"/>
  <c r="B179" i="36"/>
  <c r="B178" i="36"/>
  <c r="B177" i="36"/>
  <c r="B176" i="36"/>
  <c r="F175" i="36"/>
  <c r="F176" i="36" s="1"/>
  <c r="F177" i="36" s="1"/>
  <c r="F178" i="36" s="1"/>
  <c r="F179" i="36" s="1"/>
  <c r="F180" i="36" s="1"/>
  <c r="F181" i="36" s="1"/>
  <c r="F182" i="36" s="1"/>
  <c r="F183" i="36" s="1"/>
  <c r="F184" i="36" s="1"/>
  <c r="F185" i="36" s="1"/>
  <c r="F186" i="36" s="1"/>
  <c r="D175" i="36"/>
  <c r="B175" i="36"/>
  <c r="B174" i="36"/>
  <c r="B173" i="36"/>
  <c r="B172" i="36"/>
  <c r="B171" i="36"/>
  <c r="B170" i="36"/>
  <c r="B169" i="36"/>
  <c r="B168" i="36"/>
  <c r="B167" i="36"/>
  <c r="B166" i="36"/>
  <c r="B165" i="36"/>
  <c r="B164" i="36"/>
  <c r="F163" i="36"/>
  <c r="F164" i="36" s="1"/>
  <c r="F165" i="36" s="1"/>
  <c r="F166" i="36" s="1"/>
  <c r="F167" i="36" s="1"/>
  <c r="F168" i="36" s="1"/>
  <c r="F169" i="36" s="1"/>
  <c r="F170" i="36" s="1"/>
  <c r="F171" i="36" s="1"/>
  <c r="F172" i="36" s="1"/>
  <c r="F173" i="36" s="1"/>
  <c r="F174" i="36" s="1"/>
  <c r="D163" i="36"/>
  <c r="B163" i="36"/>
  <c r="B162" i="36"/>
  <c r="B161" i="36"/>
  <c r="B160" i="36"/>
  <c r="B159" i="36"/>
  <c r="B158" i="36"/>
  <c r="B157" i="36"/>
  <c r="B156" i="36"/>
  <c r="B155" i="36"/>
  <c r="B154" i="36"/>
  <c r="B153" i="36"/>
  <c r="B152" i="36"/>
  <c r="F151" i="36"/>
  <c r="F152" i="36" s="1"/>
  <c r="F153" i="36" s="1"/>
  <c r="F154" i="36" s="1"/>
  <c r="F155" i="36" s="1"/>
  <c r="F156" i="36" s="1"/>
  <c r="F157" i="36" s="1"/>
  <c r="F158" i="36" s="1"/>
  <c r="F159" i="36" s="1"/>
  <c r="F160" i="36" s="1"/>
  <c r="F161" i="36" s="1"/>
  <c r="F162" i="36" s="1"/>
  <c r="D151" i="36"/>
  <c r="B151" i="36"/>
  <c r="B150" i="36"/>
  <c r="B149" i="36"/>
  <c r="B148" i="36"/>
  <c r="B147" i="36"/>
  <c r="B146" i="36"/>
  <c r="B145" i="36"/>
  <c r="B144" i="36"/>
  <c r="B143" i="36"/>
  <c r="B142" i="36"/>
  <c r="B141" i="36"/>
  <c r="B140" i="36"/>
  <c r="F139" i="36"/>
  <c r="F140" i="36" s="1"/>
  <c r="F141" i="36" s="1"/>
  <c r="F142" i="36" s="1"/>
  <c r="F143" i="36" s="1"/>
  <c r="F144" i="36" s="1"/>
  <c r="F145" i="36" s="1"/>
  <c r="F146" i="36" s="1"/>
  <c r="F147" i="36" s="1"/>
  <c r="F148" i="36" s="1"/>
  <c r="F149" i="36" s="1"/>
  <c r="F150" i="36" s="1"/>
  <c r="D139" i="36"/>
  <c r="B139" i="36"/>
  <c r="B138" i="36"/>
  <c r="B137" i="36"/>
  <c r="B136" i="36"/>
  <c r="B135" i="36"/>
  <c r="B134" i="36"/>
  <c r="B133" i="36"/>
  <c r="B132" i="36"/>
  <c r="B131" i="36"/>
  <c r="B130" i="36"/>
  <c r="B129" i="36"/>
  <c r="B128" i="36"/>
  <c r="F127" i="36"/>
  <c r="F128" i="36" s="1"/>
  <c r="F129" i="36" s="1"/>
  <c r="F130" i="36" s="1"/>
  <c r="F131" i="36" s="1"/>
  <c r="F132" i="36" s="1"/>
  <c r="F133" i="36" s="1"/>
  <c r="F134" i="36" s="1"/>
  <c r="F135" i="36" s="1"/>
  <c r="F136" i="36" s="1"/>
  <c r="F137" i="36" s="1"/>
  <c r="F138" i="36" s="1"/>
  <c r="D127" i="36"/>
  <c r="B127" i="36"/>
  <c r="B126" i="36"/>
  <c r="B125" i="36"/>
  <c r="B124" i="36"/>
  <c r="B123" i="36"/>
  <c r="B122" i="36"/>
  <c r="B121" i="36"/>
  <c r="B120" i="36"/>
  <c r="B119" i="36"/>
  <c r="B118" i="36"/>
  <c r="B117" i="36"/>
  <c r="B116" i="36"/>
  <c r="F115" i="36"/>
  <c r="F116" i="36" s="1"/>
  <c r="F117" i="36" s="1"/>
  <c r="F118" i="36" s="1"/>
  <c r="F119" i="36" s="1"/>
  <c r="F120" i="36" s="1"/>
  <c r="F121" i="36" s="1"/>
  <c r="F122" i="36" s="1"/>
  <c r="F123" i="36" s="1"/>
  <c r="F124" i="36" s="1"/>
  <c r="F125" i="36" s="1"/>
  <c r="F126" i="36" s="1"/>
  <c r="D115" i="36"/>
  <c r="B115" i="36"/>
  <c r="B114" i="36"/>
  <c r="B113" i="36"/>
  <c r="B112" i="36"/>
  <c r="B111" i="36"/>
  <c r="B110" i="36"/>
  <c r="B109" i="36"/>
  <c r="B108" i="36"/>
  <c r="B107" i="36"/>
  <c r="B106" i="36"/>
  <c r="B105" i="36"/>
  <c r="B104" i="36"/>
  <c r="F103" i="36"/>
  <c r="F104" i="36" s="1"/>
  <c r="F105" i="36" s="1"/>
  <c r="F106" i="36" s="1"/>
  <c r="F107" i="36" s="1"/>
  <c r="F108" i="36" s="1"/>
  <c r="F109" i="36" s="1"/>
  <c r="F110" i="36" s="1"/>
  <c r="F111" i="36" s="1"/>
  <c r="F112" i="36" s="1"/>
  <c r="F113" i="36" s="1"/>
  <c r="F114" i="36" s="1"/>
  <c r="D103" i="36"/>
  <c r="B103" i="36"/>
  <c r="B102" i="36"/>
  <c r="B101" i="36"/>
  <c r="B100" i="36"/>
  <c r="B99" i="36"/>
  <c r="B98" i="36"/>
  <c r="B97" i="36"/>
  <c r="B96" i="36"/>
  <c r="B95" i="36"/>
  <c r="B94" i="36"/>
  <c r="B93" i="36"/>
  <c r="B92" i="36"/>
  <c r="F91" i="36"/>
  <c r="F92" i="36" s="1"/>
  <c r="F93" i="36" s="1"/>
  <c r="F94" i="36" s="1"/>
  <c r="F95" i="36" s="1"/>
  <c r="F96" i="36" s="1"/>
  <c r="F97" i="36" s="1"/>
  <c r="F98" i="36" s="1"/>
  <c r="F99" i="36" s="1"/>
  <c r="F100" i="36" s="1"/>
  <c r="F101" i="36" s="1"/>
  <c r="F102" i="36" s="1"/>
  <c r="D91" i="36"/>
  <c r="B91" i="36"/>
  <c r="B90" i="36"/>
  <c r="B89" i="36"/>
  <c r="B88" i="36"/>
  <c r="B87" i="36"/>
  <c r="B86" i="36"/>
  <c r="B85" i="36"/>
  <c r="B84" i="36"/>
  <c r="B83" i="36"/>
  <c r="B82" i="36"/>
  <c r="B81" i="36"/>
  <c r="B80" i="36"/>
  <c r="F79" i="36"/>
  <c r="F80" i="36" s="1"/>
  <c r="F81" i="36" s="1"/>
  <c r="F82" i="36" s="1"/>
  <c r="F83" i="36" s="1"/>
  <c r="F84" i="36" s="1"/>
  <c r="F85" i="36" s="1"/>
  <c r="F86" i="36" s="1"/>
  <c r="F87" i="36" s="1"/>
  <c r="F88" i="36" s="1"/>
  <c r="F89" i="36" s="1"/>
  <c r="F90" i="36" s="1"/>
  <c r="D79" i="36"/>
  <c r="B79" i="36"/>
  <c r="B78" i="36"/>
  <c r="B77" i="36"/>
  <c r="B76" i="36"/>
  <c r="B75" i="36"/>
  <c r="B74" i="36"/>
  <c r="B73" i="36"/>
  <c r="B72" i="36"/>
  <c r="B71" i="36"/>
  <c r="B70" i="36"/>
  <c r="B69" i="36"/>
  <c r="B68" i="36"/>
  <c r="F67" i="36"/>
  <c r="F68" i="36" s="1"/>
  <c r="F69" i="36" s="1"/>
  <c r="F70" i="36" s="1"/>
  <c r="F71" i="36" s="1"/>
  <c r="F72" i="36" s="1"/>
  <c r="F73" i="36" s="1"/>
  <c r="F74" i="36" s="1"/>
  <c r="F75" i="36" s="1"/>
  <c r="F76" i="36" s="1"/>
  <c r="F77" i="36" s="1"/>
  <c r="F78" i="36" s="1"/>
  <c r="D67" i="36"/>
  <c r="B67" i="36"/>
  <c r="B66" i="36"/>
  <c r="B65" i="36"/>
  <c r="B64" i="36"/>
  <c r="B63" i="36"/>
  <c r="B62" i="36"/>
  <c r="B61" i="36"/>
  <c r="B60" i="36"/>
  <c r="B59" i="36"/>
  <c r="B58" i="36"/>
  <c r="B57" i="36"/>
  <c r="B56" i="36"/>
  <c r="F55" i="36"/>
  <c r="F56" i="36" s="1"/>
  <c r="F57" i="36" s="1"/>
  <c r="F58" i="36" s="1"/>
  <c r="F59" i="36" s="1"/>
  <c r="F60" i="36" s="1"/>
  <c r="F61" i="36" s="1"/>
  <c r="F62" i="36" s="1"/>
  <c r="F63" i="36" s="1"/>
  <c r="F64" i="36" s="1"/>
  <c r="F65" i="36" s="1"/>
  <c r="F66" i="36" s="1"/>
  <c r="D55" i="36"/>
  <c r="B55" i="36"/>
  <c r="B54" i="36"/>
  <c r="B53" i="36"/>
  <c r="B52" i="36"/>
  <c r="B51" i="36"/>
  <c r="B50" i="36"/>
  <c r="B49" i="36"/>
  <c r="B48" i="36"/>
  <c r="B47" i="36"/>
  <c r="B46" i="36"/>
  <c r="B45" i="36"/>
  <c r="B44" i="36"/>
  <c r="F43" i="36"/>
  <c r="F44" i="36" s="1"/>
  <c r="F45" i="36" s="1"/>
  <c r="F46" i="36" s="1"/>
  <c r="F47" i="36" s="1"/>
  <c r="F48" i="36" s="1"/>
  <c r="F49" i="36" s="1"/>
  <c r="F50" i="36" s="1"/>
  <c r="F51" i="36" s="1"/>
  <c r="F52" i="36" s="1"/>
  <c r="F53" i="36" s="1"/>
  <c r="F54" i="36" s="1"/>
  <c r="D43" i="36"/>
  <c r="B43" i="36"/>
  <c r="B42" i="36"/>
  <c r="B41" i="36"/>
  <c r="B40" i="36"/>
  <c r="B39" i="36"/>
  <c r="B38" i="36"/>
  <c r="B37" i="36"/>
  <c r="B36" i="36"/>
  <c r="B35" i="36"/>
  <c r="B34" i="36"/>
  <c r="B33" i="36"/>
  <c r="B32" i="36"/>
  <c r="F31" i="36"/>
  <c r="F32" i="36" s="1"/>
  <c r="F33" i="36" s="1"/>
  <c r="F34" i="36" s="1"/>
  <c r="F35" i="36" s="1"/>
  <c r="F36" i="36" s="1"/>
  <c r="F37" i="36" s="1"/>
  <c r="F38" i="36" s="1"/>
  <c r="F39" i="36" s="1"/>
  <c r="F40" i="36" s="1"/>
  <c r="F41" i="36" s="1"/>
  <c r="F42" i="36" s="1"/>
  <c r="D31" i="36"/>
  <c r="B31" i="36"/>
  <c r="D5" i="41" l="1"/>
  <c r="D4" i="41"/>
  <c r="D3" i="41"/>
  <c r="D2" i="41"/>
  <c r="J28" i="43"/>
  <c r="C35" i="43"/>
  <c r="F28" i="43"/>
  <c r="P43" i="43"/>
  <c r="J41" i="43"/>
  <c r="E34" i="43"/>
  <c r="N41" i="43"/>
  <c r="M35" i="43"/>
  <c r="K42" i="43"/>
  <c r="J35" i="43"/>
  <c r="L21" i="43"/>
  <c r="C43" i="43"/>
  <c r="P34" i="43"/>
  <c r="M21" i="43"/>
  <c r="P42" i="43"/>
  <c r="E21" i="43"/>
  <c r="R22" i="43"/>
  <c r="F22" i="43"/>
  <c r="L28" i="43"/>
  <c r="M29" i="43"/>
  <c r="I22" i="43"/>
  <c r="F21" i="43"/>
  <c r="Q43" i="43"/>
  <c r="C22" i="43"/>
  <c r="G34" i="43"/>
  <c r="P21" i="43"/>
  <c r="D43" i="43"/>
  <c r="D28" i="43"/>
  <c r="J21" i="43"/>
  <c r="K29" i="43"/>
  <c r="H21" i="43"/>
  <c r="I43" i="43"/>
  <c r="H22" i="43"/>
  <c r="D41" i="43"/>
  <c r="E28" i="43"/>
  <c r="O28" i="43"/>
  <c r="N22" i="43"/>
  <c r="J43" i="43"/>
  <c r="N28" i="43"/>
  <c r="L43" i="43"/>
  <c r="J34" i="43"/>
  <c r="E41" i="43"/>
  <c r="O29" i="43"/>
  <c r="H35" i="43"/>
  <c r="R43" i="43"/>
  <c r="O41" i="43"/>
  <c r="L42" i="43"/>
  <c r="G43" i="43"/>
  <c r="H34" i="43"/>
  <c r="L35" i="43"/>
  <c r="G41" i="43"/>
  <c r="F41" i="43"/>
  <c r="G29" i="43"/>
  <c r="M41" i="43"/>
  <c r="D22" i="43"/>
  <c r="O22" i="43"/>
  <c r="D29" i="43"/>
  <c r="G22" i="43"/>
  <c r="J29" i="43"/>
  <c r="C42" i="43"/>
  <c r="Q21" i="43"/>
  <c r="G21" i="43"/>
  <c r="E43" i="43"/>
  <c r="M34" i="43"/>
  <c r="L22" i="43"/>
  <c r="G42" i="43"/>
  <c r="C28" i="43"/>
  <c r="K43" i="43"/>
  <c r="P22" i="43"/>
  <c r="P29" i="43"/>
  <c r="Q34" i="43"/>
  <c r="I42" i="43"/>
  <c r="N29" i="43"/>
  <c r="H29" i="43"/>
  <c r="G35" i="43"/>
  <c r="J42" i="43"/>
  <c r="P28" i="43"/>
  <c r="H43" i="43"/>
  <c r="E29" i="43"/>
  <c r="C34" i="43"/>
  <c r="C41" i="43"/>
  <c r="O34" i="43"/>
  <c r="D35" i="43"/>
  <c r="O35" i="43"/>
  <c r="Q29" i="43"/>
  <c r="D42" i="43"/>
  <c r="N42" i="43"/>
  <c r="D21" i="43"/>
  <c r="M22" i="43"/>
  <c r="I29" i="43"/>
  <c r="N34" i="43"/>
  <c r="L41" i="43"/>
  <c r="Q35" i="43"/>
  <c r="Q41" i="43"/>
  <c r="N35" i="43"/>
  <c r="P41" i="43"/>
  <c r="O43" i="43"/>
  <c r="J22" i="43"/>
  <c r="R29" i="43"/>
  <c r="D34" i="43"/>
  <c r="E22" i="43"/>
  <c r="I28" i="43"/>
  <c r="M28" i="43"/>
  <c r="C29" i="43"/>
  <c r="R41" i="43"/>
  <c r="K41" i="43"/>
  <c r="F43" i="43"/>
  <c r="E42" i="43"/>
  <c r="F29" i="43"/>
  <c r="L29" i="43"/>
  <c r="O42" i="43"/>
  <c r="K28" i="43"/>
  <c r="N21" i="43"/>
  <c r="K35" i="43"/>
  <c r="C21" i="43"/>
  <c r="M43" i="43"/>
  <c r="Q22" i="43"/>
  <c r="K34" i="43"/>
  <c r="F42" i="43"/>
  <c r="M42" i="43"/>
  <c r="L34" i="43"/>
  <c r="H28" i="43"/>
  <c r="H42" i="43"/>
  <c r="F35" i="43"/>
  <c r="F34" i="43"/>
  <c r="O21" i="43"/>
  <c r="Q28" i="43"/>
  <c r="Q42" i="43"/>
  <c r="I34" i="43"/>
  <c r="R28" i="43"/>
  <c r="I35" i="43"/>
  <c r="R21" i="43"/>
  <c r="G28" i="43"/>
  <c r="N43" i="43"/>
  <c r="I41" i="43"/>
  <c r="R42" i="43"/>
  <c r="P35" i="43"/>
  <c r="H41" i="43"/>
  <c r="I21" i="43"/>
  <c r="R34" i="43"/>
  <c r="E35" i="43"/>
  <c r="R35" i="43"/>
  <c r="K22" i="43"/>
  <c r="K21" i="43"/>
  <c r="K23" i="43" l="1"/>
  <c r="R36" i="43"/>
  <c r="I23" i="43"/>
  <c r="H44" i="43"/>
  <c r="I44" i="43"/>
  <c r="G30" i="43"/>
  <c r="R23" i="43"/>
  <c r="R30" i="43"/>
  <c r="I36" i="43"/>
  <c r="Q30" i="43"/>
  <c r="O23" i="43"/>
  <c r="F36" i="43"/>
  <c r="H30" i="43"/>
  <c r="L36" i="43"/>
  <c r="K36" i="43"/>
  <c r="C23" i="43"/>
  <c r="N23" i="43"/>
  <c r="K30" i="43"/>
  <c r="K44" i="43"/>
  <c r="R44" i="43"/>
  <c r="M30" i="43"/>
  <c r="I30" i="43"/>
  <c r="D36" i="43"/>
  <c r="P44" i="43"/>
  <c r="Q44" i="43"/>
  <c r="L44" i="43"/>
  <c r="N36" i="43"/>
  <c r="D23" i="43"/>
  <c r="O36" i="43"/>
  <c r="C44" i="43"/>
  <c r="C36" i="43"/>
  <c r="P30" i="43"/>
  <c r="Q36" i="43"/>
  <c r="C30" i="43"/>
  <c r="M36" i="43"/>
  <c r="G23" i="43"/>
  <c r="Q23" i="43"/>
  <c r="M44" i="43"/>
  <c r="F44" i="43"/>
  <c r="G44" i="43"/>
  <c r="H36" i="43"/>
  <c r="O44" i="43"/>
  <c r="E44" i="43"/>
  <c r="J36" i="43"/>
  <c r="N30" i="43"/>
  <c r="O30" i="43"/>
  <c r="E30" i="43"/>
  <c r="D44" i="43"/>
  <c r="H23" i="43"/>
  <c r="J23" i="43"/>
  <c r="D30" i="43"/>
  <c r="P23" i="43"/>
  <c r="G36" i="43"/>
  <c r="F23" i="43"/>
  <c r="L30" i="43"/>
  <c r="E23" i="43"/>
  <c r="M23" i="43"/>
  <c r="P36" i="43"/>
  <c r="B44" i="43"/>
  <c r="L23" i="43"/>
  <c r="N44" i="43"/>
  <c r="E36" i="43"/>
  <c r="J44" i="43"/>
  <c r="F30" i="43"/>
  <c r="J30" i="43"/>
  <c r="F8" i="9"/>
  <c r="D2" i="1" l="1"/>
  <c r="B3" i="3" l="1"/>
  <c r="B39" i="3" s="1"/>
  <c r="A40" i="3" s="1"/>
  <c r="B3" i="28"/>
  <c r="B31" i="28" s="1"/>
  <c r="A32" i="28" s="1"/>
  <c r="B3" i="8"/>
  <c r="B36" i="8" s="1"/>
  <c r="A37" i="8" s="1"/>
  <c r="B3" i="1"/>
  <c r="B63" i="1" s="1"/>
  <c r="B3" i="4"/>
  <c r="A3" i="3" l="1"/>
  <c r="A3" i="28"/>
  <c r="B226" i="4"/>
  <c r="B13" i="4"/>
  <c r="B222" i="3"/>
  <c r="A223" i="3" s="1"/>
  <c r="B162" i="4"/>
  <c r="B237" i="1"/>
  <c r="B174" i="1"/>
  <c r="B229" i="1"/>
  <c r="B132" i="1"/>
  <c r="B230" i="3"/>
  <c r="A231" i="3" s="1"/>
  <c r="B205" i="1"/>
  <c r="B97" i="1"/>
  <c r="B185" i="1"/>
  <c r="B42" i="1"/>
  <c r="B151" i="3"/>
  <c r="A152" i="3" s="1"/>
  <c r="B23" i="3"/>
  <c r="A24" i="3" s="1"/>
  <c r="B196" i="8"/>
  <c r="A197" i="8" s="1"/>
  <c r="B132" i="8"/>
  <c r="A133" i="8" s="1"/>
  <c r="B216" i="1"/>
  <c r="B158" i="1"/>
  <c r="B135" i="3"/>
  <c r="A136" i="3" s="1"/>
  <c r="B68" i="8"/>
  <c r="A69" i="8" s="1"/>
  <c r="B120" i="28"/>
  <c r="A121" i="28" s="1"/>
  <c r="B72" i="28"/>
  <c r="A73" i="28" s="1"/>
  <c r="B148" i="1"/>
  <c r="B130" i="1"/>
  <c r="B86" i="1"/>
  <c r="B33" i="1"/>
  <c r="B132" i="28"/>
  <c r="A133" i="28" s="1"/>
  <c r="B116" i="28"/>
  <c r="A117" i="28" s="1"/>
  <c r="B100" i="28"/>
  <c r="A101" i="28" s="1"/>
  <c r="B84" i="28"/>
  <c r="A85" i="28" s="1"/>
  <c r="B68" i="28"/>
  <c r="A69" i="28" s="1"/>
  <c r="B52" i="28"/>
  <c r="A53" i="28" s="1"/>
  <c r="B36" i="28"/>
  <c r="A37" i="28" s="1"/>
  <c r="B8" i="28"/>
  <c r="A9" i="28" s="1"/>
  <c r="B180" i="8"/>
  <c r="A181" i="8" s="1"/>
  <c r="B116" i="8"/>
  <c r="A117" i="8" s="1"/>
  <c r="B52" i="8"/>
  <c r="A53" i="8" s="1"/>
  <c r="B104" i="28"/>
  <c r="A105" i="28" s="1"/>
  <c r="B56" i="28"/>
  <c r="A57" i="28" s="1"/>
  <c r="B16" i="28"/>
  <c r="A17" i="28" s="1"/>
  <c r="B30" i="4"/>
  <c r="B226" i="1"/>
  <c r="B201" i="1"/>
  <c r="B173" i="1"/>
  <c r="B142" i="1"/>
  <c r="B120" i="1"/>
  <c r="B65" i="1"/>
  <c r="B11" i="1"/>
  <c r="B128" i="28"/>
  <c r="A129" i="28" s="1"/>
  <c r="B112" i="28"/>
  <c r="A113" i="28" s="1"/>
  <c r="B96" i="28"/>
  <c r="A97" i="28" s="1"/>
  <c r="B80" i="28"/>
  <c r="A81" i="28" s="1"/>
  <c r="B64" i="28"/>
  <c r="A65" i="28" s="1"/>
  <c r="B48" i="28"/>
  <c r="A49" i="28" s="1"/>
  <c r="B228" i="8"/>
  <c r="A229" i="8" s="1"/>
  <c r="B164" i="8"/>
  <c r="A165" i="8" s="1"/>
  <c r="B100" i="8"/>
  <c r="A101" i="8" s="1"/>
  <c r="B5" i="28"/>
  <c r="A6" i="28" s="1"/>
  <c r="B9" i="28"/>
  <c r="A10" i="28" s="1"/>
  <c r="B13" i="28"/>
  <c r="A14" i="28" s="1"/>
  <c r="B17" i="28"/>
  <c r="A18" i="28" s="1"/>
  <c r="B21" i="28"/>
  <c r="A22" i="28" s="1"/>
  <c r="B25" i="28"/>
  <c r="A26" i="28" s="1"/>
  <c r="B6" i="28"/>
  <c r="A7" i="28" s="1"/>
  <c r="B10" i="28"/>
  <c r="A11" i="28" s="1"/>
  <c r="B14" i="28"/>
  <c r="A15" i="28" s="1"/>
  <c r="B18" i="28"/>
  <c r="A19" i="28" s="1"/>
  <c r="B22" i="28"/>
  <c r="A23" i="28" s="1"/>
  <c r="B26" i="28"/>
  <c r="A27" i="28" s="1"/>
  <c r="B30" i="28"/>
  <c r="A31" i="28" s="1"/>
  <c r="B34" i="28"/>
  <c r="A35" i="28" s="1"/>
  <c r="B11" i="28"/>
  <c r="A12" i="28" s="1"/>
  <c r="B19" i="28"/>
  <c r="A20" i="28" s="1"/>
  <c r="B27" i="28"/>
  <c r="A28" i="28" s="1"/>
  <c r="B32" i="28"/>
  <c r="A33" i="28" s="1"/>
  <c r="B37" i="28"/>
  <c r="A38" i="28" s="1"/>
  <c r="B41" i="28"/>
  <c r="A42" i="28" s="1"/>
  <c r="B45" i="28"/>
  <c r="A46" i="28" s="1"/>
  <c r="B49" i="28"/>
  <c r="A50" i="28" s="1"/>
  <c r="B53" i="28"/>
  <c r="A54" i="28" s="1"/>
  <c r="B57" i="28"/>
  <c r="A58" i="28" s="1"/>
  <c r="B61" i="28"/>
  <c r="A62" i="28" s="1"/>
  <c r="B65" i="28"/>
  <c r="A66" i="28" s="1"/>
  <c r="B69" i="28"/>
  <c r="A70" i="28" s="1"/>
  <c r="B73" i="28"/>
  <c r="A74" i="28" s="1"/>
  <c r="B77" i="28"/>
  <c r="A78" i="28" s="1"/>
  <c r="B81" i="28"/>
  <c r="A82" i="28" s="1"/>
  <c r="B85" i="28"/>
  <c r="A86" i="28" s="1"/>
  <c r="B89" i="28"/>
  <c r="A90" i="28" s="1"/>
  <c r="B93" i="28"/>
  <c r="A94" i="28" s="1"/>
  <c r="B97" i="28"/>
  <c r="A98" i="28" s="1"/>
  <c r="B101" i="28"/>
  <c r="A102" i="28" s="1"/>
  <c r="B105" i="28"/>
  <c r="A106" i="28" s="1"/>
  <c r="B109" i="28"/>
  <c r="A110" i="28" s="1"/>
  <c r="B113" i="28"/>
  <c r="A114" i="28" s="1"/>
  <c r="B117" i="28"/>
  <c r="A118" i="28" s="1"/>
  <c r="B121" i="28"/>
  <c r="A122" i="28" s="1"/>
  <c r="B125" i="28"/>
  <c r="A126" i="28" s="1"/>
  <c r="B129" i="28"/>
  <c r="A130" i="28" s="1"/>
  <c r="B133" i="28"/>
  <c r="A134" i="28" s="1"/>
  <c r="B137" i="28"/>
  <c r="A138" i="28" s="1"/>
  <c r="B141" i="28"/>
  <c r="A142" i="28" s="1"/>
  <c r="A4" i="28"/>
  <c r="B12" i="28"/>
  <c r="A13" i="28" s="1"/>
  <c r="B20" i="28"/>
  <c r="A21" i="28" s="1"/>
  <c r="B28" i="28"/>
  <c r="A29" i="28" s="1"/>
  <c r="B33" i="28"/>
  <c r="A34" i="28" s="1"/>
  <c r="B38" i="28"/>
  <c r="A39" i="28" s="1"/>
  <c r="B42" i="28"/>
  <c r="A43" i="28" s="1"/>
  <c r="B46" i="28"/>
  <c r="A47" i="28" s="1"/>
  <c r="B50" i="28"/>
  <c r="A51" i="28" s="1"/>
  <c r="B54" i="28"/>
  <c r="A55" i="28" s="1"/>
  <c r="B58" i="28"/>
  <c r="A59" i="28" s="1"/>
  <c r="B62" i="28"/>
  <c r="A63" i="28" s="1"/>
  <c r="B66" i="28"/>
  <c r="A67" i="28" s="1"/>
  <c r="B70" i="28"/>
  <c r="A71" i="28" s="1"/>
  <c r="B74" i="28"/>
  <c r="A75" i="28" s="1"/>
  <c r="B78" i="28"/>
  <c r="A79" i="28" s="1"/>
  <c r="B82" i="28"/>
  <c r="A83" i="28" s="1"/>
  <c r="B86" i="28"/>
  <c r="A87" i="28" s="1"/>
  <c r="B90" i="28"/>
  <c r="A91" i="28" s="1"/>
  <c r="B94" i="28"/>
  <c r="A95" i="28" s="1"/>
  <c r="B98" i="28"/>
  <c r="A99" i="28" s="1"/>
  <c r="B102" i="28"/>
  <c r="A103" i="28" s="1"/>
  <c r="B106" i="28"/>
  <c r="A107" i="28" s="1"/>
  <c r="B110" i="28"/>
  <c r="A111" i="28" s="1"/>
  <c r="B114" i="28"/>
  <c r="A115" i="28" s="1"/>
  <c r="B118" i="28"/>
  <c r="A119" i="28" s="1"/>
  <c r="B122" i="28"/>
  <c r="A123" i="28" s="1"/>
  <c r="B126" i="28"/>
  <c r="A127" i="28" s="1"/>
  <c r="B130" i="28"/>
  <c r="A131" i="28" s="1"/>
  <c r="B134" i="28"/>
  <c r="A135" i="28" s="1"/>
  <c r="B138" i="28"/>
  <c r="A139" i="28" s="1"/>
  <c r="B142" i="28"/>
  <c r="B7" i="28"/>
  <c r="A8" i="28" s="1"/>
  <c r="B15" i="28"/>
  <c r="A16" i="28" s="1"/>
  <c r="B23" i="28"/>
  <c r="A24" i="28" s="1"/>
  <c r="B29" i="28"/>
  <c r="A30" i="28" s="1"/>
  <c r="B35" i="28"/>
  <c r="A36" i="28" s="1"/>
  <c r="B39" i="28"/>
  <c r="A40" i="28" s="1"/>
  <c r="B43" i="28"/>
  <c r="A44" i="28" s="1"/>
  <c r="B47" i="28"/>
  <c r="A48" i="28" s="1"/>
  <c r="B51" i="28"/>
  <c r="A52" i="28" s="1"/>
  <c r="B55" i="28"/>
  <c r="A56" i="28" s="1"/>
  <c r="B59" i="28"/>
  <c r="A60" i="28" s="1"/>
  <c r="B63" i="28"/>
  <c r="A64" i="28" s="1"/>
  <c r="B67" i="28"/>
  <c r="A68" i="28" s="1"/>
  <c r="B71" i="28"/>
  <c r="A72" i="28" s="1"/>
  <c r="B75" i="28"/>
  <c r="A76" i="28" s="1"/>
  <c r="B79" i="28"/>
  <c r="A80" i="28" s="1"/>
  <c r="B83" i="28"/>
  <c r="A84" i="28" s="1"/>
  <c r="B87" i="28"/>
  <c r="A88" i="28" s="1"/>
  <c r="B91" i="28"/>
  <c r="A92" i="28" s="1"/>
  <c r="B95" i="28"/>
  <c r="A96" i="28" s="1"/>
  <c r="B99" i="28"/>
  <c r="A100" i="28" s="1"/>
  <c r="B103" i="28"/>
  <c r="A104" i="28" s="1"/>
  <c r="B107" i="28"/>
  <c r="A108" i="28" s="1"/>
  <c r="B111" i="28"/>
  <c r="A112" i="28" s="1"/>
  <c r="B115" i="28"/>
  <c r="A116" i="28" s="1"/>
  <c r="B119" i="28"/>
  <c r="A120" i="28" s="1"/>
  <c r="B123" i="28"/>
  <c r="A124" i="28" s="1"/>
  <c r="B127" i="28"/>
  <c r="A128" i="28" s="1"/>
  <c r="B131" i="28"/>
  <c r="A132" i="28" s="1"/>
  <c r="B135" i="28"/>
  <c r="A136" i="28" s="1"/>
  <c r="B139" i="28"/>
  <c r="A140" i="28" s="1"/>
  <c r="B4" i="28"/>
  <c r="A5" i="28" s="1"/>
  <c r="B136" i="28"/>
  <c r="A137" i="28" s="1"/>
  <c r="B88" i="28"/>
  <c r="A89" i="28" s="1"/>
  <c r="B40" i="28"/>
  <c r="A41" i="28" s="1"/>
  <c r="B98" i="4"/>
  <c r="B238" i="1"/>
  <c r="B217" i="1"/>
  <c r="B190" i="1"/>
  <c r="B162" i="1"/>
  <c r="B141" i="1"/>
  <c r="B114" i="1"/>
  <c r="B5" i="8"/>
  <c r="A6" i="8" s="1"/>
  <c r="B9" i="8"/>
  <c r="A10" i="8" s="1"/>
  <c r="B13" i="8"/>
  <c r="A14" i="8" s="1"/>
  <c r="B17" i="8"/>
  <c r="A18" i="8" s="1"/>
  <c r="B21" i="8"/>
  <c r="A22" i="8" s="1"/>
  <c r="B29" i="8"/>
  <c r="A30" i="8" s="1"/>
  <c r="B33" i="8"/>
  <c r="A34" i="8" s="1"/>
  <c r="B37" i="8"/>
  <c r="A38" i="8" s="1"/>
  <c r="B41" i="8"/>
  <c r="A42" i="8" s="1"/>
  <c r="B45" i="8"/>
  <c r="A46" i="8" s="1"/>
  <c r="B49" i="8"/>
  <c r="A50" i="8" s="1"/>
  <c r="B53" i="8"/>
  <c r="A54" i="8" s="1"/>
  <c r="B57" i="8"/>
  <c r="A58" i="8" s="1"/>
  <c r="B61" i="8"/>
  <c r="A62" i="8" s="1"/>
  <c r="B65" i="8"/>
  <c r="A66" i="8" s="1"/>
  <c r="B69" i="8"/>
  <c r="A70" i="8" s="1"/>
  <c r="B73" i="8"/>
  <c r="A74" i="8" s="1"/>
  <c r="B77" i="8"/>
  <c r="A78" i="8" s="1"/>
  <c r="B81" i="8"/>
  <c r="A82" i="8" s="1"/>
  <c r="B85" i="8"/>
  <c r="A86" i="8" s="1"/>
  <c r="B89" i="8"/>
  <c r="A90" i="8" s="1"/>
  <c r="B93" i="8"/>
  <c r="A94" i="8" s="1"/>
  <c r="B97" i="8"/>
  <c r="A98" i="8" s="1"/>
  <c r="B101" i="8"/>
  <c r="A102" i="8" s="1"/>
  <c r="B105" i="8"/>
  <c r="A106" i="8" s="1"/>
  <c r="B109" i="8"/>
  <c r="A110" i="8" s="1"/>
  <c r="B113" i="8"/>
  <c r="A114" i="8" s="1"/>
  <c r="B117" i="8"/>
  <c r="A118" i="8" s="1"/>
  <c r="B121" i="8"/>
  <c r="A122" i="8" s="1"/>
  <c r="B125" i="8"/>
  <c r="A126" i="8" s="1"/>
  <c r="B129" i="8"/>
  <c r="A130" i="8" s="1"/>
  <c r="B133" i="8"/>
  <c r="A134" i="8" s="1"/>
  <c r="B137" i="8"/>
  <c r="A138" i="8" s="1"/>
  <c r="B141" i="8"/>
  <c r="A142" i="8" s="1"/>
  <c r="B145" i="8"/>
  <c r="A146" i="8" s="1"/>
  <c r="B149" i="8"/>
  <c r="A150" i="8" s="1"/>
  <c r="B153" i="8"/>
  <c r="A154" i="8" s="1"/>
  <c r="B157" i="8"/>
  <c r="A158" i="8" s="1"/>
  <c r="B161" i="8"/>
  <c r="A162" i="8" s="1"/>
  <c r="B165" i="8"/>
  <c r="A166" i="8" s="1"/>
  <c r="B169" i="8"/>
  <c r="A170" i="8" s="1"/>
  <c r="B173" i="8"/>
  <c r="A174" i="8" s="1"/>
  <c r="B177" i="8"/>
  <c r="A178" i="8" s="1"/>
  <c r="B181" i="8"/>
  <c r="A182" i="8" s="1"/>
  <c r="B185" i="8"/>
  <c r="A186" i="8" s="1"/>
  <c r="B189" i="8"/>
  <c r="A190" i="8" s="1"/>
  <c r="B193" i="8"/>
  <c r="A194" i="8" s="1"/>
  <c r="B197" i="8"/>
  <c r="A198" i="8" s="1"/>
  <c r="B201" i="8"/>
  <c r="A202" i="8" s="1"/>
  <c r="B205" i="8"/>
  <c r="A206" i="8" s="1"/>
  <c r="B209" i="8"/>
  <c r="A210" i="8" s="1"/>
  <c r="B213" i="8"/>
  <c r="A214" i="8" s="1"/>
  <c r="B217" i="8"/>
  <c r="A218" i="8" s="1"/>
  <c r="B221" i="8"/>
  <c r="A222" i="8" s="1"/>
  <c r="B225" i="8"/>
  <c r="A226" i="8" s="1"/>
  <c r="B229" i="8"/>
  <c r="A230" i="8" s="1"/>
  <c r="B233" i="8"/>
  <c r="A234" i="8" s="1"/>
  <c r="B237" i="8"/>
  <c r="A238" i="8" s="1"/>
  <c r="B241" i="8"/>
  <c r="A242" i="8" s="1"/>
  <c r="B6" i="8"/>
  <c r="A7" i="8" s="1"/>
  <c r="B10" i="8"/>
  <c r="A11" i="8" s="1"/>
  <c r="B14" i="8"/>
  <c r="A15" i="8" s="1"/>
  <c r="B18" i="8"/>
  <c r="A19" i="8" s="1"/>
  <c r="B22" i="8"/>
  <c r="A23" i="8" s="1"/>
  <c r="B26" i="8"/>
  <c r="A27" i="8" s="1"/>
  <c r="B30" i="8"/>
  <c r="A31" i="8" s="1"/>
  <c r="B34" i="8"/>
  <c r="A35" i="8" s="1"/>
  <c r="B38" i="8"/>
  <c r="A39" i="8" s="1"/>
  <c r="B42" i="8"/>
  <c r="A43" i="8" s="1"/>
  <c r="B46" i="8"/>
  <c r="A47" i="8" s="1"/>
  <c r="B50" i="8"/>
  <c r="A51" i="8" s="1"/>
  <c r="B54" i="8"/>
  <c r="A55" i="8" s="1"/>
  <c r="B58" i="8"/>
  <c r="A59" i="8" s="1"/>
  <c r="B62" i="8"/>
  <c r="A63" i="8" s="1"/>
  <c r="B66" i="8"/>
  <c r="A67" i="8" s="1"/>
  <c r="B70" i="8"/>
  <c r="A71" i="8" s="1"/>
  <c r="B74" i="8"/>
  <c r="A75" i="8" s="1"/>
  <c r="B78" i="8"/>
  <c r="A79" i="8" s="1"/>
  <c r="B82" i="8"/>
  <c r="A83" i="8" s="1"/>
  <c r="B86" i="8"/>
  <c r="A87" i="8" s="1"/>
  <c r="B90" i="8"/>
  <c r="A91" i="8" s="1"/>
  <c r="B94" i="8"/>
  <c r="A95" i="8" s="1"/>
  <c r="B98" i="8"/>
  <c r="A99" i="8" s="1"/>
  <c r="B102" i="8"/>
  <c r="A103" i="8" s="1"/>
  <c r="B106" i="8"/>
  <c r="A107" i="8" s="1"/>
  <c r="B110" i="8"/>
  <c r="A111" i="8" s="1"/>
  <c r="B114" i="8"/>
  <c r="A115" i="8" s="1"/>
  <c r="B118" i="8"/>
  <c r="A119" i="8" s="1"/>
  <c r="B122" i="8"/>
  <c r="A123" i="8" s="1"/>
  <c r="B126" i="8"/>
  <c r="A127" i="8" s="1"/>
  <c r="B130" i="8"/>
  <c r="A131" i="8" s="1"/>
  <c r="B134" i="8"/>
  <c r="A135" i="8" s="1"/>
  <c r="B138" i="8"/>
  <c r="A139" i="8" s="1"/>
  <c r="B142" i="8"/>
  <c r="A143" i="8" s="1"/>
  <c r="B146" i="8"/>
  <c r="A147" i="8" s="1"/>
  <c r="B150" i="8"/>
  <c r="A151" i="8" s="1"/>
  <c r="B154" i="8"/>
  <c r="A155" i="8" s="1"/>
  <c r="B158" i="8"/>
  <c r="A159" i="8" s="1"/>
  <c r="B162" i="8"/>
  <c r="A163" i="8" s="1"/>
  <c r="B166" i="8"/>
  <c r="A167" i="8" s="1"/>
  <c r="B170" i="8"/>
  <c r="A171" i="8" s="1"/>
  <c r="B174" i="8"/>
  <c r="A175" i="8" s="1"/>
  <c r="B178" i="8"/>
  <c r="A179" i="8" s="1"/>
  <c r="B182" i="8"/>
  <c r="A183" i="8" s="1"/>
  <c r="B186" i="8"/>
  <c r="A187" i="8" s="1"/>
  <c r="B190" i="8"/>
  <c r="A191" i="8" s="1"/>
  <c r="B194" i="8"/>
  <c r="A195" i="8" s="1"/>
  <c r="B198" i="8"/>
  <c r="A199" i="8" s="1"/>
  <c r="B202" i="8"/>
  <c r="A203" i="8" s="1"/>
  <c r="B206" i="8"/>
  <c r="A207" i="8" s="1"/>
  <c r="B210" i="8"/>
  <c r="A211" i="8" s="1"/>
  <c r="B214" i="8"/>
  <c r="A215" i="8" s="1"/>
  <c r="B218" i="8"/>
  <c r="A219" i="8" s="1"/>
  <c r="B222" i="8"/>
  <c r="A223" i="8" s="1"/>
  <c r="B226" i="8"/>
  <c r="A227" i="8" s="1"/>
  <c r="B230" i="8"/>
  <c r="A231" i="8" s="1"/>
  <c r="B234" i="8"/>
  <c r="A235" i="8" s="1"/>
  <c r="B238" i="8"/>
  <c r="A239" i="8" s="1"/>
  <c r="B242" i="8"/>
  <c r="B7" i="8"/>
  <c r="A8" i="8" s="1"/>
  <c r="B11" i="8"/>
  <c r="A12" i="8" s="1"/>
  <c r="B15" i="8"/>
  <c r="A16" i="8" s="1"/>
  <c r="B19" i="8"/>
  <c r="A20" i="8" s="1"/>
  <c r="B23" i="8"/>
  <c r="A24" i="8" s="1"/>
  <c r="B27" i="8"/>
  <c r="A28" i="8" s="1"/>
  <c r="B31" i="8"/>
  <c r="A32" i="8" s="1"/>
  <c r="B35" i="8"/>
  <c r="A36" i="8" s="1"/>
  <c r="B39" i="8"/>
  <c r="A40" i="8" s="1"/>
  <c r="B43" i="8"/>
  <c r="A44" i="8" s="1"/>
  <c r="B47" i="8"/>
  <c r="A48" i="8" s="1"/>
  <c r="B51" i="8"/>
  <c r="A52" i="8" s="1"/>
  <c r="B55" i="8"/>
  <c r="A56" i="8" s="1"/>
  <c r="B59" i="8"/>
  <c r="A60" i="8" s="1"/>
  <c r="B63" i="8"/>
  <c r="A64" i="8" s="1"/>
  <c r="B67" i="8"/>
  <c r="A68" i="8" s="1"/>
  <c r="B71" i="8"/>
  <c r="A72" i="8" s="1"/>
  <c r="B75" i="8"/>
  <c r="A76" i="8" s="1"/>
  <c r="B79" i="8"/>
  <c r="A80" i="8" s="1"/>
  <c r="B83" i="8"/>
  <c r="A84" i="8" s="1"/>
  <c r="B87" i="8"/>
  <c r="A88" i="8" s="1"/>
  <c r="B91" i="8"/>
  <c r="A92" i="8" s="1"/>
  <c r="B95" i="8"/>
  <c r="A96" i="8" s="1"/>
  <c r="B99" i="8"/>
  <c r="A100" i="8" s="1"/>
  <c r="B103" i="8"/>
  <c r="A104" i="8" s="1"/>
  <c r="B107" i="8"/>
  <c r="A108" i="8" s="1"/>
  <c r="B111" i="8"/>
  <c r="A112" i="8" s="1"/>
  <c r="B115" i="8"/>
  <c r="A116" i="8" s="1"/>
  <c r="B119" i="8"/>
  <c r="A120" i="8" s="1"/>
  <c r="B123" i="8"/>
  <c r="A124" i="8" s="1"/>
  <c r="B127" i="8"/>
  <c r="A128" i="8" s="1"/>
  <c r="B131" i="8"/>
  <c r="A132" i="8" s="1"/>
  <c r="B135" i="8"/>
  <c r="A136" i="8" s="1"/>
  <c r="B139" i="8"/>
  <c r="A140" i="8" s="1"/>
  <c r="B143" i="8"/>
  <c r="A144" i="8" s="1"/>
  <c r="B147" i="8"/>
  <c r="A148" i="8" s="1"/>
  <c r="B151" i="8"/>
  <c r="A152" i="8" s="1"/>
  <c r="B155" i="8"/>
  <c r="A156" i="8" s="1"/>
  <c r="B159" i="8"/>
  <c r="A160" i="8" s="1"/>
  <c r="B163" i="8"/>
  <c r="A164" i="8" s="1"/>
  <c r="B167" i="8"/>
  <c r="A168" i="8" s="1"/>
  <c r="B171" i="8"/>
  <c r="A172" i="8" s="1"/>
  <c r="B175" i="8"/>
  <c r="A176" i="8" s="1"/>
  <c r="B179" i="8"/>
  <c r="A180" i="8" s="1"/>
  <c r="B183" i="8"/>
  <c r="A184" i="8" s="1"/>
  <c r="B187" i="8"/>
  <c r="A188" i="8" s="1"/>
  <c r="B191" i="8"/>
  <c r="A192" i="8" s="1"/>
  <c r="B195" i="8"/>
  <c r="A196" i="8" s="1"/>
  <c r="B199" i="8"/>
  <c r="A200" i="8" s="1"/>
  <c r="B203" i="8"/>
  <c r="A204" i="8" s="1"/>
  <c r="B207" i="8"/>
  <c r="A208" i="8" s="1"/>
  <c r="B211" i="8"/>
  <c r="A212" i="8" s="1"/>
  <c r="B215" i="8"/>
  <c r="A216" i="8" s="1"/>
  <c r="B219" i="8"/>
  <c r="A220" i="8" s="1"/>
  <c r="B223" i="8"/>
  <c r="A224" i="8" s="1"/>
  <c r="B227" i="8"/>
  <c r="A228" i="8" s="1"/>
  <c r="B231" i="8"/>
  <c r="A232" i="8" s="1"/>
  <c r="B235" i="8"/>
  <c r="A236" i="8" s="1"/>
  <c r="B239" i="8"/>
  <c r="A240" i="8" s="1"/>
  <c r="B4" i="8"/>
  <c r="B8" i="8"/>
  <c r="A9" i="8" s="1"/>
  <c r="B40" i="8"/>
  <c r="A41" i="8" s="1"/>
  <c r="B56" i="8"/>
  <c r="A57" i="8" s="1"/>
  <c r="B72" i="8"/>
  <c r="A73" i="8" s="1"/>
  <c r="B88" i="8"/>
  <c r="A89" i="8" s="1"/>
  <c r="B104" i="8"/>
  <c r="A105" i="8" s="1"/>
  <c r="B120" i="8"/>
  <c r="A121" i="8" s="1"/>
  <c r="B136" i="8"/>
  <c r="A137" i="8" s="1"/>
  <c r="B152" i="8"/>
  <c r="A153" i="8" s="1"/>
  <c r="B168" i="8"/>
  <c r="A169" i="8" s="1"/>
  <c r="B184" i="8"/>
  <c r="A185" i="8" s="1"/>
  <c r="B200" i="8"/>
  <c r="A201" i="8" s="1"/>
  <c r="B216" i="8"/>
  <c r="A217" i="8" s="1"/>
  <c r="B232" i="8"/>
  <c r="A233" i="8" s="1"/>
  <c r="B12" i="8"/>
  <c r="A13" i="8" s="1"/>
  <c r="B28" i="8"/>
  <c r="A29" i="8" s="1"/>
  <c r="B44" i="8"/>
  <c r="A45" i="8" s="1"/>
  <c r="B60" i="8"/>
  <c r="A61" i="8" s="1"/>
  <c r="B76" i="8"/>
  <c r="A77" i="8" s="1"/>
  <c r="B92" i="8"/>
  <c r="A93" i="8" s="1"/>
  <c r="B108" i="8"/>
  <c r="A109" i="8" s="1"/>
  <c r="B124" i="8"/>
  <c r="A125" i="8" s="1"/>
  <c r="B140" i="8"/>
  <c r="A141" i="8" s="1"/>
  <c r="B156" i="8"/>
  <c r="A157" i="8" s="1"/>
  <c r="B172" i="8"/>
  <c r="A173" i="8" s="1"/>
  <c r="B188" i="8"/>
  <c r="A189" i="8" s="1"/>
  <c r="B204" i="8"/>
  <c r="A205" i="8" s="1"/>
  <c r="B220" i="8"/>
  <c r="A221" i="8" s="1"/>
  <c r="B236" i="8"/>
  <c r="A237" i="8" s="1"/>
  <c r="B16" i="8"/>
  <c r="A17" i="8" s="1"/>
  <c r="B32" i="8"/>
  <c r="A33" i="8" s="1"/>
  <c r="B48" i="8"/>
  <c r="A49" i="8" s="1"/>
  <c r="B64" i="8"/>
  <c r="A65" i="8" s="1"/>
  <c r="B80" i="8"/>
  <c r="A81" i="8" s="1"/>
  <c r="B96" i="8"/>
  <c r="A97" i="8" s="1"/>
  <c r="B112" i="8"/>
  <c r="A113" i="8" s="1"/>
  <c r="B128" i="8"/>
  <c r="A129" i="8" s="1"/>
  <c r="B144" i="8"/>
  <c r="A145" i="8" s="1"/>
  <c r="B160" i="8"/>
  <c r="A161" i="8" s="1"/>
  <c r="B176" i="8"/>
  <c r="A177" i="8" s="1"/>
  <c r="B192" i="8"/>
  <c r="A193" i="8" s="1"/>
  <c r="B208" i="8"/>
  <c r="A209" i="8" s="1"/>
  <c r="B224" i="8"/>
  <c r="A225" i="8" s="1"/>
  <c r="B240" i="8"/>
  <c r="A241" i="8" s="1"/>
  <c r="B140" i="28"/>
  <c r="A141" i="28" s="1"/>
  <c r="B124" i="28"/>
  <c r="A125" i="28" s="1"/>
  <c r="B108" i="28"/>
  <c r="A109" i="28" s="1"/>
  <c r="B92" i="28"/>
  <c r="A93" i="28" s="1"/>
  <c r="B76" i="28"/>
  <c r="A77" i="28" s="1"/>
  <c r="B60" i="28"/>
  <c r="A61" i="28" s="1"/>
  <c r="B44" i="28"/>
  <c r="A45" i="28" s="1"/>
  <c r="B24" i="28"/>
  <c r="A25" i="28" s="1"/>
  <c r="B212" i="8"/>
  <c r="A213" i="8" s="1"/>
  <c r="B148" i="8"/>
  <c r="A149" i="8" s="1"/>
  <c r="B84" i="8"/>
  <c r="A85" i="8" s="1"/>
  <c r="B20" i="8"/>
  <c r="A21" i="8" s="1"/>
  <c r="B198" i="3"/>
  <c r="A199" i="3" s="1"/>
  <c r="B87" i="3"/>
  <c r="A88" i="3" s="1"/>
  <c r="B16" i="3"/>
  <c r="A17" i="3" s="1"/>
  <c r="B190" i="3"/>
  <c r="A191" i="3" s="1"/>
  <c r="B71" i="3"/>
  <c r="A72" i="3" s="1"/>
  <c r="B14" i="4"/>
  <c r="B146" i="4"/>
  <c r="B9" i="4"/>
  <c r="B10" i="1"/>
  <c r="B194" i="4"/>
  <c r="B130" i="4"/>
  <c r="B66" i="4"/>
  <c r="B4" i="1"/>
  <c r="B233" i="1"/>
  <c r="B224" i="1"/>
  <c r="B212" i="1"/>
  <c r="B196" i="1"/>
  <c r="B184" i="1"/>
  <c r="B169" i="1"/>
  <c r="B153" i="1"/>
  <c r="B126" i="1"/>
  <c r="B106" i="1"/>
  <c r="B85" i="1"/>
  <c r="B54" i="1"/>
  <c r="B22" i="1"/>
  <c r="B8" i="3"/>
  <c r="A9" i="3" s="1"/>
  <c r="B214" i="3"/>
  <c r="A215" i="3" s="1"/>
  <c r="B182" i="3"/>
  <c r="A183" i="3" s="1"/>
  <c r="B119" i="3"/>
  <c r="A120" i="3" s="1"/>
  <c r="B55" i="3"/>
  <c r="A56" i="3" s="1"/>
  <c r="B241" i="4"/>
  <c r="B178" i="4"/>
  <c r="B114" i="4"/>
  <c r="B50" i="4"/>
  <c r="B240" i="1"/>
  <c r="B232" i="1"/>
  <c r="B222" i="1"/>
  <c r="B206" i="1"/>
  <c r="B194" i="1"/>
  <c r="B180" i="1"/>
  <c r="B164" i="1"/>
  <c r="B152" i="1"/>
  <c r="B137" i="1"/>
  <c r="B121" i="1"/>
  <c r="B105" i="1"/>
  <c r="B75" i="1"/>
  <c r="B43" i="1"/>
  <c r="B21" i="1"/>
  <c r="B4" i="3"/>
  <c r="A5" i="3" s="1"/>
  <c r="B238" i="3"/>
  <c r="A239" i="3" s="1"/>
  <c r="B206" i="3"/>
  <c r="A207" i="3" s="1"/>
  <c r="B167" i="3"/>
  <c r="A168" i="3" s="1"/>
  <c r="B103" i="3"/>
  <c r="A104" i="3" s="1"/>
  <c r="B210" i="4"/>
  <c r="B82" i="4"/>
  <c r="B20" i="3"/>
  <c r="A21" i="3" s="1"/>
  <c r="B24" i="3"/>
  <c r="A25" i="3" s="1"/>
  <c r="B28" i="3"/>
  <c r="A29" i="3" s="1"/>
  <c r="B32" i="3"/>
  <c r="A33" i="3" s="1"/>
  <c r="B36" i="3"/>
  <c r="A37" i="3" s="1"/>
  <c r="B40" i="3"/>
  <c r="A41" i="3" s="1"/>
  <c r="B44" i="3"/>
  <c r="A45" i="3" s="1"/>
  <c r="B48" i="3"/>
  <c r="A49" i="3" s="1"/>
  <c r="B52" i="3"/>
  <c r="A53" i="3" s="1"/>
  <c r="B56" i="3"/>
  <c r="A57" i="3" s="1"/>
  <c r="B60" i="3"/>
  <c r="A61" i="3" s="1"/>
  <c r="B64" i="3"/>
  <c r="A65" i="3" s="1"/>
  <c r="B68" i="3"/>
  <c r="A69" i="3" s="1"/>
  <c r="B72" i="3"/>
  <c r="A73" i="3" s="1"/>
  <c r="B76" i="3"/>
  <c r="A77" i="3" s="1"/>
  <c r="B80" i="3"/>
  <c r="A81" i="3" s="1"/>
  <c r="B84" i="3"/>
  <c r="A85" i="3" s="1"/>
  <c r="B88" i="3"/>
  <c r="A89" i="3" s="1"/>
  <c r="B92" i="3"/>
  <c r="A93" i="3" s="1"/>
  <c r="B96" i="3"/>
  <c r="A97" i="3" s="1"/>
  <c r="B100" i="3"/>
  <c r="A101" i="3" s="1"/>
  <c r="B104" i="3"/>
  <c r="A105" i="3" s="1"/>
  <c r="B108" i="3"/>
  <c r="A109" i="3" s="1"/>
  <c r="B112" i="3"/>
  <c r="A113" i="3" s="1"/>
  <c r="B116" i="3"/>
  <c r="A117" i="3" s="1"/>
  <c r="B120" i="3"/>
  <c r="A121" i="3" s="1"/>
  <c r="B124" i="3"/>
  <c r="A125" i="3" s="1"/>
  <c r="B128" i="3"/>
  <c r="A129" i="3" s="1"/>
  <c r="B132" i="3"/>
  <c r="A133" i="3" s="1"/>
  <c r="B136" i="3"/>
  <c r="A137" i="3" s="1"/>
  <c r="B140" i="3"/>
  <c r="A141" i="3" s="1"/>
  <c r="B144" i="3"/>
  <c r="A145" i="3" s="1"/>
  <c r="B148" i="3"/>
  <c r="A149" i="3" s="1"/>
  <c r="B152" i="3"/>
  <c r="A153" i="3" s="1"/>
  <c r="B156" i="3"/>
  <c r="A157" i="3" s="1"/>
  <c r="B160" i="3"/>
  <c r="A161" i="3" s="1"/>
  <c r="B164" i="3"/>
  <c r="A165" i="3" s="1"/>
  <c r="B168" i="3"/>
  <c r="A169" i="3" s="1"/>
  <c r="B172" i="3"/>
  <c r="A173" i="3" s="1"/>
  <c r="B176" i="3"/>
  <c r="A177" i="3" s="1"/>
  <c r="B180" i="3"/>
  <c r="A181" i="3" s="1"/>
  <c r="B184" i="3"/>
  <c r="A185" i="3" s="1"/>
  <c r="B188" i="3"/>
  <c r="A189" i="3" s="1"/>
  <c r="B192" i="3"/>
  <c r="A193" i="3" s="1"/>
  <c r="B196" i="3"/>
  <c r="A197" i="3" s="1"/>
  <c r="B200" i="3"/>
  <c r="A201" i="3" s="1"/>
  <c r="B204" i="3"/>
  <c r="A205" i="3" s="1"/>
  <c r="B208" i="3"/>
  <c r="A209" i="3" s="1"/>
  <c r="B212" i="3"/>
  <c r="A213" i="3" s="1"/>
  <c r="B216" i="3"/>
  <c r="A217" i="3" s="1"/>
  <c r="B220" i="3"/>
  <c r="A221" i="3" s="1"/>
  <c r="B224" i="3"/>
  <c r="A225" i="3" s="1"/>
  <c r="B228" i="3"/>
  <c r="A229" i="3" s="1"/>
  <c r="B232" i="3"/>
  <c r="A233" i="3" s="1"/>
  <c r="B236" i="3"/>
  <c r="A237" i="3" s="1"/>
  <c r="B240" i="3"/>
  <c r="A241" i="3" s="1"/>
  <c r="B6" i="3"/>
  <c r="A7" i="3" s="1"/>
  <c r="B10" i="3"/>
  <c r="A11" i="3" s="1"/>
  <c r="B14" i="3"/>
  <c r="A15" i="3" s="1"/>
  <c r="B21" i="3"/>
  <c r="A22" i="3" s="1"/>
  <c r="B25" i="3"/>
  <c r="A26" i="3" s="1"/>
  <c r="B29" i="3"/>
  <c r="A30" i="3" s="1"/>
  <c r="B33" i="3"/>
  <c r="A34" i="3" s="1"/>
  <c r="B37" i="3"/>
  <c r="A38" i="3" s="1"/>
  <c r="B41" i="3"/>
  <c r="A42" i="3" s="1"/>
  <c r="B45" i="3"/>
  <c r="A46" i="3" s="1"/>
  <c r="B49" i="3"/>
  <c r="A50" i="3" s="1"/>
  <c r="B53" i="3"/>
  <c r="A54" i="3" s="1"/>
  <c r="B57" i="3"/>
  <c r="A58" i="3" s="1"/>
  <c r="B61" i="3"/>
  <c r="A62" i="3" s="1"/>
  <c r="B65" i="3"/>
  <c r="A66" i="3" s="1"/>
  <c r="B69" i="3"/>
  <c r="A70" i="3" s="1"/>
  <c r="B73" i="3"/>
  <c r="A74" i="3" s="1"/>
  <c r="B77" i="3"/>
  <c r="A78" i="3" s="1"/>
  <c r="B81" i="3"/>
  <c r="A82" i="3" s="1"/>
  <c r="B85" i="3"/>
  <c r="A86" i="3" s="1"/>
  <c r="B89" i="3"/>
  <c r="A90" i="3" s="1"/>
  <c r="B93" i="3"/>
  <c r="A94" i="3" s="1"/>
  <c r="B97" i="3"/>
  <c r="A98" i="3" s="1"/>
  <c r="B101" i="3"/>
  <c r="A102" i="3" s="1"/>
  <c r="B105" i="3"/>
  <c r="A106" i="3" s="1"/>
  <c r="B109" i="3"/>
  <c r="A110" i="3" s="1"/>
  <c r="B113" i="3"/>
  <c r="A114" i="3" s="1"/>
  <c r="B117" i="3"/>
  <c r="A118" i="3" s="1"/>
  <c r="B121" i="3"/>
  <c r="A122" i="3" s="1"/>
  <c r="B125" i="3"/>
  <c r="A126" i="3" s="1"/>
  <c r="B129" i="3"/>
  <c r="A130" i="3" s="1"/>
  <c r="B133" i="3"/>
  <c r="A134" i="3" s="1"/>
  <c r="B137" i="3"/>
  <c r="A138" i="3" s="1"/>
  <c r="B141" i="3"/>
  <c r="A142" i="3" s="1"/>
  <c r="B145" i="3"/>
  <c r="A146" i="3" s="1"/>
  <c r="B149" i="3"/>
  <c r="A150" i="3" s="1"/>
  <c r="B153" i="3"/>
  <c r="A154" i="3" s="1"/>
  <c r="B157" i="3"/>
  <c r="A158" i="3" s="1"/>
  <c r="B161" i="3"/>
  <c r="A162" i="3" s="1"/>
  <c r="B165" i="3"/>
  <c r="A166" i="3" s="1"/>
  <c r="B169" i="3"/>
  <c r="A170" i="3" s="1"/>
  <c r="B173" i="3"/>
  <c r="A174" i="3" s="1"/>
  <c r="B177" i="3"/>
  <c r="A178" i="3" s="1"/>
  <c r="B181" i="3"/>
  <c r="A182" i="3" s="1"/>
  <c r="B185" i="3"/>
  <c r="A186" i="3" s="1"/>
  <c r="B189" i="3"/>
  <c r="A190" i="3" s="1"/>
  <c r="B193" i="3"/>
  <c r="A194" i="3" s="1"/>
  <c r="B197" i="3"/>
  <c r="A198" i="3" s="1"/>
  <c r="B201" i="3"/>
  <c r="A202" i="3" s="1"/>
  <c r="B205" i="3"/>
  <c r="A206" i="3" s="1"/>
  <c r="B209" i="3"/>
  <c r="A210" i="3" s="1"/>
  <c r="B213" i="3"/>
  <c r="A214" i="3" s="1"/>
  <c r="B217" i="3"/>
  <c r="A218" i="3" s="1"/>
  <c r="B221" i="3"/>
  <c r="A222" i="3" s="1"/>
  <c r="B225" i="3"/>
  <c r="A226" i="3" s="1"/>
  <c r="B229" i="3"/>
  <c r="A230" i="3" s="1"/>
  <c r="B233" i="3"/>
  <c r="A234" i="3" s="1"/>
  <c r="B237" i="3"/>
  <c r="A238" i="3" s="1"/>
  <c r="B241" i="3"/>
  <c r="A242" i="3" s="1"/>
  <c r="B7" i="3"/>
  <c r="A8" i="3" s="1"/>
  <c r="B11" i="3"/>
  <c r="A12" i="3" s="1"/>
  <c r="B15" i="3"/>
  <c r="A16" i="3" s="1"/>
  <c r="B18" i="3"/>
  <c r="A19" i="3" s="1"/>
  <c r="B22" i="3"/>
  <c r="A23" i="3" s="1"/>
  <c r="B26" i="3"/>
  <c r="A27" i="3" s="1"/>
  <c r="B30" i="3"/>
  <c r="A31" i="3" s="1"/>
  <c r="B34" i="3"/>
  <c r="A35" i="3" s="1"/>
  <c r="B38" i="3"/>
  <c r="A39" i="3" s="1"/>
  <c r="B42" i="3"/>
  <c r="A43" i="3" s="1"/>
  <c r="B46" i="3"/>
  <c r="A47" i="3" s="1"/>
  <c r="B50" i="3"/>
  <c r="A51" i="3" s="1"/>
  <c r="B54" i="3"/>
  <c r="A55" i="3" s="1"/>
  <c r="B58" i="3"/>
  <c r="A59" i="3" s="1"/>
  <c r="B62" i="3"/>
  <c r="A63" i="3" s="1"/>
  <c r="B66" i="3"/>
  <c r="A67" i="3" s="1"/>
  <c r="B70" i="3"/>
  <c r="A71" i="3" s="1"/>
  <c r="B74" i="3"/>
  <c r="A75" i="3" s="1"/>
  <c r="B78" i="3"/>
  <c r="A79" i="3" s="1"/>
  <c r="B82" i="3"/>
  <c r="A83" i="3" s="1"/>
  <c r="B86" i="3"/>
  <c r="A87" i="3" s="1"/>
  <c r="B90" i="3"/>
  <c r="A91" i="3" s="1"/>
  <c r="B94" i="3"/>
  <c r="A95" i="3" s="1"/>
  <c r="B98" i="3"/>
  <c r="A99" i="3" s="1"/>
  <c r="B102" i="3"/>
  <c r="A103" i="3" s="1"/>
  <c r="B106" i="3"/>
  <c r="A107" i="3" s="1"/>
  <c r="B110" i="3"/>
  <c r="A111" i="3" s="1"/>
  <c r="B114" i="3"/>
  <c r="A115" i="3" s="1"/>
  <c r="B118" i="3"/>
  <c r="A119" i="3" s="1"/>
  <c r="B122" i="3"/>
  <c r="A123" i="3" s="1"/>
  <c r="B126" i="3"/>
  <c r="A127" i="3" s="1"/>
  <c r="B130" i="3"/>
  <c r="A131" i="3" s="1"/>
  <c r="B134" i="3"/>
  <c r="A135" i="3" s="1"/>
  <c r="B138" i="3"/>
  <c r="A139" i="3" s="1"/>
  <c r="B142" i="3"/>
  <c r="A143" i="3" s="1"/>
  <c r="B146" i="3"/>
  <c r="A147" i="3" s="1"/>
  <c r="B150" i="3"/>
  <c r="A151" i="3" s="1"/>
  <c r="B154" i="3"/>
  <c r="A155" i="3" s="1"/>
  <c r="B158" i="3"/>
  <c r="A159" i="3" s="1"/>
  <c r="B162" i="3"/>
  <c r="A163" i="3" s="1"/>
  <c r="B166" i="3"/>
  <c r="A167" i="3" s="1"/>
  <c r="B170" i="3"/>
  <c r="A171" i="3" s="1"/>
  <c r="B174" i="3"/>
  <c r="A175" i="3" s="1"/>
  <c r="B178" i="3"/>
  <c r="A179" i="3" s="1"/>
  <c r="B13" i="3"/>
  <c r="A14" i="3" s="1"/>
  <c r="B5" i="3"/>
  <c r="A6" i="3" s="1"/>
  <c r="B235" i="3"/>
  <c r="A236" i="3" s="1"/>
  <c r="B227" i="3"/>
  <c r="A228" i="3" s="1"/>
  <c r="B219" i="3"/>
  <c r="A220" i="3" s="1"/>
  <c r="B211" i="3"/>
  <c r="A212" i="3" s="1"/>
  <c r="B203" i="3"/>
  <c r="A204" i="3" s="1"/>
  <c r="B195" i="3"/>
  <c r="A196" i="3" s="1"/>
  <c r="B187" i="3"/>
  <c r="A188" i="3" s="1"/>
  <c r="B179" i="3"/>
  <c r="A180" i="3" s="1"/>
  <c r="B163" i="3"/>
  <c r="A164" i="3" s="1"/>
  <c r="B147" i="3"/>
  <c r="A148" i="3" s="1"/>
  <c r="B131" i="3"/>
  <c r="A132" i="3" s="1"/>
  <c r="B115" i="3"/>
  <c r="A116" i="3" s="1"/>
  <c r="B99" i="3"/>
  <c r="A100" i="3" s="1"/>
  <c r="B83" i="3"/>
  <c r="A84" i="3" s="1"/>
  <c r="B67" i="3"/>
  <c r="A68" i="3" s="1"/>
  <c r="B51" i="3"/>
  <c r="A52" i="3" s="1"/>
  <c r="B35" i="3"/>
  <c r="A36" i="3" s="1"/>
  <c r="B19" i="3"/>
  <c r="A20" i="3" s="1"/>
  <c r="B12" i="3"/>
  <c r="A13" i="3" s="1"/>
  <c r="B242" i="3"/>
  <c r="B234" i="3"/>
  <c r="A235" i="3" s="1"/>
  <c r="B226" i="3"/>
  <c r="A227" i="3" s="1"/>
  <c r="B218" i="3"/>
  <c r="A219" i="3" s="1"/>
  <c r="B210" i="3"/>
  <c r="A211" i="3" s="1"/>
  <c r="B202" i="3"/>
  <c r="A203" i="3" s="1"/>
  <c r="B194" i="3"/>
  <c r="A195" i="3" s="1"/>
  <c r="B186" i="3"/>
  <c r="A187" i="3" s="1"/>
  <c r="B175" i="3"/>
  <c r="A176" i="3" s="1"/>
  <c r="B159" i="3"/>
  <c r="A160" i="3" s="1"/>
  <c r="B143" i="3"/>
  <c r="A144" i="3" s="1"/>
  <c r="B127" i="3"/>
  <c r="A128" i="3" s="1"/>
  <c r="B111" i="3"/>
  <c r="A112" i="3" s="1"/>
  <c r="B95" i="3"/>
  <c r="A96" i="3" s="1"/>
  <c r="B79" i="3"/>
  <c r="A80" i="3" s="1"/>
  <c r="B63" i="3"/>
  <c r="A64" i="3" s="1"/>
  <c r="B47" i="3"/>
  <c r="A48" i="3" s="1"/>
  <c r="B31" i="3"/>
  <c r="A32" i="3" s="1"/>
  <c r="A4" i="3"/>
  <c r="B17" i="3"/>
  <c r="A18" i="3" s="1"/>
  <c r="B9" i="3"/>
  <c r="A10" i="3" s="1"/>
  <c r="B239" i="3"/>
  <c r="A240" i="3" s="1"/>
  <c r="B231" i="3"/>
  <c r="A232" i="3" s="1"/>
  <c r="B223" i="3"/>
  <c r="A224" i="3" s="1"/>
  <c r="B215" i="3"/>
  <c r="A216" i="3" s="1"/>
  <c r="B207" i="3"/>
  <c r="A208" i="3" s="1"/>
  <c r="B199" i="3"/>
  <c r="A200" i="3" s="1"/>
  <c r="B191" i="3"/>
  <c r="A192" i="3" s="1"/>
  <c r="B183" i="3"/>
  <c r="A184" i="3" s="1"/>
  <c r="B171" i="3"/>
  <c r="A172" i="3" s="1"/>
  <c r="B155" i="3"/>
  <c r="A156" i="3" s="1"/>
  <c r="B139" i="3"/>
  <c r="A140" i="3" s="1"/>
  <c r="B123" i="3"/>
  <c r="A124" i="3" s="1"/>
  <c r="B107" i="3"/>
  <c r="A108" i="3" s="1"/>
  <c r="B91" i="3"/>
  <c r="A92" i="3" s="1"/>
  <c r="B75" i="3"/>
  <c r="A76" i="3" s="1"/>
  <c r="B59" i="3"/>
  <c r="A60" i="3" s="1"/>
  <c r="B43" i="3"/>
  <c r="A44" i="3" s="1"/>
  <c r="B27" i="3"/>
  <c r="A28" i="3" s="1"/>
  <c r="B238" i="4"/>
  <c r="B222" i="4"/>
  <c r="B206" i="4"/>
  <c r="B190" i="4"/>
  <c r="B174" i="4"/>
  <c r="B158" i="4"/>
  <c r="B142" i="4"/>
  <c r="B126" i="4"/>
  <c r="B110" i="4"/>
  <c r="B94" i="4"/>
  <c r="B78" i="4"/>
  <c r="B62" i="4"/>
  <c r="B46" i="4"/>
  <c r="B25" i="4"/>
  <c r="B234" i="4"/>
  <c r="B218" i="4"/>
  <c r="B202" i="4"/>
  <c r="B186" i="4"/>
  <c r="B170" i="4"/>
  <c r="B154" i="4"/>
  <c r="B138" i="4"/>
  <c r="B122" i="4"/>
  <c r="B106" i="4"/>
  <c r="B90" i="4"/>
  <c r="B74" i="4"/>
  <c r="B58" i="4"/>
  <c r="B41" i="4"/>
  <c r="B20" i="4"/>
  <c r="B242" i="4"/>
  <c r="B230" i="4"/>
  <c r="B214" i="4"/>
  <c r="B198" i="4"/>
  <c r="B182" i="4"/>
  <c r="B166" i="4"/>
  <c r="B150" i="4"/>
  <c r="B134" i="4"/>
  <c r="B118" i="4"/>
  <c r="B102" i="4"/>
  <c r="B86" i="4"/>
  <c r="B70" i="4"/>
  <c r="B54" i="4"/>
  <c r="B36" i="4"/>
  <c r="B242" i="1"/>
  <c r="B234" i="1"/>
  <c r="B228" i="1"/>
  <c r="B221" i="1"/>
  <c r="B210" i="1"/>
  <c r="B200" i="1"/>
  <c r="B189" i="1"/>
  <c r="B178" i="1"/>
  <c r="B168" i="1"/>
  <c r="B157" i="1"/>
  <c r="B146" i="1"/>
  <c r="B136" i="1"/>
  <c r="B125" i="1"/>
  <c r="B113" i="1"/>
  <c r="B95" i="1"/>
  <c r="B74" i="1"/>
  <c r="B53" i="1"/>
  <c r="B31" i="1"/>
  <c r="A3" i="4"/>
  <c r="E3" i="4" s="1"/>
  <c r="B7" i="4"/>
  <c r="B11" i="4"/>
  <c r="B15" i="4"/>
  <c r="B19" i="4"/>
  <c r="B23" i="4"/>
  <c r="B27" i="4"/>
  <c r="B31" i="4"/>
  <c r="B35" i="4"/>
  <c r="B39" i="4"/>
  <c r="B43" i="4"/>
  <c r="B237" i="4"/>
  <c r="B233" i="4"/>
  <c r="B225" i="4"/>
  <c r="B221" i="4"/>
  <c r="B213" i="4"/>
  <c r="B209" i="4"/>
  <c r="B201" i="4"/>
  <c r="B197" i="4"/>
  <c r="B189" i="4"/>
  <c r="B185" i="4"/>
  <c r="B177" i="4"/>
  <c r="B173" i="4"/>
  <c r="B165" i="4"/>
  <c r="B161" i="4"/>
  <c r="B153" i="4"/>
  <c r="B149" i="4"/>
  <c r="B141" i="4"/>
  <c r="B137" i="4"/>
  <c r="B129" i="4"/>
  <c r="B125" i="4"/>
  <c r="B121" i="4"/>
  <c r="B113" i="4"/>
  <c r="B109" i="4"/>
  <c r="B105" i="4"/>
  <c r="B101" i="4"/>
  <c r="B97" i="4"/>
  <c r="B93" i="4"/>
  <c r="B89" i="4"/>
  <c r="B85" i="4"/>
  <c r="B81" i="4"/>
  <c r="B77" i="4"/>
  <c r="B73" i="4"/>
  <c r="B69" i="4"/>
  <c r="B65" i="4"/>
  <c r="B61" i="4"/>
  <c r="B57" i="4"/>
  <c r="B53" i="4"/>
  <c r="B49" i="4"/>
  <c r="B45" i="4"/>
  <c r="B40" i="4"/>
  <c r="B34" i="4"/>
  <c r="B29" i="4"/>
  <c r="B24" i="4"/>
  <c r="B18" i="4"/>
  <c r="B8" i="4"/>
  <c r="A3" i="1"/>
  <c r="E3" i="1" s="1"/>
  <c r="B8" i="1"/>
  <c r="B12" i="1"/>
  <c r="B16" i="1"/>
  <c r="B20" i="1"/>
  <c r="B24" i="1"/>
  <c r="B28" i="1"/>
  <c r="B32" i="1"/>
  <c r="B36" i="1"/>
  <c r="B40" i="1"/>
  <c r="B44" i="1"/>
  <c r="B48" i="1"/>
  <c r="B52" i="1"/>
  <c r="B56" i="1"/>
  <c r="B60" i="1"/>
  <c r="B64" i="1"/>
  <c r="B68" i="1"/>
  <c r="B72" i="1"/>
  <c r="B76" i="1"/>
  <c r="B80" i="1"/>
  <c r="B84" i="1"/>
  <c r="B88" i="1"/>
  <c r="B92" i="1"/>
  <c r="B96" i="1"/>
  <c r="B100" i="1"/>
  <c r="B7" i="1"/>
  <c r="B13" i="1"/>
  <c r="B18" i="1"/>
  <c r="B23" i="1"/>
  <c r="B29" i="1"/>
  <c r="B34" i="1"/>
  <c r="B39" i="1"/>
  <c r="B45" i="1"/>
  <c r="B50" i="1"/>
  <c r="B55" i="1"/>
  <c r="B61" i="1"/>
  <c r="B66" i="1"/>
  <c r="B71" i="1"/>
  <c r="B77" i="1"/>
  <c r="B82" i="1"/>
  <c r="B87" i="1"/>
  <c r="B93" i="1"/>
  <c r="B98" i="1"/>
  <c r="B103" i="1"/>
  <c r="B107" i="1"/>
  <c r="B111" i="1"/>
  <c r="B115" i="1"/>
  <c r="B119" i="1"/>
  <c r="B123" i="1"/>
  <c r="B127" i="1"/>
  <c r="B131" i="1"/>
  <c r="B135" i="1"/>
  <c r="B139" i="1"/>
  <c r="B143" i="1"/>
  <c r="B147" i="1"/>
  <c r="B151" i="1"/>
  <c r="B155" i="1"/>
  <c r="B159" i="1"/>
  <c r="B163" i="1"/>
  <c r="B167" i="1"/>
  <c r="B171" i="1"/>
  <c r="B175" i="1"/>
  <c r="B179" i="1"/>
  <c r="B183" i="1"/>
  <c r="B187" i="1"/>
  <c r="B191" i="1"/>
  <c r="B195" i="1"/>
  <c r="B199" i="1"/>
  <c r="B203" i="1"/>
  <c r="B207" i="1"/>
  <c r="B211" i="1"/>
  <c r="B215" i="1"/>
  <c r="B219" i="1"/>
  <c r="B223" i="1"/>
  <c r="B227" i="1"/>
  <c r="B231" i="1"/>
  <c r="B235" i="1"/>
  <c r="B239" i="1"/>
  <c r="B243" i="1"/>
  <c r="B9" i="1"/>
  <c r="B14" i="1"/>
  <c r="B19" i="1"/>
  <c r="B25" i="1"/>
  <c r="B30" i="1"/>
  <c r="B35" i="1"/>
  <c r="B41" i="1"/>
  <c r="B46" i="1"/>
  <c r="B51" i="1"/>
  <c r="B57" i="1"/>
  <c r="B62" i="1"/>
  <c r="B67" i="1"/>
  <c r="B73" i="1"/>
  <c r="B78" i="1"/>
  <c r="B83" i="1"/>
  <c r="B89" i="1"/>
  <c r="B94" i="1"/>
  <c r="B99" i="1"/>
  <c r="B104" i="1"/>
  <c r="B108" i="1"/>
  <c r="B112" i="1"/>
  <c r="B116" i="1"/>
  <c r="B240" i="4"/>
  <c r="B236" i="4"/>
  <c r="B232" i="4"/>
  <c r="B228" i="4"/>
  <c r="B224" i="4"/>
  <c r="B220" i="4"/>
  <c r="B216" i="4"/>
  <c r="B212" i="4"/>
  <c r="B208" i="4"/>
  <c r="B204" i="4"/>
  <c r="B200" i="4"/>
  <c r="B196" i="4"/>
  <c r="B192" i="4"/>
  <c r="B188" i="4"/>
  <c r="B184" i="4"/>
  <c r="B180" i="4"/>
  <c r="B176" i="4"/>
  <c r="B172" i="4"/>
  <c r="B168" i="4"/>
  <c r="B164" i="4"/>
  <c r="B160" i="4"/>
  <c r="B156" i="4"/>
  <c r="B152" i="4"/>
  <c r="B148" i="4"/>
  <c r="B144" i="4"/>
  <c r="B140" i="4"/>
  <c r="B136" i="4"/>
  <c r="B132" i="4"/>
  <c r="B128" i="4"/>
  <c r="B124" i="4"/>
  <c r="B120" i="4"/>
  <c r="B116" i="4"/>
  <c r="B112" i="4"/>
  <c r="B108" i="4"/>
  <c r="B104" i="4"/>
  <c r="B100" i="4"/>
  <c r="B96" i="4"/>
  <c r="B92" i="4"/>
  <c r="B88" i="4"/>
  <c r="B84" i="4"/>
  <c r="B80" i="4"/>
  <c r="B76" i="4"/>
  <c r="B72" i="4"/>
  <c r="B68" i="4"/>
  <c r="B64" i="4"/>
  <c r="B60" i="4"/>
  <c r="B56" i="4"/>
  <c r="B52" i="4"/>
  <c r="B48" i="4"/>
  <c r="B44" i="4"/>
  <c r="B38" i="4"/>
  <c r="B33" i="4"/>
  <c r="B28" i="4"/>
  <c r="B22" i="4"/>
  <c r="B17" i="4"/>
  <c r="B12" i="4"/>
  <c r="B6" i="4"/>
  <c r="B241" i="1"/>
  <c r="B236" i="1"/>
  <c r="B230" i="1"/>
  <c r="B225" i="1"/>
  <c r="B220" i="1"/>
  <c r="B214" i="1"/>
  <c r="B209" i="1"/>
  <c r="B204" i="1"/>
  <c r="B198" i="1"/>
  <c r="B193" i="1"/>
  <c r="B188" i="1"/>
  <c r="B182" i="1"/>
  <c r="B177" i="1"/>
  <c r="B172" i="1"/>
  <c r="B166" i="1"/>
  <c r="B161" i="1"/>
  <c r="B156" i="1"/>
  <c r="B150" i="1"/>
  <c r="B145" i="1"/>
  <c r="B140" i="1"/>
  <c r="B134" i="1"/>
  <c r="B129" i="1"/>
  <c r="B124" i="1"/>
  <c r="B118" i="1"/>
  <c r="B110" i="1"/>
  <c r="B102" i="1"/>
  <c r="B91" i="1"/>
  <c r="B81" i="1"/>
  <c r="B70" i="1"/>
  <c r="B59" i="1"/>
  <c r="B49" i="1"/>
  <c r="B38" i="1"/>
  <c r="B27" i="1"/>
  <c r="B17" i="1"/>
  <c r="B6" i="1"/>
  <c r="B229" i="4"/>
  <c r="B217" i="4"/>
  <c r="B205" i="4"/>
  <c r="B193" i="4"/>
  <c r="B181" i="4"/>
  <c r="B169" i="4"/>
  <c r="B157" i="4"/>
  <c r="B145" i="4"/>
  <c r="B133" i="4"/>
  <c r="B117" i="4"/>
  <c r="B4" i="4"/>
  <c r="B239" i="4"/>
  <c r="B235" i="4"/>
  <c r="B231" i="4"/>
  <c r="B227" i="4"/>
  <c r="B223" i="4"/>
  <c r="B219" i="4"/>
  <c r="B215" i="4"/>
  <c r="B211" i="4"/>
  <c r="B207" i="4"/>
  <c r="B203" i="4"/>
  <c r="B199" i="4"/>
  <c r="B195" i="4"/>
  <c r="B191" i="4"/>
  <c r="B187" i="4"/>
  <c r="B183" i="4"/>
  <c r="B179" i="4"/>
  <c r="B175" i="4"/>
  <c r="B171" i="4"/>
  <c r="B167" i="4"/>
  <c r="B163" i="4"/>
  <c r="B159" i="4"/>
  <c r="B155" i="4"/>
  <c r="B151" i="4"/>
  <c r="B147" i="4"/>
  <c r="B143" i="4"/>
  <c r="B139" i="4"/>
  <c r="B135" i="4"/>
  <c r="B131" i="4"/>
  <c r="B127" i="4"/>
  <c r="B123" i="4"/>
  <c r="B119" i="4"/>
  <c r="B115" i="4"/>
  <c r="B111" i="4"/>
  <c r="B107" i="4"/>
  <c r="B103" i="4"/>
  <c r="B99" i="4"/>
  <c r="B95" i="4"/>
  <c r="B91" i="4"/>
  <c r="B87" i="4"/>
  <c r="B83" i="4"/>
  <c r="B79" i="4"/>
  <c r="B75" i="4"/>
  <c r="B71" i="4"/>
  <c r="B67" i="4"/>
  <c r="B63" i="4"/>
  <c r="B59" i="4"/>
  <c r="B55" i="4"/>
  <c r="B51" i="4"/>
  <c r="B47" i="4"/>
  <c r="B42" i="4"/>
  <c r="B37" i="4"/>
  <c r="B32" i="4"/>
  <c r="B26" i="4"/>
  <c r="B21" i="4"/>
  <c r="B16" i="4"/>
  <c r="B10" i="4"/>
  <c r="B5" i="4"/>
  <c r="B218" i="1"/>
  <c r="B213" i="1"/>
  <c r="B208" i="1"/>
  <c r="B202" i="1"/>
  <c r="B197" i="1"/>
  <c r="B192" i="1"/>
  <c r="B186" i="1"/>
  <c r="B181" i="1"/>
  <c r="B176" i="1"/>
  <c r="B170" i="1"/>
  <c r="B165" i="1"/>
  <c r="B160" i="1"/>
  <c r="B154" i="1"/>
  <c r="B149" i="1"/>
  <c r="B144" i="1"/>
  <c r="B138" i="1"/>
  <c r="B133" i="1"/>
  <c r="B128" i="1"/>
  <c r="B122" i="1"/>
  <c r="B117" i="1"/>
  <c r="B109" i="1"/>
  <c r="B101" i="1"/>
  <c r="B90" i="1"/>
  <c r="B79" i="1"/>
  <c r="B69" i="1"/>
  <c r="B58" i="1"/>
  <c r="B47" i="1"/>
  <c r="B37" i="1"/>
  <c r="B26" i="1"/>
  <c r="B15" i="1"/>
  <c r="B5" i="1"/>
  <c r="F3" i="4" l="1"/>
  <c r="G3" i="4"/>
  <c r="A5" i="4"/>
  <c r="E5" i="4" s="1"/>
  <c r="A6" i="4"/>
  <c r="E6" i="4" s="1"/>
  <c r="A7" i="4"/>
  <c r="E7" i="4" s="1"/>
  <c r="A8" i="4"/>
  <c r="E8" i="4" s="1"/>
  <c r="A9" i="4"/>
  <c r="E9" i="4" s="1"/>
  <c r="A10" i="4"/>
  <c r="E10" i="4" s="1"/>
  <c r="A11" i="4"/>
  <c r="E11" i="4" s="1"/>
  <c r="A12" i="4"/>
  <c r="E12" i="4" s="1"/>
  <c r="A13" i="4"/>
  <c r="E13" i="4" s="1"/>
  <c r="A14" i="4"/>
  <c r="E14" i="4" s="1"/>
  <c r="A15" i="4"/>
  <c r="E15" i="4" s="1"/>
  <c r="A16" i="4"/>
  <c r="E16" i="4" s="1"/>
  <c r="A17" i="4"/>
  <c r="E17" i="4" s="1"/>
  <c r="A18" i="4"/>
  <c r="E18" i="4" s="1"/>
  <c r="A19" i="4"/>
  <c r="E19" i="4" s="1"/>
  <c r="A20" i="4"/>
  <c r="E20" i="4" s="1"/>
  <c r="A21" i="4"/>
  <c r="E21" i="4" s="1"/>
  <c r="A22" i="4"/>
  <c r="E22" i="4" s="1"/>
  <c r="A23" i="4"/>
  <c r="E23" i="4" s="1"/>
  <c r="A24" i="4"/>
  <c r="E24" i="4" s="1"/>
  <c r="A25" i="4"/>
  <c r="E25" i="4" s="1"/>
  <c r="A26" i="4"/>
  <c r="E26" i="4" s="1"/>
  <c r="A27" i="4"/>
  <c r="E27" i="4" s="1"/>
  <c r="A28" i="4"/>
  <c r="E28" i="4" s="1"/>
  <c r="A29" i="4"/>
  <c r="E29" i="4" s="1"/>
  <c r="A30" i="4"/>
  <c r="E30" i="4" s="1"/>
  <c r="A31" i="4"/>
  <c r="E31" i="4" s="1"/>
  <c r="A32" i="4"/>
  <c r="E32" i="4" s="1"/>
  <c r="A33" i="4"/>
  <c r="E33" i="4" s="1"/>
  <c r="A34" i="4"/>
  <c r="E34" i="4" s="1"/>
  <c r="A35" i="4"/>
  <c r="E35" i="4" s="1"/>
  <c r="A36" i="4"/>
  <c r="E36" i="4" s="1"/>
  <c r="A37" i="4"/>
  <c r="E37" i="4" s="1"/>
  <c r="A38" i="4"/>
  <c r="E38" i="4" s="1"/>
  <c r="A39" i="4"/>
  <c r="E39" i="4" s="1"/>
  <c r="A40" i="4"/>
  <c r="E40" i="4" s="1"/>
  <c r="A41" i="4"/>
  <c r="E41" i="4" s="1"/>
  <c r="A42" i="4"/>
  <c r="E42" i="4" s="1"/>
  <c r="A43" i="4"/>
  <c r="E43" i="4" s="1"/>
  <c r="A44" i="4"/>
  <c r="E44" i="4" s="1"/>
  <c r="A45" i="4"/>
  <c r="E45" i="4" s="1"/>
  <c r="A46" i="4"/>
  <c r="E46" i="4" s="1"/>
  <c r="A47" i="4"/>
  <c r="E47" i="4" s="1"/>
  <c r="A48" i="4"/>
  <c r="E48" i="4" s="1"/>
  <c r="A49" i="4"/>
  <c r="E49" i="4" s="1"/>
  <c r="A50" i="4"/>
  <c r="E50" i="4" s="1"/>
  <c r="A51" i="4"/>
  <c r="E51" i="4" s="1"/>
  <c r="A52" i="4"/>
  <c r="E52" i="4" s="1"/>
  <c r="A53" i="4"/>
  <c r="E53" i="4" s="1"/>
  <c r="A54" i="4"/>
  <c r="E54" i="4" s="1"/>
  <c r="A55" i="4"/>
  <c r="E55" i="4" s="1"/>
  <c r="A56" i="4"/>
  <c r="E56" i="4" s="1"/>
  <c r="A57" i="4"/>
  <c r="E57" i="4" s="1"/>
  <c r="A58" i="4"/>
  <c r="E58" i="4" s="1"/>
  <c r="A59" i="4"/>
  <c r="E59" i="4" s="1"/>
  <c r="A60" i="4"/>
  <c r="E60" i="4" s="1"/>
  <c r="A61" i="4"/>
  <c r="E61" i="4" s="1"/>
  <c r="A62" i="4"/>
  <c r="E62" i="4" s="1"/>
  <c r="A63" i="4"/>
  <c r="E63" i="4" s="1"/>
  <c r="A64" i="4"/>
  <c r="E64" i="4" s="1"/>
  <c r="A65" i="4"/>
  <c r="E65" i="4" s="1"/>
  <c r="A66" i="4"/>
  <c r="E66" i="4" s="1"/>
  <c r="A67" i="4"/>
  <c r="E67" i="4" s="1"/>
  <c r="A68" i="4"/>
  <c r="E68" i="4" s="1"/>
  <c r="A69" i="4"/>
  <c r="E69" i="4" s="1"/>
  <c r="A70" i="4"/>
  <c r="E70" i="4" s="1"/>
  <c r="A71" i="4"/>
  <c r="E71" i="4" s="1"/>
  <c r="A72" i="4"/>
  <c r="E72" i="4" s="1"/>
  <c r="A73" i="4"/>
  <c r="E73" i="4" s="1"/>
  <c r="A74" i="4"/>
  <c r="E74" i="4" s="1"/>
  <c r="A75" i="4"/>
  <c r="E75" i="4" s="1"/>
  <c r="A76" i="4"/>
  <c r="E76" i="4" s="1"/>
  <c r="A77" i="4"/>
  <c r="E77" i="4" s="1"/>
  <c r="A78" i="4"/>
  <c r="E78" i="4" s="1"/>
  <c r="A79" i="4"/>
  <c r="E79" i="4" s="1"/>
  <c r="A80" i="4"/>
  <c r="E80" i="4" s="1"/>
  <c r="A81" i="4"/>
  <c r="E81" i="4" s="1"/>
  <c r="A82" i="4"/>
  <c r="E82" i="4" s="1"/>
  <c r="A83" i="4"/>
  <c r="E83" i="4" s="1"/>
  <c r="A84" i="4"/>
  <c r="E84" i="4" s="1"/>
  <c r="A85" i="4"/>
  <c r="E85" i="4" s="1"/>
  <c r="A86" i="4"/>
  <c r="E86" i="4" s="1"/>
  <c r="A87" i="4"/>
  <c r="E87" i="4" s="1"/>
  <c r="A88" i="4"/>
  <c r="E88" i="4" s="1"/>
  <c r="A89" i="4"/>
  <c r="E89" i="4" s="1"/>
  <c r="A90" i="4"/>
  <c r="E90" i="4" s="1"/>
  <c r="A91" i="4"/>
  <c r="E91" i="4" s="1"/>
  <c r="A92" i="4"/>
  <c r="E92" i="4" s="1"/>
  <c r="A93" i="4"/>
  <c r="E93" i="4" s="1"/>
  <c r="A94" i="4"/>
  <c r="E94" i="4" s="1"/>
  <c r="A95" i="4"/>
  <c r="E95" i="4" s="1"/>
  <c r="A96" i="4"/>
  <c r="E96" i="4" s="1"/>
  <c r="A97" i="4"/>
  <c r="E97" i="4" s="1"/>
  <c r="A98" i="4"/>
  <c r="E98" i="4" s="1"/>
  <c r="A99" i="4"/>
  <c r="E99" i="4" s="1"/>
  <c r="A100" i="4"/>
  <c r="E100" i="4" s="1"/>
  <c r="A101" i="4"/>
  <c r="E101" i="4" s="1"/>
  <c r="A102" i="4"/>
  <c r="E102" i="4" s="1"/>
  <c r="A103" i="4"/>
  <c r="E103" i="4" s="1"/>
  <c r="A104" i="4"/>
  <c r="E104" i="4" s="1"/>
  <c r="A105" i="4"/>
  <c r="E105" i="4" s="1"/>
  <c r="A106" i="4"/>
  <c r="E106" i="4" s="1"/>
  <c r="A107" i="4"/>
  <c r="E107" i="4" s="1"/>
  <c r="A108" i="4"/>
  <c r="E108" i="4" s="1"/>
  <c r="A109" i="4"/>
  <c r="E109" i="4" s="1"/>
  <c r="A110" i="4"/>
  <c r="E110" i="4" s="1"/>
  <c r="A111" i="4"/>
  <c r="E111" i="4" s="1"/>
  <c r="A112" i="4"/>
  <c r="E112" i="4" s="1"/>
  <c r="A113" i="4"/>
  <c r="E113" i="4" s="1"/>
  <c r="A114" i="4"/>
  <c r="E114" i="4" s="1"/>
  <c r="A115" i="4"/>
  <c r="E115" i="4" s="1"/>
  <c r="A116" i="4"/>
  <c r="E116" i="4" s="1"/>
  <c r="A117" i="4"/>
  <c r="E117" i="4" s="1"/>
  <c r="A118" i="4"/>
  <c r="E118" i="4" s="1"/>
  <c r="A119" i="4"/>
  <c r="E119" i="4" s="1"/>
  <c r="A120" i="4"/>
  <c r="E120" i="4" s="1"/>
  <c r="A121" i="4"/>
  <c r="E121" i="4" s="1"/>
  <c r="A122" i="4"/>
  <c r="E122" i="4" s="1"/>
  <c r="A123" i="4"/>
  <c r="E123" i="4" s="1"/>
  <c r="A124" i="4"/>
  <c r="E124" i="4" s="1"/>
  <c r="A125" i="4"/>
  <c r="E125" i="4" s="1"/>
  <c r="A126" i="4"/>
  <c r="E126" i="4" s="1"/>
  <c r="A127" i="4"/>
  <c r="E127" i="4" s="1"/>
  <c r="A128" i="4"/>
  <c r="E128" i="4" s="1"/>
  <c r="A129" i="4"/>
  <c r="E129" i="4" s="1"/>
  <c r="A130" i="4"/>
  <c r="E130" i="4" s="1"/>
  <c r="A131" i="4"/>
  <c r="E131" i="4" s="1"/>
  <c r="A132" i="4"/>
  <c r="E132" i="4" s="1"/>
  <c r="A133" i="4"/>
  <c r="E133" i="4" s="1"/>
  <c r="A134" i="4"/>
  <c r="E134" i="4" s="1"/>
  <c r="A135" i="4"/>
  <c r="E135" i="4" s="1"/>
  <c r="A136" i="4"/>
  <c r="E136" i="4" s="1"/>
  <c r="A137" i="4"/>
  <c r="E137" i="4" s="1"/>
  <c r="A138" i="4"/>
  <c r="E138" i="4" s="1"/>
  <c r="A139" i="4"/>
  <c r="E139" i="4" s="1"/>
  <c r="A140" i="4"/>
  <c r="E140" i="4" s="1"/>
  <c r="A141" i="4"/>
  <c r="E141" i="4" s="1"/>
  <c r="A142" i="4"/>
  <c r="E142" i="4" s="1"/>
  <c r="A143" i="4"/>
  <c r="E143" i="4" s="1"/>
  <c r="A144" i="4"/>
  <c r="E144" i="4" s="1"/>
  <c r="A145" i="4"/>
  <c r="E145" i="4" s="1"/>
  <c r="A146" i="4"/>
  <c r="E146" i="4" s="1"/>
  <c r="A147" i="4"/>
  <c r="E147" i="4" s="1"/>
  <c r="A148" i="4"/>
  <c r="E148" i="4" s="1"/>
  <c r="A149" i="4"/>
  <c r="E149" i="4" s="1"/>
  <c r="A150" i="4"/>
  <c r="E150" i="4" s="1"/>
  <c r="A151" i="4"/>
  <c r="E151" i="4" s="1"/>
  <c r="A152" i="4"/>
  <c r="E152" i="4" s="1"/>
  <c r="A153" i="4"/>
  <c r="E153" i="4" s="1"/>
  <c r="A154" i="4"/>
  <c r="E154" i="4" s="1"/>
  <c r="A155" i="4"/>
  <c r="E155" i="4" s="1"/>
  <c r="A156" i="4"/>
  <c r="E156" i="4" s="1"/>
  <c r="A157" i="4"/>
  <c r="E157" i="4" s="1"/>
  <c r="A158" i="4"/>
  <c r="E158" i="4" s="1"/>
  <c r="A159" i="4"/>
  <c r="E159" i="4" s="1"/>
  <c r="A160" i="4"/>
  <c r="E160" i="4" s="1"/>
  <c r="A161" i="4"/>
  <c r="E161" i="4" s="1"/>
  <c r="A162" i="4"/>
  <c r="E162" i="4" s="1"/>
  <c r="A163" i="4"/>
  <c r="E163" i="4" s="1"/>
  <c r="A164" i="4"/>
  <c r="E164" i="4" s="1"/>
  <c r="A165" i="4"/>
  <c r="E165" i="4" s="1"/>
  <c r="A166" i="4"/>
  <c r="E166" i="4" s="1"/>
  <c r="A167" i="4"/>
  <c r="E167" i="4" s="1"/>
  <c r="A168" i="4"/>
  <c r="E168" i="4" s="1"/>
  <c r="A169" i="4"/>
  <c r="E169" i="4" s="1"/>
  <c r="A170" i="4"/>
  <c r="E170" i="4" s="1"/>
  <c r="A171" i="4"/>
  <c r="E171" i="4" s="1"/>
  <c r="A172" i="4"/>
  <c r="E172" i="4" s="1"/>
  <c r="A173" i="4"/>
  <c r="E173" i="4" s="1"/>
  <c r="A174" i="4"/>
  <c r="E174" i="4" s="1"/>
  <c r="A175" i="4"/>
  <c r="E175" i="4" s="1"/>
  <c r="A176" i="4"/>
  <c r="E176" i="4" s="1"/>
  <c r="A177" i="4"/>
  <c r="E177" i="4" s="1"/>
  <c r="A178" i="4"/>
  <c r="E178" i="4" s="1"/>
  <c r="A179" i="4"/>
  <c r="E179" i="4" s="1"/>
  <c r="A180" i="4"/>
  <c r="E180" i="4" s="1"/>
  <c r="A181" i="4"/>
  <c r="E181" i="4" s="1"/>
  <c r="A182" i="4"/>
  <c r="E182" i="4" s="1"/>
  <c r="A183" i="4"/>
  <c r="E183" i="4" s="1"/>
  <c r="A184" i="4"/>
  <c r="E184" i="4" s="1"/>
  <c r="A185" i="4"/>
  <c r="E185" i="4" s="1"/>
  <c r="A186" i="4"/>
  <c r="E186" i="4" s="1"/>
  <c r="A187" i="4"/>
  <c r="E187" i="4" s="1"/>
  <c r="A188" i="4"/>
  <c r="E188" i="4" s="1"/>
  <c r="A189" i="4"/>
  <c r="E189" i="4" s="1"/>
  <c r="A190" i="4"/>
  <c r="E190" i="4" s="1"/>
  <c r="A191" i="4"/>
  <c r="E191" i="4" s="1"/>
  <c r="A192" i="4"/>
  <c r="E192" i="4" s="1"/>
  <c r="A193" i="4"/>
  <c r="E193" i="4" s="1"/>
  <c r="A194" i="4"/>
  <c r="E194" i="4" s="1"/>
  <c r="A195" i="4"/>
  <c r="E195" i="4" s="1"/>
  <c r="A196" i="4"/>
  <c r="E196" i="4" s="1"/>
  <c r="A197" i="4"/>
  <c r="E197" i="4" s="1"/>
  <c r="A198" i="4"/>
  <c r="E198" i="4" s="1"/>
  <c r="A199" i="4"/>
  <c r="E199" i="4" s="1"/>
  <c r="A200" i="4"/>
  <c r="E200" i="4" s="1"/>
  <c r="A201" i="4"/>
  <c r="E201" i="4" s="1"/>
  <c r="A202" i="4"/>
  <c r="E202" i="4" s="1"/>
  <c r="A203" i="4"/>
  <c r="E203" i="4" s="1"/>
  <c r="A204" i="4"/>
  <c r="E204" i="4" s="1"/>
  <c r="A205" i="4"/>
  <c r="E205" i="4" s="1"/>
  <c r="A206" i="4"/>
  <c r="E206" i="4" s="1"/>
  <c r="A207" i="4"/>
  <c r="E207" i="4" s="1"/>
  <c r="A208" i="4"/>
  <c r="E208" i="4" s="1"/>
  <c r="A209" i="4"/>
  <c r="E209" i="4" s="1"/>
  <c r="A210" i="4"/>
  <c r="E210" i="4" s="1"/>
  <c r="A211" i="4"/>
  <c r="E211" i="4" s="1"/>
  <c r="A212" i="4"/>
  <c r="E212" i="4" s="1"/>
  <c r="A213" i="4"/>
  <c r="E213" i="4" s="1"/>
  <c r="A214" i="4"/>
  <c r="E214" i="4" s="1"/>
  <c r="A215" i="4"/>
  <c r="E215" i="4" s="1"/>
  <c r="A216" i="4"/>
  <c r="E216" i="4" s="1"/>
  <c r="A217" i="4"/>
  <c r="E217" i="4" s="1"/>
  <c r="A218" i="4"/>
  <c r="E218" i="4" s="1"/>
  <c r="A219" i="4"/>
  <c r="E219" i="4" s="1"/>
  <c r="A220" i="4"/>
  <c r="E220" i="4" s="1"/>
  <c r="A221" i="4"/>
  <c r="E221" i="4" s="1"/>
  <c r="A222" i="4"/>
  <c r="E222" i="4" s="1"/>
  <c r="A223" i="4"/>
  <c r="E223" i="4" s="1"/>
  <c r="A224" i="4"/>
  <c r="E224" i="4" s="1"/>
  <c r="A225" i="4"/>
  <c r="E225" i="4" s="1"/>
  <c r="A226" i="4"/>
  <c r="E226" i="4" s="1"/>
  <c r="A227" i="4"/>
  <c r="E227" i="4" s="1"/>
  <c r="A228" i="4"/>
  <c r="E228" i="4" s="1"/>
  <c r="A229" i="4"/>
  <c r="E229" i="4" s="1"/>
  <c r="A230" i="4"/>
  <c r="E230" i="4" s="1"/>
  <c r="A231" i="4"/>
  <c r="E231" i="4" s="1"/>
  <c r="A232" i="4"/>
  <c r="E232" i="4" s="1"/>
  <c r="A233" i="4"/>
  <c r="E233" i="4" s="1"/>
  <c r="A234" i="4"/>
  <c r="E234" i="4" s="1"/>
  <c r="A235" i="4"/>
  <c r="E235" i="4" s="1"/>
  <c r="A236" i="4"/>
  <c r="E236" i="4" s="1"/>
  <c r="A237" i="4"/>
  <c r="E237" i="4" s="1"/>
  <c r="A238" i="4"/>
  <c r="E238" i="4" s="1"/>
  <c r="A239" i="4"/>
  <c r="E239" i="4" s="1"/>
  <c r="A240" i="4"/>
  <c r="E240" i="4" s="1"/>
  <c r="A241" i="4"/>
  <c r="E241" i="4" s="1"/>
  <c r="A242" i="4"/>
  <c r="E242" i="4" s="1"/>
  <c r="B3" i="2"/>
  <c r="A4" i="2" s="1"/>
  <c r="A56" i="1"/>
  <c r="E56" i="1" s="1"/>
  <c r="A39" i="1"/>
  <c r="E39" i="1" s="1"/>
  <c r="A33" i="1"/>
  <c r="E33" i="1" s="1"/>
  <c r="A29" i="1"/>
  <c r="E29" i="1" s="1"/>
  <c r="A26" i="1"/>
  <c r="E26" i="1" s="1"/>
  <c r="A18" i="1"/>
  <c r="E18" i="1" s="1"/>
  <c r="A15" i="1"/>
  <c r="E15" i="1" s="1"/>
  <c r="A11" i="1"/>
  <c r="E11" i="1" s="1"/>
  <c r="A3" i="2" l="1"/>
  <c r="B6" i="2"/>
  <c r="A7" i="2" s="1"/>
  <c r="B10" i="2"/>
  <c r="A11" i="2" s="1"/>
  <c r="B14" i="2"/>
  <c r="A15" i="2" s="1"/>
  <c r="B18" i="2"/>
  <c r="B22" i="2"/>
  <c r="A23" i="2" s="1"/>
  <c r="B26" i="2"/>
  <c r="A27" i="2" s="1"/>
  <c r="B30" i="2"/>
  <c r="A31" i="2" s="1"/>
  <c r="B34" i="2"/>
  <c r="A35" i="2" s="1"/>
  <c r="B38" i="2"/>
  <c r="B42" i="2"/>
  <c r="A43" i="2" s="1"/>
  <c r="B46" i="2"/>
  <c r="A47" i="2" s="1"/>
  <c r="B50" i="2"/>
  <c r="A51" i="2" s="1"/>
  <c r="B54" i="2"/>
  <c r="A55" i="2" s="1"/>
  <c r="B58" i="2"/>
  <c r="A59" i="2" s="1"/>
  <c r="B62" i="2"/>
  <c r="A63" i="2" s="1"/>
  <c r="B66" i="2"/>
  <c r="A67" i="2" s="1"/>
  <c r="B70" i="2"/>
  <c r="A71" i="2" s="1"/>
  <c r="B74" i="2"/>
  <c r="A75" i="2" s="1"/>
  <c r="B78" i="2"/>
  <c r="A79" i="2" s="1"/>
  <c r="B82" i="2"/>
  <c r="B86" i="2"/>
  <c r="A87" i="2" s="1"/>
  <c r="B90" i="2"/>
  <c r="A91" i="2" s="1"/>
  <c r="B94" i="2"/>
  <c r="A95" i="2" s="1"/>
  <c r="B98" i="2"/>
  <c r="A99" i="2" s="1"/>
  <c r="B102" i="2"/>
  <c r="A103" i="2" s="1"/>
  <c r="B106" i="2"/>
  <c r="A107" i="2" s="1"/>
  <c r="B110" i="2"/>
  <c r="A111" i="2" s="1"/>
  <c r="B114" i="2"/>
  <c r="B118" i="2"/>
  <c r="A119" i="2" s="1"/>
  <c r="B122" i="2"/>
  <c r="A123" i="2" s="1"/>
  <c r="B126" i="2"/>
  <c r="A127" i="2" s="1"/>
  <c r="B130" i="2"/>
  <c r="A131" i="2" s="1"/>
  <c r="B134" i="2"/>
  <c r="A135" i="2" s="1"/>
  <c r="B138" i="2"/>
  <c r="A139" i="2" s="1"/>
  <c r="B142" i="2"/>
  <c r="A143" i="2" s="1"/>
  <c r="B146" i="2"/>
  <c r="A147" i="2" s="1"/>
  <c r="B150" i="2"/>
  <c r="A151" i="2" s="1"/>
  <c r="B154" i="2"/>
  <c r="A155" i="2" s="1"/>
  <c r="B158" i="2"/>
  <c r="A159" i="2" s="1"/>
  <c r="B162" i="2"/>
  <c r="A163" i="2" s="1"/>
  <c r="B166" i="2"/>
  <c r="A167" i="2" s="1"/>
  <c r="B170" i="2"/>
  <c r="A171" i="2" s="1"/>
  <c r="B174" i="2"/>
  <c r="A175" i="2" s="1"/>
  <c r="B178" i="2"/>
  <c r="B182" i="2"/>
  <c r="A183" i="2" s="1"/>
  <c r="B7" i="2"/>
  <c r="A8" i="2" s="1"/>
  <c r="B11" i="2"/>
  <c r="A12" i="2" s="1"/>
  <c r="B15" i="2"/>
  <c r="A16" i="2" s="1"/>
  <c r="B19" i="2"/>
  <c r="A20" i="2" s="1"/>
  <c r="B23" i="2"/>
  <c r="A24" i="2" s="1"/>
  <c r="B27" i="2"/>
  <c r="A28" i="2" s="1"/>
  <c r="B31" i="2"/>
  <c r="A32" i="2" s="1"/>
  <c r="B35" i="2"/>
  <c r="A36" i="2" s="1"/>
  <c r="B39" i="2"/>
  <c r="A40" i="2" s="1"/>
  <c r="B43" i="2"/>
  <c r="A44" i="2" s="1"/>
  <c r="B47" i="2"/>
  <c r="B51" i="2"/>
  <c r="A52" i="2" s="1"/>
  <c r="B55" i="2"/>
  <c r="A56" i="2" s="1"/>
  <c r="B59" i="2"/>
  <c r="A60" i="2" s="1"/>
  <c r="B63" i="2"/>
  <c r="A64" i="2" s="1"/>
  <c r="B67" i="2"/>
  <c r="A68" i="2" s="1"/>
  <c r="B71" i="2"/>
  <c r="A72" i="2" s="1"/>
  <c r="B75" i="2"/>
  <c r="A76" i="2" s="1"/>
  <c r="B79" i="2"/>
  <c r="A80" i="2" s="1"/>
  <c r="B83" i="2"/>
  <c r="A84" i="2" s="1"/>
  <c r="B87" i="2"/>
  <c r="A88" i="2" s="1"/>
  <c r="B91" i="2"/>
  <c r="A92" i="2" s="1"/>
  <c r="B95" i="2"/>
  <c r="A96" i="2" s="1"/>
  <c r="B99" i="2"/>
  <c r="B103" i="2"/>
  <c r="A104" i="2" s="1"/>
  <c r="B107" i="2"/>
  <c r="A108" i="2" s="1"/>
  <c r="B111" i="2"/>
  <c r="A112" i="2" s="1"/>
  <c r="B115" i="2"/>
  <c r="A116" i="2" s="1"/>
  <c r="B119" i="2"/>
  <c r="A120" i="2" s="1"/>
  <c r="B123" i="2"/>
  <c r="A124" i="2" s="1"/>
  <c r="B127" i="2"/>
  <c r="A128" i="2" s="1"/>
  <c r="B131" i="2"/>
  <c r="A132" i="2" s="1"/>
  <c r="B135" i="2"/>
  <c r="A136" i="2" s="1"/>
  <c r="B139" i="2"/>
  <c r="A140" i="2" s="1"/>
  <c r="B143" i="2"/>
  <c r="A144" i="2" s="1"/>
  <c r="B147" i="2"/>
  <c r="A148" i="2" s="1"/>
  <c r="B151" i="2"/>
  <c r="A152" i="2" s="1"/>
  <c r="B155" i="2"/>
  <c r="A156" i="2" s="1"/>
  <c r="B159" i="2"/>
  <c r="A160" i="2" s="1"/>
  <c r="B163" i="2"/>
  <c r="A164" i="2" s="1"/>
  <c r="B167" i="2"/>
  <c r="A168" i="2" s="1"/>
  <c r="B171" i="2"/>
  <c r="A172" i="2" s="1"/>
  <c r="B175" i="2"/>
  <c r="A176" i="2" s="1"/>
  <c r="B179" i="2"/>
  <c r="A180" i="2" s="1"/>
  <c r="B183" i="2"/>
  <c r="A184" i="2" s="1"/>
  <c r="B187" i="2"/>
  <c r="A188" i="2" s="1"/>
  <c r="B191" i="2"/>
  <c r="A192" i="2" s="1"/>
  <c r="B195" i="2"/>
  <c r="A196" i="2" s="1"/>
  <c r="B199" i="2"/>
  <c r="A200" i="2" s="1"/>
  <c r="B203" i="2"/>
  <c r="A204" i="2" s="1"/>
  <c r="B207" i="2"/>
  <c r="A208" i="2" s="1"/>
  <c r="B211" i="2"/>
  <c r="A212" i="2" s="1"/>
  <c r="B215" i="2"/>
  <c r="A216" i="2" s="1"/>
  <c r="B219" i="2"/>
  <c r="A220" i="2" s="1"/>
  <c r="B223" i="2"/>
  <c r="A224" i="2" s="1"/>
  <c r="B227" i="2"/>
  <c r="A228" i="2" s="1"/>
  <c r="B231" i="2"/>
  <c r="A232" i="2" s="1"/>
  <c r="B235" i="2"/>
  <c r="A236" i="2" s="1"/>
  <c r="B239" i="2"/>
  <c r="A240" i="2" s="1"/>
  <c r="B4" i="2"/>
  <c r="A5" i="2" s="1"/>
  <c r="B8" i="2"/>
  <c r="A9" i="2" s="1"/>
  <c r="B12" i="2"/>
  <c r="A13" i="2" s="1"/>
  <c r="B16" i="2"/>
  <c r="A17" i="2" s="1"/>
  <c r="B20" i="2"/>
  <c r="B24" i="2"/>
  <c r="A25" i="2" s="1"/>
  <c r="B28" i="2"/>
  <c r="A29" i="2" s="1"/>
  <c r="B32" i="2"/>
  <c r="A33" i="2" s="1"/>
  <c r="B36" i="2"/>
  <c r="A37" i="2" s="1"/>
  <c r="B40" i="2"/>
  <c r="A41" i="2" s="1"/>
  <c r="B44" i="2"/>
  <c r="A45" i="2" s="1"/>
  <c r="B48" i="2"/>
  <c r="A49" i="2" s="1"/>
  <c r="B52" i="2"/>
  <c r="A53" i="2" s="1"/>
  <c r="B56" i="2"/>
  <c r="A57" i="2" s="1"/>
  <c r="B60" i="2"/>
  <c r="A61" i="2" s="1"/>
  <c r="B64" i="2"/>
  <c r="A65" i="2" s="1"/>
  <c r="B68" i="2"/>
  <c r="A69" i="2" s="1"/>
  <c r="B72" i="2"/>
  <c r="A73" i="2" s="1"/>
  <c r="B76" i="2"/>
  <c r="A77" i="2" s="1"/>
  <c r="B80" i="2"/>
  <c r="A81" i="2" s="1"/>
  <c r="B84" i="2"/>
  <c r="A85" i="2" s="1"/>
  <c r="B88" i="2"/>
  <c r="A89" i="2" s="1"/>
  <c r="B92" i="2"/>
  <c r="A93" i="2" s="1"/>
  <c r="B96" i="2"/>
  <c r="A97" i="2" s="1"/>
  <c r="B100" i="2"/>
  <c r="A101" i="2" s="1"/>
  <c r="B104" i="2"/>
  <c r="A105" i="2" s="1"/>
  <c r="B108" i="2"/>
  <c r="A109" i="2" s="1"/>
  <c r="B112" i="2"/>
  <c r="A113" i="2" s="1"/>
  <c r="B116" i="2"/>
  <c r="A117" i="2" s="1"/>
  <c r="B120" i="2"/>
  <c r="A121" i="2" s="1"/>
  <c r="B124" i="2"/>
  <c r="A125" i="2" s="1"/>
  <c r="B128" i="2"/>
  <c r="A129" i="2" s="1"/>
  <c r="B132" i="2"/>
  <c r="A133" i="2" s="1"/>
  <c r="B136" i="2"/>
  <c r="A137" i="2" s="1"/>
  <c r="B140" i="2"/>
  <c r="A141" i="2" s="1"/>
  <c r="B144" i="2"/>
  <c r="A145" i="2" s="1"/>
  <c r="B148" i="2"/>
  <c r="A149" i="2" s="1"/>
  <c r="B152" i="2"/>
  <c r="A153" i="2" s="1"/>
  <c r="B156" i="2"/>
  <c r="A157" i="2" s="1"/>
  <c r="B160" i="2"/>
  <c r="A161" i="2" s="1"/>
  <c r="B164" i="2"/>
  <c r="A165" i="2" s="1"/>
  <c r="B168" i="2"/>
  <c r="A169" i="2" s="1"/>
  <c r="B172" i="2"/>
  <c r="A173" i="2" s="1"/>
  <c r="B176" i="2"/>
  <c r="A177" i="2" s="1"/>
  <c r="B180" i="2"/>
  <c r="A181" i="2" s="1"/>
  <c r="B184" i="2"/>
  <c r="A185" i="2" s="1"/>
  <c r="B188" i="2"/>
  <c r="A189" i="2" s="1"/>
  <c r="B192" i="2"/>
  <c r="A193" i="2" s="1"/>
  <c r="B196" i="2"/>
  <c r="A197" i="2" s="1"/>
  <c r="B200" i="2"/>
  <c r="A201" i="2" s="1"/>
  <c r="B204" i="2"/>
  <c r="A205" i="2" s="1"/>
  <c r="B208" i="2"/>
  <c r="A209" i="2" s="1"/>
  <c r="B212" i="2"/>
  <c r="A213" i="2" s="1"/>
  <c r="B5" i="2"/>
  <c r="A6" i="2" s="1"/>
  <c r="B21" i="2"/>
  <c r="A22" i="2" s="1"/>
  <c r="B37" i="2"/>
  <c r="A38" i="2" s="1"/>
  <c r="B53" i="2"/>
  <c r="A54" i="2" s="1"/>
  <c r="B69" i="2"/>
  <c r="A70" i="2" s="1"/>
  <c r="B85" i="2"/>
  <c r="A86" i="2" s="1"/>
  <c r="B101" i="2"/>
  <c r="A102" i="2" s="1"/>
  <c r="B117" i="2"/>
  <c r="A118" i="2" s="1"/>
  <c r="B133" i="2"/>
  <c r="A134" i="2" s="1"/>
  <c r="B149" i="2"/>
  <c r="A150" i="2" s="1"/>
  <c r="B165" i="2"/>
  <c r="A166" i="2" s="1"/>
  <c r="B181" i="2"/>
  <c r="A182" i="2" s="1"/>
  <c r="B190" i="2"/>
  <c r="A191" i="2" s="1"/>
  <c r="B198" i="2"/>
  <c r="A199" i="2" s="1"/>
  <c r="B206" i="2"/>
  <c r="A207" i="2" s="1"/>
  <c r="B214" i="2"/>
  <c r="A215" i="2" s="1"/>
  <c r="B220" i="2"/>
  <c r="A221" i="2" s="1"/>
  <c r="B225" i="2"/>
  <c r="A226" i="2" s="1"/>
  <c r="B230" i="2"/>
  <c r="A231" i="2" s="1"/>
  <c r="B236" i="2"/>
  <c r="A237" i="2" s="1"/>
  <c r="B241" i="2"/>
  <c r="A242" i="2" s="1"/>
  <c r="B9" i="2"/>
  <c r="A10" i="2" s="1"/>
  <c r="B25" i="2"/>
  <c r="A26" i="2" s="1"/>
  <c r="B41" i="2"/>
  <c r="A42" i="2" s="1"/>
  <c r="B57" i="2"/>
  <c r="A58" i="2" s="1"/>
  <c r="B73" i="2"/>
  <c r="A74" i="2" s="1"/>
  <c r="B89" i="2"/>
  <c r="A90" i="2" s="1"/>
  <c r="B105" i="2"/>
  <c r="A106" i="2" s="1"/>
  <c r="B121" i="2"/>
  <c r="A122" i="2" s="1"/>
  <c r="B137" i="2"/>
  <c r="A138" i="2" s="1"/>
  <c r="B153" i="2"/>
  <c r="A154" i="2" s="1"/>
  <c r="B169" i="2"/>
  <c r="A170" i="2" s="1"/>
  <c r="B185" i="2"/>
  <c r="A186" i="2" s="1"/>
  <c r="B193" i="2"/>
  <c r="A194" i="2" s="1"/>
  <c r="B201" i="2"/>
  <c r="A202" i="2" s="1"/>
  <c r="B209" i="2"/>
  <c r="A210" i="2" s="1"/>
  <c r="B216" i="2"/>
  <c r="A217" i="2" s="1"/>
  <c r="B221" i="2"/>
  <c r="A222" i="2" s="1"/>
  <c r="B226" i="2"/>
  <c r="A227" i="2" s="1"/>
  <c r="B232" i="2"/>
  <c r="A233" i="2" s="1"/>
  <c r="B237" i="2"/>
  <c r="A238" i="2" s="1"/>
  <c r="B242" i="2"/>
  <c r="B13" i="2"/>
  <c r="A14" i="2" s="1"/>
  <c r="B45" i="2"/>
  <c r="A46" i="2" s="1"/>
  <c r="B77" i="2"/>
  <c r="A78" i="2" s="1"/>
  <c r="B109" i="2"/>
  <c r="A110" i="2" s="1"/>
  <c r="B141" i="2"/>
  <c r="A142" i="2" s="1"/>
  <c r="B173" i="2"/>
  <c r="A174" i="2" s="1"/>
  <c r="B194" i="2"/>
  <c r="A195" i="2" s="1"/>
  <c r="B210" i="2"/>
  <c r="A211" i="2" s="1"/>
  <c r="B222" i="2"/>
  <c r="A223" i="2" s="1"/>
  <c r="B233" i="2"/>
  <c r="A234" i="2" s="1"/>
  <c r="B17" i="2"/>
  <c r="A18" i="2" s="1"/>
  <c r="B49" i="2"/>
  <c r="A50" i="2" s="1"/>
  <c r="B81" i="2"/>
  <c r="A82" i="2" s="1"/>
  <c r="B113" i="2"/>
  <c r="A114" i="2" s="1"/>
  <c r="B145" i="2"/>
  <c r="A146" i="2" s="1"/>
  <c r="B177" i="2"/>
  <c r="A178" i="2" s="1"/>
  <c r="B197" i="2"/>
  <c r="A198" i="2" s="1"/>
  <c r="B213" i="2"/>
  <c r="A214" i="2" s="1"/>
  <c r="B224" i="2"/>
  <c r="A225" i="2" s="1"/>
  <c r="B234" i="2"/>
  <c r="A235" i="2" s="1"/>
  <c r="B29" i="2"/>
  <c r="A30" i="2" s="1"/>
  <c r="B61" i="2"/>
  <c r="A62" i="2" s="1"/>
  <c r="B93" i="2"/>
  <c r="A94" i="2" s="1"/>
  <c r="B125" i="2"/>
  <c r="A126" i="2" s="1"/>
  <c r="B157" i="2"/>
  <c r="A158" i="2" s="1"/>
  <c r="B186" i="2"/>
  <c r="A187" i="2" s="1"/>
  <c r="B202" i="2"/>
  <c r="A203" i="2" s="1"/>
  <c r="B217" i="2"/>
  <c r="A218" i="2" s="1"/>
  <c r="B228" i="2"/>
  <c r="A229" i="2" s="1"/>
  <c r="B238" i="2"/>
  <c r="A239" i="2" s="1"/>
  <c r="B33" i="2"/>
  <c r="A34" i="2" s="1"/>
  <c r="B65" i="2"/>
  <c r="A66" i="2" s="1"/>
  <c r="B97" i="2"/>
  <c r="A98" i="2" s="1"/>
  <c r="B129" i="2"/>
  <c r="A130" i="2" s="1"/>
  <c r="B161" i="2"/>
  <c r="A162" i="2" s="1"/>
  <c r="B189" i="2"/>
  <c r="A190" i="2" s="1"/>
  <c r="B205" i="2"/>
  <c r="A206" i="2" s="1"/>
  <c r="B218" i="2"/>
  <c r="A219" i="2" s="1"/>
  <c r="B229" i="2"/>
  <c r="A230" i="2" s="1"/>
  <c r="B240" i="2"/>
  <c r="A241" i="2" s="1"/>
  <c r="A4" i="4"/>
  <c r="E4" i="4" s="1"/>
  <c r="G6" i="4"/>
  <c r="F6" i="4"/>
  <c r="G5" i="4"/>
  <c r="A19" i="2"/>
  <c r="A21" i="2"/>
  <c r="A100" i="2"/>
  <c r="A179" i="2"/>
  <c r="A115" i="2"/>
  <c r="A83" i="2"/>
  <c r="A48" i="2"/>
  <c r="A39" i="2"/>
  <c r="A243" i="1"/>
  <c r="E243" i="1" s="1"/>
  <c r="A241" i="1"/>
  <c r="E241" i="1" s="1"/>
  <c r="A239" i="1"/>
  <c r="E239" i="1" s="1"/>
  <c r="A237" i="1"/>
  <c r="E237" i="1" s="1"/>
  <c r="A235" i="1"/>
  <c r="E235" i="1" s="1"/>
  <c r="A233" i="1"/>
  <c r="E233" i="1" s="1"/>
  <c r="A231" i="1"/>
  <c r="E231" i="1" s="1"/>
  <c r="A229" i="1"/>
  <c r="E229" i="1" s="1"/>
  <c r="A227" i="1"/>
  <c r="E227" i="1" s="1"/>
  <c r="A225" i="1"/>
  <c r="E225" i="1" s="1"/>
  <c r="A223" i="1"/>
  <c r="E223" i="1" s="1"/>
  <c r="A221" i="1"/>
  <c r="E221" i="1" s="1"/>
  <c r="A219" i="1"/>
  <c r="E219" i="1" s="1"/>
  <c r="A217" i="1"/>
  <c r="E217" i="1" s="1"/>
  <c r="A215" i="1"/>
  <c r="E215" i="1" s="1"/>
  <c r="A213" i="1"/>
  <c r="E213" i="1" s="1"/>
  <c r="A211" i="1"/>
  <c r="E211" i="1" s="1"/>
  <c r="A209" i="1"/>
  <c r="E209" i="1" s="1"/>
  <c r="A207" i="1"/>
  <c r="E207" i="1" s="1"/>
  <c r="A205" i="1"/>
  <c r="E205" i="1" s="1"/>
  <c r="A203" i="1"/>
  <c r="E203" i="1" s="1"/>
  <c r="A201" i="1"/>
  <c r="E201" i="1" s="1"/>
  <c r="A199" i="1"/>
  <c r="E199" i="1" s="1"/>
  <c r="A197" i="1"/>
  <c r="E197" i="1" s="1"/>
  <c r="A195" i="1"/>
  <c r="E195" i="1" s="1"/>
  <c r="A193" i="1"/>
  <c r="E193" i="1" s="1"/>
  <c r="A191" i="1"/>
  <c r="E191" i="1" s="1"/>
  <c r="A189" i="1"/>
  <c r="E189" i="1" s="1"/>
  <c r="A187" i="1"/>
  <c r="E187" i="1" s="1"/>
  <c r="A185" i="1"/>
  <c r="E185" i="1" s="1"/>
  <c r="A183" i="1"/>
  <c r="E183" i="1" s="1"/>
  <c r="A181" i="1"/>
  <c r="E181" i="1" s="1"/>
  <c r="A179" i="1"/>
  <c r="E179" i="1" s="1"/>
  <c r="A177" i="1"/>
  <c r="E177" i="1" s="1"/>
  <c r="A175" i="1"/>
  <c r="E175" i="1" s="1"/>
  <c r="A173" i="1"/>
  <c r="E173" i="1" s="1"/>
  <c r="A147" i="1"/>
  <c r="E147" i="1" s="1"/>
  <c r="A143" i="1"/>
  <c r="E143" i="1" s="1"/>
  <c r="A139" i="1"/>
  <c r="E139" i="1" s="1"/>
  <c r="A136" i="1"/>
  <c r="E136" i="1" s="1"/>
  <c r="A132" i="1"/>
  <c r="E132" i="1" s="1"/>
  <c r="A128" i="1"/>
  <c r="E128" i="1" s="1"/>
  <c r="A121" i="1"/>
  <c r="E121" i="1" s="1"/>
  <c r="A117" i="1"/>
  <c r="E117" i="1" s="1"/>
  <c r="A113" i="1"/>
  <c r="E113" i="1" s="1"/>
  <c r="A110" i="1"/>
  <c r="E110" i="1" s="1"/>
  <c r="A106" i="1"/>
  <c r="E106" i="1" s="1"/>
  <c r="A102" i="1"/>
  <c r="E102" i="1" s="1"/>
  <c r="A99" i="1"/>
  <c r="E99" i="1" s="1"/>
  <c r="A242" i="1"/>
  <c r="E242" i="1" s="1"/>
  <c r="A238" i="1"/>
  <c r="E238" i="1" s="1"/>
  <c r="A234" i="1"/>
  <c r="E234" i="1" s="1"/>
  <c r="A230" i="1"/>
  <c r="E230" i="1" s="1"/>
  <c r="A226" i="1"/>
  <c r="E226" i="1" s="1"/>
  <c r="A222" i="1"/>
  <c r="E222" i="1" s="1"/>
  <c r="A218" i="1"/>
  <c r="E218" i="1" s="1"/>
  <c r="A214" i="1"/>
  <c r="E214" i="1" s="1"/>
  <c r="A210" i="1"/>
  <c r="E210" i="1" s="1"/>
  <c r="A206" i="1"/>
  <c r="E206" i="1" s="1"/>
  <c r="A202" i="1"/>
  <c r="E202" i="1" s="1"/>
  <c r="A198" i="1"/>
  <c r="E198" i="1" s="1"/>
  <c r="A194" i="1"/>
  <c r="E194" i="1" s="1"/>
  <c r="A190" i="1"/>
  <c r="E190" i="1" s="1"/>
  <c r="A186" i="1"/>
  <c r="E186" i="1" s="1"/>
  <c r="A182" i="1"/>
  <c r="E182" i="1" s="1"/>
  <c r="A178" i="1"/>
  <c r="E178" i="1" s="1"/>
  <c r="A174" i="1"/>
  <c r="E174" i="1" s="1"/>
  <c r="A171" i="1"/>
  <c r="E171" i="1" s="1"/>
  <c r="A168" i="1"/>
  <c r="E168" i="1" s="1"/>
  <c r="A163" i="1"/>
  <c r="E163" i="1" s="1"/>
  <c r="A160" i="1"/>
  <c r="E160" i="1" s="1"/>
  <c r="A155" i="1"/>
  <c r="E155" i="1" s="1"/>
  <c r="A152" i="1"/>
  <c r="E152" i="1" s="1"/>
  <c r="A142" i="1"/>
  <c r="E142" i="1" s="1"/>
  <c r="A140" i="1"/>
  <c r="E140" i="1" s="1"/>
  <c r="A131" i="1"/>
  <c r="E131" i="1" s="1"/>
  <c r="A129" i="1"/>
  <c r="E129" i="1" s="1"/>
  <c r="A124" i="1"/>
  <c r="E124" i="1" s="1"/>
  <c r="A122" i="1"/>
  <c r="E122" i="1" s="1"/>
  <c r="A115" i="1"/>
  <c r="E115" i="1" s="1"/>
  <c r="A111" i="1"/>
  <c r="E111" i="1" s="1"/>
  <c r="A104" i="1"/>
  <c r="E104" i="1" s="1"/>
  <c r="A100" i="1"/>
  <c r="E100" i="1" s="1"/>
  <c r="A95" i="1"/>
  <c r="E95" i="1" s="1"/>
  <c r="A91" i="1"/>
  <c r="E91" i="1" s="1"/>
  <c r="A88" i="1"/>
  <c r="E88" i="1" s="1"/>
  <c r="A84" i="1"/>
  <c r="E84" i="1" s="1"/>
  <c r="A80" i="1"/>
  <c r="E80" i="1" s="1"/>
  <c r="A73" i="1"/>
  <c r="E73" i="1" s="1"/>
  <c r="A69" i="1"/>
  <c r="E69" i="1" s="1"/>
  <c r="A65" i="1"/>
  <c r="E65" i="1" s="1"/>
  <c r="A62" i="1"/>
  <c r="E62" i="1" s="1"/>
  <c r="A58" i="1"/>
  <c r="E58" i="1" s="1"/>
  <c r="A54" i="1"/>
  <c r="E54" i="1" s="1"/>
  <c r="A170" i="1"/>
  <c r="E170" i="1" s="1"/>
  <c r="A165" i="1"/>
  <c r="E165" i="1" s="1"/>
  <c r="A162" i="1"/>
  <c r="E162" i="1" s="1"/>
  <c r="A157" i="1"/>
  <c r="E157" i="1" s="1"/>
  <c r="A154" i="1"/>
  <c r="E154" i="1" s="1"/>
  <c r="A149" i="1"/>
  <c r="E149" i="1" s="1"/>
  <c r="A145" i="1"/>
  <c r="E145" i="1" s="1"/>
  <c r="A138" i="1"/>
  <c r="E138" i="1" s="1"/>
  <c r="A134" i="1"/>
  <c r="E134" i="1" s="1"/>
  <c r="A127" i="1"/>
  <c r="E127" i="1" s="1"/>
  <c r="A120" i="1"/>
  <c r="E120" i="1" s="1"/>
  <c r="A118" i="1"/>
  <c r="E118" i="1" s="1"/>
  <c r="A109" i="1"/>
  <c r="E109" i="1" s="1"/>
  <c r="A107" i="1"/>
  <c r="E107" i="1" s="1"/>
  <c r="A98" i="1"/>
  <c r="E98" i="1" s="1"/>
  <c r="A96" i="1"/>
  <c r="E96" i="1" s="1"/>
  <c r="A92" i="1"/>
  <c r="E92" i="1" s="1"/>
  <c r="A85" i="1"/>
  <c r="E85" i="1" s="1"/>
  <c r="A81" i="1"/>
  <c r="E81" i="1" s="1"/>
  <c r="A77" i="1"/>
  <c r="E77" i="1" s="1"/>
  <c r="A74" i="1"/>
  <c r="E74" i="1" s="1"/>
  <c r="A70" i="1"/>
  <c r="E70" i="1" s="1"/>
  <c r="A66" i="1"/>
  <c r="E66" i="1" s="1"/>
  <c r="A63" i="1"/>
  <c r="E63" i="1" s="1"/>
  <c r="A59" i="1"/>
  <c r="E59" i="1" s="1"/>
  <c r="A55" i="1"/>
  <c r="E55" i="1" s="1"/>
  <c r="A52" i="1"/>
  <c r="E52" i="1" s="1"/>
  <c r="A48" i="1"/>
  <c r="E48" i="1" s="1"/>
  <c r="A44" i="1"/>
  <c r="E44" i="1" s="1"/>
  <c r="A37" i="1"/>
  <c r="E37" i="1" s="1"/>
  <c r="A240" i="1"/>
  <c r="E240" i="1" s="1"/>
  <c r="A236" i="1"/>
  <c r="E236" i="1" s="1"/>
  <c r="A232" i="1"/>
  <c r="E232" i="1" s="1"/>
  <c r="A228" i="1"/>
  <c r="E228" i="1" s="1"/>
  <c r="A224" i="1"/>
  <c r="E224" i="1" s="1"/>
  <c r="A220" i="1"/>
  <c r="E220" i="1" s="1"/>
  <c r="A216" i="1"/>
  <c r="E216" i="1" s="1"/>
  <c r="A212" i="1"/>
  <c r="E212" i="1" s="1"/>
  <c r="A169" i="1"/>
  <c r="E169" i="1" s="1"/>
  <c r="A158" i="1"/>
  <c r="E158" i="1" s="1"/>
  <c r="A153" i="1"/>
  <c r="E153" i="1" s="1"/>
  <c r="A144" i="1"/>
  <c r="E144" i="1" s="1"/>
  <c r="A137" i="1"/>
  <c r="E137" i="1" s="1"/>
  <c r="A133" i="1"/>
  <c r="E133" i="1" s="1"/>
  <c r="A126" i="1"/>
  <c r="E126" i="1" s="1"/>
  <c r="A123" i="1"/>
  <c r="E123" i="1" s="1"/>
  <c r="A116" i="1"/>
  <c r="E116" i="1" s="1"/>
  <c r="A90" i="1"/>
  <c r="E90" i="1" s="1"/>
  <c r="A82" i="1"/>
  <c r="E82" i="1" s="1"/>
  <c r="A72" i="1"/>
  <c r="E72" i="1" s="1"/>
  <c r="A61" i="1"/>
  <c r="E61" i="1" s="1"/>
  <c r="A53" i="1"/>
  <c r="E53" i="1" s="1"/>
  <c r="A51" i="1"/>
  <c r="E51" i="1" s="1"/>
  <c r="A49" i="1"/>
  <c r="E49" i="1" s="1"/>
  <c r="A42" i="1"/>
  <c r="E42" i="1" s="1"/>
  <c r="A34" i="1"/>
  <c r="E34" i="1" s="1"/>
  <c r="A30" i="1"/>
  <c r="E30" i="1" s="1"/>
  <c r="A27" i="1"/>
  <c r="E27" i="1" s="1"/>
  <c r="A23" i="1"/>
  <c r="E23" i="1" s="1"/>
  <c r="A19" i="1"/>
  <c r="E19" i="1" s="1"/>
  <c r="A16" i="1"/>
  <c r="E16" i="1" s="1"/>
  <c r="A12" i="1"/>
  <c r="E12" i="1" s="1"/>
  <c r="A8" i="1"/>
  <c r="E8" i="1" s="1"/>
  <c r="A200" i="1"/>
  <c r="E200" i="1" s="1"/>
  <c r="A184" i="1"/>
  <c r="E184" i="1" s="1"/>
  <c r="A159" i="1"/>
  <c r="E159" i="1" s="1"/>
  <c r="A141" i="1"/>
  <c r="E141" i="1" s="1"/>
  <c r="A103" i="1"/>
  <c r="E103" i="1" s="1"/>
  <c r="A75" i="1"/>
  <c r="E75" i="1" s="1"/>
  <c r="A204" i="1"/>
  <c r="E204" i="1" s="1"/>
  <c r="A196" i="1"/>
  <c r="E196" i="1" s="1"/>
  <c r="A188" i="1"/>
  <c r="E188" i="1" s="1"/>
  <c r="A180" i="1"/>
  <c r="E180" i="1" s="1"/>
  <c r="A172" i="1"/>
  <c r="E172" i="1" s="1"/>
  <c r="A167" i="1"/>
  <c r="E167" i="1" s="1"/>
  <c r="A156" i="1"/>
  <c r="E156" i="1" s="1"/>
  <c r="A151" i="1"/>
  <c r="E151" i="1" s="1"/>
  <c r="A119" i="1"/>
  <c r="E119" i="1" s="1"/>
  <c r="A112" i="1"/>
  <c r="E112" i="1" s="1"/>
  <c r="A105" i="1"/>
  <c r="E105" i="1" s="1"/>
  <c r="A87" i="1"/>
  <c r="E87" i="1" s="1"/>
  <c r="A79" i="1"/>
  <c r="E79" i="1" s="1"/>
  <c r="A71" i="1"/>
  <c r="E71" i="1" s="1"/>
  <c r="A60" i="1"/>
  <c r="E60" i="1" s="1"/>
  <c r="A47" i="1"/>
  <c r="E47" i="1" s="1"/>
  <c r="A45" i="1"/>
  <c r="E45" i="1" s="1"/>
  <c r="A40" i="1"/>
  <c r="E40" i="1" s="1"/>
  <c r="A38" i="1"/>
  <c r="E38" i="1" s="1"/>
  <c r="A35" i="1"/>
  <c r="E35" i="1" s="1"/>
  <c r="A31" i="1"/>
  <c r="E31" i="1" s="1"/>
  <c r="A28" i="1"/>
  <c r="E28" i="1" s="1"/>
  <c r="A24" i="1"/>
  <c r="E24" i="1" s="1"/>
  <c r="A20" i="1"/>
  <c r="E20" i="1" s="1"/>
  <c r="A13" i="1"/>
  <c r="E13" i="1" s="1"/>
  <c r="A9" i="1"/>
  <c r="E9" i="1" s="1"/>
  <c r="A5" i="1"/>
  <c r="E5" i="1" s="1"/>
  <c r="A192" i="1"/>
  <c r="E192" i="1" s="1"/>
  <c r="A164" i="1"/>
  <c r="E164" i="1" s="1"/>
  <c r="A93" i="1"/>
  <c r="E93" i="1" s="1"/>
  <c r="A166" i="1"/>
  <c r="E166" i="1" s="1"/>
  <c r="A161" i="1"/>
  <c r="E161" i="1" s="1"/>
  <c r="A150" i="1"/>
  <c r="E150" i="1" s="1"/>
  <c r="A146" i="1"/>
  <c r="E146" i="1" s="1"/>
  <c r="A135" i="1"/>
  <c r="E135" i="1" s="1"/>
  <c r="A125" i="1"/>
  <c r="E125" i="1" s="1"/>
  <c r="A114" i="1"/>
  <c r="E114" i="1" s="1"/>
  <c r="A108" i="1"/>
  <c r="E108" i="1" s="1"/>
  <c r="A101" i="1"/>
  <c r="E101" i="1" s="1"/>
  <c r="A97" i="1"/>
  <c r="E97" i="1" s="1"/>
  <c r="A94" i="1"/>
  <c r="E94" i="1" s="1"/>
  <c r="A89" i="1"/>
  <c r="E89" i="1" s="1"/>
  <c r="A86" i="1"/>
  <c r="E86" i="1" s="1"/>
  <c r="A78" i="1"/>
  <c r="E78" i="1" s="1"/>
  <c r="A76" i="1"/>
  <c r="E76" i="1" s="1"/>
  <c r="A68" i="1"/>
  <c r="E68" i="1" s="1"/>
  <c r="A57" i="1"/>
  <c r="E57" i="1" s="1"/>
  <c r="A50" i="1"/>
  <c r="E50" i="1" s="1"/>
  <c r="A43" i="1"/>
  <c r="E43" i="1" s="1"/>
  <c r="A36" i="1"/>
  <c r="E36" i="1" s="1"/>
  <c r="A32" i="1"/>
  <c r="E32" i="1" s="1"/>
  <c r="A25" i="1"/>
  <c r="E25" i="1" s="1"/>
  <c r="A21" i="1"/>
  <c r="E21" i="1" s="1"/>
  <c r="A17" i="1"/>
  <c r="E17" i="1" s="1"/>
  <c r="A14" i="1"/>
  <c r="E14" i="1" s="1"/>
  <c r="A10" i="1"/>
  <c r="E10" i="1" s="1"/>
  <c r="A6" i="1"/>
  <c r="E6" i="1" s="1"/>
  <c r="A4" i="1"/>
  <c r="E4" i="1" s="1"/>
  <c r="A208" i="1"/>
  <c r="E208" i="1" s="1"/>
  <c r="A176" i="1"/>
  <c r="E176" i="1" s="1"/>
  <c r="A148" i="1"/>
  <c r="E148" i="1" s="1"/>
  <c r="A130" i="1"/>
  <c r="E130" i="1" s="1"/>
  <c r="A83" i="1"/>
  <c r="E83" i="1" s="1"/>
  <c r="A7" i="1"/>
  <c r="E7" i="1" s="1"/>
  <c r="A22" i="1"/>
  <c r="E22" i="1" s="1"/>
  <c r="A67" i="1"/>
  <c r="E67" i="1" s="1"/>
  <c r="A41" i="1"/>
  <c r="E41" i="1" s="1"/>
  <c r="A46" i="1"/>
  <c r="E46" i="1" s="1"/>
  <c r="A64" i="1"/>
  <c r="E64" i="1" s="1"/>
  <c r="F148" i="1" l="1"/>
  <c r="G148" i="1"/>
  <c r="F150" i="1"/>
  <c r="G150" i="1"/>
  <c r="G159" i="1"/>
  <c r="F159" i="1"/>
  <c r="F149" i="1"/>
  <c r="G149" i="1"/>
  <c r="G155" i="1"/>
  <c r="F155" i="1"/>
  <c r="G151" i="1"/>
  <c r="F151" i="1"/>
  <c r="F153" i="1"/>
  <c r="G153" i="1"/>
  <c r="F154" i="1"/>
  <c r="G154" i="1"/>
  <c r="F156" i="1"/>
  <c r="G156" i="1"/>
  <c r="F158" i="1"/>
  <c r="G158" i="1"/>
  <c r="F157" i="1"/>
  <c r="G157" i="1"/>
  <c r="F152" i="1"/>
  <c r="G152" i="1"/>
  <c r="F147" i="1"/>
  <c r="G147" i="1"/>
  <c r="G4" i="4"/>
  <c r="F4" i="4"/>
  <c r="F5" i="4"/>
  <c r="I22" i="40" l="1"/>
  <c r="I23" i="40"/>
  <c r="I24" i="40"/>
  <c r="I21" i="40"/>
  <c r="J21" i="40"/>
  <c r="J24" i="40"/>
  <c r="J23" i="40"/>
  <c r="J22" i="40"/>
  <c r="C2" i="40"/>
  <c r="I24" i="39" l="1"/>
  <c r="I25" i="39"/>
  <c r="I26" i="39"/>
  <c r="I23" i="39"/>
  <c r="D3" i="37"/>
  <c r="D4" i="37"/>
  <c r="D5" i="37"/>
  <c r="D2" i="37"/>
  <c r="C2" i="39"/>
  <c r="J26" i="39" l="1"/>
  <c r="J25" i="39"/>
  <c r="J23" i="39"/>
  <c r="J24" i="39"/>
  <c r="E90" i="14"/>
  <c r="E89" i="14" s="1"/>
  <c r="F90" i="14"/>
  <c r="F89" i="14" s="1"/>
  <c r="G90" i="14"/>
  <c r="G89" i="14" s="1"/>
  <c r="H90" i="14"/>
  <c r="H89" i="14" s="1"/>
  <c r="I90" i="14"/>
  <c r="I89" i="14" s="1"/>
  <c r="J90" i="14"/>
  <c r="J89" i="14" s="1"/>
  <c r="K90" i="14"/>
  <c r="K89" i="14" s="1"/>
  <c r="L90" i="14"/>
  <c r="L89" i="14" s="1"/>
  <c r="M90" i="14"/>
  <c r="M89" i="14" s="1"/>
  <c r="D90" i="14"/>
  <c r="D89" i="14" s="1"/>
  <c r="O9" i="14"/>
  <c r="N9" i="14"/>
  <c r="M9" i="14"/>
  <c r="L9" i="14"/>
  <c r="K9" i="14"/>
  <c r="D9" i="14"/>
  <c r="F10" i="14"/>
  <c r="F9" i="14" s="1"/>
  <c r="G10" i="14"/>
  <c r="G9" i="14" s="1"/>
  <c r="H10" i="14"/>
  <c r="H9" i="14" s="1"/>
  <c r="I10" i="14"/>
  <c r="I9" i="14" s="1"/>
  <c r="J10" i="14"/>
  <c r="J9" i="14" s="1"/>
  <c r="E10" i="14"/>
  <c r="E9" i="14" s="1"/>
  <c r="F9" i="9" l="1"/>
  <c r="F10" i="9"/>
  <c r="F11" i="9"/>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F74" i="9"/>
  <c r="F75" i="9"/>
  <c r="F76" i="9"/>
  <c r="F77" i="9"/>
  <c r="F78" i="9"/>
  <c r="F79" i="9"/>
  <c r="F80" i="9"/>
  <c r="F81" i="9"/>
  <c r="F82" i="9"/>
  <c r="F83" i="9"/>
  <c r="F84" i="9"/>
  <c r="F85" i="9"/>
  <c r="F86" i="9"/>
  <c r="F87" i="9"/>
  <c r="F88" i="9"/>
  <c r="F89" i="9"/>
  <c r="F90" i="9"/>
  <c r="F91" i="9"/>
  <c r="F92" i="9"/>
  <c r="F93" i="9"/>
  <c r="F94" i="9"/>
  <c r="F95" i="9"/>
  <c r="F96" i="9"/>
  <c r="F97" i="9"/>
  <c r="F98" i="9"/>
  <c r="F99" i="9"/>
  <c r="F100" i="9"/>
  <c r="F101" i="9"/>
  <c r="F102" i="9"/>
  <c r="F103" i="9"/>
  <c r="F104" i="9"/>
  <c r="F105" i="9"/>
  <c r="F106" i="9"/>
  <c r="F107" i="9"/>
  <c r="F108" i="9"/>
  <c r="F109" i="9"/>
  <c r="F110" i="9"/>
  <c r="F111" i="9"/>
  <c r="F112" i="9"/>
  <c r="F113" i="9"/>
  <c r="F114" i="9"/>
  <c r="F115" i="9"/>
  <c r="F116" i="9"/>
  <c r="F117" i="9"/>
  <c r="F118" i="9"/>
  <c r="F119" i="9"/>
  <c r="F120" i="9"/>
  <c r="F121" i="9"/>
  <c r="F122" i="9"/>
  <c r="F123" i="9"/>
  <c r="F124" i="9"/>
  <c r="F125" i="9"/>
  <c r="F126" i="9"/>
  <c r="F127" i="9"/>
  <c r="F128" i="9"/>
  <c r="F129" i="9"/>
  <c r="F130" i="9"/>
  <c r="F131" i="9"/>
  <c r="F132" i="9"/>
  <c r="F133" i="9"/>
  <c r="F134" i="9"/>
  <c r="F135" i="9"/>
  <c r="F136" i="9"/>
  <c r="F137" i="9"/>
  <c r="F138" i="9"/>
  <c r="F139" i="9"/>
  <c r="F140" i="9"/>
  <c r="F141" i="9"/>
  <c r="F142" i="9"/>
  <c r="F143" i="9"/>
  <c r="F144" i="9"/>
  <c r="F145" i="9"/>
  <c r="F146" i="9"/>
  <c r="F147" i="9"/>
  <c r="F148" i="9"/>
  <c r="F149" i="9"/>
  <c r="F150" i="9"/>
  <c r="F151" i="9"/>
  <c r="F152" i="9"/>
  <c r="F153" i="9"/>
  <c r="F154" i="9"/>
  <c r="F155" i="9"/>
  <c r="F156" i="9"/>
  <c r="F157" i="9"/>
  <c r="F158" i="9"/>
  <c r="F159" i="9"/>
  <c r="F160" i="9"/>
  <c r="F161" i="9"/>
  <c r="F162" i="9"/>
  <c r="F163" i="9"/>
  <c r="F164" i="9"/>
  <c r="F165" i="9"/>
  <c r="F166" i="9"/>
  <c r="F167" i="9"/>
  <c r="F168" i="9"/>
  <c r="F169" i="9"/>
  <c r="F170" i="9"/>
  <c r="F171" i="9"/>
  <c r="F172" i="9"/>
  <c r="F173" i="9"/>
  <c r="F174" i="9"/>
  <c r="F175" i="9"/>
  <c r="F176" i="9"/>
  <c r="F177" i="9"/>
  <c r="F178" i="9"/>
  <c r="F179" i="9"/>
  <c r="F180" i="9"/>
  <c r="F181" i="9"/>
  <c r="F182" i="9"/>
  <c r="F183" i="9"/>
  <c r="F184" i="9"/>
  <c r="F185" i="9"/>
  <c r="F186" i="9"/>
  <c r="F187" i="9"/>
  <c r="F188" i="9"/>
  <c r="F189" i="9"/>
  <c r="F190" i="9"/>
  <c r="F191" i="9"/>
  <c r="F192" i="9"/>
  <c r="F193" i="9"/>
  <c r="F194" i="9"/>
  <c r="F195" i="9"/>
  <c r="F196" i="9"/>
  <c r="F197" i="9"/>
  <c r="F198" i="9"/>
  <c r="F199" i="9"/>
  <c r="F200" i="9"/>
  <c r="F201" i="9"/>
  <c r="F202" i="9"/>
  <c r="F203" i="9"/>
  <c r="F204" i="9"/>
  <c r="F205" i="9"/>
  <c r="F206" i="9"/>
  <c r="F207" i="9"/>
  <c r="F208" i="9"/>
  <c r="F209" i="9"/>
  <c r="F210" i="9"/>
  <c r="F211" i="9"/>
  <c r="F212" i="9"/>
  <c r="F213" i="9"/>
  <c r="F214" i="9"/>
  <c r="F215" i="9"/>
  <c r="F216" i="9"/>
  <c r="F217" i="9"/>
  <c r="F218" i="9"/>
  <c r="F219" i="9"/>
  <c r="F220" i="9"/>
  <c r="F221" i="9"/>
  <c r="F222" i="9"/>
  <c r="F223" i="9"/>
  <c r="F224" i="9"/>
  <c r="F225" i="9"/>
  <c r="F226" i="9"/>
  <c r="F227" i="9"/>
  <c r="F228" i="9"/>
  <c r="F229" i="9"/>
  <c r="F230" i="9"/>
  <c r="F231" i="9"/>
  <c r="F232" i="9"/>
  <c r="F233" i="9"/>
  <c r="F234" i="9"/>
  <c r="F235" i="9"/>
  <c r="F236" i="9"/>
  <c r="F237" i="9"/>
  <c r="F238" i="9"/>
  <c r="F239" i="9"/>
  <c r="F240" i="9"/>
  <c r="F241" i="9"/>
  <c r="F242" i="9"/>
  <c r="F243" i="9"/>
  <c r="F244" i="9"/>
  <c r="F245" i="9"/>
  <c r="F246" i="9"/>
  <c r="F247" i="9"/>
  <c r="F248" i="9"/>
  <c r="F249" i="9"/>
  <c r="F250" i="9"/>
  <c r="F251" i="9"/>
  <c r="F252" i="9"/>
  <c r="F253" i="9"/>
  <c r="F254" i="9"/>
  <c r="F255" i="9"/>
  <c r="F256" i="9"/>
  <c r="F257" i="9"/>
  <c r="F258" i="9"/>
  <c r="F259" i="9"/>
  <c r="F260" i="9"/>
  <c r="F261" i="9"/>
  <c r="F262" i="9"/>
  <c r="F263" i="9"/>
  <c r="F264" i="9"/>
  <c r="F265" i="9"/>
  <c r="F266" i="9"/>
  <c r="F267" i="9"/>
  <c r="F268" i="9"/>
  <c r="F269" i="9"/>
  <c r="F270" i="9"/>
  <c r="F271" i="9"/>
  <c r="F272" i="9"/>
  <c r="F273" i="9"/>
  <c r="F274" i="9"/>
  <c r="F275" i="9"/>
  <c r="F276" i="9"/>
  <c r="F277" i="9"/>
  <c r="F278" i="9"/>
  <c r="F279" i="9"/>
  <c r="F280" i="9"/>
  <c r="F281" i="9"/>
  <c r="F282" i="9"/>
  <c r="F283" i="9"/>
  <c r="F284" i="9"/>
  <c r="F285" i="9"/>
  <c r="F286" i="9"/>
  <c r="F287" i="9"/>
  <c r="F288" i="9"/>
  <c r="F289" i="9"/>
  <c r="F290" i="9"/>
  <c r="F291" i="9"/>
  <c r="F292" i="9"/>
  <c r="F293" i="9"/>
  <c r="F294" i="9"/>
  <c r="F295" i="9"/>
  <c r="F296" i="9"/>
  <c r="F297" i="9"/>
  <c r="F298" i="9"/>
  <c r="F299" i="9"/>
  <c r="F300" i="9"/>
  <c r="F301" i="9"/>
  <c r="F302" i="9"/>
  <c r="F303" i="9"/>
  <c r="F304" i="9"/>
  <c r="F305" i="9"/>
  <c r="F306" i="9"/>
  <c r="F307" i="9"/>
  <c r="F308" i="9"/>
  <c r="F309" i="9"/>
  <c r="F310" i="9"/>
  <c r="F311" i="9"/>
  <c r="F312" i="9"/>
  <c r="F313" i="9"/>
  <c r="F314" i="9"/>
  <c r="F315" i="9"/>
  <c r="F316" i="9"/>
  <c r="F317" i="9"/>
  <c r="F318" i="9"/>
  <c r="F319" i="9"/>
  <c r="F320" i="9"/>
  <c r="F321" i="9"/>
  <c r="F322" i="9"/>
  <c r="F323" i="9"/>
  <c r="F324" i="9"/>
  <c r="F325" i="9"/>
  <c r="F326" i="9"/>
  <c r="F327" i="9"/>
  <c r="F328" i="9"/>
  <c r="F329" i="9"/>
  <c r="F330" i="9"/>
  <c r="F331" i="9"/>
  <c r="F332" i="9"/>
  <c r="F333" i="9"/>
  <c r="F334" i="9"/>
  <c r="F335" i="9"/>
  <c r="F336" i="9"/>
  <c r="F337" i="9"/>
  <c r="F338" i="9"/>
  <c r="F339" i="9"/>
  <c r="F340" i="9"/>
  <c r="F341" i="9"/>
  <c r="F342" i="9"/>
  <c r="F343" i="9"/>
  <c r="F344" i="9"/>
  <c r="F345" i="9"/>
  <c r="F346" i="9"/>
  <c r="F347" i="9"/>
  <c r="F348" i="9"/>
  <c r="F349" i="9"/>
  <c r="F350" i="9"/>
  <c r="F351" i="9"/>
  <c r="F352" i="9"/>
  <c r="F353" i="9"/>
  <c r="F354" i="9"/>
  <c r="F355" i="9"/>
  <c r="F356" i="9"/>
  <c r="F357" i="9"/>
  <c r="F358" i="9"/>
  <c r="F359" i="9"/>
  <c r="F360" i="9"/>
  <c r="F361" i="9"/>
  <c r="F362" i="9"/>
  <c r="F363" i="9"/>
  <c r="F364" i="9"/>
  <c r="F365" i="9"/>
  <c r="F366" i="9"/>
  <c r="F367" i="9"/>
  <c r="F368" i="9"/>
  <c r="F369" i="9"/>
  <c r="F370" i="9"/>
  <c r="F371" i="9"/>
  <c r="F372" i="9"/>
  <c r="F373" i="9"/>
  <c r="F374" i="9"/>
  <c r="F375" i="9"/>
  <c r="F376" i="9"/>
  <c r="F377" i="9"/>
  <c r="F378" i="9"/>
  <c r="F379" i="9"/>
  <c r="F380" i="9"/>
  <c r="F381" i="9"/>
  <c r="F382" i="9"/>
  <c r="F383" i="9"/>
  <c r="F384" i="9"/>
  <c r="F385" i="9"/>
  <c r="F386" i="9"/>
  <c r="F387" i="9"/>
  <c r="F388" i="9"/>
  <c r="F389" i="9"/>
  <c r="F390" i="9"/>
  <c r="F391" i="9"/>
  <c r="F392" i="9"/>
  <c r="F393" i="9"/>
  <c r="F394" i="9"/>
  <c r="F395" i="9"/>
  <c r="F396" i="9"/>
  <c r="F397" i="9"/>
  <c r="F398" i="9"/>
  <c r="F399" i="9"/>
  <c r="F400" i="9"/>
  <c r="F401" i="9"/>
  <c r="F402" i="9"/>
  <c r="F403" i="9"/>
  <c r="F404" i="9"/>
  <c r="F405" i="9"/>
  <c r="F406" i="9"/>
  <c r="F407" i="9"/>
  <c r="F408" i="9"/>
  <c r="F409" i="9"/>
  <c r="F410" i="9"/>
  <c r="F411" i="9"/>
  <c r="F412" i="9"/>
  <c r="F413" i="9"/>
  <c r="F414" i="9"/>
  <c r="F415" i="9"/>
  <c r="F416" i="9"/>
  <c r="F417" i="9"/>
  <c r="F418" i="9"/>
  <c r="F419" i="9"/>
  <c r="F420" i="9"/>
  <c r="F421" i="9"/>
  <c r="F422" i="9"/>
  <c r="F423" i="9"/>
  <c r="F424" i="9"/>
  <c r="F425" i="9"/>
  <c r="F426" i="9"/>
  <c r="F427" i="9"/>
  <c r="F428" i="9"/>
  <c r="F429" i="9"/>
  <c r="F430" i="9"/>
  <c r="F431" i="9"/>
  <c r="F432" i="9"/>
  <c r="F433" i="9"/>
  <c r="F434" i="9"/>
  <c r="F435" i="9"/>
  <c r="F436" i="9"/>
  <c r="F437" i="9"/>
  <c r="F438" i="9"/>
  <c r="F439" i="9"/>
  <c r="F440" i="9"/>
  <c r="F441" i="9"/>
  <c r="F442" i="9"/>
  <c r="F443" i="9"/>
  <c r="F444" i="9"/>
  <c r="F445" i="9"/>
  <c r="F446" i="9"/>
  <c r="F447" i="9"/>
  <c r="F448" i="9"/>
  <c r="F449" i="9"/>
  <c r="F450" i="9"/>
  <c r="F451" i="9"/>
  <c r="F452" i="9"/>
  <c r="F453" i="9"/>
  <c r="F454" i="9"/>
  <c r="F455" i="9"/>
  <c r="F456" i="9"/>
  <c r="F457" i="9"/>
  <c r="F458" i="9"/>
  <c r="F459" i="9"/>
  <c r="F460" i="9"/>
  <c r="F461" i="9"/>
  <c r="F462" i="9"/>
  <c r="F463" i="9"/>
  <c r="F464" i="9"/>
  <c r="F465" i="9"/>
  <c r="F466" i="9"/>
  <c r="F467" i="9"/>
  <c r="F468" i="9"/>
  <c r="F469" i="9"/>
  <c r="F470" i="9"/>
  <c r="F471" i="9"/>
  <c r="F472" i="9"/>
  <c r="F473" i="9"/>
  <c r="F474" i="9"/>
  <c r="F475" i="9"/>
  <c r="F476" i="9"/>
  <c r="F477" i="9"/>
  <c r="F478" i="9"/>
  <c r="F479" i="9"/>
  <c r="F480" i="9"/>
  <c r="F481" i="9"/>
  <c r="F482" i="9"/>
  <c r="F483" i="9"/>
  <c r="F484" i="9"/>
  <c r="F485" i="9"/>
  <c r="F486" i="9"/>
  <c r="F487" i="9"/>
  <c r="F488" i="9"/>
  <c r="F489" i="9"/>
  <c r="F490" i="9"/>
  <c r="F491" i="9"/>
  <c r="F492" i="9"/>
  <c r="F493" i="9"/>
  <c r="F494" i="9"/>
  <c r="F495" i="9"/>
  <c r="F496" i="9"/>
  <c r="F497" i="9"/>
  <c r="F498" i="9"/>
  <c r="F499" i="9"/>
  <c r="F500" i="9"/>
  <c r="F501" i="9"/>
  <c r="F502" i="9"/>
  <c r="F503" i="9"/>
  <c r="F504" i="9"/>
  <c r="F505" i="9"/>
  <c r="F506" i="9"/>
  <c r="F507" i="9"/>
  <c r="F508" i="9"/>
  <c r="F509" i="9"/>
  <c r="F510" i="9"/>
  <c r="F511" i="9"/>
  <c r="F512" i="9"/>
  <c r="F513" i="9"/>
  <c r="F514" i="9"/>
  <c r="F515" i="9"/>
  <c r="F516" i="9"/>
  <c r="F517" i="9"/>
  <c r="F518" i="9"/>
  <c r="F519" i="9"/>
  <c r="F520" i="9"/>
  <c r="F521" i="9"/>
  <c r="F522" i="9"/>
  <c r="F523" i="9"/>
  <c r="F524" i="9"/>
  <c r="F525" i="9"/>
  <c r="F526" i="9"/>
  <c r="F527" i="9"/>
  <c r="F528" i="9"/>
  <c r="F529" i="9"/>
  <c r="F530" i="9"/>
  <c r="F531" i="9"/>
  <c r="F532" i="9"/>
  <c r="F533" i="9"/>
  <c r="F534" i="9"/>
  <c r="F535" i="9"/>
  <c r="F536" i="9"/>
  <c r="F537" i="9"/>
  <c r="F538" i="9"/>
  <c r="F539" i="9"/>
  <c r="F540" i="9"/>
  <c r="F541" i="9"/>
  <c r="F542" i="9"/>
  <c r="F543" i="9"/>
  <c r="F544" i="9"/>
  <c r="F545" i="9"/>
  <c r="F546" i="9"/>
  <c r="F547" i="9"/>
  <c r="F548" i="9"/>
  <c r="F549" i="9"/>
  <c r="F550" i="9"/>
  <c r="F551" i="9"/>
  <c r="F552" i="9"/>
  <c r="F553" i="9"/>
  <c r="F554" i="9"/>
  <c r="F555" i="9"/>
  <c r="F556" i="9"/>
  <c r="F557" i="9"/>
  <c r="F558" i="9"/>
  <c r="F559" i="9"/>
  <c r="F560" i="9"/>
  <c r="F561" i="9"/>
  <c r="F562" i="9"/>
  <c r="F563" i="9"/>
  <c r="F564" i="9"/>
  <c r="F565" i="9"/>
  <c r="F566" i="9"/>
  <c r="F567" i="9"/>
  <c r="F568" i="9"/>
  <c r="F569" i="9"/>
  <c r="F570" i="9"/>
  <c r="F571" i="9"/>
  <c r="F572" i="9"/>
  <c r="F573" i="9"/>
  <c r="F574" i="9"/>
  <c r="F575" i="9"/>
  <c r="F576" i="9"/>
  <c r="F577" i="9"/>
  <c r="F578" i="9"/>
  <c r="F579" i="9"/>
  <c r="F580" i="9"/>
  <c r="F581" i="9"/>
  <c r="F582" i="9"/>
  <c r="F583" i="9"/>
  <c r="F584" i="9"/>
  <c r="F585" i="9"/>
  <c r="F586" i="9"/>
  <c r="F587" i="9"/>
  <c r="F588" i="9"/>
  <c r="F589" i="9"/>
  <c r="F590" i="9"/>
  <c r="F591" i="9"/>
  <c r="F592" i="9"/>
  <c r="F593" i="9"/>
  <c r="F59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648" i="9"/>
  <c r="F649" i="9"/>
  <c r="F650" i="9"/>
  <c r="F651" i="9"/>
  <c r="F652" i="9"/>
  <c r="F653" i="9"/>
  <c r="F654" i="9"/>
  <c r="F655" i="9"/>
  <c r="F656" i="9"/>
  <c r="F657" i="9"/>
  <c r="F658" i="9"/>
  <c r="F659" i="9"/>
  <c r="F660" i="9"/>
  <c r="F661" i="9"/>
  <c r="F662" i="9"/>
  <c r="F663" i="9"/>
  <c r="F664" i="9"/>
  <c r="F665" i="9"/>
  <c r="F666" i="9"/>
  <c r="F667" i="9"/>
  <c r="F668" i="9"/>
  <c r="F669" i="9"/>
  <c r="F670" i="9"/>
  <c r="F671" i="9"/>
  <c r="F672" i="9"/>
  <c r="F673" i="9"/>
  <c r="F674" i="9"/>
  <c r="F675" i="9"/>
  <c r="F676" i="9"/>
  <c r="F677" i="9"/>
  <c r="F678" i="9"/>
  <c r="F679" i="9"/>
  <c r="F680" i="9"/>
  <c r="F681" i="9"/>
  <c r="F682" i="9"/>
  <c r="F683" i="9"/>
  <c r="F684" i="9"/>
  <c r="F685" i="9"/>
  <c r="F686" i="9"/>
  <c r="F687" i="9"/>
  <c r="F688" i="9"/>
  <c r="F689" i="9"/>
  <c r="F690" i="9"/>
  <c r="F691" i="9"/>
  <c r="F692" i="9"/>
  <c r="F693" i="9"/>
  <c r="F694" i="9"/>
  <c r="F695" i="9"/>
  <c r="F696" i="9"/>
  <c r="F697" i="9"/>
  <c r="F698" i="9"/>
  <c r="F699" i="9"/>
  <c r="F700" i="9"/>
  <c r="F701" i="9"/>
  <c r="F702" i="9"/>
  <c r="F703" i="9"/>
  <c r="F704" i="9"/>
  <c r="F705" i="9"/>
  <c r="F706" i="9"/>
  <c r="F707" i="9"/>
  <c r="F708" i="9"/>
  <c r="F709" i="9"/>
  <c r="F710" i="9"/>
  <c r="F711" i="9"/>
  <c r="F712" i="9"/>
  <c r="F713" i="9"/>
  <c r="F714" i="9"/>
  <c r="F715" i="9"/>
  <c r="F716" i="9"/>
  <c r="F717" i="9"/>
  <c r="F718" i="9"/>
  <c r="F719" i="9"/>
  <c r="F720" i="9"/>
  <c r="F721" i="9"/>
  <c r="F722" i="9"/>
  <c r="F723" i="9"/>
  <c r="F724" i="9"/>
  <c r="F725" i="9"/>
  <c r="F726" i="9"/>
  <c r="F727" i="9"/>
  <c r="F728" i="9"/>
  <c r="F729" i="9"/>
  <c r="F730" i="9"/>
  <c r="F731" i="9"/>
  <c r="F732" i="9"/>
  <c r="F733" i="9"/>
  <c r="F734" i="9"/>
  <c r="F735" i="9"/>
  <c r="F736" i="9"/>
  <c r="F737" i="9"/>
  <c r="F738" i="9"/>
  <c r="F739" i="9"/>
  <c r="F740" i="9"/>
  <c r="F741" i="9"/>
  <c r="F742" i="9"/>
  <c r="F743" i="9"/>
  <c r="F744" i="9"/>
  <c r="F745" i="9"/>
  <c r="F746" i="9"/>
  <c r="F747" i="9"/>
  <c r="F748" i="9"/>
  <c r="F749" i="9"/>
  <c r="F750" i="9"/>
  <c r="F751" i="9"/>
  <c r="F752" i="9"/>
  <c r="F753" i="9"/>
  <c r="F754" i="9"/>
  <c r="F755" i="9"/>
  <c r="F756" i="9"/>
  <c r="F757" i="9"/>
  <c r="F758" i="9"/>
  <c r="F759" i="9"/>
  <c r="F760" i="9"/>
  <c r="F761" i="9"/>
  <c r="F762" i="9"/>
  <c r="F763" i="9"/>
  <c r="F764" i="9"/>
  <c r="F765" i="9"/>
  <c r="F766" i="9"/>
  <c r="F767" i="9"/>
  <c r="F768" i="9"/>
  <c r="F769" i="9"/>
  <c r="F770" i="9"/>
  <c r="F771" i="9"/>
  <c r="F772" i="9"/>
  <c r="F773" i="9"/>
  <c r="F774" i="9"/>
  <c r="F775" i="9"/>
  <c r="F776" i="9"/>
  <c r="F777" i="9"/>
  <c r="F778" i="9"/>
  <c r="F779" i="9"/>
  <c r="F780" i="9"/>
  <c r="F781" i="9"/>
  <c r="F782" i="9"/>
  <c r="F783" i="9"/>
  <c r="F784" i="9"/>
  <c r="F785" i="9"/>
  <c r="F786" i="9"/>
  <c r="F787" i="9"/>
  <c r="F788" i="9"/>
  <c r="F789" i="9"/>
  <c r="F790" i="9"/>
  <c r="F791" i="9"/>
  <c r="F792" i="9"/>
  <c r="F793" i="9"/>
  <c r="F794" i="9"/>
  <c r="F795" i="9"/>
  <c r="F796" i="9"/>
  <c r="F797" i="9"/>
  <c r="F798" i="9"/>
  <c r="F799" i="9"/>
  <c r="F800" i="9"/>
  <c r="F801" i="9"/>
  <c r="F802" i="9"/>
  <c r="F803" i="9"/>
  <c r="F804" i="9"/>
  <c r="F805" i="9"/>
  <c r="F806" i="9"/>
  <c r="F807" i="9"/>
  <c r="F808" i="9"/>
  <c r="F809" i="9"/>
  <c r="F810" i="9"/>
  <c r="F811" i="9"/>
  <c r="F812" i="9"/>
  <c r="F813" i="9"/>
  <c r="F814" i="9"/>
  <c r="F815" i="9"/>
  <c r="F816" i="9"/>
  <c r="F817" i="9"/>
  <c r="F818" i="9"/>
  <c r="F819" i="9"/>
  <c r="F820" i="9"/>
  <c r="F821" i="9"/>
  <c r="F822" i="9"/>
  <c r="F823" i="9"/>
  <c r="F824" i="9"/>
  <c r="F825" i="9"/>
  <c r="F826" i="9"/>
  <c r="F827" i="9"/>
  <c r="F828" i="9"/>
  <c r="F829" i="9"/>
  <c r="F830" i="9"/>
  <c r="F831" i="9"/>
  <c r="F832" i="9"/>
  <c r="F833" i="9"/>
  <c r="F834" i="9"/>
  <c r="F835" i="9"/>
  <c r="F836" i="9"/>
  <c r="F837" i="9"/>
  <c r="F838" i="9"/>
  <c r="F839" i="9"/>
  <c r="F840" i="9"/>
  <c r="F841" i="9"/>
  <c r="F842" i="9"/>
  <c r="F843" i="9"/>
  <c r="F844" i="9"/>
  <c r="F845" i="9"/>
  <c r="F846" i="9"/>
  <c r="F847" i="9"/>
  <c r="F848" i="9"/>
  <c r="F849" i="9"/>
  <c r="F850" i="9"/>
  <c r="F851" i="9"/>
  <c r="F852" i="9"/>
  <c r="F853" i="9"/>
  <c r="F854" i="9"/>
  <c r="F855" i="9"/>
  <c r="F856" i="9"/>
  <c r="F857" i="9"/>
  <c r="F858" i="9"/>
  <c r="F859" i="9"/>
  <c r="F860" i="9"/>
  <c r="F861" i="9"/>
  <c r="F862" i="9"/>
  <c r="F863" i="9"/>
  <c r="F864" i="9"/>
  <c r="F865" i="9"/>
  <c r="F866" i="9"/>
  <c r="F867" i="9"/>
  <c r="F868" i="9"/>
  <c r="F869" i="9"/>
  <c r="F870" i="9"/>
  <c r="F871" i="9"/>
  <c r="F872" i="9"/>
  <c r="F873" i="9"/>
  <c r="F874" i="9"/>
  <c r="F875" i="9"/>
  <c r="F876" i="9"/>
  <c r="F877" i="9"/>
  <c r="F878" i="9"/>
  <c r="F879" i="9"/>
  <c r="F880" i="9"/>
  <c r="F881" i="9"/>
  <c r="F882" i="9"/>
  <c r="F883" i="9"/>
  <c r="F884" i="9"/>
  <c r="F885" i="9"/>
  <c r="F886" i="9"/>
  <c r="F887" i="9"/>
  <c r="F888" i="9"/>
  <c r="F889" i="9"/>
  <c r="F890" i="9"/>
  <c r="F891" i="9"/>
  <c r="F892" i="9"/>
  <c r="F893" i="9"/>
  <c r="F894" i="9"/>
  <c r="F895" i="9"/>
  <c r="F896" i="9"/>
  <c r="F897" i="9"/>
  <c r="F898" i="9"/>
  <c r="F899" i="9"/>
  <c r="F900" i="9"/>
  <c r="F901" i="9"/>
  <c r="F902" i="9"/>
  <c r="F903" i="9"/>
  <c r="F904" i="9"/>
  <c r="F905" i="9"/>
  <c r="F906" i="9"/>
  <c r="F907" i="9"/>
  <c r="F908" i="9"/>
  <c r="F909" i="9"/>
  <c r="F910" i="9"/>
  <c r="F911" i="9"/>
  <c r="F912" i="9"/>
  <c r="F913" i="9"/>
  <c r="F914" i="9"/>
  <c r="F915" i="9"/>
  <c r="F916" i="9"/>
  <c r="F917" i="9"/>
  <c r="F918" i="9"/>
  <c r="F919" i="9"/>
  <c r="F920" i="9"/>
  <c r="F921" i="9"/>
  <c r="F922" i="9"/>
  <c r="F923" i="9"/>
  <c r="F924" i="9"/>
  <c r="F925" i="9"/>
  <c r="F926" i="9"/>
  <c r="F927" i="9"/>
  <c r="F928" i="9"/>
  <c r="F929" i="9"/>
  <c r="F930" i="9"/>
  <c r="F931" i="9"/>
  <c r="F932" i="9"/>
  <c r="F933" i="9"/>
  <c r="F934" i="9"/>
  <c r="F935" i="9"/>
  <c r="F936" i="9"/>
  <c r="F937" i="9"/>
  <c r="F938" i="9"/>
  <c r="F939" i="9"/>
  <c r="F940" i="9"/>
  <c r="F941" i="9"/>
  <c r="F942" i="9"/>
  <c r="F943" i="9"/>
  <c r="F944" i="9"/>
  <c r="F945" i="9"/>
  <c r="F946" i="9"/>
  <c r="F947" i="9"/>
  <c r="F948" i="9"/>
  <c r="F949" i="9"/>
  <c r="F950" i="9"/>
  <c r="F951" i="9"/>
  <c r="F952" i="9"/>
  <c r="F953" i="9"/>
  <c r="F954" i="9"/>
  <c r="F955" i="9"/>
  <c r="F956" i="9"/>
  <c r="F957" i="9"/>
  <c r="F958" i="9"/>
  <c r="F959" i="9"/>
  <c r="F960" i="9"/>
  <c r="F961" i="9"/>
  <c r="F962" i="9"/>
  <c r="F963" i="9"/>
  <c r="F964" i="9"/>
  <c r="F965" i="9"/>
  <c r="F966" i="9"/>
  <c r="F967" i="9"/>
  <c r="F968" i="9"/>
  <c r="F969" i="9"/>
  <c r="F970" i="9"/>
  <c r="F971" i="9"/>
  <c r="F972" i="9"/>
  <c r="F973" i="9"/>
  <c r="F974" i="9"/>
  <c r="F975" i="9"/>
  <c r="F976" i="9"/>
  <c r="F977" i="9"/>
  <c r="F978" i="9"/>
  <c r="F979" i="9"/>
  <c r="F980" i="9"/>
  <c r="F981" i="9"/>
  <c r="F982" i="9"/>
  <c r="F983" i="9"/>
  <c r="F984" i="9"/>
  <c r="F985" i="9"/>
  <c r="F986" i="9"/>
  <c r="F987" i="9"/>
  <c r="F988" i="9"/>
  <c r="F989" i="9"/>
  <c r="F990" i="9"/>
  <c r="F991" i="9"/>
  <c r="F992" i="9"/>
  <c r="F993" i="9"/>
  <c r="F994" i="9"/>
  <c r="F995" i="9"/>
  <c r="F996" i="9"/>
  <c r="F997" i="9"/>
  <c r="F998" i="9"/>
  <c r="F999" i="9"/>
  <c r="F1000" i="9"/>
  <c r="F1001" i="9"/>
  <c r="F1002" i="9"/>
  <c r="F1003" i="9"/>
  <c r="F1004" i="9"/>
  <c r="F1005" i="9"/>
  <c r="F1006" i="9"/>
  <c r="F1007" i="9"/>
  <c r="F1008" i="9"/>
  <c r="F1009" i="9"/>
  <c r="F1010" i="9"/>
  <c r="F1011" i="9"/>
  <c r="F1012" i="9"/>
  <c r="F1013" i="9"/>
  <c r="F1014" i="9"/>
  <c r="F1015" i="9"/>
  <c r="F1016" i="9"/>
  <c r="F1017" i="9"/>
  <c r="F1018" i="9"/>
  <c r="F1019" i="9"/>
  <c r="F1020" i="9"/>
  <c r="F1021" i="9"/>
  <c r="F1022" i="9"/>
  <c r="F1023" i="9"/>
  <c r="F1024" i="9"/>
  <c r="F1025" i="9"/>
  <c r="F1026" i="9"/>
  <c r="F1027" i="9"/>
  <c r="F1028" i="9"/>
  <c r="F1029" i="9"/>
  <c r="F1030" i="9"/>
  <c r="F1031" i="9"/>
  <c r="F1032" i="9"/>
  <c r="F1033" i="9"/>
  <c r="F1034" i="9"/>
  <c r="F1035" i="9"/>
  <c r="F1036" i="9"/>
  <c r="F1037" i="9"/>
  <c r="F1038" i="9"/>
  <c r="F1039" i="9"/>
  <c r="F1040" i="9"/>
  <c r="F1041" i="9"/>
  <c r="F1042" i="9"/>
  <c r="F1043" i="9"/>
  <c r="F1044" i="9"/>
  <c r="F1045" i="9"/>
  <c r="F1046" i="9"/>
  <c r="F1047" i="9"/>
  <c r="F1048" i="9"/>
  <c r="F1049" i="9"/>
  <c r="F1050" i="9"/>
  <c r="F1051" i="9"/>
  <c r="F1052" i="9"/>
  <c r="F1053" i="9"/>
  <c r="F1054" i="9"/>
  <c r="F1055" i="9"/>
  <c r="F1056" i="9"/>
  <c r="F1057" i="9"/>
  <c r="F1058" i="9"/>
  <c r="F1059" i="9"/>
  <c r="F1060" i="9"/>
  <c r="F1061" i="9"/>
  <c r="F1062" i="9"/>
  <c r="F1063" i="9"/>
  <c r="F1064" i="9"/>
  <c r="F1065" i="9"/>
  <c r="F1066" i="9"/>
  <c r="F1067" i="9"/>
  <c r="F1068" i="9"/>
  <c r="F1069" i="9"/>
  <c r="F1070" i="9"/>
  <c r="F1071" i="9"/>
  <c r="F1072" i="9"/>
  <c r="F1073" i="9"/>
  <c r="F1074" i="9"/>
  <c r="F1075" i="9"/>
  <c r="F1076" i="9"/>
  <c r="F1077" i="9"/>
  <c r="F1078" i="9"/>
  <c r="F1079" i="9"/>
  <c r="F1080" i="9"/>
  <c r="F1081" i="9"/>
  <c r="F1082" i="9"/>
  <c r="F1083" i="9"/>
  <c r="F1084" i="9"/>
  <c r="F1085" i="9"/>
  <c r="F1086" i="9"/>
  <c r="F1087" i="9"/>
  <c r="F1088" i="9"/>
  <c r="F1089" i="9"/>
  <c r="F1090" i="9"/>
  <c r="F1091" i="9"/>
  <c r="F1092" i="9"/>
  <c r="F1093" i="9"/>
  <c r="F1094" i="9"/>
  <c r="F1095" i="9"/>
  <c r="F1096" i="9"/>
  <c r="F1097" i="9"/>
  <c r="F1098" i="9"/>
  <c r="F1099" i="9"/>
  <c r="F1100" i="9"/>
  <c r="F1101" i="9"/>
  <c r="F1102" i="9"/>
  <c r="F1103" i="9"/>
  <c r="F1104" i="9"/>
  <c r="F1105" i="9"/>
  <c r="F1106" i="9"/>
  <c r="F1107" i="9"/>
  <c r="F1108" i="9"/>
  <c r="F1109" i="9"/>
  <c r="F1110" i="9"/>
  <c r="F1111" i="9"/>
  <c r="F1112" i="9"/>
  <c r="F1113" i="9"/>
  <c r="F1114" i="9"/>
  <c r="F1115" i="9"/>
  <c r="F1116" i="9"/>
  <c r="F1117" i="9"/>
  <c r="F1118" i="9"/>
  <c r="F1119" i="9"/>
  <c r="F1120" i="9"/>
  <c r="F1121" i="9"/>
  <c r="F1122" i="9"/>
  <c r="F1123" i="9"/>
  <c r="F1124" i="9"/>
  <c r="F1125" i="9"/>
  <c r="F1126" i="9"/>
  <c r="F1127" i="9"/>
  <c r="F1128" i="9"/>
  <c r="F1129" i="9"/>
  <c r="F1130" i="9"/>
  <c r="F1131" i="9"/>
  <c r="F1132" i="9"/>
  <c r="F1133" i="9"/>
  <c r="F1134" i="9"/>
  <c r="F1135" i="9"/>
  <c r="F1136" i="9"/>
  <c r="F1137" i="9"/>
  <c r="F1138" i="9"/>
  <c r="F1139" i="9"/>
  <c r="F1140" i="9"/>
  <c r="F1141" i="9"/>
  <c r="F1142" i="9"/>
  <c r="F1143" i="9"/>
  <c r="F1144" i="9"/>
  <c r="F1145" i="9"/>
  <c r="F1146" i="9"/>
  <c r="F1147" i="9"/>
  <c r="F1148" i="9"/>
  <c r="F1149" i="9"/>
  <c r="F1150" i="9"/>
  <c r="F1151" i="9"/>
  <c r="F1152" i="9"/>
  <c r="F1153" i="9"/>
  <c r="F1154" i="9"/>
  <c r="F1155" i="9"/>
  <c r="F1156" i="9"/>
  <c r="F1157" i="9"/>
  <c r="F1158" i="9"/>
  <c r="F1159" i="9"/>
  <c r="F1160" i="9"/>
  <c r="F1161" i="9"/>
  <c r="F1162" i="9"/>
  <c r="F1163" i="9"/>
  <c r="F1164" i="9"/>
  <c r="F1165" i="9"/>
  <c r="F1166" i="9"/>
  <c r="F1167" i="9"/>
  <c r="F1168" i="9"/>
  <c r="F1169" i="9"/>
  <c r="F1170" i="9"/>
  <c r="F1171" i="9"/>
  <c r="F1172" i="9"/>
  <c r="F1173" i="9"/>
  <c r="F1174" i="9"/>
  <c r="F1175" i="9"/>
  <c r="F1176" i="9"/>
  <c r="F1177" i="9"/>
  <c r="F1178" i="9"/>
  <c r="F1179" i="9"/>
  <c r="F1180" i="9"/>
  <c r="F1181" i="9"/>
  <c r="F1182" i="9"/>
  <c r="F1183" i="9"/>
  <c r="F1184" i="9"/>
  <c r="F1185" i="9"/>
  <c r="F1186" i="9"/>
  <c r="F1187" i="9"/>
  <c r="F1188" i="9"/>
  <c r="F1189" i="9"/>
  <c r="F1190" i="9"/>
  <c r="F1191" i="9"/>
  <c r="F1192" i="9"/>
  <c r="F1193" i="9"/>
  <c r="F1194" i="9"/>
  <c r="F1195" i="9"/>
  <c r="F1196" i="9"/>
  <c r="F1197" i="9"/>
  <c r="F1198" i="9"/>
  <c r="F1199" i="9"/>
  <c r="F1200" i="9"/>
  <c r="F1201" i="9"/>
  <c r="F1202" i="9"/>
  <c r="F1203" i="9"/>
  <c r="F1204" i="9"/>
  <c r="F1205" i="9"/>
  <c r="F1206" i="9"/>
  <c r="F1207" i="9"/>
  <c r="F1208" i="9"/>
  <c r="F1209" i="9"/>
  <c r="F1210" i="9"/>
  <c r="F1211" i="9"/>
  <c r="F1212" i="9"/>
  <c r="F1213" i="9"/>
  <c r="F1214" i="9"/>
  <c r="F1215" i="9"/>
  <c r="F1216" i="9"/>
  <c r="F1217" i="9"/>
  <c r="F1218" i="9"/>
  <c r="F1219" i="9"/>
  <c r="F1220" i="9"/>
  <c r="F1221" i="9"/>
  <c r="F1222" i="9"/>
  <c r="F1223" i="9"/>
  <c r="F1224" i="9"/>
  <c r="F1225" i="9"/>
  <c r="F1226" i="9"/>
  <c r="F1227" i="9"/>
  <c r="F1228" i="9"/>
  <c r="F1229" i="9"/>
  <c r="F1230" i="9"/>
  <c r="F1231" i="9"/>
  <c r="F1232" i="9"/>
  <c r="F1233" i="9"/>
  <c r="F1234" i="9"/>
  <c r="F1235" i="9"/>
  <c r="F1236" i="9"/>
  <c r="F1237" i="9"/>
  <c r="F1238" i="9"/>
  <c r="F1239" i="9"/>
  <c r="F1240" i="9"/>
  <c r="F1241" i="9"/>
  <c r="F1242" i="9"/>
  <c r="F1243" i="9"/>
  <c r="F1244" i="9"/>
  <c r="F1245" i="9"/>
  <c r="F1246" i="9"/>
  <c r="F1247" i="9"/>
  <c r="F1248" i="9"/>
  <c r="F1249" i="9"/>
  <c r="F1250" i="9"/>
  <c r="F1251" i="9"/>
  <c r="F1252" i="9"/>
  <c r="F1253" i="9"/>
  <c r="F1254" i="9"/>
  <c r="F1255" i="9"/>
  <c r="F1256" i="9"/>
  <c r="F1257" i="9"/>
  <c r="F1258" i="9"/>
  <c r="F1259" i="9"/>
  <c r="F1260" i="9"/>
  <c r="F1261" i="9"/>
  <c r="F1262" i="9"/>
  <c r="F1263" i="9"/>
  <c r="F1264" i="9"/>
  <c r="F1265" i="9"/>
  <c r="F1266" i="9"/>
  <c r="F1267" i="9"/>
  <c r="F1268" i="9"/>
  <c r="F1269" i="9"/>
  <c r="F1270" i="9"/>
  <c r="F1271" i="9"/>
  <c r="F1272" i="9"/>
  <c r="F1273" i="9"/>
  <c r="F1274" i="9"/>
  <c r="F1275" i="9"/>
  <c r="F1276" i="9"/>
  <c r="F1277" i="9"/>
  <c r="F1278" i="9"/>
  <c r="F1279" i="9"/>
  <c r="F1280" i="9"/>
  <c r="F1281" i="9"/>
  <c r="F1282" i="9"/>
  <c r="F1283" i="9"/>
  <c r="F1284" i="9"/>
  <c r="F1285" i="9"/>
  <c r="F1286" i="9"/>
  <c r="F1287" i="9"/>
  <c r="F1288" i="9"/>
  <c r="F1289" i="9"/>
  <c r="F1290" i="9"/>
  <c r="F1291" i="9"/>
  <c r="F1292" i="9"/>
  <c r="F1293" i="9"/>
  <c r="F1294" i="9"/>
  <c r="F1295" i="9"/>
  <c r="F1296" i="9"/>
  <c r="F1297" i="9"/>
  <c r="F1298" i="9"/>
  <c r="F1299" i="9"/>
  <c r="F1300" i="9"/>
  <c r="F1301" i="9"/>
  <c r="F1302" i="9"/>
  <c r="F1303" i="9"/>
  <c r="F1304" i="9"/>
  <c r="F1305" i="9"/>
  <c r="F1306" i="9"/>
  <c r="F1307" i="9"/>
  <c r="F1308" i="9"/>
  <c r="F1309" i="9"/>
  <c r="F1310" i="9"/>
  <c r="F1311" i="9"/>
  <c r="F1312" i="9"/>
  <c r="F1313" i="9"/>
  <c r="F1314" i="9"/>
  <c r="F1315" i="9"/>
  <c r="F1316" i="9"/>
  <c r="F1317" i="9"/>
  <c r="F1318" i="9"/>
  <c r="F1319" i="9"/>
  <c r="F1320" i="9"/>
  <c r="F1321" i="9"/>
  <c r="F1322" i="9"/>
  <c r="F1323" i="9"/>
  <c r="F1324" i="9"/>
  <c r="F1325" i="9"/>
  <c r="F1326" i="9"/>
  <c r="F1327" i="9"/>
  <c r="F1328" i="9"/>
  <c r="F1329" i="9"/>
  <c r="F1330" i="9"/>
  <c r="F1331" i="9"/>
  <c r="F1332" i="9"/>
  <c r="F1333" i="9"/>
  <c r="F1334" i="9"/>
  <c r="F1335" i="9"/>
  <c r="F1336" i="9"/>
  <c r="F1337" i="9"/>
  <c r="F1338" i="9"/>
  <c r="F1339" i="9"/>
  <c r="F1340" i="9"/>
  <c r="F1341" i="9"/>
  <c r="F1342" i="9"/>
  <c r="F1343" i="9"/>
  <c r="F1344" i="9"/>
  <c r="F1345" i="9"/>
  <c r="F1346" i="9"/>
  <c r="F1347" i="9"/>
  <c r="F1348" i="9"/>
  <c r="F1349" i="9"/>
  <c r="F1350" i="9"/>
  <c r="F1351" i="9"/>
  <c r="F1352" i="9"/>
  <c r="F1353" i="9"/>
  <c r="F1354" i="9"/>
  <c r="F1355" i="9"/>
  <c r="F1356" i="9"/>
  <c r="F1357" i="9"/>
  <c r="F1358" i="9"/>
  <c r="F1359" i="9"/>
  <c r="F1360" i="9"/>
  <c r="F1361" i="9"/>
  <c r="F1362" i="9"/>
  <c r="F1363" i="9"/>
  <c r="F1364" i="9"/>
  <c r="F1365" i="9"/>
  <c r="F1366" i="9"/>
  <c r="F1367" i="9"/>
  <c r="F1368" i="9"/>
  <c r="F1369" i="9"/>
  <c r="F1370" i="9"/>
  <c r="F1371" i="9"/>
  <c r="F1372" i="9"/>
  <c r="F1373" i="9"/>
  <c r="F1374" i="9"/>
  <c r="F1375" i="9"/>
  <c r="F1376" i="9"/>
  <c r="F1377" i="9"/>
  <c r="F1378" i="9"/>
  <c r="F1379" i="9"/>
  <c r="F1380" i="9"/>
  <c r="F1381" i="9"/>
  <c r="F1382" i="9"/>
  <c r="F1383" i="9"/>
  <c r="F1384" i="9"/>
  <c r="F1385" i="9"/>
  <c r="F1386" i="9"/>
  <c r="F1387" i="9"/>
  <c r="F1388" i="9"/>
  <c r="F1389" i="9"/>
  <c r="F1390" i="9"/>
  <c r="F1391" i="9"/>
  <c r="F1392" i="9"/>
  <c r="F1393" i="9"/>
  <c r="F1394" i="9"/>
  <c r="F1395" i="9"/>
  <c r="F1396" i="9"/>
  <c r="F1397" i="9"/>
  <c r="F1398" i="9"/>
  <c r="F1399" i="9"/>
  <c r="F1400" i="9"/>
  <c r="F1401" i="9"/>
  <c r="F1402" i="9"/>
  <c r="F1403" i="9"/>
  <c r="F1404" i="9"/>
  <c r="F1405" i="9"/>
  <c r="F1406" i="9"/>
  <c r="F1407" i="9"/>
  <c r="F1408" i="9"/>
  <c r="F1409" i="9"/>
  <c r="F1410" i="9"/>
  <c r="F1411" i="9"/>
  <c r="F1412" i="9"/>
  <c r="F1413" i="9"/>
  <c r="F1414" i="9"/>
  <c r="F1415" i="9"/>
  <c r="F1416" i="9"/>
  <c r="F1417" i="9"/>
  <c r="F1418" i="9"/>
  <c r="F1419" i="9"/>
  <c r="F1420" i="9"/>
  <c r="F1421" i="9"/>
  <c r="F1422" i="9"/>
  <c r="F1423" i="9"/>
  <c r="F1424" i="9"/>
  <c r="F1425" i="9"/>
  <c r="F1426" i="9"/>
  <c r="F1427" i="9"/>
  <c r="F1428" i="9"/>
  <c r="F1429" i="9"/>
  <c r="F1430" i="9"/>
  <c r="F1431" i="9"/>
  <c r="F1432" i="9"/>
  <c r="F1433" i="9"/>
  <c r="F1434" i="9"/>
  <c r="F1435" i="9"/>
  <c r="F1436" i="9"/>
  <c r="F1437" i="9"/>
  <c r="F1438" i="9"/>
  <c r="F1439" i="9"/>
  <c r="F1440" i="9"/>
  <c r="F1441" i="9"/>
  <c r="F1442" i="9"/>
  <c r="F1443" i="9"/>
  <c r="F1444" i="9"/>
  <c r="F1445" i="9"/>
  <c r="F1446" i="9"/>
  <c r="F1447" i="9"/>
  <c r="F1448" i="9"/>
  <c r="F1449" i="9"/>
  <c r="F1450" i="9"/>
  <c r="F1451" i="9"/>
  <c r="F1452" i="9"/>
  <c r="F1453" i="9"/>
  <c r="F1454" i="9"/>
  <c r="F1455" i="9"/>
  <c r="F1456" i="9"/>
  <c r="F1457" i="9"/>
  <c r="F1458" i="9"/>
  <c r="F1459" i="9"/>
  <c r="F1460" i="9"/>
  <c r="F1461" i="9"/>
  <c r="F1462" i="9"/>
  <c r="F1463" i="9"/>
  <c r="F1464" i="9"/>
  <c r="F1465" i="9"/>
  <c r="F1466" i="9"/>
  <c r="F1467" i="9"/>
  <c r="F1468" i="9"/>
  <c r="F1469" i="9"/>
  <c r="F1470" i="9"/>
  <c r="F1471" i="9"/>
  <c r="F1472" i="9"/>
  <c r="F1473" i="9"/>
  <c r="F1474" i="9"/>
  <c r="F1475" i="9"/>
  <c r="F1476" i="9"/>
  <c r="F1477" i="9"/>
  <c r="F1478" i="9"/>
  <c r="F1479" i="9"/>
  <c r="F1480" i="9"/>
  <c r="F1481" i="9"/>
  <c r="F1482" i="9"/>
  <c r="F1483" i="9"/>
  <c r="F1484" i="9"/>
  <c r="F1485" i="9"/>
  <c r="F1486" i="9"/>
  <c r="F1487" i="9"/>
  <c r="F1488" i="9"/>
  <c r="F1489" i="9"/>
  <c r="F1490" i="9"/>
  <c r="F1491" i="9"/>
  <c r="F1492" i="9"/>
  <c r="F1493" i="9"/>
  <c r="F1494" i="9"/>
  <c r="F1495" i="9"/>
  <c r="F1496" i="9"/>
  <c r="F1497" i="9"/>
  <c r="F1498" i="9"/>
  <c r="F1499" i="9"/>
  <c r="F1500" i="9"/>
  <c r="F1501" i="9"/>
  <c r="F1502" i="9"/>
  <c r="F1503" i="9"/>
  <c r="F1504" i="9"/>
  <c r="F1505" i="9"/>
  <c r="F1506" i="9"/>
  <c r="F1507" i="9"/>
  <c r="F1508" i="9"/>
  <c r="F1509" i="9"/>
  <c r="F1510" i="9"/>
  <c r="F1511" i="9"/>
  <c r="F1512" i="9"/>
  <c r="F1513" i="9"/>
  <c r="F1514" i="9"/>
  <c r="F1515" i="9"/>
  <c r="F1516" i="9"/>
  <c r="F1517" i="9"/>
  <c r="F1518" i="9"/>
  <c r="F1519" i="9"/>
  <c r="F1520" i="9"/>
  <c r="F1521" i="9"/>
  <c r="F1522" i="9"/>
  <c r="F1523" i="9"/>
  <c r="F1524" i="9"/>
  <c r="F1525" i="9"/>
  <c r="F1526" i="9"/>
  <c r="F1527" i="9"/>
  <c r="F1528" i="9"/>
  <c r="F1529" i="9"/>
  <c r="F1530" i="9"/>
  <c r="F1531" i="9"/>
  <c r="F1532" i="9"/>
  <c r="F1533" i="9"/>
  <c r="F1534" i="9"/>
  <c r="F1535" i="9"/>
  <c r="F1536" i="9"/>
  <c r="F1537" i="9"/>
  <c r="F1538" i="9"/>
  <c r="F1539" i="9"/>
  <c r="F1540" i="9"/>
  <c r="F1541" i="9"/>
  <c r="F1542" i="9"/>
  <c r="F1543" i="9"/>
  <c r="F1544" i="9"/>
  <c r="A10" i="9"/>
  <c r="B10" i="9" s="1"/>
  <c r="A11" i="9"/>
  <c r="B11" i="9" s="1"/>
  <c r="A12" i="9"/>
  <c r="B12" i="9" s="1"/>
  <c r="A13" i="9"/>
  <c r="B13" i="9" s="1"/>
  <c r="A14" i="9"/>
  <c r="B14" i="9" s="1"/>
  <c r="A15" i="9"/>
  <c r="B15" i="9" s="1"/>
  <c r="A16" i="9"/>
  <c r="B16" i="9" s="1"/>
  <c r="A17" i="9"/>
  <c r="B17" i="9" s="1"/>
  <c r="A18" i="9"/>
  <c r="B18" i="9" s="1"/>
  <c r="A19" i="9"/>
  <c r="B19" i="9" s="1"/>
  <c r="A20" i="9"/>
  <c r="B20" i="9" s="1"/>
  <c r="A21" i="9"/>
  <c r="B21" i="9" s="1"/>
  <c r="A22" i="9"/>
  <c r="B22" i="9" s="1"/>
  <c r="A23" i="9"/>
  <c r="B23" i="9" s="1"/>
  <c r="A24" i="9"/>
  <c r="B24" i="9" s="1"/>
  <c r="A25" i="9"/>
  <c r="B25" i="9" s="1"/>
  <c r="A26" i="9"/>
  <c r="B26" i="9" s="1"/>
  <c r="A27" i="9"/>
  <c r="B27" i="9" s="1"/>
  <c r="A28" i="9"/>
  <c r="B28" i="9" s="1"/>
  <c r="A29" i="9"/>
  <c r="B29" i="9" s="1"/>
  <c r="A30" i="9"/>
  <c r="B30" i="9" s="1"/>
  <c r="A31" i="9"/>
  <c r="B31" i="9" s="1"/>
  <c r="A32" i="9"/>
  <c r="B32" i="9" s="1"/>
  <c r="A33" i="9"/>
  <c r="B33" i="9" s="1"/>
  <c r="A34" i="9"/>
  <c r="B34" i="9" s="1"/>
  <c r="A35" i="9"/>
  <c r="B35" i="9" s="1"/>
  <c r="A36" i="9"/>
  <c r="B36" i="9" s="1"/>
  <c r="A37" i="9"/>
  <c r="B37" i="9" s="1"/>
  <c r="A38" i="9"/>
  <c r="B38" i="9" s="1"/>
  <c r="A39" i="9"/>
  <c r="B39" i="9" s="1"/>
  <c r="A40" i="9"/>
  <c r="B40" i="9" s="1"/>
  <c r="A41" i="9"/>
  <c r="B41" i="9" s="1"/>
  <c r="A42" i="9"/>
  <c r="B42" i="9" s="1"/>
  <c r="A43" i="9"/>
  <c r="B43" i="9" s="1"/>
  <c r="A44" i="9"/>
  <c r="B44" i="9" s="1"/>
  <c r="A45" i="9"/>
  <c r="B45" i="9" s="1"/>
  <c r="A46" i="9"/>
  <c r="B46" i="9" s="1"/>
  <c r="A47" i="9"/>
  <c r="B47" i="9" s="1"/>
  <c r="A48" i="9"/>
  <c r="B48" i="9" s="1"/>
  <c r="A49" i="9"/>
  <c r="B49" i="9" s="1"/>
  <c r="A50" i="9"/>
  <c r="B50" i="9" s="1"/>
  <c r="A51" i="9"/>
  <c r="B51" i="9" s="1"/>
  <c r="A52" i="9"/>
  <c r="B52" i="9" s="1"/>
  <c r="A53" i="9"/>
  <c r="B53" i="9" s="1"/>
  <c r="A54" i="9"/>
  <c r="B54" i="9" s="1"/>
  <c r="A55" i="9"/>
  <c r="B55" i="9" s="1"/>
  <c r="A56" i="9"/>
  <c r="B56" i="9" s="1"/>
  <c r="A57" i="9"/>
  <c r="B57" i="9" s="1"/>
  <c r="A58" i="9"/>
  <c r="B58" i="9" s="1"/>
  <c r="A59" i="9"/>
  <c r="B59" i="9" s="1"/>
  <c r="A60" i="9"/>
  <c r="B60" i="9" s="1"/>
  <c r="A61" i="9"/>
  <c r="B61" i="9" s="1"/>
  <c r="A62" i="9"/>
  <c r="B62" i="9" s="1"/>
  <c r="A63" i="9"/>
  <c r="B63" i="9" s="1"/>
  <c r="A64" i="9"/>
  <c r="B64" i="9" s="1"/>
  <c r="A65" i="9"/>
  <c r="B65" i="9" s="1"/>
  <c r="A66" i="9"/>
  <c r="B66" i="9" s="1"/>
  <c r="A67" i="9"/>
  <c r="B67" i="9" s="1"/>
  <c r="A68" i="9"/>
  <c r="B68" i="9" s="1"/>
  <c r="A201" i="9"/>
  <c r="B201" i="9" s="1"/>
  <c r="A202" i="9"/>
  <c r="B202" i="9" s="1"/>
  <c r="A203" i="9"/>
  <c r="B203" i="9" s="1"/>
  <c r="A204" i="9"/>
  <c r="B204" i="9" s="1"/>
  <c r="A205" i="9"/>
  <c r="B205" i="9" s="1"/>
  <c r="A206" i="9"/>
  <c r="B206" i="9" s="1"/>
  <c r="A207" i="9"/>
  <c r="B207" i="9" s="1"/>
  <c r="A208" i="9"/>
  <c r="B208" i="9" s="1"/>
  <c r="A209" i="9"/>
  <c r="B209" i="9" s="1"/>
  <c r="A210" i="9"/>
  <c r="B210" i="9" s="1"/>
  <c r="A211" i="9"/>
  <c r="B211" i="9" s="1"/>
  <c r="A212" i="9"/>
  <c r="B212" i="9" s="1"/>
  <c r="A213" i="9"/>
  <c r="B213" i="9" s="1"/>
  <c r="A214" i="9"/>
  <c r="B214" i="9" s="1"/>
  <c r="A215" i="9"/>
  <c r="B215" i="9" s="1"/>
  <c r="A216" i="9"/>
  <c r="B216" i="9" s="1"/>
  <c r="A217" i="9"/>
  <c r="B217" i="9" s="1"/>
  <c r="A218" i="9"/>
  <c r="B218" i="9" s="1"/>
  <c r="A219" i="9"/>
  <c r="B219" i="9" s="1"/>
  <c r="A220" i="9"/>
  <c r="B220" i="9" s="1"/>
  <c r="A221" i="9"/>
  <c r="B221" i="9" s="1"/>
  <c r="A222" i="9"/>
  <c r="B222" i="9" s="1"/>
  <c r="A223" i="9"/>
  <c r="B223" i="9" s="1"/>
  <c r="A224" i="9"/>
  <c r="B224" i="9" s="1"/>
  <c r="A225" i="9"/>
  <c r="B225" i="9" s="1"/>
  <c r="A226" i="9"/>
  <c r="B226" i="9" s="1"/>
  <c r="A227" i="9"/>
  <c r="B227" i="9" s="1"/>
  <c r="A228" i="9"/>
  <c r="B228" i="9" s="1"/>
  <c r="A229" i="9"/>
  <c r="B229" i="9" s="1"/>
  <c r="A230" i="9"/>
  <c r="B230" i="9" s="1"/>
  <c r="A231" i="9"/>
  <c r="B231" i="9" s="1"/>
  <c r="A232" i="9"/>
  <c r="B232" i="9" s="1"/>
  <c r="A233" i="9"/>
  <c r="B233" i="9" s="1"/>
  <c r="A234" i="9"/>
  <c r="B234" i="9" s="1"/>
  <c r="A235" i="9"/>
  <c r="B235" i="9" s="1"/>
  <c r="A236" i="9"/>
  <c r="B236" i="9" s="1"/>
  <c r="A237" i="9"/>
  <c r="B237" i="9" s="1"/>
  <c r="A238" i="9"/>
  <c r="B238" i="9" s="1"/>
  <c r="A239" i="9"/>
  <c r="B239" i="9" s="1"/>
  <c r="A240" i="9"/>
  <c r="B240" i="9" s="1"/>
  <c r="A241" i="9"/>
  <c r="B241" i="9" s="1"/>
  <c r="A242" i="9"/>
  <c r="B242" i="9" s="1"/>
  <c r="A243" i="9"/>
  <c r="B243" i="9" s="1"/>
  <c r="A244" i="9"/>
  <c r="B244" i="9" s="1"/>
  <c r="A245" i="9"/>
  <c r="B245" i="9" s="1"/>
  <c r="A246" i="9"/>
  <c r="B246" i="9" s="1"/>
  <c r="A247" i="9"/>
  <c r="B247" i="9" s="1"/>
  <c r="A248" i="9"/>
  <c r="B248" i="9" s="1"/>
  <c r="A249" i="9"/>
  <c r="B249" i="9" s="1"/>
  <c r="A250" i="9"/>
  <c r="B250" i="9" s="1"/>
  <c r="A251" i="9"/>
  <c r="B251" i="9" s="1"/>
  <c r="A252" i="9"/>
  <c r="B252" i="9" s="1"/>
  <c r="A253" i="9"/>
  <c r="B253" i="9" s="1"/>
  <c r="A254" i="9"/>
  <c r="B254" i="9" s="1"/>
  <c r="A255" i="9"/>
  <c r="B255" i="9" s="1"/>
  <c r="A256" i="9"/>
  <c r="B256" i="9" s="1"/>
  <c r="A257" i="9"/>
  <c r="B257" i="9" s="1"/>
  <c r="A258" i="9"/>
  <c r="B258" i="9" s="1"/>
  <c r="A259" i="9"/>
  <c r="B259" i="9" s="1"/>
  <c r="A260" i="9"/>
  <c r="B260" i="9" s="1"/>
  <c r="A393" i="9"/>
  <c r="B393" i="9" s="1"/>
  <c r="A394" i="9"/>
  <c r="B394" i="9" s="1"/>
  <c r="A395" i="9"/>
  <c r="B395" i="9" s="1"/>
  <c r="A396" i="9"/>
  <c r="B396" i="9" s="1"/>
  <c r="A397" i="9"/>
  <c r="B397" i="9" s="1"/>
  <c r="A398" i="9"/>
  <c r="B398" i="9" s="1"/>
  <c r="A399" i="9"/>
  <c r="B399" i="9" s="1"/>
  <c r="A400" i="9"/>
  <c r="B400" i="9" s="1"/>
  <c r="A401" i="9"/>
  <c r="B401" i="9" s="1"/>
  <c r="A402" i="9"/>
  <c r="B402" i="9" s="1"/>
  <c r="A403" i="9"/>
  <c r="B403" i="9" s="1"/>
  <c r="A404" i="9"/>
  <c r="B404" i="9" s="1"/>
  <c r="A405" i="9"/>
  <c r="B405" i="9" s="1"/>
  <c r="A406" i="9"/>
  <c r="B406" i="9" s="1"/>
  <c r="A407" i="9"/>
  <c r="B407" i="9" s="1"/>
  <c r="A408" i="9"/>
  <c r="B408" i="9" s="1"/>
  <c r="A409" i="9"/>
  <c r="B409" i="9" s="1"/>
  <c r="A410" i="9"/>
  <c r="B410" i="9" s="1"/>
  <c r="A411" i="9"/>
  <c r="B411" i="9" s="1"/>
  <c r="A412" i="9"/>
  <c r="B412" i="9" s="1"/>
  <c r="A413" i="9"/>
  <c r="B413" i="9" s="1"/>
  <c r="A414" i="9"/>
  <c r="B414" i="9" s="1"/>
  <c r="A415" i="9"/>
  <c r="B415" i="9" s="1"/>
  <c r="A416" i="9"/>
  <c r="B416" i="9" s="1"/>
  <c r="A417" i="9"/>
  <c r="B417" i="9" s="1"/>
  <c r="A418" i="9"/>
  <c r="B418" i="9" s="1"/>
  <c r="A419" i="9"/>
  <c r="B419" i="9" s="1"/>
  <c r="A420" i="9"/>
  <c r="B420" i="9" s="1"/>
  <c r="A421" i="9"/>
  <c r="B421" i="9" s="1"/>
  <c r="A422" i="9"/>
  <c r="B422" i="9" s="1"/>
  <c r="A423" i="9"/>
  <c r="B423" i="9" s="1"/>
  <c r="A424" i="9"/>
  <c r="B424" i="9" s="1"/>
  <c r="A425" i="9"/>
  <c r="B425" i="9" s="1"/>
  <c r="A426" i="9"/>
  <c r="B426" i="9" s="1"/>
  <c r="A427" i="9"/>
  <c r="B427" i="9" s="1"/>
  <c r="A428" i="9"/>
  <c r="B428" i="9" s="1"/>
  <c r="A429" i="9"/>
  <c r="B429" i="9" s="1"/>
  <c r="A430" i="9"/>
  <c r="B430" i="9" s="1"/>
  <c r="A431" i="9"/>
  <c r="B431" i="9" s="1"/>
  <c r="A432" i="9"/>
  <c r="B432" i="9" s="1"/>
  <c r="A433" i="9"/>
  <c r="B433" i="9" s="1"/>
  <c r="A434" i="9"/>
  <c r="B434" i="9" s="1"/>
  <c r="A435" i="9"/>
  <c r="B435" i="9" s="1"/>
  <c r="A436" i="9"/>
  <c r="B436" i="9" s="1"/>
  <c r="A437" i="9"/>
  <c r="B437" i="9" s="1"/>
  <c r="A438" i="9"/>
  <c r="B438" i="9" s="1"/>
  <c r="A439" i="9"/>
  <c r="B439" i="9" s="1"/>
  <c r="A440" i="9"/>
  <c r="B440" i="9" s="1"/>
  <c r="A441" i="9"/>
  <c r="B441" i="9" s="1"/>
  <c r="A442" i="9"/>
  <c r="B442" i="9" s="1"/>
  <c r="A443" i="9"/>
  <c r="B443" i="9" s="1"/>
  <c r="A444" i="9"/>
  <c r="B444" i="9" s="1"/>
  <c r="A445" i="9"/>
  <c r="B445" i="9" s="1"/>
  <c r="A446" i="9"/>
  <c r="B446" i="9" s="1"/>
  <c r="A447" i="9"/>
  <c r="B447" i="9" s="1"/>
  <c r="A448" i="9"/>
  <c r="B448" i="9" s="1"/>
  <c r="A449" i="9"/>
  <c r="B449" i="9" s="1"/>
  <c r="A450" i="9"/>
  <c r="B450" i="9" s="1"/>
  <c r="A451" i="9"/>
  <c r="B451" i="9" s="1"/>
  <c r="A452" i="9"/>
  <c r="B452" i="9" s="1"/>
  <c r="A585" i="9"/>
  <c r="B585" i="9" s="1"/>
  <c r="A586" i="9"/>
  <c r="B586" i="9" s="1"/>
  <c r="A587" i="9"/>
  <c r="B587" i="9" s="1"/>
  <c r="A588" i="9"/>
  <c r="B588" i="9" s="1"/>
  <c r="A589" i="9"/>
  <c r="B589" i="9" s="1"/>
  <c r="A590" i="9"/>
  <c r="B590" i="9" s="1"/>
  <c r="A591" i="9"/>
  <c r="B591" i="9" s="1"/>
  <c r="A592" i="9"/>
  <c r="B592" i="9" s="1"/>
  <c r="A593" i="9"/>
  <c r="B593" i="9" s="1"/>
  <c r="A594" i="9"/>
  <c r="B594" i="9" s="1"/>
  <c r="A595" i="9"/>
  <c r="B595" i="9" s="1"/>
  <c r="A596" i="9"/>
  <c r="B596" i="9" s="1"/>
  <c r="A597" i="9"/>
  <c r="B597" i="9" s="1"/>
  <c r="A598" i="9"/>
  <c r="B598" i="9" s="1"/>
  <c r="A599" i="9"/>
  <c r="B599" i="9" s="1"/>
  <c r="A600" i="9"/>
  <c r="B600" i="9" s="1"/>
  <c r="A601" i="9"/>
  <c r="B601" i="9" s="1"/>
  <c r="A602" i="9"/>
  <c r="B602" i="9" s="1"/>
  <c r="A603" i="9"/>
  <c r="B603" i="9" s="1"/>
  <c r="A604" i="9"/>
  <c r="B604" i="9" s="1"/>
  <c r="A605" i="9"/>
  <c r="B605" i="9" s="1"/>
  <c r="A606" i="9"/>
  <c r="B606" i="9" s="1"/>
  <c r="A607" i="9"/>
  <c r="B607" i="9" s="1"/>
  <c r="A608" i="9"/>
  <c r="B608" i="9" s="1"/>
  <c r="A609" i="9"/>
  <c r="B609" i="9" s="1"/>
  <c r="A610" i="9"/>
  <c r="B610" i="9" s="1"/>
  <c r="A611" i="9"/>
  <c r="B611" i="9" s="1"/>
  <c r="A612" i="9"/>
  <c r="B612" i="9" s="1"/>
  <c r="A613" i="9"/>
  <c r="B613" i="9" s="1"/>
  <c r="A614" i="9"/>
  <c r="B614" i="9" s="1"/>
  <c r="A615" i="9"/>
  <c r="B615" i="9" s="1"/>
  <c r="A616" i="9"/>
  <c r="B616" i="9" s="1"/>
  <c r="A617" i="9"/>
  <c r="B617" i="9" s="1"/>
  <c r="A618" i="9"/>
  <c r="B618" i="9" s="1"/>
  <c r="A619" i="9"/>
  <c r="B619" i="9" s="1"/>
  <c r="A620" i="9"/>
  <c r="B620" i="9" s="1"/>
  <c r="A621" i="9"/>
  <c r="B621" i="9" s="1"/>
  <c r="A622" i="9"/>
  <c r="B622" i="9" s="1"/>
  <c r="A623" i="9"/>
  <c r="B623" i="9" s="1"/>
  <c r="A624" i="9"/>
  <c r="B624" i="9" s="1"/>
  <c r="A625" i="9"/>
  <c r="B625" i="9" s="1"/>
  <c r="A626" i="9"/>
  <c r="B626" i="9" s="1"/>
  <c r="A627" i="9"/>
  <c r="B627" i="9" s="1"/>
  <c r="A628" i="9"/>
  <c r="B628" i="9" s="1"/>
  <c r="A629" i="9"/>
  <c r="B629" i="9" s="1"/>
  <c r="A630" i="9"/>
  <c r="B630" i="9" s="1"/>
  <c r="A631" i="9"/>
  <c r="B631" i="9" s="1"/>
  <c r="A632" i="9"/>
  <c r="B632" i="9" s="1"/>
  <c r="A633" i="9"/>
  <c r="B633" i="9" s="1"/>
  <c r="A634" i="9"/>
  <c r="B634" i="9" s="1"/>
  <c r="A635" i="9"/>
  <c r="B635" i="9" s="1"/>
  <c r="A636" i="9"/>
  <c r="B636" i="9" s="1"/>
  <c r="A637" i="9"/>
  <c r="B637" i="9" s="1"/>
  <c r="A638" i="9"/>
  <c r="B638" i="9" s="1"/>
  <c r="A639" i="9"/>
  <c r="B639" i="9" s="1"/>
  <c r="A640" i="9"/>
  <c r="B640" i="9" s="1"/>
  <c r="A641" i="9"/>
  <c r="B641" i="9" s="1"/>
  <c r="A642" i="9"/>
  <c r="B642" i="9" s="1"/>
  <c r="A643" i="9"/>
  <c r="B643" i="9" s="1"/>
  <c r="A644" i="9"/>
  <c r="B644" i="9" s="1"/>
  <c r="A777" i="9"/>
  <c r="B777" i="9" s="1"/>
  <c r="A778" i="9"/>
  <c r="B778" i="9" s="1"/>
  <c r="A779" i="9"/>
  <c r="B779" i="9" s="1"/>
  <c r="A780" i="9"/>
  <c r="B780" i="9" s="1"/>
  <c r="A781" i="9"/>
  <c r="B781" i="9" s="1"/>
  <c r="A782" i="9"/>
  <c r="B782" i="9" s="1"/>
  <c r="A783" i="9"/>
  <c r="B783" i="9" s="1"/>
  <c r="A784" i="9"/>
  <c r="B784" i="9" s="1"/>
  <c r="A785" i="9"/>
  <c r="B785" i="9" s="1"/>
  <c r="A786" i="9"/>
  <c r="B786" i="9" s="1"/>
  <c r="A787" i="9"/>
  <c r="B787" i="9" s="1"/>
  <c r="A788" i="9"/>
  <c r="B788" i="9" s="1"/>
  <c r="A789" i="9"/>
  <c r="B789" i="9" s="1"/>
  <c r="A790" i="9"/>
  <c r="B790" i="9" s="1"/>
  <c r="A791" i="9"/>
  <c r="B791" i="9" s="1"/>
  <c r="A792" i="9"/>
  <c r="B792" i="9" s="1"/>
  <c r="A793" i="9"/>
  <c r="B793" i="9" s="1"/>
  <c r="A794" i="9"/>
  <c r="B794" i="9" s="1"/>
  <c r="A795" i="9"/>
  <c r="B795" i="9" s="1"/>
  <c r="A796" i="9"/>
  <c r="B796" i="9" s="1"/>
  <c r="A797" i="9"/>
  <c r="B797" i="9" s="1"/>
  <c r="A798" i="9"/>
  <c r="B798" i="9" s="1"/>
  <c r="A799" i="9"/>
  <c r="B799" i="9" s="1"/>
  <c r="A800" i="9"/>
  <c r="B800" i="9" s="1"/>
  <c r="A801" i="9"/>
  <c r="B801" i="9" s="1"/>
  <c r="A802" i="9"/>
  <c r="B802" i="9" s="1"/>
  <c r="A803" i="9"/>
  <c r="B803" i="9" s="1"/>
  <c r="A804" i="9"/>
  <c r="B804" i="9" s="1"/>
  <c r="A805" i="9"/>
  <c r="B805" i="9" s="1"/>
  <c r="A806" i="9"/>
  <c r="B806" i="9" s="1"/>
  <c r="A807" i="9"/>
  <c r="B807" i="9" s="1"/>
  <c r="A808" i="9"/>
  <c r="B808" i="9" s="1"/>
  <c r="A809" i="9"/>
  <c r="B809" i="9" s="1"/>
  <c r="A810" i="9"/>
  <c r="B810" i="9" s="1"/>
  <c r="A811" i="9"/>
  <c r="B811" i="9" s="1"/>
  <c r="A812" i="9"/>
  <c r="B812" i="9" s="1"/>
  <c r="A813" i="9"/>
  <c r="B813" i="9" s="1"/>
  <c r="A814" i="9"/>
  <c r="B814" i="9" s="1"/>
  <c r="A815" i="9"/>
  <c r="B815" i="9" s="1"/>
  <c r="A816" i="9"/>
  <c r="B816" i="9" s="1"/>
  <c r="A817" i="9"/>
  <c r="B817" i="9" s="1"/>
  <c r="A818" i="9"/>
  <c r="B818" i="9" s="1"/>
  <c r="A819" i="9"/>
  <c r="B819" i="9" s="1"/>
  <c r="A820" i="9"/>
  <c r="B820" i="9" s="1"/>
  <c r="A821" i="9"/>
  <c r="B821" i="9" s="1"/>
  <c r="A822" i="9"/>
  <c r="B822" i="9" s="1"/>
  <c r="A823" i="9"/>
  <c r="B823" i="9" s="1"/>
  <c r="A824" i="9"/>
  <c r="B824" i="9" s="1"/>
  <c r="A825" i="9"/>
  <c r="B825" i="9" s="1"/>
  <c r="A826" i="9"/>
  <c r="B826" i="9" s="1"/>
  <c r="A827" i="9"/>
  <c r="B827" i="9" s="1"/>
  <c r="A828" i="9"/>
  <c r="B828" i="9" s="1"/>
  <c r="A829" i="9"/>
  <c r="B829" i="9" s="1"/>
  <c r="A830" i="9"/>
  <c r="B830" i="9" s="1"/>
  <c r="A831" i="9"/>
  <c r="B831" i="9" s="1"/>
  <c r="A832" i="9"/>
  <c r="B832" i="9" s="1"/>
  <c r="A833" i="9"/>
  <c r="B833" i="9" s="1"/>
  <c r="A834" i="9"/>
  <c r="B834" i="9" s="1"/>
  <c r="A835" i="9"/>
  <c r="B835" i="9" s="1"/>
  <c r="A836" i="9"/>
  <c r="B836" i="9" s="1"/>
  <c r="A969" i="9"/>
  <c r="B969" i="9" s="1"/>
  <c r="A970" i="9"/>
  <c r="B970" i="9" s="1"/>
  <c r="A971" i="9"/>
  <c r="B971" i="9" s="1"/>
  <c r="A972" i="9"/>
  <c r="B972" i="9" s="1"/>
  <c r="A973" i="9"/>
  <c r="B973" i="9" s="1"/>
  <c r="A974" i="9"/>
  <c r="B974" i="9" s="1"/>
  <c r="A975" i="9"/>
  <c r="B975" i="9" s="1"/>
  <c r="A976" i="9"/>
  <c r="B976" i="9" s="1"/>
  <c r="A977" i="9"/>
  <c r="B977" i="9" s="1"/>
  <c r="A978" i="9"/>
  <c r="B978" i="9" s="1"/>
  <c r="A979" i="9"/>
  <c r="B979" i="9" s="1"/>
  <c r="A980" i="9"/>
  <c r="B980" i="9" s="1"/>
  <c r="A981" i="9"/>
  <c r="B981" i="9" s="1"/>
  <c r="A982" i="9"/>
  <c r="B982" i="9" s="1"/>
  <c r="A983" i="9"/>
  <c r="B983" i="9" s="1"/>
  <c r="A984" i="9"/>
  <c r="B984" i="9" s="1"/>
  <c r="A985" i="9"/>
  <c r="B985" i="9" s="1"/>
  <c r="A986" i="9"/>
  <c r="B986" i="9" s="1"/>
  <c r="A987" i="9"/>
  <c r="B987" i="9" s="1"/>
  <c r="A988" i="9"/>
  <c r="B988" i="9" s="1"/>
  <c r="A989" i="9"/>
  <c r="B989" i="9" s="1"/>
  <c r="A990" i="9"/>
  <c r="B990" i="9" s="1"/>
  <c r="A991" i="9"/>
  <c r="B991" i="9" s="1"/>
  <c r="A992" i="9"/>
  <c r="B992" i="9" s="1"/>
  <c r="A993" i="9"/>
  <c r="B993" i="9" s="1"/>
  <c r="A994" i="9"/>
  <c r="B994" i="9" s="1"/>
  <c r="A995" i="9"/>
  <c r="B995" i="9" s="1"/>
  <c r="A996" i="9"/>
  <c r="B996" i="9" s="1"/>
  <c r="A997" i="9"/>
  <c r="B997" i="9" s="1"/>
  <c r="A998" i="9"/>
  <c r="B998" i="9" s="1"/>
  <c r="A999" i="9"/>
  <c r="B999" i="9" s="1"/>
  <c r="A1000" i="9"/>
  <c r="B1000" i="9" s="1"/>
  <c r="A1001" i="9"/>
  <c r="B1001" i="9" s="1"/>
  <c r="A1002" i="9"/>
  <c r="B1002" i="9" s="1"/>
  <c r="A1003" i="9"/>
  <c r="B1003" i="9" s="1"/>
  <c r="A1004" i="9"/>
  <c r="B1004" i="9" s="1"/>
  <c r="A1005" i="9"/>
  <c r="B1005" i="9" s="1"/>
  <c r="A1006" i="9"/>
  <c r="B1006" i="9" s="1"/>
  <c r="A1007" i="9"/>
  <c r="B1007" i="9" s="1"/>
  <c r="A1008" i="9"/>
  <c r="B1008" i="9" s="1"/>
  <c r="A1009" i="9"/>
  <c r="B1009" i="9" s="1"/>
  <c r="A1010" i="9"/>
  <c r="B1010" i="9" s="1"/>
  <c r="A1011" i="9"/>
  <c r="B1011" i="9" s="1"/>
  <c r="A1012" i="9"/>
  <c r="B1012" i="9" s="1"/>
  <c r="A1013" i="9"/>
  <c r="B1013" i="9" s="1"/>
  <c r="A1014" i="9"/>
  <c r="B1014" i="9" s="1"/>
  <c r="A1015" i="9"/>
  <c r="B1015" i="9" s="1"/>
  <c r="A1016" i="9"/>
  <c r="B1016" i="9" s="1"/>
  <c r="A1017" i="9"/>
  <c r="B1017" i="9" s="1"/>
  <c r="A1018" i="9"/>
  <c r="B1018" i="9" s="1"/>
  <c r="A1019" i="9"/>
  <c r="B1019" i="9" s="1"/>
  <c r="A1020" i="9"/>
  <c r="B1020" i="9" s="1"/>
  <c r="A1021" i="9"/>
  <c r="B1021" i="9" s="1"/>
  <c r="A1022" i="9"/>
  <c r="B1022" i="9" s="1"/>
  <c r="A1023" i="9"/>
  <c r="B1023" i="9" s="1"/>
  <c r="A1024" i="9"/>
  <c r="B1024" i="9" s="1"/>
  <c r="A1025" i="9"/>
  <c r="B1025" i="9" s="1"/>
  <c r="A1026" i="9"/>
  <c r="B1026" i="9" s="1"/>
  <c r="A1027" i="9"/>
  <c r="B1027" i="9" s="1"/>
  <c r="A1028" i="9"/>
  <c r="B1028" i="9" s="1"/>
  <c r="A1161" i="9"/>
  <c r="B1161" i="9" s="1"/>
  <c r="A1162" i="9"/>
  <c r="B1162" i="9" s="1"/>
  <c r="A1163" i="9"/>
  <c r="B1163" i="9" s="1"/>
  <c r="A1164" i="9"/>
  <c r="B1164" i="9" s="1"/>
  <c r="A1165" i="9"/>
  <c r="B1165" i="9" s="1"/>
  <c r="A1166" i="9"/>
  <c r="B1166" i="9" s="1"/>
  <c r="A1167" i="9"/>
  <c r="B1167" i="9" s="1"/>
  <c r="A1168" i="9"/>
  <c r="B1168" i="9" s="1"/>
  <c r="A1169" i="9"/>
  <c r="B1169" i="9" s="1"/>
  <c r="A1170" i="9"/>
  <c r="B1170" i="9" s="1"/>
  <c r="A1171" i="9"/>
  <c r="B1171" i="9" s="1"/>
  <c r="A1172" i="9"/>
  <c r="B1172" i="9" s="1"/>
  <c r="A1173" i="9"/>
  <c r="B1173" i="9" s="1"/>
  <c r="A1174" i="9"/>
  <c r="B1174" i="9" s="1"/>
  <c r="A1175" i="9"/>
  <c r="B1175" i="9" s="1"/>
  <c r="A1176" i="9"/>
  <c r="B1176" i="9" s="1"/>
  <c r="A1177" i="9"/>
  <c r="B1177" i="9" s="1"/>
  <c r="A1178" i="9"/>
  <c r="B1178" i="9" s="1"/>
  <c r="A1179" i="9"/>
  <c r="B1179" i="9" s="1"/>
  <c r="A1180" i="9"/>
  <c r="B1180" i="9" s="1"/>
  <c r="A1181" i="9"/>
  <c r="B1181" i="9" s="1"/>
  <c r="A1182" i="9"/>
  <c r="B1182" i="9" s="1"/>
  <c r="A1183" i="9"/>
  <c r="B1183" i="9" s="1"/>
  <c r="A1184" i="9"/>
  <c r="B1184" i="9" s="1"/>
  <c r="A1185" i="9"/>
  <c r="B1185" i="9" s="1"/>
  <c r="A1186" i="9"/>
  <c r="B1186" i="9" s="1"/>
  <c r="A1187" i="9"/>
  <c r="B1187" i="9" s="1"/>
  <c r="A1188" i="9"/>
  <c r="B1188" i="9" s="1"/>
  <c r="A1189" i="9"/>
  <c r="B1189" i="9" s="1"/>
  <c r="A1190" i="9"/>
  <c r="B1190" i="9" s="1"/>
  <c r="A1191" i="9"/>
  <c r="B1191" i="9" s="1"/>
  <c r="A1192" i="9"/>
  <c r="B1192" i="9" s="1"/>
  <c r="A1193" i="9"/>
  <c r="B1193" i="9" s="1"/>
  <c r="A1194" i="9"/>
  <c r="B1194" i="9" s="1"/>
  <c r="A1195" i="9"/>
  <c r="B1195" i="9" s="1"/>
  <c r="A1196" i="9"/>
  <c r="B1196" i="9" s="1"/>
  <c r="A1197" i="9"/>
  <c r="B1197" i="9" s="1"/>
  <c r="A1198" i="9"/>
  <c r="B1198" i="9" s="1"/>
  <c r="A1199" i="9"/>
  <c r="B1199" i="9" s="1"/>
  <c r="A1200" i="9"/>
  <c r="B1200" i="9" s="1"/>
  <c r="A1201" i="9"/>
  <c r="B1201" i="9" s="1"/>
  <c r="A1202" i="9"/>
  <c r="B1202" i="9" s="1"/>
  <c r="A1203" i="9"/>
  <c r="B1203" i="9" s="1"/>
  <c r="A1204" i="9"/>
  <c r="B1204" i="9" s="1"/>
  <c r="A1205" i="9"/>
  <c r="B1205" i="9" s="1"/>
  <c r="A1206" i="9"/>
  <c r="B1206" i="9" s="1"/>
  <c r="A1207" i="9"/>
  <c r="B1207" i="9" s="1"/>
  <c r="A1208" i="9"/>
  <c r="B1208" i="9" s="1"/>
  <c r="A1209" i="9"/>
  <c r="B1209" i="9" s="1"/>
  <c r="A1210" i="9"/>
  <c r="B1210" i="9" s="1"/>
  <c r="A1211" i="9"/>
  <c r="B1211" i="9" s="1"/>
  <c r="A1212" i="9"/>
  <c r="B1212" i="9" s="1"/>
  <c r="A1213" i="9"/>
  <c r="B1213" i="9" s="1"/>
  <c r="A1214" i="9"/>
  <c r="B1214" i="9" s="1"/>
  <c r="A1215" i="9"/>
  <c r="B1215" i="9" s="1"/>
  <c r="A1216" i="9"/>
  <c r="B1216" i="9" s="1"/>
  <c r="A1217" i="9"/>
  <c r="B1217" i="9" s="1"/>
  <c r="A1218" i="9"/>
  <c r="B1218" i="9" s="1"/>
  <c r="A1219" i="9"/>
  <c r="B1219" i="9" s="1"/>
  <c r="A1220" i="9"/>
  <c r="B1220" i="9" s="1"/>
  <c r="A1353" i="9"/>
  <c r="B1353" i="9" s="1"/>
  <c r="A1354" i="9"/>
  <c r="B1354" i="9" s="1"/>
  <c r="A1355" i="9"/>
  <c r="B1355" i="9" s="1"/>
  <c r="A1356" i="9"/>
  <c r="B1356" i="9" s="1"/>
  <c r="A1357" i="9"/>
  <c r="B1357" i="9" s="1"/>
  <c r="A1358" i="9"/>
  <c r="B1358" i="9" s="1"/>
  <c r="A1359" i="9"/>
  <c r="B1359" i="9" s="1"/>
  <c r="A1360" i="9"/>
  <c r="B1360" i="9" s="1"/>
  <c r="A1361" i="9"/>
  <c r="B1361" i="9" s="1"/>
  <c r="A1362" i="9"/>
  <c r="B1362" i="9" s="1"/>
  <c r="A1363" i="9"/>
  <c r="B1363" i="9" s="1"/>
  <c r="A1364" i="9"/>
  <c r="B1364" i="9" s="1"/>
  <c r="A1365" i="9"/>
  <c r="B1365" i="9" s="1"/>
  <c r="A1366" i="9"/>
  <c r="B1366" i="9" s="1"/>
  <c r="A1367" i="9"/>
  <c r="B1367" i="9" s="1"/>
  <c r="A1368" i="9"/>
  <c r="B1368" i="9" s="1"/>
  <c r="A1369" i="9"/>
  <c r="B1369" i="9" s="1"/>
  <c r="A1370" i="9"/>
  <c r="B1370" i="9" s="1"/>
  <c r="A1371" i="9"/>
  <c r="B1371" i="9" s="1"/>
  <c r="A1372" i="9"/>
  <c r="B1372" i="9" s="1"/>
  <c r="A1373" i="9"/>
  <c r="B1373" i="9" s="1"/>
  <c r="A1374" i="9"/>
  <c r="B1374" i="9" s="1"/>
  <c r="A1375" i="9"/>
  <c r="B1375" i="9" s="1"/>
  <c r="A1376" i="9"/>
  <c r="B1376" i="9" s="1"/>
  <c r="A1377" i="9"/>
  <c r="B1377" i="9" s="1"/>
  <c r="A1378" i="9"/>
  <c r="B1378" i="9" s="1"/>
  <c r="A1379" i="9"/>
  <c r="B1379" i="9" s="1"/>
  <c r="A1380" i="9"/>
  <c r="B1380" i="9" s="1"/>
  <c r="A1381" i="9"/>
  <c r="B1381" i="9" s="1"/>
  <c r="A1382" i="9"/>
  <c r="B1382" i="9" s="1"/>
  <c r="A1383" i="9"/>
  <c r="B1383" i="9" s="1"/>
  <c r="A1384" i="9"/>
  <c r="B1384" i="9" s="1"/>
  <c r="A1385" i="9"/>
  <c r="B1385" i="9" s="1"/>
  <c r="A1386" i="9"/>
  <c r="B1386" i="9" s="1"/>
  <c r="A1387" i="9"/>
  <c r="B1387" i="9" s="1"/>
  <c r="A1388" i="9"/>
  <c r="B1388" i="9" s="1"/>
  <c r="A1389" i="9"/>
  <c r="B1389" i="9" s="1"/>
  <c r="A1390" i="9"/>
  <c r="B1390" i="9" s="1"/>
  <c r="A1391" i="9"/>
  <c r="B1391" i="9" s="1"/>
  <c r="A1392" i="9"/>
  <c r="B1392" i="9" s="1"/>
  <c r="A1393" i="9"/>
  <c r="B1393" i="9" s="1"/>
  <c r="A1394" i="9"/>
  <c r="B1394" i="9" s="1"/>
  <c r="A1395" i="9"/>
  <c r="B1395" i="9" s="1"/>
  <c r="A1396" i="9"/>
  <c r="B1396" i="9" s="1"/>
  <c r="A1397" i="9"/>
  <c r="B1397" i="9" s="1"/>
  <c r="A1398" i="9"/>
  <c r="B1398" i="9" s="1"/>
  <c r="A1399" i="9"/>
  <c r="B1399" i="9" s="1"/>
  <c r="A1400" i="9"/>
  <c r="B1400" i="9" s="1"/>
  <c r="A1401" i="9"/>
  <c r="B1401" i="9" s="1"/>
  <c r="A1402" i="9"/>
  <c r="B1402" i="9" s="1"/>
  <c r="A1403" i="9"/>
  <c r="B1403" i="9" s="1"/>
  <c r="A1404" i="9"/>
  <c r="B1404" i="9" s="1"/>
  <c r="A1405" i="9"/>
  <c r="B1405" i="9" s="1"/>
  <c r="A1406" i="9"/>
  <c r="B1406" i="9" s="1"/>
  <c r="A1407" i="9"/>
  <c r="B1407" i="9" s="1"/>
  <c r="A1408" i="9"/>
  <c r="B1408" i="9" s="1"/>
  <c r="A1409" i="9"/>
  <c r="B1409" i="9" s="1"/>
  <c r="A1410" i="9"/>
  <c r="B1410" i="9" s="1"/>
  <c r="A1411" i="9"/>
  <c r="B1411" i="9" s="1"/>
  <c r="A1412" i="9"/>
  <c r="B1412" i="9" s="1"/>
  <c r="C1436" i="9"/>
  <c r="C1448" i="9" s="1"/>
  <c r="C1460" i="9" s="1"/>
  <c r="C1472" i="9" s="1"/>
  <c r="C1484" i="9" s="1"/>
  <c r="C1496" i="9" s="1"/>
  <c r="C1508" i="9" s="1"/>
  <c r="C1520" i="9" s="1"/>
  <c r="C1532" i="9" s="1"/>
  <c r="C1544" i="9" s="1"/>
  <c r="C1435" i="9"/>
  <c r="C1447" i="9" s="1"/>
  <c r="C1459" i="9" s="1"/>
  <c r="C1471" i="9" s="1"/>
  <c r="C1483" i="9" s="1"/>
  <c r="C1495" i="9" s="1"/>
  <c r="C1507" i="9" s="1"/>
  <c r="C1519" i="9" s="1"/>
  <c r="C1531" i="9" s="1"/>
  <c r="C1543" i="9" s="1"/>
  <c r="C1434" i="9"/>
  <c r="C1446" i="9" s="1"/>
  <c r="C1458" i="9" s="1"/>
  <c r="C1470" i="9" s="1"/>
  <c r="C1482" i="9" s="1"/>
  <c r="C1494" i="9" s="1"/>
  <c r="C1506" i="9" s="1"/>
  <c r="C1518" i="9" s="1"/>
  <c r="C1530" i="9" s="1"/>
  <c r="C1542" i="9" s="1"/>
  <c r="C1433" i="9"/>
  <c r="C1445" i="9" s="1"/>
  <c r="C1457" i="9" s="1"/>
  <c r="C1469" i="9" s="1"/>
  <c r="C1481" i="9" s="1"/>
  <c r="C1493" i="9" s="1"/>
  <c r="C1505" i="9" s="1"/>
  <c r="C1517" i="9" s="1"/>
  <c r="C1529" i="9" s="1"/>
  <c r="C1541" i="9" s="1"/>
  <c r="C1432" i="9"/>
  <c r="C1444" i="9" s="1"/>
  <c r="C1456" i="9" s="1"/>
  <c r="C1468" i="9" s="1"/>
  <c r="C1480" i="9" s="1"/>
  <c r="C1492" i="9" s="1"/>
  <c r="C1504" i="9" s="1"/>
  <c r="C1516" i="9" s="1"/>
  <c r="C1528" i="9" s="1"/>
  <c r="C1540" i="9" s="1"/>
  <c r="C1431" i="9"/>
  <c r="C1443" i="9" s="1"/>
  <c r="C1455" i="9" s="1"/>
  <c r="C1467" i="9" s="1"/>
  <c r="C1479" i="9" s="1"/>
  <c r="C1491" i="9" s="1"/>
  <c r="C1503" i="9" s="1"/>
  <c r="C1515" i="9" s="1"/>
  <c r="C1527" i="9" s="1"/>
  <c r="C1539" i="9" s="1"/>
  <c r="C1430" i="9"/>
  <c r="C1442" i="9" s="1"/>
  <c r="C1454" i="9" s="1"/>
  <c r="C1466" i="9" s="1"/>
  <c r="C1478" i="9" s="1"/>
  <c r="C1490" i="9" s="1"/>
  <c r="C1502" i="9" s="1"/>
  <c r="C1514" i="9" s="1"/>
  <c r="C1526" i="9" s="1"/>
  <c r="C1538" i="9" s="1"/>
  <c r="C1429" i="9"/>
  <c r="C1441" i="9" s="1"/>
  <c r="C1453" i="9" s="1"/>
  <c r="C1465" i="9" s="1"/>
  <c r="C1477" i="9" s="1"/>
  <c r="C1489" i="9" s="1"/>
  <c r="C1501" i="9" s="1"/>
  <c r="C1513" i="9" s="1"/>
  <c r="C1525" i="9" s="1"/>
  <c r="C1537" i="9" s="1"/>
  <c r="C1428" i="9"/>
  <c r="C1440" i="9" s="1"/>
  <c r="C1452" i="9" s="1"/>
  <c r="C1464" i="9" s="1"/>
  <c r="C1476" i="9" s="1"/>
  <c r="C1488" i="9" s="1"/>
  <c r="C1500" i="9" s="1"/>
  <c r="C1512" i="9" s="1"/>
  <c r="C1524" i="9" s="1"/>
  <c r="C1536" i="9" s="1"/>
  <c r="C1427" i="9"/>
  <c r="C1439" i="9" s="1"/>
  <c r="C1451" i="9" s="1"/>
  <c r="C1463" i="9" s="1"/>
  <c r="C1475" i="9" s="1"/>
  <c r="C1487" i="9" s="1"/>
  <c r="C1499" i="9" s="1"/>
  <c r="C1511" i="9" s="1"/>
  <c r="C1523" i="9" s="1"/>
  <c r="C1535" i="9" s="1"/>
  <c r="C1426" i="9"/>
  <c r="C1438" i="9" s="1"/>
  <c r="C1450" i="9" s="1"/>
  <c r="C1462" i="9" s="1"/>
  <c r="C1474" i="9" s="1"/>
  <c r="C1486" i="9" s="1"/>
  <c r="C1498" i="9" s="1"/>
  <c r="C1510" i="9" s="1"/>
  <c r="C1522" i="9" s="1"/>
  <c r="C1534" i="9" s="1"/>
  <c r="C1425" i="9"/>
  <c r="C1437" i="9" s="1"/>
  <c r="C1449" i="9" s="1"/>
  <c r="C1461" i="9" s="1"/>
  <c r="C1473" i="9" s="1"/>
  <c r="C1485" i="9" s="1"/>
  <c r="C1497" i="9" s="1"/>
  <c r="C1509" i="9" s="1"/>
  <c r="C1521" i="9" s="1"/>
  <c r="C1533" i="9" s="1"/>
  <c r="D1424" i="9"/>
  <c r="D1423" i="9"/>
  <c r="D1435" i="9" s="1"/>
  <c r="D1447" i="9" s="1"/>
  <c r="D1459" i="9" s="1"/>
  <c r="D1471" i="9" s="1"/>
  <c r="D1483" i="9" s="1"/>
  <c r="D1495" i="9" s="1"/>
  <c r="D1507" i="9" s="1"/>
  <c r="D1519" i="9" s="1"/>
  <c r="D1531" i="9" s="1"/>
  <c r="D1543" i="9" s="1"/>
  <c r="A1543" i="9" s="1"/>
  <c r="B1543" i="9" s="1"/>
  <c r="D1422" i="9"/>
  <c r="D1421" i="9"/>
  <c r="D1433" i="9" s="1"/>
  <c r="D1445" i="9" s="1"/>
  <c r="D1457" i="9" s="1"/>
  <c r="D1469" i="9" s="1"/>
  <c r="D1481" i="9" s="1"/>
  <c r="D1493" i="9" s="1"/>
  <c r="D1505" i="9" s="1"/>
  <c r="D1517" i="9" s="1"/>
  <c r="D1529" i="9" s="1"/>
  <c r="D1541" i="9" s="1"/>
  <c r="A1541" i="9" s="1"/>
  <c r="B1541" i="9" s="1"/>
  <c r="D1420" i="9"/>
  <c r="D1419" i="9"/>
  <c r="D1431" i="9" s="1"/>
  <c r="D1443" i="9" s="1"/>
  <c r="D1455" i="9" s="1"/>
  <c r="D1467" i="9" s="1"/>
  <c r="D1479" i="9" s="1"/>
  <c r="D1491" i="9" s="1"/>
  <c r="D1503" i="9" s="1"/>
  <c r="D1515" i="9" s="1"/>
  <c r="D1527" i="9" s="1"/>
  <c r="D1539" i="9" s="1"/>
  <c r="A1539" i="9" s="1"/>
  <c r="B1539" i="9" s="1"/>
  <c r="D1418" i="9"/>
  <c r="D1417" i="9"/>
  <c r="D1429" i="9" s="1"/>
  <c r="D1441" i="9" s="1"/>
  <c r="D1453" i="9" s="1"/>
  <c r="D1465" i="9" s="1"/>
  <c r="D1477" i="9" s="1"/>
  <c r="D1489" i="9" s="1"/>
  <c r="D1501" i="9" s="1"/>
  <c r="D1513" i="9" s="1"/>
  <c r="D1525" i="9" s="1"/>
  <c r="D1537" i="9" s="1"/>
  <c r="A1537" i="9" s="1"/>
  <c r="B1537" i="9" s="1"/>
  <c r="D1416" i="9"/>
  <c r="D1415" i="9"/>
  <c r="D1427" i="9" s="1"/>
  <c r="D1439" i="9" s="1"/>
  <c r="D1451" i="9" s="1"/>
  <c r="D1463" i="9" s="1"/>
  <c r="D1475" i="9" s="1"/>
  <c r="D1487" i="9" s="1"/>
  <c r="D1499" i="9" s="1"/>
  <c r="D1511" i="9" s="1"/>
  <c r="D1523" i="9" s="1"/>
  <c r="D1535" i="9" s="1"/>
  <c r="A1535" i="9" s="1"/>
  <c r="B1535" i="9" s="1"/>
  <c r="D1414" i="9"/>
  <c r="D1413" i="9"/>
  <c r="D1425" i="9" s="1"/>
  <c r="D1437" i="9" s="1"/>
  <c r="D1449" i="9" s="1"/>
  <c r="D1461" i="9" s="1"/>
  <c r="D1473" i="9" s="1"/>
  <c r="D1485" i="9" s="1"/>
  <c r="D1497" i="9" s="1"/>
  <c r="D1509" i="9" s="1"/>
  <c r="D1521" i="9" s="1"/>
  <c r="D1533" i="9" s="1"/>
  <c r="A1533" i="9" s="1"/>
  <c r="B1533" i="9" s="1"/>
  <c r="C1244" i="9"/>
  <c r="C1256" i="9" s="1"/>
  <c r="C1268" i="9" s="1"/>
  <c r="C1280" i="9" s="1"/>
  <c r="C1292" i="9" s="1"/>
  <c r="C1304" i="9" s="1"/>
  <c r="C1316" i="9" s="1"/>
  <c r="C1328" i="9" s="1"/>
  <c r="C1340" i="9" s="1"/>
  <c r="C1352" i="9" s="1"/>
  <c r="C1243" i="9"/>
  <c r="C1255" i="9" s="1"/>
  <c r="C1267" i="9" s="1"/>
  <c r="C1279" i="9" s="1"/>
  <c r="C1291" i="9" s="1"/>
  <c r="C1303" i="9" s="1"/>
  <c r="C1315" i="9" s="1"/>
  <c r="C1327" i="9" s="1"/>
  <c r="C1339" i="9" s="1"/>
  <c r="C1351" i="9" s="1"/>
  <c r="C1242" i="9"/>
  <c r="C1254" i="9" s="1"/>
  <c r="C1266" i="9" s="1"/>
  <c r="C1278" i="9" s="1"/>
  <c r="C1290" i="9" s="1"/>
  <c r="C1302" i="9" s="1"/>
  <c r="C1314" i="9" s="1"/>
  <c r="C1326" i="9" s="1"/>
  <c r="C1338" i="9" s="1"/>
  <c r="C1350" i="9" s="1"/>
  <c r="C1241" i="9"/>
  <c r="C1253" i="9" s="1"/>
  <c r="C1265" i="9" s="1"/>
  <c r="C1277" i="9" s="1"/>
  <c r="C1289" i="9" s="1"/>
  <c r="C1301" i="9" s="1"/>
  <c r="C1313" i="9" s="1"/>
  <c r="C1325" i="9" s="1"/>
  <c r="C1337" i="9" s="1"/>
  <c r="C1349" i="9" s="1"/>
  <c r="C1240" i="9"/>
  <c r="C1252" i="9" s="1"/>
  <c r="C1264" i="9" s="1"/>
  <c r="C1276" i="9" s="1"/>
  <c r="C1288" i="9" s="1"/>
  <c r="C1300" i="9" s="1"/>
  <c r="C1312" i="9" s="1"/>
  <c r="C1324" i="9" s="1"/>
  <c r="C1336" i="9" s="1"/>
  <c r="C1348" i="9" s="1"/>
  <c r="C1239" i="9"/>
  <c r="C1251" i="9" s="1"/>
  <c r="C1263" i="9" s="1"/>
  <c r="C1275" i="9" s="1"/>
  <c r="C1287" i="9" s="1"/>
  <c r="C1299" i="9" s="1"/>
  <c r="C1311" i="9" s="1"/>
  <c r="C1323" i="9" s="1"/>
  <c r="C1335" i="9" s="1"/>
  <c r="C1347" i="9" s="1"/>
  <c r="C1238" i="9"/>
  <c r="C1250" i="9" s="1"/>
  <c r="C1262" i="9" s="1"/>
  <c r="C1274" i="9" s="1"/>
  <c r="C1286" i="9" s="1"/>
  <c r="C1298" i="9" s="1"/>
  <c r="C1310" i="9" s="1"/>
  <c r="C1322" i="9" s="1"/>
  <c r="C1334" i="9" s="1"/>
  <c r="C1346" i="9" s="1"/>
  <c r="C1237" i="9"/>
  <c r="C1249" i="9" s="1"/>
  <c r="C1261" i="9" s="1"/>
  <c r="C1273" i="9" s="1"/>
  <c r="C1285" i="9" s="1"/>
  <c r="C1297" i="9" s="1"/>
  <c r="C1309" i="9" s="1"/>
  <c r="C1321" i="9" s="1"/>
  <c r="C1333" i="9" s="1"/>
  <c r="C1345" i="9" s="1"/>
  <c r="C1236" i="9"/>
  <c r="C1248" i="9" s="1"/>
  <c r="C1260" i="9" s="1"/>
  <c r="C1272" i="9" s="1"/>
  <c r="C1284" i="9" s="1"/>
  <c r="C1296" i="9" s="1"/>
  <c r="C1308" i="9" s="1"/>
  <c r="C1320" i="9" s="1"/>
  <c r="C1332" i="9" s="1"/>
  <c r="C1344" i="9" s="1"/>
  <c r="C1235" i="9"/>
  <c r="C1247" i="9" s="1"/>
  <c r="C1259" i="9" s="1"/>
  <c r="C1271" i="9" s="1"/>
  <c r="C1283" i="9" s="1"/>
  <c r="C1295" i="9" s="1"/>
  <c r="C1307" i="9" s="1"/>
  <c r="C1319" i="9" s="1"/>
  <c r="C1331" i="9" s="1"/>
  <c r="C1343" i="9" s="1"/>
  <c r="C1234" i="9"/>
  <c r="C1246" i="9" s="1"/>
  <c r="C1258" i="9" s="1"/>
  <c r="C1270" i="9" s="1"/>
  <c r="C1282" i="9" s="1"/>
  <c r="C1294" i="9" s="1"/>
  <c r="C1306" i="9" s="1"/>
  <c r="C1318" i="9" s="1"/>
  <c r="C1330" i="9" s="1"/>
  <c r="C1342" i="9" s="1"/>
  <c r="C1233" i="9"/>
  <c r="C1245" i="9" s="1"/>
  <c r="C1257" i="9" s="1"/>
  <c r="C1269" i="9" s="1"/>
  <c r="C1281" i="9" s="1"/>
  <c r="C1293" i="9" s="1"/>
  <c r="C1305" i="9" s="1"/>
  <c r="C1317" i="9" s="1"/>
  <c r="C1329" i="9" s="1"/>
  <c r="C1341" i="9" s="1"/>
  <c r="D1232" i="9"/>
  <c r="D1231" i="9"/>
  <c r="D1230" i="9"/>
  <c r="D1229" i="9"/>
  <c r="D1228" i="9"/>
  <c r="D1227" i="9"/>
  <c r="D1226" i="9"/>
  <c r="D1225" i="9"/>
  <c r="D1224" i="9"/>
  <c r="D1223" i="9"/>
  <c r="D1222" i="9"/>
  <c r="D1221" i="9"/>
  <c r="C1052" i="9"/>
  <c r="C1064" i="9" s="1"/>
  <c r="C1076" i="9" s="1"/>
  <c r="C1088" i="9" s="1"/>
  <c r="C1100" i="9" s="1"/>
  <c r="C1112" i="9" s="1"/>
  <c r="C1124" i="9" s="1"/>
  <c r="C1136" i="9" s="1"/>
  <c r="C1148" i="9" s="1"/>
  <c r="C1160" i="9" s="1"/>
  <c r="C1051" i="9"/>
  <c r="C1063" i="9" s="1"/>
  <c r="C1075" i="9" s="1"/>
  <c r="C1087" i="9" s="1"/>
  <c r="C1099" i="9" s="1"/>
  <c r="C1111" i="9" s="1"/>
  <c r="C1123" i="9" s="1"/>
  <c r="C1135" i="9" s="1"/>
  <c r="C1147" i="9" s="1"/>
  <c r="C1159" i="9" s="1"/>
  <c r="C1050" i="9"/>
  <c r="C1062" i="9" s="1"/>
  <c r="C1074" i="9" s="1"/>
  <c r="C1086" i="9" s="1"/>
  <c r="C1098" i="9" s="1"/>
  <c r="C1110" i="9" s="1"/>
  <c r="C1122" i="9" s="1"/>
  <c r="C1134" i="9" s="1"/>
  <c r="C1146" i="9" s="1"/>
  <c r="C1158" i="9" s="1"/>
  <c r="C1049" i="9"/>
  <c r="C1061" i="9" s="1"/>
  <c r="C1073" i="9" s="1"/>
  <c r="C1085" i="9" s="1"/>
  <c r="C1097" i="9" s="1"/>
  <c r="C1109" i="9" s="1"/>
  <c r="C1121" i="9" s="1"/>
  <c r="C1133" i="9" s="1"/>
  <c r="C1145" i="9" s="1"/>
  <c r="C1157" i="9" s="1"/>
  <c r="C1048" i="9"/>
  <c r="C1060" i="9" s="1"/>
  <c r="C1072" i="9" s="1"/>
  <c r="C1084" i="9" s="1"/>
  <c r="C1096" i="9" s="1"/>
  <c r="C1108" i="9" s="1"/>
  <c r="C1120" i="9" s="1"/>
  <c r="C1132" i="9" s="1"/>
  <c r="C1144" i="9" s="1"/>
  <c r="C1156" i="9" s="1"/>
  <c r="C1047" i="9"/>
  <c r="C1059" i="9" s="1"/>
  <c r="C1071" i="9" s="1"/>
  <c r="C1083" i="9" s="1"/>
  <c r="C1095" i="9" s="1"/>
  <c r="C1107" i="9" s="1"/>
  <c r="C1119" i="9" s="1"/>
  <c r="C1131" i="9" s="1"/>
  <c r="C1143" i="9" s="1"/>
  <c r="C1155" i="9" s="1"/>
  <c r="C1046" i="9"/>
  <c r="C1058" i="9" s="1"/>
  <c r="C1070" i="9" s="1"/>
  <c r="C1082" i="9" s="1"/>
  <c r="C1094" i="9" s="1"/>
  <c r="C1106" i="9" s="1"/>
  <c r="C1118" i="9" s="1"/>
  <c r="C1130" i="9" s="1"/>
  <c r="C1142" i="9" s="1"/>
  <c r="C1154" i="9" s="1"/>
  <c r="C1045" i="9"/>
  <c r="C1057" i="9" s="1"/>
  <c r="C1069" i="9" s="1"/>
  <c r="C1081" i="9" s="1"/>
  <c r="C1093" i="9" s="1"/>
  <c r="C1105" i="9" s="1"/>
  <c r="C1117" i="9" s="1"/>
  <c r="C1129" i="9" s="1"/>
  <c r="C1141" i="9" s="1"/>
  <c r="C1153" i="9" s="1"/>
  <c r="C1044" i="9"/>
  <c r="C1056" i="9" s="1"/>
  <c r="C1068" i="9" s="1"/>
  <c r="C1080" i="9" s="1"/>
  <c r="C1092" i="9" s="1"/>
  <c r="C1104" i="9" s="1"/>
  <c r="C1116" i="9" s="1"/>
  <c r="C1128" i="9" s="1"/>
  <c r="C1140" i="9" s="1"/>
  <c r="C1152" i="9" s="1"/>
  <c r="C1043" i="9"/>
  <c r="C1055" i="9" s="1"/>
  <c r="C1067" i="9" s="1"/>
  <c r="C1079" i="9" s="1"/>
  <c r="C1091" i="9" s="1"/>
  <c r="C1103" i="9" s="1"/>
  <c r="C1115" i="9" s="1"/>
  <c r="C1127" i="9" s="1"/>
  <c r="C1139" i="9" s="1"/>
  <c r="C1151" i="9" s="1"/>
  <c r="C1042" i="9"/>
  <c r="C1054" i="9" s="1"/>
  <c r="C1066" i="9" s="1"/>
  <c r="C1078" i="9" s="1"/>
  <c r="C1090" i="9" s="1"/>
  <c r="C1102" i="9" s="1"/>
  <c r="C1114" i="9" s="1"/>
  <c r="C1126" i="9" s="1"/>
  <c r="C1138" i="9" s="1"/>
  <c r="C1150" i="9" s="1"/>
  <c r="C1041" i="9"/>
  <c r="C1053" i="9" s="1"/>
  <c r="C1065" i="9" s="1"/>
  <c r="C1077" i="9" s="1"/>
  <c r="C1089" i="9" s="1"/>
  <c r="C1101" i="9" s="1"/>
  <c r="C1113" i="9" s="1"/>
  <c r="C1125" i="9" s="1"/>
  <c r="C1137" i="9" s="1"/>
  <c r="C1149" i="9" s="1"/>
  <c r="D1040" i="9"/>
  <c r="D1039" i="9"/>
  <c r="D1038" i="9"/>
  <c r="D1037" i="9"/>
  <c r="D1036" i="9"/>
  <c r="D1035" i="9"/>
  <c r="D1034" i="9"/>
  <c r="D1033" i="9"/>
  <c r="D1032" i="9"/>
  <c r="D1031" i="9"/>
  <c r="D1030" i="9"/>
  <c r="D1029" i="9"/>
  <c r="C860" i="9"/>
  <c r="C872" i="9" s="1"/>
  <c r="C884" i="9" s="1"/>
  <c r="C896" i="9" s="1"/>
  <c r="C908" i="9" s="1"/>
  <c r="C920" i="9" s="1"/>
  <c r="C932" i="9" s="1"/>
  <c r="C944" i="9" s="1"/>
  <c r="C956" i="9" s="1"/>
  <c r="C968" i="9" s="1"/>
  <c r="C859" i="9"/>
  <c r="C871" i="9" s="1"/>
  <c r="C883" i="9" s="1"/>
  <c r="C895" i="9" s="1"/>
  <c r="C907" i="9" s="1"/>
  <c r="C919" i="9" s="1"/>
  <c r="C931" i="9" s="1"/>
  <c r="C943" i="9" s="1"/>
  <c r="C955" i="9" s="1"/>
  <c r="C967" i="9" s="1"/>
  <c r="C858" i="9"/>
  <c r="C870" i="9" s="1"/>
  <c r="C882" i="9" s="1"/>
  <c r="C894" i="9" s="1"/>
  <c r="C906" i="9" s="1"/>
  <c r="C918" i="9" s="1"/>
  <c r="C930" i="9" s="1"/>
  <c r="C942" i="9" s="1"/>
  <c r="C954" i="9" s="1"/>
  <c r="C966" i="9" s="1"/>
  <c r="C857" i="9"/>
  <c r="C869" i="9" s="1"/>
  <c r="C881" i="9" s="1"/>
  <c r="C893" i="9" s="1"/>
  <c r="C905" i="9" s="1"/>
  <c r="C917" i="9" s="1"/>
  <c r="C929" i="9" s="1"/>
  <c r="C941" i="9" s="1"/>
  <c r="C953" i="9" s="1"/>
  <c r="C965" i="9" s="1"/>
  <c r="C856" i="9"/>
  <c r="C868" i="9" s="1"/>
  <c r="C880" i="9" s="1"/>
  <c r="C892" i="9" s="1"/>
  <c r="C904" i="9" s="1"/>
  <c r="C916" i="9" s="1"/>
  <c r="C928" i="9" s="1"/>
  <c r="C940" i="9" s="1"/>
  <c r="C952" i="9" s="1"/>
  <c r="C964" i="9" s="1"/>
  <c r="C855" i="9"/>
  <c r="C867" i="9" s="1"/>
  <c r="C879" i="9" s="1"/>
  <c r="C891" i="9" s="1"/>
  <c r="C903" i="9" s="1"/>
  <c r="C915" i="9" s="1"/>
  <c r="C927" i="9" s="1"/>
  <c r="C939" i="9" s="1"/>
  <c r="C951" i="9" s="1"/>
  <c r="C963" i="9" s="1"/>
  <c r="C854" i="9"/>
  <c r="C866" i="9" s="1"/>
  <c r="C878" i="9" s="1"/>
  <c r="C890" i="9" s="1"/>
  <c r="C902" i="9" s="1"/>
  <c r="C914" i="9" s="1"/>
  <c r="C926" i="9" s="1"/>
  <c r="C938" i="9" s="1"/>
  <c r="C950" i="9" s="1"/>
  <c r="C962" i="9" s="1"/>
  <c r="C853" i="9"/>
  <c r="C865" i="9" s="1"/>
  <c r="C877" i="9" s="1"/>
  <c r="C889" i="9" s="1"/>
  <c r="C901" i="9" s="1"/>
  <c r="C913" i="9" s="1"/>
  <c r="C925" i="9" s="1"/>
  <c r="C937" i="9" s="1"/>
  <c r="C949" i="9" s="1"/>
  <c r="C961" i="9" s="1"/>
  <c r="C852" i="9"/>
  <c r="C864" i="9" s="1"/>
  <c r="C876" i="9" s="1"/>
  <c r="C888" i="9" s="1"/>
  <c r="C900" i="9" s="1"/>
  <c r="C912" i="9" s="1"/>
  <c r="C924" i="9" s="1"/>
  <c r="C936" i="9" s="1"/>
  <c r="C948" i="9" s="1"/>
  <c r="C960" i="9" s="1"/>
  <c r="C851" i="9"/>
  <c r="C863" i="9" s="1"/>
  <c r="C875" i="9" s="1"/>
  <c r="C887" i="9" s="1"/>
  <c r="C899" i="9" s="1"/>
  <c r="C911" i="9" s="1"/>
  <c r="C923" i="9" s="1"/>
  <c r="C935" i="9" s="1"/>
  <c r="C947" i="9" s="1"/>
  <c r="C959" i="9" s="1"/>
  <c r="C850" i="9"/>
  <c r="C862" i="9" s="1"/>
  <c r="C874" i="9" s="1"/>
  <c r="C886" i="9" s="1"/>
  <c r="C898" i="9" s="1"/>
  <c r="C910" i="9" s="1"/>
  <c r="C922" i="9" s="1"/>
  <c r="C934" i="9" s="1"/>
  <c r="C946" i="9" s="1"/>
  <c r="C958" i="9" s="1"/>
  <c r="C849" i="9"/>
  <c r="C861" i="9" s="1"/>
  <c r="C873" i="9" s="1"/>
  <c r="C885" i="9" s="1"/>
  <c r="C897" i="9" s="1"/>
  <c r="C909" i="9" s="1"/>
  <c r="C921" i="9" s="1"/>
  <c r="C933" i="9" s="1"/>
  <c r="C945" i="9" s="1"/>
  <c r="C957" i="9" s="1"/>
  <c r="D848" i="9"/>
  <c r="D847" i="9"/>
  <c r="D846" i="9"/>
  <c r="D845" i="9"/>
  <c r="D844" i="9"/>
  <c r="D843" i="9"/>
  <c r="D842" i="9"/>
  <c r="D841" i="9"/>
  <c r="D840" i="9"/>
  <c r="D839" i="9"/>
  <c r="D838" i="9"/>
  <c r="D837" i="9"/>
  <c r="C668" i="9"/>
  <c r="C680" i="9" s="1"/>
  <c r="C692" i="9" s="1"/>
  <c r="C704" i="9" s="1"/>
  <c r="C716" i="9" s="1"/>
  <c r="C728" i="9" s="1"/>
  <c r="C740" i="9" s="1"/>
  <c r="C752" i="9" s="1"/>
  <c r="C764" i="9" s="1"/>
  <c r="C776" i="9" s="1"/>
  <c r="C667" i="9"/>
  <c r="C679" i="9" s="1"/>
  <c r="C691" i="9" s="1"/>
  <c r="C703" i="9" s="1"/>
  <c r="C715" i="9" s="1"/>
  <c r="C727" i="9" s="1"/>
  <c r="C739" i="9" s="1"/>
  <c r="C751" i="9" s="1"/>
  <c r="C763" i="9" s="1"/>
  <c r="C775" i="9" s="1"/>
  <c r="C666" i="9"/>
  <c r="C678" i="9" s="1"/>
  <c r="C690" i="9" s="1"/>
  <c r="C702" i="9" s="1"/>
  <c r="C714" i="9" s="1"/>
  <c r="C726" i="9" s="1"/>
  <c r="C738" i="9" s="1"/>
  <c r="C750" i="9" s="1"/>
  <c r="C762" i="9" s="1"/>
  <c r="C774" i="9" s="1"/>
  <c r="C665" i="9"/>
  <c r="C677" i="9" s="1"/>
  <c r="C689" i="9" s="1"/>
  <c r="C701" i="9" s="1"/>
  <c r="C713" i="9" s="1"/>
  <c r="C725" i="9" s="1"/>
  <c r="C737" i="9" s="1"/>
  <c r="C749" i="9" s="1"/>
  <c r="C761" i="9" s="1"/>
  <c r="C773" i="9" s="1"/>
  <c r="C664" i="9"/>
  <c r="C676" i="9" s="1"/>
  <c r="C688" i="9" s="1"/>
  <c r="C700" i="9" s="1"/>
  <c r="C712" i="9" s="1"/>
  <c r="C724" i="9" s="1"/>
  <c r="C736" i="9" s="1"/>
  <c r="C748" i="9" s="1"/>
  <c r="C760" i="9" s="1"/>
  <c r="C772" i="9" s="1"/>
  <c r="C663" i="9"/>
  <c r="C675" i="9" s="1"/>
  <c r="C687" i="9" s="1"/>
  <c r="C699" i="9" s="1"/>
  <c r="C711" i="9" s="1"/>
  <c r="C723" i="9" s="1"/>
  <c r="C735" i="9" s="1"/>
  <c r="C747" i="9" s="1"/>
  <c r="C759" i="9" s="1"/>
  <c r="C771" i="9" s="1"/>
  <c r="C662" i="9"/>
  <c r="C674" i="9" s="1"/>
  <c r="C686" i="9" s="1"/>
  <c r="C698" i="9" s="1"/>
  <c r="C710" i="9" s="1"/>
  <c r="C722" i="9" s="1"/>
  <c r="C734" i="9" s="1"/>
  <c r="C746" i="9" s="1"/>
  <c r="C758" i="9" s="1"/>
  <c r="C770" i="9" s="1"/>
  <c r="C661" i="9"/>
  <c r="C673" i="9" s="1"/>
  <c r="C685" i="9" s="1"/>
  <c r="C697" i="9" s="1"/>
  <c r="C709" i="9" s="1"/>
  <c r="C721" i="9" s="1"/>
  <c r="C733" i="9" s="1"/>
  <c r="C745" i="9" s="1"/>
  <c r="C757" i="9" s="1"/>
  <c r="C769" i="9" s="1"/>
  <c r="C660" i="9"/>
  <c r="C672" i="9" s="1"/>
  <c r="C684" i="9" s="1"/>
  <c r="C696" i="9" s="1"/>
  <c r="C708" i="9" s="1"/>
  <c r="C720" i="9" s="1"/>
  <c r="C732" i="9" s="1"/>
  <c r="C744" i="9" s="1"/>
  <c r="C756" i="9" s="1"/>
  <c r="C768" i="9" s="1"/>
  <c r="C659" i="9"/>
  <c r="C671" i="9" s="1"/>
  <c r="C683" i="9" s="1"/>
  <c r="C695" i="9" s="1"/>
  <c r="C707" i="9" s="1"/>
  <c r="C719" i="9" s="1"/>
  <c r="C731" i="9" s="1"/>
  <c r="C743" i="9" s="1"/>
  <c r="C755" i="9" s="1"/>
  <c r="C767" i="9" s="1"/>
  <c r="C658" i="9"/>
  <c r="C670" i="9" s="1"/>
  <c r="C682" i="9" s="1"/>
  <c r="C694" i="9" s="1"/>
  <c r="C706" i="9" s="1"/>
  <c r="C718" i="9" s="1"/>
  <c r="C730" i="9" s="1"/>
  <c r="C742" i="9" s="1"/>
  <c r="C754" i="9" s="1"/>
  <c r="C766" i="9" s="1"/>
  <c r="C657" i="9"/>
  <c r="C669" i="9" s="1"/>
  <c r="C681" i="9" s="1"/>
  <c r="C693" i="9" s="1"/>
  <c r="C705" i="9" s="1"/>
  <c r="C717" i="9" s="1"/>
  <c r="C729" i="9" s="1"/>
  <c r="C741" i="9" s="1"/>
  <c r="C753" i="9" s="1"/>
  <c r="C765" i="9" s="1"/>
  <c r="D656" i="9"/>
  <c r="D655" i="9"/>
  <c r="D654" i="9"/>
  <c r="D653" i="9"/>
  <c r="D652" i="9"/>
  <c r="D651" i="9"/>
  <c r="D650" i="9"/>
  <c r="D649" i="9"/>
  <c r="D648" i="9"/>
  <c r="D647" i="9"/>
  <c r="D646" i="9"/>
  <c r="D645" i="9"/>
  <c r="C476" i="9"/>
  <c r="C488" i="9" s="1"/>
  <c r="C500" i="9" s="1"/>
  <c r="C512" i="9" s="1"/>
  <c r="C524" i="9" s="1"/>
  <c r="C536" i="9" s="1"/>
  <c r="C548" i="9" s="1"/>
  <c r="C560" i="9" s="1"/>
  <c r="C572" i="9" s="1"/>
  <c r="C584" i="9" s="1"/>
  <c r="C475" i="9"/>
  <c r="C487" i="9" s="1"/>
  <c r="C499" i="9" s="1"/>
  <c r="C511" i="9" s="1"/>
  <c r="C523" i="9" s="1"/>
  <c r="C535" i="9" s="1"/>
  <c r="C547" i="9" s="1"/>
  <c r="C559" i="9" s="1"/>
  <c r="C571" i="9" s="1"/>
  <c r="C583" i="9" s="1"/>
  <c r="C474" i="9"/>
  <c r="C486" i="9" s="1"/>
  <c r="C498" i="9" s="1"/>
  <c r="C510" i="9" s="1"/>
  <c r="C522" i="9" s="1"/>
  <c r="C534" i="9" s="1"/>
  <c r="C546" i="9" s="1"/>
  <c r="C558" i="9" s="1"/>
  <c r="C570" i="9" s="1"/>
  <c r="C582" i="9" s="1"/>
  <c r="C473" i="9"/>
  <c r="C485" i="9" s="1"/>
  <c r="C497" i="9" s="1"/>
  <c r="C509" i="9" s="1"/>
  <c r="C521" i="9" s="1"/>
  <c r="C533" i="9" s="1"/>
  <c r="C545" i="9" s="1"/>
  <c r="C557" i="9" s="1"/>
  <c r="C569" i="9" s="1"/>
  <c r="C581" i="9" s="1"/>
  <c r="C472" i="9"/>
  <c r="C484" i="9" s="1"/>
  <c r="C496" i="9" s="1"/>
  <c r="C508" i="9" s="1"/>
  <c r="C520" i="9" s="1"/>
  <c r="C532" i="9" s="1"/>
  <c r="C544" i="9" s="1"/>
  <c r="C556" i="9" s="1"/>
  <c r="C568" i="9" s="1"/>
  <c r="C580" i="9" s="1"/>
  <c r="C471" i="9"/>
  <c r="C483" i="9" s="1"/>
  <c r="C495" i="9" s="1"/>
  <c r="C507" i="9" s="1"/>
  <c r="C519" i="9" s="1"/>
  <c r="C531" i="9" s="1"/>
  <c r="C543" i="9" s="1"/>
  <c r="C555" i="9" s="1"/>
  <c r="C567" i="9" s="1"/>
  <c r="C579" i="9" s="1"/>
  <c r="C470" i="9"/>
  <c r="C482" i="9" s="1"/>
  <c r="C494" i="9" s="1"/>
  <c r="C506" i="9" s="1"/>
  <c r="C518" i="9" s="1"/>
  <c r="C530" i="9" s="1"/>
  <c r="C542" i="9" s="1"/>
  <c r="C554" i="9" s="1"/>
  <c r="C566" i="9" s="1"/>
  <c r="C578" i="9" s="1"/>
  <c r="C469" i="9"/>
  <c r="C481" i="9" s="1"/>
  <c r="C493" i="9" s="1"/>
  <c r="C505" i="9" s="1"/>
  <c r="C517" i="9" s="1"/>
  <c r="C529" i="9" s="1"/>
  <c r="C541" i="9" s="1"/>
  <c r="C553" i="9" s="1"/>
  <c r="C565" i="9" s="1"/>
  <c r="C577" i="9" s="1"/>
  <c r="C468" i="9"/>
  <c r="C480" i="9" s="1"/>
  <c r="C492" i="9" s="1"/>
  <c r="C504" i="9" s="1"/>
  <c r="C516" i="9" s="1"/>
  <c r="C528" i="9" s="1"/>
  <c r="C540" i="9" s="1"/>
  <c r="C552" i="9" s="1"/>
  <c r="C564" i="9" s="1"/>
  <c r="C576" i="9" s="1"/>
  <c r="C467" i="9"/>
  <c r="C479" i="9" s="1"/>
  <c r="C491" i="9" s="1"/>
  <c r="C503" i="9" s="1"/>
  <c r="C515" i="9" s="1"/>
  <c r="C527" i="9" s="1"/>
  <c r="C539" i="9" s="1"/>
  <c r="C551" i="9" s="1"/>
  <c r="C563" i="9" s="1"/>
  <c r="C575" i="9" s="1"/>
  <c r="C466" i="9"/>
  <c r="C478" i="9" s="1"/>
  <c r="C490" i="9" s="1"/>
  <c r="C502" i="9" s="1"/>
  <c r="C514" i="9" s="1"/>
  <c r="C526" i="9" s="1"/>
  <c r="C538" i="9" s="1"/>
  <c r="C550" i="9" s="1"/>
  <c r="C562" i="9" s="1"/>
  <c r="C574" i="9" s="1"/>
  <c r="C465" i="9"/>
  <c r="C477" i="9" s="1"/>
  <c r="C489" i="9" s="1"/>
  <c r="C501" i="9" s="1"/>
  <c r="C513" i="9" s="1"/>
  <c r="C525" i="9" s="1"/>
  <c r="C537" i="9" s="1"/>
  <c r="C549" i="9" s="1"/>
  <c r="C561" i="9" s="1"/>
  <c r="C573" i="9" s="1"/>
  <c r="D464" i="9"/>
  <c r="D463" i="9"/>
  <c r="D462" i="9"/>
  <c r="D461" i="9"/>
  <c r="D460" i="9"/>
  <c r="D459" i="9"/>
  <c r="D458" i="9"/>
  <c r="D457" i="9"/>
  <c r="D456" i="9"/>
  <c r="D455" i="9"/>
  <c r="D454" i="9"/>
  <c r="D453" i="9"/>
  <c r="C284" i="9"/>
  <c r="C296" i="9" s="1"/>
  <c r="C308" i="9" s="1"/>
  <c r="C320" i="9" s="1"/>
  <c r="C332" i="9" s="1"/>
  <c r="C344" i="9" s="1"/>
  <c r="C356" i="9" s="1"/>
  <c r="C368" i="9" s="1"/>
  <c r="C380" i="9" s="1"/>
  <c r="C392" i="9" s="1"/>
  <c r="C283" i="9"/>
  <c r="C295" i="9" s="1"/>
  <c r="C307" i="9" s="1"/>
  <c r="C319" i="9" s="1"/>
  <c r="C331" i="9" s="1"/>
  <c r="C343" i="9" s="1"/>
  <c r="C355" i="9" s="1"/>
  <c r="C367" i="9" s="1"/>
  <c r="C379" i="9" s="1"/>
  <c r="C391" i="9" s="1"/>
  <c r="C282" i="9"/>
  <c r="C294" i="9" s="1"/>
  <c r="C306" i="9" s="1"/>
  <c r="C318" i="9" s="1"/>
  <c r="C330" i="9" s="1"/>
  <c r="C342" i="9" s="1"/>
  <c r="C354" i="9" s="1"/>
  <c r="C366" i="9" s="1"/>
  <c r="C378" i="9" s="1"/>
  <c r="C390" i="9" s="1"/>
  <c r="C281" i="9"/>
  <c r="C293" i="9" s="1"/>
  <c r="C305" i="9" s="1"/>
  <c r="C317" i="9" s="1"/>
  <c r="C329" i="9" s="1"/>
  <c r="C341" i="9" s="1"/>
  <c r="C353" i="9" s="1"/>
  <c r="C365" i="9" s="1"/>
  <c r="C377" i="9" s="1"/>
  <c r="C389" i="9" s="1"/>
  <c r="C280" i="9"/>
  <c r="C292" i="9" s="1"/>
  <c r="C304" i="9" s="1"/>
  <c r="C316" i="9" s="1"/>
  <c r="C328" i="9" s="1"/>
  <c r="C340" i="9" s="1"/>
  <c r="C352" i="9" s="1"/>
  <c r="C364" i="9" s="1"/>
  <c r="C376" i="9" s="1"/>
  <c r="C388" i="9" s="1"/>
  <c r="C279" i="9"/>
  <c r="C291" i="9" s="1"/>
  <c r="C303" i="9" s="1"/>
  <c r="C315" i="9" s="1"/>
  <c r="C327" i="9" s="1"/>
  <c r="C339" i="9" s="1"/>
  <c r="C351" i="9" s="1"/>
  <c r="C363" i="9" s="1"/>
  <c r="C375" i="9" s="1"/>
  <c r="C387" i="9" s="1"/>
  <c r="C278" i="9"/>
  <c r="C290" i="9" s="1"/>
  <c r="C302" i="9" s="1"/>
  <c r="C314" i="9" s="1"/>
  <c r="C326" i="9" s="1"/>
  <c r="C338" i="9" s="1"/>
  <c r="C350" i="9" s="1"/>
  <c r="C362" i="9" s="1"/>
  <c r="C374" i="9" s="1"/>
  <c r="C386" i="9" s="1"/>
  <c r="C277" i="9"/>
  <c r="C289" i="9" s="1"/>
  <c r="C301" i="9" s="1"/>
  <c r="C313" i="9" s="1"/>
  <c r="C325" i="9" s="1"/>
  <c r="C337" i="9" s="1"/>
  <c r="C349" i="9" s="1"/>
  <c r="C361" i="9" s="1"/>
  <c r="C373" i="9" s="1"/>
  <c r="C385" i="9" s="1"/>
  <c r="C276" i="9"/>
  <c r="C288" i="9" s="1"/>
  <c r="C300" i="9" s="1"/>
  <c r="C312" i="9" s="1"/>
  <c r="C324" i="9" s="1"/>
  <c r="C336" i="9" s="1"/>
  <c r="C348" i="9" s="1"/>
  <c r="C360" i="9" s="1"/>
  <c r="C372" i="9" s="1"/>
  <c r="C384" i="9" s="1"/>
  <c r="C275" i="9"/>
  <c r="C287" i="9" s="1"/>
  <c r="C299" i="9" s="1"/>
  <c r="C311" i="9" s="1"/>
  <c r="C323" i="9" s="1"/>
  <c r="C335" i="9" s="1"/>
  <c r="C347" i="9" s="1"/>
  <c r="C359" i="9" s="1"/>
  <c r="C371" i="9" s="1"/>
  <c r="C383" i="9" s="1"/>
  <c r="C274" i="9"/>
  <c r="C286" i="9" s="1"/>
  <c r="C298" i="9" s="1"/>
  <c r="C310" i="9" s="1"/>
  <c r="C322" i="9" s="1"/>
  <c r="C334" i="9" s="1"/>
  <c r="C346" i="9" s="1"/>
  <c r="C358" i="9" s="1"/>
  <c r="C370" i="9" s="1"/>
  <c r="C382" i="9" s="1"/>
  <c r="C273" i="9"/>
  <c r="C285" i="9" s="1"/>
  <c r="C297" i="9" s="1"/>
  <c r="C309" i="9" s="1"/>
  <c r="C321" i="9" s="1"/>
  <c r="C333" i="9" s="1"/>
  <c r="C345" i="9" s="1"/>
  <c r="C357" i="9" s="1"/>
  <c r="C369" i="9" s="1"/>
  <c r="C381" i="9" s="1"/>
  <c r="D272" i="9"/>
  <c r="D271" i="9"/>
  <c r="D270" i="9"/>
  <c r="D269" i="9"/>
  <c r="D268" i="9"/>
  <c r="D267" i="9"/>
  <c r="D266" i="9"/>
  <c r="D265" i="9"/>
  <c r="D264" i="9"/>
  <c r="D263" i="9"/>
  <c r="D262" i="9"/>
  <c r="D261" i="9"/>
  <c r="A9" i="9"/>
  <c r="B9" i="9" s="1"/>
  <c r="C82" i="9"/>
  <c r="C94" i="9" s="1"/>
  <c r="C106" i="9" s="1"/>
  <c r="C118" i="9" s="1"/>
  <c r="C130" i="9" s="1"/>
  <c r="C142" i="9" s="1"/>
  <c r="C154" i="9" s="1"/>
  <c r="C166" i="9" s="1"/>
  <c r="C178" i="9" s="1"/>
  <c r="C83" i="9"/>
  <c r="C95" i="9" s="1"/>
  <c r="C107" i="9" s="1"/>
  <c r="C119" i="9" s="1"/>
  <c r="C131" i="9" s="1"/>
  <c r="C143" i="9" s="1"/>
  <c r="C155" i="9" s="1"/>
  <c r="C167" i="9" s="1"/>
  <c r="C179" i="9" s="1"/>
  <c r="C191" i="9" s="1"/>
  <c r="C84" i="9"/>
  <c r="C96" i="9" s="1"/>
  <c r="C108" i="9" s="1"/>
  <c r="C120" i="9" s="1"/>
  <c r="C132" i="9" s="1"/>
  <c r="C144" i="9" s="1"/>
  <c r="C156" i="9" s="1"/>
  <c r="C168" i="9" s="1"/>
  <c r="C180" i="9" s="1"/>
  <c r="C192" i="9" s="1"/>
  <c r="C85" i="9"/>
  <c r="C86" i="9"/>
  <c r="C98" i="9" s="1"/>
  <c r="C110" i="9" s="1"/>
  <c r="C122" i="9" s="1"/>
  <c r="C134" i="9" s="1"/>
  <c r="C146" i="9" s="1"/>
  <c r="C158" i="9" s="1"/>
  <c r="C170" i="9" s="1"/>
  <c r="C182" i="9" s="1"/>
  <c r="C194" i="9" s="1"/>
  <c r="C87" i="9"/>
  <c r="C99" i="9" s="1"/>
  <c r="C111" i="9" s="1"/>
  <c r="C123" i="9" s="1"/>
  <c r="C135" i="9" s="1"/>
  <c r="C147" i="9" s="1"/>
  <c r="C159" i="9" s="1"/>
  <c r="C171" i="9" s="1"/>
  <c r="C183" i="9" s="1"/>
  <c r="C195" i="9" s="1"/>
  <c r="C88" i="9"/>
  <c r="C100" i="9" s="1"/>
  <c r="C112" i="9" s="1"/>
  <c r="C124" i="9" s="1"/>
  <c r="C136" i="9" s="1"/>
  <c r="C148" i="9" s="1"/>
  <c r="C160" i="9" s="1"/>
  <c r="C172" i="9" s="1"/>
  <c r="C184" i="9" s="1"/>
  <c r="C196" i="9" s="1"/>
  <c r="C89" i="9"/>
  <c r="C101" i="9" s="1"/>
  <c r="C113" i="9" s="1"/>
  <c r="C125" i="9" s="1"/>
  <c r="C137" i="9" s="1"/>
  <c r="C149" i="9" s="1"/>
  <c r="C161" i="9" s="1"/>
  <c r="C173" i="9" s="1"/>
  <c r="C185" i="9" s="1"/>
  <c r="C197" i="9" s="1"/>
  <c r="C90" i="9"/>
  <c r="C102" i="9" s="1"/>
  <c r="C114" i="9" s="1"/>
  <c r="C126" i="9" s="1"/>
  <c r="C138" i="9" s="1"/>
  <c r="C150" i="9" s="1"/>
  <c r="C162" i="9" s="1"/>
  <c r="C174" i="9" s="1"/>
  <c r="C186" i="9" s="1"/>
  <c r="C198" i="9" s="1"/>
  <c r="C91" i="9"/>
  <c r="C103" i="9" s="1"/>
  <c r="C115" i="9" s="1"/>
  <c r="C127" i="9" s="1"/>
  <c r="C139" i="9" s="1"/>
  <c r="C151" i="9" s="1"/>
  <c r="C163" i="9" s="1"/>
  <c r="C175" i="9" s="1"/>
  <c r="C187" i="9" s="1"/>
  <c r="C199" i="9" s="1"/>
  <c r="C92" i="9"/>
  <c r="C104" i="9" s="1"/>
  <c r="C116" i="9" s="1"/>
  <c r="C128" i="9" s="1"/>
  <c r="C140" i="9" s="1"/>
  <c r="C152" i="9" s="1"/>
  <c r="C164" i="9" s="1"/>
  <c r="C176" i="9" s="1"/>
  <c r="C188" i="9" s="1"/>
  <c r="C200" i="9" s="1"/>
  <c r="C97" i="9"/>
  <c r="C109" i="9" s="1"/>
  <c r="C121" i="9" s="1"/>
  <c r="C133" i="9" s="1"/>
  <c r="C145" i="9" s="1"/>
  <c r="C157" i="9" s="1"/>
  <c r="C169" i="9" s="1"/>
  <c r="C181" i="9" s="1"/>
  <c r="C193" i="9" s="1"/>
  <c r="C81" i="9"/>
  <c r="C93" i="9" s="1"/>
  <c r="D70" i="9"/>
  <c r="A70" i="9" s="1"/>
  <c r="B70" i="9" s="1"/>
  <c r="D71" i="9"/>
  <c r="A71" i="9" s="1"/>
  <c r="B71" i="9" s="1"/>
  <c r="D72" i="9"/>
  <c r="D73" i="9"/>
  <c r="D74" i="9"/>
  <c r="A74" i="9" s="1"/>
  <c r="B74" i="9" s="1"/>
  <c r="D75" i="9"/>
  <c r="A75" i="9" s="1"/>
  <c r="B75" i="9" s="1"/>
  <c r="D76" i="9"/>
  <c r="D77" i="9"/>
  <c r="D78" i="9"/>
  <c r="A78" i="9" s="1"/>
  <c r="B78" i="9" s="1"/>
  <c r="D79" i="9"/>
  <c r="A79" i="9" s="1"/>
  <c r="B79" i="9" s="1"/>
  <c r="D80" i="9"/>
  <c r="D69" i="9"/>
  <c r="A1483" i="9" l="1"/>
  <c r="B1483" i="9" s="1"/>
  <c r="A1519" i="9"/>
  <c r="B1519" i="9" s="1"/>
  <c r="A1503" i="9"/>
  <c r="B1503" i="9" s="1"/>
  <c r="A1515" i="9"/>
  <c r="B1515" i="9" s="1"/>
  <c r="A1495" i="9"/>
  <c r="B1495" i="9" s="1"/>
  <c r="A1531" i="9"/>
  <c r="B1531" i="9" s="1"/>
  <c r="A1499" i="9"/>
  <c r="B1499" i="9" s="1"/>
  <c r="A1527" i="9"/>
  <c r="B1527" i="9" s="1"/>
  <c r="A1511" i="9"/>
  <c r="B1511" i="9" s="1"/>
  <c r="A1523" i="9"/>
  <c r="B1523" i="9" s="1"/>
  <c r="A1507" i="9"/>
  <c r="B1507" i="9" s="1"/>
  <c r="A1491" i="9"/>
  <c r="B1491" i="9" s="1"/>
  <c r="D89" i="9"/>
  <c r="A77" i="9"/>
  <c r="B77" i="9" s="1"/>
  <c r="D85" i="9"/>
  <c r="A73" i="9"/>
  <c r="B73" i="9" s="1"/>
  <c r="D274" i="9"/>
  <c r="A262" i="9"/>
  <c r="B262" i="9" s="1"/>
  <c r="D282" i="9"/>
  <c r="A270" i="9"/>
  <c r="B270" i="9" s="1"/>
  <c r="D92" i="9"/>
  <c r="A80" i="9"/>
  <c r="B80" i="9" s="1"/>
  <c r="D88" i="9"/>
  <c r="A76" i="9"/>
  <c r="B76" i="9" s="1"/>
  <c r="D84" i="9"/>
  <c r="A72" i="9"/>
  <c r="B72" i="9" s="1"/>
  <c r="D276" i="9"/>
  <c r="A264" i="9"/>
  <c r="B264" i="9" s="1"/>
  <c r="D280" i="9"/>
  <c r="A268" i="9"/>
  <c r="B268" i="9" s="1"/>
  <c r="D284" i="9"/>
  <c r="A272" i="9"/>
  <c r="B272" i="9" s="1"/>
  <c r="D468" i="9"/>
  <c r="A456" i="9"/>
  <c r="B456" i="9" s="1"/>
  <c r="D472" i="9"/>
  <c r="A460" i="9"/>
  <c r="B460" i="9" s="1"/>
  <c r="D476" i="9"/>
  <c r="A464" i="9"/>
  <c r="B464" i="9" s="1"/>
  <c r="D660" i="9"/>
  <c r="A648" i="9"/>
  <c r="B648" i="9" s="1"/>
  <c r="D664" i="9"/>
  <c r="A652" i="9"/>
  <c r="B652" i="9" s="1"/>
  <c r="D668" i="9"/>
  <c r="A656" i="9"/>
  <c r="B656" i="9" s="1"/>
  <c r="D852" i="9"/>
  <c r="A840" i="9"/>
  <c r="B840" i="9" s="1"/>
  <c r="D856" i="9"/>
  <c r="A844" i="9"/>
  <c r="B844" i="9" s="1"/>
  <c r="D860" i="9"/>
  <c r="A848" i="9"/>
  <c r="B848" i="9" s="1"/>
  <c r="D1044" i="9"/>
  <c r="A1032" i="9"/>
  <c r="B1032" i="9" s="1"/>
  <c r="D1048" i="9"/>
  <c r="A1036" i="9"/>
  <c r="B1036" i="9" s="1"/>
  <c r="D1052" i="9"/>
  <c r="A1040" i="9"/>
  <c r="B1040" i="9" s="1"/>
  <c r="D1236" i="9"/>
  <c r="A1224" i="9"/>
  <c r="B1224" i="9" s="1"/>
  <c r="D1240" i="9"/>
  <c r="A1228" i="9"/>
  <c r="B1228" i="9" s="1"/>
  <c r="D1244" i="9"/>
  <c r="A1232" i="9"/>
  <c r="B1232" i="9" s="1"/>
  <c r="D1428" i="9"/>
  <c r="A1416" i="9"/>
  <c r="B1416" i="9" s="1"/>
  <c r="D1432" i="9"/>
  <c r="A1420" i="9"/>
  <c r="B1420" i="9" s="1"/>
  <c r="D1436" i="9"/>
  <c r="A1424" i="9"/>
  <c r="B1424" i="9" s="1"/>
  <c r="A1529" i="9"/>
  <c r="B1529" i="9" s="1"/>
  <c r="A1525" i="9"/>
  <c r="B1525" i="9" s="1"/>
  <c r="A1521" i="9"/>
  <c r="B1521" i="9" s="1"/>
  <c r="A1517" i="9"/>
  <c r="B1517" i="9" s="1"/>
  <c r="A1513" i="9"/>
  <c r="B1513" i="9" s="1"/>
  <c r="A1509" i="9"/>
  <c r="B1509" i="9" s="1"/>
  <c r="A1505" i="9"/>
  <c r="B1505" i="9" s="1"/>
  <c r="A1501" i="9"/>
  <c r="B1501" i="9" s="1"/>
  <c r="A1497" i="9"/>
  <c r="B1497" i="9" s="1"/>
  <c r="A1493" i="9"/>
  <c r="B1493" i="9" s="1"/>
  <c r="A1489" i="9"/>
  <c r="B1489" i="9" s="1"/>
  <c r="A1485" i="9"/>
  <c r="B1485" i="9" s="1"/>
  <c r="A1481" i="9"/>
  <c r="B1481" i="9" s="1"/>
  <c r="A1475" i="9"/>
  <c r="B1475" i="9" s="1"/>
  <c r="A1465" i="9"/>
  <c r="B1465" i="9" s="1"/>
  <c r="A1459" i="9"/>
  <c r="B1459" i="9" s="1"/>
  <c r="A1449" i="9"/>
  <c r="B1449" i="9" s="1"/>
  <c r="A1443" i="9"/>
  <c r="B1443" i="9" s="1"/>
  <c r="A1433" i="9"/>
  <c r="B1433" i="9" s="1"/>
  <c r="A1427" i="9"/>
  <c r="B1427" i="9" s="1"/>
  <c r="A1421" i="9"/>
  <c r="B1421" i="9" s="1"/>
  <c r="A1413" i="9"/>
  <c r="B1413" i="9" s="1"/>
  <c r="D278" i="9"/>
  <c r="A266" i="9"/>
  <c r="B266" i="9" s="1"/>
  <c r="D273" i="9"/>
  <c r="A261" i="9"/>
  <c r="B261" i="9" s="1"/>
  <c r="D277" i="9"/>
  <c r="A265" i="9"/>
  <c r="B265" i="9" s="1"/>
  <c r="D281" i="9"/>
  <c r="A269" i="9"/>
  <c r="B269" i="9" s="1"/>
  <c r="D465" i="9"/>
  <c r="A453" i="9"/>
  <c r="B453" i="9" s="1"/>
  <c r="D469" i="9"/>
  <c r="A457" i="9"/>
  <c r="B457" i="9" s="1"/>
  <c r="D473" i="9"/>
  <c r="A461" i="9"/>
  <c r="B461" i="9" s="1"/>
  <c r="D657" i="9"/>
  <c r="A645" i="9"/>
  <c r="B645" i="9" s="1"/>
  <c r="D661" i="9"/>
  <c r="A649" i="9"/>
  <c r="B649" i="9" s="1"/>
  <c r="D665" i="9"/>
  <c r="A653" i="9"/>
  <c r="B653" i="9" s="1"/>
  <c r="D849" i="9"/>
  <c r="A837" i="9"/>
  <c r="B837" i="9" s="1"/>
  <c r="D853" i="9"/>
  <c r="A841" i="9"/>
  <c r="B841" i="9" s="1"/>
  <c r="D857" i="9"/>
  <c r="A845" i="9"/>
  <c r="B845" i="9" s="1"/>
  <c r="D1041" i="9"/>
  <c r="A1029" i="9"/>
  <c r="B1029" i="9" s="1"/>
  <c r="D1045" i="9"/>
  <c r="A1033" i="9"/>
  <c r="B1033" i="9" s="1"/>
  <c r="D1049" i="9"/>
  <c r="A1037" i="9"/>
  <c r="B1037" i="9" s="1"/>
  <c r="D1233" i="9"/>
  <c r="A1221" i="9"/>
  <c r="B1221" i="9" s="1"/>
  <c r="D1237" i="9"/>
  <c r="A1225" i="9"/>
  <c r="B1225" i="9" s="1"/>
  <c r="D1241" i="9"/>
  <c r="A1229" i="9"/>
  <c r="B1229" i="9" s="1"/>
  <c r="A1479" i="9"/>
  <c r="B1479" i="9" s="1"/>
  <c r="A1469" i="9"/>
  <c r="B1469" i="9" s="1"/>
  <c r="A1463" i="9"/>
  <c r="B1463" i="9" s="1"/>
  <c r="A1453" i="9"/>
  <c r="B1453" i="9" s="1"/>
  <c r="A1447" i="9"/>
  <c r="B1447" i="9" s="1"/>
  <c r="A1437" i="9"/>
  <c r="B1437" i="9" s="1"/>
  <c r="A1431" i="9"/>
  <c r="B1431" i="9" s="1"/>
  <c r="A1419" i="9"/>
  <c r="B1419" i="9" s="1"/>
  <c r="D470" i="9"/>
  <c r="A458" i="9"/>
  <c r="B458" i="9" s="1"/>
  <c r="D474" i="9"/>
  <c r="A462" i="9"/>
  <c r="B462" i="9" s="1"/>
  <c r="D658" i="9"/>
  <c r="A646" i="9"/>
  <c r="B646" i="9" s="1"/>
  <c r="D662" i="9"/>
  <c r="A650" i="9"/>
  <c r="B650" i="9" s="1"/>
  <c r="D666" i="9"/>
  <c r="A654" i="9"/>
  <c r="B654" i="9" s="1"/>
  <c r="D850" i="9"/>
  <c r="A838" i="9"/>
  <c r="B838" i="9" s="1"/>
  <c r="D854" i="9"/>
  <c r="A842" i="9"/>
  <c r="B842" i="9" s="1"/>
  <c r="D858" i="9"/>
  <c r="A846" i="9"/>
  <c r="B846" i="9" s="1"/>
  <c r="D1042" i="9"/>
  <c r="A1030" i="9"/>
  <c r="B1030" i="9" s="1"/>
  <c r="D1046" i="9"/>
  <c r="A1034" i="9"/>
  <c r="B1034" i="9" s="1"/>
  <c r="D1050" i="9"/>
  <c r="A1038" i="9"/>
  <c r="B1038" i="9" s="1"/>
  <c r="D1234" i="9"/>
  <c r="A1222" i="9"/>
  <c r="B1222" i="9" s="1"/>
  <c r="D1238" i="9"/>
  <c r="A1226" i="9"/>
  <c r="B1226" i="9" s="1"/>
  <c r="D1242" i="9"/>
  <c r="A1230" i="9"/>
  <c r="B1230" i="9" s="1"/>
  <c r="D1426" i="9"/>
  <c r="A1414" i="9"/>
  <c r="B1414" i="9" s="1"/>
  <c r="D1430" i="9"/>
  <c r="A1418" i="9"/>
  <c r="B1418" i="9" s="1"/>
  <c r="D1434" i="9"/>
  <c r="A1422" i="9"/>
  <c r="B1422" i="9" s="1"/>
  <c r="A1487" i="9"/>
  <c r="B1487" i="9" s="1"/>
  <c r="A1473" i="9"/>
  <c r="B1473" i="9" s="1"/>
  <c r="A1467" i="9"/>
  <c r="B1467" i="9" s="1"/>
  <c r="A1457" i="9"/>
  <c r="B1457" i="9" s="1"/>
  <c r="A1451" i="9"/>
  <c r="B1451" i="9" s="1"/>
  <c r="A1441" i="9"/>
  <c r="B1441" i="9" s="1"/>
  <c r="A1435" i="9"/>
  <c r="B1435" i="9" s="1"/>
  <c r="A1425" i="9"/>
  <c r="B1425" i="9" s="1"/>
  <c r="A1417" i="9"/>
  <c r="B1417" i="9" s="1"/>
  <c r="D81" i="9"/>
  <c r="A69" i="9"/>
  <c r="B69" i="9" s="1"/>
  <c r="D466" i="9"/>
  <c r="A454" i="9"/>
  <c r="B454" i="9" s="1"/>
  <c r="D275" i="9"/>
  <c r="A263" i="9"/>
  <c r="B263" i="9" s="1"/>
  <c r="D279" i="9"/>
  <c r="A267" i="9"/>
  <c r="B267" i="9" s="1"/>
  <c r="D283" i="9"/>
  <c r="A271" i="9"/>
  <c r="B271" i="9" s="1"/>
  <c r="D467" i="9"/>
  <c r="A455" i="9"/>
  <c r="B455" i="9" s="1"/>
  <c r="D471" i="9"/>
  <c r="A459" i="9"/>
  <c r="B459" i="9" s="1"/>
  <c r="D475" i="9"/>
  <c r="A463" i="9"/>
  <c r="B463" i="9" s="1"/>
  <c r="D659" i="9"/>
  <c r="A647" i="9"/>
  <c r="B647" i="9" s="1"/>
  <c r="D663" i="9"/>
  <c r="A651" i="9"/>
  <c r="B651" i="9" s="1"/>
  <c r="D667" i="9"/>
  <c r="A655" i="9"/>
  <c r="B655" i="9" s="1"/>
  <c r="D851" i="9"/>
  <c r="A839" i="9"/>
  <c r="B839" i="9" s="1"/>
  <c r="D855" i="9"/>
  <c r="A843" i="9"/>
  <c r="B843" i="9" s="1"/>
  <c r="D859" i="9"/>
  <c r="A847" i="9"/>
  <c r="B847" i="9" s="1"/>
  <c r="D1043" i="9"/>
  <c r="A1031" i="9"/>
  <c r="B1031" i="9" s="1"/>
  <c r="D1047" i="9"/>
  <c r="A1035" i="9"/>
  <c r="B1035" i="9" s="1"/>
  <c r="D1051" i="9"/>
  <c r="A1039" i="9"/>
  <c r="B1039" i="9" s="1"/>
  <c r="D1235" i="9"/>
  <c r="A1223" i="9"/>
  <c r="B1223" i="9" s="1"/>
  <c r="D1239" i="9"/>
  <c r="A1227" i="9"/>
  <c r="B1227" i="9" s="1"/>
  <c r="D1243" i="9"/>
  <c r="A1231" i="9"/>
  <c r="B1231" i="9" s="1"/>
  <c r="A1477" i="9"/>
  <c r="B1477" i="9" s="1"/>
  <c r="A1471" i="9"/>
  <c r="B1471" i="9" s="1"/>
  <c r="A1461" i="9"/>
  <c r="B1461" i="9" s="1"/>
  <c r="A1455" i="9"/>
  <c r="B1455" i="9" s="1"/>
  <c r="A1445" i="9"/>
  <c r="B1445" i="9" s="1"/>
  <c r="A1439" i="9"/>
  <c r="B1439" i="9" s="1"/>
  <c r="A1429" i="9"/>
  <c r="B1429" i="9" s="1"/>
  <c r="A1423" i="9"/>
  <c r="B1423" i="9" s="1"/>
  <c r="A1415" i="9"/>
  <c r="B1415" i="9" s="1"/>
  <c r="D86" i="9"/>
  <c r="D87" i="9"/>
  <c r="D91" i="9"/>
  <c r="D83" i="9"/>
  <c r="D90" i="9"/>
  <c r="D82" i="9"/>
  <c r="D96" i="9"/>
  <c r="D104" i="9"/>
  <c r="D101" i="9"/>
  <c r="C105" i="9"/>
  <c r="C190" i="9"/>
  <c r="C4" i="27"/>
  <c r="C3" i="27"/>
  <c r="D5" i="22"/>
  <c r="C3" i="22"/>
  <c r="C3" i="20"/>
  <c r="A104" i="9" l="1"/>
  <c r="B104" i="9" s="1"/>
  <c r="D95" i="9"/>
  <c r="A83" i="9"/>
  <c r="B83" i="9" s="1"/>
  <c r="D1251" i="9"/>
  <c r="A1239" i="9"/>
  <c r="B1239" i="9" s="1"/>
  <c r="D1063" i="9"/>
  <c r="A1051" i="9"/>
  <c r="B1051" i="9" s="1"/>
  <c r="D1055" i="9"/>
  <c r="A1043" i="9"/>
  <c r="B1043" i="9" s="1"/>
  <c r="D867" i="9"/>
  <c r="A855" i="9"/>
  <c r="B855" i="9" s="1"/>
  <c r="D679" i="9"/>
  <c r="A667" i="9"/>
  <c r="B667" i="9" s="1"/>
  <c r="D671" i="9"/>
  <c r="A659" i="9"/>
  <c r="B659" i="9" s="1"/>
  <c r="D483" i="9"/>
  <c r="A471" i="9"/>
  <c r="B471" i="9" s="1"/>
  <c r="D295" i="9"/>
  <c r="A283" i="9"/>
  <c r="B283" i="9" s="1"/>
  <c r="D287" i="9"/>
  <c r="A275" i="9"/>
  <c r="B275" i="9" s="1"/>
  <c r="D93" i="9"/>
  <c r="A81" i="9"/>
  <c r="B81" i="9" s="1"/>
  <c r="A96" i="9"/>
  <c r="B96" i="9" s="1"/>
  <c r="D103" i="9"/>
  <c r="A91" i="9"/>
  <c r="B91" i="9" s="1"/>
  <c r="D1442" i="9"/>
  <c r="A1430" i="9"/>
  <c r="B1430" i="9" s="1"/>
  <c r="D1254" i="9"/>
  <c r="A1242" i="9"/>
  <c r="B1242" i="9" s="1"/>
  <c r="D1246" i="9"/>
  <c r="A1234" i="9"/>
  <c r="B1234" i="9" s="1"/>
  <c r="D1058" i="9"/>
  <c r="A1046" i="9"/>
  <c r="B1046" i="9" s="1"/>
  <c r="D870" i="9"/>
  <c r="A858" i="9"/>
  <c r="B858" i="9" s="1"/>
  <c r="D862" i="9"/>
  <c r="A850" i="9"/>
  <c r="B850" i="9" s="1"/>
  <c r="D674" i="9"/>
  <c r="A662" i="9"/>
  <c r="B662" i="9" s="1"/>
  <c r="D486" i="9"/>
  <c r="A474" i="9"/>
  <c r="B474" i="9" s="1"/>
  <c r="D1253" i="9"/>
  <c r="A1241" i="9"/>
  <c r="B1241" i="9" s="1"/>
  <c r="D1245" i="9"/>
  <c r="A1233" i="9"/>
  <c r="B1233" i="9" s="1"/>
  <c r="D1057" i="9"/>
  <c r="A1045" i="9"/>
  <c r="B1045" i="9" s="1"/>
  <c r="D869" i="9"/>
  <c r="A857" i="9"/>
  <c r="B857" i="9" s="1"/>
  <c r="D861" i="9"/>
  <c r="A849" i="9"/>
  <c r="B849" i="9" s="1"/>
  <c r="D673" i="9"/>
  <c r="A661" i="9"/>
  <c r="B661" i="9" s="1"/>
  <c r="D485" i="9"/>
  <c r="A473" i="9"/>
  <c r="B473" i="9" s="1"/>
  <c r="D477" i="9"/>
  <c r="A465" i="9"/>
  <c r="B465" i="9" s="1"/>
  <c r="D289" i="9"/>
  <c r="A277" i="9"/>
  <c r="B277" i="9" s="1"/>
  <c r="D290" i="9"/>
  <c r="A278" i="9"/>
  <c r="B278" i="9" s="1"/>
  <c r="D1448" i="9"/>
  <c r="A1436" i="9"/>
  <c r="B1436" i="9" s="1"/>
  <c r="D1440" i="9"/>
  <c r="A1428" i="9"/>
  <c r="B1428" i="9" s="1"/>
  <c r="D1252" i="9"/>
  <c r="A1240" i="9"/>
  <c r="B1240" i="9" s="1"/>
  <c r="D1064" i="9"/>
  <c r="A1052" i="9"/>
  <c r="B1052" i="9" s="1"/>
  <c r="D1056" i="9"/>
  <c r="A1044" i="9"/>
  <c r="B1044" i="9" s="1"/>
  <c r="D868" i="9"/>
  <c r="A856" i="9"/>
  <c r="B856" i="9" s="1"/>
  <c r="D680" i="9"/>
  <c r="A668" i="9"/>
  <c r="B668" i="9" s="1"/>
  <c r="D672" i="9"/>
  <c r="A660" i="9"/>
  <c r="B660" i="9" s="1"/>
  <c r="D484" i="9"/>
  <c r="A472" i="9"/>
  <c r="B472" i="9" s="1"/>
  <c r="D296" i="9"/>
  <c r="A284" i="9"/>
  <c r="B284" i="9" s="1"/>
  <c r="D288" i="9"/>
  <c r="A276" i="9"/>
  <c r="B276" i="9" s="1"/>
  <c r="D100" i="9"/>
  <c r="A88" i="9"/>
  <c r="B88" i="9" s="1"/>
  <c r="D294" i="9"/>
  <c r="A282" i="9"/>
  <c r="B282" i="9" s="1"/>
  <c r="A85" i="9"/>
  <c r="B85" i="9" s="1"/>
  <c r="D97" i="9"/>
  <c r="D109" i="9" s="1"/>
  <c r="D94" i="9"/>
  <c r="A82" i="9"/>
  <c r="B82" i="9" s="1"/>
  <c r="D99" i="9"/>
  <c r="A87" i="9"/>
  <c r="B87" i="9" s="1"/>
  <c r="D1255" i="9"/>
  <c r="A1243" i="9"/>
  <c r="B1243" i="9" s="1"/>
  <c r="D1247" i="9"/>
  <c r="A1235" i="9"/>
  <c r="B1235" i="9" s="1"/>
  <c r="D1059" i="9"/>
  <c r="A1047" i="9"/>
  <c r="B1047" i="9" s="1"/>
  <c r="D871" i="9"/>
  <c r="A859" i="9"/>
  <c r="B859" i="9" s="1"/>
  <c r="D863" i="9"/>
  <c r="A851" i="9"/>
  <c r="B851" i="9" s="1"/>
  <c r="D675" i="9"/>
  <c r="A663" i="9"/>
  <c r="B663" i="9" s="1"/>
  <c r="D487" i="9"/>
  <c r="A475" i="9"/>
  <c r="B475" i="9" s="1"/>
  <c r="D479" i="9"/>
  <c r="A467" i="9"/>
  <c r="B467" i="9" s="1"/>
  <c r="D291" i="9"/>
  <c r="A279" i="9"/>
  <c r="B279" i="9" s="1"/>
  <c r="D478" i="9"/>
  <c r="A466" i="9"/>
  <c r="B466" i="9" s="1"/>
  <c r="A101" i="9"/>
  <c r="B101" i="9" s="1"/>
  <c r="D102" i="9"/>
  <c r="A90" i="9"/>
  <c r="B90" i="9" s="1"/>
  <c r="D98" i="9"/>
  <c r="A86" i="9"/>
  <c r="B86" i="9" s="1"/>
  <c r="D1446" i="9"/>
  <c r="A1434" i="9"/>
  <c r="B1434" i="9" s="1"/>
  <c r="D1438" i="9"/>
  <c r="A1426" i="9"/>
  <c r="B1426" i="9" s="1"/>
  <c r="D1250" i="9"/>
  <c r="A1238" i="9"/>
  <c r="B1238" i="9" s="1"/>
  <c r="D1062" i="9"/>
  <c r="A1050" i="9"/>
  <c r="B1050" i="9" s="1"/>
  <c r="D1054" i="9"/>
  <c r="A1042" i="9"/>
  <c r="B1042" i="9" s="1"/>
  <c r="D866" i="9"/>
  <c r="A854" i="9"/>
  <c r="B854" i="9" s="1"/>
  <c r="D678" i="9"/>
  <c r="A666" i="9"/>
  <c r="B666" i="9" s="1"/>
  <c r="D670" i="9"/>
  <c r="A658" i="9"/>
  <c r="B658" i="9" s="1"/>
  <c r="D482" i="9"/>
  <c r="A470" i="9"/>
  <c r="B470" i="9" s="1"/>
  <c r="D1249" i="9"/>
  <c r="A1237" i="9"/>
  <c r="B1237" i="9" s="1"/>
  <c r="D1061" i="9"/>
  <c r="A1049" i="9"/>
  <c r="B1049" i="9" s="1"/>
  <c r="D1053" i="9"/>
  <c r="A1041" i="9"/>
  <c r="B1041" i="9" s="1"/>
  <c r="D865" i="9"/>
  <c r="A853" i="9"/>
  <c r="B853" i="9" s="1"/>
  <c r="D677" i="9"/>
  <c r="A665" i="9"/>
  <c r="B665" i="9" s="1"/>
  <c r="D669" i="9"/>
  <c r="A657" i="9"/>
  <c r="B657" i="9" s="1"/>
  <c r="D481" i="9"/>
  <c r="A469" i="9"/>
  <c r="B469" i="9" s="1"/>
  <c r="D293" i="9"/>
  <c r="A281" i="9"/>
  <c r="B281" i="9" s="1"/>
  <c r="D285" i="9"/>
  <c r="A273" i="9"/>
  <c r="B273" i="9" s="1"/>
  <c r="D1444" i="9"/>
  <c r="A1432" i="9"/>
  <c r="B1432" i="9" s="1"/>
  <c r="D1256" i="9"/>
  <c r="A1244" i="9"/>
  <c r="B1244" i="9" s="1"/>
  <c r="D1248" i="9"/>
  <c r="A1236" i="9"/>
  <c r="B1236" i="9" s="1"/>
  <c r="D1060" i="9"/>
  <c r="A1048" i="9"/>
  <c r="B1048" i="9" s="1"/>
  <c r="D872" i="9"/>
  <c r="A860" i="9"/>
  <c r="B860" i="9" s="1"/>
  <c r="D864" i="9"/>
  <c r="A852" i="9"/>
  <c r="B852" i="9" s="1"/>
  <c r="D676" i="9"/>
  <c r="A664" i="9"/>
  <c r="B664" i="9" s="1"/>
  <c r="D488" i="9"/>
  <c r="A476" i="9"/>
  <c r="B476" i="9" s="1"/>
  <c r="D480" i="9"/>
  <c r="A468" i="9"/>
  <c r="B468" i="9" s="1"/>
  <c r="D292" i="9"/>
  <c r="A280" i="9"/>
  <c r="B280" i="9" s="1"/>
  <c r="A84" i="9"/>
  <c r="B84" i="9" s="1"/>
  <c r="A92" i="9"/>
  <c r="B92" i="9" s="1"/>
  <c r="D286" i="9"/>
  <c r="A274" i="9"/>
  <c r="B274" i="9" s="1"/>
  <c r="A89" i="9"/>
  <c r="B89" i="9" s="1"/>
  <c r="D116" i="9"/>
  <c r="D113" i="9"/>
  <c r="C117" i="9"/>
  <c r="D108" i="9"/>
  <c r="B3" i="16"/>
  <c r="A3" i="16" s="1"/>
  <c r="B3" i="15"/>
  <c r="A3" i="15" s="1"/>
  <c r="D4" i="20"/>
  <c r="A109" i="9" l="1"/>
  <c r="B109" i="9" s="1"/>
  <c r="D884" i="9"/>
  <c r="A872" i="9"/>
  <c r="B872" i="9" s="1"/>
  <c r="D305" i="9"/>
  <c r="A293" i="9"/>
  <c r="B293" i="9" s="1"/>
  <c r="D877" i="9"/>
  <c r="A865" i="9"/>
  <c r="B865" i="9" s="1"/>
  <c r="D690" i="9"/>
  <c r="A678" i="9"/>
  <c r="B678" i="9" s="1"/>
  <c r="D1262" i="9"/>
  <c r="A1250" i="9"/>
  <c r="B1250" i="9" s="1"/>
  <c r="D299" i="9"/>
  <c r="A287" i="9"/>
  <c r="B287" i="9" s="1"/>
  <c r="D495" i="9"/>
  <c r="A483" i="9"/>
  <c r="B483" i="9" s="1"/>
  <c r="D1067" i="9"/>
  <c r="A1055" i="9"/>
  <c r="B1055" i="9" s="1"/>
  <c r="D303" i="9"/>
  <c r="A291" i="9"/>
  <c r="B291" i="9" s="1"/>
  <c r="D875" i="9"/>
  <c r="A863" i="9"/>
  <c r="B863" i="9" s="1"/>
  <c r="D1267" i="9"/>
  <c r="A1255" i="9"/>
  <c r="B1255" i="9" s="1"/>
  <c r="D300" i="9"/>
  <c r="A288" i="9"/>
  <c r="B288" i="9" s="1"/>
  <c r="D692" i="9"/>
  <c r="A680" i="9"/>
  <c r="B680" i="9" s="1"/>
  <c r="D1460" i="9"/>
  <c r="A1448" i="9"/>
  <c r="B1448" i="9" s="1"/>
  <c r="D873" i="9"/>
  <c r="A861" i="9"/>
  <c r="B861" i="9" s="1"/>
  <c r="D1265" i="9"/>
  <c r="A1253" i="9"/>
  <c r="B1253" i="9" s="1"/>
  <c r="A113" i="9"/>
  <c r="B113" i="9" s="1"/>
  <c r="D1072" i="9"/>
  <c r="A1060" i="9"/>
  <c r="B1060" i="9" s="1"/>
  <c r="D1065" i="9"/>
  <c r="A1053" i="9"/>
  <c r="B1053" i="9" s="1"/>
  <c r="D1074" i="9"/>
  <c r="A1062" i="9"/>
  <c r="B1062" i="9" s="1"/>
  <c r="D110" i="9"/>
  <c r="A98" i="9"/>
  <c r="B98" i="9" s="1"/>
  <c r="A97" i="9"/>
  <c r="B97" i="9" s="1"/>
  <c r="D105" i="9"/>
  <c r="A93" i="9"/>
  <c r="B93" i="9" s="1"/>
  <c r="D307" i="9"/>
  <c r="A295" i="9"/>
  <c r="B295" i="9" s="1"/>
  <c r="D683" i="9"/>
  <c r="A671" i="9"/>
  <c r="B671" i="9" s="1"/>
  <c r="D879" i="9"/>
  <c r="A867" i="9"/>
  <c r="B867" i="9" s="1"/>
  <c r="D1075" i="9"/>
  <c r="A1063" i="9"/>
  <c r="B1063" i="9" s="1"/>
  <c r="D107" i="9"/>
  <c r="A95" i="9"/>
  <c r="B95" i="9" s="1"/>
  <c r="A108" i="9"/>
  <c r="B108" i="9" s="1"/>
  <c r="D492" i="9"/>
  <c r="A480" i="9"/>
  <c r="B480" i="9" s="1"/>
  <c r="D688" i="9"/>
  <c r="A676" i="9"/>
  <c r="B676" i="9" s="1"/>
  <c r="D1260" i="9"/>
  <c r="A1248" i="9"/>
  <c r="B1248" i="9" s="1"/>
  <c r="D1456" i="9"/>
  <c r="A1444" i="9"/>
  <c r="B1444" i="9" s="1"/>
  <c r="D681" i="9"/>
  <c r="A669" i="9"/>
  <c r="B669" i="9" s="1"/>
  <c r="D1073" i="9"/>
  <c r="A1061" i="9"/>
  <c r="B1061" i="9" s="1"/>
  <c r="D494" i="9"/>
  <c r="A482" i="9"/>
  <c r="B482" i="9" s="1"/>
  <c r="D1066" i="9"/>
  <c r="A1054" i="9"/>
  <c r="B1054" i="9" s="1"/>
  <c r="D1458" i="9"/>
  <c r="A1446" i="9"/>
  <c r="B1446" i="9" s="1"/>
  <c r="A102" i="9"/>
  <c r="B102" i="9" s="1"/>
  <c r="D691" i="9"/>
  <c r="A679" i="9"/>
  <c r="B679" i="9" s="1"/>
  <c r="D1263" i="9"/>
  <c r="A1251" i="9"/>
  <c r="B1251" i="9" s="1"/>
  <c r="D499" i="9"/>
  <c r="A487" i="9"/>
  <c r="B487" i="9" s="1"/>
  <c r="D1071" i="9"/>
  <c r="A1059" i="9"/>
  <c r="B1059" i="9" s="1"/>
  <c r="D106" i="9"/>
  <c r="A94" i="9"/>
  <c r="B94" i="9" s="1"/>
  <c r="D306" i="9"/>
  <c r="A294" i="9"/>
  <c r="B294" i="9" s="1"/>
  <c r="D496" i="9"/>
  <c r="A484" i="9"/>
  <c r="B484" i="9" s="1"/>
  <c r="D1068" i="9"/>
  <c r="A1056" i="9"/>
  <c r="B1056" i="9" s="1"/>
  <c r="D1264" i="9"/>
  <c r="A1252" i="9"/>
  <c r="B1252" i="9" s="1"/>
  <c r="D301" i="9"/>
  <c r="A289" i="9"/>
  <c r="B289" i="9" s="1"/>
  <c r="D497" i="9"/>
  <c r="A485" i="9"/>
  <c r="B485" i="9" s="1"/>
  <c r="D1069" i="9"/>
  <c r="A1057" i="9"/>
  <c r="B1057" i="9" s="1"/>
  <c r="D686" i="9"/>
  <c r="A674" i="9"/>
  <c r="B674" i="9" s="1"/>
  <c r="D882" i="9"/>
  <c r="A870" i="9"/>
  <c r="B870" i="9" s="1"/>
  <c r="D1258" i="9"/>
  <c r="A1246" i="9"/>
  <c r="B1246" i="9" s="1"/>
  <c r="D1454" i="9"/>
  <c r="A1442" i="9"/>
  <c r="B1442" i="9" s="1"/>
  <c r="D114" i="9"/>
  <c r="D298" i="9"/>
  <c r="A286" i="9"/>
  <c r="B286" i="9" s="1"/>
  <c r="D304" i="9"/>
  <c r="A292" i="9"/>
  <c r="B292" i="9" s="1"/>
  <c r="D500" i="9"/>
  <c r="A488" i="9"/>
  <c r="B488" i="9" s="1"/>
  <c r="D876" i="9"/>
  <c r="A864" i="9"/>
  <c r="B864" i="9" s="1"/>
  <c r="D1268" i="9"/>
  <c r="A1256" i="9"/>
  <c r="B1256" i="9" s="1"/>
  <c r="D297" i="9"/>
  <c r="A285" i="9"/>
  <c r="B285" i="9" s="1"/>
  <c r="D493" i="9"/>
  <c r="A481" i="9"/>
  <c r="B481" i="9" s="1"/>
  <c r="D689" i="9"/>
  <c r="A677" i="9"/>
  <c r="B677" i="9" s="1"/>
  <c r="D1261" i="9"/>
  <c r="A1249" i="9"/>
  <c r="B1249" i="9" s="1"/>
  <c r="D682" i="9"/>
  <c r="A670" i="9"/>
  <c r="B670" i="9" s="1"/>
  <c r="D878" i="9"/>
  <c r="A866" i="9"/>
  <c r="B866" i="9" s="1"/>
  <c r="D1450" i="9"/>
  <c r="A1438" i="9"/>
  <c r="B1438" i="9" s="1"/>
  <c r="A116" i="9"/>
  <c r="B116" i="9" s="1"/>
  <c r="D490" i="9"/>
  <c r="A478" i="9"/>
  <c r="B478" i="9" s="1"/>
  <c r="D491" i="9"/>
  <c r="A479" i="9"/>
  <c r="B479" i="9" s="1"/>
  <c r="D687" i="9"/>
  <c r="A675" i="9"/>
  <c r="B675" i="9" s="1"/>
  <c r="D883" i="9"/>
  <c r="A871" i="9"/>
  <c r="B871" i="9" s="1"/>
  <c r="D1259" i="9"/>
  <c r="A1247" i="9"/>
  <c r="B1247" i="9" s="1"/>
  <c r="D111" i="9"/>
  <c r="A99" i="9"/>
  <c r="B99" i="9" s="1"/>
  <c r="D112" i="9"/>
  <c r="A100" i="9"/>
  <c r="B100" i="9" s="1"/>
  <c r="D308" i="9"/>
  <c r="A296" i="9"/>
  <c r="B296" i="9" s="1"/>
  <c r="D684" i="9"/>
  <c r="A672" i="9"/>
  <c r="B672" i="9" s="1"/>
  <c r="D880" i="9"/>
  <c r="A868" i="9"/>
  <c r="B868" i="9" s="1"/>
  <c r="D1076" i="9"/>
  <c r="A1064" i="9"/>
  <c r="B1064" i="9" s="1"/>
  <c r="D1452" i="9"/>
  <c r="A1440" i="9"/>
  <c r="B1440" i="9" s="1"/>
  <c r="D302" i="9"/>
  <c r="A290" i="9"/>
  <c r="B290" i="9" s="1"/>
  <c r="D489" i="9"/>
  <c r="A477" i="9"/>
  <c r="B477" i="9" s="1"/>
  <c r="D685" i="9"/>
  <c r="A673" i="9"/>
  <c r="B673" i="9" s="1"/>
  <c r="D881" i="9"/>
  <c r="A869" i="9"/>
  <c r="B869" i="9" s="1"/>
  <c r="D1257" i="9"/>
  <c r="A1245" i="9"/>
  <c r="B1245" i="9" s="1"/>
  <c r="D498" i="9"/>
  <c r="A486" i="9"/>
  <c r="B486" i="9" s="1"/>
  <c r="D874" i="9"/>
  <c r="A862" i="9"/>
  <c r="B862" i="9" s="1"/>
  <c r="D1070" i="9"/>
  <c r="A1058" i="9"/>
  <c r="B1058" i="9" s="1"/>
  <c r="D1266" i="9"/>
  <c r="A1254" i="9"/>
  <c r="B1254" i="9" s="1"/>
  <c r="D115" i="9"/>
  <c r="A103" i="9"/>
  <c r="B103" i="9" s="1"/>
  <c r="C129" i="9"/>
  <c r="D128" i="9"/>
  <c r="D120" i="9"/>
  <c r="D125" i="9"/>
  <c r="D121" i="9"/>
  <c r="A4" i="15"/>
  <c r="B6" i="15"/>
  <c r="B10" i="15"/>
  <c r="B14" i="15"/>
  <c r="B18" i="15"/>
  <c r="B22" i="15"/>
  <c r="B26" i="15"/>
  <c r="B30" i="15"/>
  <c r="B34" i="15"/>
  <c r="B7" i="15"/>
  <c r="B11" i="15"/>
  <c r="B15" i="15"/>
  <c r="B19" i="15"/>
  <c r="B23" i="15"/>
  <c r="B27" i="15"/>
  <c r="B31" i="15"/>
  <c r="B35" i="15"/>
  <c r="B39" i="15"/>
  <c r="B12" i="15"/>
  <c r="B20" i="15"/>
  <c r="B28" i="15"/>
  <c r="B36" i="15"/>
  <c r="B41" i="15"/>
  <c r="B45" i="15"/>
  <c r="B49" i="15"/>
  <c r="B53" i="15"/>
  <c r="B57" i="15"/>
  <c r="B61" i="15"/>
  <c r="B65" i="15"/>
  <c r="B69" i="15"/>
  <c r="B73" i="15"/>
  <c r="B77" i="15"/>
  <c r="B81" i="15"/>
  <c r="B85" i="15"/>
  <c r="B89" i="15"/>
  <c r="B93" i="15"/>
  <c r="B97" i="15"/>
  <c r="B101" i="15"/>
  <c r="B105" i="15"/>
  <c r="B109" i="15"/>
  <c r="B113" i="15"/>
  <c r="B117" i="15"/>
  <c r="B121" i="15"/>
  <c r="B125" i="15"/>
  <c r="B129" i="15"/>
  <c r="B133" i="15"/>
  <c r="B137" i="15"/>
  <c r="B141" i="15"/>
  <c r="B145" i="15"/>
  <c r="B149" i="15"/>
  <c r="B153" i="15"/>
  <c r="B157" i="15"/>
  <c r="B161" i="15"/>
  <c r="B165" i="15"/>
  <c r="B169" i="15"/>
  <c r="B173" i="15"/>
  <c r="B177" i="15"/>
  <c r="B181" i="15"/>
  <c r="B185" i="15"/>
  <c r="B189" i="15"/>
  <c r="B193" i="15"/>
  <c r="B197" i="15"/>
  <c r="B201" i="15"/>
  <c r="B205" i="15"/>
  <c r="B209" i="15"/>
  <c r="B213" i="15"/>
  <c r="B217" i="15"/>
  <c r="B221" i="15"/>
  <c r="B225" i="15"/>
  <c r="B229" i="15"/>
  <c r="B233" i="15"/>
  <c r="B237" i="15"/>
  <c r="B241" i="15"/>
  <c r="B5" i="15"/>
  <c r="A6" i="15" s="1"/>
  <c r="B13" i="15"/>
  <c r="B21" i="15"/>
  <c r="B29" i="15"/>
  <c r="B37" i="15"/>
  <c r="B42" i="15"/>
  <c r="B46" i="15"/>
  <c r="B50" i="15"/>
  <c r="B54" i="15"/>
  <c r="B58" i="15"/>
  <c r="B62" i="15"/>
  <c r="B66" i="15"/>
  <c r="B70" i="15"/>
  <c r="B74" i="15"/>
  <c r="B78" i="15"/>
  <c r="B82" i="15"/>
  <c r="B86" i="15"/>
  <c r="B90" i="15"/>
  <c r="B94" i="15"/>
  <c r="B98" i="15"/>
  <c r="B102" i="15"/>
  <c r="B106" i="15"/>
  <c r="B110" i="15"/>
  <c r="B114" i="15"/>
  <c r="B118" i="15"/>
  <c r="B122" i="15"/>
  <c r="B126" i="15"/>
  <c r="B130" i="15"/>
  <c r="B134" i="15"/>
  <c r="B138" i="15"/>
  <c r="B142" i="15"/>
  <c r="B146" i="15"/>
  <c r="B150" i="15"/>
  <c r="B154" i="15"/>
  <c r="B158" i="15"/>
  <c r="B162" i="15"/>
  <c r="B166" i="15"/>
  <c r="B170" i="15"/>
  <c r="B174" i="15"/>
  <c r="B178" i="15"/>
  <c r="B182" i="15"/>
  <c r="B186" i="15"/>
  <c r="B190" i="15"/>
  <c r="B194" i="15"/>
  <c r="B198" i="15"/>
  <c r="B202" i="15"/>
  <c r="B206" i="15"/>
  <c r="B210" i="15"/>
  <c r="B214" i="15"/>
  <c r="B218" i="15"/>
  <c r="B222" i="15"/>
  <c r="B226" i="15"/>
  <c r="B230" i="15"/>
  <c r="B234" i="15"/>
  <c r="B238" i="15"/>
  <c r="B242" i="15"/>
  <c r="B8" i="15"/>
  <c r="B24" i="15"/>
  <c r="B38" i="15"/>
  <c r="B47" i="15"/>
  <c r="B55" i="15"/>
  <c r="B63" i="15"/>
  <c r="B71" i="15"/>
  <c r="B79" i="15"/>
  <c r="B87" i="15"/>
  <c r="B95" i="15"/>
  <c r="B103" i="15"/>
  <c r="B111" i="15"/>
  <c r="B119" i="15"/>
  <c r="B127" i="15"/>
  <c r="B135" i="15"/>
  <c r="B143" i="15"/>
  <c r="B151" i="15"/>
  <c r="B159" i="15"/>
  <c r="B167" i="15"/>
  <c r="B175" i="15"/>
  <c r="B183" i="15"/>
  <c r="B191" i="15"/>
  <c r="B199" i="15"/>
  <c r="B207" i="15"/>
  <c r="B215" i="15"/>
  <c r="B223" i="15"/>
  <c r="B231" i="15"/>
  <c r="B239" i="15"/>
  <c r="B9" i="15"/>
  <c r="B25" i="15"/>
  <c r="B40" i="15"/>
  <c r="B48" i="15"/>
  <c r="B56" i="15"/>
  <c r="B64" i="15"/>
  <c r="B72" i="15"/>
  <c r="B80" i="15"/>
  <c r="B88" i="15"/>
  <c r="B96" i="15"/>
  <c r="B104" i="15"/>
  <c r="B112" i="15"/>
  <c r="B120" i="15"/>
  <c r="B128" i="15"/>
  <c r="B32" i="15"/>
  <c r="B51" i="15"/>
  <c r="B67" i="15"/>
  <c r="B83" i="15"/>
  <c r="B99" i="15"/>
  <c r="B115" i="15"/>
  <c r="B131" i="15"/>
  <c r="B140" i="15"/>
  <c r="B152" i="15"/>
  <c r="B163" i="15"/>
  <c r="B172" i="15"/>
  <c r="B184" i="15"/>
  <c r="B195" i="15"/>
  <c r="B204" i="15"/>
  <c r="B216" i="15"/>
  <c r="B227" i="15"/>
  <c r="B236" i="15"/>
  <c r="B33" i="15"/>
  <c r="B52" i="15"/>
  <c r="B68" i="15"/>
  <c r="B84" i="15"/>
  <c r="B100" i="15"/>
  <c r="B116" i="15"/>
  <c r="B132" i="15"/>
  <c r="B144" i="15"/>
  <c r="B155" i="15"/>
  <c r="B164" i="15"/>
  <c r="B176" i="15"/>
  <c r="B187" i="15"/>
  <c r="B196" i="15"/>
  <c r="B208" i="15"/>
  <c r="B219" i="15"/>
  <c r="B228" i="15"/>
  <c r="B240" i="15"/>
  <c r="B16" i="15"/>
  <c r="B59" i="15"/>
  <c r="B91" i="15"/>
  <c r="B123" i="15"/>
  <c r="B147" i="15"/>
  <c r="B168" i="15"/>
  <c r="B188" i="15"/>
  <c r="B211" i="15"/>
  <c r="B232" i="15"/>
  <c r="B17" i="15"/>
  <c r="B60" i="15"/>
  <c r="B92" i="15"/>
  <c r="B124" i="15"/>
  <c r="B148" i="15"/>
  <c r="B160" i="15"/>
  <c r="B180" i="15"/>
  <c r="B203" i="15"/>
  <c r="B224" i="15"/>
  <c r="B43" i="15"/>
  <c r="B75" i="15"/>
  <c r="B107" i="15"/>
  <c r="B136" i="15"/>
  <c r="B156" i="15"/>
  <c r="B179" i="15"/>
  <c r="B200" i="15"/>
  <c r="B220" i="15"/>
  <c r="B4" i="15"/>
  <c r="A5" i="15" s="1"/>
  <c r="B44" i="15"/>
  <c r="B76" i="15"/>
  <c r="B108" i="15"/>
  <c r="B139" i="15"/>
  <c r="B171" i="15"/>
  <c r="B192" i="15"/>
  <c r="B212" i="15"/>
  <c r="B235" i="15"/>
  <c r="B5" i="16"/>
  <c r="B9" i="16"/>
  <c r="B13" i="16"/>
  <c r="B17" i="16"/>
  <c r="B21" i="16"/>
  <c r="B25" i="16"/>
  <c r="B29" i="16"/>
  <c r="B33" i="16"/>
  <c r="B37" i="16"/>
  <c r="B41" i="16"/>
  <c r="B45" i="16"/>
  <c r="B49" i="16"/>
  <c r="B53" i="16"/>
  <c r="B57" i="16"/>
  <c r="B61" i="16"/>
  <c r="B65" i="16"/>
  <c r="B69" i="16"/>
  <c r="B73" i="16"/>
  <c r="B77" i="16"/>
  <c r="B81" i="16"/>
  <c r="B85" i="16"/>
  <c r="B89" i="16"/>
  <c r="B93" i="16"/>
  <c r="B97" i="16"/>
  <c r="B101" i="16"/>
  <c r="B6" i="16"/>
  <c r="B10" i="16"/>
  <c r="B14" i="16"/>
  <c r="B18" i="16"/>
  <c r="B22" i="16"/>
  <c r="B26" i="16"/>
  <c r="B30" i="16"/>
  <c r="B34" i="16"/>
  <c r="B38" i="16"/>
  <c r="B42" i="16"/>
  <c r="B46" i="16"/>
  <c r="B50" i="16"/>
  <c r="B54" i="16"/>
  <c r="B58" i="16"/>
  <c r="B62" i="16"/>
  <c r="B66" i="16"/>
  <c r="B70" i="16"/>
  <c r="B74" i="16"/>
  <c r="B78" i="16"/>
  <c r="B82" i="16"/>
  <c r="B86" i="16"/>
  <c r="B90" i="16"/>
  <c r="B94" i="16"/>
  <c r="B98" i="16"/>
  <c r="B102" i="16"/>
  <c r="B11" i="16"/>
  <c r="B19" i="16"/>
  <c r="B27" i="16"/>
  <c r="B35" i="16"/>
  <c r="B43" i="16"/>
  <c r="B51" i="16"/>
  <c r="B59" i="16"/>
  <c r="B67" i="16"/>
  <c r="B75" i="16"/>
  <c r="B83" i="16"/>
  <c r="B91" i="16"/>
  <c r="B99" i="16"/>
  <c r="B105" i="16"/>
  <c r="B109" i="16"/>
  <c r="B113" i="16"/>
  <c r="B117" i="16"/>
  <c r="B121" i="16"/>
  <c r="B125" i="16"/>
  <c r="B129" i="16"/>
  <c r="B133" i="16"/>
  <c r="B137" i="16"/>
  <c r="B141" i="16"/>
  <c r="B145" i="16"/>
  <c r="B149" i="16"/>
  <c r="B153" i="16"/>
  <c r="B157" i="16"/>
  <c r="B161" i="16"/>
  <c r="B165" i="16"/>
  <c r="B169" i="16"/>
  <c r="B173" i="16"/>
  <c r="B177" i="16"/>
  <c r="B181" i="16"/>
  <c r="B185" i="16"/>
  <c r="B189" i="16"/>
  <c r="B193" i="16"/>
  <c r="B197" i="16"/>
  <c r="B201" i="16"/>
  <c r="B205" i="16"/>
  <c r="B209" i="16"/>
  <c r="B213" i="16"/>
  <c r="B217" i="16"/>
  <c r="B221" i="16"/>
  <c r="B225" i="16"/>
  <c r="B229" i="16"/>
  <c r="B233" i="16"/>
  <c r="B237" i="16"/>
  <c r="B241" i="16"/>
  <c r="B12" i="16"/>
  <c r="B20" i="16"/>
  <c r="B28" i="16"/>
  <c r="B36" i="16"/>
  <c r="B44" i="16"/>
  <c r="B52" i="16"/>
  <c r="B60" i="16"/>
  <c r="B68" i="16"/>
  <c r="B76" i="16"/>
  <c r="B84" i="16"/>
  <c r="B92" i="16"/>
  <c r="B100" i="16"/>
  <c r="B106" i="16"/>
  <c r="B110" i="16"/>
  <c r="B114" i="16"/>
  <c r="B118" i="16"/>
  <c r="B122" i="16"/>
  <c r="B126" i="16"/>
  <c r="B130" i="16"/>
  <c r="B134" i="16"/>
  <c r="B138" i="16"/>
  <c r="B142" i="16"/>
  <c r="B146" i="16"/>
  <c r="B150" i="16"/>
  <c r="B154" i="16"/>
  <c r="B158" i="16"/>
  <c r="B162" i="16"/>
  <c r="B166" i="16"/>
  <c r="B170" i="16"/>
  <c r="B174" i="16"/>
  <c r="B178" i="16"/>
  <c r="B182" i="16"/>
  <c r="B186" i="16"/>
  <c r="B190" i="16"/>
  <c r="B194" i="16"/>
  <c r="B198" i="16"/>
  <c r="B202" i="16"/>
  <c r="B206" i="16"/>
  <c r="B210" i="16"/>
  <c r="B214" i="16"/>
  <c r="B218" i="16"/>
  <c r="B222" i="16"/>
  <c r="B226" i="16"/>
  <c r="B230" i="16"/>
  <c r="B234" i="16"/>
  <c r="B238" i="16"/>
  <c r="B242" i="16"/>
  <c r="B15" i="16"/>
  <c r="B31" i="16"/>
  <c r="B47" i="16"/>
  <c r="B63" i="16"/>
  <c r="B79" i="16"/>
  <c r="B95" i="16"/>
  <c r="B107" i="16"/>
  <c r="B115" i="16"/>
  <c r="B123" i="16"/>
  <c r="B131" i="16"/>
  <c r="B139" i="16"/>
  <c r="B147" i="16"/>
  <c r="B155" i="16"/>
  <c r="B163" i="16"/>
  <c r="B171" i="16"/>
  <c r="B179" i="16"/>
  <c r="B187" i="16"/>
  <c r="B195" i="16"/>
  <c r="B203" i="16"/>
  <c r="B211" i="16"/>
  <c r="B219" i="16"/>
  <c r="B227" i="16"/>
  <c r="B235" i="16"/>
  <c r="B4" i="16"/>
  <c r="B16" i="16"/>
  <c r="B32" i="16"/>
  <c r="B48" i="16"/>
  <c r="B64" i="16"/>
  <c r="B80" i="16"/>
  <c r="B96" i="16"/>
  <c r="B108" i="16"/>
  <c r="B116" i="16"/>
  <c r="B124" i="16"/>
  <c r="B132" i="16"/>
  <c r="B140" i="16"/>
  <c r="B148" i="16"/>
  <c r="B156" i="16"/>
  <c r="B164" i="16"/>
  <c r="B172" i="16"/>
  <c r="B180" i="16"/>
  <c r="B188" i="16"/>
  <c r="B196" i="16"/>
  <c r="B204" i="16"/>
  <c r="B212" i="16"/>
  <c r="B220" i="16"/>
  <c r="B228" i="16"/>
  <c r="B236" i="16"/>
  <c r="B7" i="16"/>
  <c r="B39" i="16"/>
  <c r="B71" i="16"/>
  <c r="B103" i="16"/>
  <c r="B119" i="16"/>
  <c r="B135" i="16"/>
  <c r="B151" i="16"/>
  <c r="B167" i="16"/>
  <c r="B183" i="16"/>
  <c r="B199" i="16"/>
  <c r="B215" i="16"/>
  <c r="B231" i="16"/>
  <c r="B8" i="16"/>
  <c r="B40" i="16"/>
  <c r="B72" i="16"/>
  <c r="B104" i="16"/>
  <c r="B120" i="16"/>
  <c r="B136" i="16"/>
  <c r="B152" i="16"/>
  <c r="B168" i="16"/>
  <c r="B184" i="16"/>
  <c r="B200" i="16"/>
  <c r="B216" i="16"/>
  <c r="B232" i="16"/>
  <c r="B55" i="16"/>
  <c r="B111" i="16"/>
  <c r="B143" i="16"/>
  <c r="B175" i="16"/>
  <c r="B207" i="16"/>
  <c r="B239" i="16"/>
  <c r="B56" i="16"/>
  <c r="B112" i="16"/>
  <c r="B144" i="16"/>
  <c r="B176" i="16"/>
  <c r="B208" i="16"/>
  <c r="B240" i="16"/>
  <c r="B23" i="16"/>
  <c r="B127" i="16"/>
  <c r="B191" i="16"/>
  <c r="B24" i="16"/>
  <c r="B128" i="16"/>
  <c r="B192" i="16"/>
  <c r="B87" i="16"/>
  <c r="B159" i="16"/>
  <c r="B223" i="16"/>
  <c r="B88" i="16"/>
  <c r="B160" i="16"/>
  <c r="B224" i="16"/>
  <c r="A4" i="16"/>
  <c r="AA1232" i="9"/>
  <c r="AA859" i="9"/>
  <c r="AA777" i="9"/>
  <c r="AA1371" i="9"/>
  <c r="AA29" i="9"/>
  <c r="AA832" i="9"/>
  <c r="AA1529" i="9"/>
  <c r="AA846" i="9"/>
  <c r="AA243" i="9"/>
  <c r="AA786" i="9"/>
  <c r="AA427" i="9"/>
  <c r="AA1037" i="9"/>
  <c r="AA1044" i="9"/>
  <c r="AA590" i="9"/>
  <c r="AA1240" i="9"/>
  <c r="AA213" i="9"/>
  <c r="AA806" i="9"/>
  <c r="AA1358" i="9"/>
  <c r="AA26" i="9"/>
  <c r="AA1421" i="9"/>
  <c r="AA1173" i="9"/>
  <c r="AA1365" i="9"/>
  <c r="AA1193" i="9"/>
  <c r="AA1367" i="9"/>
  <c r="AA1183" i="9"/>
  <c r="AA102" i="9"/>
  <c r="AA651" i="9"/>
  <c r="AA300" i="9"/>
  <c r="AA1006" i="9"/>
  <c r="AA110" i="9"/>
  <c r="AA833" i="9"/>
  <c r="AA101" i="9"/>
  <c r="AA229" i="9"/>
  <c r="AA32" i="9"/>
  <c r="AA1499" i="9"/>
  <c r="AA1457" i="9"/>
  <c r="AA71" i="9"/>
  <c r="AA808" i="9"/>
  <c r="AA984" i="9"/>
  <c r="AA257" i="9"/>
  <c r="AA824" i="9"/>
  <c r="AA652" i="9"/>
  <c r="AA1483" i="9"/>
  <c r="AA1162" i="9"/>
  <c r="AA23" i="9"/>
  <c r="AA47" i="9"/>
  <c r="AA217" i="9"/>
  <c r="AA21" i="9"/>
  <c r="AA33" i="9"/>
  <c r="AA1535" i="9"/>
  <c r="AA426" i="9"/>
  <c r="AA402" i="9"/>
  <c r="AA1403" i="9"/>
  <c r="AA1169" i="9"/>
  <c r="AA845" i="9"/>
  <c r="AA603" i="9"/>
  <c r="AA614" i="9"/>
  <c r="AA1234" i="9"/>
  <c r="AA1485" i="9"/>
  <c r="AA850" i="9"/>
  <c r="AA250" i="9"/>
  <c r="AA438" i="9"/>
  <c r="AA797" i="9"/>
  <c r="AA789" i="9"/>
  <c r="AA63" i="9"/>
  <c r="AA1539" i="9"/>
  <c r="AA212" i="9"/>
  <c r="AA46" i="9"/>
  <c r="AA1075" i="9"/>
  <c r="AA238" i="9"/>
  <c r="AA865" i="9"/>
  <c r="AA631" i="9"/>
  <c r="AA1355" i="9"/>
  <c r="AA445" i="9"/>
  <c r="AA1256" i="9"/>
  <c r="AA282" i="9"/>
  <c r="AA1171" i="9"/>
  <c r="AA233" i="9"/>
  <c r="AA121" i="9"/>
  <c r="AA74" i="9"/>
  <c r="AA683" i="9"/>
  <c r="AA1428" i="9"/>
  <c r="AA665" i="9"/>
  <c r="AA877" i="9"/>
  <c r="AA222" i="9"/>
  <c r="AA1360" i="9"/>
  <c r="AA1461" i="9"/>
  <c r="AA128" i="9"/>
  <c r="AA452" i="9"/>
  <c r="AA1244" i="9"/>
  <c r="AA814" i="9"/>
  <c r="AA839" i="9"/>
  <c r="AA253" i="9"/>
  <c r="AA95" i="9"/>
  <c r="AA798" i="9"/>
  <c r="AA1393" i="9"/>
  <c r="AA1495" i="9"/>
  <c r="AA1184" i="9"/>
  <c r="AA807" i="9"/>
  <c r="AA1026" i="9"/>
  <c r="AA75" i="9"/>
  <c r="AA801" i="9"/>
  <c r="AA1043" i="9"/>
  <c r="AA99" i="9"/>
  <c r="AA1180" i="9"/>
  <c r="AA872" i="9"/>
  <c r="AA423" i="9"/>
  <c r="AA480" i="9"/>
  <c r="AA595" i="9"/>
  <c r="AA1477" i="9"/>
  <c r="AA280" i="9"/>
  <c r="AA290" i="9"/>
  <c r="AA1054" i="9"/>
  <c r="AA790" i="9"/>
  <c r="AA1425" i="9"/>
  <c r="AA1533" i="9"/>
  <c r="AA1052" i="9"/>
  <c r="AA796" i="9"/>
  <c r="AA209" i="9"/>
  <c r="AA55" i="9"/>
  <c r="AA58" i="9"/>
  <c r="AA828" i="9"/>
  <c r="AA456" i="9"/>
  <c r="AA666" i="9"/>
  <c r="AA664" i="9"/>
  <c r="AA273" i="9"/>
  <c r="AA635" i="9"/>
  <c r="AA1431" i="9"/>
  <c r="AA1051" i="9"/>
  <c r="AA970" i="9"/>
  <c r="AA1053" i="9"/>
  <c r="AA1357" i="9"/>
  <c r="AA218" i="9"/>
  <c r="AA1413" i="9"/>
  <c r="AA1537" i="9"/>
  <c r="AA1200" i="9"/>
  <c r="AA15" i="9"/>
  <c r="AA295" i="9"/>
  <c r="AA667" i="9"/>
  <c r="AA263" i="9"/>
  <c r="AA680" i="9"/>
  <c r="AA395" i="9"/>
  <c r="AA1414" i="9"/>
  <c r="AA18" i="9"/>
  <c r="AA1429" i="9"/>
  <c r="AA972" i="9"/>
  <c r="AA80" i="9"/>
  <c r="AA1045" i="9"/>
  <c r="AA1230" i="9"/>
  <c r="AA1022" i="9"/>
  <c r="AA1042" i="9"/>
  <c r="AA434" i="9"/>
  <c r="AA1444" i="9"/>
  <c r="AA864" i="9"/>
  <c r="AA670" i="9"/>
  <c r="AA1251" i="9"/>
  <c r="AA478" i="9"/>
  <c r="AA622" i="9"/>
  <c r="AA624" i="9"/>
  <c r="AA59" i="9"/>
  <c r="AA842" i="9"/>
  <c r="AA241" i="9"/>
  <c r="AA399" i="9"/>
  <c r="AA1172" i="9"/>
  <c r="AA24" i="9"/>
  <c r="AA794" i="9"/>
  <c r="AA1010" i="9"/>
  <c r="AA1055" i="9"/>
  <c r="AA1031" i="9"/>
  <c r="AA1491" i="9"/>
  <c r="AA820" i="9"/>
  <c r="AA259" i="9"/>
  <c r="AA672" i="9"/>
  <c r="L15" i="14"/>
  <c r="AA246" i="9"/>
  <c r="AA1400" i="9"/>
  <c r="AA1199" i="9"/>
  <c r="AA1406" i="9"/>
  <c r="AA1527" i="9"/>
  <c r="AA1204" i="9"/>
  <c r="AA202" i="9"/>
  <c r="AA275" i="9"/>
  <c r="AA1497" i="9"/>
  <c r="AA428" i="9"/>
  <c r="AA1049" i="9"/>
  <c r="AA1380" i="9"/>
  <c r="AA476" i="9"/>
  <c r="AA827" i="9"/>
  <c r="AA10" i="9"/>
  <c r="AA1201" i="9"/>
  <c r="AA38" i="9"/>
  <c r="AA1260" i="9"/>
  <c r="AA69" i="9"/>
  <c r="AA84" i="9"/>
  <c r="AA978" i="9"/>
  <c r="AA417" i="9"/>
  <c r="AA840" i="9"/>
  <c r="AA783" i="9"/>
  <c r="AA818" i="9"/>
  <c r="AA641" i="9"/>
  <c r="AA291" i="9"/>
  <c r="AA1016" i="9"/>
  <c r="AA691" i="9"/>
  <c r="AA408" i="9"/>
  <c r="AA468" i="9"/>
  <c r="AA852" i="9"/>
  <c r="AA646" i="9"/>
  <c r="AA1473" i="9"/>
  <c r="AA1420" i="9"/>
  <c r="AA1248" i="9"/>
  <c r="AA881" i="9"/>
  <c r="AA975" i="9"/>
  <c r="AA244" i="9"/>
  <c r="AA433" i="9"/>
  <c r="AA240" i="9"/>
  <c r="AA1024" i="9"/>
  <c r="AA51" i="9"/>
  <c r="AA223" i="9"/>
  <c r="AA642" i="9"/>
  <c r="AA1385" i="9"/>
  <c r="N15" i="14"/>
  <c r="AA1481" i="9"/>
  <c r="AA1353" i="9"/>
  <c r="AA220" i="9"/>
  <c r="AA39" i="9"/>
  <c r="AA449" i="9"/>
  <c r="AA1376" i="9"/>
  <c r="AA1505" i="9"/>
  <c r="AA467" i="9"/>
  <c r="AA617" i="9"/>
  <c r="AA1525" i="9"/>
  <c r="AA299" i="9"/>
  <c r="AA1404" i="9"/>
  <c r="AA599" i="9"/>
  <c r="AA446" i="9"/>
  <c r="AA496" i="9"/>
  <c r="AA260" i="9"/>
  <c r="AA853" i="9"/>
  <c r="AA1422" i="9"/>
  <c r="AA588" i="9"/>
  <c r="AA397" i="9"/>
  <c r="AA1021" i="9"/>
  <c r="AA656" i="9"/>
  <c r="AA1364" i="9"/>
  <c r="AA1187" i="9"/>
  <c r="AA1513" i="9"/>
  <c r="AA1370" i="9"/>
  <c r="AA104" i="9"/>
  <c r="AA1056" i="9"/>
  <c r="AA268" i="9"/>
  <c r="AA460" i="9"/>
  <c r="AA987" i="9"/>
  <c r="AA458" i="9"/>
  <c r="AA1411" i="9"/>
  <c r="AA396" i="9"/>
  <c r="AA451" i="9"/>
  <c r="AA265" i="9"/>
  <c r="AA1509" i="9"/>
  <c r="AA996" i="9"/>
  <c r="AA400" i="9"/>
  <c r="AA778" i="9"/>
  <c r="AA835" i="9"/>
  <c r="AA813" i="9"/>
  <c r="AA644" i="9"/>
  <c r="AA37" i="9"/>
  <c r="AA1523" i="9"/>
  <c r="AA1017" i="9"/>
  <c r="K15" i="14"/>
  <c r="AA650" i="9"/>
  <c r="AA1432" i="9"/>
  <c r="AA87" i="9"/>
  <c r="AA1448" i="9"/>
  <c r="AA439" i="9"/>
  <c r="AA1170" i="9"/>
  <c r="AA471" i="9"/>
  <c r="AA1208" i="9"/>
  <c r="AA463" i="9"/>
  <c r="AA89" i="9"/>
  <c r="AA823" i="9"/>
  <c r="AA973" i="9"/>
  <c r="AA255" i="9"/>
  <c r="AA472" i="9"/>
  <c r="AA677" i="9"/>
  <c r="AA83" i="9"/>
  <c r="AA611" i="9"/>
  <c r="AA620" i="9"/>
  <c r="AA1479" i="9"/>
  <c r="AA108" i="9"/>
  <c r="AA270" i="9"/>
  <c r="AA1372" i="9"/>
  <c r="AA589" i="9"/>
  <c r="AA854" i="9"/>
  <c r="AA394" i="9"/>
  <c r="AA450" i="9"/>
  <c r="AA1517" i="9"/>
  <c r="AA1039" i="9"/>
  <c r="AA68" i="9"/>
  <c r="AA470" i="9"/>
  <c r="AA785" i="9"/>
  <c r="AA35" i="9"/>
  <c r="AA668" i="9"/>
  <c r="AA92" i="9"/>
  <c r="AA252" i="9"/>
  <c r="AA1219" i="9"/>
  <c r="AA1361" i="9"/>
  <c r="AA41" i="9"/>
  <c r="AA988" i="9"/>
  <c r="AA67" i="9"/>
  <c r="AA662" i="9"/>
  <c r="AA1224" i="9"/>
  <c r="AA225" i="9"/>
  <c r="AA1359" i="9"/>
  <c r="AA1507" i="9"/>
  <c r="M15" i="14"/>
  <c r="AA788" i="9"/>
  <c r="AA1225" i="9"/>
  <c r="AA986" i="9"/>
  <c r="AA999" i="9"/>
  <c r="AA1191" i="9"/>
  <c r="AA866" i="9"/>
  <c r="AA809" i="9"/>
  <c r="AA224" i="9"/>
  <c r="AA1163" i="9"/>
  <c r="AA626" i="9"/>
  <c r="AA301" i="9"/>
  <c r="AA113" i="9"/>
  <c r="AA1196" i="9"/>
  <c r="AA645" i="9"/>
  <c r="AA630" i="9"/>
  <c r="AA1064" i="9"/>
  <c r="AA226" i="9"/>
  <c r="AA629" i="9"/>
  <c r="AA66" i="9"/>
  <c r="AA971" i="9"/>
  <c r="AA1025" i="9"/>
  <c r="AA232" i="9"/>
  <c r="AA673" i="9"/>
  <c r="AA1069" i="9"/>
  <c r="AA216" i="9"/>
  <c r="AA1203" i="9"/>
  <c r="AA983" i="9"/>
  <c r="AA1202" i="9"/>
  <c r="AA597" i="9"/>
  <c r="AA1231" i="9"/>
  <c r="AA73" i="9"/>
  <c r="AA440" i="9"/>
  <c r="AA1252" i="9"/>
  <c r="AA858" i="9"/>
  <c r="AA231" i="9"/>
  <c r="AA800" i="9"/>
  <c r="AA1501" i="9"/>
  <c r="AA991" i="9"/>
  <c r="AA56" i="9"/>
  <c r="AA633" i="9"/>
  <c r="AA787" i="9"/>
  <c r="AA1192" i="9"/>
  <c r="AA1027" i="9"/>
  <c r="AA284" i="9"/>
  <c r="AA1356" i="9"/>
  <c r="AA974" i="9"/>
  <c r="AA42" i="9"/>
  <c r="AA82" i="9"/>
  <c r="AA420" i="9"/>
  <c r="AA1255" i="9"/>
  <c r="AA1036" i="9"/>
  <c r="AA1396" i="9"/>
  <c r="AA1001" i="9"/>
  <c r="AA637" i="9"/>
  <c r="AA1395" i="9"/>
  <c r="AA77" i="9"/>
  <c r="AA1487" i="9"/>
  <c r="AA40" i="9"/>
  <c r="AA1236" i="9"/>
  <c r="AA1391" i="9"/>
  <c r="AA619" i="9"/>
  <c r="AA627" i="9"/>
  <c r="AA1186" i="9"/>
  <c r="AA65" i="9"/>
  <c r="AA1427" i="9"/>
  <c r="AA802" i="9"/>
  <c r="AA100" i="9"/>
  <c r="AA1198" i="9"/>
  <c r="AA591" i="9"/>
  <c r="AA9" i="9"/>
  <c r="AA1223" i="9"/>
  <c r="AA594" i="9"/>
  <c r="AA116" i="9"/>
  <c r="AA838" i="9"/>
  <c r="AA1442" i="9"/>
  <c r="AA17" i="9"/>
  <c r="AA1214" i="9"/>
  <c r="AA1019" i="9"/>
  <c r="AA1213" i="9"/>
  <c r="AA1165" i="9"/>
  <c r="AA1209" i="9"/>
  <c r="AA487" i="9"/>
  <c r="AA248" i="9"/>
  <c r="AA1375" i="9"/>
  <c r="AA1453" i="9"/>
  <c r="AA1463" i="9"/>
  <c r="AA1412" i="9"/>
  <c r="AA52" i="9"/>
  <c r="AA1058" i="9"/>
  <c r="AA208" i="9"/>
  <c r="AA462" i="9"/>
  <c r="AA1402" i="9"/>
  <c r="AA649" i="9"/>
  <c r="AA876" i="9"/>
  <c r="AA206" i="9"/>
  <c r="AA1261" i="9"/>
  <c r="AA1005" i="9"/>
  <c r="AA1454" i="9"/>
  <c r="AA1369" i="9"/>
  <c r="AA1250" i="9"/>
  <c r="AA1050" i="9"/>
  <c r="AA57" i="9"/>
  <c r="AA779" i="9"/>
  <c r="AA1040" i="9"/>
  <c r="AA25" i="9"/>
  <c r="AA214" i="9"/>
  <c r="AA1408" i="9"/>
  <c r="AA411" i="9"/>
  <c r="AA437" i="9"/>
  <c r="AA1194" i="9"/>
  <c r="AA1443" i="9"/>
  <c r="AA79" i="9"/>
  <c r="AA831" i="9"/>
  <c r="AA1437" i="9"/>
  <c r="AA1519" i="9"/>
  <c r="AA825" i="9"/>
  <c r="AA403" i="9"/>
  <c r="AA414" i="9"/>
  <c r="AA1013" i="9"/>
  <c r="AA671" i="9"/>
  <c r="AA1227" i="9"/>
  <c r="AA810" i="9"/>
  <c r="AA50" i="9"/>
  <c r="AA643" i="9"/>
  <c r="AA464" i="9"/>
  <c r="AA1174" i="9"/>
  <c r="AA1418" i="9"/>
  <c r="AA221" i="9"/>
  <c r="AA605" i="9"/>
  <c r="AA1405" i="9"/>
  <c r="AA856" i="9"/>
  <c r="AA242" i="9"/>
  <c r="O15" i="14"/>
  <c r="AA497" i="9"/>
  <c r="AA1394" i="9"/>
  <c r="AA12" i="9"/>
  <c r="AA799" i="9"/>
  <c r="AA682" i="9"/>
  <c r="AA249" i="9"/>
  <c r="AA483" i="9"/>
  <c r="AA271" i="9"/>
  <c r="AA297" i="9"/>
  <c r="AA985" i="9"/>
  <c r="AA1047" i="9"/>
  <c r="AA112" i="9"/>
  <c r="AA868" i="9"/>
  <c r="AA305" i="9"/>
  <c r="AA686" i="9"/>
  <c r="AA1228" i="9"/>
  <c r="AA1007" i="9"/>
  <c r="AA1441" i="9"/>
  <c r="AA492" i="9"/>
  <c r="AA457" i="9"/>
  <c r="AA1456" i="9"/>
  <c r="AA661" i="9"/>
  <c r="AA278" i="9"/>
  <c r="AA1401" i="9"/>
  <c r="AA1190" i="9"/>
  <c r="AA585" i="9"/>
  <c r="AA1185" i="9"/>
  <c r="AA1179" i="9"/>
  <c r="AA1245" i="9"/>
  <c r="AA1182" i="9"/>
  <c r="AA422" i="9"/>
  <c r="AA1057" i="9"/>
  <c r="AA1521" i="9"/>
  <c r="AA1011" i="9"/>
  <c r="AA1424" i="9"/>
  <c r="AA1233" i="9"/>
  <c r="AA430" i="9"/>
  <c r="AA308" i="9"/>
  <c r="AA484" i="9"/>
  <c r="AA76" i="9"/>
  <c r="AA107" i="9"/>
  <c r="AA1465" i="9"/>
  <c r="AA1238" i="9"/>
  <c r="AA236" i="9"/>
  <c r="AA106" i="9"/>
  <c r="AA1239" i="9"/>
  <c r="AA481" i="9"/>
  <c r="AA11" i="9"/>
  <c r="AA416" i="9"/>
  <c r="AA48" i="9"/>
  <c r="AA1382" i="9"/>
  <c r="AA1060" i="9"/>
  <c r="AA264" i="9"/>
  <c r="AA1363" i="9"/>
  <c r="AA1354" i="9"/>
  <c r="AA234" i="9"/>
  <c r="AA269" i="9"/>
  <c r="AA1177" i="9"/>
  <c r="AA1511" i="9"/>
  <c r="AA830" i="9"/>
  <c r="AA96" i="9"/>
  <c r="AA54" i="9"/>
  <c r="AA1205" i="9"/>
  <c r="AA1008" i="9"/>
  <c r="AA688" i="9"/>
  <c r="AA31" i="9"/>
  <c r="AA679" i="9"/>
  <c r="AA855" i="9"/>
  <c r="AA251" i="9"/>
  <c r="AA53" i="9"/>
  <c r="AA1197" i="9"/>
  <c r="AA604" i="9"/>
  <c r="AA494" i="9"/>
  <c r="AA612" i="9"/>
  <c r="AA20" i="9"/>
  <c r="AA684" i="9"/>
  <c r="AA1004" i="9"/>
  <c r="AA675" i="9"/>
  <c r="AA466" i="9"/>
  <c r="AA258" i="9"/>
  <c r="AA1015" i="9"/>
  <c r="AA1386" i="9"/>
  <c r="AA608" i="9"/>
  <c r="AA447" i="9"/>
  <c r="AA862" i="9"/>
  <c r="AA1247" i="9"/>
  <c r="AA1243" i="9"/>
  <c r="AA485" i="9"/>
  <c r="AA401" i="9"/>
  <c r="AA976" i="9"/>
  <c r="AA998" i="9"/>
  <c r="AA1065" i="9"/>
  <c r="AA227" i="9"/>
  <c r="AA81" i="9"/>
  <c r="AA616" i="9"/>
  <c r="AA44" i="9"/>
  <c r="AA1249" i="9"/>
  <c r="AA475" i="9"/>
  <c r="AA1242" i="9"/>
  <c r="AA997" i="9"/>
  <c r="AA435" i="9"/>
  <c r="AA834" i="9"/>
  <c r="AA1383" i="9"/>
  <c r="AA873" i="9"/>
  <c r="AA995" i="9"/>
  <c r="AA879" i="9"/>
  <c r="AA1046" i="9"/>
  <c r="AA34" i="9"/>
  <c r="AA419" i="9"/>
  <c r="AA1419" i="9"/>
  <c r="AA639" i="9"/>
  <c r="AA687" i="9"/>
  <c r="AA632" i="9"/>
  <c r="AA204" i="9"/>
  <c r="AA1176" i="9"/>
  <c r="AA593" i="9"/>
  <c r="AA1216" i="9"/>
  <c r="AA491" i="9"/>
  <c r="AA418" i="9"/>
  <c r="AA1018" i="9"/>
  <c r="AA857" i="9"/>
  <c r="AA1438" i="9"/>
  <c r="AA1207" i="9"/>
  <c r="AA413" i="9"/>
  <c r="AA261" i="9"/>
  <c r="AA1392" i="9"/>
  <c r="AA1175" i="9"/>
  <c r="AA211" i="9"/>
  <c r="AA1467" i="9"/>
  <c r="AA843" i="9"/>
  <c r="AA436" i="9"/>
  <c r="AA1398" i="9"/>
  <c r="AA636" i="9"/>
  <c r="AA281" i="9"/>
  <c r="AA254" i="9"/>
  <c r="AA498" i="9"/>
  <c r="AA1493" i="9"/>
  <c r="AA489" i="9"/>
  <c r="AA609" i="9"/>
  <c r="AA657" i="9"/>
  <c r="AA409" i="9"/>
  <c r="AA977" i="9"/>
  <c r="AA1423" i="9"/>
  <c r="AA64" i="9"/>
  <c r="AA215" i="9"/>
  <c r="AA598" i="9"/>
  <c r="AA1410" i="9"/>
  <c r="AA1066" i="9"/>
  <c r="AA681" i="9"/>
  <c r="AA875" i="9"/>
  <c r="AA424" i="9"/>
  <c r="AA277" i="9"/>
  <c r="AA289" i="9"/>
  <c r="AA685" i="9"/>
  <c r="AA499" i="9"/>
  <c r="AA849" i="9"/>
  <c r="AA602" i="9"/>
  <c r="AA105" i="9"/>
  <c r="AA1059" i="9"/>
  <c r="AA465" i="9"/>
  <c r="AA634" i="9"/>
  <c r="AA1263" i="9"/>
  <c r="AA201" i="9"/>
  <c r="AA844" i="9"/>
  <c r="AA298" i="9"/>
  <c r="AA90" i="9"/>
  <c r="AA459" i="9"/>
  <c r="AA669" i="9"/>
  <c r="AA816" i="9"/>
  <c r="AA660" i="9"/>
  <c r="AA1246" i="9"/>
  <c r="AA1072" i="9"/>
  <c r="AA266" i="9"/>
  <c r="AA811" i="9"/>
  <c r="AA869" i="9"/>
  <c r="AA690" i="9"/>
  <c r="AA653" i="9"/>
  <c r="AA1003" i="9"/>
  <c r="AA592" i="9"/>
  <c r="AA13" i="9"/>
  <c r="AA1030" i="9"/>
  <c r="AA792" i="9"/>
  <c r="AA1455" i="9"/>
  <c r="AA1038" i="9"/>
  <c r="AA1220" i="9"/>
  <c r="AA1426" i="9"/>
  <c r="AA1262" i="9"/>
  <c r="AA256" i="9"/>
  <c r="AA1450" i="9"/>
  <c r="AA880" i="9"/>
  <c r="AA219" i="9"/>
  <c r="AA1028" i="9"/>
  <c r="AA1543" i="9"/>
  <c r="AA1253" i="9"/>
  <c r="AA1389" i="9"/>
  <c r="AA1041" i="9"/>
  <c r="AA203" i="9"/>
  <c r="AA815" i="9"/>
  <c r="AA444" i="9"/>
  <c r="AA60" i="9"/>
  <c r="AA405" i="9"/>
  <c r="AA482" i="9"/>
  <c r="AA1397" i="9"/>
  <c r="AA1067" i="9"/>
  <c r="AA235" i="9"/>
  <c r="AA791" i="9"/>
  <c r="AA479" i="9"/>
  <c r="AA989" i="9"/>
  <c r="AA1451" i="9"/>
  <c r="AA111" i="9"/>
  <c r="AA1435" i="9"/>
  <c r="AA292" i="9"/>
  <c r="AA272" i="9"/>
  <c r="AA1206" i="9"/>
  <c r="AA1381" i="9"/>
  <c r="AA1434" i="9"/>
  <c r="AA1433" i="9"/>
  <c r="AA125" i="9"/>
  <c r="AA1459" i="9"/>
  <c r="AA97" i="9"/>
  <c r="AA1189" i="9"/>
  <c r="AA1378" i="9"/>
  <c r="AA454" i="9"/>
  <c r="AA1221" i="9"/>
  <c r="AA303" i="9"/>
  <c r="AA1373" i="9"/>
  <c r="AA1264" i="9"/>
  <c r="AA1384" i="9"/>
  <c r="AA793" i="9"/>
  <c r="AA1000" i="9"/>
  <c r="AA819" i="9"/>
  <c r="AA1212" i="9"/>
  <c r="AA990" i="9"/>
  <c r="AA1267" i="9"/>
  <c r="AA45" i="9"/>
  <c r="AA1164" i="9"/>
  <c r="AA393" i="9"/>
  <c r="AA262" i="9"/>
  <c r="AA1257" i="9"/>
  <c r="AA1076" i="9"/>
  <c r="AA486" i="9"/>
  <c r="AA477" i="9"/>
  <c r="AA837" i="9"/>
  <c r="AA586" i="9"/>
  <c r="AA826" i="9"/>
  <c r="AA623" i="9"/>
  <c r="AA606" i="9"/>
  <c r="AA412" i="9"/>
  <c r="AA283" i="9"/>
  <c r="AA473" i="9"/>
  <c r="AA654" i="9"/>
  <c r="AA474" i="9"/>
  <c r="AA817" i="9"/>
  <c r="AA443" i="9"/>
  <c r="AA1235" i="9"/>
  <c r="AA415" i="9"/>
  <c r="AA85" i="9"/>
  <c r="AA1452" i="9"/>
  <c r="AA27" i="9"/>
  <c r="AA1436" i="9"/>
  <c r="AA1029" i="9"/>
  <c r="AA120" i="9"/>
  <c r="AA676" i="9"/>
  <c r="AA1503" i="9"/>
  <c r="AA621" i="9"/>
  <c r="AA587" i="9"/>
  <c r="AA1033" i="9"/>
  <c r="AA453" i="9"/>
  <c r="AA461" i="9"/>
  <c r="AA287" i="9"/>
  <c r="AA674" i="9"/>
  <c r="AA91" i="9"/>
  <c r="AA94" i="9"/>
  <c r="AA14" i="9"/>
  <c r="AA72" i="9"/>
  <c r="AA795" i="9"/>
  <c r="AA647" i="9"/>
  <c r="AA1258" i="9"/>
  <c r="AA88" i="9"/>
  <c r="AA979" i="9"/>
  <c r="AA103" i="9"/>
  <c r="AA493" i="9"/>
  <c r="AA863" i="9"/>
  <c r="AA969" i="9"/>
  <c r="AA628" i="9"/>
  <c r="AA871" i="9"/>
  <c r="AA1265" i="9"/>
  <c r="AA210" i="9"/>
  <c r="AA1226" i="9"/>
  <c r="AA1268" i="9"/>
  <c r="AA19" i="9"/>
  <c r="AA1259" i="9"/>
  <c r="AA867" i="9"/>
  <c r="AA1074" i="9"/>
  <c r="AA601" i="9"/>
  <c r="AA431" i="9"/>
  <c r="AA678" i="9"/>
  <c r="AA870" i="9"/>
  <c r="AA296" i="9"/>
  <c r="AA782" i="9"/>
  <c r="AA860" i="9"/>
  <c r="AA1445" i="9"/>
  <c r="AA1531" i="9"/>
  <c r="AA1388" i="9"/>
  <c r="AA448" i="9"/>
  <c r="AA490" i="9"/>
  <c r="AA49" i="9"/>
  <c r="AA1241" i="9"/>
  <c r="AA884" i="9"/>
  <c r="AA237" i="9"/>
  <c r="AA882" i="9"/>
  <c r="AA640" i="9"/>
  <c r="AA781" i="9"/>
  <c r="AA306" i="9"/>
  <c r="AA874" i="9"/>
  <c r="AA1515" i="9"/>
  <c r="AA1035" i="9"/>
  <c r="AA848" i="9"/>
  <c r="AA442" i="9"/>
  <c r="AA93" i="9"/>
  <c r="AA28" i="9"/>
  <c r="AA469" i="9"/>
  <c r="AA610" i="9"/>
  <c r="AA285" i="9"/>
  <c r="AA841" i="9"/>
  <c r="AA805" i="9"/>
  <c r="AA407" i="9"/>
  <c r="AA1440" i="9"/>
  <c r="AA230" i="9"/>
  <c r="AA1178" i="9"/>
  <c r="AA406" i="9"/>
  <c r="AA205" i="9"/>
  <c r="AA1211" i="9"/>
  <c r="AA1458" i="9"/>
  <c r="AA500" i="9"/>
  <c r="AA1210" i="9"/>
  <c r="AA114" i="9"/>
  <c r="AA1469" i="9"/>
  <c r="AA1489" i="9"/>
  <c r="AA878" i="9"/>
  <c r="AA596" i="9"/>
  <c r="AA655" i="9"/>
  <c r="AA1541" i="9"/>
  <c r="AA658" i="9"/>
  <c r="AA22" i="9"/>
  <c r="AA1048" i="9"/>
  <c r="AA455" i="9"/>
  <c r="AA239" i="9"/>
  <c r="AA247" i="9"/>
  <c r="AA618" i="9"/>
  <c r="AA994" i="9"/>
  <c r="AA276" i="9"/>
  <c r="AA1439" i="9"/>
  <c r="AA288" i="9"/>
  <c r="AA1471" i="9"/>
  <c r="AA16" i="9"/>
  <c r="AA1266" i="9"/>
  <c r="AA1416" i="9"/>
  <c r="AA293" i="9"/>
  <c r="AA689" i="9"/>
  <c r="AA1195" i="9"/>
  <c r="AA1061" i="9"/>
  <c r="AA1166" i="9"/>
  <c r="AA659" i="9"/>
  <c r="AA847" i="9"/>
  <c r="AA304" i="9"/>
  <c r="AA1167" i="9"/>
  <c r="AA1409" i="9"/>
  <c r="AA1002" i="9"/>
  <c r="AA1068" i="9"/>
  <c r="AA851" i="9"/>
  <c r="AA398" i="9"/>
  <c r="AA836" i="9"/>
  <c r="AA302" i="9"/>
  <c r="AA441" i="9"/>
  <c r="AA780" i="9"/>
  <c r="AA1399" i="9"/>
  <c r="AA294" i="9"/>
  <c r="AA1063" i="9"/>
  <c r="AA286" i="9"/>
  <c r="AA992" i="9"/>
  <c r="AA274" i="9"/>
  <c r="AA607" i="9"/>
  <c r="AA410" i="9"/>
  <c r="AA1447" i="9"/>
  <c r="AA1188" i="9"/>
  <c r="AA829" i="9"/>
  <c r="AA1181" i="9"/>
  <c r="AA1168" i="9"/>
  <c r="AA803" i="9"/>
  <c r="AA279" i="9"/>
  <c r="AA1362" i="9"/>
  <c r="AA421" i="9"/>
  <c r="AA784" i="9"/>
  <c r="AA1417" i="9"/>
  <c r="AA1020" i="9"/>
  <c r="AA78" i="9"/>
  <c r="AA615" i="9"/>
  <c r="AA1229" i="9"/>
  <c r="AA692" i="9"/>
  <c r="AA1222" i="9"/>
  <c r="AA267" i="9"/>
  <c r="AA70" i="9"/>
  <c r="AA1390" i="9"/>
  <c r="AA1014" i="9"/>
  <c r="AA98" i="9"/>
  <c r="AA1012" i="9"/>
  <c r="AA36" i="9"/>
  <c r="AA495" i="9"/>
  <c r="AA488" i="9"/>
  <c r="AA404" i="9"/>
  <c r="AA425" i="9"/>
  <c r="AA883" i="9"/>
  <c r="AA821" i="9"/>
  <c r="AA1215" i="9"/>
  <c r="AA1446" i="9"/>
  <c r="AA1237" i="9"/>
  <c r="AA625" i="9"/>
  <c r="AA663" i="9"/>
  <c r="AA980" i="9"/>
  <c r="AA62" i="9"/>
  <c r="AA1475" i="9"/>
  <c r="AA43" i="9"/>
  <c r="AA1460" i="9"/>
  <c r="AA1407" i="9"/>
  <c r="AA1071" i="9"/>
  <c r="AA1161" i="9"/>
  <c r="AA1368" i="9"/>
  <c r="AA1073" i="9"/>
  <c r="AA1023" i="9"/>
  <c r="AA1217" i="9"/>
  <c r="AA648" i="9"/>
  <c r="AA109" i="9"/>
  <c r="AA861" i="9"/>
  <c r="AA86" i="9"/>
  <c r="AA981" i="9"/>
  <c r="AA1062" i="9"/>
  <c r="AA1377" i="9"/>
  <c r="AA812" i="9"/>
  <c r="AA1449" i="9"/>
  <c r="AA1009" i="9"/>
  <c r="AA1379" i="9"/>
  <c r="AA432" i="9"/>
  <c r="AA1387" i="9"/>
  <c r="AA429" i="9"/>
  <c r="AA638" i="9"/>
  <c r="AA982" i="9"/>
  <c r="AA115" i="9"/>
  <c r="AA245" i="9"/>
  <c r="AA600" i="9"/>
  <c r="AA207" i="9"/>
  <c r="AA613" i="9"/>
  <c r="AA1254" i="9"/>
  <c r="AA1374" i="9"/>
  <c r="AA1218" i="9"/>
  <c r="AA30" i="9"/>
  <c r="AA1034" i="9"/>
  <c r="AA228" i="9"/>
  <c r="AA1430" i="9"/>
  <c r="AA1415" i="9"/>
  <c r="AA993" i="9"/>
  <c r="AA822" i="9"/>
  <c r="AA307" i="9"/>
  <c r="AA804" i="9"/>
  <c r="AA1366" i="9"/>
  <c r="AA61" i="9"/>
  <c r="AA1032" i="9"/>
  <c r="AA1070" i="9"/>
  <c r="I55" i="14"/>
  <c r="I20" i="14"/>
  <c r="E71" i="14"/>
  <c r="F71" i="14"/>
  <c r="O27" i="14"/>
  <c r="M29" i="14"/>
  <c r="J12" i="14"/>
  <c r="N20" i="14"/>
  <c r="L67" i="14"/>
  <c r="M25" i="14"/>
  <c r="F28" i="14"/>
  <c r="E70" i="14"/>
  <c r="J55" i="14"/>
  <c r="K25" i="14"/>
  <c r="J28" i="14"/>
  <c r="H70" i="14"/>
  <c r="N25" i="14"/>
  <c r="K20" i="14"/>
  <c r="M26" i="14"/>
  <c r="L71" i="14"/>
  <c r="L68" i="14"/>
  <c r="N29" i="14"/>
  <c r="E54" i="14"/>
  <c r="H25" i="14"/>
  <c r="H27" i="14"/>
  <c r="O28" i="14"/>
  <c r="G67" i="14"/>
  <c r="H68" i="14"/>
  <c r="L27" i="14"/>
  <c r="G13" i="14"/>
  <c r="F69" i="14"/>
  <c r="J71" i="14"/>
  <c r="I70" i="14"/>
  <c r="N27" i="14"/>
  <c r="G68" i="14"/>
  <c r="O25" i="14"/>
  <c r="E26" i="14"/>
  <c r="E29" i="14"/>
  <c r="H26" i="14"/>
  <c r="F25" i="14"/>
  <c r="F27" i="14"/>
  <c r="O12" i="14"/>
  <c r="L20" i="14"/>
  <c r="H13" i="14"/>
  <c r="E67" i="14"/>
  <c r="F67" i="14"/>
  <c r="K26" i="14"/>
  <c r="I26" i="14"/>
  <c r="G28" i="14"/>
  <c r="L25" i="14"/>
  <c r="M13" i="14"/>
  <c r="F29" i="14"/>
  <c r="K71" i="14"/>
  <c r="G25" i="14"/>
  <c r="I27" i="14"/>
  <c r="J69" i="14"/>
  <c r="I28" i="14"/>
  <c r="G29" i="14"/>
  <c r="G54" i="14"/>
  <c r="K69" i="14"/>
  <c r="L69" i="14"/>
  <c r="H67" i="14"/>
  <c r="J68" i="14"/>
  <c r="G12" i="14"/>
  <c r="J29" i="14"/>
  <c r="F70" i="14"/>
  <c r="D68" i="14"/>
  <c r="D71" i="14"/>
  <c r="H71" i="14"/>
  <c r="K55" i="14"/>
  <c r="K12" i="14"/>
  <c r="J67" i="14"/>
  <c r="G26" i="14"/>
  <c r="E68" i="14"/>
  <c r="E27" i="14"/>
  <c r="J54" i="14"/>
  <c r="N13" i="14"/>
  <c r="H29" i="14"/>
  <c r="K28" i="14"/>
  <c r="I13" i="14"/>
  <c r="E20" i="14"/>
  <c r="O13" i="14"/>
  <c r="I54" i="14"/>
  <c r="I29" i="14"/>
  <c r="F68" i="14"/>
  <c r="D70" i="14"/>
  <c r="H28" i="14"/>
  <c r="L26" i="14"/>
  <c r="I12" i="14"/>
  <c r="D55" i="14"/>
  <c r="H69" i="14"/>
  <c r="G27" i="14"/>
  <c r="M27" i="14"/>
  <c r="F20" i="14"/>
  <c r="K13" i="14"/>
  <c r="E28" i="14"/>
  <c r="I68" i="14"/>
  <c r="G71" i="14"/>
  <c r="M71" i="14"/>
  <c r="H20" i="14"/>
  <c r="M54" i="14"/>
  <c r="M12" i="14"/>
  <c r="G20" i="14"/>
  <c r="L54" i="14"/>
  <c r="I25" i="14"/>
  <c r="M68" i="14"/>
  <c r="L12" i="14"/>
  <c r="I71" i="14"/>
  <c r="E25" i="14"/>
  <c r="F54" i="14"/>
  <c r="F55" i="14"/>
  <c r="J27" i="14"/>
  <c r="K27" i="14"/>
  <c r="F26" i="14"/>
  <c r="N12" i="14"/>
  <c r="M28" i="14"/>
  <c r="M20" i="14"/>
  <c r="J26" i="14"/>
  <c r="K67" i="14"/>
  <c r="J25" i="14"/>
  <c r="J70" i="14"/>
  <c r="N26" i="14"/>
  <c r="M11" i="24"/>
  <c r="D67" i="14"/>
  <c r="O29" i="14"/>
  <c r="M69" i="14"/>
  <c r="M10" i="24"/>
  <c r="L29" i="14"/>
  <c r="K70" i="14"/>
  <c r="O26" i="14"/>
  <c r="L70" i="14"/>
  <c r="H12" i="14"/>
  <c r="G69" i="14"/>
  <c r="F12" i="14"/>
  <c r="L28" i="14"/>
  <c r="L55" i="14"/>
  <c r="K29" i="14"/>
  <c r="E55" i="14"/>
  <c r="F13" i="14"/>
  <c r="D54" i="14"/>
  <c r="I67" i="14"/>
  <c r="I69" i="14"/>
  <c r="M67" i="14"/>
  <c r="H54" i="14"/>
  <c r="O20" i="14"/>
  <c r="G70" i="14"/>
  <c r="D69" i="14"/>
  <c r="J20" i="14"/>
  <c r="K54" i="14"/>
  <c r="L13" i="14"/>
  <c r="G55" i="14"/>
  <c r="N28" i="14"/>
  <c r="K68" i="14"/>
  <c r="E12" i="14"/>
  <c r="M70" i="14"/>
  <c r="J13" i="14"/>
  <c r="M55" i="14"/>
  <c r="H55" i="14"/>
  <c r="E13" i="14"/>
  <c r="E69" i="14"/>
  <c r="C77" i="14" l="1"/>
  <c r="Z5" i="36"/>
  <c r="P5" i="36"/>
  <c r="D127" i="9"/>
  <c r="A115" i="9"/>
  <c r="B115" i="9" s="1"/>
  <c r="D893" i="9"/>
  <c r="A881" i="9"/>
  <c r="B881" i="9" s="1"/>
  <c r="D1464" i="9"/>
  <c r="A1452" i="9"/>
  <c r="B1452" i="9" s="1"/>
  <c r="D320" i="9"/>
  <c r="A308" i="9"/>
  <c r="B308" i="9" s="1"/>
  <c r="D503" i="9"/>
  <c r="A491" i="9"/>
  <c r="B491" i="9" s="1"/>
  <c r="D126" i="9"/>
  <c r="A114" i="9"/>
  <c r="B114" i="9" s="1"/>
  <c r="D509" i="9"/>
  <c r="A497" i="9"/>
  <c r="B497" i="9" s="1"/>
  <c r="D508" i="9"/>
  <c r="A496" i="9"/>
  <c r="B496" i="9" s="1"/>
  <c r="D118" i="9"/>
  <c r="A106" i="9"/>
  <c r="B106" i="9" s="1"/>
  <c r="D511" i="9"/>
  <c r="A499" i="9"/>
  <c r="B499" i="9" s="1"/>
  <c r="D703" i="9"/>
  <c r="A691" i="9"/>
  <c r="B691" i="9" s="1"/>
  <c r="D695" i="9"/>
  <c r="A683" i="9"/>
  <c r="B683" i="9" s="1"/>
  <c r="D1277" i="9"/>
  <c r="A1265" i="9"/>
  <c r="B1265" i="9" s="1"/>
  <c r="D887" i="9"/>
  <c r="A875" i="9"/>
  <c r="B875" i="9" s="1"/>
  <c r="D311" i="9"/>
  <c r="A299" i="9"/>
  <c r="B299" i="9" s="1"/>
  <c r="D702" i="9"/>
  <c r="A690" i="9"/>
  <c r="B690" i="9" s="1"/>
  <c r="A121" i="9"/>
  <c r="B121" i="9" s="1"/>
  <c r="A128" i="9"/>
  <c r="B128" i="9" s="1"/>
  <c r="D1462" i="9"/>
  <c r="A1450" i="9"/>
  <c r="B1450" i="9" s="1"/>
  <c r="D694" i="9"/>
  <c r="A682" i="9"/>
  <c r="B682" i="9" s="1"/>
  <c r="D309" i="9"/>
  <c r="A297" i="9"/>
  <c r="B297" i="9" s="1"/>
  <c r="D316" i="9"/>
  <c r="A304" i="9"/>
  <c r="B304" i="9" s="1"/>
  <c r="A125" i="9"/>
  <c r="B125" i="9" s="1"/>
  <c r="D1278" i="9"/>
  <c r="A1266" i="9"/>
  <c r="B1266" i="9" s="1"/>
  <c r="D886" i="9"/>
  <c r="A874" i="9"/>
  <c r="B874" i="9" s="1"/>
  <c r="D1269" i="9"/>
  <c r="A1257" i="9"/>
  <c r="B1257" i="9" s="1"/>
  <c r="D697" i="9"/>
  <c r="A685" i="9"/>
  <c r="B685" i="9" s="1"/>
  <c r="D314" i="9"/>
  <c r="A302" i="9"/>
  <c r="B302" i="9" s="1"/>
  <c r="D1088" i="9"/>
  <c r="A1076" i="9"/>
  <c r="B1076" i="9" s="1"/>
  <c r="D696" i="9"/>
  <c r="A684" i="9"/>
  <c r="B684" i="9" s="1"/>
  <c r="D124" i="9"/>
  <c r="A112" i="9"/>
  <c r="B112" i="9" s="1"/>
  <c r="D1271" i="9"/>
  <c r="A1259" i="9"/>
  <c r="B1259" i="9" s="1"/>
  <c r="D699" i="9"/>
  <c r="A687" i="9"/>
  <c r="B687" i="9" s="1"/>
  <c r="D502" i="9"/>
  <c r="A490" i="9"/>
  <c r="B490" i="9" s="1"/>
  <c r="D1466" i="9"/>
  <c r="A1454" i="9"/>
  <c r="B1454" i="9" s="1"/>
  <c r="D894" i="9"/>
  <c r="A882" i="9"/>
  <c r="B882" i="9" s="1"/>
  <c r="D1081" i="9"/>
  <c r="A1069" i="9"/>
  <c r="B1069" i="9" s="1"/>
  <c r="D313" i="9"/>
  <c r="A301" i="9"/>
  <c r="B301" i="9" s="1"/>
  <c r="D1080" i="9"/>
  <c r="A1068" i="9"/>
  <c r="B1068" i="9" s="1"/>
  <c r="D318" i="9"/>
  <c r="A306" i="9"/>
  <c r="B306" i="9" s="1"/>
  <c r="D1083" i="9"/>
  <c r="A1071" i="9"/>
  <c r="B1071" i="9" s="1"/>
  <c r="D1275" i="9"/>
  <c r="A1263" i="9"/>
  <c r="B1263" i="9" s="1"/>
  <c r="D119" i="9"/>
  <c r="A107" i="9"/>
  <c r="B107" i="9" s="1"/>
  <c r="D891" i="9"/>
  <c r="A879" i="9"/>
  <c r="B879" i="9" s="1"/>
  <c r="D319" i="9"/>
  <c r="A307" i="9"/>
  <c r="B307" i="9" s="1"/>
  <c r="D885" i="9"/>
  <c r="A873" i="9"/>
  <c r="B873" i="9" s="1"/>
  <c r="D704" i="9"/>
  <c r="A692" i="9"/>
  <c r="B692" i="9" s="1"/>
  <c r="D1279" i="9"/>
  <c r="A1267" i="9"/>
  <c r="B1267" i="9" s="1"/>
  <c r="D315" i="9"/>
  <c r="A303" i="9"/>
  <c r="B303" i="9" s="1"/>
  <c r="D507" i="9"/>
  <c r="A495" i="9"/>
  <c r="B495" i="9" s="1"/>
  <c r="D1274" i="9"/>
  <c r="A1262" i="9"/>
  <c r="B1262" i="9" s="1"/>
  <c r="D889" i="9"/>
  <c r="A877" i="9"/>
  <c r="B877" i="9" s="1"/>
  <c r="D896" i="9"/>
  <c r="A884" i="9"/>
  <c r="B884" i="9" s="1"/>
  <c r="D1082" i="9"/>
  <c r="A1070" i="9"/>
  <c r="B1070" i="9" s="1"/>
  <c r="D510" i="9"/>
  <c r="A498" i="9"/>
  <c r="B498" i="9" s="1"/>
  <c r="D501" i="9"/>
  <c r="A489" i="9"/>
  <c r="B489" i="9" s="1"/>
  <c r="D892" i="9"/>
  <c r="A880" i="9"/>
  <c r="B880" i="9" s="1"/>
  <c r="D123" i="9"/>
  <c r="A111" i="9"/>
  <c r="B111" i="9" s="1"/>
  <c r="D895" i="9"/>
  <c r="A883" i="9"/>
  <c r="B883" i="9" s="1"/>
  <c r="D1270" i="9"/>
  <c r="A1258" i="9"/>
  <c r="B1258" i="9" s="1"/>
  <c r="D698" i="9"/>
  <c r="A686" i="9"/>
  <c r="B686" i="9" s="1"/>
  <c r="D1276" i="9"/>
  <c r="A1264" i="9"/>
  <c r="B1264" i="9" s="1"/>
  <c r="D1087" i="9"/>
  <c r="A1075" i="9"/>
  <c r="B1075" i="9" s="1"/>
  <c r="D117" i="9"/>
  <c r="A105" i="9"/>
  <c r="B105" i="9" s="1"/>
  <c r="D1472" i="9"/>
  <c r="A1460" i="9"/>
  <c r="B1460" i="9" s="1"/>
  <c r="D312" i="9"/>
  <c r="A300" i="9"/>
  <c r="B300" i="9" s="1"/>
  <c r="D1079" i="9"/>
  <c r="A1067" i="9"/>
  <c r="B1067" i="9" s="1"/>
  <c r="D317" i="9"/>
  <c r="A305" i="9"/>
  <c r="B305" i="9" s="1"/>
  <c r="D701" i="9"/>
  <c r="A689" i="9"/>
  <c r="B689" i="9" s="1"/>
  <c r="D888" i="9"/>
  <c r="A876" i="9"/>
  <c r="B876" i="9" s="1"/>
  <c r="D1078" i="9"/>
  <c r="A1066" i="9"/>
  <c r="B1066" i="9" s="1"/>
  <c r="D1085" i="9"/>
  <c r="A1073" i="9"/>
  <c r="B1073" i="9" s="1"/>
  <c r="D1468" i="9"/>
  <c r="A1456" i="9"/>
  <c r="B1456" i="9" s="1"/>
  <c r="D700" i="9"/>
  <c r="A688" i="9"/>
  <c r="B688" i="9" s="1"/>
  <c r="D1086" i="9"/>
  <c r="A1074" i="9"/>
  <c r="B1074" i="9" s="1"/>
  <c r="D1084" i="9"/>
  <c r="A1072" i="9"/>
  <c r="B1072" i="9" s="1"/>
  <c r="A120" i="9"/>
  <c r="B120" i="9" s="1"/>
  <c r="D890" i="9"/>
  <c r="A878" i="9"/>
  <c r="B878" i="9" s="1"/>
  <c r="D1273" i="9"/>
  <c r="A1261" i="9"/>
  <c r="B1261" i="9" s="1"/>
  <c r="D505" i="9"/>
  <c r="A493" i="9"/>
  <c r="B493" i="9" s="1"/>
  <c r="D1280" i="9"/>
  <c r="A1268" i="9"/>
  <c r="B1268" i="9" s="1"/>
  <c r="D512" i="9"/>
  <c r="A500" i="9"/>
  <c r="B500" i="9" s="1"/>
  <c r="D310" i="9"/>
  <c r="A298" i="9"/>
  <c r="B298" i="9" s="1"/>
  <c r="D1470" i="9"/>
  <c r="A1458" i="9"/>
  <c r="B1458" i="9" s="1"/>
  <c r="D506" i="9"/>
  <c r="A494" i="9"/>
  <c r="B494" i="9" s="1"/>
  <c r="D693" i="9"/>
  <c r="A681" i="9"/>
  <c r="B681" i="9" s="1"/>
  <c r="D1272" i="9"/>
  <c r="A1260" i="9"/>
  <c r="B1260" i="9" s="1"/>
  <c r="D504" i="9"/>
  <c r="A492" i="9"/>
  <c r="B492" i="9" s="1"/>
  <c r="A110" i="9"/>
  <c r="B110" i="9" s="1"/>
  <c r="D122" i="9"/>
  <c r="D1077" i="9"/>
  <c r="A1065" i="9"/>
  <c r="B1065" i="9" s="1"/>
  <c r="D133" i="9"/>
  <c r="D132" i="9"/>
  <c r="D140" i="9"/>
  <c r="D137" i="9"/>
  <c r="C141" i="9"/>
  <c r="A7" i="15"/>
  <c r="A5" i="16"/>
  <c r="A8" i="15"/>
  <c r="AA1088" i="9"/>
  <c r="AA1271" i="9"/>
  <c r="AA320" i="9"/>
  <c r="AA896" i="9"/>
  <c r="AA1273" i="9"/>
  <c r="AA1470" i="9"/>
  <c r="AA1082" i="9"/>
  <c r="AA132" i="9"/>
  <c r="AA887" i="9"/>
  <c r="AA696" i="9"/>
  <c r="AA1086" i="9"/>
  <c r="AA312" i="9"/>
  <c r="AA703" i="9"/>
  <c r="AA1472" i="9"/>
  <c r="AA501" i="9"/>
  <c r="AA697" i="9"/>
  <c r="AA318" i="9"/>
  <c r="AA698" i="9"/>
  <c r="AA1466" i="9"/>
  <c r="AA695" i="9"/>
  <c r="AA1278" i="9"/>
  <c r="AA508" i="9"/>
  <c r="AA1078" i="9"/>
  <c r="AA1464" i="9"/>
  <c r="AA699" i="9"/>
  <c r="AA886" i="9"/>
  <c r="AA313" i="9"/>
  <c r="AA700" i="9"/>
  <c r="AA123" i="9"/>
  <c r="AA510" i="9"/>
  <c r="AA505" i="9"/>
  <c r="AA1081" i="9"/>
  <c r="AA894" i="9"/>
  <c r="AA892" i="9"/>
  <c r="AA317" i="9"/>
  <c r="AA133" i="9"/>
  <c r="AA1272" i="9"/>
  <c r="AA1087" i="9"/>
  <c r="AA891" i="9"/>
  <c r="AA122" i="9"/>
  <c r="AA504" i="9"/>
  <c r="AA888" i="9"/>
  <c r="AA1462" i="9"/>
  <c r="AA1279" i="9"/>
  <c r="AA507" i="9"/>
  <c r="AA1275" i="9"/>
  <c r="AA693" i="9"/>
  <c r="AA895" i="9"/>
  <c r="AA1084" i="9"/>
  <c r="AA702" i="9"/>
  <c r="AA704" i="9"/>
  <c r="AA1277" i="9"/>
  <c r="AA1083" i="9"/>
  <c r="AA127" i="9"/>
  <c r="AA701" i="9"/>
  <c r="AA1276" i="9"/>
  <c r="AA509" i="9"/>
  <c r="AA311" i="9"/>
  <c r="AA1077" i="9"/>
  <c r="AA1080" i="9"/>
  <c r="AA1079" i="9"/>
  <c r="AA1269" i="9"/>
  <c r="AA889" i="9"/>
  <c r="AA140" i="9"/>
  <c r="AA314" i="9"/>
  <c r="AA1085" i="9"/>
  <c r="AA1274" i="9"/>
  <c r="AA1468" i="9"/>
  <c r="AA1280" i="9"/>
  <c r="AA893" i="9"/>
  <c r="AA309" i="9"/>
  <c r="AA511" i="9"/>
  <c r="AA506" i="9"/>
  <c r="AA126" i="9"/>
  <c r="AA137" i="9"/>
  <c r="AA118" i="9"/>
  <c r="AA310" i="9"/>
  <c r="AA503" i="9"/>
  <c r="AA694" i="9"/>
  <c r="AA885" i="9"/>
  <c r="AA319" i="9"/>
  <c r="AA890" i="9"/>
  <c r="AA512" i="9"/>
  <c r="AA1270" i="9"/>
  <c r="AA124" i="9"/>
  <c r="AA315" i="9"/>
  <c r="AA502" i="9"/>
  <c r="AA119" i="9"/>
  <c r="AA316" i="9"/>
  <c r="AA117" i="9"/>
  <c r="D900" i="9" l="1"/>
  <c r="A888" i="9"/>
  <c r="B888" i="9" s="1"/>
  <c r="D135" i="9"/>
  <c r="A123" i="9"/>
  <c r="B123" i="9" s="1"/>
  <c r="D519" i="9"/>
  <c r="A507" i="9"/>
  <c r="B507" i="9" s="1"/>
  <c r="D897" i="9"/>
  <c r="A885" i="9"/>
  <c r="B885" i="9" s="1"/>
  <c r="D1287" i="9"/>
  <c r="A1275" i="9"/>
  <c r="B1275" i="9" s="1"/>
  <c r="D325" i="9"/>
  <c r="A313" i="9"/>
  <c r="B313" i="9" s="1"/>
  <c r="D514" i="9"/>
  <c r="A502" i="9"/>
  <c r="B502" i="9" s="1"/>
  <c r="D1283" i="9"/>
  <c r="A1271" i="9"/>
  <c r="B1271" i="9" s="1"/>
  <c r="D326" i="9"/>
  <c r="A314" i="9"/>
  <c r="B314" i="9" s="1"/>
  <c r="D1281" i="9"/>
  <c r="A1269" i="9"/>
  <c r="B1269" i="9" s="1"/>
  <c r="D1290" i="9"/>
  <c r="A1278" i="9"/>
  <c r="B1278" i="9" s="1"/>
  <c r="D516" i="9"/>
  <c r="A504" i="9"/>
  <c r="B504" i="9" s="1"/>
  <c r="D321" i="9"/>
  <c r="A309" i="9"/>
  <c r="B309" i="9" s="1"/>
  <c r="D1474" i="9"/>
  <c r="A1462" i="9"/>
  <c r="B1462" i="9" s="1"/>
  <c r="D714" i="9"/>
  <c r="A702" i="9"/>
  <c r="B702" i="9" s="1"/>
  <c r="D899" i="9"/>
  <c r="A887" i="9"/>
  <c r="B887" i="9" s="1"/>
  <c r="D707" i="9"/>
  <c r="A695" i="9"/>
  <c r="B695" i="9" s="1"/>
  <c r="D523" i="9"/>
  <c r="A511" i="9"/>
  <c r="B511" i="9" s="1"/>
  <c r="D520" i="9"/>
  <c r="A508" i="9"/>
  <c r="B508" i="9" s="1"/>
  <c r="A126" i="9"/>
  <c r="B126" i="9" s="1"/>
  <c r="D138" i="9"/>
  <c r="D332" i="9"/>
  <c r="A320" i="9"/>
  <c r="B320" i="9" s="1"/>
  <c r="D905" i="9"/>
  <c r="A893" i="9"/>
  <c r="B893" i="9" s="1"/>
  <c r="D1097" i="9"/>
  <c r="A1085" i="9"/>
  <c r="B1085" i="9" s="1"/>
  <c r="D324" i="9"/>
  <c r="A312" i="9"/>
  <c r="B312" i="9" s="1"/>
  <c r="D1288" i="9"/>
  <c r="A1276" i="9"/>
  <c r="B1276" i="9" s="1"/>
  <c r="D513" i="9"/>
  <c r="A501" i="9"/>
  <c r="B501" i="9" s="1"/>
  <c r="D1094" i="9"/>
  <c r="A1082" i="9"/>
  <c r="B1082" i="9" s="1"/>
  <c r="D1291" i="9"/>
  <c r="A1279" i="9"/>
  <c r="B1279" i="9" s="1"/>
  <c r="D903" i="9"/>
  <c r="A891" i="9"/>
  <c r="B891" i="9" s="1"/>
  <c r="D906" i="9"/>
  <c r="A894" i="9"/>
  <c r="B894" i="9" s="1"/>
  <c r="D708" i="9"/>
  <c r="A696" i="9"/>
  <c r="B696" i="9" s="1"/>
  <c r="A140" i="9"/>
  <c r="B140" i="9" s="1"/>
  <c r="D1089" i="9"/>
  <c r="A1077" i="9"/>
  <c r="B1077" i="9" s="1"/>
  <c r="D705" i="9"/>
  <c r="A693" i="9"/>
  <c r="B693" i="9" s="1"/>
  <c r="D1482" i="9"/>
  <c r="A1470" i="9"/>
  <c r="B1470" i="9" s="1"/>
  <c r="D524" i="9"/>
  <c r="A512" i="9"/>
  <c r="B512" i="9" s="1"/>
  <c r="D517" i="9"/>
  <c r="A505" i="9"/>
  <c r="B505" i="9" s="1"/>
  <c r="D902" i="9"/>
  <c r="A890" i="9"/>
  <c r="B890" i="9" s="1"/>
  <c r="A132" i="9"/>
  <c r="B132" i="9" s="1"/>
  <c r="A122" i="9"/>
  <c r="B122" i="9" s="1"/>
  <c r="D134" i="9"/>
  <c r="D1098" i="9"/>
  <c r="A1086" i="9"/>
  <c r="B1086" i="9" s="1"/>
  <c r="D1480" i="9"/>
  <c r="A1468" i="9"/>
  <c r="B1468" i="9" s="1"/>
  <c r="D1090" i="9"/>
  <c r="A1078" i="9"/>
  <c r="B1078" i="9" s="1"/>
  <c r="D713" i="9"/>
  <c r="A701" i="9"/>
  <c r="B701" i="9" s="1"/>
  <c r="D1091" i="9"/>
  <c r="A1079" i="9"/>
  <c r="B1079" i="9" s="1"/>
  <c r="D1484" i="9"/>
  <c r="A1472" i="9"/>
  <c r="B1472" i="9" s="1"/>
  <c r="D1099" i="9"/>
  <c r="A1087" i="9"/>
  <c r="B1087" i="9" s="1"/>
  <c r="D710" i="9"/>
  <c r="A698" i="9"/>
  <c r="B698" i="9" s="1"/>
  <c r="D907" i="9"/>
  <c r="A895" i="9"/>
  <c r="B895" i="9" s="1"/>
  <c r="D904" i="9"/>
  <c r="A892" i="9"/>
  <c r="B892" i="9" s="1"/>
  <c r="D522" i="9"/>
  <c r="A510" i="9"/>
  <c r="B510" i="9" s="1"/>
  <c r="D908" i="9"/>
  <c r="A896" i="9"/>
  <c r="B896" i="9" s="1"/>
  <c r="D1286" i="9"/>
  <c r="A1274" i="9"/>
  <c r="B1274" i="9" s="1"/>
  <c r="D327" i="9"/>
  <c r="A315" i="9"/>
  <c r="B315" i="9" s="1"/>
  <c r="D716" i="9"/>
  <c r="A704" i="9"/>
  <c r="B704" i="9" s="1"/>
  <c r="D331" i="9"/>
  <c r="A319" i="9"/>
  <c r="B319" i="9" s="1"/>
  <c r="D131" i="9"/>
  <c r="A119" i="9"/>
  <c r="B119" i="9" s="1"/>
  <c r="D1095" i="9"/>
  <c r="A1083" i="9"/>
  <c r="B1083" i="9" s="1"/>
  <c r="D1092" i="9"/>
  <c r="A1080" i="9"/>
  <c r="B1080" i="9" s="1"/>
  <c r="D1093" i="9"/>
  <c r="A1081" i="9"/>
  <c r="B1081" i="9" s="1"/>
  <c r="D1478" i="9"/>
  <c r="A1466" i="9"/>
  <c r="B1466" i="9" s="1"/>
  <c r="D711" i="9"/>
  <c r="A699" i="9"/>
  <c r="B699" i="9" s="1"/>
  <c r="D136" i="9"/>
  <c r="A124" i="9"/>
  <c r="B124" i="9" s="1"/>
  <c r="D1100" i="9"/>
  <c r="A1088" i="9"/>
  <c r="B1088" i="9" s="1"/>
  <c r="D709" i="9"/>
  <c r="A697" i="9"/>
  <c r="B697" i="9" s="1"/>
  <c r="D898" i="9"/>
  <c r="A886" i="9"/>
  <c r="B886" i="9" s="1"/>
  <c r="D1096" i="9"/>
  <c r="A1084" i="9"/>
  <c r="B1084" i="9" s="1"/>
  <c r="D712" i="9"/>
  <c r="A700" i="9"/>
  <c r="B700" i="9" s="1"/>
  <c r="D329" i="9"/>
  <c r="A317" i="9"/>
  <c r="B317" i="9" s="1"/>
  <c r="D129" i="9"/>
  <c r="A117" i="9"/>
  <c r="B117" i="9" s="1"/>
  <c r="D1282" i="9"/>
  <c r="A1270" i="9"/>
  <c r="B1270" i="9" s="1"/>
  <c r="D901" i="9"/>
  <c r="A889" i="9"/>
  <c r="B889" i="9" s="1"/>
  <c r="D330" i="9"/>
  <c r="A318" i="9"/>
  <c r="B318" i="9" s="1"/>
  <c r="A137" i="9"/>
  <c r="B137" i="9" s="1"/>
  <c r="A133" i="9"/>
  <c r="B133" i="9" s="1"/>
  <c r="D1284" i="9"/>
  <c r="A1272" i="9"/>
  <c r="B1272" i="9" s="1"/>
  <c r="D518" i="9"/>
  <c r="A506" i="9"/>
  <c r="B506" i="9" s="1"/>
  <c r="D322" i="9"/>
  <c r="A310" i="9"/>
  <c r="B310" i="9" s="1"/>
  <c r="D1292" i="9"/>
  <c r="A1280" i="9"/>
  <c r="B1280" i="9" s="1"/>
  <c r="D1285" i="9"/>
  <c r="A1273" i="9"/>
  <c r="B1273" i="9" s="1"/>
  <c r="D328" i="9"/>
  <c r="A316" i="9"/>
  <c r="B316" i="9" s="1"/>
  <c r="D706" i="9"/>
  <c r="A694" i="9"/>
  <c r="B694" i="9" s="1"/>
  <c r="D323" i="9"/>
  <c r="A311" i="9"/>
  <c r="B311" i="9" s="1"/>
  <c r="D1289" i="9"/>
  <c r="A1277" i="9"/>
  <c r="B1277" i="9" s="1"/>
  <c r="D715" i="9"/>
  <c r="A703" i="9"/>
  <c r="B703" i="9" s="1"/>
  <c r="D130" i="9"/>
  <c r="A118" i="9"/>
  <c r="B118" i="9" s="1"/>
  <c r="D521" i="9"/>
  <c r="A509" i="9"/>
  <c r="B509" i="9" s="1"/>
  <c r="D515" i="9"/>
  <c r="A503" i="9"/>
  <c r="B503" i="9" s="1"/>
  <c r="D1476" i="9"/>
  <c r="A1464" i="9"/>
  <c r="B1464" i="9" s="1"/>
  <c r="D139" i="9"/>
  <c r="A127" i="9"/>
  <c r="B127" i="9" s="1"/>
  <c r="D144" i="9"/>
  <c r="C153" i="9"/>
  <c r="D149" i="9"/>
  <c r="D152" i="9"/>
  <c r="D145" i="9"/>
  <c r="A6" i="16"/>
  <c r="A9" i="15"/>
  <c r="AA139" i="9"/>
  <c r="AA711" i="9"/>
  <c r="AA144" i="9"/>
  <c r="AA705" i="9"/>
  <c r="AA129" i="9"/>
  <c r="AA130" i="9"/>
  <c r="AA1291" i="9"/>
  <c r="AA149" i="9"/>
  <c r="AA145" i="9"/>
  <c r="AA908" i="9"/>
  <c r="AA710" i="9"/>
  <c r="AA1093" i="9"/>
  <c r="AA1091" i="9"/>
  <c r="AA135" i="9"/>
  <c r="AA328" i="9"/>
  <c r="AA714" i="9"/>
  <c r="AA906" i="9"/>
  <c r="AA1480" i="9"/>
  <c r="AA332" i="9"/>
  <c r="AA1286" i="9"/>
  <c r="AA1098" i="9"/>
  <c r="AA327" i="9"/>
  <c r="AA706" i="9"/>
  <c r="AA1096" i="9"/>
  <c r="AA520" i="9"/>
  <c r="AA1482" i="9"/>
  <c r="AA1092" i="9"/>
  <c r="AA325" i="9"/>
  <c r="AA1290" i="9"/>
  <c r="AA321" i="9"/>
  <c r="AA326" i="9"/>
  <c r="AA331" i="9"/>
  <c r="AA1094" i="9"/>
  <c r="AA138" i="9"/>
  <c r="AA905" i="9"/>
  <c r="AA1100" i="9"/>
  <c r="AA709" i="9"/>
  <c r="AA1284" i="9"/>
  <c r="AA1288" i="9"/>
  <c r="AA522" i="9"/>
  <c r="AA329" i="9"/>
  <c r="AA1089" i="9"/>
  <c r="AA712" i="9"/>
  <c r="AA715" i="9"/>
  <c r="AA1484" i="9"/>
  <c r="AA901" i="9"/>
  <c r="AA1090" i="9"/>
  <c r="AA897" i="9"/>
  <c r="AA524" i="9"/>
  <c r="AA713" i="9"/>
  <c r="AA903" i="9"/>
  <c r="AA716" i="9"/>
  <c r="AA1285" i="9"/>
  <c r="AA904" i="9"/>
  <c r="AA1283" i="9"/>
  <c r="AA131" i="9"/>
  <c r="AA1282" i="9"/>
  <c r="AA1281" i="9"/>
  <c r="AA152" i="9"/>
  <c r="AA323" i="9"/>
  <c r="AA514" i="9"/>
  <c r="AA899" i="9"/>
  <c r="AA516" i="9"/>
  <c r="AA1095" i="9"/>
  <c r="AA1097" i="9"/>
  <c r="AA1474" i="9"/>
  <c r="AA1478" i="9"/>
  <c r="AA523" i="9"/>
  <c r="AA330" i="9"/>
  <c r="AA898" i="9"/>
  <c r="AA902" i="9"/>
  <c r="AA136" i="9"/>
  <c r="AA134" i="9"/>
  <c r="AA1292" i="9"/>
  <c r="AA513" i="9"/>
  <c r="AA1099" i="9"/>
  <c r="AA518" i="9"/>
  <c r="AA521" i="9"/>
  <c r="AA1287" i="9"/>
  <c r="AA907" i="9"/>
  <c r="AA322" i="9"/>
  <c r="AA1289" i="9"/>
  <c r="AA707" i="9"/>
  <c r="AA519" i="9"/>
  <c r="AA517" i="9"/>
  <c r="AA324" i="9"/>
  <c r="AA708" i="9"/>
  <c r="AA900" i="9"/>
  <c r="AA1476" i="9"/>
  <c r="AA515" i="9"/>
  <c r="D529" i="9" l="1"/>
  <c r="A517" i="9"/>
  <c r="B517" i="9" s="1"/>
  <c r="D1494" i="9"/>
  <c r="A1482" i="9"/>
  <c r="B1482" i="9" s="1"/>
  <c r="D1101" i="9"/>
  <c r="A1089" i="9"/>
  <c r="B1089" i="9" s="1"/>
  <c r="A144" i="9"/>
  <c r="B144" i="9" s="1"/>
  <c r="D527" i="9"/>
  <c r="A515" i="9"/>
  <c r="B515" i="9" s="1"/>
  <c r="D1301" i="9"/>
  <c r="A1289" i="9"/>
  <c r="B1289" i="9" s="1"/>
  <c r="D1297" i="9"/>
  <c r="A1285" i="9"/>
  <c r="B1285" i="9" s="1"/>
  <c r="D1296" i="9"/>
  <c r="A1284" i="9"/>
  <c r="B1284" i="9" s="1"/>
  <c r="D342" i="9"/>
  <c r="A330" i="9"/>
  <c r="B330" i="9" s="1"/>
  <c r="D341" i="9"/>
  <c r="A329" i="9"/>
  <c r="B329" i="9" s="1"/>
  <c r="D1108" i="9"/>
  <c r="A1096" i="9"/>
  <c r="B1096" i="9" s="1"/>
  <c r="D1490" i="9"/>
  <c r="A1478" i="9"/>
  <c r="B1478" i="9" s="1"/>
  <c r="D143" i="9"/>
  <c r="A131" i="9"/>
  <c r="B131" i="9" s="1"/>
  <c r="D1298" i="9"/>
  <c r="A1286" i="9"/>
  <c r="B1286" i="9" s="1"/>
  <c r="D919" i="9"/>
  <c r="A907" i="9"/>
  <c r="B907" i="9" s="1"/>
  <c r="D1111" i="9"/>
  <c r="A1099" i="9"/>
  <c r="B1099" i="9" s="1"/>
  <c r="D1102" i="9"/>
  <c r="A1090" i="9"/>
  <c r="B1090" i="9" s="1"/>
  <c r="D1110" i="9"/>
  <c r="A1098" i="9"/>
  <c r="B1098" i="9" s="1"/>
  <c r="D918" i="9"/>
  <c r="A906" i="9"/>
  <c r="B906" i="9" s="1"/>
  <c r="D1303" i="9"/>
  <c r="A1291" i="9"/>
  <c r="B1291" i="9" s="1"/>
  <c r="D525" i="9"/>
  <c r="A513" i="9"/>
  <c r="B513" i="9" s="1"/>
  <c r="D336" i="9"/>
  <c r="A324" i="9"/>
  <c r="B324" i="9" s="1"/>
  <c r="D917" i="9"/>
  <c r="A905" i="9"/>
  <c r="B905" i="9" s="1"/>
  <c r="D535" i="9"/>
  <c r="A523" i="9"/>
  <c r="B523" i="9" s="1"/>
  <c r="D1486" i="9"/>
  <c r="A1474" i="9"/>
  <c r="B1474" i="9" s="1"/>
  <c r="D1293" i="9"/>
  <c r="A1281" i="9"/>
  <c r="B1281" i="9" s="1"/>
  <c r="D337" i="9"/>
  <c r="A325" i="9"/>
  <c r="B325" i="9" s="1"/>
  <c r="D909" i="9"/>
  <c r="A897" i="9"/>
  <c r="B897" i="9" s="1"/>
  <c r="A134" i="9"/>
  <c r="B134" i="9" s="1"/>
  <c r="D146" i="9"/>
  <c r="D914" i="9"/>
  <c r="A902" i="9"/>
  <c r="B902" i="9" s="1"/>
  <c r="D536" i="9"/>
  <c r="A524" i="9"/>
  <c r="B524" i="9" s="1"/>
  <c r="D717" i="9"/>
  <c r="A705" i="9"/>
  <c r="B705" i="9" s="1"/>
  <c r="A138" i="9"/>
  <c r="B138" i="9" s="1"/>
  <c r="D150" i="9"/>
  <c r="A145" i="9"/>
  <c r="B145" i="9" s="1"/>
  <c r="D151" i="9"/>
  <c r="A139" i="9"/>
  <c r="B139" i="9" s="1"/>
  <c r="D142" i="9"/>
  <c r="A130" i="9"/>
  <c r="B130" i="9" s="1"/>
  <c r="D718" i="9"/>
  <c r="A706" i="9"/>
  <c r="B706" i="9" s="1"/>
  <c r="D334" i="9"/>
  <c r="A322" i="9"/>
  <c r="B322" i="9" s="1"/>
  <c r="D1294" i="9"/>
  <c r="A1282" i="9"/>
  <c r="B1282" i="9" s="1"/>
  <c r="D721" i="9"/>
  <c r="A709" i="9"/>
  <c r="B709" i="9" s="1"/>
  <c r="D148" i="9"/>
  <c r="A136" i="9"/>
  <c r="B136" i="9" s="1"/>
  <c r="D1104" i="9"/>
  <c r="A1092" i="9"/>
  <c r="B1092" i="9" s="1"/>
  <c r="D728" i="9"/>
  <c r="A716" i="9"/>
  <c r="B716" i="9" s="1"/>
  <c r="D534" i="9"/>
  <c r="A522" i="9"/>
  <c r="B522" i="9" s="1"/>
  <c r="D1103" i="9"/>
  <c r="A1091" i="9"/>
  <c r="B1091" i="9" s="1"/>
  <c r="D911" i="9"/>
  <c r="A899" i="9"/>
  <c r="B899" i="9" s="1"/>
  <c r="D528" i="9"/>
  <c r="A516" i="9"/>
  <c r="B516" i="9" s="1"/>
  <c r="D1295" i="9"/>
  <c r="A1283" i="9"/>
  <c r="B1283" i="9" s="1"/>
  <c r="D147" i="9"/>
  <c r="A135" i="9"/>
  <c r="B135" i="9" s="1"/>
  <c r="A152" i="9"/>
  <c r="B152" i="9" s="1"/>
  <c r="A149" i="9"/>
  <c r="B149" i="9" s="1"/>
  <c r="D1488" i="9"/>
  <c r="A1476" i="9"/>
  <c r="B1476" i="9" s="1"/>
  <c r="D533" i="9"/>
  <c r="A521" i="9"/>
  <c r="B521" i="9" s="1"/>
  <c r="D727" i="9"/>
  <c r="A715" i="9"/>
  <c r="B715" i="9" s="1"/>
  <c r="D335" i="9"/>
  <c r="A323" i="9"/>
  <c r="B323" i="9" s="1"/>
  <c r="D340" i="9"/>
  <c r="A328" i="9"/>
  <c r="B328" i="9" s="1"/>
  <c r="D1304" i="9"/>
  <c r="A1292" i="9"/>
  <c r="B1292" i="9" s="1"/>
  <c r="D530" i="9"/>
  <c r="A518" i="9"/>
  <c r="B518" i="9" s="1"/>
  <c r="D913" i="9"/>
  <c r="A901" i="9"/>
  <c r="B901" i="9" s="1"/>
  <c r="D141" i="9"/>
  <c r="A129" i="9"/>
  <c r="B129" i="9" s="1"/>
  <c r="D724" i="9"/>
  <c r="A712" i="9"/>
  <c r="B712" i="9" s="1"/>
  <c r="D910" i="9"/>
  <c r="A898" i="9"/>
  <c r="B898" i="9" s="1"/>
  <c r="D1112" i="9"/>
  <c r="A1100" i="9"/>
  <c r="B1100" i="9" s="1"/>
  <c r="D723" i="9"/>
  <c r="A711" i="9"/>
  <c r="B711" i="9" s="1"/>
  <c r="D1105" i="9"/>
  <c r="A1093" i="9"/>
  <c r="B1093" i="9" s="1"/>
  <c r="D1107" i="9"/>
  <c r="A1095" i="9"/>
  <c r="B1095" i="9" s="1"/>
  <c r="D343" i="9"/>
  <c r="A331" i="9"/>
  <c r="B331" i="9" s="1"/>
  <c r="D339" i="9"/>
  <c r="A327" i="9"/>
  <c r="B327" i="9" s="1"/>
  <c r="D920" i="9"/>
  <c r="A908" i="9"/>
  <c r="B908" i="9" s="1"/>
  <c r="D916" i="9"/>
  <c r="A904" i="9"/>
  <c r="B904" i="9" s="1"/>
  <c r="D722" i="9"/>
  <c r="A710" i="9"/>
  <c r="B710" i="9" s="1"/>
  <c r="D1496" i="9"/>
  <c r="A1484" i="9"/>
  <c r="B1484" i="9" s="1"/>
  <c r="D725" i="9"/>
  <c r="A713" i="9"/>
  <c r="B713" i="9" s="1"/>
  <c r="D1492" i="9"/>
  <c r="A1480" i="9"/>
  <c r="B1480" i="9" s="1"/>
  <c r="D720" i="9"/>
  <c r="A708" i="9"/>
  <c r="B708" i="9" s="1"/>
  <c r="D915" i="9"/>
  <c r="A903" i="9"/>
  <c r="B903" i="9" s="1"/>
  <c r="D1106" i="9"/>
  <c r="A1094" i="9"/>
  <c r="B1094" i="9" s="1"/>
  <c r="D1300" i="9"/>
  <c r="A1288" i="9"/>
  <c r="B1288" i="9" s="1"/>
  <c r="D1109" i="9"/>
  <c r="A1097" i="9"/>
  <c r="B1097" i="9" s="1"/>
  <c r="D344" i="9"/>
  <c r="A332" i="9"/>
  <c r="B332" i="9" s="1"/>
  <c r="D532" i="9"/>
  <c r="A520" i="9"/>
  <c r="B520" i="9" s="1"/>
  <c r="D719" i="9"/>
  <c r="A707" i="9"/>
  <c r="B707" i="9" s="1"/>
  <c r="D726" i="9"/>
  <c r="A714" i="9"/>
  <c r="B714" i="9" s="1"/>
  <c r="D333" i="9"/>
  <c r="A321" i="9"/>
  <c r="B321" i="9" s="1"/>
  <c r="D1302" i="9"/>
  <c r="A1290" i="9"/>
  <c r="B1290" i="9" s="1"/>
  <c r="D338" i="9"/>
  <c r="A326" i="9"/>
  <c r="B326" i="9" s="1"/>
  <c r="D526" i="9"/>
  <c r="A514" i="9"/>
  <c r="B514" i="9" s="1"/>
  <c r="D1299" i="9"/>
  <c r="A1287" i="9"/>
  <c r="B1287" i="9" s="1"/>
  <c r="D531" i="9"/>
  <c r="A519" i="9"/>
  <c r="B519" i="9" s="1"/>
  <c r="D912" i="9"/>
  <c r="A900" i="9"/>
  <c r="B900" i="9" s="1"/>
  <c r="D164" i="9"/>
  <c r="C165" i="9"/>
  <c r="D157" i="9"/>
  <c r="D161" i="9"/>
  <c r="D156" i="9"/>
  <c r="A7" i="16"/>
  <c r="A10" i="15"/>
  <c r="AA912" i="9"/>
  <c r="AA1492" i="9"/>
  <c r="AA529" i="9"/>
  <c r="AA916" i="9"/>
  <c r="AA526" i="9"/>
  <c r="AA721" i="9"/>
  <c r="AA1105" i="9"/>
  <c r="AA336" i="9"/>
  <c r="AA717" i="9"/>
  <c r="AA909" i="9"/>
  <c r="AA164" i="9"/>
  <c r="AA1293" i="9"/>
  <c r="AA1111" i="9"/>
  <c r="AA913" i="9"/>
  <c r="AA340" i="9"/>
  <c r="AA533" i="9"/>
  <c r="AA143" i="9"/>
  <c r="AA1488" i="9"/>
  <c r="AA1108" i="9"/>
  <c r="AA142" i="9"/>
  <c r="AA535" i="9"/>
  <c r="AA532" i="9"/>
  <c r="AA337" i="9"/>
  <c r="AA334" i="9"/>
  <c r="AA146" i="9"/>
  <c r="AA339" i="9"/>
  <c r="AA1110" i="9"/>
  <c r="AA1294" i="9"/>
  <c r="AA725" i="9"/>
  <c r="AA1107" i="9"/>
  <c r="AA536" i="9"/>
  <c r="AA1496" i="9"/>
  <c r="AA525" i="9"/>
  <c r="AA161" i="9"/>
  <c r="AA147" i="9"/>
  <c r="AA148" i="9"/>
  <c r="AA1102" i="9"/>
  <c r="AA151" i="9"/>
  <c r="AA1109" i="9"/>
  <c r="AA156" i="9"/>
  <c r="AA720" i="9"/>
  <c r="AA531" i="9"/>
  <c r="AA1112" i="9"/>
  <c r="AA333" i="9"/>
  <c r="AA343" i="9"/>
  <c r="AA722" i="9"/>
  <c r="AA342" i="9"/>
  <c r="AA1486" i="9"/>
  <c r="AA341" i="9"/>
  <c r="AA1303" i="9"/>
  <c r="AA1298" i="9"/>
  <c r="AA1304" i="9"/>
  <c r="AA1302" i="9"/>
  <c r="AA1106" i="9"/>
  <c r="AA1104" i="9"/>
  <c r="AA1295" i="9"/>
  <c r="AA527" i="9"/>
  <c r="AA728" i="9"/>
  <c r="AA920" i="9"/>
  <c r="AA914" i="9"/>
  <c r="AA335" i="9"/>
  <c r="AA157" i="9"/>
  <c r="AA727" i="9"/>
  <c r="AA1103" i="9"/>
  <c r="AA911" i="9"/>
  <c r="AA1300" i="9"/>
  <c r="AA724" i="9"/>
  <c r="AA338" i="9"/>
  <c r="AA1296" i="9"/>
  <c r="AA718" i="9"/>
  <c r="AA1101" i="9"/>
  <c r="AA910" i="9"/>
  <c r="AA150" i="9"/>
  <c r="AA141" i="9"/>
  <c r="AA719" i="9"/>
  <c r="AA723" i="9"/>
  <c r="AA726" i="9"/>
  <c r="AA344" i="9"/>
  <c r="AA915" i="9"/>
  <c r="AA530" i="9"/>
  <c r="AA917" i="9"/>
  <c r="AA528" i="9"/>
  <c r="AA1297" i="9"/>
  <c r="AA919" i="9"/>
  <c r="AA1299" i="9"/>
  <c r="AA1490" i="9"/>
  <c r="AA1494" i="9"/>
  <c r="AA534" i="9"/>
  <c r="AA918" i="9"/>
  <c r="AA1301" i="9"/>
  <c r="D924" i="9" l="1"/>
  <c r="A912" i="9"/>
  <c r="B912" i="9" s="1"/>
  <c r="D1311" i="9"/>
  <c r="A1299" i="9"/>
  <c r="B1299" i="9" s="1"/>
  <c r="D350" i="9"/>
  <c r="A338" i="9"/>
  <c r="B338" i="9" s="1"/>
  <c r="D345" i="9"/>
  <c r="A333" i="9"/>
  <c r="B333" i="9" s="1"/>
  <c r="D731" i="9"/>
  <c r="A719" i="9"/>
  <c r="B719" i="9" s="1"/>
  <c r="D356" i="9"/>
  <c r="A344" i="9"/>
  <c r="B344" i="9" s="1"/>
  <c r="D1312" i="9"/>
  <c r="A1300" i="9"/>
  <c r="B1300" i="9" s="1"/>
  <c r="D927" i="9"/>
  <c r="A915" i="9"/>
  <c r="B915" i="9" s="1"/>
  <c r="D1504" i="9"/>
  <c r="A1492" i="9"/>
  <c r="B1492" i="9" s="1"/>
  <c r="D1508" i="9"/>
  <c r="A1496" i="9"/>
  <c r="B1496" i="9" s="1"/>
  <c r="D928" i="9"/>
  <c r="A916" i="9"/>
  <c r="B916" i="9" s="1"/>
  <c r="D351" i="9"/>
  <c r="A339" i="9"/>
  <c r="B339" i="9" s="1"/>
  <c r="D1119" i="9"/>
  <c r="A1107" i="9"/>
  <c r="B1107" i="9" s="1"/>
  <c r="D735" i="9"/>
  <c r="A723" i="9"/>
  <c r="B723" i="9" s="1"/>
  <c r="D922" i="9"/>
  <c r="A910" i="9"/>
  <c r="B910" i="9" s="1"/>
  <c r="D153" i="9"/>
  <c r="A141" i="9"/>
  <c r="B141" i="9" s="1"/>
  <c r="D542" i="9"/>
  <c r="A530" i="9"/>
  <c r="B530" i="9" s="1"/>
  <c r="D352" i="9"/>
  <c r="A340" i="9"/>
  <c r="B340" i="9" s="1"/>
  <c r="D739" i="9"/>
  <c r="A727" i="9"/>
  <c r="B727" i="9" s="1"/>
  <c r="D1500" i="9"/>
  <c r="A1488" i="9"/>
  <c r="B1488" i="9" s="1"/>
  <c r="D159" i="9"/>
  <c r="A147" i="9"/>
  <c r="B147" i="9" s="1"/>
  <c r="D540" i="9"/>
  <c r="A528" i="9"/>
  <c r="B528" i="9" s="1"/>
  <c r="D1115" i="9"/>
  <c r="A1103" i="9"/>
  <c r="B1103" i="9" s="1"/>
  <c r="D740" i="9"/>
  <c r="A728" i="9"/>
  <c r="B728" i="9" s="1"/>
  <c r="D160" i="9"/>
  <c r="A148" i="9"/>
  <c r="B148" i="9" s="1"/>
  <c r="D1306" i="9"/>
  <c r="A1294" i="9"/>
  <c r="B1294" i="9" s="1"/>
  <c r="D730" i="9"/>
  <c r="A718" i="9"/>
  <c r="B718" i="9" s="1"/>
  <c r="D163" i="9"/>
  <c r="A151" i="9"/>
  <c r="B151" i="9" s="1"/>
  <c r="D1506" i="9"/>
  <c r="A1494" i="9"/>
  <c r="B1494" i="9" s="1"/>
  <c r="A156" i="9"/>
  <c r="B156" i="9" s="1"/>
  <c r="D729" i="9"/>
  <c r="A717" i="9"/>
  <c r="B717" i="9" s="1"/>
  <c r="D926" i="9"/>
  <c r="A914" i="9"/>
  <c r="B914" i="9" s="1"/>
  <c r="D921" i="9"/>
  <c r="A909" i="9"/>
  <c r="B909" i="9" s="1"/>
  <c r="D1305" i="9"/>
  <c r="A1293" i="9"/>
  <c r="B1293" i="9" s="1"/>
  <c r="D547" i="9"/>
  <c r="A535" i="9"/>
  <c r="B535" i="9" s="1"/>
  <c r="D348" i="9"/>
  <c r="A336" i="9"/>
  <c r="B336" i="9" s="1"/>
  <c r="D1315" i="9"/>
  <c r="A1303" i="9"/>
  <c r="B1303" i="9" s="1"/>
  <c r="D1122" i="9"/>
  <c r="A1110" i="9"/>
  <c r="B1110" i="9" s="1"/>
  <c r="D1123" i="9"/>
  <c r="A1111" i="9"/>
  <c r="B1111" i="9" s="1"/>
  <c r="D1310" i="9"/>
  <c r="A1298" i="9"/>
  <c r="B1298" i="9" s="1"/>
  <c r="D1502" i="9"/>
  <c r="A1490" i="9"/>
  <c r="B1490" i="9" s="1"/>
  <c r="D353" i="9"/>
  <c r="A341" i="9"/>
  <c r="B341" i="9" s="1"/>
  <c r="D1308" i="9"/>
  <c r="A1296" i="9"/>
  <c r="B1296" i="9" s="1"/>
  <c r="D1313" i="9"/>
  <c r="A1301" i="9"/>
  <c r="B1301" i="9" s="1"/>
  <c r="A161" i="9"/>
  <c r="B161" i="9" s="1"/>
  <c r="A164" i="9"/>
  <c r="B164" i="9" s="1"/>
  <c r="D543" i="9"/>
  <c r="A531" i="9"/>
  <c r="B531" i="9" s="1"/>
  <c r="D538" i="9"/>
  <c r="A526" i="9"/>
  <c r="B526" i="9" s="1"/>
  <c r="D1314" i="9"/>
  <c r="A1302" i="9"/>
  <c r="B1302" i="9" s="1"/>
  <c r="D738" i="9"/>
  <c r="A726" i="9"/>
  <c r="B726" i="9" s="1"/>
  <c r="D544" i="9"/>
  <c r="A532" i="9"/>
  <c r="B532" i="9" s="1"/>
  <c r="D1121" i="9"/>
  <c r="A1109" i="9"/>
  <c r="B1109" i="9" s="1"/>
  <c r="D1118" i="9"/>
  <c r="A1106" i="9"/>
  <c r="B1106" i="9" s="1"/>
  <c r="D732" i="9"/>
  <c r="A720" i="9"/>
  <c r="B720" i="9" s="1"/>
  <c r="D737" i="9"/>
  <c r="A725" i="9"/>
  <c r="B725" i="9" s="1"/>
  <c r="D734" i="9"/>
  <c r="A722" i="9"/>
  <c r="B722" i="9" s="1"/>
  <c r="D932" i="9"/>
  <c r="A920" i="9"/>
  <c r="B920" i="9" s="1"/>
  <c r="D355" i="9"/>
  <c r="A343" i="9"/>
  <c r="B343" i="9" s="1"/>
  <c r="D1117" i="9"/>
  <c r="A1105" i="9"/>
  <c r="B1105" i="9" s="1"/>
  <c r="D1124" i="9"/>
  <c r="A1112" i="9"/>
  <c r="B1112" i="9" s="1"/>
  <c r="D736" i="9"/>
  <c r="A724" i="9"/>
  <c r="B724" i="9" s="1"/>
  <c r="D925" i="9"/>
  <c r="A913" i="9"/>
  <c r="B913" i="9" s="1"/>
  <c r="D1316" i="9"/>
  <c r="A1304" i="9"/>
  <c r="B1304" i="9" s="1"/>
  <c r="D347" i="9"/>
  <c r="A335" i="9"/>
  <c r="B335" i="9" s="1"/>
  <c r="D545" i="9"/>
  <c r="A533" i="9"/>
  <c r="B533" i="9" s="1"/>
  <c r="D1307" i="9"/>
  <c r="A1295" i="9"/>
  <c r="B1295" i="9" s="1"/>
  <c r="D923" i="9"/>
  <c r="A911" i="9"/>
  <c r="B911" i="9" s="1"/>
  <c r="D546" i="9"/>
  <c r="A534" i="9"/>
  <c r="B534" i="9" s="1"/>
  <c r="D1116" i="9"/>
  <c r="A1104" i="9"/>
  <c r="B1104" i="9" s="1"/>
  <c r="D733" i="9"/>
  <c r="A721" i="9"/>
  <c r="B721" i="9" s="1"/>
  <c r="D346" i="9"/>
  <c r="A334" i="9"/>
  <c r="B334" i="9" s="1"/>
  <c r="D154" i="9"/>
  <c r="A142" i="9"/>
  <c r="B142" i="9" s="1"/>
  <c r="A150" i="9"/>
  <c r="B150" i="9" s="1"/>
  <c r="D162" i="9"/>
  <c r="A146" i="9"/>
  <c r="B146" i="9" s="1"/>
  <c r="D158" i="9"/>
  <c r="D1113" i="9"/>
  <c r="A1101" i="9"/>
  <c r="B1101" i="9" s="1"/>
  <c r="D541" i="9"/>
  <c r="A529" i="9"/>
  <c r="B529" i="9" s="1"/>
  <c r="A157" i="9"/>
  <c r="B157" i="9" s="1"/>
  <c r="D548" i="9"/>
  <c r="A536" i="9"/>
  <c r="B536" i="9" s="1"/>
  <c r="D349" i="9"/>
  <c r="A337" i="9"/>
  <c r="B337" i="9" s="1"/>
  <c r="D1498" i="9"/>
  <c r="A1486" i="9"/>
  <c r="B1486" i="9" s="1"/>
  <c r="D929" i="9"/>
  <c r="A917" i="9"/>
  <c r="B917" i="9" s="1"/>
  <c r="D537" i="9"/>
  <c r="A525" i="9"/>
  <c r="B525" i="9" s="1"/>
  <c r="D930" i="9"/>
  <c r="A918" i="9"/>
  <c r="B918" i="9" s="1"/>
  <c r="D1114" i="9"/>
  <c r="A1102" i="9"/>
  <c r="B1102" i="9" s="1"/>
  <c r="D931" i="9"/>
  <c r="A919" i="9"/>
  <c r="B919" i="9" s="1"/>
  <c r="D155" i="9"/>
  <c r="A143" i="9"/>
  <c r="B143" i="9" s="1"/>
  <c r="D1120" i="9"/>
  <c r="A1108" i="9"/>
  <c r="B1108" i="9" s="1"/>
  <c r="D354" i="9"/>
  <c r="A342" i="9"/>
  <c r="B342" i="9" s="1"/>
  <c r="D1309" i="9"/>
  <c r="A1297" i="9"/>
  <c r="B1297" i="9" s="1"/>
  <c r="D539" i="9"/>
  <c r="A527" i="9"/>
  <c r="B527" i="9" s="1"/>
  <c r="D168" i="9"/>
  <c r="D169" i="9"/>
  <c r="C177" i="9"/>
  <c r="D173" i="9"/>
  <c r="D176" i="9"/>
  <c r="A8" i="16"/>
  <c r="A11" i="15"/>
  <c r="AA159" i="9"/>
  <c r="AA352" i="9"/>
  <c r="AA1114" i="9"/>
  <c r="AA1120" i="9"/>
  <c r="AA541" i="9"/>
  <c r="AA923" i="9"/>
  <c r="AA345" i="9"/>
  <c r="AA346" i="9"/>
  <c r="AA1306" i="9"/>
  <c r="AA538" i="9"/>
  <c r="AA1118" i="9"/>
  <c r="AA1316" i="9"/>
  <c r="AA930" i="9"/>
  <c r="AA1309" i="9"/>
  <c r="AA926" i="9"/>
  <c r="AA927" i="9"/>
  <c r="AA542" i="9"/>
  <c r="AA736" i="9"/>
  <c r="AA1117" i="9"/>
  <c r="AA1124" i="9"/>
  <c r="AA1313" i="9"/>
  <c r="AA928" i="9"/>
  <c r="AA168" i="9"/>
  <c r="AA355" i="9"/>
  <c r="AA1502" i="9"/>
  <c r="AA731" i="9"/>
  <c r="AA729" i="9"/>
  <c r="AA931" i="9"/>
  <c r="AA1500" i="9"/>
  <c r="AA1312" i="9"/>
  <c r="AA169" i="9"/>
  <c r="AA1115" i="9"/>
  <c r="AA544" i="9"/>
  <c r="AA349" i="9"/>
  <c r="AA162" i="9"/>
  <c r="AA351" i="9"/>
  <c r="AA1498" i="9"/>
  <c r="AA1122" i="9"/>
  <c r="AA154" i="9"/>
  <c r="AA545" i="9"/>
  <c r="AA738" i="9"/>
  <c r="AA547" i="9"/>
  <c r="AA353" i="9"/>
  <c r="AA546" i="9"/>
  <c r="AA732" i="9"/>
  <c r="AA1315" i="9"/>
  <c r="AA922" i="9"/>
  <c r="AA1504" i="9"/>
  <c r="AA740" i="9"/>
  <c r="AA153" i="9"/>
  <c r="AA540" i="9"/>
  <c r="AA924" i="9"/>
  <c r="AA932" i="9"/>
  <c r="AA1311" i="9"/>
  <c r="AA354" i="9"/>
  <c r="AA160" i="9"/>
  <c r="AA921" i="9"/>
  <c r="AA537" i="9"/>
  <c r="AA350" i="9"/>
  <c r="AA1308" i="9"/>
  <c r="AA739" i="9"/>
  <c r="AA1123" i="9"/>
  <c r="AA1113" i="9"/>
  <c r="AA925" i="9"/>
  <c r="AA733" i="9"/>
  <c r="AA1119" i="9"/>
  <c r="AA543" i="9"/>
  <c r="AA155" i="9"/>
  <c r="AA929" i="9"/>
  <c r="AA1307" i="9"/>
  <c r="AA734" i="9"/>
  <c r="AA163" i="9"/>
  <c r="AA735" i="9"/>
  <c r="AA158" i="9"/>
  <c r="AA737" i="9"/>
  <c r="AA347" i="9"/>
  <c r="AA176" i="9"/>
  <c r="AA348" i="9"/>
  <c r="AA548" i="9"/>
  <c r="AA1305" i="9"/>
  <c r="AA1121" i="9"/>
  <c r="AA1508" i="9"/>
  <c r="AA1506" i="9"/>
  <c r="AA539" i="9"/>
  <c r="AA356" i="9"/>
  <c r="AA730" i="9"/>
  <c r="AA1116" i="9"/>
  <c r="AA1314" i="9"/>
  <c r="AA1310" i="9"/>
  <c r="AA173" i="9"/>
  <c r="D553" i="9" l="1"/>
  <c r="A541" i="9"/>
  <c r="B541" i="9" s="1"/>
  <c r="D166" i="9"/>
  <c r="A154" i="9"/>
  <c r="B154" i="9" s="1"/>
  <c r="D745" i="9"/>
  <c r="A733" i="9"/>
  <c r="B733" i="9" s="1"/>
  <c r="D558" i="9"/>
  <c r="A546" i="9"/>
  <c r="B546" i="9" s="1"/>
  <c r="D1319" i="9"/>
  <c r="A1307" i="9"/>
  <c r="B1307" i="9" s="1"/>
  <c r="D359" i="9"/>
  <c r="A347" i="9"/>
  <c r="B347" i="9" s="1"/>
  <c r="D937" i="9"/>
  <c r="A925" i="9"/>
  <c r="B925" i="9" s="1"/>
  <c r="D1136" i="9"/>
  <c r="A1124" i="9"/>
  <c r="B1124" i="9" s="1"/>
  <c r="D367" i="9"/>
  <c r="A355" i="9"/>
  <c r="B355" i="9" s="1"/>
  <c r="D746" i="9"/>
  <c r="A734" i="9"/>
  <c r="B734" i="9" s="1"/>
  <c r="D744" i="9"/>
  <c r="A732" i="9"/>
  <c r="B732" i="9" s="1"/>
  <c r="D1133" i="9"/>
  <c r="A1121" i="9"/>
  <c r="B1121" i="9" s="1"/>
  <c r="D750" i="9"/>
  <c r="A738" i="9"/>
  <c r="B738" i="9" s="1"/>
  <c r="D550" i="9"/>
  <c r="A538" i="9"/>
  <c r="B538" i="9" s="1"/>
  <c r="D1320" i="9"/>
  <c r="A1308" i="9"/>
  <c r="B1308" i="9" s="1"/>
  <c r="D1514" i="9"/>
  <c r="A1502" i="9"/>
  <c r="B1502" i="9" s="1"/>
  <c r="D1135" i="9"/>
  <c r="A1123" i="9"/>
  <c r="B1123" i="9" s="1"/>
  <c r="D1327" i="9"/>
  <c r="A1315" i="9"/>
  <c r="B1315" i="9" s="1"/>
  <c r="D559" i="9"/>
  <c r="A547" i="9"/>
  <c r="B547" i="9" s="1"/>
  <c r="D933" i="9"/>
  <c r="A921" i="9"/>
  <c r="B921" i="9" s="1"/>
  <c r="D741" i="9"/>
  <c r="A729" i="9"/>
  <c r="B729" i="9" s="1"/>
  <c r="A176" i="9"/>
  <c r="B176" i="9" s="1"/>
  <c r="D551" i="9"/>
  <c r="A539" i="9"/>
  <c r="B539" i="9" s="1"/>
  <c r="D366" i="9"/>
  <c r="A354" i="9"/>
  <c r="B354" i="9" s="1"/>
  <c r="D167" i="9"/>
  <c r="A155" i="9"/>
  <c r="B155" i="9" s="1"/>
  <c r="D1126" i="9"/>
  <c r="A1114" i="9"/>
  <c r="B1114" i="9" s="1"/>
  <c r="D549" i="9"/>
  <c r="A537" i="9"/>
  <c r="B537" i="9" s="1"/>
  <c r="D1510" i="9"/>
  <c r="A1498" i="9"/>
  <c r="B1498" i="9" s="1"/>
  <c r="D560" i="9"/>
  <c r="A548" i="9"/>
  <c r="B548" i="9" s="1"/>
  <c r="A162" i="9"/>
  <c r="B162" i="9" s="1"/>
  <c r="D174" i="9"/>
  <c r="D175" i="9"/>
  <c r="A163" i="9"/>
  <c r="B163" i="9" s="1"/>
  <c r="D1318" i="9"/>
  <c r="A1306" i="9"/>
  <c r="B1306" i="9" s="1"/>
  <c r="D752" i="9"/>
  <c r="A740" i="9"/>
  <c r="B740" i="9" s="1"/>
  <c r="D552" i="9"/>
  <c r="A540" i="9"/>
  <c r="B540" i="9" s="1"/>
  <c r="D1512" i="9"/>
  <c r="A1500" i="9"/>
  <c r="B1500" i="9" s="1"/>
  <c r="D364" i="9"/>
  <c r="A352" i="9"/>
  <c r="B352" i="9" s="1"/>
  <c r="D165" i="9"/>
  <c r="A153" i="9"/>
  <c r="B153" i="9" s="1"/>
  <c r="D747" i="9"/>
  <c r="A735" i="9"/>
  <c r="B735" i="9" s="1"/>
  <c r="D363" i="9"/>
  <c r="A351" i="9"/>
  <c r="B351" i="9" s="1"/>
  <c r="D1520" i="9"/>
  <c r="A1508" i="9"/>
  <c r="B1508" i="9" s="1"/>
  <c r="D939" i="9"/>
  <c r="A927" i="9"/>
  <c r="B927" i="9" s="1"/>
  <c r="D368" i="9"/>
  <c r="A356" i="9"/>
  <c r="B356" i="9" s="1"/>
  <c r="D357" i="9"/>
  <c r="A345" i="9"/>
  <c r="B345" i="9" s="1"/>
  <c r="D1323" i="9"/>
  <c r="A1311" i="9"/>
  <c r="B1311" i="9" s="1"/>
  <c r="A169" i="9"/>
  <c r="B169" i="9" s="1"/>
  <c r="D1125" i="9"/>
  <c r="A1113" i="9"/>
  <c r="B1113" i="9" s="1"/>
  <c r="D358" i="9"/>
  <c r="A346" i="9"/>
  <c r="B346" i="9" s="1"/>
  <c r="D1128" i="9"/>
  <c r="A1116" i="9"/>
  <c r="B1116" i="9" s="1"/>
  <c r="D935" i="9"/>
  <c r="A923" i="9"/>
  <c r="B923" i="9" s="1"/>
  <c r="D557" i="9"/>
  <c r="A545" i="9"/>
  <c r="B545" i="9" s="1"/>
  <c r="D1328" i="9"/>
  <c r="A1316" i="9"/>
  <c r="B1316" i="9" s="1"/>
  <c r="D748" i="9"/>
  <c r="A736" i="9"/>
  <c r="B736" i="9" s="1"/>
  <c r="D1129" i="9"/>
  <c r="A1117" i="9"/>
  <c r="B1117" i="9" s="1"/>
  <c r="D944" i="9"/>
  <c r="A932" i="9"/>
  <c r="B932" i="9" s="1"/>
  <c r="D749" i="9"/>
  <c r="A737" i="9"/>
  <c r="B737" i="9" s="1"/>
  <c r="D1130" i="9"/>
  <c r="A1118" i="9"/>
  <c r="B1118" i="9" s="1"/>
  <c r="D556" i="9"/>
  <c r="A544" i="9"/>
  <c r="B544" i="9" s="1"/>
  <c r="D1326" i="9"/>
  <c r="A1314" i="9"/>
  <c r="B1314" i="9" s="1"/>
  <c r="D555" i="9"/>
  <c r="A543" i="9"/>
  <c r="B543" i="9" s="1"/>
  <c r="D1325" i="9"/>
  <c r="A1313" i="9"/>
  <c r="B1313" i="9" s="1"/>
  <c r="D365" i="9"/>
  <c r="A353" i="9"/>
  <c r="B353" i="9" s="1"/>
  <c r="D1322" i="9"/>
  <c r="A1310" i="9"/>
  <c r="B1310" i="9" s="1"/>
  <c r="D1134" i="9"/>
  <c r="A1122" i="9"/>
  <c r="B1122" i="9" s="1"/>
  <c r="D360" i="9"/>
  <c r="A348" i="9"/>
  <c r="B348" i="9" s="1"/>
  <c r="D1317" i="9"/>
  <c r="A1305" i="9"/>
  <c r="B1305" i="9" s="1"/>
  <c r="D938" i="9"/>
  <c r="A926" i="9"/>
  <c r="B926" i="9" s="1"/>
  <c r="A173" i="9"/>
  <c r="B173" i="9" s="1"/>
  <c r="A168" i="9"/>
  <c r="B168" i="9" s="1"/>
  <c r="D1321" i="9"/>
  <c r="A1309" i="9"/>
  <c r="B1309" i="9" s="1"/>
  <c r="D1132" i="9"/>
  <c r="A1120" i="9"/>
  <c r="B1120" i="9" s="1"/>
  <c r="D943" i="9"/>
  <c r="A931" i="9"/>
  <c r="B931" i="9" s="1"/>
  <c r="D942" i="9"/>
  <c r="A930" i="9"/>
  <c r="B930" i="9" s="1"/>
  <c r="D941" i="9"/>
  <c r="A929" i="9"/>
  <c r="B929" i="9" s="1"/>
  <c r="D361" i="9"/>
  <c r="A349" i="9"/>
  <c r="B349" i="9" s="1"/>
  <c r="A158" i="9"/>
  <c r="B158" i="9" s="1"/>
  <c r="D170" i="9"/>
  <c r="D1518" i="9"/>
  <c r="A1506" i="9"/>
  <c r="B1506" i="9" s="1"/>
  <c r="D742" i="9"/>
  <c r="A730" i="9"/>
  <c r="B730" i="9" s="1"/>
  <c r="D172" i="9"/>
  <c r="A160" i="9"/>
  <c r="B160" i="9" s="1"/>
  <c r="D1127" i="9"/>
  <c r="A1115" i="9"/>
  <c r="B1115" i="9" s="1"/>
  <c r="D171" i="9"/>
  <c r="A159" i="9"/>
  <c r="B159" i="9" s="1"/>
  <c r="D751" i="9"/>
  <c r="A739" i="9"/>
  <c r="B739" i="9" s="1"/>
  <c r="D554" i="9"/>
  <c r="A542" i="9"/>
  <c r="B542" i="9" s="1"/>
  <c r="D934" i="9"/>
  <c r="A922" i="9"/>
  <c r="B922" i="9" s="1"/>
  <c r="D1131" i="9"/>
  <c r="A1119" i="9"/>
  <c r="B1119" i="9" s="1"/>
  <c r="D940" i="9"/>
  <c r="A928" i="9"/>
  <c r="B928" i="9" s="1"/>
  <c r="D1516" i="9"/>
  <c r="A1504" i="9"/>
  <c r="B1504" i="9" s="1"/>
  <c r="D1324" i="9"/>
  <c r="A1312" i="9"/>
  <c r="B1312" i="9" s="1"/>
  <c r="D743" i="9"/>
  <c r="A731" i="9"/>
  <c r="B731" i="9" s="1"/>
  <c r="D362" i="9"/>
  <c r="A350" i="9"/>
  <c r="B350" i="9" s="1"/>
  <c r="D936" i="9"/>
  <c r="A924" i="9"/>
  <c r="B924" i="9" s="1"/>
  <c r="D181" i="9"/>
  <c r="D188" i="9"/>
  <c r="D185" i="9"/>
  <c r="C189" i="9"/>
  <c r="D180" i="9"/>
  <c r="A9" i="16"/>
  <c r="A12" i="15"/>
  <c r="AA942" i="9"/>
  <c r="AA1326" i="9"/>
  <c r="AA364" i="9"/>
  <c r="AA939" i="9"/>
  <c r="AA1126" i="9"/>
  <c r="AA1128" i="9"/>
  <c r="AA745" i="9"/>
  <c r="AA1130" i="9"/>
  <c r="AA1327" i="9"/>
  <c r="AA558" i="9"/>
  <c r="AA1516" i="9"/>
  <c r="AA166" i="9"/>
  <c r="AA749" i="9"/>
  <c r="AA1322" i="9"/>
  <c r="AA171" i="9"/>
  <c r="AA181" i="9"/>
  <c r="AA170" i="9"/>
  <c r="AA1320" i="9"/>
  <c r="AA938" i="9"/>
  <c r="AA750" i="9"/>
  <c r="AA552" i="9"/>
  <c r="AA554" i="9"/>
  <c r="AA1129" i="9"/>
  <c r="AA940" i="9"/>
  <c r="AA167" i="9"/>
  <c r="AA747" i="9"/>
  <c r="AA1323" i="9"/>
  <c r="AA185" i="9"/>
  <c r="AA1317" i="9"/>
  <c r="AA188" i="9"/>
  <c r="AA550" i="9"/>
  <c r="AA941" i="9"/>
  <c r="AA1328" i="9"/>
  <c r="AA1321" i="9"/>
  <c r="AA1324" i="9"/>
  <c r="AA175" i="9"/>
  <c r="AA1319" i="9"/>
  <c r="AA1133" i="9"/>
  <c r="AA359" i="9"/>
  <c r="AA551" i="9"/>
  <c r="AA1134" i="9"/>
  <c r="AA180" i="9"/>
  <c r="AA1127" i="9"/>
  <c r="AA1136" i="9"/>
  <c r="AA935" i="9"/>
  <c r="AA943" i="9"/>
  <c r="AA174" i="9"/>
  <c r="AA556" i="9"/>
  <c r="AA1520" i="9"/>
  <c r="AA165" i="9"/>
  <c r="AA751" i="9"/>
  <c r="AA1132" i="9"/>
  <c r="AA1125" i="9"/>
  <c r="AA1510" i="9"/>
  <c r="AA367" i="9"/>
  <c r="AA357" i="9"/>
  <c r="AA361" i="9"/>
  <c r="AA366" i="9"/>
  <c r="AA358" i="9"/>
  <c r="AA944" i="9"/>
  <c r="AA936" i="9"/>
  <c r="AA1135" i="9"/>
  <c r="AA1512" i="9"/>
  <c r="AA560" i="9"/>
  <c r="AA752" i="9"/>
  <c r="AA368" i="9"/>
  <c r="AA363" i="9"/>
  <c r="AA937" i="9"/>
  <c r="AA1518" i="9"/>
  <c r="AA1514" i="9"/>
  <c r="AA549" i="9"/>
  <c r="AA742" i="9"/>
  <c r="AA553" i="9"/>
  <c r="AA172" i="9"/>
  <c r="AA365" i="9"/>
  <c r="AA1131" i="9"/>
  <c r="AA362" i="9"/>
  <c r="AA559" i="9"/>
  <c r="AA1325" i="9"/>
  <c r="AA934" i="9"/>
  <c r="AA555" i="9"/>
  <c r="AA743" i="9"/>
  <c r="AA1318" i="9"/>
  <c r="AA557" i="9"/>
  <c r="AA748" i="9"/>
  <c r="AA360" i="9"/>
  <c r="AA746" i="9"/>
  <c r="AA933" i="9"/>
  <c r="AA744" i="9"/>
  <c r="AA741" i="9"/>
  <c r="A185" i="9" l="1"/>
  <c r="B185" i="9" s="1"/>
  <c r="D369" i="9"/>
  <c r="A357" i="9"/>
  <c r="B357" i="9" s="1"/>
  <c r="D951" i="9"/>
  <c r="A939" i="9"/>
  <c r="B939" i="9" s="1"/>
  <c r="D375" i="9"/>
  <c r="A363" i="9"/>
  <c r="B363" i="9" s="1"/>
  <c r="D177" i="9"/>
  <c r="A165" i="9"/>
  <c r="B165" i="9" s="1"/>
  <c r="D1524" i="9"/>
  <c r="A1512" i="9"/>
  <c r="B1512" i="9" s="1"/>
  <c r="D764" i="9"/>
  <c r="A752" i="9"/>
  <c r="B752" i="9" s="1"/>
  <c r="D187" i="9"/>
  <c r="A175" i="9"/>
  <c r="B175" i="9" s="1"/>
  <c r="D572" i="9"/>
  <c r="A560" i="9"/>
  <c r="B560" i="9" s="1"/>
  <c r="D561" i="9"/>
  <c r="A549" i="9"/>
  <c r="B549" i="9" s="1"/>
  <c r="D179" i="9"/>
  <c r="A167" i="9"/>
  <c r="B167" i="9" s="1"/>
  <c r="D563" i="9"/>
  <c r="A551" i="9"/>
  <c r="B551" i="9" s="1"/>
  <c r="A188" i="9"/>
  <c r="B188" i="9" s="1"/>
  <c r="D948" i="9"/>
  <c r="A936" i="9"/>
  <c r="B936" i="9" s="1"/>
  <c r="D755" i="9"/>
  <c r="A743" i="9"/>
  <c r="B743" i="9" s="1"/>
  <c r="D1528" i="9"/>
  <c r="A1516" i="9"/>
  <c r="B1516" i="9" s="1"/>
  <c r="D1143" i="9"/>
  <c r="A1131" i="9"/>
  <c r="B1131" i="9" s="1"/>
  <c r="D566" i="9"/>
  <c r="A554" i="9"/>
  <c r="B554" i="9" s="1"/>
  <c r="D183" i="9"/>
  <c r="A171" i="9"/>
  <c r="B171" i="9" s="1"/>
  <c r="D184" i="9"/>
  <c r="A172" i="9"/>
  <c r="B172" i="9" s="1"/>
  <c r="D1530" i="9"/>
  <c r="A1518" i="9"/>
  <c r="B1518" i="9" s="1"/>
  <c r="D373" i="9"/>
  <c r="A361" i="9"/>
  <c r="B361" i="9" s="1"/>
  <c r="D954" i="9"/>
  <c r="A942" i="9"/>
  <c r="B942" i="9" s="1"/>
  <c r="D1144" i="9"/>
  <c r="A1132" i="9"/>
  <c r="B1132" i="9" s="1"/>
  <c r="D1329" i="9"/>
  <c r="A1317" i="9"/>
  <c r="B1317" i="9" s="1"/>
  <c r="D1146" i="9"/>
  <c r="A1134" i="9"/>
  <c r="B1134" i="9" s="1"/>
  <c r="D377" i="9"/>
  <c r="A365" i="9"/>
  <c r="B365" i="9" s="1"/>
  <c r="D567" i="9"/>
  <c r="A555" i="9"/>
  <c r="B555" i="9" s="1"/>
  <c r="D568" i="9"/>
  <c r="A556" i="9"/>
  <c r="B556" i="9" s="1"/>
  <c r="D761" i="9"/>
  <c r="A749" i="9"/>
  <c r="B749" i="9" s="1"/>
  <c r="D1141" i="9"/>
  <c r="A1129" i="9"/>
  <c r="B1129" i="9" s="1"/>
  <c r="D1340" i="9"/>
  <c r="A1328" i="9"/>
  <c r="B1328" i="9" s="1"/>
  <c r="D947" i="9"/>
  <c r="A935" i="9"/>
  <c r="B935" i="9" s="1"/>
  <c r="D370" i="9"/>
  <c r="A358" i="9"/>
  <c r="B358" i="9" s="1"/>
  <c r="A174" i="9"/>
  <c r="B174" i="9" s="1"/>
  <c r="D186" i="9"/>
  <c r="D945" i="9"/>
  <c r="A933" i="9"/>
  <c r="B933" i="9" s="1"/>
  <c r="D1339" i="9"/>
  <c r="A1327" i="9"/>
  <c r="B1327" i="9" s="1"/>
  <c r="D1526" i="9"/>
  <c r="A1514" i="9"/>
  <c r="B1514" i="9" s="1"/>
  <c r="D562" i="9"/>
  <c r="A550" i="9"/>
  <c r="B550" i="9" s="1"/>
  <c r="D1145" i="9"/>
  <c r="A1133" i="9"/>
  <c r="B1133" i="9" s="1"/>
  <c r="D758" i="9"/>
  <c r="A746" i="9"/>
  <c r="B746" i="9" s="1"/>
  <c r="D1148" i="9"/>
  <c r="A1136" i="9"/>
  <c r="B1136" i="9" s="1"/>
  <c r="D371" i="9"/>
  <c r="A359" i="9"/>
  <c r="B359" i="9" s="1"/>
  <c r="D570" i="9"/>
  <c r="A558" i="9"/>
  <c r="B558" i="9" s="1"/>
  <c r="D178" i="9"/>
  <c r="A166" i="9"/>
  <c r="B166" i="9" s="1"/>
  <c r="A180" i="9"/>
  <c r="B180" i="9" s="1"/>
  <c r="A181" i="9"/>
  <c r="B181" i="9" s="1"/>
  <c r="A170" i="9"/>
  <c r="B170" i="9" s="1"/>
  <c r="D182" i="9"/>
  <c r="D1335" i="9"/>
  <c r="A1323" i="9"/>
  <c r="B1323" i="9" s="1"/>
  <c r="D380" i="9"/>
  <c r="A368" i="9"/>
  <c r="B368" i="9" s="1"/>
  <c r="D1532" i="9"/>
  <c r="A1520" i="9"/>
  <c r="B1520" i="9" s="1"/>
  <c r="D759" i="9"/>
  <c r="A747" i="9"/>
  <c r="B747" i="9" s="1"/>
  <c r="D376" i="9"/>
  <c r="A364" i="9"/>
  <c r="B364" i="9" s="1"/>
  <c r="D564" i="9"/>
  <c r="A552" i="9"/>
  <c r="B552" i="9" s="1"/>
  <c r="D1330" i="9"/>
  <c r="A1318" i="9"/>
  <c r="B1318" i="9" s="1"/>
  <c r="D1522" i="9"/>
  <c r="A1510" i="9"/>
  <c r="B1510" i="9" s="1"/>
  <c r="D1138" i="9"/>
  <c r="A1126" i="9"/>
  <c r="B1126" i="9" s="1"/>
  <c r="D378" i="9"/>
  <c r="A366" i="9"/>
  <c r="B366" i="9" s="1"/>
  <c r="D374" i="9"/>
  <c r="A362" i="9"/>
  <c r="B362" i="9" s="1"/>
  <c r="D1336" i="9"/>
  <c r="A1324" i="9"/>
  <c r="B1324" i="9" s="1"/>
  <c r="D952" i="9"/>
  <c r="A940" i="9"/>
  <c r="B940" i="9" s="1"/>
  <c r="D946" i="9"/>
  <c r="A934" i="9"/>
  <c r="B934" i="9" s="1"/>
  <c r="D763" i="9"/>
  <c r="A751" i="9"/>
  <c r="B751" i="9" s="1"/>
  <c r="D1139" i="9"/>
  <c r="A1127" i="9"/>
  <c r="B1127" i="9" s="1"/>
  <c r="D754" i="9"/>
  <c r="A742" i="9"/>
  <c r="B742" i="9" s="1"/>
  <c r="D953" i="9"/>
  <c r="A941" i="9"/>
  <c r="B941" i="9" s="1"/>
  <c r="D955" i="9"/>
  <c r="A943" i="9"/>
  <c r="B943" i="9" s="1"/>
  <c r="D1333" i="9"/>
  <c r="A1321" i="9"/>
  <c r="B1321" i="9" s="1"/>
  <c r="D950" i="9"/>
  <c r="A938" i="9"/>
  <c r="B938" i="9" s="1"/>
  <c r="D372" i="9"/>
  <c r="A360" i="9"/>
  <c r="B360" i="9" s="1"/>
  <c r="D1334" i="9"/>
  <c r="A1322" i="9"/>
  <c r="B1322" i="9" s="1"/>
  <c r="D1337" i="9"/>
  <c r="A1325" i="9"/>
  <c r="B1325" i="9" s="1"/>
  <c r="D1338" i="9"/>
  <c r="A1326" i="9"/>
  <c r="B1326" i="9" s="1"/>
  <c r="D1142" i="9"/>
  <c r="A1130" i="9"/>
  <c r="B1130" i="9" s="1"/>
  <c r="D956" i="9"/>
  <c r="A944" i="9"/>
  <c r="B944" i="9" s="1"/>
  <c r="D760" i="9"/>
  <c r="A748" i="9"/>
  <c r="B748" i="9" s="1"/>
  <c r="D569" i="9"/>
  <c r="A557" i="9"/>
  <c r="B557" i="9" s="1"/>
  <c r="D1140" i="9"/>
  <c r="A1128" i="9"/>
  <c r="B1128" i="9" s="1"/>
  <c r="D1137" i="9"/>
  <c r="A1125" i="9"/>
  <c r="B1125" i="9" s="1"/>
  <c r="D753" i="9"/>
  <c r="A741" i="9"/>
  <c r="B741" i="9" s="1"/>
  <c r="D571" i="9"/>
  <c r="A559" i="9"/>
  <c r="B559" i="9" s="1"/>
  <c r="D1147" i="9"/>
  <c r="A1135" i="9"/>
  <c r="B1135" i="9" s="1"/>
  <c r="D1332" i="9"/>
  <c r="A1320" i="9"/>
  <c r="B1320" i="9" s="1"/>
  <c r="D762" i="9"/>
  <c r="A750" i="9"/>
  <c r="B750" i="9" s="1"/>
  <c r="D756" i="9"/>
  <c r="A744" i="9"/>
  <c r="B744" i="9" s="1"/>
  <c r="D379" i="9"/>
  <c r="A367" i="9"/>
  <c r="B367" i="9" s="1"/>
  <c r="D949" i="9"/>
  <c r="A937" i="9"/>
  <c r="B937" i="9" s="1"/>
  <c r="D1331" i="9"/>
  <c r="A1319" i="9"/>
  <c r="B1319" i="9" s="1"/>
  <c r="D757" i="9"/>
  <c r="A745" i="9"/>
  <c r="B745" i="9" s="1"/>
  <c r="D565" i="9"/>
  <c r="A553" i="9"/>
  <c r="B553" i="9" s="1"/>
  <c r="D192" i="9"/>
  <c r="D197" i="9"/>
  <c r="D193" i="9"/>
  <c r="D200" i="9"/>
  <c r="A10" i="16"/>
  <c r="A13" i="15"/>
  <c r="AA192" i="9"/>
  <c r="AA178" i="9"/>
  <c r="AA955" i="9"/>
  <c r="AA1148" i="9"/>
  <c r="AA566" i="9"/>
  <c r="AA370" i="9"/>
  <c r="AA1528" i="9"/>
  <c r="AA374" i="9"/>
  <c r="AA956" i="9"/>
  <c r="AA946" i="9"/>
  <c r="AA572" i="9"/>
  <c r="AA369" i="9"/>
  <c r="AA759" i="9"/>
  <c r="AA378" i="9"/>
  <c r="AA763" i="9"/>
  <c r="AA1336" i="9"/>
  <c r="AA954" i="9"/>
  <c r="AA1147" i="9"/>
  <c r="AA1142" i="9"/>
  <c r="AA177" i="9"/>
  <c r="AA1146" i="9"/>
  <c r="AA563" i="9"/>
  <c r="AA380" i="9"/>
  <c r="AA375" i="9"/>
  <c r="AA1339" i="9"/>
  <c r="AA953" i="9"/>
  <c r="AA1340" i="9"/>
  <c r="AA571" i="9"/>
  <c r="AA1145" i="9"/>
  <c r="AA1143" i="9"/>
  <c r="AA565" i="9"/>
  <c r="AA1524" i="9"/>
  <c r="AA372" i="9"/>
  <c r="AA1337" i="9"/>
  <c r="AA754" i="9"/>
  <c r="AA197" i="9"/>
  <c r="AA1333" i="9"/>
  <c r="AA1137" i="9"/>
  <c r="AA377" i="9"/>
  <c r="AA184" i="9"/>
  <c r="AA952" i="9"/>
  <c r="AA183" i="9"/>
  <c r="AA187" i="9"/>
  <c r="AA757" i="9"/>
  <c r="AA755" i="9"/>
  <c r="AA569" i="9"/>
  <c r="AA182" i="9"/>
  <c r="AA951" i="9"/>
  <c r="AA570" i="9"/>
  <c r="AA1138" i="9"/>
  <c r="AA1141" i="9"/>
  <c r="AA1530" i="9"/>
  <c r="AA947" i="9"/>
  <c r="AA949" i="9"/>
  <c r="AA948" i="9"/>
  <c r="AA758" i="9"/>
  <c r="AA371" i="9"/>
  <c r="AA1334" i="9"/>
  <c r="AA950" i="9"/>
  <c r="AA761" i="9"/>
  <c r="AA193" i="9"/>
  <c r="AA562" i="9"/>
  <c r="AA1140" i="9"/>
  <c r="AA1532" i="9"/>
  <c r="AA1329" i="9"/>
  <c r="AA1330" i="9"/>
  <c r="AA1522" i="9"/>
  <c r="AA1335" i="9"/>
  <c r="AA200" i="9"/>
  <c r="AA179" i="9"/>
  <c r="AA1338" i="9"/>
  <c r="AA1526" i="9"/>
  <c r="AA753" i="9"/>
  <c r="AA561" i="9"/>
  <c r="AA945" i="9"/>
  <c r="AA1144" i="9"/>
  <c r="AA762" i="9"/>
  <c r="AA376" i="9"/>
  <c r="AA379" i="9"/>
  <c r="AA764" i="9"/>
  <c r="AA186" i="9"/>
  <c r="AA760" i="9"/>
  <c r="AA373" i="9"/>
  <c r="AA1332" i="9"/>
  <c r="AA568" i="9"/>
  <c r="AA1331" i="9"/>
  <c r="AA564" i="9"/>
  <c r="AA1139" i="9"/>
  <c r="AA756" i="9"/>
  <c r="AA567" i="9"/>
  <c r="A197" i="9" l="1"/>
  <c r="B197" i="9" s="1"/>
  <c r="D575" i="9"/>
  <c r="A563" i="9"/>
  <c r="B563" i="9" s="1"/>
  <c r="D573" i="9"/>
  <c r="A561" i="9"/>
  <c r="B561" i="9" s="1"/>
  <c r="D199" i="9"/>
  <c r="A187" i="9"/>
  <c r="B187" i="9" s="1"/>
  <c r="D1536" i="9"/>
  <c r="A1524" i="9"/>
  <c r="B1524" i="9" s="1"/>
  <c r="D387" i="9"/>
  <c r="A375" i="9"/>
  <c r="B375" i="9" s="1"/>
  <c r="D381" i="9"/>
  <c r="A369" i="9"/>
  <c r="B369" i="9" s="1"/>
  <c r="A192" i="9"/>
  <c r="B192" i="9" s="1"/>
  <c r="D769" i="9"/>
  <c r="A757" i="9"/>
  <c r="B757" i="9" s="1"/>
  <c r="D961" i="9"/>
  <c r="A949" i="9"/>
  <c r="B949" i="9" s="1"/>
  <c r="D768" i="9"/>
  <c r="A756" i="9"/>
  <c r="B756" i="9" s="1"/>
  <c r="D1344" i="9"/>
  <c r="A1332" i="9"/>
  <c r="B1332" i="9" s="1"/>
  <c r="D583" i="9"/>
  <c r="A571" i="9"/>
  <c r="B571" i="9" s="1"/>
  <c r="D1149" i="9"/>
  <c r="A1137" i="9"/>
  <c r="B1137" i="9" s="1"/>
  <c r="D581" i="9"/>
  <c r="A569" i="9"/>
  <c r="B569" i="9" s="1"/>
  <c r="D968" i="9"/>
  <c r="A956" i="9"/>
  <c r="B956" i="9" s="1"/>
  <c r="D1350" i="9"/>
  <c r="A1338" i="9"/>
  <c r="B1338" i="9" s="1"/>
  <c r="D1346" i="9"/>
  <c r="A1334" i="9"/>
  <c r="B1334" i="9" s="1"/>
  <c r="D962" i="9"/>
  <c r="A950" i="9"/>
  <c r="B950" i="9" s="1"/>
  <c r="D967" i="9"/>
  <c r="A955" i="9"/>
  <c r="B955" i="9" s="1"/>
  <c r="D766" i="9"/>
  <c r="A754" i="9"/>
  <c r="B754" i="9" s="1"/>
  <c r="D775" i="9"/>
  <c r="A763" i="9"/>
  <c r="B763" i="9" s="1"/>
  <c r="D964" i="9"/>
  <c r="A952" i="9"/>
  <c r="B952" i="9" s="1"/>
  <c r="D386" i="9"/>
  <c r="A374" i="9"/>
  <c r="B374" i="9" s="1"/>
  <c r="D1150" i="9"/>
  <c r="A1138" i="9"/>
  <c r="B1138" i="9" s="1"/>
  <c r="D1342" i="9"/>
  <c r="A1330" i="9"/>
  <c r="B1330" i="9" s="1"/>
  <c r="D388" i="9"/>
  <c r="A376" i="9"/>
  <c r="B376" i="9" s="1"/>
  <c r="D1544" i="9"/>
  <c r="A1532" i="9"/>
  <c r="B1532" i="9" s="1"/>
  <c r="D1347" i="9"/>
  <c r="A1335" i="9"/>
  <c r="B1335" i="9" s="1"/>
  <c r="D582" i="9"/>
  <c r="A570" i="9"/>
  <c r="B570" i="9" s="1"/>
  <c r="D1160" i="9"/>
  <c r="A1148" i="9"/>
  <c r="B1148" i="9" s="1"/>
  <c r="D1157" i="9"/>
  <c r="A1145" i="9"/>
  <c r="B1145" i="9" s="1"/>
  <c r="D1538" i="9"/>
  <c r="A1526" i="9"/>
  <c r="B1526" i="9" s="1"/>
  <c r="D957" i="9"/>
  <c r="A945" i="9"/>
  <c r="B945" i="9" s="1"/>
  <c r="D382" i="9"/>
  <c r="A370" i="9"/>
  <c r="B370" i="9" s="1"/>
  <c r="D1352" i="9"/>
  <c r="A1340" i="9"/>
  <c r="B1340" i="9" s="1"/>
  <c r="D773" i="9"/>
  <c r="A761" i="9"/>
  <c r="B761" i="9" s="1"/>
  <c r="D579" i="9"/>
  <c r="A567" i="9"/>
  <c r="B567" i="9" s="1"/>
  <c r="D1158" i="9"/>
  <c r="A1146" i="9"/>
  <c r="B1146" i="9" s="1"/>
  <c r="D1156" i="9"/>
  <c r="A1144" i="9"/>
  <c r="B1144" i="9" s="1"/>
  <c r="D385" i="9"/>
  <c r="A373" i="9"/>
  <c r="B373" i="9" s="1"/>
  <c r="D196" i="9"/>
  <c r="A184" i="9"/>
  <c r="B184" i="9" s="1"/>
  <c r="D578" i="9"/>
  <c r="A566" i="9"/>
  <c r="B566" i="9" s="1"/>
  <c r="D1540" i="9"/>
  <c r="A1528" i="9"/>
  <c r="B1528" i="9" s="1"/>
  <c r="D960" i="9"/>
  <c r="A948" i="9"/>
  <c r="B948" i="9" s="1"/>
  <c r="A200" i="9"/>
  <c r="B200" i="9" s="1"/>
  <c r="A182" i="9"/>
  <c r="B182" i="9" s="1"/>
  <c r="D194" i="9"/>
  <c r="A186" i="9"/>
  <c r="B186" i="9" s="1"/>
  <c r="D198" i="9"/>
  <c r="D191" i="9"/>
  <c r="A179" i="9"/>
  <c r="B179" i="9" s="1"/>
  <c r="D584" i="9"/>
  <c r="A572" i="9"/>
  <c r="B572" i="9" s="1"/>
  <c r="D776" i="9"/>
  <c r="A764" i="9"/>
  <c r="B764" i="9" s="1"/>
  <c r="D189" i="9"/>
  <c r="A177" i="9"/>
  <c r="B177" i="9" s="1"/>
  <c r="D963" i="9"/>
  <c r="A951" i="9"/>
  <c r="B951" i="9" s="1"/>
  <c r="A193" i="9"/>
  <c r="B193" i="9" s="1"/>
  <c r="D577" i="9"/>
  <c r="A565" i="9"/>
  <c r="B565" i="9" s="1"/>
  <c r="D1343" i="9"/>
  <c r="A1331" i="9"/>
  <c r="B1331" i="9" s="1"/>
  <c r="D391" i="9"/>
  <c r="A379" i="9"/>
  <c r="B379" i="9" s="1"/>
  <c r="D774" i="9"/>
  <c r="A762" i="9"/>
  <c r="B762" i="9" s="1"/>
  <c r="D1159" i="9"/>
  <c r="A1147" i="9"/>
  <c r="B1147" i="9" s="1"/>
  <c r="D765" i="9"/>
  <c r="A753" i="9"/>
  <c r="B753" i="9" s="1"/>
  <c r="D1152" i="9"/>
  <c r="A1140" i="9"/>
  <c r="B1140" i="9" s="1"/>
  <c r="D772" i="9"/>
  <c r="A760" i="9"/>
  <c r="B760" i="9" s="1"/>
  <c r="D1154" i="9"/>
  <c r="A1142" i="9"/>
  <c r="B1142" i="9" s="1"/>
  <c r="D1349" i="9"/>
  <c r="A1337" i="9"/>
  <c r="B1337" i="9" s="1"/>
  <c r="D384" i="9"/>
  <c r="A372" i="9"/>
  <c r="B372" i="9" s="1"/>
  <c r="D1345" i="9"/>
  <c r="A1333" i="9"/>
  <c r="B1333" i="9" s="1"/>
  <c r="D965" i="9"/>
  <c r="A953" i="9"/>
  <c r="B953" i="9" s="1"/>
  <c r="D1151" i="9"/>
  <c r="A1139" i="9"/>
  <c r="B1139" i="9" s="1"/>
  <c r="D958" i="9"/>
  <c r="A946" i="9"/>
  <c r="B946" i="9" s="1"/>
  <c r="D1348" i="9"/>
  <c r="A1336" i="9"/>
  <c r="B1336" i="9" s="1"/>
  <c r="D390" i="9"/>
  <c r="A378" i="9"/>
  <c r="B378" i="9" s="1"/>
  <c r="D1534" i="9"/>
  <c r="A1522" i="9"/>
  <c r="B1522" i="9" s="1"/>
  <c r="D576" i="9"/>
  <c r="A564" i="9"/>
  <c r="B564" i="9" s="1"/>
  <c r="D771" i="9"/>
  <c r="A759" i="9"/>
  <c r="B759" i="9" s="1"/>
  <c r="D392" i="9"/>
  <c r="A380" i="9"/>
  <c r="B380" i="9" s="1"/>
  <c r="D190" i="9"/>
  <c r="A178" i="9"/>
  <c r="B178" i="9" s="1"/>
  <c r="D383" i="9"/>
  <c r="A371" i="9"/>
  <c r="B371" i="9" s="1"/>
  <c r="D770" i="9"/>
  <c r="A758" i="9"/>
  <c r="B758" i="9" s="1"/>
  <c r="D574" i="9"/>
  <c r="A562" i="9"/>
  <c r="B562" i="9" s="1"/>
  <c r="D1351" i="9"/>
  <c r="A1339" i="9"/>
  <c r="B1339" i="9" s="1"/>
  <c r="D959" i="9"/>
  <c r="A947" i="9"/>
  <c r="B947" i="9" s="1"/>
  <c r="D1153" i="9"/>
  <c r="A1141" i="9"/>
  <c r="B1141" i="9" s="1"/>
  <c r="D580" i="9"/>
  <c r="A568" i="9"/>
  <c r="B568" i="9" s="1"/>
  <c r="D389" i="9"/>
  <c r="A377" i="9"/>
  <c r="B377" i="9" s="1"/>
  <c r="D1341" i="9"/>
  <c r="A1329" i="9"/>
  <c r="B1329" i="9" s="1"/>
  <c r="D966" i="9"/>
  <c r="A954" i="9"/>
  <c r="B954" i="9" s="1"/>
  <c r="D1542" i="9"/>
  <c r="A1530" i="9"/>
  <c r="B1530" i="9" s="1"/>
  <c r="D195" i="9"/>
  <c r="A183" i="9"/>
  <c r="B183" i="9" s="1"/>
  <c r="D1155" i="9"/>
  <c r="A1143" i="9"/>
  <c r="B1143" i="9" s="1"/>
  <c r="D767" i="9"/>
  <c r="A755" i="9"/>
  <c r="B755" i="9" s="1"/>
  <c r="A11" i="16"/>
  <c r="A14" i="15"/>
  <c r="AA1350" i="9"/>
  <c r="AA768" i="9"/>
  <c r="AA966" i="9"/>
  <c r="AA774" i="9"/>
  <c r="AA766" i="9"/>
  <c r="AA584" i="9"/>
  <c r="AA581" i="9"/>
  <c r="AA194" i="9"/>
  <c r="AA1344" i="9"/>
  <c r="AA1151" i="9"/>
  <c r="AA1346" i="9"/>
  <c r="AA574" i="9"/>
  <c r="AA776" i="9"/>
  <c r="AA196" i="9"/>
  <c r="AA383" i="9"/>
  <c r="AA388" i="9"/>
  <c r="AA771" i="9"/>
  <c r="AA1158" i="9"/>
  <c r="AA1351" i="9"/>
  <c r="AA958" i="9"/>
  <c r="AA190" i="9"/>
  <c r="AA391" i="9"/>
  <c r="AA389" i="9"/>
  <c r="AA962" i="9"/>
  <c r="AA384" i="9"/>
  <c r="AA957" i="9"/>
  <c r="AA1149" i="9"/>
  <c r="AA961" i="9"/>
  <c r="AA965" i="9"/>
  <c r="AA199" i="9"/>
  <c r="AA392" i="9"/>
  <c r="AA964" i="9"/>
  <c r="AA963" i="9"/>
  <c r="AA1150" i="9"/>
  <c r="AA1343" i="9"/>
  <c r="AA1157" i="9"/>
  <c r="AA1538" i="9"/>
  <c r="AA765" i="9"/>
  <c r="AA1542" i="9"/>
  <c r="AA775" i="9"/>
  <c r="AA1540" i="9"/>
  <c r="AA198" i="9"/>
  <c r="AA386" i="9"/>
  <c r="AA767" i="9"/>
  <c r="AA579" i="9"/>
  <c r="AA583" i="9"/>
  <c r="AA1341" i="9"/>
  <c r="AA1342" i="9"/>
  <c r="AA1154" i="9"/>
  <c r="AA575" i="9"/>
  <c r="AA967" i="9"/>
  <c r="AA387" i="9"/>
  <c r="AA580" i="9"/>
  <c r="AA1352" i="9"/>
  <c r="AA195" i="9"/>
  <c r="AA385" i="9"/>
  <c r="AA576" i="9"/>
  <c r="AA1544" i="9"/>
  <c r="AA772" i="9"/>
  <c r="AA773" i="9"/>
  <c r="AA1348" i="9"/>
  <c r="AA1160" i="9"/>
  <c r="AA1349" i="9"/>
  <c r="AA381" i="9"/>
  <c r="AA1153" i="9"/>
  <c r="AA769" i="9"/>
  <c r="AA189" i="9"/>
  <c r="AA191" i="9"/>
  <c r="AA1155" i="9"/>
  <c r="AA960" i="9"/>
  <c r="AA1534" i="9"/>
  <c r="AA382" i="9"/>
  <c r="AA1159" i="9"/>
  <c r="AA573" i="9"/>
  <c r="AA770" i="9"/>
  <c r="AA390" i="9"/>
  <c r="AA959" i="9"/>
  <c r="AA1347" i="9"/>
  <c r="AA1345" i="9"/>
  <c r="AA1156" i="9"/>
  <c r="AA1536" i="9"/>
  <c r="AA582" i="9"/>
  <c r="AA577" i="9"/>
  <c r="AA1152" i="9"/>
  <c r="AA578" i="9"/>
  <c r="AA968" i="9"/>
  <c r="A767" i="9" l="1"/>
  <c r="B767" i="9" s="1"/>
  <c r="A195" i="9"/>
  <c r="B195" i="9" s="1"/>
  <c r="A966" i="9"/>
  <c r="B966" i="9" s="1"/>
  <c r="A389" i="9"/>
  <c r="B389" i="9" s="1"/>
  <c r="A1153" i="9"/>
  <c r="B1153" i="9" s="1"/>
  <c r="A1351" i="9"/>
  <c r="B1351" i="9" s="1"/>
  <c r="A770" i="9"/>
  <c r="B770" i="9" s="1"/>
  <c r="A190" i="9"/>
  <c r="B190" i="9" s="1"/>
  <c r="A771" i="9"/>
  <c r="B771" i="9" s="1"/>
  <c r="A1534" i="9"/>
  <c r="B1534" i="9" s="1"/>
  <c r="A1348" i="9"/>
  <c r="B1348" i="9" s="1"/>
  <c r="A1151" i="9"/>
  <c r="B1151" i="9" s="1"/>
  <c r="A1345" i="9"/>
  <c r="B1345" i="9" s="1"/>
  <c r="A1349" i="9"/>
  <c r="B1349" i="9" s="1"/>
  <c r="A772" i="9"/>
  <c r="B772" i="9" s="1"/>
  <c r="A765" i="9"/>
  <c r="B765" i="9" s="1"/>
  <c r="A774" i="9"/>
  <c r="B774" i="9" s="1"/>
  <c r="A1343" i="9"/>
  <c r="B1343" i="9" s="1"/>
  <c r="A194" i="9"/>
  <c r="B194" i="9" s="1"/>
  <c r="A960" i="9"/>
  <c r="B960" i="9" s="1"/>
  <c r="A578" i="9"/>
  <c r="B578" i="9" s="1"/>
  <c r="A385" i="9"/>
  <c r="B385" i="9" s="1"/>
  <c r="A1158" i="9"/>
  <c r="B1158" i="9" s="1"/>
  <c r="A773" i="9"/>
  <c r="B773" i="9" s="1"/>
  <c r="A382" i="9"/>
  <c r="B382" i="9" s="1"/>
  <c r="A1538" i="9"/>
  <c r="B1538" i="9" s="1"/>
  <c r="A1160" i="9"/>
  <c r="B1160" i="9" s="1"/>
  <c r="A1347" i="9"/>
  <c r="B1347" i="9" s="1"/>
  <c r="A388" i="9"/>
  <c r="B388" i="9" s="1"/>
  <c r="A1150" i="9"/>
  <c r="B1150" i="9" s="1"/>
  <c r="A964" i="9"/>
  <c r="B964" i="9" s="1"/>
  <c r="A766" i="9"/>
  <c r="B766" i="9" s="1"/>
  <c r="A962" i="9"/>
  <c r="B962" i="9" s="1"/>
  <c r="A1350" i="9"/>
  <c r="B1350" i="9" s="1"/>
  <c r="A581" i="9"/>
  <c r="B581" i="9" s="1"/>
  <c r="A583" i="9"/>
  <c r="B583" i="9" s="1"/>
  <c r="A768" i="9"/>
  <c r="B768" i="9" s="1"/>
  <c r="A769" i="9"/>
  <c r="B769" i="9" s="1"/>
  <c r="A963" i="9"/>
  <c r="B963" i="9" s="1"/>
  <c r="A776" i="9"/>
  <c r="B776" i="9" s="1"/>
  <c r="A191" i="9"/>
  <c r="B191" i="9" s="1"/>
  <c r="A387" i="9"/>
  <c r="B387" i="9" s="1"/>
  <c r="A199" i="9"/>
  <c r="B199" i="9" s="1"/>
  <c r="A575" i="9"/>
  <c r="B575" i="9" s="1"/>
  <c r="A1155" i="9"/>
  <c r="B1155" i="9" s="1"/>
  <c r="A1542" i="9"/>
  <c r="B1542" i="9" s="1"/>
  <c r="A1341" i="9"/>
  <c r="B1341" i="9" s="1"/>
  <c r="A580" i="9"/>
  <c r="B580" i="9" s="1"/>
  <c r="A959" i="9"/>
  <c r="B959" i="9" s="1"/>
  <c r="A574" i="9"/>
  <c r="B574" i="9" s="1"/>
  <c r="A383" i="9"/>
  <c r="B383" i="9" s="1"/>
  <c r="A392" i="9"/>
  <c r="B392" i="9" s="1"/>
  <c r="A576" i="9"/>
  <c r="B576" i="9" s="1"/>
  <c r="A390" i="9"/>
  <c r="B390" i="9" s="1"/>
  <c r="A958" i="9"/>
  <c r="B958" i="9" s="1"/>
  <c r="A965" i="9"/>
  <c r="B965" i="9" s="1"/>
  <c r="A384" i="9"/>
  <c r="B384" i="9" s="1"/>
  <c r="A1154" i="9"/>
  <c r="B1154" i="9" s="1"/>
  <c r="A1152" i="9"/>
  <c r="B1152" i="9" s="1"/>
  <c r="A1159" i="9"/>
  <c r="B1159" i="9" s="1"/>
  <c r="A391" i="9"/>
  <c r="B391" i="9" s="1"/>
  <c r="A577" i="9"/>
  <c r="B577" i="9" s="1"/>
  <c r="A198" i="9"/>
  <c r="B198" i="9" s="1"/>
  <c r="A1540" i="9"/>
  <c r="B1540" i="9" s="1"/>
  <c r="A196" i="9"/>
  <c r="B196" i="9" s="1"/>
  <c r="A1156" i="9"/>
  <c r="B1156" i="9" s="1"/>
  <c r="A579" i="9"/>
  <c r="B579" i="9" s="1"/>
  <c r="A1352" i="9"/>
  <c r="B1352" i="9" s="1"/>
  <c r="A957" i="9"/>
  <c r="B957" i="9" s="1"/>
  <c r="A1157" i="9"/>
  <c r="B1157" i="9" s="1"/>
  <c r="A582" i="9"/>
  <c r="B582" i="9" s="1"/>
  <c r="A1544" i="9"/>
  <c r="B1544" i="9" s="1"/>
  <c r="A1342" i="9"/>
  <c r="B1342" i="9" s="1"/>
  <c r="A386" i="9"/>
  <c r="B386" i="9" s="1"/>
  <c r="A775" i="9"/>
  <c r="B775" i="9" s="1"/>
  <c r="A967" i="9"/>
  <c r="B967" i="9" s="1"/>
  <c r="A1346" i="9"/>
  <c r="B1346" i="9" s="1"/>
  <c r="A968" i="9"/>
  <c r="B968" i="9" s="1"/>
  <c r="A1149" i="9"/>
  <c r="B1149" i="9" s="1"/>
  <c r="A1344" i="9"/>
  <c r="B1344" i="9" s="1"/>
  <c r="A961" i="9"/>
  <c r="B961" i="9" s="1"/>
  <c r="A189" i="9"/>
  <c r="B189" i="9" s="1"/>
  <c r="A584" i="9"/>
  <c r="B584" i="9" s="1"/>
  <c r="A381" i="9"/>
  <c r="B381" i="9" s="1"/>
  <c r="A1536" i="9"/>
  <c r="B1536" i="9" s="1"/>
  <c r="A573" i="9"/>
  <c r="B573" i="9" s="1"/>
  <c r="A12" i="16"/>
  <c r="A15" i="15"/>
  <c r="A13" i="16" l="1"/>
  <c r="A16" i="15"/>
  <c r="A14" i="16" l="1"/>
  <c r="A17" i="15"/>
  <c r="A15" i="16" l="1"/>
  <c r="A18" i="15"/>
  <c r="A16" i="16" l="1"/>
  <c r="A19" i="15"/>
  <c r="A17" i="16" l="1"/>
  <c r="A20" i="15"/>
  <c r="A18" i="16" l="1"/>
  <c r="A21" i="15"/>
  <c r="A19" i="16" l="1"/>
  <c r="A22" i="15"/>
  <c r="A20" i="16" l="1"/>
  <c r="A23" i="15"/>
  <c r="A21" i="16" l="1"/>
  <c r="A24" i="15"/>
  <c r="A22" i="16" l="1"/>
  <c r="A25" i="15"/>
  <c r="A23" i="16" l="1"/>
  <c r="A26" i="15"/>
  <c r="A24" i="16" l="1"/>
  <c r="A27" i="15"/>
  <c r="A25" i="16" l="1"/>
  <c r="A28" i="15"/>
  <c r="A26" i="16" l="1"/>
  <c r="A29" i="15"/>
  <c r="A27" i="16" l="1"/>
  <c r="A30" i="15"/>
  <c r="A28" i="16" l="1"/>
  <c r="A31" i="15"/>
  <c r="A29" i="16" l="1"/>
  <c r="A32" i="15"/>
  <c r="A30" i="16" l="1"/>
  <c r="A33" i="15"/>
  <c r="A31" i="16" l="1"/>
  <c r="A34" i="15"/>
  <c r="A32" i="16" l="1"/>
  <c r="A35" i="15"/>
  <c r="A33" i="16" l="1"/>
  <c r="A36" i="15"/>
  <c r="A34" i="16" l="1"/>
  <c r="A37" i="15"/>
  <c r="A35" i="16" l="1"/>
  <c r="A38" i="15"/>
  <c r="A36" i="16" l="1"/>
  <c r="A39" i="15"/>
  <c r="A37" i="16" l="1"/>
  <c r="A40" i="15"/>
  <c r="A38" i="16" l="1"/>
  <c r="A41" i="15"/>
  <c r="A39" i="16" l="1"/>
  <c r="A42" i="15"/>
  <c r="A40" i="16" l="1"/>
  <c r="A43" i="15"/>
  <c r="A41" i="16" l="1"/>
  <c r="A44" i="15"/>
  <c r="A42" i="16" l="1"/>
  <c r="A45" i="15"/>
  <c r="A43" i="16" l="1"/>
  <c r="A46" i="15"/>
  <c r="A44" i="16" l="1"/>
  <c r="A47" i="15"/>
  <c r="A45" i="16" l="1"/>
  <c r="A48" i="15"/>
  <c r="A46" i="16" l="1"/>
  <c r="A49" i="15"/>
  <c r="A47" i="16" l="1"/>
  <c r="A50" i="15"/>
  <c r="A48" i="16" l="1"/>
  <c r="A51" i="15"/>
  <c r="A49" i="16" l="1"/>
  <c r="A52" i="15"/>
  <c r="A50" i="16" l="1"/>
  <c r="A53" i="15"/>
  <c r="A51" i="16" l="1"/>
  <c r="A54" i="15"/>
  <c r="A52" i="16" l="1"/>
  <c r="A55" i="15"/>
  <c r="A53" i="16" l="1"/>
  <c r="A56" i="15"/>
  <c r="A54" i="16" l="1"/>
  <c r="A57" i="15"/>
  <c r="A55" i="16" l="1"/>
  <c r="A58" i="15"/>
  <c r="A56" i="16" l="1"/>
  <c r="A59" i="15"/>
  <c r="A57" i="16" l="1"/>
  <c r="A60" i="15"/>
  <c r="A58" i="16" l="1"/>
  <c r="A61" i="15"/>
  <c r="A59" i="16" l="1"/>
  <c r="A62" i="15"/>
  <c r="A60" i="16" l="1"/>
  <c r="A63" i="15"/>
  <c r="A61" i="16" l="1"/>
  <c r="A64" i="15"/>
  <c r="A62" i="16" l="1"/>
  <c r="A65" i="15"/>
  <c r="A63" i="16" l="1"/>
  <c r="A66" i="15"/>
  <c r="A64" i="16" l="1"/>
  <c r="A67" i="15"/>
  <c r="A65" i="16" l="1"/>
  <c r="A68" i="15"/>
  <c r="A66" i="16" l="1"/>
  <c r="A69" i="15"/>
  <c r="A67" i="16" l="1"/>
  <c r="A70" i="15"/>
  <c r="A68" i="16" l="1"/>
  <c r="A71" i="15"/>
  <c r="A69" i="16" l="1"/>
  <c r="A72" i="15"/>
  <c r="A70" i="16" l="1"/>
  <c r="A73" i="15"/>
  <c r="A71" i="16" l="1"/>
  <c r="A74" i="15"/>
  <c r="A72" i="16" l="1"/>
  <c r="A75" i="15"/>
  <c r="A73" i="16" l="1"/>
  <c r="A76" i="15"/>
  <c r="A74" i="16" l="1"/>
  <c r="A77" i="15"/>
  <c r="A75" i="16" l="1"/>
  <c r="A78" i="15"/>
  <c r="A76" i="16" l="1"/>
  <c r="A79" i="15"/>
  <c r="A77" i="16" l="1"/>
  <c r="A80" i="15"/>
  <c r="A78" i="16" l="1"/>
  <c r="A81" i="15"/>
  <c r="A79" i="16" l="1"/>
  <c r="A82" i="15"/>
  <c r="A80" i="16" l="1"/>
  <c r="A83" i="15"/>
  <c r="A81" i="16" l="1"/>
  <c r="A84" i="15"/>
  <c r="A82" i="16" l="1"/>
  <c r="A85" i="15"/>
  <c r="A83" i="16" l="1"/>
  <c r="A86" i="15"/>
  <c r="A84" i="16" l="1"/>
  <c r="A87" i="15"/>
  <c r="A85" i="16" l="1"/>
  <c r="A88" i="15"/>
  <c r="A86" i="16" l="1"/>
  <c r="A89" i="15"/>
  <c r="A87" i="16" l="1"/>
  <c r="A90" i="15"/>
  <c r="A88" i="16" l="1"/>
  <c r="A91" i="15"/>
  <c r="A89" i="16" l="1"/>
  <c r="A92" i="15"/>
  <c r="A90" i="16" l="1"/>
  <c r="A93" i="15"/>
  <c r="A91" i="16" l="1"/>
  <c r="A94" i="15"/>
  <c r="A92" i="16" l="1"/>
  <c r="A95" i="15"/>
  <c r="A93" i="16" l="1"/>
  <c r="A96" i="15"/>
  <c r="A94" i="16" l="1"/>
  <c r="A97" i="15"/>
  <c r="A95" i="16" l="1"/>
  <c r="A98" i="15"/>
  <c r="A96" i="16" l="1"/>
  <c r="A99" i="15"/>
  <c r="A97" i="16" l="1"/>
  <c r="A100" i="15"/>
  <c r="A98" i="16" l="1"/>
  <c r="A101" i="15"/>
  <c r="A99" i="16" l="1"/>
  <c r="A102" i="15"/>
  <c r="A100" i="16" l="1"/>
  <c r="A103" i="15"/>
  <c r="A101" i="16" l="1"/>
  <c r="A104" i="15"/>
  <c r="A102" i="16" l="1"/>
  <c r="A105" i="15"/>
  <c r="A103" i="16" l="1"/>
  <c r="A106" i="15"/>
  <c r="A104" i="16" l="1"/>
  <c r="A107" i="15"/>
  <c r="A105" i="16" l="1"/>
  <c r="A108" i="15"/>
  <c r="A106" i="16" l="1"/>
  <c r="A109" i="15"/>
  <c r="A107" i="16" l="1"/>
  <c r="A110" i="15"/>
  <c r="A108" i="16" l="1"/>
  <c r="A111" i="15"/>
  <c r="A109" i="16" l="1"/>
  <c r="A112" i="15"/>
  <c r="A110" i="16" l="1"/>
  <c r="A113" i="15"/>
  <c r="A111" i="16" l="1"/>
  <c r="A114" i="15"/>
  <c r="A112" i="16" l="1"/>
  <c r="A115" i="15"/>
  <c r="A113" i="16" l="1"/>
  <c r="A116" i="15"/>
  <c r="A114" i="16" l="1"/>
  <c r="A117" i="15"/>
  <c r="A115" i="16" l="1"/>
  <c r="A118" i="15"/>
  <c r="A116" i="16" l="1"/>
  <c r="A119" i="15"/>
  <c r="A117" i="16" l="1"/>
  <c r="A120" i="15"/>
  <c r="A118" i="16" l="1"/>
  <c r="A121" i="15"/>
  <c r="A119" i="16" l="1"/>
  <c r="A122" i="15"/>
  <c r="A120" i="16" l="1"/>
  <c r="A123" i="15"/>
  <c r="A121" i="16" l="1"/>
  <c r="A124" i="15"/>
  <c r="A122" i="16" l="1"/>
  <c r="A125" i="15"/>
  <c r="A123" i="16" l="1"/>
  <c r="A126" i="15"/>
  <c r="A124" i="16" l="1"/>
  <c r="A127" i="15"/>
  <c r="A125" i="16" l="1"/>
  <c r="A128" i="15"/>
  <c r="A126" i="16" l="1"/>
  <c r="A129" i="15"/>
  <c r="A127" i="16" l="1"/>
  <c r="A130" i="15"/>
  <c r="A128" i="16" l="1"/>
  <c r="A131" i="15"/>
  <c r="A129" i="16" l="1"/>
  <c r="A132" i="15"/>
  <c r="A130" i="16" l="1"/>
  <c r="A133" i="15"/>
  <c r="A131" i="16" l="1"/>
  <c r="A134" i="15"/>
  <c r="A132" i="16" l="1"/>
  <c r="A135" i="15"/>
  <c r="A133" i="16" l="1"/>
  <c r="A136" i="15"/>
  <c r="A134" i="16" l="1"/>
  <c r="A137" i="15"/>
  <c r="A135" i="16" l="1"/>
  <c r="A138" i="15"/>
  <c r="A136" i="16" l="1"/>
  <c r="A139" i="15"/>
  <c r="A137" i="16" l="1"/>
  <c r="A140" i="15"/>
  <c r="A138" i="16" l="1"/>
  <c r="A141" i="15"/>
  <c r="A139" i="16" l="1"/>
  <c r="A142" i="15"/>
  <c r="A140" i="16" l="1"/>
  <c r="A143" i="15"/>
  <c r="A141" i="16" l="1"/>
  <c r="A144" i="15"/>
  <c r="A142" i="16" l="1"/>
  <c r="A145" i="15"/>
  <c r="A143" i="16" l="1"/>
  <c r="A146" i="15"/>
  <c r="A144" i="16" l="1"/>
  <c r="A147" i="15"/>
  <c r="A145" i="16" l="1"/>
  <c r="A148" i="15"/>
  <c r="A146" i="16" l="1"/>
  <c r="A149" i="15"/>
  <c r="A147" i="16" l="1"/>
  <c r="A150" i="15"/>
  <c r="A148" i="16" l="1"/>
  <c r="A151" i="15"/>
  <c r="A149" i="16" l="1"/>
  <c r="A152" i="15"/>
  <c r="A150" i="16" l="1"/>
  <c r="A153" i="15"/>
  <c r="A151" i="16" l="1"/>
  <c r="A154" i="15"/>
  <c r="A152" i="16" l="1"/>
  <c r="A155" i="15"/>
  <c r="A153" i="16" l="1"/>
  <c r="A156" i="15"/>
  <c r="A154" i="16" l="1"/>
  <c r="A157" i="15"/>
  <c r="A155" i="16" l="1"/>
  <c r="A158" i="15"/>
  <c r="A156" i="16" l="1"/>
  <c r="A159" i="15"/>
  <c r="A157" i="16" l="1"/>
  <c r="A160" i="15"/>
  <c r="A158" i="16" l="1"/>
  <c r="A161" i="15"/>
  <c r="A159" i="16" l="1"/>
  <c r="A162" i="15"/>
  <c r="A160" i="16" l="1"/>
  <c r="A163" i="15"/>
  <c r="A161" i="16" l="1"/>
  <c r="A164" i="15"/>
  <c r="A162" i="16" l="1"/>
  <c r="A165" i="15"/>
  <c r="A163" i="16" l="1"/>
  <c r="A166" i="15"/>
  <c r="A164" i="16" l="1"/>
  <c r="A167" i="15"/>
  <c r="A165" i="16" l="1"/>
  <c r="A168" i="15"/>
  <c r="A166" i="16" l="1"/>
  <c r="A169" i="15"/>
  <c r="A167" i="16" l="1"/>
  <c r="A170" i="15"/>
  <c r="A168" i="16" l="1"/>
  <c r="A171" i="15"/>
  <c r="A169" i="16" l="1"/>
  <c r="A172" i="15"/>
  <c r="A170" i="16" l="1"/>
  <c r="A173" i="15"/>
  <c r="A171" i="16" l="1"/>
  <c r="A174" i="15"/>
  <c r="A172" i="16" l="1"/>
  <c r="A175" i="15"/>
  <c r="A173" i="16" l="1"/>
  <c r="A176" i="15"/>
  <c r="A174" i="16" l="1"/>
  <c r="A177" i="15"/>
  <c r="A175" i="16" l="1"/>
  <c r="A178" i="15"/>
  <c r="A176" i="16" l="1"/>
  <c r="A179" i="15"/>
  <c r="A177" i="16" l="1"/>
  <c r="A180" i="15"/>
  <c r="A178" i="16" l="1"/>
  <c r="A181" i="15"/>
  <c r="A179" i="16" l="1"/>
  <c r="A182" i="15"/>
  <c r="A180" i="16" l="1"/>
  <c r="A183" i="15"/>
  <c r="A181" i="16" l="1"/>
  <c r="A184" i="15"/>
  <c r="A182" i="16" l="1"/>
  <c r="A185" i="15"/>
  <c r="A183" i="16" l="1"/>
  <c r="A186" i="15"/>
  <c r="A184" i="16" l="1"/>
  <c r="A187" i="15"/>
  <c r="A185" i="16" l="1"/>
  <c r="A188" i="15"/>
  <c r="A186" i="16" l="1"/>
  <c r="A189" i="15"/>
  <c r="A187" i="16" l="1"/>
  <c r="A190" i="15"/>
  <c r="A188" i="16" l="1"/>
  <c r="A191" i="15"/>
  <c r="A189" i="16" l="1"/>
  <c r="A192" i="15"/>
  <c r="A190" i="16" l="1"/>
  <c r="A193" i="15"/>
  <c r="A191" i="16" l="1"/>
  <c r="A194" i="15"/>
  <c r="A192" i="16" l="1"/>
  <c r="A195" i="15"/>
  <c r="A193" i="16" l="1"/>
  <c r="A196" i="15"/>
  <c r="A194" i="16" l="1"/>
  <c r="A197" i="15"/>
  <c r="A195" i="16" l="1"/>
  <c r="A198" i="15"/>
  <c r="A196" i="16" l="1"/>
  <c r="A199" i="15"/>
  <c r="A197" i="16" l="1"/>
  <c r="A200" i="15"/>
  <c r="A198" i="16" l="1"/>
  <c r="A201" i="15"/>
  <c r="A199" i="16" l="1"/>
  <c r="A202" i="15"/>
  <c r="A200" i="16" l="1"/>
  <c r="A203" i="15"/>
  <c r="A201" i="16" l="1"/>
  <c r="A204" i="15"/>
  <c r="A202" i="16" l="1"/>
  <c r="A205" i="15"/>
  <c r="A203" i="16" l="1"/>
  <c r="A206" i="15"/>
  <c r="A204" i="16" l="1"/>
  <c r="A207" i="15"/>
  <c r="A205" i="16" l="1"/>
  <c r="A208" i="15"/>
  <c r="A206" i="16" l="1"/>
  <c r="A209" i="15"/>
  <c r="A207" i="16" l="1"/>
  <c r="A210" i="15"/>
  <c r="A208" i="16" l="1"/>
  <c r="A211" i="15"/>
  <c r="A209" i="16" l="1"/>
  <c r="A212" i="15"/>
  <c r="A210" i="16" l="1"/>
  <c r="A213" i="15"/>
  <c r="A211" i="16" l="1"/>
  <c r="A214" i="15"/>
  <c r="A212" i="16" l="1"/>
  <c r="A215" i="15"/>
  <c r="A213" i="16" l="1"/>
  <c r="A216" i="15"/>
  <c r="A214" i="16" l="1"/>
  <c r="A217" i="15"/>
  <c r="A215" i="16" l="1"/>
  <c r="A218" i="15"/>
  <c r="A216" i="16" l="1"/>
  <c r="A219" i="15"/>
  <c r="A217" i="16" l="1"/>
  <c r="A220" i="15"/>
  <c r="A218" i="16" l="1"/>
  <c r="A221" i="15"/>
  <c r="A219" i="16" l="1"/>
  <c r="A222" i="15"/>
  <c r="A220" i="16" l="1"/>
  <c r="A223" i="15"/>
  <c r="A221" i="16" l="1"/>
  <c r="A224" i="15"/>
  <c r="A222" i="16" l="1"/>
  <c r="A225" i="15"/>
  <c r="A223" i="16" l="1"/>
  <c r="A226" i="15"/>
  <c r="A224" i="16" l="1"/>
  <c r="A227" i="15"/>
  <c r="A225" i="16" l="1"/>
  <c r="A228" i="15"/>
  <c r="A226" i="16" l="1"/>
  <c r="A229" i="15"/>
  <c r="A227" i="16" l="1"/>
  <c r="A230" i="15"/>
  <c r="A228" i="16" l="1"/>
  <c r="A231" i="15"/>
  <c r="A229" i="16" l="1"/>
  <c r="A232" i="15"/>
  <c r="A230" i="16" l="1"/>
  <c r="A233" i="15"/>
  <c r="A231" i="16" l="1"/>
  <c r="A234" i="15"/>
  <c r="A232" i="16" l="1"/>
  <c r="A235" i="15"/>
  <c r="A233" i="16" l="1"/>
  <c r="A236" i="15"/>
  <c r="A234" i="16" l="1"/>
  <c r="A237" i="15"/>
  <c r="A235" i="16" l="1"/>
  <c r="A238" i="15"/>
  <c r="A236" i="16" l="1"/>
  <c r="A239" i="15"/>
  <c r="A237" i="16" l="1"/>
  <c r="A240" i="15"/>
  <c r="A238" i="16" l="1"/>
  <c r="A241" i="15"/>
  <c r="A239" i="16" l="1"/>
  <c r="A242" i="15"/>
  <c r="A240" i="16" l="1"/>
  <c r="A241" i="16" l="1"/>
  <c r="A242" i="16" l="1"/>
  <c r="C2" i="34" l="1"/>
  <c r="C2" i="21"/>
  <c r="K82" i="14" l="1"/>
  <c r="L82" i="14"/>
  <c r="M82" i="14"/>
  <c r="H3" i="14"/>
  <c r="G3" i="14"/>
  <c r="H30" i="14" l="1"/>
  <c r="M30" i="14"/>
  <c r="G30" i="14"/>
  <c r="Y5" i="36" s="1"/>
  <c r="N30" i="14"/>
  <c r="J30" i="14"/>
  <c r="L30" i="14"/>
  <c r="E30" i="14"/>
  <c r="F30" i="14"/>
  <c r="O5" i="36" s="1"/>
  <c r="O30" i="14"/>
  <c r="I30" i="14"/>
  <c r="K30" i="14"/>
  <c r="B25" i="11"/>
  <c r="S15" i="24" l="1"/>
  <c r="S18" i="24" s="1"/>
  <c r="S16" i="24" l="1"/>
  <c r="S21" i="24"/>
  <c r="S20" i="24"/>
  <c r="S17" i="24"/>
  <c r="T17" i="24" s="1"/>
  <c r="S19" i="24"/>
  <c r="T19" i="24" s="1"/>
  <c r="T20" i="24" l="1"/>
  <c r="T21" i="24"/>
  <c r="T18" i="24"/>
  <c r="T22" i="24" l="1"/>
  <c r="H9" i="1"/>
  <c r="K32" i="14"/>
  <c r="L32" i="14"/>
  <c r="M32" i="14"/>
  <c r="N32" i="14"/>
  <c r="O32" i="14"/>
  <c r="B31" i="11" l="1"/>
  <c r="B33" i="11" l="1"/>
  <c r="E22" i="14" s="1"/>
  <c r="B26" i="11"/>
  <c r="B24" i="11" s="1"/>
  <c r="G25" i="10" s="1"/>
  <c r="H8" i="10" s="1"/>
  <c r="H9" i="10" s="1"/>
  <c r="H10" i="10" s="1"/>
  <c r="H11" i="10" s="1"/>
  <c r="H12" i="10" s="1"/>
  <c r="H13" i="10" s="1"/>
  <c r="H14" i="10" s="1"/>
  <c r="H15" i="10" s="1"/>
  <c r="H16" i="10" s="1"/>
  <c r="H17" i="10" s="1"/>
  <c r="H18" i="10" s="1"/>
  <c r="H19" i="10" s="1"/>
  <c r="H20" i="10" s="1"/>
  <c r="H21" i="10" s="1"/>
  <c r="H22" i="10" s="1"/>
  <c r="H23" i="10" s="1"/>
  <c r="D65" i="14"/>
  <c r="E65" i="14"/>
  <c r="F65" i="14"/>
  <c r="G65" i="14"/>
  <c r="H65" i="14"/>
  <c r="I65" i="14"/>
  <c r="J65" i="14"/>
  <c r="K65" i="14"/>
  <c r="L65" i="14"/>
  <c r="M65" i="14"/>
  <c r="I21" i="14"/>
  <c r="G21" i="14"/>
  <c r="F63" i="14"/>
  <c r="I63" i="14"/>
  <c r="M63" i="14"/>
  <c r="G63" i="14"/>
  <c r="F21" i="14"/>
  <c r="L21" i="14"/>
  <c r="K63" i="14"/>
  <c r="H21" i="14"/>
  <c r="H63" i="14"/>
  <c r="K21" i="14"/>
  <c r="N21" i="14"/>
  <c r="O21" i="14"/>
  <c r="L63" i="14"/>
  <c r="D63" i="14"/>
  <c r="E63" i="14"/>
  <c r="J21" i="14"/>
  <c r="M21" i="14"/>
  <c r="E21" i="14"/>
  <c r="J63" i="14"/>
  <c r="E58" i="14" l="1"/>
  <c r="F58" i="14"/>
  <c r="J58" i="14"/>
  <c r="D58" i="14"/>
  <c r="H58" i="14"/>
  <c r="I58" i="14"/>
  <c r="M58" i="14"/>
  <c r="E47" i="14"/>
  <c r="G58" i="14"/>
  <c r="K58" i="14"/>
  <c r="L58" i="14"/>
  <c r="E82" i="14"/>
  <c r="I64" i="14"/>
  <c r="L22" i="14"/>
  <c r="O22" i="14"/>
  <c r="N22" i="14"/>
  <c r="K22" i="14"/>
  <c r="E64" i="14"/>
  <c r="F64" i="14"/>
  <c r="H64" i="14"/>
  <c r="G64" i="14"/>
  <c r="D22" i="14"/>
  <c r="I22" i="14"/>
  <c r="M64" i="14"/>
  <c r="H22" i="14"/>
  <c r="G22" i="14"/>
  <c r="F22" i="14"/>
  <c r="J22" i="14"/>
  <c r="M22" i="14"/>
  <c r="L64" i="14"/>
  <c r="K64" i="14"/>
  <c r="J64" i="14"/>
  <c r="D64" i="14"/>
  <c r="B32" i="11"/>
  <c r="F47" i="14" l="1"/>
  <c r="F82" i="14"/>
  <c r="E17" i="14"/>
  <c r="I17" i="14"/>
  <c r="M17" i="14"/>
  <c r="G59" i="14"/>
  <c r="K59" i="14"/>
  <c r="F17" i="14"/>
  <c r="J17" i="14"/>
  <c r="N17" i="14"/>
  <c r="H59" i="14"/>
  <c r="L59" i="14"/>
  <c r="G17" i="14"/>
  <c r="K17" i="14"/>
  <c r="O17" i="14"/>
  <c r="E59" i="14"/>
  <c r="I59" i="14"/>
  <c r="M59" i="14"/>
  <c r="H17" i="14"/>
  <c r="L17" i="14"/>
  <c r="D17" i="14"/>
  <c r="F59" i="14"/>
  <c r="J59" i="14"/>
  <c r="D59" i="14"/>
  <c r="E16" i="14"/>
  <c r="F16" i="14"/>
  <c r="G16" i="14"/>
  <c r="K16" i="14"/>
  <c r="L16" i="14"/>
  <c r="M16" i="14"/>
  <c r="N16" i="14"/>
  <c r="O16" i="14"/>
  <c r="G47" i="14" l="1"/>
  <c r="G82" i="14"/>
  <c r="W9" i="9"/>
  <c r="W10" i="9"/>
  <c r="W11" i="9"/>
  <c r="W12" i="9"/>
  <c r="W13" i="9"/>
  <c r="W14" i="9"/>
  <c r="W15" i="9"/>
  <c r="W16" i="9"/>
  <c r="W17" i="9"/>
  <c r="W18" i="9"/>
  <c r="W19" i="9"/>
  <c r="W20" i="9"/>
  <c r="W21" i="9"/>
  <c r="W22" i="9"/>
  <c r="W23" i="9"/>
  <c r="W24" i="9"/>
  <c r="W25" i="9"/>
  <c r="W26" i="9"/>
  <c r="W27" i="9"/>
  <c r="W28" i="9"/>
  <c r="W29" i="9"/>
  <c r="W30" i="9"/>
  <c r="W31" i="9"/>
  <c r="W32" i="9"/>
  <c r="W33" i="9"/>
  <c r="W34"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184" i="9"/>
  <c r="W185" i="9"/>
  <c r="W186" i="9"/>
  <c r="W187" i="9"/>
  <c r="W188" i="9"/>
  <c r="W189" i="9"/>
  <c r="W190" i="9"/>
  <c r="W191" i="9"/>
  <c r="W192" i="9"/>
  <c r="W193" i="9"/>
  <c r="W194" i="9"/>
  <c r="W195" i="9"/>
  <c r="W196" i="9"/>
  <c r="W197" i="9"/>
  <c r="W198" i="9"/>
  <c r="W199" i="9"/>
  <c r="W200" i="9"/>
  <c r="W201" i="9"/>
  <c r="W202" i="9"/>
  <c r="W203" i="9"/>
  <c r="W204" i="9"/>
  <c r="W205" i="9"/>
  <c r="W206" i="9"/>
  <c r="W207" i="9"/>
  <c r="W208" i="9"/>
  <c r="W209" i="9"/>
  <c r="W210" i="9"/>
  <c r="W211" i="9"/>
  <c r="W212" i="9"/>
  <c r="W213" i="9"/>
  <c r="W214" i="9"/>
  <c r="W215" i="9"/>
  <c r="W216" i="9"/>
  <c r="W217" i="9"/>
  <c r="W218" i="9"/>
  <c r="W219" i="9"/>
  <c r="W220" i="9"/>
  <c r="W221" i="9"/>
  <c r="W222" i="9"/>
  <c r="W223" i="9"/>
  <c r="W224" i="9"/>
  <c r="W225" i="9"/>
  <c r="W226" i="9"/>
  <c r="W227" i="9"/>
  <c r="W228" i="9"/>
  <c r="W229" i="9"/>
  <c r="W230" i="9"/>
  <c r="W231" i="9"/>
  <c r="W232" i="9"/>
  <c r="W233" i="9"/>
  <c r="W234" i="9"/>
  <c r="W235" i="9"/>
  <c r="W236" i="9"/>
  <c r="W237" i="9"/>
  <c r="W238" i="9"/>
  <c r="W239" i="9"/>
  <c r="W240" i="9"/>
  <c r="W241" i="9"/>
  <c r="W242" i="9"/>
  <c r="W243" i="9"/>
  <c r="W244" i="9"/>
  <c r="W245" i="9"/>
  <c r="W246" i="9"/>
  <c r="W247" i="9"/>
  <c r="W248" i="9"/>
  <c r="W249" i="9"/>
  <c r="W250" i="9"/>
  <c r="W251" i="9"/>
  <c r="W252" i="9"/>
  <c r="W253" i="9"/>
  <c r="W254" i="9"/>
  <c r="W255" i="9"/>
  <c r="W256" i="9"/>
  <c r="W257" i="9"/>
  <c r="W258" i="9"/>
  <c r="W259" i="9"/>
  <c r="W260" i="9"/>
  <c r="W261" i="9"/>
  <c r="W262" i="9"/>
  <c r="W263" i="9"/>
  <c r="W264" i="9"/>
  <c r="W265" i="9"/>
  <c r="W266" i="9"/>
  <c r="W267" i="9"/>
  <c r="W268" i="9"/>
  <c r="W269" i="9"/>
  <c r="W270" i="9"/>
  <c r="W271" i="9"/>
  <c r="W272" i="9"/>
  <c r="W273" i="9"/>
  <c r="W274" i="9"/>
  <c r="W275" i="9"/>
  <c r="W276" i="9"/>
  <c r="W277" i="9"/>
  <c r="W278" i="9"/>
  <c r="W279" i="9"/>
  <c r="W280" i="9"/>
  <c r="W281" i="9"/>
  <c r="W282" i="9"/>
  <c r="W283" i="9"/>
  <c r="W284" i="9"/>
  <c r="W285" i="9"/>
  <c r="W286" i="9"/>
  <c r="W287" i="9"/>
  <c r="W288" i="9"/>
  <c r="W289" i="9"/>
  <c r="W290" i="9"/>
  <c r="W291" i="9"/>
  <c r="W292" i="9"/>
  <c r="W293" i="9"/>
  <c r="W294" i="9"/>
  <c r="W295" i="9"/>
  <c r="W296" i="9"/>
  <c r="W297" i="9"/>
  <c r="W298" i="9"/>
  <c r="W299" i="9"/>
  <c r="W300" i="9"/>
  <c r="W301" i="9"/>
  <c r="W302" i="9"/>
  <c r="W303" i="9"/>
  <c r="W304" i="9"/>
  <c r="W305" i="9"/>
  <c r="W306" i="9"/>
  <c r="W307" i="9"/>
  <c r="W308" i="9"/>
  <c r="W309" i="9"/>
  <c r="W310" i="9"/>
  <c r="W311" i="9"/>
  <c r="W312" i="9"/>
  <c r="W313" i="9"/>
  <c r="W314" i="9"/>
  <c r="W315" i="9"/>
  <c r="W316" i="9"/>
  <c r="W317" i="9"/>
  <c r="W318" i="9"/>
  <c r="W319" i="9"/>
  <c r="W320" i="9"/>
  <c r="W321" i="9"/>
  <c r="W322" i="9"/>
  <c r="W323" i="9"/>
  <c r="W324" i="9"/>
  <c r="W325" i="9"/>
  <c r="W326" i="9"/>
  <c r="W327" i="9"/>
  <c r="W328" i="9"/>
  <c r="W329" i="9"/>
  <c r="W330" i="9"/>
  <c r="W331" i="9"/>
  <c r="W332" i="9"/>
  <c r="W333" i="9"/>
  <c r="W334" i="9"/>
  <c r="W335" i="9"/>
  <c r="W336" i="9"/>
  <c r="W337" i="9"/>
  <c r="W338" i="9"/>
  <c r="W339" i="9"/>
  <c r="W340" i="9"/>
  <c r="W341" i="9"/>
  <c r="W342" i="9"/>
  <c r="W343" i="9"/>
  <c r="W344" i="9"/>
  <c r="W345" i="9"/>
  <c r="W346" i="9"/>
  <c r="W347" i="9"/>
  <c r="W348" i="9"/>
  <c r="W349" i="9"/>
  <c r="W350" i="9"/>
  <c r="W351" i="9"/>
  <c r="W352" i="9"/>
  <c r="W353" i="9"/>
  <c r="W354" i="9"/>
  <c r="W355" i="9"/>
  <c r="W356" i="9"/>
  <c r="W357" i="9"/>
  <c r="W358" i="9"/>
  <c r="W359" i="9"/>
  <c r="W360" i="9"/>
  <c r="W361" i="9"/>
  <c r="W362" i="9"/>
  <c r="W363" i="9"/>
  <c r="W364" i="9"/>
  <c r="W365" i="9"/>
  <c r="W366" i="9"/>
  <c r="W367" i="9"/>
  <c r="W368" i="9"/>
  <c r="W369" i="9"/>
  <c r="W370" i="9"/>
  <c r="W371" i="9"/>
  <c r="W372" i="9"/>
  <c r="W373" i="9"/>
  <c r="W374" i="9"/>
  <c r="W375" i="9"/>
  <c r="W376" i="9"/>
  <c r="W377" i="9"/>
  <c r="W378" i="9"/>
  <c r="W379" i="9"/>
  <c r="W380" i="9"/>
  <c r="W381" i="9"/>
  <c r="W382" i="9"/>
  <c r="W383" i="9"/>
  <c r="W384" i="9"/>
  <c r="W385" i="9"/>
  <c r="W386" i="9"/>
  <c r="W387" i="9"/>
  <c r="W388" i="9"/>
  <c r="W389" i="9"/>
  <c r="W390" i="9"/>
  <c r="W391" i="9"/>
  <c r="W392" i="9"/>
  <c r="W393" i="9"/>
  <c r="W394" i="9"/>
  <c r="W395" i="9"/>
  <c r="W396" i="9"/>
  <c r="W397" i="9"/>
  <c r="W398" i="9"/>
  <c r="W399" i="9"/>
  <c r="W400" i="9"/>
  <c r="W401" i="9"/>
  <c r="W402" i="9"/>
  <c r="W403" i="9"/>
  <c r="W404" i="9"/>
  <c r="W405" i="9"/>
  <c r="W406" i="9"/>
  <c r="W407" i="9"/>
  <c r="W408" i="9"/>
  <c r="W409" i="9"/>
  <c r="W410" i="9"/>
  <c r="W411" i="9"/>
  <c r="W412" i="9"/>
  <c r="W413" i="9"/>
  <c r="W414" i="9"/>
  <c r="W415" i="9"/>
  <c r="W416" i="9"/>
  <c r="W417" i="9"/>
  <c r="W418" i="9"/>
  <c r="W419" i="9"/>
  <c r="W420" i="9"/>
  <c r="W421" i="9"/>
  <c r="W422" i="9"/>
  <c r="W423" i="9"/>
  <c r="W424" i="9"/>
  <c r="W425" i="9"/>
  <c r="W426" i="9"/>
  <c r="W427" i="9"/>
  <c r="W428" i="9"/>
  <c r="W429" i="9"/>
  <c r="W430" i="9"/>
  <c r="W431" i="9"/>
  <c r="W432" i="9"/>
  <c r="W433" i="9"/>
  <c r="W434" i="9"/>
  <c r="W435" i="9"/>
  <c r="W436" i="9"/>
  <c r="W437" i="9"/>
  <c r="W438" i="9"/>
  <c r="W439" i="9"/>
  <c r="W440" i="9"/>
  <c r="W441" i="9"/>
  <c r="W442" i="9"/>
  <c r="W443" i="9"/>
  <c r="W444" i="9"/>
  <c r="W445" i="9"/>
  <c r="W446" i="9"/>
  <c r="W447" i="9"/>
  <c r="W448" i="9"/>
  <c r="W449" i="9"/>
  <c r="W450" i="9"/>
  <c r="W451" i="9"/>
  <c r="W452" i="9"/>
  <c r="W453" i="9"/>
  <c r="W454" i="9"/>
  <c r="W455" i="9"/>
  <c r="W456" i="9"/>
  <c r="W457" i="9"/>
  <c r="W458" i="9"/>
  <c r="W459" i="9"/>
  <c r="W460" i="9"/>
  <c r="W461" i="9"/>
  <c r="W462" i="9"/>
  <c r="W463" i="9"/>
  <c r="W464" i="9"/>
  <c r="W465" i="9"/>
  <c r="W466" i="9"/>
  <c r="W467" i="9"/>
  <c r="W468" i="9"/>
  <c r="W469" i="9"/>
  <c r="W470" i="9"/>
  <c r="W471" i="9"/>
  <c r="W472" i="9"/>
  <c r="W473" i="9"/>
  <c r="W474" i="9"/>
  <c r="W475" i="9"/>
  <c r="W476" i="9"/>
  <c r="W477" i="9"/>
  <c r="W478" i="9"/>
  <c r="W479" i="9"/>
  <c r="W480" i="9"/>
  <c r="W481" i="9"/>
  <c r="W482" i="9"/>
  <c r="W483" i="9"/>
  <c r="W484" i="9"/>
  <c r="W485" i="9"/>
  <c r="W486" i="9"/>
  <c r="W487" i="9"/>
  <c r="W488" i="9"/>
  <c r="W489" i="9"/>
  <c r="W490" i="9"/>
  <c r="W491" i="9"/>
  <c r="W492" i="9"/>
  <c r="W493" i="9"/>
  <c r="W494" i="9"/>
  <c r="W495" i="9"/>
  <c r="W496" i="9"/>
  <c r="W497" i="9"/>
  <c r="W498" i="9"/>
  <c r="W499" i="9"/>
  <c r="W500" i="9"/>
  <c r="W501" i="9"/>
  <c r="W502" i="9"/>
  <c r="W503" i="9"/>
  <c r="W504" i="9"/>
  <c r="W505" i="9"/>
  <c r="W506" i="9"/>
  <c r="W507" i="9"/>
  <c r="W508" i="9"/>
  <c r="W509" i="9"/>
  <c r="W510" i="9"/>
  <c r="W511" i="9"/>
  <c r="W512" i="9"/>
  <c r="W513" i="9"/>
  <c r="W514" i="9"/>
  <c r="W515" i="9"/>
  <c r="W516" i="9"/>
  <c r="W517" i="9"/>
  <c r="W518" i="9"/>
  <c r="W519" i="9"/>
  <c r="W520" i="9"/>
  <c r="W521" i="9"/>
  <c r="W522" i="9"/>
  <c r="W523" i="9"/>
  <c r="W524" i="9"/>
  <c r="W525" i="9"/>
  <c r="W526" i="9"/>
  <c r="W527" i="9"/>
  <c r="W528" i="9"/>
  <c r="W529" i="9"/>
  <c r="W530" i="9"/>
  <c r="W531" i="9"/>
  <c r="W532" i="9"/>
  <c r="W533" i="9"/>
  <c r="W534" i="9"/>
  <c r="W535" i="9"/>
  <c r="W536" i="9"/>
  <c r="W537" i="9"/>
  <c r="W538" i="9"/>
  <c r="W539" i="9"/>
  <c r="W540" i="9"/>
  <c r="W541" i="9"/>
  <c r="W542" i="9"/>
  <c r="W543" i="9"/>
  <c r="W544" i="9"/>
  <c r="W545" i="9"/>
  <c r="W546" i="9"/>
  <c r="W547" i="9"/>
  <c r="W548" i="9"/>
  <c r="W549" i="9"/>
  <c r="W550" i="9"/>
  <c r="W551" i="9"/>
  <c r="W552" i="9"/>
  <c r="W553" i="9"/>
  <c r="W554" i="9"/>
  <c r="W555" i="9"/>
  <c r="W556" i="9"/>
  <c r="W557" i="9"/>
  <c r="W558" i="9"/>
  <c r="W559" i="9"/>
  <c r="W560" i="9"/>
  <c r="W561" i="9"/>
  <c r="W562" i="9"/>
  <c r="W563" i="9"/>
  <c r="W564" i="9"/>
  <c r="W565" i="9"/>
  <c r="W566" i="9"/>
  <c r="W567" i="9"/>
  <c r="W568" i="9"/>
  <c r="W569" i="9"/>
  <c r="W570" i="9"/>
  <c r="W571" i="9"/>
  <c r="W572" i="9"/>
  <c r="W573" i="9"/>
  <c r="W574" i="9"/>
  <c r="W575" i="9"/>
  <c r="W576" i="9"/>
  <c r="W577" i="9"/>
  <c r="W578" i="9"/>
  <c r="W579" i="9"/>
  <c r="W580" i="9"/>
  <c r="W581" i="9"/>
  <c r="W582" i="9"/>
  <c r="W583" i="9"/>
  <c r="W584" i="9"/>
  <c r="W585" i="9"/>
  <c r="W586" i="9"/>
  <c r="W587" i="9"/>
  <c r="W588" i="9"/>
  <c r="W589" i="9"/>
  <c r="W590" i="9"/>
  <c r="W591" i="9"/>
  <c r="W592" i="9"/>
  <c r="W593" i="9"/>
  <c r="W594" i="9"/>
  <c r="W595" i="9"/>
  <c r="W596" i="9"/>
  <c r="W597" i="9"/>
  <c r="W598" i="9"/>
  <c r="W599" i="9"/>
  <c r="W600" i="9"/>
  <c r="W601" i="9"/>
  <c r="W602" i="9"/>
  <c r="W603" i="9"/>
  <c r="W604" i="9"/>
  <c r="W605" i="9"/>
  <c r="W606" i="9"/>
  <c r="W607" i="9"/>
  <c r="W608" i="9"/>
  <c r="W609" i="9"/>
  <c r="W610" i="9"/>
  <c r="W611" i="9"/>
  <c r="W612" i="9"/>
  <c r="W613" i="9"/>
  <c r="W614" i="9"/>
  <c r="W615" i="9"/>
  <c r="W616" i="9"/>
  <c r="W617" i="9"/>
  <c r="W618" i="9"/>
  <c r="W619" i="9"/>
  <c r="W620" i="9"/>
  <c r="W621" i="9"/>
  <c r="W622" i="9"/>
  <c r="W623" i="9"/>
  <c r="W624" i="9"/>
  <c r="W625" i="9"/>
  <c r="W626" i="9"/>
  <c r="W627" i="9"/>
  <c r="W628" i="9"/>
  <c r="W629" i="9"/>
  <c r="W630" i="9"/>
  <c r="W631" i="9"/>
  <c r="W632" i="9"/>
  <c r="W633" i="9"/>
  <c r="W634" i="9"/>
  <c r="W635" i="9"/>
  <c r="W636" i="9"/>
  <c r="W637" i="9"/>
  <c r="W638" i="9"/>
  <c r="W639" i="9"/>
  <c r="W640" i="9"/>
  <c r="W641" i="9"/>
  <c r="W642" i="9"/>
  <c r="W643" i="9"/>
  <c r="W644" i="9"/>
  <c r="W645" i="9"/>
  <c r="W646" i="9"/>
  <c r="W647" i="9"/>
  <c r="W648" i="9"/>
  <c r="W649" i="9"/>
  <c r="W650" i="9"/>
  <c r="W651" i="9"/>
  <c r="W652" i="9"/>
  <c r="W653" i="9"/>
  <c r="W654" i="9"/>
  <c r="W655" i="9"/>
  <c r="W656" i="9"/>
  <c r="W657" i="9"/>
  <c r="W658" i="9"/>
  <c r="W659" i="9"/>
  <c r="W660" i="9"/>
  <c r="W661" i="9"/>
  <c r="W662" i="9"/>
  <c r="W663" i="9"/>
  <c r="W664" i="9"/>
  <c r="W665" i="9"/>
  <c r="W666" i="9"/>
  <c r="W667" i="9"/>
  <c r="W668" i="9"/>
  <c r="W669" i="9"/>
  <c r="W670" i="9"/>
  <c r="W671" i="9"/>
  <c r="W672" i="9"/>
  <c r="W673" i="9"/>
  <c r="W674" i="9"/>
  <c r="W675" i="9"/>
  <c r="W676" i="9"/>
  <c r="W677" i="9"/>
  <c r="W678" i="9"/>
  <c r="W679" i="9"/>
  <c r="W680" i="9"/>
  <c r="W681" i="9"/>
  <c r="W682" i="9"/>
  <c r="W683" i="9"/>
  <c r="W684" i="9"/>
  <c r="W685" i="9"/>
  <c r="W686" i="9"/>
  <c r="W687" i="9"/>
  <c r="W688" i="9"/>
  <c r="W689" i="9"/>
  <c r="W690" i="9"/>
  <c r="W691" i="9"/>
  <c r="W692" i="9"/>
  <c r="W693" i="9"/>
  <c r="W694" i="9"/>
  <c r="W695" i="9"/>
  <c r="W696" i="9"/>
  <c r="W697" i="9"/>
  <c r="W698" i="9"/>
  <c r="W699" i="9"/>
  <c r="W700" i="9"/>
  <c r="W701" i="9"/>
  <c r="W702" i="9"/>
  <c r="W703" i="9"/>
  <c r="W704" i="9"/>
  <c r="W705" i="9"/>
  <c r="W706" i="9"/>
  <c r="W707" i="9"/>
  <c r="W708" i="9"/>
  <c r="W709" i="9"/>
  <c r="W710" i="9"/>
  <c r="W711" i="9"/>
  <c r="W712" i="9"/>
  <c r="W713" i="9"/>
  <c r="W714" i="9"/>
  <c r="W715" i="9"/>
  <c r="W716" i="9"/>
  <c r="W717" i="9"/>
  <c r="W718" i="9"/>
  <c r="W719" i="9"/>
  <c r="W720" i="9"/>
  <c r="W721" i="9"/>
  <c r="W722" i="9"/>
  <c r="W723" i="9"/>
  <c r="W724" i="9"/>
  <c r="W725" i="9"/>
  <c r="W726" i="9"/>
  <c r="W727" i="9"/>
  <c r="W728" i="9"/>
  <c r="W729" i="9"/>
  <c r="W730" i="9"/>
  <c r="W731" i="9"/>
  <c r="W732" i="9"/>
  <c r="W733" i="9"/>
  <c r="W734" i="9"/>
  <c r="W735" i="9"/>
  <c r="W736" i="9"/>
  <c r="W737" i="9"/>
  <c r="W738" i="9"/>
  <c r="W739" i="9"/>
  <c r="W740" i="9"/>
  <c r="W741" i="9"/>
  <c r="W742" i="9"/>
  <c r="W743" i="9"/>
  <c r="W744" i="9"/>
  <c r="W745" i="9"/>
  <c r="W746" i="9"/>
  <c r="W747" i="9"/>
  <c r="W748" i="9"/>
  <c r="W749" i="9"/>
  <c r="W750" i="9"/>
  <c r="W751" i="9"/>
  <c r="W752" i="9"/>
  <c r="W753" i="9"/>
  <c r="W754" i="9"/>
  <c r="W755" i="9"/>
  <c r="W756" i="9"/>
  <c r="W757" i="9"/>
  <c r="W758" i="9"/>
  <c r="W759" i="9"/>
  <c r="W760" i="9"/>
  <c r="W761" i="9"/>
  <c r="W762" i="9"/>
  <c r="W763" i="9"/>
  <c r="W764" i="9"/>
  <c r="W765" i="9"/>
  <c r="W766" i="9"/>
  <c r="W767" i="9"/>
  <c r="W768" i="9"/>
  <c r="W769" i="9"/>
  <c r="W770" i="9"/>
  <c r="W771" i="9"/>
  <c r="W772" i="9"/>
  <c r="W773" i="9"/>
  <c r="W774" i="9"/>
  <c r="W775" i="9"/>
  <c r="W776" i="9"/>
  <c r="W777" i="9"/>
  <c r="W778" i="9"/>
  <c r="W779" i="9"/>
  <c r="W780" i="9"/>
  <c r="W781" i="9"/>
  <c r="W782" i="9"/>
  <c r="W783" i="9"/>
  <c r="W784" i="9"/>
  <c r="W785" i="9"/>
  <c r="W786" i="9"/>
  <c r="W787" i="9"/>
  <c r="W788" i="9"/>
  <c r="W789" i="9"/>
  <c r="W790" i="9"/>
  <c r="W791" i="9"/>
  <c r="W792" i="9"/>
  <c r="W793" i="9"/>
  <c r="W794" i="9"/>
  <c r="W795" i="9"/>
  <c r="W796" i="9"/>
  <c r="W797" i="9"/>
  <c r="W798" i="9"/>
  <c r="W799" i="9"/>
  <c r="W800" i="9"/>
  <c r="W801" i="9"/>
  <c r="W802" i="9"/>
  <c r="W803" i="9"/>
  <c r="W804" i="9"/>
  <c r="W805" i="9"/>
  <c r="W806" i="9"/>
  <c r="W807" i="9"/>
  <c r="W808" i="9"/>
  <c r="W809" i="9"/>
  <c r="W810" i="9"/>
  <c r="W811" i="9"/>
  <c r="W812" i="9"/>
  <c r="W813" i="9"/>
  <c r="W814" i="9"/>
  <c r="W815" i="9"/>
  <c r="W816" i="9"/>
  <c r="W817" i="9"/>
  <c r="W818" i="9"/>
  <c r="W819" i="9"/>
  <c r="W820" i="9"/>
  <c r="W821" i="9"/>
  <c r="W822" i="9"/>
  <c r="W823" i="9"/>
  <c r="W824" i="9"/>
  <c r="W825" i="9"/>
  <c r="W826" i="9"/>
  <c r="W827" i="9"/>
  <c r="W828" i="9"/>
  <c r="W829" i="9"/>
  <c r="W830" i="9"/>
  <c r="W831" i="9"/>
  <c r="W832" i="9"/>
  <c r="W833" i="9"/>
  <c r="W834" i="9"/>
  <c r="W835" i="9"/>
  <c r="W836" i="9"/>
  <c r="W837" i="9"/>
  <c r="W838" i="9"/>
  <c r="W839" i="9"/>
  <c r="W840" i="9"/>
  <c r="W841" i="9"/>
  <c r="W842" i="9"/>
  <c r="W843" i="9"/>
  <c r="W844" i="9"/>
  <c r="W845" i="9"/>
  <c r="W846" i="9"/>
  <c r="W847" i="9"/>
  <c r="W848" i="9"/>
  <c r="W849" i="9"/>
  <c r="W850" i="9"/>
  <c r="W851" i="9"/>
  <c r="W852" i="9"/>
  <c r="W853" i="9"/>
  <c r="W854" i="9"/>
  <c r="W855" i="9"/>
  <c r="W856" i="9"/>
  <c r="W857" i="9"/>
  <c r="W858" i="9"/>
  <c r="W859" i="9"/>
  <c r="W860" i="9"/>
  <c r="W861" i="9"/>
  <c r="W862" i="9"/>
  <c r="W863" i="9"/>
  <c r="W864" i="9"/>
  <c r="W865" i="9"/>
  <c r="W866" i="9"/>
  <c r="W867" i="9"/>
  <c r="W868" i="9"/>
  <c r="W869" i="9"/>
  <c r="W870" i="9"/>
  <c r="W871" i="9"/>
  <c r="W872" i="9"/>
  <c r="W873" i="9"/>
  <c r="W874" i="9"/>
  <c r="W875" i="9"/>
  <c r="W876" i="9"/>
  <c r="W877" i="9"/>
  <c r="W878" i="9"/>
  <c r="W879" i="9"/>
  <c r="W880" i="9"/>
  <c r="W881" i="9"/>
  <c r="W882" i="9"/>
  <c r="W883" i="9"/>
  <c r="W884" i="9"/>
  <c r="W885" i="9"/>
  <c r="W886" i="9"/>
  <c r="W887" i="9"/>
  <c r="W888" i="9"/>
  <c r="W889" i="9"/>
  <c r="W890" i="9"/>
  <c r="W891" i="9"/>
  <c r="W892" i="9"/>
  <c r="W893" i="9"/>
  <c r="W894" i="9"/>
  <c r="W895" i="9"/>
  <c r="W896" i="9"/>
  <c r="W897" i="9"/>
  <c r="W898" i="9"/>
  <c r="W899" i="9"/>
  <c r="W900" i="9"/>
  <c r="W901" i="9"/>
  <c r="W902" i="9"/>
  <c r="W903" i="9"/>
  <c r="W904" i="9"/>
  <c r="W905" i="9"/>
  <c r="W906" i="9"/>
  <c r="W907" i="9"/>
  <c r="W908" i="9"/>
  <c r="W909" i="9"/>
  <c r="W910" i="9"/>
  <c r="W911" i="9"/>
  <c r="W912" i="9"/>
  <c r="W913" i="9"/>
  <c r="W914" i="9"/>
  <c r="W915" i="9"/>
  <c r="W916" i="9"/>
  <c r="W917" i="9"/>
  <c r="W918" i="9"/>
  <c r="W919" i="9"/>
  <c r="W920" i="9"/>
  <c r="W921" i="9"/>
  <c r="W922" i="9"/>
  <c r="W923" i="9"/>
  <c r="W924" i="9"/>
  <c r="W925" i="9"/>
  <c r="W926" i="9"/>
  <c r="W927" i="9"/>
  <c r="W928" i="9"/>
  <c r="W929" i="9"/>
  <c r="W930" i="9"/>
  <c r="W931" i="9"/>
  <c r="W932" i="9"/>
  <c r="W933" i="9"/>
  <c r="W934" i="9"/>
  <c r="W935" i="9"/>
  <c r="W936" i="9"/>
  <c r="W937" i="9"/>
  <c r="W938" i="9"/>
  <c r="W939" i="9"/>
  <c r="W940" i="9"/>
  <c r="W941" i="9"/>
  <c r="W942" i="9"/>
  <c r="W943" i="9"/>
  <c r="W944" i="9"/>
  <c r="W945" i="9"/>
  <c r="W946" i="9"/>
  <c r="W947" i="9"/>
  <c r="W948" i="9"/>
  <c r="W949" i="9"/>
  <c r="W950" i="9"/>
  <c r="W951" i="9"/>
  <c r="W952" i="9"/>
  <c r="W953" i="9"/>
  <c r="W954" i="9"/>
  <c r="W955" i="9"/>
  <c r="W956" i="9"/>
  <c r="W957" i="9"/>
  <c r="W958" i="9"/>
  <c r="W959" i="9"/>
  <c r="W960" i="9"/>
  <c r="W961" i="9"/>
  <c r="W962" i="9"/>
  <c r="W963" i="9"/>
  <c r="W964" i="9"/>
  <c r="W965" i="9"/>
  <c r="W966" i="9"/>
  <c r="W967" i="9"/>
  <c r="W968" i="9"/>
  <c r="W969" i="9"/>
  <c r="W970" i="9"/>
  <c r="W971" i="9"/>
  <c r="W972" i="9"/>
  <c r="W973" i="9"/>
  <c r="W974" i="9"/>
  <c r="W975" i="9"/>
  <c r="W976" i="9"/>
  <c r="W977" i="9"/>
  <c r="W978" i="9"/>
  <c r="W979" i="9"/>
  <c r="W980" i="9"/>
  <c r="W981" i="9"/>
  <c r="W982" i="9"/>
  <c r="W983" i="9"/>
  <c r="W984" i="9"/>
  <c r="W985" i="9"/>
  <c r="W986" i="9"/>
  <c r="W987" i="9"/>
  <c r="W988" i="9"/>
  <c r="W989" i="9"/>
  <c r="W990" i="9"/>
  <c r="W991" i="9"/>
  <c r="W992" i="9"/>
  <c r="W993" i="9"/>
  <c r="W994" i="9"/>
  <c r="W995" i="9"/>
  <c r="W996" i="9"/>
  <c r="W997" i="9"/>
  <c r="W998" i="9"/>
  <c r="W999" i="9"/>
  <c r="W1000" i="9"/>
  <c r="W1001" i="9"/>
  <c r="W1002" i="9"/>
  <c r="W1003" i="9"/>
  <c r="W1004" i="9"/>
  <c r="W1005" i="9"/>
  <c r="W1006" i="9"/>
  <c r="W1007" i="9"/>
  <c r="W1008" i="9"/>
  <c r="W1009" i="9"/>
  <c r="W1010" i="9"/>
  <c r="W1011" i="9"/>
  <c r="W1012" i="9"/>
  <c r="W1013" i="9"/>
  <c r="W1014" i="9"/>
  <c r="W1015" i="9"/>
  <c r="W1016" i="9"/>
  <c r="W1017" i="9"/>
  <c r="W1018" i="9"/>
  <c r="W1019" i="9"/>
  <c r="W1020" i="9"/>
  <c r="W1021" i="9"/>
  <c r="W1022" i="9"/>
  <c r="W1023" i="9"/>
  <c r="W1024" i="9"/>
  <c r="W1025" i="9"/>
  <c r="W1026" i="9"/>
  <c r="W1027" i="9"/>
  <c r="W1028" i="9"/>
  <c r="W1029" i="9"/>
  <c r="W1030" i="9"/>
  <c r="W1031" i="9"/>
  <c r="W1032" i="9"/>
  <c r="W1033" i="9"/>
  <c r="W1034" i="9"/>
  <c r="W1035" i="9"/>
  <c r="W1036" i="9"/>
  <c r="W1037" i="9"/>
  <c r="W1038" i="9"/>
  <c r="W1039" i="9"/>
  <c r="W1040" i="9"/>
  <c r="W1041" i="9"/>
  <c r="W1042" i="9"/>
  <c r="W1043" i="9"/>
  <c r="W1044" i="9"/>
  <c r="W1045" i="9"/>
  <c r="W1046" i="9"/>
  <c r="W1047" i="9"/>
  <c r="W1048" i="9"/>
  <c r="W1049" i="9"/>
  <c r="W1050" i="9"/>
  <c r="W1051" i="9"/>
  <c r="W1052" i="9"/>
  <c r="W1053" i="9"/>
  <c r="W1054" i="9"/>
  <c r="W1055" i="9"/>
  <c r="W1056" i="9"/>
  <c r="W1057" i="9"/>
  <c r="W1058" i="9"/>
  <c r="W1059" i="9"/>
  <c r="W1060" i="9"/>
  <c r="W1061" i="9"/>
  <c r="W1062" i="9"/>
  <c r="W1063" i="9"/>
  <c r="W1064" i="9"/>
  <c r="W1065" i="9"/>
  <c r="W1066" i="9"/>
  <c r="W1067" i="9"/>
  <c r="W1068" i="9"/>
  <c r="W1069" i="9"/>
  <c r="W1070" i="9"/>
  <c r="W1071" i="9"/>
  <c r="W1072" i="9"/>
  <c r="W1073" i="9"/>
  <c r="W1074" i="9"/>
  <c r="W1075" i="9"/>
  <c r="W1076" i="9"/>
  <c r="W1077" i="9"/>
  <c r="W1078" i="9"/>
  <c r="W1079" i="9"/>
  <c r="W1080" i="9"/>
  <c r="W1081" i="9"/>
  <c r="W1082" i="9"/>
  <c r="W1083" i="9"/>
  <c r="W1084" i="9"/>
  <c r="W1085" i="9"/>
  <c r="W1086" i="9"/>
  <c r="W1087" i="9"/>
  <c r="W1088" i="9"/>
  <c r="W1089" i="9"/>
  <c r="W1090" i="9"/>
  <c r="W1091" i="9"/>
  <c r="W1092" i="9"/>
  <c r="W1093" i="9"/>
  <c r="W1094" i="9"/>
  <c r="W1095" i="9"/>
  <c r="W1096" i="9"/>
  <c r="W1097" i="9"/>
  <c r="W1098" i="9"/>
  <c r="W1099" i="9"/>
  <c r="W1100" i="9"/>
  <c r="W1101" i="9"/>
  <c r="W1102" i="9"/>
  <c r="W1103" i="9"/>
  <c r="W1104" i="9"/>
  <c r="W1105" i="9"/>
  <c r="W1106" i="9"/>
  <c r="W1107" i="9"/>
  <c r="W1108" i="9"/>
  <c r="W1109" i="9"/>
  <c r="W1110" i="9"/>
  <c r="W1111" i="9"/>
  <c r="W1112" i="9"/>
  <c r="W1113" i="9"/>
  <c r="W1114" i="9"/>
  <c r="W1115" i="9"/>
  <c r="W1116" i="9"/>
  <c r="W1117" i="9"/>
  <c r="W1118" i="9"/>
  <c r="W1119" i="9"/>
  <c r="W1120" i="9"/>
  <c r="W1121" i="9"/>
  <c r="W1122" i="9"/>
  <c r="W1123" i="9"/>
  <c r="W1124" i="9"/>
  <c r="W1125" i="9"/>
  <c r="W1126" i="9"/>
  <c r="W1127" i="9"/>
  <c r="W1128" i="9"/>
  <c r="W1129" i="9"/>
  <c r="W1130" i="9"/>
  <c r="W1131" i="9"/>
  <c r="W1132" i="9"/>
  <c r="W1133" i="9"/>
  <c r="W1134" i="9"/>
  <c r="W1135" i="9"/>
  <c r="W1136" i="9"/>
  <c r="W1137" i="9"/>
  <c r="W1138" i="9"/>
  <c r="W1139" i="9"/>
  <c r="W1140" i="9"/>
  <c r="W1141" i="9"/>
  <c r="W1142" i="9"/>
  <c r="W1143" i="9"/>
  <c r="W1144" i="9"/>
  <c r="W1145" i="9"/>
  <c r="W1146" i="9"/>
  <c r="W1147" i="9"/>
  <c r="W1148" i="9"/>
  <c r="W1149" i="9"/>
  <c r="W1150" i="9"/>
  <c r="W1151" i="9"/>
  <c r="W1152" i="9"/>
  <c r="W1153" i="9"/>
  <c r="W1154" i="9"/>
  <c r="W1155" i="9"/>
  <c r="W1156" i="9"/>
  <c r="W1157" i="9"/>
  <c r="W1158" i="9"/>
  <c r="W1159" i="9"/>
  <c r="W1160" i="9"/>
  <c r="W1161" i="9"/>
  <c r="W1162" i="9"/>
  <c r="W1163" i="9"/>
  <c r="W1164" i="9"/>
  <c r="W1165" i="9"/>
  <c r="W1166" i="9"/>
  <c r="W1167" i="9"/>
  <c r="W1168" i="9"/>
  <c r="W1169" i="9"/>
  <c r="W1170" i="9"/>
  <c r="W1171" i="9"/>
  <c r="W1172" i="9"/>
  <c r="W1173" i="9"/>
  <c r="W1174" i="9"/>
  <c r="W1175" i="9"/>
  <c r="W1176" i="9"/>
  <c r="W1177" i="9"/>
  <c r="W1178" i="9"/>
  <c r="W1179" i="9"/>
  <c r="W1180" i="9"/>
  <c r="W1181" i="9"/>
  <c r="W1182" i="9"/>
  <c r="W1183" i="9"/>
  <c r="W1184" i="9"/>
  <c r="W1185" i="9"/>
  <c r="W1186" i="9"/>
  <c r="W1187" i="9"/>
  <c r="W1188" i="9"/>
  <c r="W1189" i="9"/>
  <c r="W1190" i="9"/>
  <c r="W1191" i="9"/>
  <c r="W1192" i="9"/>
  <c r="W1193" i="9"/>
  <c r="W1194" i="9"/>
  <c r="W1195" i="9"/>
  <c r="W1196" i="9"/>
  <c r="W1197" i="9"/>
  <c r="W1198" i="9"/>
  <c r="W1199" i="9"/>
  <c r="W1200" i="9"/>
  <c r="W1201" i="9"/>
  <c r="W1202" i="9"/>
  <c r="W1203" i="9"/>
  <c r="W1204" i="9"/>
  <c r="W1205" i="9"/>
  <c r="W1206" i="9"/>
  <c r="W1207" i="9"/>
  <c r="W1208" i="9"/>
  <c r="W1209" i="9"/>
  <c r="W1210" i="9"/>
  <c r="W1211" i="9"/>
  <c r="W1212" i="9"/>
  <c r="W1213" i="9"/>
  <c r="W1214" i="9"/>
  <c r="W1215" i="9"/>
  <c r="W1216" i="9"/>
  <c r="W1217" i="9"/>
  <c r="W1218" i="9"/>
  <c r="W1219" i="9"/>
  <c r="W1220" i="9"/>
  <c r="W1221" i="9"/>
  <c r="W1222" i="9"/>
  <c r="W1223" i="9"/>
  <c r="W1224" i="9"/>
  <c r="W1225" i="9"/>
  <c r="W1226" i="9"/>
  <c r="W1227" i="9"/>
  <c r="W1228" i="9"/>
  <c r="W1229" i="9"/>
  <c r="W1230" i="9"/>
  <c r="W1231" i="9"/>
  <c r="W1232" i="9"/>
  <c r="W1233" i="9"/>
  <c r="W1234" i="9"/>
  <c r="W1235" i="9"/>
  <c r="W1236" i="9"/>
  <c r="W1237" i="9"/>
  <c r="W1238" i="9"/>
  <c r="W1239" i="9"/>
  <c r="W1240" i="9"/>
  <c r="W1241" i="9"/>
  <c r="W1242" i="9"/>
  <c r="W1243" i="9"/>
  <c r="W1244" i="9"/>
  <c r="W1245" i="9"/>
  <c r="W1246" i="9"/>
  <c r="W1247" i="9"/>
  <c r="W1248" i="9"/>
  <c r="W1249" i="9"/>
  <c r="W1250" i="9"/>
  <c r="W1251" i="9"/>
  <c r="W1252" i="9"/>
  <c r="W1253" i="9"/>
  <c r="W1254" i="9"/>
  <c r="W1255" i="9"/>
  <c r="W1256" i="9"/>
  <c r="W1257" i="9"/>
  <c r="W1258" i="9"/>
  <c r="W1259" i="9"/>
  <c r="W1260" i="9"/>
  <c r="W1261" i="9"/>
  <c r="W1262" i="9"/>
  <c r="W1263" i="9"/>
  <c r="W1264" i="9"/>
  <c r="W1265" i="9"/>
  <c r="W1266" i="9"/>
  <c r="W1267" i="9"/>
  <c r="W1268" i="9"/>
  <c r="W1269" i="9"/>
  <c r="W1270" i="9"/>
  <c r="W1271" i="9"/>
  <c r="W1272" i="9"/>
  <c r="W1273" i="9"/>
  <c r="W1274" i="9"/>
  <c r="W1275" i="9"/>
  <c r="W1276" i="9"/>
  <c r="W1277" i="9"/>
  <c r="W1278" i="9"/>
  <c r="W1279" i="9"/>
  <c r="W1280" i="9"/>
  <c r="W1281" i="9"/>
  <c r="W1282" i="9"/>
  <c r="W1283" i="9"/>
  <c r="W1284" i="9"/>
  <c r="W1285" i="9"/>
  <c r="W1286" i="9"/>
  <c r="W1287" i="9"/>
  <c r="W1288" i="9"/>
  <c r="W1289" i="9"/>
  <c r="W1290" i="9"/>
  <c r="W1291" i="9"/>
  <c r="W1292" i="9"/>
  <c r="W1293" i="9"/>
  <c r="W1294" i="9"/>
  <c r="W1295" i="9"/>
  <c r="W1296" i="9"/>
  <c r="W1297" i="9"/>
  <c r="W1298" i="9"/>
  <c r="W1299" i="9"/>
  <c r="W1300" i="9"/>
  <c r="W1301" i="9"/>
  <c r="W1302" i="9"/>
  <c r="W1303" i="9"/>
  <c r="W1304" i="9"/>
  <c r="W1305" i="9"/>
  <c r="W1306" i="9"/>
  <c r="W1307" i="9"/>
  <c r="W1308" i="9"/>
  <c r="W1309" i="9"/>
  <c r="W1310" i="9"/>
  <c r="W1311" i="9"/>
  <c r="W1312" i="9"/>
  <c r="W1313" i="9"/>
  <c r="W1314" i="9"/>
  <c r="W1315" i="9"/>
  <c r="W1316" i="9"/>
  <c r="W1317" i="9"/>
  <c r="W1318" i="9"/>
  <c r="W1319" i="9"/>
  <c r="W1320" i="9"/>
  <c r="W1321" i="9"/>
  <c r="W1322" i="9"/>
  <c r="W1323" i="9"/>
  <c r="W1324" i="9"/>
  <c r="W1325" i="9"/>
  <c r="W1326" i="9"/>
  <c r="W1327" i="9"/>
  <c r="W1328" i="9"/>
  <c r="W1329" i="9"/>
  <c r="W1330" i="9"/>
  <c r="W1331" i="9"/>
  <c r="W1332" i="9"/>
  <c r="W1333" i="9"/>
  <c r="W1334" i="9"/>
  <c r="W1335" i="9"/>
  <c r="W1336" i="9"/>
  <c r="W1337" i="9"/>
  <c r="W1338" i="9"/>
  <c r="W1339" i="9"/>
  <c r="W1340" i="9"/>
  <c r="W1341" i="9"/>
  <c r="W1342" i="9"/>
  <c r="W1343" i="9"/>
  <c r="W1344" i="9"/>
  <c r="W1345" i="9"/>
  <c r="W1346" i="9"/>
  <c r="W1347" i="9"/>
  <c r="W1348" i="9"/>
  <c r="W1349" i="9"/>
  <c r="W1350" i="9"/>
  <c r="W1351" i="9"/>
  <c r="W1352" i="9"/>
  <c r="W1353" i="9"/>
  <c r="W1354" i="9"/>
  <c r="W1355" i="9"/>
  <c r="W1356" i="9"/>
  <c r="W1357" i="9"/>
  <c r="W1358" i="9"/>
  <c r="W1359" i="9"/>
  <c r="W1360" i="9"/>
  <c r="W1361" i="9"/>
  <c r="W1362" i="9"/>
  <c r="W1363" i="9"/>
  <c r="W1364" i="9"/>
  <c r="W1365" i="9"/>
  <c r="W1366" i="9"/>
  <c r="W1367" i="9"/>
  <c r="W1368" i="9"/>
  <c r="W1369" i="9"/>
  <c r="W1370" i="9"/>
  <c r="W1371" i="9"/>
  <c r="W1372" i="9"/>
  <c r="W1373" i="9"/>
  <c r="W1374" i="9"/>
  <c r="W1375" i="9"/>
  <c r="W1376" i="9"/>
  <c r="W1377" i="9"/>
  <c r="W1378" i="9"/>
  <c r="W1379" i="9"/>
  <c r="W1380" i="9"/>
  <c r="W1381" i="9"/>
  <c r="W1382" i="9"/>
  <c r="W1383" i="9"/>
  <c r="W1384" i="9"/>
  <c r="W1385" i="9"/>
  <c r="W1386" i="9"/>
  <c r="W1387" i="9"/>
  <c r="W1388" i="9"/>
  <c r="W1389" i="9"/>
  <c r="W1390" i="9"/>
  <c r="W1391" i="9"/>
  <c r="W1392" i="9"/>
  <c r="W1393" i="9"/>
  <c r="W1394" i="9"/>
  <c r="W1395" i="9"/>
  <c r="W1396" i="9"/>
  <c r="W1397" i="9"/>
  <c r="W1398" i="9"/>
  <c r="W1399" i="9"/>
  <c r="W1400" i="9"/>
  <c r="W1401" i="9"/>
  <c r="W1402" i="9"/>
  <c r="W1403" i="9"/>
  <c r="W1404" i="9"/>
  <c r="W1405" i="9"/>
  <c r="W1406" i="9"/>
  <c r="W1407" i="9"/>
  <c r="W1408" i="9"/>
  <c r="W1409" i="9"/>
  <c r="W1410" i="9"/>
  <c r="W1411" i="9"/>
  <c r="W1412" i="9"/>
  <c r="W1413" i="9"/>
  <c r="W1414" i="9"/>
  <c r="W1415" i="9"/>
  <c r="W1416" i="9"/>
  <c r="W1417" i="9"/>
  <c r="W1418" i="9"/>
  <c r="W1419" i="9"/>
  <c r="W1420" i="9"/>
  <c r="W1421" i="9"/>
  <c r="W1422" i="9"/>
  <c r="W1423" i="9"/>
  <c r="W1424" i="9"/>
  <c r="W1425" i="9"/>
  <c r="W1426" i="9"/>
  <c r="W1427" i="9"/>
  <c r="W1428" i="9"/>
  <c r="W1429" i="9"/>
  <c r="W1430" i="9"/>
  <c r="W1431" i="9"/>
  <c r="W1432" i="9"/>
  <c r="W1433" i="9"/>
  <c r="W1434" i="9"/>
  <c r="W1435" i="9"/>
  <c r="W1436" i="9"/>
  <c r="W1437" i="9"/>
  <c r="W1438" i="9"/>
  <c r="W1439" i="9"/>
  <c r="W1440" i="9"/>
  <c r="W1441" i="9"/>
  <c r="W1442" i="9"/>
  <c r="W1443" i="9"/>
  <c r="W1444" i="9"/>
  <c r="W1445" i="9"/>
  <c r="W1446" i="9"/>
  <c r="W1447" i="9"/>
  <c r="W1448" i="9"/>
  <c r="W1449" i="9"/>
  <c r="W1450" i="9"/>
  <c r="W1451" i="9"/>
  <c r="W1452" i="9"/>
  <c r="W1453" i="9"/>
  <c r="W1454" i="9"/>
  <c r="W1455" i="9"/>
  <c r="W1456" i="9"/>
  <c r="W1457" i="9"/>
  <c r="W1458" i="9"/>
  <c r="W1459" i="9"/>
  <c r="W1460" i="9"/>
  <c r="W1461" i="9"/>
  <c r="W1462" i="9"/>
  <c r="W1463" i="9"/>
  <c r="W1464" i="9"/>
  <c r="W1465" i="9"/>
  <c r="W1466" i="9"/>
  <c r="W1467" i="9"/>
  <c r="W1468" i="9"/>
  <c r="W1469" i="9"/>
  <c r="W1470" i="9"/>
  <c r="W1471" i="9"/>
  <c r="W1472" i="9"/>
  <c r="W1473" i="9"/>
  <c r="W1474" i="9"/>
  <c r="W1475" i="9"/>
  <c r="W1476" i="9"/>
  <c r="W1477" i="9"/>
  <c r="W1478" i="9"/>
  <c r="W1479" i="9"/>
  <c r="W1480" i="9"/>
  <c r="W1481" i="9"/>
  <c r="W1482" i="9"/>
  <c r="W1483" i="9"/>
  <c r="W1484" i="9"/>
  <c r="W1485" i="9"/>
  <c r="W1486" i="9"/>
  <c r="W1487" i="9"/>
  <c r="W1488" i="9"/>
  <c r="W1489" i="9"/>
  <c r="W1490" i="9"/>
  <c r="W1491" i="9"/>
  <c r="W1492" i="9"/>
  <c r="W1493" i="9"/>
  <c r="W1494" i="9"/>
  <c r="W1495" i="9"/>
  <c r="W1496" i="9"/>
  <c r="W1497" i="9"/>
  <c r="W1498" i="9"/>
  <c r="W1499" i="9"/>
  <c r="W1500" i="9"/>
  <c r="W1501" i="9"/>
  <c r="W1502" i="9"/>
  <c r="W1503" i="9"/>
  <c r="W1504" i="9"/>
  <c r="W1505" i="9"/>
  <c r="W1506" i="9"/>
  <c r="W1507" i="9"/>
  <c r="W1508" i="9"/>
  <c r="W1509" i="9"/>
  <c r="W1510" i="9"/>
  <c r="W1511" i="9"/>
  <c r="W1512" i="9"/>
  <c r="W1513" i="9"/>
  <c r="W1514" i="9"/>
  <c r="W1515" i="9"/>
  <c r="W1516" i="9"/>
  <c r="W1517" i="9"/>
  <c r="W1518" i="9"/>
  <c r="W1519" i="9"/>
  <c r="W1520" i="9"/>
  <c r="W1521" i="9"/>
  <c r="W1522" i="9"/>
  <c r="W1523" i="9"/>
  <c r="W1524" i="9"/>
  <c r="W1525" i="9"/>
  <c r="W1526" i="9"/>
  <c r="W1527" i="9"/>
  <c r="W1528" i="9"/>
  <c r="W1529" i="9"/>
  <c r="W1530" i="9"/>
  <c r="W1531" i="9"/>
  <c r="W1532" i="9"/>
  <c r="W1533" i="9"/>
  <c r="W1534" i="9"/>
  <c r="W1535" i="9"/>
  <c r="W1536" i="9"/>
  <c r="W1537" i="9"/>
  <c r="W1538" i="9"/>
  <c r="W1539" i="9"/>
  <c r="W1540" i="9"/>
  <c r="W1541" i="9"/>
  <c r="W1542" i="9"/>
  <c r="W1543" i="9"/>
  <c r="W1544" i="9"/>
  <c r="X9" i="9"/>
  <c r="X10" i="9"/>
  <c r="X11" i="9"/>
  <c r="X12" i="9"/>
  <c r="X13" i="9"/>
  <c r="X14" i="9"/>
  <c r="X15" i="9"/>
  <c r="X16" i="9"/>
  <c r="X17" i="9"/>
  <c r="X18" i="9"/>
  <c r="X19" i="9"/>
  <c r="X20" i="9"/>
  <c r="X21" i="9"/>
  <c r="X22" i="9"/>
  <c r="X23" i="9"/>
  <c r="X24" i="9"/>
  <c r="X25" i="9"/>
  <c r="X26" i="9"/>
  <c r="X27" i="9"/>
  <c r="X28" i="9"/>
  <c r="X29" i="9"/>
  <c r="X30" i="9"/>
  <c r="X31" i="9"/>
  <c r="X32" i="9"/>
  <c r="X33" i="9"/>
  <c r="X34" i="9"/>
  <c r="X35" i="9"/>
  <c r="X36" i="9"/>
  <c r="X37" i="9"/>
  <c r="X38" i="9"/>
  <c r="X39" i="9"/>
  <c r="X40" i="9"/>
  <c r="X41" i="9"/>
  <c r="X42" i="9"/>
  <c r="X43" i="9"/>
  <c r="X44" i="9"/>
  <c r="X45" i="9"/>
  <c r="X46" i="9"/>
  <c r="X47" i="9"/>
  <c r="X48" i="9"/>
  <c r="X49" i="9"/>
  <c r="X50" i="9"/>
  <c r="X51" i="9"/>
  <c r="X52" i="9"/>
  <c r="X53" i="9"/>
  <c r="X54" i="9"/>
  <c r="X55" i="9"/>
  <c r="X56" i="9"/>
  <c r="X57" i="9"/>
  <c r="X58" i="9"/>
  <c r="X59" i="9"/>
  <c r="X60" i="9"/>
  <c r="X61" i="9"/>
  <c r="X62" i="9"/>
  <c r="X63" i="9"/>
  <c r="X64" i="9"/>
  <c r="X65" i="9"/>
  <c r="X66" i="9"/>
  <c r="X67" i="9"/>
  <c r="X68" i="9"/>
  <c r="X69" i="9"/>
  <c r="X70" i="9"/>
  <c r="X71" i="9"/>
  <c r="X72" i="9"/>
  <c r="X73" i="9"/>
  <c r="X74" i="9"/>
  <c r="X75" i="9"/>
  <c r="X76" i="9"/>
  <c r="X77" i="9"/>
  <c r="X78" i="9"/>
  <c r="X79" i="9"/>
  <c r="X80" i="9"/>
  <c r="X81" i="9"/>
  <c r="X82" i="9"/>
  <c r="X83" i="9"/>
  <c r="X84" i="9"/>
  <c r="X85" i="9"/>
  <c r="X86" i="9"/>
  <c r="X87" i="9"/>
  <c r="X88" i="9"/>
  <c r="X89" i="9"/>
  <c r="X90" i="9"/>
  <c r="X91" i="9"/>
  <c r="X92" i="9"/>
  <c r="X93" i="9"/>
  <c r="X94" i="9"/>
  <c r="X95" i="9"/>
  <c r="X96" i="9"/>
  <c r="X97" i="9"/>
  <c r="X98" i="9"/>
  <c r="X99" i="9"/>
  <c r="X100" i="9"/>
  <c r="X101" i="9"/>
  <c r="X102" i="9"/>
  <c r="X103" i="9"/>
  <c r="X104" i="9"/>
  <c r="X105" i="9"/>
  <c r="X106" i="9"/>
  <c r="X107" i="9"/>
  <c r="X108" i="9"/>
  <c r="X109" i="9"/>
  <c r="X110" i="9"/>
  <c r="X111" i="9"/>
  <c r="X112" i="9"/>
  <c r="X113" i="9"/>
  <c r="X114" i="9"/>
  <c r="X115" i="9"/>
  <c r="X116" i="9"/>
  <c r="X117" i="9"/>
  <c r="X118" i="9"/>
  <c r="X119" i="9"/>
  <c r="X120" i="9"/>
  <c r="X121" i="9"/>
  <c r="X122" i="9"/>
  <c r="X123" i="9"/>
  <c r="X124" i="9"/>
  <c r="X125" i="9"/>
  <c r="X126" i="9"/>
  <c r="X127" i="9"/>
  <c r="X128" i="9"/>
  <c r="X129" i="9"/>
  <c r="X130" i="9"/>
  <c r="X131" i="9"/>
  <c r="X132" i="9"/>
  <c r="X133" i="9"/>
  <c r="X134" i="9"/>
  <c r="X135" i="9"/>
  <c r="X136" i="9"/>
  <c r="X137" i="9"/>
  <c r="X138" i="9"/>
  <c r="X139" i="9"/>
  <c r="X140" i="9"/>
  <c r="X141" i="9"/>
  <c r="X142" i="9"/>
  <c r="X143" i="9"/>
  <c r="X144" i="9"/>
  <c r="X145" i="9"/>
  <c r="X146" i="9"/>
  <c r="X147" i="9"/>
  <c r="X148" i="9"/>
  <c r="X149" i="9"/>
  <c r="X150" i="9"/>
  <c r="X151" i="9"/>
  <c r="X152" i="9"/>
  <c r="X153" i="9"/>
  <c r="X154" i="9"/>
  <c r="X155" i="9"/>
  <c r="X156" i="9"/>
  <c r="X157" i="9"/>
  <c r="X158" i="9"/>
  <c r="X159" i="9"/>
  <c r="X160" i="9"/>
  <c r="X161" i="9"/>
  <c r="X162" i="9"/>
  <c r="X163" i="9"/>
  <c r="X164" i="9"/>
  <c r="X165" i="9"/>
  <c r="X166" i="9"/>
  <c r="X167" i="9"/>
  <c r="X168" i="9"/>
  <c r="X169" i="9"/>
  <c r="X170" i="9"/>
  <c r="X171" i="9"/>
  <c r="X172" i="9"/>
  <c r="X173" i="9"/>
  <c r="X174" i="9"/>
  <c r="X175" i="9"/>
  <c r="X176" i="9"/>
  <c r="X177" i="9"/>
  <c r="X178" i="9"/>
  <c r="X179" i="9"/>
  <c r="X180" i="9"/>
  <c r="X181" i="9"/>
  <c r="X182" i="9"/>
  <c r="X183" i="9"/>
  <c r="X184" i="9"/>
  <c r="X185" i="9"/>
  <c r="X186" i="9"/>
  <c r="X187" i="9"/>
  <c r="X188" i="9"/>
  <c r="X189" i="9"/>
  <c r="X190" i="9"/>
  <c r="X191" i="9"/>
  <c r="X192" i="9"/>
  <c r="X193" i="9"/>
  <c r="X194" i="9"/>
  <c r="X195" i="9"/>
  <c r="X196" i="9"/>
  <c r="X197" i="9"/>
  <c r="X198" i="9"/>
  <c r="X199" i="9"/>
  <c r="X200" i="9"/>
  <c r="X201" i="9"/>
  <c r="X202" i="9"/>
  <c r="X203" i="9"/>
  <c r="X204" i="9"/>
  <c r="X205" i="9"/>
  <c r="X206" i="9"/>
  <c r="X207" i="9"/>
  <c r="X208" i="9"/>
  <c r="X209" i="9"/>
  <c r="X210" i="9"/>
  <c r="X211" i="9"/>
  <c r="X212" i="9"/>
  <c r="X213" i="9"/>
  <c r="X214" i="9"/>
  <c r="X215" i="9"/>
  <c r="X216" i="9"/>
  <c r="X217" i="9"/>
  <c r="X218" i="9"/>
  <c r="X219" i="9"/>
  <c r="X220" i="9"/>
  <c r="X221" i="9"/>
  <c r="X222" i="9"/>
  <c r="X223" i="9"/>
  <c r="X224" i="9"/>
  <c r="X225" i="9"/>
  <c r="X226" i="9"/>
  <c r="X227" i="9"/>
  <c r="X228" i="9"/>
  <c r="X229" i="9"/>
  <c r="X230" i="9"/>
  <c r="X231" i="9"/>
  <c r="X232" i="9"/>
  <c r="X233" i="9"/>
  <c r="X234" i="9"/>
  <c r="X235" i="9"/>
  <c r="X236" i="9"/>
  <c r="X237" i="9"/>
  <c r="X238" i="9"/>
  <c r="X239" i="9"/>
  <c r="X240" i="9"/>
  <c r="X241" i="9"/>
  <c r="X242" i="9"/>
  <c r="X243" i="9"/>
  <c r="X244" i="9"/>
  <c r="X245" i="9"/>
  <c r="X246" i="9"/>
  <c r="X247" i="9"/>
  <c r="X248" i="9"/>
  <c r="X249" i="9"/>
  <c r="X250" i="9"/>
  <c r="X251" i="9"/>
  <c r="X252" i="9"/>
  <c r="X253" i="9"/>
  <c r="X254" i="9"/>
  <c r="X255" i="9"/>
  <c r="X256" i="9"/>
  <c r="X257" i="9"/>
  <c r="X258" i="9"/>
  <c r="X259" i="9"/>
  <c r="X260" i="9"/>
  <c r="X261" i="9"/>
  <c r="X262" i="9"/>
  <c r="X263" i="9"/>
  <c r="X264" i="9"/>
  <c r="X265" i="9"/>
  <c r="X266" i="9"/>
  <c r="X267" i="9"/>
  <c r="X268" i="9"/>
  <c r="X269" i="9"/>
  <c r="X270" i="9"/>
  <c r="X271" i="9"/>
  <c r="X272" i="9"/>
  <c r="X273" i="9"/>
  <c r="X274" i="9"/>
  <c r="X275" i="9"/>
  <c r="X276" i="9"/>
  <c r="X277" i="9"/>
  <c r="X278" i="9"/>
  <c r="X279" i="9"/>
  <c r="X280" i="9"/>
  <c r="X281" i="9"/>
  <c r="X282" i="9"/>
  <c r="X283" i="9"/>
  <c r="X284" i="9"/>
  <c r="X285" i="9"/>
  <c r="X286" i="9"/>
  <c r="X287" i="9"/>
  <c r="X288" i="9"/>
  <c r="X289" i="9"/>
  <c r="X290" i="9"/>
  <c r="X291" i="9"/>
  <c r="X292" i="9"/>
  <c r="X293" i="9"/>
  <c r="X294" i="9"/>
  <c r="X295" i="9"/>
  <c r="X296" i="9"/>
  <c r="X297" i="9"/>
  <c r="X298" i="9"/>
  <c r="X299" i="9"/>
  <c r="X300" i="9"/>
  <c r="X301" i="9"/>
  <c r="X302" i="9"/>
  <c r="X303" i="9"/>
  <c r="X304" i="9"/>
  <c r="X305" i="9"/>
  <c r="X306" i="9"/>
  <c r="X307" i="9"/>
  <c r="X308" i="9"/>
  <c r="X309" i="9"/>
  <c r="X310" i="9"/>
  <c r="X311" i="9"/>
  <c r="X312" i="9"/>
  <c r="X313" i="9"/>
  <c r="X314" i="9"/>
  <c r="X315" i="9"/>
  <c r="X316" i="9"/>
  <c r="X317" i="9"/>
  <c r="X318" i="9"/>
  <c r="X319" i="9"/>
  <c r="X320" i="9"/>
  <c r="X321" i="9"/>
  <c r="X322" i="9"/>
  <c r="X323" i="9"/>
  <c r="X324" i="9"/>
  <c r="X325" i="9"/>
  <c r="X326" i="9"/>
  <c r="X327" i="9"/>
  <c r="X328" i="9"/>
  <c r="X329" i="9"/>
  <c r="X330" i="9"/>
  <c r="X331" i="9"/>
  <c r="X332" i="9"/>
  <c r="X333" i="9"/>
  <c r="X334" i="9"/>
  <c r="X335" i="9"/>
  <c r="X336" i="9"/>
  <c r="X337" i="9"/>
  <c r="X338" i="9"/>
  <c r="X339" i="9"/>
  <c r="X340" i="9"/>
  <c r="X341" i="9"/>
  <c r="X342" i="9"/>
  <c r="X343" i="9"/>
  <c r="X344" i="9"/>
  <c r="X345" i="9"/>
  <c r="X346" i="9"/>
  <c r="X347" i="9"/>
  <c r="X348" i="9"/>
  <c r="X349" i="9"/>
  <c r="X350" i="9"/>
  <c r="X351" i="9"/>
  <c r="X352" i="9"/>
  <c r="X353" i="9"/>
  <c r="X354" i="9"/>
  <c r="X355" i="9"/>
  <c r="X356" i="9"/>
  <c r="X357" i="9"/>
  <c r="X358" i="9"/>
  <c r="X359" i="9"/>
  <c r="X360" i="9"/>
  <c r="X361" i="9"/>
  <c r="X362" i="9"/>
  <c r="X363" i="9"/>
  <c r="X364" i="9"/>
  <c r="X365" i="9"/>
  <c r="X366" i="9"/>
  <c r="X367" i="9"/>
  <c r="X368" i="9"/>
  <c r="X369" i="9"/>
  <c r="X370" i="9"/>
  <c r="X371" i="9"/>
  <c r="X372" i="9"/>
  <c r="X373" i="9"/>
  <c r="X374" i="9"/>
  <c r="X375" i="9"/>
  <c r="X376" i="9"/>
  <c r="X377" i="9"/>
  <c r="X378" i="9"/>
  <c r="X379" i="9"/>
  <c r="X380" i="9"/>
  <c r="X381" i="9"/>
  <c r="X382" i="9"/>
  <c r="X383" i="9"/>
  <c r="X384" i="9"/>
  <c r="X385" i="9"/>
  <c r="X386" i="9"/>
  <c r="X387" i="9"/>
  <c r="X388" i="9"/>
  <c r="X389" i="9"/>
  <c r="X390" i="9"/>
  <c r="X391" i="9"/>
  <c r="X392" i="9"/>
  <c r="X393" i="9"/>
  <c r="X394" i="9"/>
  <c r="X395" i="9"/>
  <c r="X396" i="9"/>
  <c r="X397" i="9"/>
  <c r="X398" i="9"/>
  <c r="X399" i="9"/>
  <c r="X400" i="9"/>
  <c r="X401" i="9"/>
  <c r="X402" i="9"/>
  <c r="X403" i="9"/>
  <c r="X404" i="9"/>
  <c r="X405" i="9"/>
  <c r="X406" i="9"/>
  <c r="X407" i="9"/>
  <c r="X408" i="9"/>
  <c r="X409" i="9"/>
  <c r="X410" i="9"/>
  <c r="X411" i="9"/>
  <c r="X412" i="9"/>
  <c r="X413" i="9"/>
  <c r="X414" i="9"/>
  <c r="X415" i="9"/>
  <c r="X416" i="9"/>
  <c r="X417" i="9"/>
  <c r="X418" i="9"/>
  <c r="X419" i="9"/>
  <c r="X420" i="9"/>
  <c r="X421" i="9"/>
  <c r="X422" i="9"/>
  <c r="X423" i="9"/>
  <c r="X424" i="9"/>
  <c r="X425" i="9"/>
  <c r="X426" i="9"/>
  <c r="X427" i="9"/>
  <c r="X428" i="9"/>
  <c r="X429" i="9"/>
  <c r="X430" i="9"/>
  <c r="X431" i="9"/>
  <c r="X432" i="9"/>
  <c r="X433" i="9"/>
  <c r="X434" i="9"/>
  <c r="X435" i="9"/>
  <c r="X436" i="9"/>
  <c r="X437" i="9"/>
  <c r="X438" i="9"/>
  <c r="X439" i="9"/>
  <c r="X440" i="9"/>
  <c r="X441" i="9"/>
  <c r="X442" i="9"/>
  <c r="X443" i="9"/>
  <c r="X444" i="9"/>
  <c r="X445" i="9"/>
  <c r="X446" i="9"/>
  <c r="X447" i="9"/>
  <c r="X448" i="9"/>
  <c r="X449" i="9"/>
  <c r="X450" i="9"/>
  <c r="X451" i="9"/>
  <c r="X452" i="9"/>
  <c r="X453" i="9"/>
  <c r="X454" i="9"/>
  <c r="X455" i="9"/>
  <c r="X456" i="9"/>
  <c r="X457" i="9"/>
  <c r="X458" i="9"/>
  <c r="X459" i="9"/>
  <c r="X460" i="9"/>
  <c r="X461" i="9"/>
  <c r="X462" i="9"/>
  <c r="X463" i="9"/>
  <c r="X464" i="9"/>
  <c r="X465" i="9"/>
  <c r="X466" i="9"/>
  <c r="X467" i="9"/>
  <c r="X468" i="9"/>
  <c r="X469" i="9"/>
  <c r="X470" i="9"/>
  <c r="X471" i="9"/>
  <c r="X472" i="9"/>
  <c r="X473" i="9"/>
  <c r="X474" i="9"/>
  <c r="X475" i="9"/>
  <c r="X476" i="9"/>
  <c r="X477" i="9"/>
  <c r="X478" i="9"/>
  <c r="X479" i="9"/>
  <c r="X480" i="9"/>
  <c r="X481" i="9"/>
  <c r="X482" i="9"/>
  <c r="X483" i="9"/>
  <c r="X484" i="9"/>
  <c r="X485" i="9"/>
  <c r="X486" i="9"/>
  <c r="X487" i="9"/>
  <c r="X488" i="9"/>
  <c r="X489" i="9"/>
  <c r="X490" i="9"/>
  <c r="X491" i="9"/>
  <c r="X492" i="9"/>
  <c r="X493" i="9"/>
  <c r="X494" i="9"/>
  <c r="X495" i="9"/>
  <c r="X496" i="9"/>
  <c r="X497" i="9"/>
  <c r="X498" i="9"/>
  <c r="X499" i="9"/>
  <c r="X500" i="9"/>
  <c r="X501" i="9"/>
  <c r="X502" i="9"/>
  <c r="X503" i="9"/>
  <c r="X504" i="9"/>
  <c r="X505" i="9"/>
  <c r="X506" i="9"/>
  <c r="X507" i="9"/>
  <c r="X508" i="9"/>
  <c r="X509" i="9"/>
  <c r="X510" i="9"/>
  <c r="X511" i="9"/>
  <c r="X512" i="9"/>
  <c r="X513" i="9"/>
  <c r="X514" i="9"/>
  <c r="X515" i="9"/>
  <c r="X516" i="9"/>
  <c r="X517" i="9"/>
  <c r="X518" i="9"/>
  <c r="X519" i="9"/>
  <c r="X520" i="9"/>
  <c r="X521" i="9"/>
  <c r="X522" i="9"/>
  <c r="X523" i="9"/>
  <c r="X524" i="9"/>
  <c r="X525" i="9"/>
  <c r="X526" i="9"/>
  <c r="X527" i="9"/>
  <c r="X528" i="9"/>
  <c r="X529" i="9"/>
  <c r="X530" i="9"/>
  <c r="X531" i="9"/>
  <c r="X532" i="9"/>
  <c r="X533" i="9"/>
  <c r="X534" i="9"/>
  <c r="X535" i="9"/>
  <c r="X536" i="9"/>
  <c r="X537" i="9"/>
  <c r="X538" i="9"/>
  <c r="X539" i="9"/>
  <c r="X540" i="9"/>
  <c r="X541" i="9"/>
  <c r="X542" i="9"/>
  <c r="X543" i="9"/>
  <c r="X544" i="9"/>
  <c r="X545" i="9"/>
  <c r="X546" i="9"/>
  <c r="X547" i="9"/>
  <c r="X548" i="9"/>
  <c r="X549" i="9"/>
  <c r="X550" i="9"/>
  <c r="X551" i="9"/>
  <c r="X552" i="9"/>
  <c r="X553" i="9"/>
  <c r="X554" i="9"/>
  <c r="X555" i="9"/>
  <c r="X556" i="9"/>
  <c r="X557" i="9"/>
  <c r="X558" i="9"/>
  <c r="X559" i="9"/>
  <c r="X560" i="9"/>
  <c r="X561" i="9"/>
  <c r="X562" i="9"/>
  <c r="X563" i="9"/>
  <c r="X564" i="9"/>
  <c r="X565" i="9"/>
  <c r="X566" i="9"/>
  <c r="X567" i="9"/>
  <c r="X568" i="9"/>
  <c r="X569" i="9"/>
  <c r="X570" i="9"/>
  <c r="X571" i="9"/>
  <c r="X572" i="9"/>
  <c r="X573" i="9"/>
  <c r="X574" i="9"/>
  <c r="X575" i="9"/>
  <c r="X576" i="9"/>
  <c r="X577" i="9"/>
  <c r="X578" i="9"/>
  <c r="X579" i="9"/>
  <c r="X580" i="9"/>
  <c r="X581" i="9"/>
  <c r="X582" i="9"/>
  <c r="X583" i="9"/>
  <c r="X584" i="9"/>
  <c r="X585" i="9"/>
  <c r="X586" i="9"/>
  <c r="X587" i="9"/>
  <c r="X588" i="9"/>
  <c r="X589" i="9"/>
  <c r="X590" i="9"/>
  <c r="X591" i="9"/>
  <c r="X592" i="9"/>
  <c r="X593" i="9"/>
  <c r="X594" i="9"/>
  <c r="X595" i="9"/>
  <c r="X596" i="9"/>
  <c r="X597" i="9"/>
  <c r="X598" i="9"/>
  <c r="X599" i="9"/>
  <c r="X600" i="9"/>
  <c r="X601" i="9"/>
  <c r="X602" i="9"/>
  <c r="X603" i="9"/>
  <c r="X604" i="9"/>
  <c r="X605" i="9"/>
  <c r="X606" i="9"/>
  <c r="X607" i="9"/>
  <c r="X608" i="9"/>
  <c r="X609" i="9"/>
  <c r="X610" i="9"/>
  <c r="X611" i="9"/>
  <c r="X612" i="9"/>
  <c r="X613" i="9"/>
  <c r="X614" i="9"/>
  <c r="X615" i="9"/>
  <c r="X616" i="9"/>
  <c r="X617" i="9"/>
  <c r="X618" i="9"/>
  <c r="X619" i="9"/>
  <c r="X620" i="9"/>
  <c r="X621" i="9"/>
  <c r="X622" i="9"/>
  <c r="X623" i="9"/>
  <c r="X624" i="9"/>
  <c r="X625" i="9"/>
  <c r="X626" i="9"/>
  <c r="X627" i="9"/>
  <c r="X628" i="9"/>
  <c r="X629" i="9"/>
  <c r="X630" i="9"/>
  <c r="X631" i="9"/>
  <c r="X632" i="9"/>
  <c r="X633" i="9"/>
  <c r="X634" i="9"/>
  <c r="X635" i="9"/>
  <c r="X636" i="9"/>
  <c r="X637" i="9"/>
  <c r="X638" i="9"/>
  <c r="X639" i="9"/>
  <c r="X640" i="9"/>
  <c r="X641" i="9"/>
  <c r="X642" i="9"/>
  <c r="X643" i="9"/>
  <c r="X644" i="9"/>
  <c r="X645" i="9"/>
  <c r="X646" i="9"/>
  <c r="X647" i="9"/>
  <c r="X648" i="9"/>
  <c r="X649" i="9"/>
  <c r="X650" i="9"/>
  <c r="X651" i="9"/>
  <c r="X652" i="9"/>
  <c r="X653" i="9"/>
  <c r="X654" i="9"/>
  <c r="X655" i="9"/>
  <c r="X656" i="9"/>
  <c r="X657" i="9"/>
  <c r="X658" i="9"/>
  <c r="X659" i="9"/>
  <c r="X660" i="9"/>
  <c r="X661" i="9"/>
  <c r="X662" i="9"/>
  <c r="X663" i="9"/>
  <c r="X664" i="9"/>
  <c r="X665" i="9"/>
  <c r="X666" i="9"/>
  <c r="X667" i="9"/>
  <c r="X668" i="9"/>
  <c r="X669" i="9"/>
  <c r="X670" i="9"/>
  <c r="X671" i="9"/>
  <c r="X672" i="9"/>
  <c r="X673" i="9"/>
  <c r="X674" i="9"/>
  <c r="X675" i="9"/>
  <c r="X676" i="9"/>
  <c r="X677" i="9"/>
  <c r="X678" i="9"/>
  <c r="X679" i="9"/>
  <c r="X680" i="9"/>
  <c r="X681" i="9"/>
  <c r="X682" i="9"/>
  <c r="X683" i="9"/>
  <c r="X684" i="9"/>
  <c r="X685" i="9"/>
  <c r="X686" i="9"/>
  <c r="X687" i="9"/>
  <c r="X688" i="9"/>
  <c r="X689" i="9"/>
  <c r="X690" i="9"/>
  <c r="X691" i="9"/>
  <c r="X692" i="9"/>
  <c r="X693" i="9"/>
  <c r="X694" i="9"/>
  <c r="X695" i="9"/>
  <c r="X696" i="9"/>
  <c r="X697" i="9"/>
  <c r="X698" i="9"/>
  <c r="X699" i="9"/>
  <c r="X700" i="9"/>
  <c r="X701" i="9"/>
  <c r="X702" i="9"/>
  <c r="X703" i="9"/>
  <c r="X704" i="9"/>
  <c r="X705" i="9"/>
  <c r="X706" i="9"/>
  <c r="X707" i="9"/>
  <c r="X708" i="9"/>
  <c r="X709" i="9"/>
  <c r="X710" i="9"/>
  <c r="X711" i="9"/>
  <c r="X712" i="9"/>
  <c r="X713" i="9"/>
  <c r="X714" i="9"/>
  <c r="X715" i="9"/>
  <c r="X716" i="9"/>
  <c r="X717" i="9"/>
  <c r="X718" i="9"/>
  <c r="X719" i="9"/>
  <c r="X720" i="9"/>
  <c r="X721" i="9"/>
  <c r="X722" i="9"/>
  <c r="X723" i="9"/>
  <c r="X724" i="9"/>
  <c r="X725" i="9"/>
  <c r="X726" i="9"/>
  <c r="X727" i="9"/>
  <c r="X728" i="9"/>
  <c r="X729" i="9"/>
  <c r="X730" i="9"/>
  <c r="X731" i="9"/>
  <c r="X732" i="9"/>
  <c r="X733" i="9"/>
  <c r="X734" i="9"/>
  <c r="X735" i="9"/>
  <c r="X736" i="9"/>
  <c r="X737" i="9"/>
  <c r="X738" i="9"/>
  <c r="X739" i="9"/>
  <c r="X740" i="9"/>
  <c r="X741" i="9"/>
  <c r="X742" i="9"/>
  <c r="X743" i="9"/>
  <c r="X744" i="9"/>
  <c r="X745" i="9"/>
  <c r="X746" i="9"/>
  <c r="X747" i="9"/>
  <c r="X748" i="9"/>
  <c r="X749" i="9"/>
  <c r="X750" i="9"/>
  <c r="X751" i="9"/>
  <c r="X752" i="9"/>
  <c r="X753" i="9"/>
  <c r="X754" i="9"/>
  <c r="X755" i="9"/>
  <c r="X756" i="9"/>
  <c r="X757" i="9"/>
  <c r="X758" i="9"/>
  <c r="X759" i="9"/>
  <c r="X760" i="9"/>
  <c r="X761" i="9"/>
  <c r="X762" i="9"/>
  <c r="X763" i="9"/>
  <c r="X764" i="9"/>
  <c r="X765" i="9"/>
  <c r="X766" i="9"/>
  <c r="X767" i="9"/>
  <c r="X768" i="9"/>
  <c r="X769" i="9"/>
  <c r="X770" i="9"/>
  <c r="X771" i="9"/>
  <c r="X772" i="9"/>
  <c r="X773" i="9"/>
  <c r="X774" i="9"/>
  <c r="X775" i="9"/>
  <c r="X776" i="9"/>
  <c r="X777" i="9"/>
  <c r="X778" i="9"/>
  <c r="X779" i="9"/>
  <c r="X780" i="9"/>
  <c r="X781" i="9"/>
  <c r="X782" i="9"/>
  <c r="X783" i="9"/>
  <c r="X784" i="9"/>
  <c r="X785" i="9"/>
  <c r="X786" i="9"/>
  <c r="X787" i="9"/>
  <c r="X788" i="9"/>
  <c r="X789" i="9"/>
  <c r="X790" i="9"/>
  <c r="X791" i="9"/>
  <c r="X792" i="9"/>
  <c r="X793" i="9"/>
  <c r="X794" i="9"/>
  <c r="X795" i="9"/>
  <c r="X796" i="9"/>
  <c r="X797" i="9"/>
  <c r="X798" i="9"/>
  <c r="X799" i="9"/>
  <c r="X800" i="9"/>
  <c r="X801" i="9"/>
  <c r="X802" i="9"/>
  <c r="X803" i="9"/>
  <c r="X804" i="9"/>
  <c r="X805" i="9"/>
  <c r="X806" i="9"/>
  <c r="X807" i="9"/>
  <c r="X808" i="9"/>
  <c r="X809" i="9"/>
  <c r="X810" i="9"/>
  <c r="X811" i="9"/>
  <c r="X812" i="9"/>
  <c r="X813" i="9"/>
  <c r="X814" i="9"/>
  <c r="X815" i="9"/>
  <c r="X816" i="9"/>
  <c r="X817" i="9"/>
  <c r="X818" i="9"/>
  <c r="X819" i="9"/>
  <c r="X820" i="9"/>
  <c r="X821" i="9"/>
  <c r="X822" i="9"/>
  <c r="X823" i="9"/>
  <c r="X824" i="9"/>
  <c r="X825" i="9"/>
  <c r="X826" i="9"/>
  <c r="X827" i="9"/>
  <c r="X828" i="9"/>
  <c r="X829" i="9"/>
  <c r="X830" i="9"/>
  <c r="X831" i="9"/>
  <c r="X832" i="9"/>
  <c r="X833" i="9"/>
  <c r="X834" i="9"/>
  <c r="X835" i="9"/>
  <c r="X836" i="9"/>
  <c r="X837" i="9"/>
  <c r="X838" i="9"/>
  <c r="X839" i="9"/>
  <c r="X840" i="9"/>
  <c r="X841" i="9"/>
  <c r="X842" i="9"/>
  <c r="X843" i="9"/>
  <c r="X844" i="9"/>
  <c r="X845" i="9"/>
  <c r="X846" i="9"/>
  <c r="X847" i="9"/>
  <c r="X848" i="9"/>
  <c r="X849" i="9"/>
  <c r="X850" i="9"/>
  <c r="X851" i="9"/>
  <c r="X852" i="9"/>
  <c r="X853" i="9"/>
  <c r="X854" i="9"/>
  <c r="X855" i="9"/>
  <c r="X856" i="9"/>
  <c r="X857" i="9"/>
  <c r="X858" i="9"/>
  <c r="X859" i="9"/>
  <c r="X860" i="9"/>
  <c r="X861" i="9"/>
  <c r="X862" i="9"/>
  <c r="X863" i="9"/>
  <c r="X864" i="9"/>
  <c r="X865" i="9"/>
  <c r="X866" i="9"/>
  <c r="X867" i="9"/>
  <c r="X868" i="9"/>
  <c r="X869" i="9"/>
  <c r="X870" i="9"/>
  <c r="X871" i="9"/>
  <c r="X872" i="9"/>
  <c r="X873" i="9"/>
  <c r="X874" i="9"/>
  <c r="X875" i="9"/>
  <c r="X876" i="9"/>
  <c r="X877" i="9"/>
  <c r="X878" i="9"/>
  <c r="X879" i="9"/>
  <c r="X880" i="9"/>
  <c r="X881" i="9"/>
  <c r="X882" i="9"/>
  <c r="X883" i="9"/>
  <c r="X884" i="9"/>
  <c r="X885" i="9"/>
  <c r="X886" i="9"/>
  <c r="X887" i="9"/>
  <c r="X888" i="9"/>
  <c r="X889" i="9"/>
  <c r="X890" i="9"/>
  <c r="X891" i="9"/>
  <c r="X892" i="9"/>
  <c r="X893" i="9"/>
  <c r="X894" i="9"/>
  <c r="X895" i="9"/>
  <c r="X896" i="9"/>
  <c r="X897" i="9"/>
  <c r="X898" i="9"/>
  <c r="X899" i="9"/>
  <c r="X900" i="9"/>
  <c r="X901" i="9"/>
  <c r="X902" i="9"/>
  <c r="X903" i="9"/>
  <c r="X904" i="9"/>
  <c r="X905" i="9"/>
  <c r="X906" i="9"/>
  <c r="X907" i="9"/>
  <c r="X908" i="9"/>
  <c r="X909" i="9"/>
  <c r="X910" i="9"/>
  <c r="X911" i="9"/>
  <c r="X912" i="9"/>
  <c r="X913" i="9"/>
  <c r="X914" i="9"/>
  <c r="X915" i="9"/>
  <c r="X916" i="9"/>
  <c r="X917" i="9"/>
  <c r="X918" i="9"/>
  <c r="X919" i="9"/>
  <c r="X920" i="9"/>
  <c r="X921" i="9"/>
  <c r="X922" i="9"/>
  <c r="X923" i="9"/>
  <c r="X924" i="9"/>
  <c r="X925" i="9"/>
  <c r="X926" i="9"/>
  <c r="X927" i="9"/>
  <c r="X928" i="9"/>
  <c r="X929" i="9"/>
  <c r="X930" i="9"/>
  <c r="X931" i="9"/>
  <c r="X932" i="9"/>
  <c r="X933" i="9"/>
  <c r="X934" i="9"/>
  <c r="X935" i="9"/>
  <c r="X936" i="9"/>
  <c r="X937" i="9"/>
  <c r="X938" i="9"/>
  <c r="X939" i="9"/>
  <c r="X940" i="9"/>
  <c r="X941" i="9"/>
  <c r="X942" i="9"/>
  <c r="X943" i="9"/>
  <c r="X944" i="9"/>
  <c r="X945" i="9"/>
  <c r="X946" i="9"/>
  <c r="X947" i="9"/>
  <c r="X948" i="9"/>
  <c r="X949" i="9"/>
  <c r="X950" i="9"/>
  <c r="X951" i="9"/>
  <c r="X952" i="9"/>
  <c r="X953" i="9"/>
  <c r="X954" i="9"/>
  <c r="X955" i="9"/>
  <c r="X956" i="9"/>
  <c r="X957" i="9"/>
  <c r="X958" i="9"/>
  <c r="X959" i="9"/>
  <c r="X960" i="9"/>
  <c r="X961" i="9"/>
  <c r="X962" i="9"/>
  <c r="X963" i="9"/>
  <c r="X964" i="9"/>
  <c r="X965" i="9"/>
  <c r="X966" i="9"/>
  <c r="X967" i="9"/>
  <c r="X968" i="9"/>
  <c r="X969" i="9"/>
  <c r="X970" i="9"/>
  <c r="X971" i="9"/>
  <c r="X972" i="9"/>
  <c r="X973" i="9"/>
  <c r="X974" i="9"/>
  <c r="X975" i="9"/>
  <c r="X976" i="9"/>
  <c r="X977" i="9"/>
  <c r="X978" i="9"/>
  <c r="X979" i="9"/>
  <c r="X980" i="9"/>
  <c r="X981" i="9"/>
  <c r="X982" i="9"/>
  <c r="X983" i="9"/>
  <c r="X984" i="9"/>
  <c r="X985" i="9"/>
  <c r="X986" i="9"/>
  <c r="X987" i="9"/>
  <c r="X988" i="9"/>
  <c r="X989" i="9"/>
  <c r="X990" i="9"/>
  <c r="X991" i="9"/>
  <c r="X992" i="9"/>
  <c r="X993" i="9"/>
  <c r="X994" i="9"/>
  <c r="X995" i="9"/>
  <c r="X996" i="9"/>
  <c r="X997" i="9"/>
  <c r="X998" i="9"/>
  <c r="X999" i="9"/>
  <c r="X1000" i="9"/>
  <c r="X1001" i="9"/>
  <c r="X1002" i="9"/>
  <c r="X1003" i="9"/>
  <c r="X1004" i="9"/>
  <c r="X1005" i="9"/>
  <c r="X1006" i="9"/>
  <c r="X1007" i="9"/>
  <c r="X1008" i="9"/>
  <c r="X1009" i="9"/>
  <c r="X1010" i="9"/>
  <c r="X1011" i="9"/>
  <c r="X1012" i="9"/>
  <c r="X1013" i="9"/>
  <c r="X1014" i="9"/>
  <c r="X1015" i="9"/>
  <c r="X1016" i="9"/>
  <c r="X1017" i="9"/>
  <c r="X1018" i="9"/>
  <c r="X1019" i="9"/>
  <c r="X1020" i="9"/>
  <c r="X1021" i="9"/>
  <c r="X1022" i="9"/>
  <c r="X1023" i="9"/>
  <c r="X1024" i="9"/>
  <c r="X1025" i="9"/>
  <c r="X1026" i="9"/>
  <c r="X1027" i="9"/>
  <c r="X1028" i="9"/>
  <c r="X1029" i="9"/>
  <c r="X1030" i="9"/>
  <c r="X1031" i="9"/>
  <c r="X1032" i="9"/>
  <c r="X1033" i="9"/>
  <c r="X1034" i="9"/>
  <c r="X1035" i="9"/>
  <c r="X1036" i="9"/>
  <c r="X1037" i="9"/>
  <c r="X1038" i="9"/>
  <c r="X1039" i="9"/>
  <c r="X1040" i="9"/>
  <c r="X1041" i="9"/>
  <c r="X1042" i="9"/>
  <c r="X1043" i="9"/>
  <c r="X1044" i="9"/>
  <c r="X1045" i="9"/>
  <c r="X1046" i="9"/>
  <c r="X1047" i="9"/>
  <c r="X1048" i="9"/>
  <c r="X1049" i="9"/>
  <c r="X1050" i="9"/>
  <c r="X1051" i="9"/>
  <c r="X1052" i="9"/>
  <c r="X1053" i="9"/>
  <c r="X1054" i="9"/>
  <c r="X1055" i="9"/>
  <c r="X1056" i="9"/>
  <c r="X1057" i="9"/>
  <c r="X1058" i="9"/>
  <c r="X1059" i="9"/>
  <c r="X1060" i="9"/>
  <c r="X1061" i="9"/>
  <c r="X1062" i="9"/>
  <c r="X1063" i="9"/>
  <c r="X1064" i="9"/>
  <c r="X1065" i="9"/>
  <c r="X1066" i="9"/>
  <c r="X1067" i="9"/>
  <c r="X1068" i="9"/>
  <c r="X1069" i="9"/>
  <c r="X1070" i="9"/>
  <c r="X1071" i="9"/>
  <c r="X1072" i="9"/>
  <c r="X1073" i="9"/>
  <c r="X1074" i="9"/>
  <c r="X1075" i="9"/>
  <c r="X1076" i="9"/>
  <c r="X1077" i="9"/>
  <c r="X1078" i="9"/>
  <c r="X1079" i="9"/>
  <c r="X1080" i="9"/>
  <c r="X1081" i="9"/>
  <c r="X1082" i="9"/>
  <c r="X1083" i="9"/>
  <c r="X1084" i="9"/>
  <c r="X1085" i="9"/>
  <c r="X1086" i="9"/>
  <c r="X1087" i="9"/>
  <c r="X1088" i="9"/>
  <c r="X1089" i="9"/>
  <c r="X1090" i="9"/>
  <c r="X1091" i="9"/>
  <c r="X1092" i="9"/>
  <c r="X1093" i="9"/>
  <c r="X1094" i="9"/>
  <c r="X1095" i="9"/>
  <c r="X1096" i="9"/>
  <c r="X1097" i="9"/>
  <c r="X1098" i="9"/>
  <c r="X1099" i="9"/>
  <c r="X1100" i="9"/>
  <c r="X1101" i="9"/>
  <c r="X1102" i="9"/>
  <c r="X1103" i="9"/>
  <c r="X1104" i="9"/>
  <c r="X1105" i="9"/>
  <c r="X1106" i="9"/>
  <c r="X1107" i="9"/>
  <c r="X1108" i="9"/>
  <c r="X1109" i="9"/>
  <c r="X1110" i="9"/>
  <c r="X1111" i="9"/>
  <c r="X1112" i="9"/>
  <c r="X1113" i="9"/>
  <c r="X1114" i="9"/>
  <c r="X1115" i="9"/>
  <c r="X1116" i="9"/>
  <c r="X1117" i="9"/>
  <c r="X1118" i="9"/>
  <c r="X1119" i="9"/>
  <c r="X1120" i="9"/>
  <c r="X1121" i="9"/>
  <c r="X1122" i="9"/>
  <c r="X1123" i="9"/>
  <c r="X1124" i="9"/>
  <c r="X1125" i="9"/>
  <c r="X1126" i="9"/>
  <c r="X1127" i="9"/>
  <c r="X1128" i="9"/>
  <c r="X1129" i="9"/>
  <c r="X1130" i="9"/>
  <c r="X1131" i="9"/>
  <c r="X1132" i="9"/>
  <c r="X1133" i="9"/>
  <c r="X1134" i="9"/>
  <c r="X1135" i="9"/>
  <c r="X1136" i="9"/>
  <c r="X1137" i="9"/>
  <c r="X1138" i="9"/>
  <c r="X1139" i="9"/>
  <c r="X1140" i="9"/>
  <c r="X1141" i="9"/>
  <c r="X1142" i="9"/>
  <c r="X1143" i="9"/>
  <c r="X1144" i="9"/>
  <c r="X1145" i="9"/>
  <c r="X1146" i="9"/>
  <c r="X1147" i="9"/>
  <c r="X1148" i="9"/>
  <c r="X1149" i="9"/>
  <c r="X1150" i="9"/>
  <c r="X1151" i="9"/>
  <c r="X1152" i="9"/>
  <c r="X1153" i="9"/>
  <c r="X1154" i="9"/>
  <c r="X1155" i="9"/>
  <c r="X1156" i="9"/>
  <c r="X1157" i="9"/>
  <c r="X1158" i="9"/>
  <c r="X1159" i="9"/>
  <c r="X1160" i="9"/>
  <c r="X1161" i="9"/>
  <c r="X1162" i="9"/>
  <c r="X1163" i="9"/>
  <c r="X1164" i="9"/>
  <c r="X1165" i="9"/>
  <c r="X1166" i="9"/>
  <c r="X1167" i="9"/>
  <c r="X1168" i="9"/>
  <c r="X1169" i="9"/>
  <c r="X1170" i="9"/>
  <c r="X1171" i="9"/>
  <c r="X1172" i="9"/>
  <c r="X1173" i="9"/>
  <c r="X1174" i="9"/>
  <c r="X1175" i="9"/>
  <c r="X1176" i="9"/>
  <c r="X1177" i="9"/>
  <c r="X1178" i="9"/>
  <c r="X1179" i="9"/>
  <c r="X1180" i="9"/>
  <c r="X1181" i="9"/>
  <c r="X1182" i="9"/>
  <c r="X1183" i="9"/>
  <c r="X1184" i="9"/>
  <c r="X1185" i="9"/>
  <c r="X1186" i="9"/>
  <c r="X1187" i="9"/>
  <c r="X1188" i="9"/>
  <c r="X1189" i="9"/>
  <c r="X1190" i="9"/>
  <c r="X1191" i="9"/>
  <c r="X1192" i="9"/>
  <c r="X1193" i="9"/>
  <c r="X1194" i="9"/>
  <c r="X1195" i="9"/>
  <c r="X1196" i="9"/>
  <c r="X1197" i="9"/>
  <c r="X1198" i="9"/>
  <c r="X1199" i="9"/>
  <c r="X1200" i="9"/>
  <c r="X1201" i="9"/>
  <c r="X1202" i="9"/>
  <c r="X1203" i="9"/>
  <c r="X1204" i="9"/>
  <c r="X1205" i="9"/>
  <c r="X1206" i="9"/>
  <c r="X1207" i="9"/>
  <c r="X1208" i="9"/>
  <c r="X1209" i="9"/>
  <c r="X1210" i="9"/>
  <c r="X1211" i="9"/>
  <c r="X1212" i="9"/>
  <c r="X1213" i="9"/>
  <c r="X1214" i="9"/>
  <c r="X1215" i="9"/>
  <c r="X1216" i="9"/>
  <c r="X1217" i="9"/>
  <c r="X1218" i="9"/>
  <c r="X1219" i="9"/>
  <c r="X1220" i="9"/>
  <c r="X1221" i="9"/>
  <c r="X1222" i="9"/>
  <c r="X1223" i="9"/>
  <c r="X1224" i="9"/>
  <c r="X1225" i="9"/>
  <c r="X1226" i="9"/>
  <c r="X1227" i="9"/>
  <c r="X1228" i="9"/>
  <c r="X1229" i="9"/>
  <c r="X1230" i="9"/>
  <c r="X1231" i="9"/>
  <c r="X1232" i="9"/>
  <c r="X1233" i="9"/>
  <c r="X1234" i="9"/>
  <c r="X1235" i="9"/>
  <c r="X1236" i="9"/>
  <c r="X1237" i="9"/>
  <c r="X1238" i="9"/>
  <c r="X1239" i="9"/>
  <c r="X1240" i="9"/>
  <c r="X1241" i="9"/>
  <c r="X1242" i="9"/>
  <c r="X1243" i="9"/>
  <c r="X1244" i="9"/>
  <c r="X1245" i="9"/>
  <c r="X1246" i="9"/>
  <c r="X1247" i="9"/>
  <c r="X1248" i="9"/>
  <c r="X1249" i="9"/>
  <c r="X1250" i="9"/>
  <c r="X1251" i="9"/>
  <c r="X1252" i="9"/>
  <c r="X1253" i="9"/>
  <c r="X1254" i="9"/>
  <c r="X1255" i="9"/>
  <c r="X1256" i="9"/>
  <c r="X1257" i="9"/>
  <c r="X1258" i="9"/>
  <c r="X1259" i="9"/>
  <c r="X1260" i="9"/>
  <c r="X1261" i="9"/>
  <c r="X1262" i="9"/>
  <c r="X1263" i="9"/>
  <c r="X1264" i="9"/>
  <c r="X1265" i="9"/>
  <c r="X1266" i="9"/>
  <c r="X1267" i="9"/>
  <c r="X1268" i="9"/>
  <c r="X1269" i="9"/>
  <c r="X1270" i="9"/>
  <c r="X1271" i="9"/>
  <c r="X1272" i="9"/>
  <c r="X1273" i="9"/>
  <c r="X1274" i="9"/>
  <c r="X1275" i="9"/>
  <c r="X1276" i="9"/>
  <c r="X1277" i="9"/>
  <c r="X1278" i="9"/>
  <c r="X1279" i="9"/>
  <c r="X1280" i="9"/>
  <c r="X1281" i="9"/>
  <c r="X1282" i="9"/>
  <c r="X1283" i="9"/>
  <c r="X1284" i="9"/>
  <c r="X1285" i="9"/>
  <c r="X1286" i="9"/>
  <c r="X1287" i="9"/>
  <c r="X1288" i="9"/>
  <c r="X1289" i="9"/>
  <c r="X1290" i="9"/>
  <c r="X1291" i="9"/>
  <c r="X1292" i="9"/>
  <c r="X1293" i="9"/>
  <c r="X1294" i="9"/>
  <c r="X1295" i="9"/>
  <c r="X1296" i="9"/>
  <c r="X1297" i="9"/>
  <c r="X1298" i="9"/>
  <c r="X1299" i="9"/>
  <c r="X1300" i="9"/>
  <c r="X1301" i="9"/>
  <c r="X1302" i="9"/>
  <c r="X1303" i="9"/>
  <c r="X1304" i="9"/>
  <c r="X1305" i="9"/>
  <c r="X1306" i="9"/>
  <c r="X1307" i="9"/>
  <c r="X1308" i="9"/>
  <c r="X1309" i="9"/>
  <c r="X1310" i="9"/>
  <c r="X1311" i="9"/>
  <c r="X1312" i="9"/>
  <c r="X1313" i="9"/>
  <c r="X1314" i="9"/>
  <c r="X1315" i="9"/>
  <c r="X1316" i="9"/>
  <c r="X1317" i="9"/>
  <c r="X1318" i="9"/>
  <c r="X1319" i="9"/>
  <c r="X1320" i="9"/>
  <c r="X1321" i="9"/>
  <c r="X1322" i="9"/>
  <c r="X1323" i="9"/>
  <c r="X1324" i="9"/>
  <c r="X1325" i="9"/>
  <c r="X1326" i="9"/>
  <c r="X1327" i="9"/>
  <c r="X1328" i="9"/>
  <c r="X1329" i="9"/>
  <c r="X1330" i="9"/>
  <c r="X1331" i="9"/>
  <c r="X1332" i="9"/>
  <c r="X1333" i="9"/>
  <c r="X1334" i="9"/>
  <c r="X1335" i="9"/>
  <c r="X1336" i="9"/>
  <c r="X1337" i="9"/>
  <c r="X1338" i="9"/>
  <c r="X1339" i="9"/>
  <c r="X1340" i="9"/>
  <c r="X1341" i="9"/>
  <c r="X1342" i="9"/>
  <c r="X1343" i="9"/>
  <c r="X1344" i="9"/>
  <c r="X1345" i="9"/>
  <c r="X1346" i="9"/>
  <c r="X1347" i="9"/>
  <c r="X1348" i="9"/>
  <c r="X1349" i="9"/>
  <c r="X1350" i="9"/>
  <c r="X1351" i="9"/>
  <c r="X1352" i="9"/>
  <c r="X1353" i="9"/>
  <c r="X1354" i="9"/>
  <c r="X1355" i="9"/>
  <c r="X1356" i="9"/>
  <c r="X1357" i="9"/>
  <c r="X1358" i="9"/>
  <c r="X1359" i="9"/>
  <c r="X1360" i="9"/>
  <c r="X1361" i="9"/>
  <c r="X1362" i="9"/>
  <c r="X1363" i="9"/>
  <c r="X1364" i="9"/>
  <c r="X1365" i="9"/>
  <c r="X1366" i="9"/>
  <c r="X1367" i="9"/>
  <c r="X1368" i="9"/>
  <c r="X1369" i="9"/>
  <c r="X1370" i="9"/>
  <c r="X1371" i="9"/>
  <c r="X1372" i="9"/>
  <c r="X1373" i="9"/>
  <c r="X1374" i="9"/>
  <c r="X1375" i="9"/>
  <c r="X1376" i="9"/>
  <c r="X1377" i="9"/>
  <c r="X1378" i="9"/>
  <c r="X1379" i="9"/>
  <c r="X1380" i="9"/>
  <c r="X1381" i="9"/>
  <c r="X1382" i="9"/>
  <c r="X1383" i="9"/>
  <c r="X1384" i="9"/>
  <c r="X1385" i="9"/>
  <c r="X1386" i="9"/>
  <c r="X1387" i="9"/>
  <c r="X1388" i="9"/>
  <c r="X1389" i="9"/>
  <c r="X1390" i="9"/>
  <c r="X1391" i="9"/>
  <c r="X1392" i="9"/>
  <c r="X1393" i="9"/>
  <c r="X1394" i="9"/>
  <c r="X1395" i="9"/>
  <c r="X1396" i="9"/>
  <c r="X1397" i="9"/>
  <c r="X1398" i="9"/>
  <c r="X1399" i="9"/>
  <c r="X1400" i="9"/>
  <c r="X1401" i="9"/>
  <c r="X1402" i="9"/>
  <c r="X1403" i="9"/>
  <c r="X1404" i="9"/>
  <c r="X1405" i="9"/>
  <c r="X1406" i="9"/>
  <c r="X1407" i="9"/>
  <c r="X1408" i="9"/>
  <c r="X1409" i="9"/>
  <c r="X1410" i="9"/>
  <c r="X1411" i="9"/>
  <c r="X1412" i="9"/>
  <c r="X1413" i="9"/>
  <c r="X1414" i="9"/>
  <c r="X1415" i="9"/>
  <c r="X1416" i="9"/>
  <c r="X1417" i="9"/>
  <c r="X1418" i="9"/>
  <c r="X1419" i="9"/>
  <c r="X1420" i="9"/>
  <c r="X1421" i="9"/>
  <c r="X1422" i="9"/>
  <c r="X1423" i="9"/>
  <c r="X1424" i="9"/>
  <c r="X1425" i="9"/>
  <c r="X1426" i="9"/>
  <c r="X1427" i="9"/>
  <c r="X1428" i="9"/>
  <c r="X1429" i="9"/>
  <c r="X1430" i="9"/>
  <c r="X1431" i="9"/>
  <c r="X1432" i="9"/>
  <c r="X1433" i="9"/>
  <c r="X1434" i="9"/>
  <c r="X1435" i="9"/>
  <c r="X1436" i="9"/>
  <c r="X1437" i="9"/>
  <c r="X1438" i="9"/>
  <c r="X1439" i="9"/>
  <c r="X1440" i="9"/>
  <c r="X1441" i="9"/>
  <c r="X1442" i="9"/>
  <c r="X1443" i="9"/>
  <c r="X1444" i="9"/>
  <c r="X1445" i="9"/>
  <c r="X1446" i="9"/>
  <c r="X1447" i="9"/>
  <c r="X1448" i="9"/>
  <c r="X1449" i="9"/>
  <c r="X1450" i="9"/>
  <c r="X1451" i="9"/>
  <c r="X1452" i="9"/>
  <c r="X1453" i="9"/>
  <c r="X1454" i="9"/>
  <c r="X1455" i="9"/>
  <c r="X1456" i="9"/>
  <c r="X1457" i="9"/>
  <c r="X1458" i="9"/>
  <c r="X1459" i="9"/>
  <c r="X1460" i="9"/>
  <c r="X1461" i="9"/>
  <c r="X1462" i="9"/>
  <c r="X1463" i="9"/>
  <c r="X1464" i="9"/>
  <c r="X1465" i="9"/>
  <c r="X1466" i="9"/>
  <c r="X1467" i="9"/>
  <c r="X1468" i="9"/>
  <c r="X1469" i="9"/>
  <c r="X1470" i="9"/>
  <c r="X1471" i="9"/>
  <c r="X1472" i="9"/>
  <c r="X1473" i="9"/>
  <c r="X1474" i="9"/>
  <c r="X1475" i="9"/>
  <c r="X1476" i="9"/>
  <c r="X1477" i="9"/>
  <c r="X1478" i="9"/>
  <c r="X1479" i="9"/>
  <c r="X1480" i="9"/>
  <c r="X1481" i="9"/>
  <c r="X1482" i="9"/>
  <c r="X1483" i="9"/>
  <c r="X1484" i="9"/>
  <c r="X1485" i="9"/>
  <c r="X1486" i="9"/>
  <c r="X1487" i="9"/>
  <c r="X1488" i="9"/>
  <c r="X1489" i="9"/>
  <c r="X1490" i="9"/>
  <c r="X1491" i="9"/>
  <c r="X1492" i="9"/>
  <c r="X1493" i="9"/>
  <c r="X1494" i="9"/>
  <c r="X1495" i="9"/>
  <c r="X1496" i="9"/>
  <c r="X1497" i="9"/>
  <c r="X1498" i="9"/>
  <c r="X1499" i="9"/>
  <c r="X1500" i="9"/>
  <c r="X1501" i="9"/>
  <c r="X1502" i="9"/>
  <c r="X1503" i="9"/>
  <c r="X1504" i="9"/>
  <c r="X1505" i="9"/>
  <c r="X1506" i="9"/>
  <c r="X1507" i="9"/>
  <c r="X1508" i="9"/>
  <c r="X1509" i="9"/>
  <c r="X1510" i="9"/>
  <c r="X1511" i="9"/>
  <c r="X1512" i="9"/>
  <c r="X1513" i="9"/>
  <c r="X1514" i="9"/>
  <c r="X1515" i="9"/>
  <c r="X1516" i="9"/>
  <c r="X1517" i="9"/>
  <c r="X1518" i="9"/>
  <c r="X1519" i="9"/>
  <c r="X1520" i="9"/>
  <c r="X1521" i="9"/>
  <c r="X1522" i="9"/>
  <c r="X1523" i="9"/>
  <c r="X1524" i="9"/>
  <c r="X1525" i="9"/>
  <c r="X1526" i="9"/>
  <c r="X1527" i="9"/>
  <c r="X1528" i="9"/>
  <c r="X1529" i="9"/>
  <c r="X1530" i="9"/>
  <c r="X1531" i="9"/>
  <c r="X1532" i="9"/>
  <c r="X1533" i="9"/>
  <c r="X1534" i="9"/>
  <c r="X1535" i="9"/>
  <c r="X1536" i="9"/>
  <c r="X1537" i="9"/>
  <c r="X1538" i="9"/>
  <c r="X1539" i="9"/>
  <c r="X1540" i="9"/>
  <c r="X1541" i="9"/>
  <c r="X1542" i="9"/>
  <c r="X1543" i="9"/>
  <c r="X1544" i="9"/>
  <c r="Y9" i="9"/>
  <c r="Y10" i="9"/>
  <c r="Y11" i="9"/>
  <c r="Y12" i="9"/>
  <c r="Y13" i="9"/>
  <c r="Y14" i="9"/>
  <c r="Y15" i="9"/>
  <c r="Y16" i="9"/>
  <c r="Y17" i="9"/>
  <c r="Y18" i="9"/>
  <c r="Y19" i="9"/>
  <c r="Y20" i="9"/>
  <c r="Y21" i="9"/>
  <c r="Y22" i="9"/>
  <c r="Y23" i="9"/>
  <c r="Y24" i="9"/>
  <c r="Y25" i="9"/>
  <c r="Y26" i="9"/>
  <c r="Y27" i="9"/>
  <c r="Y28" i="9"/>
  <c r="Y29" i="9"/>
  <c r="Y30" i="9"/>
  <c r="Y31" i="9"/>
  <c r="Y32" i="9"/>
  <c r="Y33" i="9"/>
  <c r="Y34" i="9"/>
  <c r="Y35" i="9"/>
  <c r="Y36" i="9"/>
  <c r="Y37" i="9"/>
  <c r="Y38" i="9"/>
  <c r="Y39" i="9"/>
  <c r="Y40" i="9"/>
  <c r="Y41" i="9"/>
  <c r="Y42" i="9"/>
  <c r="Y43" i="9"/>
  <c r="Y44" i="9"/>
  <c r="Y45" i="9"/>
  <c r="Y46" i="9"/>
  <c r="Y47" i="9"/>
  <c r="Y48" i="9"/>
  <c r="Y49" i="9"/>
  <c r="Y50" i="9"/>
  <c r="Y51" i="9"/>
  <c r="Y52" i="9"/>
  <c r="Y53" i="9"/>
  <c r="Y54" i="9"/>
  <c r="Y55" i="9"/>
  <c r="Y56" i="9"/>
  <c r="Y57" i="9"/>
  <c r="Y58" i="9"/>
  <c r="Y59" i="9"/>
  <c r="Y60" i="9"/>
  <c r="Y61" i="9"/>
  <c r="Y62" i="9"/>
  <c r="Y63" i="9"/>
  <c r="Y64" i="9"/>
  <c r="Y65" i="9"/>
  <c r="Y66" i="9"/>
  <c r="Y67" i="9"/>
  <c r="Y68" i="9"/>
  <c r="Y69" i="9"/>
  <c r="Y70" i="9"/>
  <c r="Y71" i="9"/>
  <c r="Y72" i="9"/>
  <c r="Y73" i="9"/>
  <c r="Y74" i="9"/>
  <c r="Y75" i="9"/>
  <c r="Y76" i="9"/>
  <c r="Y77" i="9"/>
  <c r="Y78" i="9"/>
  <c r="Y79" i="9"/>
  <c r="Y80" i="9"/>
  <c r="Y81" i="9"/>
  <c r="Y82" i="9"/>
  <c r="Y83" i="9"/>
  <c r="Y84" i="9"/>
  <c r="Y85" i="9"/>
  <c r="Y86" i="9"/>
  <c r="Y87" i="9"/>
  <c r="Y88" i="9"/>
  <c r="Y89" i="9"/>
  <c r="Y90" i="9"/>
  <c r="Y91" i="9"/>
  <c r="Y92" i="9"/>
  <c r="Y93" i="9"/>
  <c r="Y94" i="9"/>
  <c r="Y95" i="9"/>
  <c r="Y96" i="9"/>
  <c r="Y97" i="9"/>
  <c r="Y98" i="9"/>
  <c r="Y99" i="9"/>
  <c r="Y100" i="9"/>
  <c r="Y101" i="9"/>
  <c r="Y102" i="9"/>
  <c r="Y103" i="9"/>
  <c r="Y104" i="9"/>
  <c r="Y105" i="9"/>
  <c r="Y106" i="9"/>
  <c r="Y107" i="9"/>
  <c r="Y108" i="9"/>
  <c r="Y109" i="9"/>
  <c r="Y110" i="9"/>
  <c r="Y111" i="9"/>
  <c r="Y112" i="9"/>
  <c r="Y113" i="9"/>
  <c r="Y114" i="9"/>
  <c r="Y115" i="9"/>
  <c r="Y116" i="9"/>
  <c r="Y117" i="9"/>
  <c r="Y118" i="9"/>
  <c r="Y119" i="9"/>
  <c r="Y120" i="9"/>
  <c r="Y121" i="9"/>
  <c r="Y122" i="9"/>
  <c r="Y123" i="9"/>
  <c r="Y124" i="9"/>
  <c r="Y125" i="9"/>
  <c r="Y126" i="9"/>
  <c r="Y127" i="9"/>
  <c r="Y128" i="9"/>
  <c r="Y129" i="9"/>
  <c r="Y130" i="9"/>
  <c r="Y131" i="9"/>
  <c r="Y132" i="9"/>
  <c r="Y133" i="9"/>
  <c r="Y134" i="9"/>
  <c r="Y135" i="9"/>
  <c r="Y136" i="9"/>
  <c r="Y137" i="9"/>
  <c r="Y138" i="9"/>
  <c r="Y139" i="9"/>
  <c r="Y140" i="9"/>
  <c r="Y141" i="9"/>
  <c r="Y142" i="9"/>
  <c r="Y143" i="9"/>
  <c r="Y144" i="9"/>
  <c r="Y145" i="9"/>
  <c r="Y146" i="9"/>
  <c r="Y147" i="9"/>
  <c r="Y148" i="9"/>
  <c r="Y149" i="9"/>
  <c r="Y150" i="9"/>
  <c r="Y151" i="9"/>
  <c r="Y152" i="9"/>
  <c r="Y153" i="9"/>
  <c r="Y154" i="9"/>
  <c r="Y155" i="9"/>
  <c r="Y156" i="9"/>
  <c r="Y157" i="9"/>
  <c r="Y158" i="9"/>
  <c r="Y159" i="9"/>
  <c r="Y160" i="9"/>
  <c r="Y161" i="9"/>
  <c r="Y162" i="9"/>
  <c r="Y163" i="9"/>
  <c r="Y164" i="9"/>
  <c r="Y165" i="9"/>
  <c r="Y166" i="9"/>
  <c r="Y167" i="9"/>
  <c r="Y168" i="9"/>
  <c r="Y169" i="9"/>
  <c r="Y170" i="9"/>
  <c r="Y171" i="9"/>
  <c r="Y172" i="9"/>
  <c r="Y173" i="9"/>
  <c r="Y174" i="9"/>
  <c r="Y175" i="9"/>
  <c r="Y176" i="9"/>
  <c r="Y177" i="9"/>
  <c r="Y178" i="9"/>
  <c r="Y179" i="9"/>
  <c r="Y180" i="9"/>
  <c r="Y181" i="9"/>
  <c r="Y182" i="9"/>
  <c r="Y183" i="9"/>
  <c r="Y184" i="9"/>
  <c r="Y185" i="9"/>
  <c r="Y186" i="9"/>
  <c r="Y187" i="9"/>
  <c r="Y188" i="9"/>
  <c r="Y189" i="9"/>
  <c r="Y190" i="9"/>
  <c r="Y191" i="9"/>
  <c r="Y192" i="9"/>
  <c r="Y193" i="9"/>
  <c r="Y194" i="9"/>
  <c r="Y195" i="9"/>
  <c r="Y196" i="9"/>
  <c r="Y197" i="9"/>
  <c r="Y198" i="9"/>
  <c r="Y199" i="9"/>
  <c r="Y200" i="9"/>
  <c r="Y201" i="9"/>
  <c r="Y202" i="9"/>
  <c r="Y203" i="9"/>
  <c r="Y204" i="9"/>
  <c r="Y205" i="9"/>
  <c r="Y206" i="9"/>
  <c r="Y207" i="9"/>
  <c r="Y208" i="9"/>
  <c r="Y209" i="9"/>
  <c r="Y210" i="9"/>
  <c r="Y211" i="9"/>
  <c r="Y212" i="9"/>
  <c r="Y213" i="9"/>
  <c r="Y214" i="9"/>
  <c r="Y215" i="9"/>
  <c r="Y216" i="9"/>
  <c r="Y217" i="9"/>
  <c r="Y218" i="9"/>
  <c r="Y219" i="9"/>
  <c r="Y220" i="9"/>
  <c r="Y221" i="9"/>
  <c r="Y222" i="9"/>
  <c r="Y223" i="9"/>
  <c r="Y224" i="9"/>
  <c r="Y225" i="9"/>
  <c r="Y226" i="9"/>
  <c r="Y227" i="9"/>
  <c r="Y228" i="9"/>
  <c r="Y229" i="9"/>
  <c r="Y230" i="9"/>
  <c r="Y231" i="9"/>
  <c r="Y232" i="9"/>
  <c r="Y233" i="9"/>
  <c r="Y234" i="9"/>
  <c r="Y235" i="9"/>
  <c r="Y236" i="9"/>
  <c r="Y237" i="9"/>
  <c r="Y238" i="9"/>
  <c r="Y239" i="9"/>
  <c r="Y240" i="9"/>
  <c r="Y241" i="9"/>
  <c r="Y242" i="9"/>
  <c r="Y243" i="9"/>
  <c r="Y244" i="9"/>
  <c r="Y245" i="9"/>
  <c r="Y246" i="9"/>
  <c r="Y247" i="9"/>
  <c r="Y248" i="9"/>
  <c r="Y249" i="9"/>
  <c r="Y250" i="9"/>
  <c r="Y251" i="9"/>
  <c r="Y252" i="9"/>
  <c r="Y253" i="9"/>
  <c r="Y254" i="9"/>
  <c r="Y255" i="9"/>
  <c r="Y256" i="9"/>
  <c r="Y257" i="9"/>
  <c r="Y258" i="9"/>
  <c r="Y259" i="9"/>
  <c r="Y260" i="9"/>
  <c r="Y261" i="9"/>
  <c r="Y262" i="9"/>
  <c r="Y263" i="9"/>
  <c r="Y264" i="9"/>
  <c r="Y265" i="9"/>
  <c r="Y266" i="9"/>
  <c r="Y267" i="9"/>
  <c r="Y268" i="9"/>
  <c r="Y269" i="9"/>
  <c r="Y270" i="9"/>
  <c r="Y271" i="9"/>
  <c r="Y272" i="9"/>
  <c r="Y273" i="9"/>
  <c r="Y274" i="9"/>
  <c r="Y275" i="9"/>
  <c r="Y276" i="9"/>
  <c r="Y277" i="9"/>
  <c r="Y278" i="9"/>
  <c r="Y279" i="9"/>
  <c r="Y280" i="9"/>
  <c r="Y281" i="9"/>
  <c r="Y282" i="9"/>
  <c r="Y283" i="9"/>
  <c r="Y284" i="9"/>
  <c r="Y285" i="9"/>
  <c r="Y286" i="9"/>
  <c r="Y287" i="9"/>
  <c r="Y288" i="9"/>
  <c r="Y289" i="9"/>
  <c r="Y290" i="9"/>
  <c r="Y291" i="9"/>
  <c r="Y292" i="9"/>
  <c r="Y293" i="9"/>
  <c r="Y294" i="9"/>
  <c r="Y295" i="9"/>
  <c r="Y296" i="9"/>
  <c r="Y297" i="9"/>
  <c r="Y298" i="9"/>
  <c r="Y299" i="9"/>
  <c r="Y300" i="9"/>
  <c r="Y301" i="9"/>
  <c r="Y302" i="9"/>
  <c r="Y303" i="9"/>
  <c r="Y304" i="9"/>
  <c r="Y305" i="9"/>
  <c r="Y306" i="9"/>
  <c r="Y307" i="9"/>
  <c r="Y308" i="9"/>
  <c r="Y309" i="9"/>
  <c r="Y310" i="9"/>
  <c r="Y311" i="9"/>
  <c r="Y312" i="9"/>
  <c r="Y313" i="9"/>
  <c r="Y314" i="9"/>
  <c r="Y315" i="9"/>
  <c r="Y316" i="9"/>
  <c r="Y317" i="9"/>
  <c r="Y318" i="9"/>
  <c r="Y319" i="9"/>
  <c r="Y320" i="9"/>
  <c r="Y321" i="9"/>
  <c r="Y322" i="9"/>
  <c r="Y323" i="9"/>
  <c r="Y324" i="9"/>
  <c r="Y325" i="9"/>
  <c r="Y326" i="9"/>
  <c r="Y327" i="9"/>
  <c r="Y328" i="9"/>
  <c r="Y329" i="9"/>
  <c r="Y330" i="9"/>
  <c r="Y331" i="9"/>
  <c r="Y332" i="9"/>
  <c r="Y333" i="9"/>
  <c r="Y334" i="9"/>
  <c r="Y335" i="9"/>
  <c r="Y336" i="9"/>
  <c r="Y337" i="9"/>
  <c r="Y338" i="9"/>
  <c r="Y339" i="9"/>
  <c r="Y340" i="9"/>
  <c r="Y341" i="9"/>
  <c r="Y342" i="9"/>
  <c r="Y343" i="9"/>
  <c r="Y344" i="9"/>
  <c r="Y345" i="9"/>
  <c r="Y346" i="9"/>
  <c r="Y347" i="9"/>
  <c r="Y348" i="9"/>
  <c r="Y349" i="9"/>
  <c r="Y350" i="9"/>
  <c r="Y351" i="9"/>
  <c r="Y352" i="9"/>
  <c r="Y353" i="9"/>
  <c r="Y354" i="9"/>
  <c r="Y355" i="9"/>
  <c r="Y356" i="9"/>
  <c r="Y357" i="9"/>
  <c r="Y358" i="9"/>
  <c r="Y359" i="9"/>
  <c r="Y360" i="9"/>
  <c r="Y361" i="9"/>
  <c r="Y362" i="9"/>
  <c r="Y363" i="9"/>
  <c r="Y364" i="9"/>
  <c r="Y365" i="9"/>
  <c r="Y366" i="9"/>
  <c r="Y367" i="9"/>
  <c r="Y368" i="9"/>
  <c r="Y369" i="9"/>
  <c r="Y370" i="9"/>
  <c r="Y371" i="9"/>
  <c r="Y372" i="9"/>
  <c r="Y373" i="9"/>
  <c r="Y374" i="9"/>
  <c r="Y375" i="9"/>
  <c r="Y376" i="9"/>
  <c r="Y377" i="9"/>
  <c r="Y378" i="9"/>
  <c r="Y379" i="9"/>
  <c r="Y380" i="9"/>
  <c r="Y381" i="9"/>
  <c r="Y382" i="9"/>
  <c r="Y383" i="9"/>
  <c r="Y384" i="9"/>
  <c r="Y385" i="9"/>
  <c r="Y386" i="9"/>
  <c r="Y387" i="9"/>
  <c r="Y388" i="9"/>
  <c r="Y389" i="9"/>
  <c r="Y390" i="9"/>
  <c r="Y391" i="9"/>
  <c r="Y392" i="9"/>
  <c r="Y393" i="9"/>
  <c r="Y394" i="9"/>
  <c r="Y395" i="9"/>
  <c r="Y396" i="9"/>
  <c r="Y397" i="9"/>
  <c r="Y398" i="9"/>
  <c r="Y399" i="9"/>
  <c r="Y400" i="9"/>
  <c r="Y401" i="9"/>
  <c r="Y402" i="9"/>
  <c r="Y403" i="9"/>
  <c r="Y404" i="9"/>
  <c r="Y405" i="9"/>
  <c r="Y406" i="9"/>
  <c r="Y407" i="9"/>
  <c r="Y408" i="9"/>
  <c r="Y409" i="9"/>
  <c r="Y410" i="9"/>
  <c r="Y411" i="9"/>
  <c r="Y412" i="9"/>
  <c r="Y413" i="9"/>
  <c r="Y414" i="9"/>
  <c r="Y415" i="9"/>
  <c r="Y416" i="9"/>
  <c r="Y417" i="9"/>
  <c r="Y418" i="9"/>
  <c r="Y419" i="9"/>
  <c r="Y420" i="9"/>
  <c r="Y421" i="9"/>
  <c r="Y422" i="9"/>
  <c r="Y423" i="9"/>
  <c r="Y424" i="9"/>
  <c r="Y425" i="9"/>
  <c r="Y426" i="9"/>
  <c r="Y427" i="9"/>
  <c r="Y428" i="9"/>
  <c r="Y429" i="9"/>
  <c r="Y430" i="9"/>
  <c r="Y431" i="9"/>
  <c r="Y432" i="9"/>
  <c r="Y433" i="9"/>
  <c r="Y434" i="9"/>
  <c r="Y435" i="9"/>
  <c r="Y436" i="9"/>
  <c r="Y437" i="9"/>
  <c r="Y438" i="9"/>
  <c r="Y439" i="9"/>
  <c r="Y440" i="9"/>
  <c r="Y441" i="9"/>
  <c r="Y442" i="9"/>
  <c r="Y443" i="9"/>
  <c r="Y444" i="9"/>
  <c r="Y445" i="9"/>
  <c r="Y446" i="9"/>
  <c r="Y447" i="9"/>
  <c r="Y448" i="9"/>
  <c r="Y449" i="9"/>
  <c r="Y450" i="9"/>
  <c r="Y451" i="9"/>
  <c r="Y452" i="9"/>
  <c r="Y453" i="9"/>
  <c r="Y454" i="9"/>
  <c r="Y455" i="9"/>
  <c r="Y456" i="9"/>
  <c r="Y457" i="9"/>
  <c r="Y458" i="9"/>
  <c r="Y459" i="9"/>
  <c r="Y460" i="9"/>
  <c r="Y461" i="9"/>
  <c r="Y462" i="9"/>
  <c r="Y463" i="9"/>
  <c r="Y464" i="9"/>
  <c r="Y465" i="9"/>
  <c r="Y466" i="9"/>
  <c r="Y467" i="9"/>
  <c r="Y468" i="9"/>
  <c r="Y469" i="9"/>
  <c r="Y470" i="9"/>
  <c r="Y471" i="9"/>
  <c r="Y472" i="9"/>
  <c r="Y473" i="9"/>
  <c r="Y474" i="9"/>
  <c r="Y475" i="9"/>
  <c r="Y476" i="9"/>
  <c r="Y477" i="9"/>
  <c r="Y478" i="9"/>
  <c r="Y479" i="9"/>
  <c r="Y480" i="9"/>
  <c r="Y481" i="9"/>
  <c r="Y482" i="9"/>
  <c r="Y483" i="9"/>
  <c r="Y484" i="9"/>
  <c r="Y485" i="9"/>
  <c r="Y486" i="9"/>
  <c r="Y487" i="9"/>
  <c r="Y488" i="9"/>
  <c r="Y489" i="9"/>
  <c r="Y490" i="9"/>
  <c r="Y491" i="9"/>
  <c r="Y492" i="9"/>
  <c r="Y493" i="9"/>
  <c r="Y494" i="9"/>
  <c r="Y495" i="9"/>
  <c r="Y496" i="9"/>
  <c r="Y497" i="9"/>
  <c r="Y498" i="9"/>
  <c r="Y499" i="9"/>
  <c r="Y500" i="9"/>
  <c r="Y501" i="9"/>
  <c r="Y502" i="9"/>
  <c r="Y503" i="9"/>
  <c r="Y504" i="9"/>
  <c r="Y505" i="9"/>
  <c r="Y506" i="9"/>
  <c r="Y507" i="9"/>
  <c r="Y508" i="9"/>
  <c r="Y509" i="9"/>
  <c r="Y510" i="9"/>
  <c r="Y511" i="9"/>
  <c r="Y512" i="9"/>
  <c r="Y513" i="9"/>
  <c r="Y514" i="9"/>
  <c r="Y515" i="9"/>
  <c r="Y516" i="9"/>
  <c r="Y517" i="9"/>
  <c r="Y518" i="9"/>
  <c r="Y519" i="9"/>
  <c r="Y520" i="9"/>
  <c r="Y521" i="9"/>
  <c r="Y522" i="9"/>
  <c r="Y523" i="9"/>
  <c r="Y524" i="9"/>
  <c r="Y525" i="9"/>
  <c r="Y526" i="9"/>
  <c r="Y527" i="9"/>
  <c r="Y528" i="9"/>
  <c r="Y529" i="9"/>
  <c r="Y530" i="9"/>
  <c r="Y531" i="9"/>
  <c r="Y532" i="9"/>
  <c r="Y533" i="9"/>
  <c r="Y534" i="9"/>
  <c r="Y535" i="9"/>
  <c r="Y536" i="9"/>
  <c r="Y537" i="9"/>
  <c r="Y538" i="9"/>
  <c r="Y539" i="9"/>
  <c r="Y540" i="9"/>
  <c r="Y541" i="9"/>
  <c r="Y542" i="9"/>
  <c r="Y543" i="9"/>
  <c r="Y544" i="9"/>
  <c r="Y545" i="9"/>
  <c r="Y546" i="9"/>
  <c r="Y547" i="9"/>
  <c r="Y548" i="9"/>
  <c r="Y549" i="9"/>
  <c r="Y550" i="9"/>
  <c r="Y551" i="9"/>
  <c r="Y552" i="9"/>
  <c r="Y553" i="9"/>
  <c r="Y554" i="9"/>
  <c r="Y555" i="9"/>
  <c r="Y556" i="9"/>
  <c r="Y557" i="9"/>
  <c r="Y558" i="9"/>
  <c r="Y559" i="9"/>
  <c r="Y560" i="9"/>
  <c r="Y561" i="9"/>
  <c r="Y562" i="9"/>
  <c r="Y563" i="9"/>
  <c r="Y564" i="9"/>
  <c r="Y565" i="9"/>
  <c r="Y566" i="9"/>
  <c r="Y567" i="9"/>
  <c r="Y568" i="9"/>
  <c r="Y569" i="9"/>
  <c r="Y570" i="9"/>
  <c r="Y571" i="9"/>
  <c r="Y572" i="9"/>
  <c r="Y573" i="9"/>
  <c r="Y574" i="9"/>
  <c r="Y575" i="9"/>
  <c r="Y576" i="9"/>
  <c r="Y577" i="9"/>
  <c r="Y578" i="9"/>
  <c r="Y579" i="9"/>
  <c r="Y580" i="9"/>
  <c r="Y581" i="9"/>
  <c r="Y582" i="9"/>
  <c r="Y583" i="9"/>
  <c r="Y584" i="9"/>
  <c r="Y585" i="9"/>
  <c r="Y586" i="9"/>
  <c r="Y587" i="9"/>
  <c r="Y588" i="9"/>
  <c r="Y589" i="9"/>
  <c r="Y590" i="9"/>
  <c r="Y591" i="9"/>
  <c r="Y592" i="9"/>
  <c r="Y593" i="9"/>
  <c r="Y594" i="9"/>
  <c r="Y595" i="9"/>
  <c r="Y596" i="9"/>
  <c r="Y597" i="9"/>
  <c r="Y598" i="9"/>
  <c r="Y599" i="9"/>
  <c r="Y600" i="9"/>
  <c r="Y601" i="9"/>
  <c r="Y602" i="9"/>
  <c r="Y603" i="9"/>
  <c r="Y604" i="9"/>
  <c r="Y605" i="9"/>
  <c r="Y606" i="9"/>
  <c r="Y607" i="9"/>
  <c r="Y608" i="9"/>
  <c r="Y609" i="9"/>
  <c r="Y610" i="9"/>
  <c r="Y611" i="9"/>
  <c r="Y612" i="9"/>
  <c r="Y613" i="9"/>
  <c r="Y614" i="9"/>
  <c r="Y615" i="9"/>
  <c r="Y616" i="9"/>
  <c r="Y617" i="9"/>
  <c r="Y618" i="9"/>
  <c r="Y619" i="9"/>
  <c r="Y620" i="9"/>
  <c r="Y621" i="9"/>
  <c r="Y622" i="9"/>
  <c r="Y623" i="9"/>
  <c r="Y624" i="9"/>
  <c r="Y625" i="9"/>
  <c r="Y626" i="9"/>
  <c r="Y627" i="9"/>
  <c r="Y628" i="9"/>
  <c r="Y629" i="9"/>
  <c r="Y630" i="9"/>
  <c r="Y631" i="9"/>
  <c r="Y632" i="9"/>
  <c r="Y633" i="9"/>
  <c r="Y634" i="9"/>
  <c r="Y635" i="9"/>
  <c r="Y636" i="9"/>
  <c r="Y637" i="9"/>
  <c r="Y638" i="9"/>
  <c r="Y639" i="9"/>
  <c r="Y640" i="9"/>
  <c r="Y641" i="9"/>
  <c r="Y642" i="9"/>
  <c r="Y643" i="9"/>
  <c r="Y644" i="9"/>
  <c r="Y645" i="9"/>
  <c r="Y646" i="9"/>
  <c r="Y647" i="9"/>
  <c r="Y648" i="9"/>
  <c r="Y649" i="9"/>
  <c r="Y650" i="9"/>
  <c r="Y651" i="9"/>
  <c r="Y652" i="9"/>
  <c r="Y653" i="9"/>
  <c r="Y654" i="9"/>
  <c r="Y655" i="9"/>
  <c r="Y656" i="9"/>
  <c r="Y657" i="9"/>
  <c r="Y658" i="9"/>
  <c r="Y659" i="9"/>
  <c r="Y660" i="9"/>
  <c r="Y661" i="9"/>
  <c r="Y662" i="9"/>
  <c r="Y663" i="9"/>
  <c r="Y664" i="9"/>
  <c r="Y665" i="9"/>
  <c r="Y666" i="9"/>
  <c r="Y667" i="9"/>
  <c r="Y668" i="9"/>
  <c r="Y669" i="9"/>
  <c r="Y670" i="9"/>
  <c r="Y671" i="9"/>
  <c r="Y672" i="9"/>
  <c r="Y673" i="9"/>
  <c r="Y674" i="9"/>
  <c r="Y675" i="9"/>
  <c r="Y676" i="9"/>
  <c r="Y677" i="9"/>
  <c r="Y678" i="9"/>
  <c r="Y679" i="9"/>
  <c r="Y680" i="9"/>
  <c r="Y681" i="9"/>
  <c r="Y682" i="9"/>
  <c r="Y683" i="9"/>
  <c r="Y684" i="9"/>
  <c r="Y685" i="9"/>
  <c r="Y686" i="9"/>
  <c r="Y687" i="9"/>
  <c r="Y688" i="9"/>
  <c r="Y689" i="9"/>
  <c r="Y690" i="9"/>
  <c r="Y691" i="9"/>
  <c r="Y692" i="9"/>
  <c r="Y693" i="9"/>
  <c r="Y694" i="9"/>
  <c r="Y695" i="9"/>
  <c r="Y696" i="9"/>
  <c r="Y697" i="9"/>
  <c r="Y698" i="9"/>
  <c r="Y699" i="9"/>
  <c r="Y700" i="9"/>
  <c r="Y701" i="9"/>
  <c r="Y702" i="9"/>
  <c r="Y703" i="9"/>
  <c r="Y704" i="9"/>
  <c r="Y705" i="9"/>
  <c r="Y706" i="9"/>
  <c r="Y707" i="9"/>
  <c r="Y708" i="9"/>
  <c r="Y709" i="9"/>
  <c r="Y710" i="9"/>
  <c r="Y711" i="9"/>
  <c r="Y712" i="9"/>
  <c r="Y713" i="9"/>
  <c r="Y714" i="9"/>
  <c r="Y715" i="9"/>
  <c r="Y716" i="9"/>
  <c r="Y717" i="9"/>
  <c r="Y718" i="9"/>
  <c r="Y719" i="9"/>
  <c r="Y720" i="9"/>
  <c r="Y721" i="9"/>
  <c r="Y722" i="9"/>
  <c r="Y723" i="9"/>
  <c r="Y724" i="9"/>
  <c r="Y725" i="9"/>
  <c r="Y726" i="9"/>
  <c r="Y727" i="9"/>
  <c r="Y728" i="9"/>
  <c r="Y729" i="9"/>
  <c r="Y730" i="9"/>
  <c r="Y731" i="9"/>
  <c r="Y732" i="9"/>
  <c r="Y733" i="9"/>
  <c r="Y734" i="9"/>
  <c r="Y735" i="9"/>
  <c r="Y736" i="9"/>
  <c r="Y737" i="9"/>
  <c r="Y738" i="9"/>
  <c r="Y739" i="9"/>
  <c r="Y740" i="9"/>
  <c r="Y741" i="9"/>
  <c r="Y742" i="9"/>
  <c r="Y743" i="9"/>
  <c r="Y744" i="9"/>
  <c r="Y745" i="9"/>
  <c r="Y746" i="9"/>
  <c r="Y747" i="9"/>
  <c r="Y748" i="9"/>
  <c r="Y749" i="9"/>
  <c r="Y750" i="9"/>
  <c r="Y751" i="9"/>
  <c r="Y752" i="9"/>
  <c r="Y753" i="9"/>
  <c r="Y754" i="9"/>
  <c r="Y755" i="9"/>
  <c r="Y756" i="9"/>
  <c r="Y757" i="9"/>
  <c r="Y758" i="9"/>
  <c r="Y759" i="9"/>
  <c r="Y760" i="9"/>
  <c r="Y761" i="9"/>
  <c r="Y762" i="9"/>
  <c r="Y763" i="9"/>
  <c r="Y764" i="9"/>
  <c r="Y765" i="9"/>
  <c r="Y766" i="9"/>
  <c r="Y767" i="9"/>
  <c r="Y768" i="9"/>
  <c r="Y769" i="9"/>
  <c r="Y770" i="9"/>
  <c r="Y771" i="9"/>
  <c r="Y772" i="9"/>
  <c r="Y773" i="9"/>
  <c r="Y774" i="9"/>
  <c r="Y775" i="9"/>
  <c r="Y776" i="9"/>
  <c r="Y777" i="9"/>
  <c r="Y778" i="9"/>
  <c r="Y779" i="9"/>
  <c r="Y780" i="9"/>
  <c r="Y781" i="9"/>
  <c r="Y782" i="9"/>
  <c r="Y783" i="9"/>
  <c r="Y784" i="9"/>
  <c r="Y785" i="9"/>
  <c r="Y786" i="9"/>
  <c r="Y787" i="9"/>
  <c r="Y788" i="9"/>
  <c r="Y789" i="9"/>
  <c r="Y790" i="9"/>
  <c r="Y791" i="9"/>
  <c r="Y792" i="9"/>
  <c r="Y793" i="9"/>
  <c r="Y794" i="9"/>
  <c r="Y795" i="9"/>
  <c r="Y796" i="9"/>
  <c r="Y797" i="9"/>
  <c r="Y798" i="9"/>
  <c r="Y799" i="9"/>
  <c r="Y800" i="9"/>
  <c r="Y801" i="9"/>
  <c r="Y802" i="9"/>
  <c r="Y803" i="9"/>
  <c r="Y804" i="9"/>
  <c r="Y805" i="9"/>
  <c r="Y806" i="9"/>
  <c r="Y807" i="9"/>
  <c r="Y808" i="9"/>
  <c r="Y809" i="9"/>
  <c r="Y810" i="9"/>
  <c r="Y811" i="9"/>
  <c r="Y812" i="9"/>
  <c r="Y813" i="9"/>
  <c r="Y814" i="9"/>
  <c r="Y815" i="9"/>
  <c r="Y816" i="9"/>
  <c r="Y817" i="9"/>
  <c r="Y818" i="9"/>
  <c r="Y819" i="9"/>
  <c r="Y820" i="9"/>
  <c r="Y821" i="9"/>
  <c r="Y822" i="9"/>
  <c r="Y823" i="9"/>
  <c r="Y824" i="9"/>
  <c r="Y825" i="9"/>
  <c r="Y826" i="9"/>
  <c r="Y827" i="9"/>
  <c r="Y828" i="9"/>
  <c r="Y829" i="9"/>
  <c r="Y830" i="9"/>
  <c r="Y831" i="9"/>
  <c r="Y832" i="9"/>
  <c r="Y833" i="9"/>
  <c r="Y834" i="9"/>
  <c r="Y835" i="9"/>
  <c r="Y836" i="9"/>
  <c r="Y837" i="9"/>
  <c r="Y838" i="9"/>
  <c r="Y839" i="9"/>
  <c r="Y840" i="9"/>
  <c r="Y841" i="9"/>
  <c r="Y842" i="9"/>
  <c r="Y843" i="9"/>
  <c r="Y844" i="9"/>
  <c r="Y845" i="9"/>
  <c r="Y846" i="9"/>
  <c r="Y847" i="9"/>
  <c r="Y848" i="9"/>
  <c r="Y849" i="9"/>
  <c r="Y850" i="9"/>
  <c r="Y851" i="9"/>
  <c r="Y852" i="9"/>
  <c r="Y853" i="9"/>
  <c r="Y854" i="9"/>
  <c r="Y855" i="9"/>
  <c r="Y856" i="9"/>
  <c r="Y857" i="9"/>
  <c r="Y858" i="9"/>
  <c r="Y859" i="9"/>
  <c r="Y860" i="9"/>
  <c r="Y861" i="9"/>
  <c r="Y862" i="9"/>
  <c r="Y863" i="9"/>
  <c r="Y864" i="9"/>
  <c r="Y865" i="9"/>
  <c r="Y866" i="9"/>
  <c r="Y867" i="9"/>
  <c r="Y868" i="9"/>
  <c r="Y869" i="9"/>
  <c r="Y870" i="9"/>
  <c r="Y871" i="9"/>
  <c r="Y872" i="9"/>
  <c r="Y873" i="9"/>
  <c r="Y874" i="9"/>
  <c r="Y875" i="9"/>
  <c r="Y876" i="9"/>
  <c r="Y877" i="9"/>
  <c r="Y878" i="9"/>
  <c r="Y879" i="9"/>
  <c r="Y880" i="9"/>
  <c r="Y881" i="9"/>
  <c r="Y882" i="9"/>
  <c r="Y883" i="9"/>
  <c r="Y884" i="9"/>
  <c r="Y885" i="9"/>
  <c r="Y886" i="9"/>
  <c r="Y887" i="9"/>
  <c r="Y888" i="9"/>
  <c r="Y889" i="9"/>
  <c r="Y890" i="9"/>
  <c r="Y891" i="9"/>
  <c r="Y892" i="9"/>
  <c r="Y893" i="9"/>
  <c r="Y894" i="9"/>
  <c r="Y895" i="9"/>
  <c r="Y896" i="9"/>
  <c r="Y897" i="9"/>
  <c r="Y898" i="9"/>
  <c r="Y899" i="9"/>
  <c r="Y900" i="9"/>
  <c r="Y901" i="9"/>
  <c r="Y902" i="9"/>
  <c r="Y903" i="9"/>
  <c r="Y904" i="9"/>
  <c r="Y905" i="9"/>
  <c r="Y906" i="9"/>
  <c r="Y907" i="9"/>
  <c r="Y908" i="9"/>
  <c r="Y909" i="9"/>
  <c r="Y910" i="9"/>
  <c r="Y911" i="9"/>
  <c r="Y912" i="9"/>
  <c r="Y913" i="9"/>
  <c r="Y914" i="9"/>
  <c r="Y915" i="9"/>
  <c r="Y916" i="9"/>
  <c r="Y917" i="9"/>
  <c r="Y918" i="9"/>
  <c r="Y919" i="9"/>
  <c r="Y920" i="9"/>
  <c r="Y921" i="9"/>
  <c r="Y922" i="9"/>
  <c r="Y923" i="9"/>
  <c r="Y924" i="9"/>
  <c r="Y925" i="9"/>
  <c r="Y926" i="9"/>
  <c r="Y927" i="9"/>
  <c r="Y928" i="9"/>
  <c r="Y929" i="9"/>
  <c r="Y930" i="9"/>
  <c r="Y931" i="9"/>
  <c r="Y932" i="9"/>
  <c r="Y933" i="9"/>
  <c r="Y934" i="9"/>
  <c r="Y935" i="9"/>
  <c r="Y936" i="9"/>
  <c r="Y937" i="9"/>
  <c r="Y938" i="9"/>
  <c r="Y939" i="9"/>
  <c r="Y940" i="9"/>
  <c r="Y941" i="9"/>
  <c r="Y942" i="9"/>
  <c r="Y943" i="9"/>
  <c r="Y944" i="9"/>
  <c r="Y945" i="9"/>
  <c r="Y946" i="9"/>
  <c r="Y947" i="9"/>
  <c r="Y948" i="9"/>
  <c r="Y949" i="9"/>
  <c r="Y950" i="9"/>
  <c r="Y951" i="9"/>
  <c r="Y952" i="9"/>
  <c r="Y953" i="9"/>
  <c r="Y954" i="9"/>
  <c r="Y955" i="9"/>
  <c r="Y956" i="9"/>
  <c r="Y957" i="9"/>
  <c r="Y958" i="9"/>
  <c r="Y959" i="9"/>
  <c r="Y960" i="9"/>
  <c r="Y961" i="9"/>
  <c r="Y962" i="9"/>
  <c r="Y963" i="9"/>
  <c r="Y964" i="9"/>
  <c r="Y965" i="9"/>
  <c r="Y966" i="9"/>
  <c r="Y967" i="9"/>
  <c r="Y968" i="9"/>
  <c r="Y969" i="9"/>
  <c r="Y970" i="9"/>
  <c r="Y971" i="9"/>
  <c r="Y972" i="9"/>
  <c r="Y973" i="9"/>
  <c r="Y974" i="9"/>
  <c r="Y975" i="9"/>
  <c r="Y976" i="9"/>
  <c r="Y977" i="9"/>
  <c r="Y978" i="9"/>
  <c r="Y979" i="9"/>
  <c r="Y980" i="9"/>
  <c r="Y981" i="9"/>
  <c r="Y982" i="9"/>
  <c r="Y983" i="9"/>
  <c r="Y984" i="9"/>
  <c r="Y985" i="9"/>
  <c r="Y986" i="9"/>
  <c r="Y987" i="9"/>
  <c r="Y988" i="9"/>
  <c r="Y989" i="9"/>
  <c r="Y990" i="9"/>
  <c r="Y991" i="9"/>
  <c r="Y992" i="9"/>
  <c r="Y993" i="9"/>
  <c r="Y994" i="9"/>
  <c r="Y995" i="9"/>
  <c r="Y996" i="9"/>
  <c r="Y997" i="9"/>
  <c r="Y998" i="9"/>
  <c r="Y999" i="9"/>
  <c r="Y1000" i="9"/>
  <c r="Y1001" i="9"/>
  <c r="Y1002" i="9"/>
  <c r="Y1003" i="9"/>
  <c r="Y1004" i="9"/>
  <c r="Y1005" i="9"/>
  <c r="Y1006" i="9"/>
  <c r="Y1007" i="9"/>
  <c r="Y1008" i="9"/>
  <c r="Y1009" i="9"/>
  <c r="Y1010" i="9"/>
  <c r="Y1011" i="9"/>
  <c r="Y1012" i="9"/>
  <c r="Y1013" i="9"/>
  <c r="Y1014" i="9"/>
  <c r="Y1015" i="9"/>
  <c r="Y1016" i="9"/>
  <c r="Y1017" i="9"/>
  <c r="Y1018" i="9"/>
  <c r="Y1019" i="9"/>
  <c r="Y1020" i="9"/>
  <c r="Y1021" i="9"/>
  <c r="Y1022" i="9"/>
  <c r="Y1023" i="9"/>
  <c r="Y1024" i="9"/>
  <c r="Y1025" i="9"/>
  <c r="Y1026" i="9"/>
  <c r="Y1027" i="9"/>
  <c r="Y1028" i="9"/>
  <c r="Y1029" i="9"/>
  <c r="Y1030" i="9"/>
  <c r="Y1031" i="9"/>
  <c r="Y1032" i="9"/>
  <c r="Y1033" i="9"/>
  <c r="Y1034" i="9"/>
  <c r="Y1035" i="9"/>
  <c r="Y1036" i="9"/>
  <c r="Y1037" i="9"/>
  <c r="Y1038" i="9"/>
  <c r="Y1039" i="9"/>
  <c r="Y1040" i="9"/>
  <c r="Y1041" i="9"/>
  <c r="Y1042" i="9"/>
  <c r="Y1043" i="9"/>
  <c r="Y1044" i="9"/>
  <c r="Y1045" i="9"/>
  <c r="Y1046" i="9"/>
  <c r="Y1047" i="9"/>
  <c r="Y1048" i="9"/>
  <c r="Y1049" i="9"/>
  <c r="Y1050" i="9"/>
  <c r="Y1051" i="9"/>
  <c r="Y1052" i="9"/>
  <c r="Y1053" i="9"/>
  <c r="Y1054" i="9"/>
  <c r="Y1055" i="9"/>
  <c r="Y1056" i="9"/>
  <c r="Y1057" i="9"/>
  <c r="Y1058" i="9"/>
  <c r="Y1059" i="9"/>
  <c r="Y1060" i="9"/>
  <c r="Y1061" i="9"/>
  <c r="Y1062" i="9"/>
  <c r="Y1063" i="9"/>
  <c r="Y1064" i="9"/>
  <c r="Y1065" i="9"/>
  <c r="Y1066" i="9"/>
  <c r="Y1067" i="9"/>
  <c r="Y1068" i="9"/>
  <c r="Y1069" i="9"/>
  <c r="Y1070" i="9"/>
  <c r="Y1071" i="9"/>
  <c r="Y1072" i="9"/>
  <c r="Y1073" i="9"/>
  <c r="Y1074" i="9"/>
  <c r="Y1075" i="9"/>
  <c r="Y1076" i="9"/>
  <c r="Y1077" i="9"/>
  <c r="Y1078" i="9"/>
  <c r="Y1079" i="9"/>
  <c r="Y1080" i="9"/>
  <c r="Y1081" i="9"/>
  <c r="Y1082" i="9"/>
  <c r="Y1083" i="9"/>
  <c r="Y1084" i="9"/>
  <c r="Y1085" i="9"/>
  <c r="Y1086" i="9"/>
  <c r="Y1087" i="9"/>
  <c r="Y1088" i="9"/>
  <c r="Y1089" i="9"/>
  <c r="Y1090" i="9"/>
  <c r="Y1091" i="9"/>
  <c r="Y1092" i="9"/>
  <c r="Y1093" i="9"/>
  <c r="Y1094" i="9"/>
  <c r="Y1095" i="9"/>
  <c r="Y1096" i="9"/>
  <c r="Y1097" i="9"/>
  <c r="Y1098" i="9"/>
  <c r="Y1099" i="9"/>
  <c r="Y1100" i="9"/>
  <c r="Y1101" i="9"/>
  <c r="Y1102" i="9"/>
  <c r="Y1103" i="9"/>
  <c r="Y1104" i="9"/>
  <c r="Y1105" i="9"/>
  <c r="Y1106" i="9"/>
  <c r="Y1107" i="9"/>
  <c r="Y1108" i="9"/>
  <c r="Y1109" i="9"/>
  <c r="Y1110" i="9"/>
  <c r="Y1111" i="9"/>
  <c r="Y1112" i="9"/>
  <c r="Y1113" i="9"/>
  <c r="Y1114" i="9"/>
  <c r="Y1115" i="9"/>
  <c r="Y1116" i="9"/>
  <c r="Y1117" i="9"/>
  <c r="Y1118" i="9"/>
  <c r="Y1119" i="9"/>
  <c r="Y1120" i="9"/>
  <c r="Y1121" i="9"/>
  <c r="Y1122" i="9"/>
  <c r="Y1123" i="9"/>
  <c r="Y1124" i="9"/>
  <c r="Y1125" i="9"/>
  <c r="Y1126" i="9"/>
  <c r="Y1127" i="9"/>
  <c r="Y1128" i="9"/>
  <c r="Y1129" i="9"/>
  <c r="Y1130" i="9"/>
  <c r="Y1131" i="9"/>
  <c r="Y1132" i="9"/>
  <c r="Y1133" i="9"/>
  <c r="Y1134" i="9"/>
  <c r="Y1135" i="9"/>
  <c r="Y1136" i="9"/>
  <c r="Y1137" i="9"/>
  <c r="Y1138" i="9"/>
  <c r="Y1139" i="9"/>
  <c r="Y1140" i="9"/>
  <c r="Y1141" i="9"/>
  <c r="Y1142" i="9"/>
  <c r="Y1143" i="9"/>
  <c r="Y1144" i="9"/>
  <c r="Y1145" i="9"/>
  <c r="Y1146" i="9"/>
  <c r="Y1147" i="9"/>
  <c r="Y1148" i="9"/>
  <c r="Y1149" i="9"/>
  <c r="Y1150" i="9"/>
  <c r="Y1151" i="9"/>
  <c r="Y1152" i="9"/>
  <c r="Y1153" i="9"/>
  <c r="Y1154" i="9"/>
  <c r="Y1155" i="9"/>
  <c r="Y1156" i="9"/>
  <c r="Y1157" i="9"/>
  <c r="Y1158" i="9"/>
  <c r="Y1159" i="9"/>
  <c r="Y1160" i="9"/>
  <c r="Y1161" i="9"/>
  <c r="Y1162" i="9"/>
  <c r="Y1163" i="9"/>
  <c r="Y1164" i="9"/>
  <c r="Y1165" i="9"/>
  <c r="Y1166" i="9"/>
  <c r="Y1167" i="9"/>
  <c r="Y1168" i="9"/>
  <c r="Y1169" i="9"/>
  <c r="Y1170" i="9"/>
  <c r="Y1171" i="9"/>
  <c r="Y1172" i="9"/>
  <c r="Y1173" i="9"/>
  <c r="Y1174" i="9"/>
  <c r="Y1175" i="9"/>
  <c r="Y1176" i="9"/>
  <c r="Y1177" i="9"/>
  <c r="Y1178" i="9"/>
  <c r="Y1179" i="9"/>
  <c r="Y1180" i="9"/>
  <c r="Y1181" i="9"/>
  <c r="Y1182" i="9"/>
  <c r="Y1183" i="9"/>
  <c r="Y1184" i="9"/>
  <c r="Y1185" i="9"/>
  <c r="Y1186" i="9"/>
  <c r="Y1187" i="9"/>
  <c r="Y1188" i="9"/>
  <c r="Y1189" i="9"/>
  <c r="Y1190" i="9"/>
  <c r="Y1191" i="9"/>
  <c r="Y1192" i="9"/>
  <c r="Y1193" i="9"/>
  <c r="Y1194" i="9"/>
  <c r="Y1195" i="9"/>
  <c r="Y1196" i="9"/>
  <c r="Y1197" i="9"/>
  <c r="Y1198" i="9"/>
  <c r="Y1199" i="9"/>
  <c r="Y1200" i="9"/>
  <c r="Y1201" i="9"/>
  <c r="Y1202" i="9"/>
  <c r="Y1203" i="9"/>
  <c r="Y1204" i="9"/>
  <c r="Y1205" i="9"/>
  <c r="Y1206" i="9"/>
  <c r="Y1207" i="9"/>
  <c r="Y1208" i="9"/>
  <c r="Y1209" i="9"/>
  <c r="Y1210" i="9"/>
  <c r="Y1211" i="9"/>
  <c r="Y1212" i="9"/>
  <c r="Y1213" i="9"/>
  <c r="Y1214" i="9"/>
  <c r="Y1215" i="9"/>
  <c r="Y1216" i="9"/>
  <c r="Y1217" i="9"/>
  <c r="Y1218" i="9"/>
  <c r="Y1219" i="9"/>
  <c r="Y1220" i="9"/>
  <c r="Y1221" i="9"/>
  <c r="Y1222" i="9"/>
  <c r="Y1223" i="9"/>
  <c r="Y1224" i="9"/>
  <c r="Y1225" i="9"/>
  <c r="Y1226" i="9"/>
  <c r="Y1227" i="9"/>
  <c r="Y1228" i="9"/>
  <c r="Y1229" i="9"/>
  <c r="Y1230" i="9"/>
  <c r="Y1231" i="9"/>
  <c r="Y1232" i="9"/>
  <c r="Y1233" i="9"/>
  <c r="Y1234" i="9"/>
  <c r="Y1235" i="9"/>
  <c r="Y1236" i="9"/>
  <c r="Y1237" i="9"/>
  <c r="Y1238" i="9"/>
  <c r="Y1239" i="9"/>
  <c r="Y1240" i="9"/>
  <c r="Y1241" i="9"/>
  <c r="Y1242" i="9"/>
  <c r="Y1243" i="9"/>
  <c r="Y1244" i="9"/>
  <c r="Y1245" i="9"/>
  <c r="Y1246" i="9"/>
  <c r="Y1247" i="9"/>
  <c r="Y1248" i="9"/>
  <c r="Y1249" i="9"/>
  <c r="Y1250" i="9"/>
  <c r="Y1251" i="9"/>
  <c r="Y1252" i="9"/>
  <c r="Y1253" i="9"/>
  <c r="Y1254" i="9"/>
  <c r="Y1255" i="9"/>
  <c r="Y1256" i="9"/>
  <c r="Y1257" i="9"/>
  <c r="Y1258" i="9"/>
  <c r="Y1259" i="9"/>
  <c r="Y1260" i="9"/>
  <c r="Y1261" i="9"/>
  <c r="Y1262" i="9"/>
  <c r="Y1263" i="9"/>
  <c r="Y1264" i="9"/>
  <c r="Y1265" i="9"/>
  <c r="Y1266" i="9"/>
  <c r="Y1267" i="9"/>
  <c r="Y1268" i="9"/>
  <c r="Y1269" i="9"/>
  <c r="Y1270" i="9"/>
  <c r="Y1271" i="9"/>
  <c r="Y1272" i="9"/>
  <c r="Y1273" i="9"/>
  <c r="Y1274" i="9"/>
  <c r="Y1275" i="9"/>
  <c r="Y1276" i="9"/>
  <c r="Y1277" i="9"/>
  <c r="Y1278" i="9"/>
  <c r="Y1279" i="9"/>
  <c r="Y1280" i="9"/>
  <c r="Y1281" i="9"/>
  <c r="Y1282" i="9"/>
  <c r="Y1283" i="9"/>
  <c r="Y1284" i="9"/>
  <c r="Y1285" i="9"/>
  <c r="Y1286" i="9"/>
  <c r="Y1287" i="9"/>
  <c r="Y1288" i="9"/>
  <c r="Y1289" i="9"/>
  <c r="Y1290" i="9"/>
  <c r="Y1291" i="9"/>
  <c r="Y1292" i="9"/>
  <c r="Y1293" i="9"/>
  <c r="Y1294" i="9"/>
  <c r="Y1295" i="9"/>
  <c r="Y1296" i="9"/>
  <c r="Y1297" i="9"/>
  <c r="Y1298" i="9"/>
  <c r="Y1299" i="9"/>
  <c r="Y1300" i="9"/>
  <c r="Y1301" i="9"/>
  <c r="Y1302" i="9"/>
  <c r="Y1303" i="9"/>
  <c r="Y1304" i="9"/>
  <c r="Y1305" i="9"/>
  <c r="Y1306" i="9"/>
  <c r="Y1307" i="9"/>
  <c r="Y1308" i="9"/>
  <c r="Y1309" i="9"/>
  <c r="Y1310" i="9"/>
  <c r="Y1311" i="9"/>
  <c r="Y1312" i="9"/>
  <c r="Y1313" i="9"/>
  <c r="Y1314" i="9"/>
  <c r="Y1315" i="9"/>
  <c r="Y1316" i="9"/>
  <c r="Y1317" i="9"/>
  <c r="Y1318" i="9"/>
  <c r="Y1319" i="9"/>
  <c r="Y1320" i="9"/>
  <c r="Y1321" i="9"/>
  <c r="Y1322" i="9"/>
  <c r="Y1323" i="9"/>
  <c r="Y1324" i="9"/>
  <c r="Y1325" i="9"/>
  <c r="Y1326" i="9"/>
  <c r="Y1327" i="9"/>
  <c r="Y1328" i="9"/>
  <c r="Y1329" i="9"/>
  <c r="Y1330" i="9"/>
  <c r="Y1331" i="9"/>
  <c r="Y1332" i="9"/>
  <c r="Y1333" i="9"/>
  <c r="Y1334" i="9"/>
  <c r="Y1335" i="9"/>
  <c r="Y1336" i="9"/>
  <c r="Y1337" i="9"/>
  <c r="Y1338" i="9"/>
  <c r="Y1339" i="9"/>
  <c r="Y1340" i="9"/>
  <c r="Y1341" i="9"/>
  <c r="Y1342" i="9"/>
  <c r="Y1343" i="9"/>
  <c r="Y1344" i="9"/>
  <c r="Y1345" i="9"/>
  <c r="Y1346" i="9"/>
  <c r="Y1347" i="9"/>
  <c r="Y1348" i="9"/>
  <c r="Y1349" i="9"/>
  <c r="Y1350" i="9"/>
  <c r="Y1351" i="9"/>
  <c r="Y1352" i="9"/>
  <c r="Y1353" i="9"/>
  <c r="Y1354" i="9"/>
  <c r="Y1355" i="9"/>
  <c r="Y1356" i="9"/>
  <c r="Y1357" i="9"/>
  <c r="Y1358" i="9"/>
  <c r="Y1359" i="9"/>
  <c r="Y1360" i="9"/>
  <c r="Y1361" i="9"/>
  <c r="Y1362" i="9"/>
  <c r="Y1363" i="9"/>
  <c r="Y1364" i="9"/>
  <c r="Y1365" i="9"/>
  <c r="Y1366" i="9"/>
  <c r="Y1367" i="9"/>
  <c r="Y1368" i="9"/>
  <c r="Y1369" i="9"/>
  <c r="Y1370" i="9"/>
  <c r="Y1371" i="9"/>
  <c r="Y1372" i="9"/>
  <c r="Y1373" i="9"/>
  <c r="Y1374" i="9"/>
  <c r="Y1375" i="9"/>
  <c r="Y1376" i="9"/>
  <c r="Y1377" i="9"/>
  <c r="Y1378" i="9"/>
  <c r="Y1379" i="9"/>
  <c r="Y1380" i="9"/>
  <c r="Y1381" i="9"/>
  <c r="Y1382" i="9"/>
  <c r="Y1383" i="9"/>
  <c r="Y1384" i="9"/>
  <c r="Y1385" i="9"/>
  <c r="Y1386" i="9"/>
  <c r="Y1387" i="9"/>
  <c r="Y1388" i="9"/>
  <c r="Y1389" i="9"/>
  <c r="Y1390" i="9"/>
  <c r="Y1391" i="9"/>
  <c r="Y1392" i="9"/>
  <c r="Y1393" i="9"/>
  <c r="Y1394" i="9"/>
  <c r="Y1395" i="9"/>
  <c r="Y1396" i="9"/>
  <c r="Y1397" i="9"/>
  <c r="Y1398" i="9"/>
  <c r="Y1399" i="9"/>
  <c r="Y1400" i="9"/>
  <c r="Y1401" i="9"/>
  <c r="Y1402" i="9"/>
  <c r="Y1403" i="9"/>
  <c r="Y1404" i="9"/>
  <c r="Y1405" i="9"/>
  <c r="Y1406" i="9"/>
  <c r="Y1407" i="9"/>
  <c r="Y1408" i="9"/>
  <c r="Y1409" i="9"/>
  <c r="Y1410" i="9"/>
  <c r="Y1411" i="9"/>
  <c r="Y1412" i="9"/>
  <c r="Y1413" i="9"/>
  <c r="Y1414" i="9"/>
  <c r="Y1415" i="9"/>
  <c r="Y1416" i="9"/>
  <c r="Y1417" i="9"/>
  <c r="Y1418" i="9"/>
  <c r="Y1419" i="9"/>
  <c r="Y1420" i="9"/>
  <c r="Y1421" i="9"/>
  <c r="Y1422" i="9"/>
  <c r="Y1423" i="9"/>
  <c r="Y1424" i="9"/>
  <c r="Y1425" i="9"/>
  <c r="Y1426" i="9"/>
  <c r="Y1427" i="9"/>
  <c r="Y1428" i="9"/>
  <c r="Y1429" i="9"/>
  <c r="Y1430" i="9"/>
  <c r="Y1431" i="9"/>
  <c r="Y1432" i="9"/>
  <c r="Y1433" i="9"/>
  <c r="Y1434" i="9"/>
  <c r="Y1435" i="9"/>
  <c r="Y1436" i="9"/>
  <c r="Y1437" i="9"/>
  <c r="Y1438" i="9"/>
  <c r="Y1439" i="9"/>
  <c r="Y1440" i="9"/>
  <c r="Y1441" i="9"/>
  <c r="Y1442" i="9"/>
  <c r="Y1443" i="9"/>
  <c r="Y1444" i="9"/>
  <c r="Y1445" i="9"/>
  <c r="Y1446" i="9"/>
  <c r="Y1447" i="9"/>
  <c r="Y1448" i="9"/>
  <c r="Y1449" i="9"/>
  <c r="Y1450" i="9"/>
  <c r="Y1451" i="9"/>
  <c r="Y1452" i="9"/>
  <c r="Y1453" i="9"/>
  <c r="Y1454" i="9"/>
  <c r="Y1455" i="9"/>
  <c r="Y1456" i="9"/>
  <c r="Y1457" i="9"/>
  <c r="Y1458" i="9"/>
  <c r="Y1459" i="9"/>
  <c r="Y1460" i="9"/>
  <c r="Y1461" i="9"/>
  <c r="Y1462" i="9"/>
  <c r="Y1463" i="9"/>
  <c r="Y1464" i="9"/>
  <c r="Y1465" i="9"/>
  <c r="Y1466" i="9"/>
  <c r="Y1467" i="9"/>
  <c r="Y1468" i="9"/>
  <c r="Y1469" i="9"/>
  <c r="Y1470" i="9"/>
  <c r="Y1471" i="9"/>
  <c r="Y1472" i="9"/>
  <c r="Y1473" i="9"/>
  <c r="Y1474" i="9"/>
  <c r="Y1475" i="9"/>
  <c r="Y1476" i="9"/>
  <c r="Y1477" i="9"/>
  <c r="Y1478" i="9"/>
  <c r="Y1479" i="9"/>
  <c r="Y1480" i="9"/>
  <c r="Y1481" i="9"/>
  <c r="Y1482" i="9"/>
  <c r="Y1483" i="9"/>
  <c r="Y1484" i="9"/>
  <c r="Y1485" i="9"/>
  <c r="Y1486" i="9"/>
  <c r="Y1487" i="9"/>
  <c r="Y1488" i="9"/>
  <c r="Y1489" i="9"/>
  <c r="Y1490" i="9"/>
  <c r="Y1491" i="9"/>
  <c r="Y1492" i="9"/>
  <c r="Y1493" i="9"/>
  <c r="Y1494" i="9"/>
  <c r="Y1495" i="9"/>
  <c r="Y1496" i="9"/>
  <c r="Y1497" i="9"/>
  <c r="Y1498" i="9"/>
  <c r="Y1499" i="9"/>
  <c r="Y1500" i="9"/>
  <c r="Y1501" i="9"/>
  <c r="Y1502" i="9"/>
  <c r="Y1503" i="9"/>
  <c r="Y1504" i="9"/>
  <c r="Y1505" i="9"/>
  <c r="Y1506" i="9"/>
  <c r="Y1507" i="9"/>
  <c r="Y1508" i="9"/>
  <c r="Y1509" i="9"/>
  <c r="Y1510" i="9"/>
  <c r="Y1511" i="9"/>
  <c r="Y1512" i="9"/>
  <c r="Y1513" i="9"/>
  <c r="Y1514" i="9"/>
  <c r="Y1515" i="9"/>
  <c r="Y1516" i="9"/>
  <c r="Y1517" i="9"/>
  <c r="Y1518" i="9"/>
  <c r="Y1519" i="9"/>
  <c r="Y1520" i="9"/>
  <c r="Y1521" i="9"/>
  <c r="Y1522" i="9"/>
  <c r="Y1523" i="9"/>
  <c r="Y1524" i="9"/>
  <c r="Y1525" i="9"/>
  <c r="Y1526" i="9"/>
  <c r="Y1527" i="9"/>
  <c r="Y1528" i="9"/>
  <c r="Y1529" i="9"/>
  <c r="Y1530" i="9"/>
  <c r="Y1531" i="9"/>
  <c r="Y1532" i="9"/>
  <c r="Y1533" i="9"/>
  <c r="Y1534" i="9"/>
  <c r="Y1535" i="9"/>
  <c r="Y1536" i="9"/>
  <c r="Y1537" i="9"/>
  <c r="Y1538" i="9"/>
  <c r="Y1539" i="9"/>
  <c r="Y1540" i="9"/>
  <c r="Y1541" i="9"/>
  <c r="Y1542" i="9"/>
  <c r="Y1543" i="9"/>
  <c r="Y1544" i="9"/>
  <c r="Z9" i="9"/>
  <c r="Z10" i="9"/>
  <c r="Z11" i="9"/>
  <c r="Z12" i="9"/>
  <c r="Z13" i="9"/>
  <c r="Z14" i="9"/>
  <c r="Z15" i="9"/>
  <c r="Z16" i="9"/>
  <c r="Z17" i="9"/>
  <c r="Z18" i="9"/>
  <c r="Z19" i="9"/>
  <c r="Z20" i="9"/>
  <c r="Z21" i="9"/>
  <c r="Z22" i="9"/>
  <c r="Z23" i="9"/>
  <c r="Z24" i="9"/>
  <c r="Z25" i="9"/>
  <c r="Z26" i="9"/>
  <c r="Z27" i="9"/>
  <c r="Z28" i="9"/>
  <c r="Z29" i="9"/>
  <c r="Z30" i="9"/>
  <c r="Z31" i="9"/>
  <c r="Z32" i="9"/>
  <c r="Z33" i="9"/>
  <c r="Z34" i="9"/>
  <c r="Z35" i="9"/>
  <c r="Z36" i="9"/>
  <c r="Z37" i="9"/>
  <c r="Z38" i="9"/>
  <c r="Z39" i="9"/>
  <c r="Z40" i="9"/>
  <c r="Z41" i="9"/>
  <c r="Z42" i="9"/>
  <c r="Z43" i="9"/>
  <c r="Z44" i="9"/>
  <c r="Z45" i="9"/>
  <c r="Z46" i="9"/>
  <c r="Z47" i="9"/>
  <c r="Z48" i="9"/>
  <c r="Z49" i="9"/>
  <c r="Z50" i="9"/>
  <c r="Z51" i="9"/>
  <c r="Z52" i="9"/>
  <c r="Z53" i="9"/>
  <c r="Z54" i="9"/>
  <c r="Z55" i="9"/>
  <c r="Z56" i="9"/>
  <c r="Z57" i="9"/>
  <c r="Z58" i="9"/>
  <c r="Z59" i="9"/>
  <c r="Z60" i="9"/>
  <c r="Z61" i="9"/>
  <c r="Z62" i="9"/>
  <c r="Z63" i="9"/>
  <c r="Z64" i="9"/>
  <c r="Z65" i="9"/>
  <c r="Z66" i="9"/>
  <c r="Z67" i="9"/>
  <c r="Z68" i="9"/>
  <c r="Z69" i="9"/>
  <c r="Z70" i="9"/>
  <c r="Z71" i="9"/>
  <c r="Z72" i="9"/>
  <c r="Z73" i="9"/>
  <c r="Z74" i="9"/>
  <c r="Z75" i="9"/>
  <c r="Z76" i="9"/>
  <c r="Z77" i="9"/>
  <c r="Z78" i="9"/>
  <c r="Z79" i="9"/>
  <c r="Z80" i="9"/>
  <c r="Z81" i="9"/>
  <c r="Z82" i="9"/>
  <c r="Z83" i="9"/>
  <c r="Z84" i="9"/>
  <c r="Z85" i="9"/>
  <c r="Z86" i="9"/>
  <c r="Z87" i="9"/>
  <c r="Z88" i="9"/>
  <c r="Z89" i="9"/>
  <c r="Z90" i="9"/>
  <c r="Z91" i="9"/>
  <c r="Z92" i="9"/>
  <c r="Z93" i="9"/>
  <c r="Z94" i="9"/>
  <c r="Z95" i="9"/>
  <c r="Z96" i="9"/>
  <c r="Z97" i="9"/>
  <c r="Z98" i="9"/>
  <c r="Z99" i="9"/>
  <c r="Z100" i="9"/>
  <c r="Z101" i="9"/>
  <c r="Z102" i="9"/>
  <c r="Z103" i="9"/>
  <c r="Z104" i="9"/>
  <c r="Z105" i="9"/>
  <c r="Z106" i="9"/>
  <c r="Z107" i="9"/>
  <c r="Z108" i="9"/>
  <c r="Z109" i="9"/>
  <c r="Z110" i="9"/>
  <c r="Z111" i="9"/>
  <c r="Z112" i="9"/>
  <c r="Z113" i="9"/>
  <c r="Z114" i="9"/>
  <c r="Z115" i="9"/>
  <c r="Z116" i="9"/>
  <c r="Z117" i="9"/>
  <c r="Z118" i="9"/>
  <c r="Z119" i="9"/>
  <c r="Z120" i="9"/>
  <c r="Z121" i="9"/>
  <c r="Z122" i="9"/>
  <c r="Z123" i="9"/>
  <c r="Z124" i="9"/>
  <c r="Z125" i="9"/>
  <c r="Z126" i="9"/>
  <c r="Z127" i="9"/>
  <c r="Z128" i="9"/>
  <c r="Z129" i="9"/>
  <c r="Z130" i="9"/>
  <c r="Z131" i="9"/>
  <c r="Z132" i="9"/>
  <c r="Z133" i="9"/>
  <c r="Z134" i="9"/>
  <c r="Z135" i="9"/>
  <c r="Z136" i="9"/>
  <c r="Z137" i="9"/>
  <c r="Z138" i="9"/>
  <c r="Z139" i="9"/>
  <c r="Z140" i="9"/>
  <c r="Z141" i="9"/>
  <c r="Z142" i="9"/>
  <c r="Z143" i="9"/>
  <c r="Z144" i="9"/>
  <c r="Z145" i="9"/>
  <c r="Z146" i="9"/>
  <c r="Z147" i="9"/>
  <c r="Z148" i="9"/>
  <c r="Z149" i="9"/>
  <c r="Z150" i="9"/>
  <c r="Z151" i="9"/>
  <c r="Z152" i="9"/>
  <c r="Z153" i="9"/>
  <c r="Z154" i="9"/>
  <c r="Z155" i="9"/>
  <c r="Z156" i="9"/>
  <c r="Z157" i="9"/>
  <c r="Z158" i="9"/>
  <c r="Z159" i="9"/>
  <c r="Z160" i="9"/>
  <c r="Z161" i="9"/>
  <c r="Z162" i="9"/>
  <c r="Z163" i="9"/>
  <c r="Z164" i="9"/>
  <c r="Z165" i="9"/>
  <c r="Z166" i="9"/>
  <c r="Z167" i="9"/>
  <c r="Z168" i="9"/>
  <c r="Z169" i="9"/>
  <c r="Z170" i="9"/>
  <c r="Z171" i="9"/>
  <c r="Z172" i="9"/>
  <c r="Z173" i="9"/>
  <c r="Z174" i="9"/>
  <c r="Z175" i="9"/>
  <c r="Z176" i="9"/>
  <c r="Z177" i="9"/>
  <c r="Z178" i="9"/>
  <c r="Z179" i="9"/>
  <c r="Z180" i="9"/>
  <c r="Z181" i="9"/>
  <c r="Z182" i="9"/>
  <c r="Z183" i="9"/>
  <c r="Z184" i="9"/>
  <c r="Z185" i="9"/>
  <c r="Z186" i="9"/>
  <c r="Z187" i="9"/>
  <c r="Z188" i="9"/>
  <c r="Z189" i="9"/>
  <c r="Z190" i="9"/>
  <c r="Z191" i="9"/>
  <c r="Z192" i="9"/>
  <c r="Z193" i="9"/>
  <c r="Z194" i="9"/>
  <c r="Z195" i="9"/>
  <c r="Z196" i="9"/>
  <c r="Z197" i="9"/>
  <c r="Z198" i="9"/>
  <c r="Z199" i="9"/>
  <c r="Z200" i="9"/>
  <c r="Z201" i="9"/>
  <c r="Z202" i="9"/>
  <c r="Z203" i="9"/>
  <c r="Z204" i="9"/>
  <c r="Z205" i="9"/>
  <c r="Z206" i="9"/>
  <c r="Z207" i="9"/>
  <c r="Z208" i="9"/>
  <c r="Z209" i="9"/>
  <c r="Z210" i="9"/>
  <c r="Z211" i="9"/>
  <c r="Z212" i="9"/>
  <c r="Z213" i="9"/>
  <c r="Z214" i="9"/>
  <c r="Z215" i="9"/>
  <c r="Z216" i="9"/>
  <c r="Z217" i="9"/>
  <c r="Z218" i="9"/>
  <c r="Z219" i="9"/>
  <c r="Z220" i="9"/>
  <c r="Z221" i="9"/>
  <c r="Z222" i="9"/>
  <c r="Z223" i="9"/>
  <c r="Z224" i="9"/>
  <c r="Z225" i="9"/>
  <c r="Z226" i="9"/>
  <c r="Z227" i="9"/>
  <c r="Z228" i="9"/>
  <c r="Z229" i="9"/>
  <c r="Z230" i="9"/>
  <c r="Z231" i="9"/>
  <c r="Z232" i="9"/>
  <c r="Z233" i="9"/>
  <c r="Z234" i="9"/>
  <c r="Z235" i="9"/>
  <c r="Z236" i="9"/>
  <c r="Z237" i="9"/>
  <c r="Z238" i="9"/>
  <c r="Z239" i="9"/>
  <c r="Z240" i="9"/>
  <c r="Z241" i="9"/>
  <c r="Z242" i="9"/>
  <c r="Z243" i="9"/>
  <c r="Z244" i="9"/>
  <c r="Z245" i="9"/>
  <c r="Z246" i="9"/>
  <c r="Z247" i="9"/>
  <c r="Z248" i="9"/>
  <c r="Z249" i="9"/>
  <c r="Z250" i="9"/>
  <c r="Z251" i="9"/>
  <c r="Z252" i="9"/>
  <c r="Z253" i="9"/>
  <c r="Z254" i="9"/>
  <c r="Z255" i="9"/>
  <c r="Z256" i="9"/>
  <c r="Z257" i="9"/>
  <c r="Z258" i="9"/>
  <c r="Z259" i="9"/>
  <c r="Z260" i="9"/>
  <c r="Z261" i="9"/>
  <c r="Z262" i="9"/>
  <c r="Z263" i="9"/>
  <c r="Z264" i="9"/>
  <c r="Z265" i="9"/>
  <c r="Z266" i="9"/>
  <c r="Z267" i="9"/>
  <c r="Z268" i="9"/>
  <c r="Z269" i="9"/>
  <c r="Z270" i="9"/>
  <c r="Z271" i="9"/>
  <c r="Z272" i="9"/>
  <c r="Z273" i="9"/>
  <c r="Z274" i="9"/>
  <c r="Z275" i="9"/>
  <c r="Z276" i="9"/>
  <c r="Z277" i="9"/>
  <c r="Z278" i="9"/>
  <c r="Z279" i="9"/>
  <c r="Z280" i="9"/>
  <c r="Z281" i="9"/>
  <c r="Z282" i="9"/>
  <c r="Z283" i="9"/>
  <c r="Z284" i="9"/>
  <c r="Z285" i="9"/>
  <c r="Z286" i="9"/>
  <c r="Z287" i="9"/>
  <c r="Z288" i="9"/>
  <c r="Z289" i="9"/>
  <c r="Z290" i="9"/>
  <c r="Z291" i="9"/>
  <c r="Z292" i="9"/>
  <c r="Z293" i="9"/>
  <c r="Z294" i="9"/>
  <c r="Z295" i="9"/>
  <c r="Z296" i="9"/>
  <c r="Z297" i="9"/>
  <c r="Z298" i="9"/>
  <c r="Z299" i="9"/>
  <c r="Z300" i="9"/>
  <c r="Z301" i="9"/>
  <c r="Z302" i="9"/>
  <c r="Z303" i="9"/>
  <c r="Z304" i="9"/>
  <c r="Z305" i="9"/>
  <c r="Z306" i="9"/>
  <c r="Z307" i="9"/>
  <c r="Z308" i="9"/>
  <c r="Z309" i="9"/>
  <c r="Z310" i="9"/>
  <c r="Z311" i="9"/>
  <c r="Z312" i="9"/>
  <c r="Z313" i="9"/>
  <c r="Z314" i="9"/>
  <c r="Z315" i="9"/>
  <c r="Z316" i="9"/>
  <c r="Z317" i="9"/>
  <c r="Z318" i="9"/>
  <c r="Z319" i="9"/>
  <c r="Z320" i="9"/>
  <c r="Z321" i="9"/>
  <c r="Z322" i="9"/>
  <c r="Z323" i="9"/>
  <c r="Z324" i="9"/>
  <c r="Z325" i="9"/>
  <c r="Z326" i="9"/>
  <c r="Z327" i="9"/>
  <c r="Z328" i="9"/>
  <c r="Z329" i="9"/>
  <c r="Z330" i="9"/>
  <c r="Z331" i="9"/>
  <c r="Z332" i="9"/>
  <c r="Z333" i="9"/>
  <c r="Z334" i="9"/>
  <c r="Z335" i="9"/>
  <c r="Z336" i="9"/>
  <c r="Z337" i="9"/>
  <c r="Z338" i="9"/>
  <c r="Z339" i="9"/>
  <c r="Z340" i="9"/>
  <c r="Z341" i="9"/>
  <c r="Z342" i="9"/>
  <c r="Z343" i="9"/>
  <c r="Z344" i="9"/>
  <c r="Z345" i="9"/>
  <c r="Z346" i="9"/>
  <c r="Z347" i="9"/>
  <c r="Z348" i="9"/>
  <c r="Z349" i="9"/>
  <c r="Z350" i="9"/>
  <c r="Z351" i="9"/>
  <c r="Z352" i="9"/>
  <c r="Z353" i="9"/>
  <c r="Z354" i="9"/>
  <c r="Z355" i="9"/>
  <c r="Z356" i="9"/>
  <c r="Z357" i="9"/>
  <c r="Z358" i="9"/>
  <c r="Z359" i="9"/>
  <c r="Z360" i="9"/>
  <c r="Z361" i="9"/>
  <c r="Z362" i="9"/>
  <c r="Z363" i="9"/>
  <c r="Z364" i="9"/>
  <c r="Z365" i="9"/>
  <c r="Z366" i="9"/>
  <c r="Z367" i="9"/>
  <c r="Z368" i="9"/>
  <c r="Z369" i="9"/>
  <c r="Z370" i="9"/>
  <c r="Z371" i="9"/>
  <c r="Z372" i="9"/>
  <c r="Z373" i="9"/>
  <c r="Z374" i="9"/>
  <c r="Z375" i="9"/>
  <c r="Z376" i="9"/>
  <c r="Z377" i="9"/>
  <c r="Z378" i="9"/>
  <c r="Z379" i="9"/>
  <c r="Z380" i="9"/>
  <c r="Z381" i="9"/>
  <c r="Z382" i="9"/>
  <c r="Z383" i="9"/>
  <c r="Z384" i="9"/>
  <c r="Z385" i="9"/>
  <c r="Z386" i="9"/>
  <c r="Z387" i="9"/>
  <c r="Z388" i="9"/>
  <c r="Z389" i="9"/>
  <c r="Z390" i="9"/>
  <c r="Z391" i="9"/>
  <c r="Z392" i="9"/>
  <c r="Z393" i="9"/>
  <c r="Z394" i="9"/>
  <c r="Z395" i="9"/>
  <c r="Z396" i="9"/>
  <c r="Z397" i="9"/>
  <c r="Z398" i="9"/>
  <c r="Z399" i="9"/>
  <c r="Z400" i="9"/>
  <c r="Z401" i="9"/>
  <c r="Z402" i="9"/>
  <c r="Z403" i="9"/>
  <c r="Z404" i="9"/>
  <c r="Z405" i="9"/>
  <c r="Z406" i="9"/>
  <c r="Z407" i="9"/>
  <c r="Z408" i="9"/>
  <c r="Z409" i="9"/>
  <c r="Z410" i="9"/>
  <c r="Z411" i="9"/>
  <c r="Z412" i="9"/>
  <c r="Z413" i="9"/>
  <c r="Z414" i="9"/>
  <c r="Z415" i="9"/>
  <c r="Z416" i="9"/>
  <c r="Z417" i="9"/>
  <c r="Z418" i="9"/>
  <c r="Z419" i="9"/>
  <c r="Z420" i="9"/>
  <c r="Z421" i="9"/>
  <c r="Z422" i="9"/>
  <c r="Z423" i="9"/>
  <c r="Z424" i="9"/>
  <c r="Z425" i="9"/>
  <c r="Z426" i="9"/>
  <c r="Z427" i="9"/>
  <c r="Z428" i="9"/>
  <c r="Z429" i="9"/>
  <c r="Z430" i="9"/>
  <c r="Z431" i="9"/>
  <c r="Z432" i="9"/>
  <c r="Z433" i="9"/>
  <c r="Z434" i="9"/>
  <c r="Z435" i="9"/>
  <c r="Z436" i="9"/>
  <c r="Z437" i="9"/>
  <c r="Z438" i="9"/>
  <c r="Z439" i="9"/>
  <c r="Z440" i="9"/>
  <c r="Z441" i="9"/>
  <c r="Z442" i="9"/>
  <c r="Z443" i="9"/>
  <c r="Z444" i="9"/>
  <c r="Z445" i="9"/>
  <c r="Z446" i="9"/>
  <c r="Z447" i="9"/>
  <c r="Z448" i="9"/>
  <c r="Z449" i="9"/>
  <c r="Z450" i="9"/>
  <c r="Z451" i="9"/>
  <c r="Z452" i="9"/>
  <c r="Z453" i="9"/>
  <c r="Z454" i="9"/>
  <c r="Z455" i="9"/>
  <c r="Z456" i="9"/>
  <c r="Z457" i="9"/>
  <c r="Z458" i="9"/>
  <c r="Z459" i="9"/>
  <c r="Z460" i="9"/>
  <c r="Z461" i="9"/>
  <c r="Z462" i="9"/>
  <c r="Z463" i="9"/>
  <c r="Z464" i="9"/>
  <c r="Z465" i="9"/>
  <c r="Z466" i="9"/>
  <c r="Z467" i="9"/>
  <c r="Z468" i="9"/>
  <c r="Z469" i="9"/>
  <c r="Z470" i="9"/>
  <c r="Z471" i="9"/>
  <c r="Z472" i="9"/>
  <c r="Z473" i="9"/>
  <c r="Z474" i="9"/>
  <c r="Z475" i="9"/>
  <c r="Z476" i="9"/>
  <c r="Z477" i="9"/>
  <c r="Z478" i="9"/>
  <c r="Z479" i="9"/>
  <c r="Z480" i="9"/>
  <c r="Z481" i="9"/>
  <c r="Z482" i="9"/>
  <c r="Z483" i="9"/>
  <c r="Z484" i="9"/>
  <c r="Z485" i="9"/>
  <c r="Z486" i="9"/>
  <c r="Z487" i="9"/>
  <c r="Z488" i="9"/>
  <c r="Z489" i="9"/>
  <c r="Z490" i="9"/>
  <c r="Z491" i="9"/>
  <c r="Z492" i="9"/>
  <c r="Z493" i="9"/>
  <c r="Z494" i="9"/>
  <c r="Z495" i="9"/>
  <c r="Z496" i="9"/>
  <c r="Z497" i="9"/>
  <c r="Z498" i="9"/>
  <c r="Z499" i="9"/>
  <c r="Z500" i="9"/>
  <c r="Z501" i="9"/>
  <c r="Z502" i="9"/>
  <c r="Z503" i="9"/>
  <c r="Z504" i="9"/>
  <c r="Z505" i="9"/>
  <c r="Z506" i="9"/>
  <c r="Z507" i="9"/>
  <c r="Z508" i="9"/>
  <c r="Z509" i="9"/>
  <c r="Z510" i="9"/>
  <c r="Z511" i="9"/>
  <c r="Z512" i="9"/>
  <c r="Z513" i="9"/>
  <c r="Z514" i="9"/>
  <c r="Z515" i="9"/>
  <c r="Z516" i="9"/>
  <c r="Z517" i="9"/>
  <c r="Z518" i="9"/>
  <c r="Z519" i="9"/>
  <c r="Z520" i="9"/>
  <c r="Z521" i="9"/>
  <c r="Z522" i="9"/>
  <c r="Z523" i="9"/>
  <c r="Z524" i="9"/>
  <c r="Z525" i="9"/>
  <c r="Z526" i="9"/>
  <c r="Z527" i="9"/>
  <c r="Z528" i="9"/>
  <c r="Z529" i="9"/>
  <c r="Z530" i="9"/>
  <c r="Z531" i="9"/>
  <c r="Z532" i="9"/>
  <c r="Z533" i="9"/>
  <c r="Z534" i="9"/>
  <c r="Z535" i="9"/>
  <c r="Z536" i="9"/>
  <c r="Z537" i="9"/>
  <c r="Z538" i="9"/>
  <c r="Z539" i="9"/>
  <c r="Z540" i="9"/>
  <c r="Z541" i="9"/>
  <c r="Z542" i="9"/>
  <c r="Z543" i="9"/>
  <c r="Z544" i="9"/>
  <c r="Z545" i="9"/>
  <c r="Z546" i="9"/>
  <c r="Z547" i="9"/>
  <c r="Z548" i="9"/>
  <c r="Z549" i="9"/>
  <c r="Z550" i="9"/>
  <c r="Z551" i="9"/>
  <c r="Z552" i="9"/>
  <c r="Z553" i="9"/>
  <c r="Z554" i="9"/>
  <c r="Z555" i="9"/>
  <c r="Z556" i="9"/>
  <c r="Z557" i="9"/>
  <c r="Z558" i="9"/>
  <c r="Z559" i="9"/>
  <c r="Z560" i="9"/>
  <c r="Z561" i="9"/>
  <c r="Z562" i="9"/>
  <c r="Z563" i="9"/>
  <c r="Z564" i="9"/>
  <c r="Z565" i="9"/>
  <c r="Z566" i="9"/>
  <c r="Z567" i="9"/>
  <c r="Z568" i="9"/>
  <c r="Z569" i="9"/>
  <c r="Z570" i="9"/>
  <c r="Z571" i="9"/>
  <c r="Z572" i="9"/>
  <c r="Z573" i="9"/>
  <c r="Z574" i="9"/>
  <c r="Z575" i="9"/>
  <c r="Z576" i="9"/>
  <c r="Z577" i="9"/>
  <c r="Z578" i="9"/>
  <c r="Z579" i="9"/>
  <c r="Z580" i="9"/>
  <c r="Z581" i="9"/>
  <c r="Z582" i="9"/>
  <c r="Z583" i="9"/>
  <c r="Z584" i="9"/>
  <c r="Z585" i="9"/>
  <c r="Z586" i="9"/>
  <c r="Z587" i="9"/>
  <c r="Z588" i="9"/>
  <c r="Z589" i="9"/>
  <c r="Z590" i="9"/>
  <c r="Z591" i="9"/>
  <c r="Z592" i="9"/>
  <c r="Z593" i="9"/>
  <c r="Z594" i="9"/>
  <c r="Z595" i="9"/>
  <c r="Z596" i="9"/>
  <c r="Z597" i="9"/>
  <c r="Z598" i="9"/>
  <c r="Z599" i="9"/>
  <c r="Z600" i="9"/>
  <c r="Z601" i="9"/>
  <c r="Z602" i="9"/>
  <c r="Z603" i="9"/>
  <c r="Z604" i="9"/>
  <c r="Z605" i="9"/>
  <c r="Z606" i="9"/>
  <c r="Z607" i="9"/>
  <c r="Z608" i="9"/>
  <c r="Z609" i="9"/>
  <c r="Z610" i="9"/>
  <c r="Z611" i="9"/>
  <c r="Z612" i="9"/>
  <c r="Z613" i="9"/>
  <c r="Z614" i="9"/>
  <c r="Z615" i="9"/>
  <c r="Z616" i="9"/>
  <c r="Z617" i="9"/>
  <c r="Z618" i="9"/>
  <c r="Z619" i="9"/>
  <c r="Z620" i="9"/>
  <c r="Z621" i="9"/>
  <c r="Z622" i="9"/>
  <c r="Z623" i="9"/>
  <c r="Z624" i="9"/>
  <c r="Z625" i="9"/>
  <c r="Z626" i="9"/>
  <c r="Z627" i="9"/>
  <c r="Z628" i="9"/>
  <c r="Z629" i="9"/>
  <c r="Z630" i="9"/>
  <c r="Z631" i="9"/>
  <c r="Z632" i="9"/>
  <c r="Z633" i="9"/>
  <c r="Z634" i="9"/>
  <c r="Z635" i="9"/>
  <c r="Z636" i="9"/>
  <c r="Z637" i="9"/>
  <c r="Z638" i="9"/>
  <c r="Z639" i="9"/>
  <c r="Z640" i="9"/>
  <c r="Z641" i="9"/>
  <c r="Z642" i="9"/>
  <c r="Z643" i="9"/>
  <c r="Z644" i="9"/>
  <c r="Z645" i="9"/>
  <c r="Z646" i="9"/>
  <c r="Z647" i="9"/>
  <c r="Z648" i="9"/>
  <c r="Z649" i="9"/>
  <c r="Z650" i="9"/>
  <c r="Z651" i="9"/>
  <c r="Z652" i="9"/>
  <c r="Z653" i="9"/>
  <c r="Z654" i="9"/>
  <c r="Z655" i="9"/>
  <c r="Z656" i="9"/>
  <c r="Z657" i="9"/>
  <c r="Z658" i="9"/>
  <c r="Z659" i="9"/>
  <c r="Z660" i="9"/>
  <c r="Z661" i="9"/>
  <c r="Z662" i="9"/>
  <c r="Z663" i="9"/>
  <c r="Z664" i="9"/>
  <c r="Z665" i="9"/>
  <c r="Z666" i="9"/>
  <c r="Z667" i="9"/>
  <c r="Z668" i="9"/>
  <c r="Z669" i="9"/>
  <c r="Z670" i="9"/>
  <c r="Z671" i="9"/>
  <c r="Z672" i="9"/>
  <c r="Z673" i="9"/>
  <c r="Z674" i="9"/>
  <c r="Z675" i="9"/>
  <c r="Z676" i="9"/>
  <c r="Z677" i="9"/>
  <c r="Z678" i="9"/>
  <c r="Z679" i="9"/>
  <c r="Z680" i="9"/>
  <c r="Z681" i="9"/>
  <c r="Z682" i="9"/>
  <c r="Z683" i="9"/>
  <c r="Z684" i="9"/>
  <c r="Z685" i="9"/>
  <c r="Z686" i="9"/>
  <c r="Z687" i="9"/>
  <c r="Z688" i="9"/>
  <c r="Z689" i="9"/>
  <c r="Z690" i="9"/>
  <c r="Z691" i="9"/>
  <c r="Z692" i="9"/>
  <c r="Z693" i="9"/>
  <c r="Z694" i="9"/>
  <c r="Z695" i="9"/>
  <c r="Z696" i="9"/>
  <c r="Z697" i="9"/>
  <c r="Z698" i="9"/>
  <c r="Z699" i="9"/>
  <c r="Z700" i="9"/>
  <c r="Z701" i="9"/>
  <c r="Z702" i="9"/>
  <c r="Z703" i="9"/>
  <c r="Z704" i="9"/>
  <c r="Z705" i="9"/>
  <c r="Z706" i="9"/>
  <c r="Z707" i="9"/>
  <c r="Z708" i="9"/>
  <c r="Z709" i="9"/>
  <c r="Z710" i="9"/>
  <c r="Z711" i="9"/>
  <c r="Z712" i="9"/>
  <c r="Z713" i="9"/>
  <c r="Z714" i="9"/>
  <c r="Z715" i="9"/>
  <c r="Z716" i="9"/>
  <c r="Z717" i="9"/>
  <c r="Z718" i="9"/>
  <c r="Z719" i="9"/>
  <c r="Z720" i="9"/>
  <c r="Z721" i="9"/>
  <c r="Z722" i="9"/>
  <c r="Z723" i="9"/>
  <c r="Z724" i="9"/>
  <c r="Z725" i="9"/>
  <c r="Z726" i="9"/>
  <c r="Z727" i="9"/>
  <c r="Z728" i="9"/>
  <c r="Z729" i="9"/>
  <c r="Z730" i="9"/>
  <c r="Z731" i="9"/>
  <c r="Z732" i="9"/>
  <c r="Z733" i="9"/>
  <c r="Z734" i="9"/>
  <c r="Z735" i="9"/>
  <c r="Z736" i="9"/>
  <c r="Z737" i="9"/>
  <c r="Z738" i="9"/>
  <c r="Z739" i="9"/>
  <c r="Z740" i="9"/>
  <c r="Z741" i="9"/>
  <c r="Z742" i="9"/>
  <c r="Z743" i="9"/>
  <c r="Z744" i="9"/>
  <c r="Z745" i="9"/>
  <c r="Z746" i="9"/>
  <c r="Z747" i="9"/>
  <c r="Z748" i="9"/>
  <c r="Z749" i="9"/>
  <c r="Z750" i="9"/>
  <c r="Z751" i="9"/>
  <c r="Z752" i="9"/>
  <c r="Z753" i="9"/>
  <c r="Z754" i="9"/>
  <c r="Z755" i="9"/>
  <c r="Z756" i="9"/>
  <c r="Z757" i="9"/>
  <c r="Z758" i="9"/>
  <c r="Z759" i="9"/>
  <c r="Z760" i="9"/>
  <c r="Z761" i="9"/>
  <c r="Z762" i="9"/>
  <c r="Z763" i="9"/>
  <c r="Z764" i="9"/>
  <c r="Z765" i="9"/>
  <c r="Z766" i="9"/>
  <c r="Z767" i="9"/>
  <c r="Z768" i="9"/>
  <c r="Z769" i="9"/>
  <c r="Z770" i="9"/>
  <c r="Z771" i="9"/>
  <c r="Z772" i="9"/>
  <c r="Z773" i="9"/>
  <c r="Z774" i="9"/>
  <c r="Z775" i="9"/>
  <c r="Z776" i="9"/>
  <c r="Z777" i="9"/>
  <c r="Z778" i="9"/>
  <c r="Z779" i="9"/>
  <c r="Z780" i="9"/>
  <c r="Z781" i="9"/>
  <c r="Z782" i="9"/>
  <c r="Z783" i="9"/>
  <c r="Z784" i="9"/>
  <c r="Z785" i="9"/>
  <c r="Z786" i="9"/>
  <c r="Z787" i="9"/>
  <c r="Z788" i="9"/>
  <c r="Z789" i="9"/>
  <c r="Z790" i="9"/>
  <c r="Z791" i="9"/>
  <c r="Z792" i="9"/>
  <c r="Z793" i="9"/>
  <c r="Z794" i="9"/>
  <c r="Z795" i="9"/>
  <c r="Z796" i="9"/>
  <c r="Z797" i="9"/>
  <c r="Z798" i="9"/>
  <c r="Z799" i="9"/>
  <c r="Z800" i="9"/>
  <c r="Z801" i="9"/>
  <c r="Z802" i="9"/>
  <c r="Z803" i="9"/>
  <c r="Z804" i="9"/>
  <c r="Z805" i="9"/>
  <c r="Z806" i="9"/>
  <c r="Z807" i="9"/>
  <c r="Z808" i="9"/>
  <c r="Z809" i="9"/>
  <c r="Z810" i="9"/>
  <c r="Z811" i="9"/>
  <c r="Z812" i="9"/>
  <c r="Z813" i="9"/>
  <c r="Z814" i="9"/>
  <c r="Z815" i="9"/>
  <c r="Z816" i="9"/>
  <c r="Z817" i="9"/>
  <c r="Z818" i="9"/>
  <c r="Z819" i="9"/>
  <c r="Z820" i="9"/>
  <c r="Z821" i="9"/>
  <c r="Z822" i="9"/>
  <c r="Z823" i="9"/>
  <c r="Z824" i="9"/>
  <c r="Z825" i="9"/>
  <c r="Z826" i="9"/>
  <c r="Z827" i="9"/>
  <c r="Z828" i="9"/>
  <c r="Z829" i="9"/>
  <c r="Z830" i="9"/>
  <c r="Z831" i="9"/>
  <c r="Z832" i="9"/>
  <c r="Z833" i="9"/>
  <c r="Z834" i="9"/>
  <c r="Z835" i="9"/>
  <c r="Z836" i="9"/>
  <c r="Z837" i="9"/>
  <c r="Z838" i="9"/>
  <c r="Z839" i="9"/>
  <c r="Z840" i="9"/>
  <c r="Z841" i="9"/>
  <c r="Z842" i="9"/>
  <c r="Z843" i="9"/>
  <c r="Z844" i="9"/>
  <c r="Z845" i="9"/>
  <c r="Z846" i="9"/>
  <c r="Z847" i="9"/>
  <c r="Z848" i="9"/>
  <c r="Z849" i="9"/>
  <c r="Z850" i="9"/>
  <c r="Z851" i="9"/>
  <c r="Z852" i="9"/>
  <c r="Z853" i="9"/>
  <c r="Z854" i="9"/>
  <c r="Z855" i="9"/>
  <c r="Z856" i="9"/>
  <c r="Z857" i="9"/>
  <c r="Z858" i="9"/>
  <c r="Z859" i="9"/>
  <c r="Z860" i="9"/>
  <c r="Z861" i="9"/>
  <c r="Z862" i="9"/>
  <c r="Z863" i="9"/>
  <c r="Z864" i="9"/>
  <c r="Z865" i="9"/>
  <c r="Z866" i="9"/>
  <c r="Z867" i="9"/>
  <c r="Z868" i="9"/>
  <c r="Z869" i="9"/>
  <c r="Z870" i="9"/>
  <c r="Z871" i="9"/>
  <c r="Z872" i="9"/>
  <c r="Z873" i="9"/>
  <c r="Z874" i="9"/>
  <c r="Z875" i="9"/>
  <c r="Z876" i="9"/>
  <c r="Z877" i="9"/>
  <c r="Z878" i="9"/>
  <c r="Z879" i="9"/>
  <c r="Z880" i="9"/>
  <c r="Z881" i="9"/>
  <c r="Z882" i="9"/>
  <c r="Z883" i="9"/>
  <c r="Z884" i="9"/>
  <c r="Z885" i="9"/>
  <c r="Z886" i="9"/>
  <c r="Z887" i="9"/>
  <c r="Z888" i="9"/>
  <c r="Z889" i="9"/>
  <c r="Z890" i="9"/>
  <c r="Z891" i="9"/>
  <c r="Z892" i="9"/>
  <c r="Z893" i="9"/>
  <c r="Z894" i="9"/>
  <c r="Z895" i="9"/>
  <c r="Z896" i="9"/>
  <c r="Z897" i="9"/>
  <c r="Z898" i="9"/>
  <c r="Z899" i="9"/>
  <c r="Z900" i="9"/>
  <c r="Z901" i="9"/>
  <c r="Z902" i="9"/>
  <c r="Z903" i="9"/>
  <c r="Z904" i="9"/>
  <c r="Z905" i="9"/>
  <c r="Z906" i="9"/>
  <c r="Z907" i="9"/>
  <c r="Z908" i="9"/>
  <c r="Z909" i="9"/>
  <c r="Z910" i="9"/>
  <c r="Z911" i="9"/>
  <c r="Z912" i="9"/>
  <c r="Z913" i="9"/>
  <c r="Z914" i="9"/>
  <c r="Z915" i="9"/>
  <c r="Z916" i="9"/>
  <c r="Z917" i="9"/>
  <c r="Z918" i="9"/>
  <c r="Z919" i="9"/>
  <c r="Z920" i="9"/>
  <c r="Z921" i="9"/>
  <c r="Z922" i="9"/>
  <c r="Z923" i="9"/>
  <c r="Z924" i="9"/>
  <c r="Z925" i="9"/>
  <c r="Z926" i="9"/>
  <c r="Z927" i="9"/>
  <c r="Z928" i="9"/>
  <c r="Z929" i="9"/>
  <c r="Z930" i="9"/>
  <c r="Z931" i="9"/>
  <c r="Z932" i="9"/>
  <c r="Z933" i="9"/>
  <c r="Z934" i="9"/>
  <c r="Z935" i="9"/>
  <c r="Z936" i="9"/>
  <c r="Z937" i="9"/>
  <c r="Z938" i="9"/>
  <c r="Z939" i="9"/>
  <c r="Z940" i="9"/>
  <c r="Z941" i="9"/>
  <c r="Z942" i="9"/>
  <c r="Z943" i="9"/>
  <c r="Z944" i="9"/>
  <c r="Z945" i="9"/>
  <c r="Z946" i="9"/>
  <c r="Z947" i="9"/>
  <c r="Z948" i="9"/>
  <c r="Z949" i="9"/>
  <c r="Z950" i="9"/>
  <c r="Z951" i="9"/>
  <c r="Z952" i="9"/>
  <c r="Z953" i="9"/>
  <c r="Z954" i="9"/>
  <c r="Z955" i="9"/>
  <c r="Z956" i="9"/>
  <c r="Z957" i="9"/>
  <c r="Z958" i="9"/>
  <c r="Z959" i="9"/>
  <c r="Z960" i="9"/>
  <c r="Z961" i="9"/>
  <c r="Z962" i="9"/>
  <c r="Z963" i="9"/>
  <c r="Z964" i="9"/>
  <c r="Z965" i="9"/>
  <c r="Z966" i="9"/>
  <c r="Z967" i="9"/>
  <c r="Z968" i="9"/>
  <c r="Z969" i="9"/>
  <c r="Z970" i="9"/>
  <c r="Z971" i="9"/>
  <c r="Z972" i="9"/>
  <c r="Z973" i="9"/>
  <c r="Z974" i="9"/>
  <c r="Z975" i="9"/>
  <c r="Z976" i="9"/>
  <c r="Z977" i="9"/>
  <c r="Z978" i="9"/>
  <c r="Z979" i="9"/>
  <c r="Z980" i="9"/>
  <c r="Z981" i="9"/>
  <c r="Z982" i="9"/>
  <c r="Z983" i="9"/>
  <c r="Z984" i="9"/>
  <c r="Z985" i="9"/>
  <c r="Z986" i="9"/>
  <c r="Z987" i="9"/>
  <c r="Z988" i="9"/>
  <c r="Z989" i="9"/>
  <c r="Z990" i="9"/>
  <c r="Z991" i="9"/>
  <c r="Z992" i="9"/>
  <c r="Z993" i="9"/>
  <c r="Z994" i="9"/>
  <c r="Z995" i="9"/>
  <c r="Z996" i="9"/>
  <c r="Z997" i="9"/>
  <c r="Z998" i="9"/>
  <c r="Z999" i="9"/>
  <c r="Z1000" i="9"/>
  <c r="Z1001" i="9"/>
  <c r="Z1002" i="9"/>
  <c r="Z1003" i="9"/>
  <c r="Z1004" i="9"/>
  <c r="Z1005" i="9"/>
  <c r="Z1006" i="9"/>
  <c r="Z1007" i="9"/>
  <c r="Z1008" i="9"/>
  <c r="Z1009" i="9"/>
  <c r="Z1010" i="9"/>
  <c r="Z1011" i="9"/>
  <c r="Z1012" i="9"/>
  <c r="Z1013" i="9"/>
  <c r="Z1014" i="9"/>
  <c r="Z1015" i="9"/>
  <c r="Z1016" i="9"/>
  <c r="Z1017" i="9"/>
  <c r="Z1018" i="9"/>
  <c r="Z1019" i="9"/>
  <c r="Z1020" i="9"/>
  <c r="Z1021" i="9"/>
  <c r="Z1022" i="9"/>
  <c r="Z1023" i="9"/>
  <c r="Z1024" i="9"/>
  <c r="Z1025" i="9"/>
  <c r="Z1026" i="9"/>
  <c r="Z1027" i="9"/>
  <c r="Z1028" i="9"/>
  <c r="Z1029" i="9"/>
  <c r="Z1030" i="9"/>
  <c r="Z1031" i="9"/>
  <c r="Z1032" i="9"/>
  <c r="Z1033" i="9"/>
  <c r="Z1034" i="9"/>
  <c r="Z1035" i="9"/>
  <c r="Z1036" i="9"/>
  <c r="Z1037" i="9"/>
  <c r="Z1038" i="9"/>
  <c r="Z1039" i="9"/>
  <c r="Z1040" i="9"/>
  <c r="Z1041" i="9"/>
  <c r="Z1042" i="9"/>
  <c r="Z1043" i="9"/>
  <c r="Z1044" i="9"/>
  <c r="Z1045" i="9"/>
  <c r="Z1046" i="9"/>
  <c r="Z1047" i="9"/>
  <c r="Z1048" i="9"/>
  <c r="Z1049" i="9"/>
  <c r="Z1050" i="9"/>
  <c r="Z1051" i="9"/>
  <c r="Z1052" i="9"/>
  <c r="Z1053" i="9"/>
  <c r="Z1054" i="9"/>
  <c r="Z1055" i="9"/>
  <c r="Z1056" i="9"/>
  <c r="Z1057" i="9"/>
  <c r="Z1058" i="9"/>
  <c r="Z1059" i="9"/>
  <c r="Z1060" i="9"/>
  <c r="Z1061" i="9"/>
  <c r="Z1062" i="9"/>
  <c r="Z1063" i="9"/>
  <c r="Z1064" i="9"/>
  <c r="Z1065" i="9"/>
  <c r="Z1066" i="9"/>
  <c r="Z1067" i="9"/>
  <c r="Z1068" i="9"/>
  <c r="Z1069" i="9"/>
  <c r="Z1070" i="9"/>
  <c r="Z1071" i="9"/>
  <c r="Z1072" i="9"/>
  <c r="Z1073" i="9"/>
  <c r="Z1074" i="9"/>
  <c r="Z1075" i="9"/>
  <c r="Z1076" i="9"/>
  <c r="Z1077" i="9"/>
  <c r="Z1078" i="9"/>
  <c r="Z1079" i="9"/>
  <c r="Z1080" i="9"/>
  <c r="Z1081" i="9"/>
  <c r="Z1082" i="9"/>
  <c r="Z1083" i="9"/>
  <c r="Z1084" i="9"/>
  <c r="Z1085" i="9"/>
  <c r="Z1086" i="9"/>
  <c r="Z1087" i="9"/>
  <c r="Z1088" i="9"/>
  <c r="Z1089" i="9"/>
  <c r="Z1090" i="9"/>
  <c r="Z1091" i="9"/>
  <c r="Z1092" i="9"/>
  <c r="Z1093" i="9"/>
  <c r="Z1094" i="9"/>
  <c r="Z1095" i="9"/>
  <c r="Z1096" i="9"/>
  <c r="Z1097" i="9"/>
  <c r="Z1098" i="9"/>
  <c r="Z1099" i="9"/>
  <c r="Z1100" i="9"/>
  <c r="Z1101" i="9"/>
  <c r="Z1102" i="9"/>
  <c r="Z1103" i="9"/>
  <c r="Z1104" i="9"/>
  <c r="Z1105" i="9"/>
  <c r="Z1106" i="9"/>
  <c r="Z1107" i="9"/>
  <c r="Z1108" i="9"/>
  <c r="Z1109" i="9"/>
  <c r="Z1110" i="9"/>
  <c r="Z1111" i="9"/>
  <c r="Z1112" i="9"/>
  <c r="Z1113" i="9"/>
  <c r="Z1114" i="9"/>
  <c r="Z1115" i="9"/>
  <c r="Z1116" i="9"/>
  <c r="Z1117" i="9"/>
  <c r="Z1118" i="9"/>
  <c r="Z1119" i="9"/>
  <c r="Z1120" i="9"/>
  <c r="Z1121" i="9"/>
  <c r="Z1122" i="9"/>
  <c r="Z1123" i="9"/>
  <c r="Z1124" i="9"/>
  <c r="Z1125" i="9"/>
  <c r="Z1126" i="9"/>
  <c r="Z1127" i="9"/>
  <c r="Z1128" i="9"/>
  <c r="Z1129" i="9"/>
  <c r="Z1130" i="9"/>
  <c r="Z1131" i="9"/>
  <c r="Z1132" i="9"/>
  <c r="Z1133" i="9"/>
  <c r="Z1134" i="9"/>
  <c r="Z1135" i="9"/>
  <c r="Z1136" i="9"/>
  <c r="Z1137" i="9"/>
  <c r="Z1138" i="9"/>
  <c r="Z1139" i="9"/>
  <c r="Z1140" i="9"/>
  <c r="Z1141" i="9"/>
  <c r="Z1142" i="9"/>
  <c r="Z1143" i="9"/>
  <c r="Z1144" i="9"/>
  <c r="Z1145" i="9"/>
  <c r="Z1146" i="9"/>
  <c r="Z1147" i="9"/>
  <c r="Z1148" i="9"/>
  <c r="Z1149" i="9"/>
  <c r="Z1150" i="9"/>
  <c r="Z1151" i="9"/>
  <c r="Z1152" i="9"/>
  <c r="Z1153" i="9"/>
  <c r="Z1154" i="9"/>
  <c r="Z1155" i="9"/>
  <c r="Z1156" i="9"/>
  <c r="Z1157" i="9"/>
  <c r="Z1158" i="9"/>
  <c r="Z1159" i="9"/>
  <c r="Z1160" i="9"/>
  <c r="Z1161" i="9"/>
  <c r="Z1162" i="9"/>
  <c r="Z1163" i="9"/>
  <c r="Z1164" i="9"/>
  <c r="Z1165" i="9"/>
  <c r="Z1166" i="9"/>
  <c r="Z1167" i="9"/>
  <c r="Z1168" i="9"/>
  <c r="Z1169" i="9"/>
  <c r="Z1170" i="9"/>
  <c r="Z1171" i="9"/>
  <c r="Z1172" i="9"/>
  <c r="Z1173" i="9"/>
  <c r="Z1174" i="9"/>
  <c r="Z1175" i="9"/>
  <c r="Z1176" i="9"/>
  <c r="Z1177" i="9"/>
  <c r="Z1178" i="9"/>
  <c r="Z1179" i="9"/>
  <c r="Z1180" i="9"/>
  <c r="Z1181" i="9"/>
  <c r="Z1182" i="9"/>
  <c r="Z1183" i="9"/>
  <c r="Z1184" i="9"/>
  <c r="Z1185" i="9"/>
  <c r="Z1186" i="9"/>
  <c r="Z1187" i="9"/>
  <c r="Z1188" i="9"/>
  <c r="Z1189" i="9"/>
  <c r="Z1190" i="9"/>
  <c r="Z1191" i="9"/>
  <c r="Z1192" i="9"/>
  <c r="Z1193" i="9"/>
  <c r="Z1194" i="9"/>
  <c r="Z1195" i="9"/>
  <c r="Z1196" i="9"/>
  <c r="Z1197" i="9"/>
  <c r="Z1198" i="9"/>
  <c r="Z1199" i="9"/>
  <c r="Z1200" i="9"/>
  <c r="Z1201" i="9"/>
  <c r="Z1202" i="9"/>
  <c r="Z1203" i="9"/>
  <c r="Z1204" i="9"/>
  <c r="Z1205" i="9"/>
  <c r="Z1206" i="9"/>
  <c r="Z1207" i="9"/>
  <c r="Z1208" i="9"/>
  <c r="Z1209" i="9"/>
  <c r="Z1210" i="9"/>
  <c r="Z1211" i="9"/>
  <c r="Z1212" i="9"/>
  <c r="Z1213" i="9"/>
  <c r="Z1214" i="9"/>
  <c r="Z1215" i="9"/>
  <c r="Z1216" i="9"/>
  <c r="Z1217" i="9"/>
  <c r="Z1218" i="9"/>
  <c r="Z1219" i="9"/>
  <c r="Z1220" i="9"/>
  <c r="Z1221" i="9"/>
  <c r="Z1222" i="9"/>
  <c r="Z1223" i="9"/>
  <c r="Z1224" i="9"/>
  <c r="Z1225" i="9"/>
  <c r="Z1226" i="9"/>
  <c r="Z1227" i="9"/>
  <c r="Z1228" i="9"/>
  <c r="Z1229" i="9"/>
  <c r="Z1230" i="9"/>
  <c r="Z1231" i="9"/>
  <c r="Z1232" i="9"/>
  <c r="Z1233" i="9"/>
  <c r="Z1234" i="9"/>
  <c r="Z1235" i="9"/>
  <c r="Z1236" i="9"/>
  <c r="Z1237" i="9"/>
  <c r="Z1238" i="9"/>
  <c r="Z1239" i="9"/>
  <c r="Z1240" i="9"/>
  <c r="Z1241" i="9"/>
  <c r="Z1242" i="9"/>
  <c r="Z1243" i="9"/>
  <c r="Z1244" i="9"/>
  <c r="Z1245" i="9"/>
  <c r="Z1246" i="9"/>
  <c r="Z1247" i="9"/>
  <c r="Z1248" i="9"/>
  <c r="Z1249" i="9"/>
  <c r="Z1250" i="9"/>
  <c r="Z1251" i="9"/>
  <c r="Z1252" i="9"/>
  <c r="Z1253" i="9"/>
  <c r="Z1254" i="9"/>
  <c r="Z1255" i="9"/>
  <c r="Z1256" i="9"/>
  <c r="Z1257" i="9"/>
  <c r="Z1258" i="9"/>
  <c r="Z1259" i="9"/>
  <c r="Z1260" i="9"/>
  <c r="Z1261" i="9"/>
  <c r="Z1262" i="9"/>
  <c r="Z1263" i="9"/>
  <c r="Z1264" i="9"/>
  <c r="Z1265" i="9"/>
  <c r="Z1266" i="9"/>
  <c r="Z1267" i="9"/>
  <c r="Z1268" i="9"/>
  <c r="Z1269" i="9"/>
  <c r="Z1270" i="9"/>
  <c r="Z1271" i="9"/>
  <c r="Z1272" i="9"/>
  <c r="Z1273" i="9"/>
  <c r="Z1274" i="9"/>
  <c r="Z1275" i="9"/>
  <c r="Z1276" i="9"/>
  <c r="Z1277" i="9"/>
  <c r="Z1278" i="9"/>
  <c r="Z1279" i="9"/>
  <c r="Z1280" i="9"/>
  <c r="Z1281" i="9"/>
  <c r="Z1282" i="9"/>
  <c r="Z1283" i="9"/>
  <c r="Z1284" i="9"/>
  <c r="Z1285" i="9"/>
  <c r="Z1286" i="9"/>
  <c r="Z1287" i="9"/>
  <c r="Z1288" i="9"/>
  <c r="Z1289" i="9"/>
  <c r="Z1290" i="9"/>
  <c r="Z1291" i="9"/>
  <c r="Z1292" i="9"/>
  <c r="Z1293" i="9"/>
  <c r="Z1294" i="9"/>
  <c r="Z1295" i="9"/>
  <c r="Z1296" i="9"/>
  <c r="Z1297" i="9"/>
  <c r="Z1298" i="9"/>
  <c r="Z1299" i="9"/>
  <c r="Z1300" i="9"/>
  <c r="Z1301" i="9"/>
  <c r="Z1302" i="9"/>
  <c r="Z1303" i="9"/>
  <c r="Z1304" i="9"/>
  <c r="Z1305" i="9"/>
  <c r="Z1306" i="9"/>
  <c r="Z1307" i="9"/>
  <c r="Z1308" i="9"/>
  <c r="Z1309" i="9"/>
  <c r="Z1310" i="9"/>
  <c r="Z1311" i="9"/>
  <c r="Z1312" i="9"/>
  <c r="Z1313" i="9"/>
  <c r="Z1314" i="9"/>
  <c r="Z1315" i="9"/>
  <c r="Z1316" i="9"/>
  <c r="Z1317" i="9"/>
  <c r="Z1318" i="9"/>
  <c r="Z1319" i="9"/>
  <c r="Z1320" i="9"/>
  <c r="Z1321" i="9"/>
  <c r="Z1322" i="9"/>
  <c r="Z1323" i="9"/>
  <c r="Z1324" i="9"/>
  <c r="Z1325" i="9"/>
  <c r="Z1326" i="9"/>
  <c r="Z1327" i="9"/>
  <c r="Z1328" i="9"/>
  <c r="Z1329" i="9"/>
  <c r="Z1330" i="9"/>
  <c r="Z1331" i="9"/>
  <c r="Z1332" i="9"/>
  <c r="Z1333" i="9"/>
  <c r="Z1334" i="9"/>
  <c r="Z1335" i="9"/>
  <c r="Z1336" i="9"/>
  <c r="Z1337" i="9"/>
  <c r="Z1338" i="9"/>
  <c r="Z1339" i="9"/>
  <c r="Z1340" i="9"/>
  <c r="Z1341" i="9"/>
  <c r="Z1342" i="9"/>
  <c r="Z1343" i="9"/>
  <c r="Z1344" i="9"/>
  <c r="Z1345" i="9"/>
  <c r="Z1346" i="9"/>
  <c r="Z1347" i="9"/>
  <c r="Z1348" i="9"/>
  <c r="Z1349" i="9"/>
  <c r="Z1350" i="9"/>
  <c r="Z1351" i="9"/>
  <c r="Z1352" i="9"/>
  <c r="Z1353" i="9"/>
  <c r="Z1354" i="9"/>
  <c r="Z1355" i="9"/>
  <c r="Z1356" i="9"/>
  <c r="Z1357" i="9"/>
  <c r="Z1358" i="9"/>
  <c r="Z1359" i="9"/>
  <c r="Z1360" i="9"/>
  <c r="Z1361" i="9"/>
  <c r="Z1362" i="9"/>
  <c r="Z1363" i="9"/>
  <c r="Z1364" i="9"/>
  <c r="Z1365" i="9"/>
  <c r="Z1366" i="9"/>
  <c r="Z1367" i="9"/>
  <c r="Z1368" i="9"/>
  <c r="Z1369" i="9"/>
  <c r="Z1370" i="9"/>
  <c r="Z1371" i="9"/>
  <c r="Z1372" i="9"/>
  <c r="Z1373" i="9"/>
  <c r="Z1374" i="9"/>
  <c r="Z1375" i="9"/>
  <c r="Z1376" i="9"/>
  <c r="Z1377" i="9"/>
  <c r="Z1378" i="9"/>
  <c r="Z1379" i="9"/>
  <c r="Z1380" i="9"/>
  <c r="Z1381" i="9"/>
  <c r="Z1382" i="9"/>
  <c r="Z1383" i="9"/>
  <c r="Z1384" i="9"/>
  <c r="Z1385" i="9"/>
  <c r="Z1386" i="9"/>
  <c r="Z1387" i="9"/>
  <c r="Z1388" i="9"/>
  <c r="Z1389" i="9"/>
  <c r="Z1390" i="9"/>
  <c r="Z1391" i="9"/>
  <c r="Z1392" i="9"/>
  <c r="Z1393" i="9"/>
  <c r="Z1394" i="9"/>
  <c r="Z1395" i="9"/>
  <c r="Z1396" i="9"/>
  <c r="Z1397" i="9"/>
  <c r="Z1398" i="9"/>
  <c r="Z1399" i="9"/>
  <c r="Z1400" i="9"/>
  <c r="Z1401" i="9"/>
  <c r="Z1402" i="9"/>
  <c r="Z1403" i="9"/>
  <c r="Z1404" i="9"/>
  <c r="Z1405" i="9"/>
  <c r="Z1406" i="9"/>
  <c r="Z1407" i="9"/>
  <c r="Z1408" i="9"/>
  <c r="Z1409" i="9"/>
  <c r="Z1410" i="9"/>
  <c r="Z1411" i="9"/>
  <c r="Z1412" i="9"/>
  <c r="Z1413" i="9"/>
  <c r="Z1414" i="9"/>
  <c r="Z1415" i="9"/>
  <c r="Z1416" i="9"/>
  <c r="Z1417" i="9"/>
  <c r="Z1418" i="9"/>
  <c r="Z1419" i="9"/>
  <c r="Z1420" i="9"/>
  <c r="Z1421" i="9"/>
  <c r="Z1422" i="9"/>
  <c r="Z1423" i="9"/>
  <c r="Z1424" i="9"/>
  <c r="Z1425" i="9"/>
  <c r="Z1426" i="9"/>
  <c r="Z1427" i="9"/>
  <c r="Z1428" i="9"/>
  <c r="Z1429" i="9"/>
  <c r="Z1430" i="9"/>
  <c r="Z1431" i="9"/>
  <c r="Z1432" i="9"/>
  <c r="Z1433" i="9"/>
  <c r="Z1434" i="9"/>
  <c r="Z1435" i="9"/>
  <c r="Z1436" i="9"/>
  <c r="Z1437" i="9"/>
  <c r="Z1438" i="9"/>
  <c r="Z1439" i="9"/>
  <c r="Z1440" i="9"/>
  <c r="Z1441" i="9"/>
  <c r="Z1442" i="9"/>
  <c r="Z1443" i="9"/>
  <c r="Z1444" i="9"/>
  <c r="Z1445" i="9"/>
  <c r="Z1446" i="9"/>
  <c r="Z1447" i="9"/>
  <c r="Z1448" i="9"/>
  <c r="Z1449" i="9"/>
  <c r="Z1450" i="9"/>
  <c r="Z1451" i="9"/>
  <c r="Z1452" i="9"/>
  <c r="Z1453" i="9"/>
  <c r="Z1454" i="9"/>
  <c r="Z1455" i="9"/>
  <c r="Z1456" i="9"/>
  <c r="Z1457" i="9"/>
  <c r="Z1458" i="9"/>
  <c r="Z1459" i="9"/>
  <c r="Z1460" i="9"/>
  <c r="Z1461" i="9"/>
  <c r="Z1462" i="9"/>
  <c r="Z1463" i="9"/>
  <c r="Z1464" i="9"/>
  <c r="Z1465" i="9"/>
  <c r="Z1466" i="9"/>
  <c r="Z1467" i="9"/>
  <c r="Z1468" i="9"/>
  <c r="Z1469" i="9"/>
  <c r="Z1470" i="9"/>
  <c r="Z1471" i="9"/>
  <c r="Z1472" i="9"/>
  <c r="Z1473" i="9"/>
  <c r="Z1474" i="9"/>
  <c r="Z1475" i="9"/>
  <c r="Z1476" i="9"/>
  <c r="Z1477" i="9"/>
  <c r="Z1478" i="9"/>
  <c r="Z1479" i="9"/>
  <c r="Z1480" i="9"/>
  <c r="Z1481" i="9"/>
  <c r="Z1482" i="9"/>
  <c r="Z1483" i="9"/>
  <c r="Z1484" i="9"/>
  <c r="Z1485" i="9"/>
  <c r="Z1486" i="9"/>
  <c r="Z1487" i="9"/>
  <c r="Z1488" i="9"/>
  <c r="Z1489" i="9"/>
  <c r="Z1490" i="9"/>
  <c r="Z1491" i="9"/>
  <c r="Z1492" i="9"/>
  <c r="Z1493" i="9"/>
  <c r="Z1494" i="9"/>
  <c r="Z1495" i="9"/>
  <c r="Z1496" i="9"/>
  <c r="Z1497" i="9"/>
  <c r="Z1498" i="9"/>
  <c r="Z1499" i="9"/>
  <c r="Z1500" i="9"/>
  <c r="Z1501" i="9"/>
  <c r="Z1502" i="9"/>
  <c r="Z1503" i="9"/>
  <c r="Z1504" i="9"/>
  <c r="Z1505" i="9"/>
  <c r="Z1506" i="9"/>
  <c r="Z1507" i="9"/>
  <c r="Z1508" i="9"/>
  <c r="Z1509" i="9"/>
  <c r="Z1510" i="9"/>
  <c r="Z1511" i="9"/>
  <c r="Z1512" i="9"/>
  <c r="Z1513" i="9"/>
  <c r="Z1514" i="9"/>
  <c r="Z1515" i="9"/>
  <c r="Z1516" i="9"/>
  <c r="Z1517" i="9"/>
  <c r="Z1518" i="9"/>
  <c r="Z1519" i="9"/>
  <c r="Z1520" i="9"/>
  <c r="Z1521" i="9"/>
  <c r="Z1522" i="9"/>
  <c r="Z1523" i="9"/>
  <c r="Z1524" i="9"/>
  <c r="Z1525" i="9"/>
  <c r="Z1526" i="9"/>
  <c r="Z1527" i="9"/>
  <c r="Z1528" i="9"/>
  <c r="Z1529" i="9"/>
  <c r="Z1530" i="9"/>
  <c r="Z1531" i="9"/>
  <c r="Z1532" i="9"/>
  <c r="Z1533" i="9"/>
  <c r="Z1534" i="9"/>
  <c r="Z1535" i="9"/>
  <c r="Z1536" i="9"/>
  <c r="Z1537" i="9"/>
  <c r="Z1538" i="9"/>
  <c r="Z1539" i="9"/>
  <c r="Z1540" i="9"/>
  <c r="Z1541" i="9"/>
  <c r="Z1542" i="9"/>
  <c r="Z1543" i="9"/>
  <c r="Z1544" i="9"/>
  <c r="G4" i="1"/>
  <c r="F5" i="1"/>
  <c r="G6" i="1"/>
  <c r="G7" i="1"/>
  <c r="G8" i="1"/>
  <c r="F9" i="1"/>
  <c r="F10" i="1"/>
  <c r="G11" i="1"/>
  <c r="G12" i="1"/>
  <c r="F13" i="1"/>
  <c r="F14" i="1"/>
  <c r="G15" i="1"/>
  <c r="G16" i="1"/>
  <c r="F17" i="1"/>
  <c r="F18" i="1"/>
  <c r="G19" i="1"/>
  <c r="G20" i="1"/>
  <c r="F21" i="1"/>
  <c r="G22" i="1"/>
  <c r="G23" i="1"/>
  <c r="G24" i="1"/>
  <c r="F25" i="1"/>
  <c r="F26" i="1"/>
  <c r="G27" i="1"/>
  <c r="G28" i="1"/>
  <c r="G29" i="1"/>
  <c r="G30" i="1"/>
  <c r="G31" i="1"/>
  <c r="G32" i="1"/>
  <c r="G33" i="1"/>
  <c r="G34" i="1"/>
  <c r="G35" i="1"/>
  <c r="G36" i="1"/>
  <c r="G37" i="1"/>
  <c r="G38" i="1"/>
  <c r="G39" i="1"/>
  <c r="G40" i="1"/>
  <c r="G41" i="1"/>
  <c r="G42" i="1"/>
  <c r="G43" i="1"/>
  <c r="G44" i="1"/>
  <c r="G45" i="1"/>
  <c r="G46" i="1"/>
  <c r="G47" i="1"/>
  <c r="G48" i="1"/>
  <c r="G49" i="1"/>
  <c r="F50" i="1"/>
  <c r="G51" i="1"/>
  <c r="G52" i="1"/>
  <c r="F53" i="1"/>
  <c r="G54" i="1"/>
  <c r="G55" i="1"/>
  <c r="G56" i="1"/>
  <c r="G57" i="1"/>
  <c r="F58" i="1"/>
  <c r="G59" i="1"/>
  <c r="G60" i="1"/>
  <c r="F61" i="1"/>
  <c r="G62" i="1"/>
  <c r="G63" i="1"/>
  <c r="G64" i="1"/>
  <c r="G65" i="1"/>
  <c r="F66" i="1"/>
  <c r="G67" i="1"/>
  <c r="G68" i="1"/>
  <c r="F69" i="1"/>
  <c r="G70" i="1"/>
  <c r="G71" i="1"/>
  <c r="G72" i="1"/>
  <c r="G73" i="1"/>
  <c r="F74" i="1"/>
  <c r="G75" i="1"/>
  <c r="G76" i="1"/>
  <c r="F77" i="1"/>
  <c r="G78" i="1"/>
  <c r="G79" i="1"/>
  <c r="G80" i="1"/>
  <c r="G81" i="1"/>
  <c r="F82" i="1"/>
  <c r="G83" i="1"/>
  <c r="G84" i="1"/>
  <c r="F85" i="1"/>
  <c r="G86" i="1"/>
  <c r="G87" i="1"/>
  <c r="G88" i="1"/>
  <c r="G89" i="1"/>
  <c r="F90" i="1"/>
  <c r="G91" i="1"/>
  <c r="G92" i="1"/>
  <c r="F93" i="1"/>
  <c r="G94" i="1"/>
  <c r="G95" i="1"/>
  <c r="G96" i="1"/>
  <c r="G97" i="1"/>
  <c r="F98" i="1"/>
  <c r="G99" i="1"/>
  <c r="G100" i="1"/>
  <c r="F101" i="1"/>
  <c r="G102" i="1"/>
  <c r="G103" i="1"/>
  <c r="G104" i="1"/>
  <c r="G105" i="1"/>
  <c r="F106" i="1"/>
  <c r="G107" i="1"/>
  <c r="G108" i="1"/>
  <c r="F109" i="1"/>
  <c r="G110" i="1"/>
  <c r="G111" i="1"/>
  <c r="G112" i="1"/>
  <c r="G113" i="1"/>
  <c r="F114" i="1"/>
  <c r="G115" i="1"/>
  <c r="G116" i="1"/>
  <c r="F117" i="1"/>
  <c r="G118" i="1"/>
  <c r="G119" i="1"/>
  <c r="G120" i="1"/>
  <c r="G121" i="1"/>
  <c r="F122" i="1"/>
  <c r="G123" i="1"/>
  <c r="G124" i="1"/>
  <c r="F125" i="1"/>
  <c r="G126" i="1"/>
  <c r="G127" i="1"/>
  <c r="G128" i="1"/>
  <c r="G129" i="1"/>
  <c r="F130" i="1"/>
  <c r="G131" i="1"/>
  <c r="G132" i="1"/>
  <c r="F133" i="1"/>
  <c r="G134" i="1"/>
  <c r="G135" i="1"/>
  <c r="G136" i="1"/>
  <c r="G137" i="1"/>
  <c r="F138" i="1"/>
  <c r="H47" i="14" l="1"/>
  <c r="H82" i="14"/>
  <c r="H16" i="14"/>
  <c r="F110" i="1"/>
  <c r="F78" i="1"/>
  <c r="G138" i="1"/>
  <c r="G106" i="1"/>
  <c r="G74" i="1"/>
  <c r="F134" i="1"/>
  <c r="F102" i="1"/>
  <c r="F70" i="1"/>
  <c r="G130" i="1"/>
  <c r="G98" i="1"/>
  <c r="G66" i="1"/>
  <c r="F126" i="1"/>
  <c r="F94" i="1"/>
  <c r="F62" i="1"/>
  <c r="G122" i="1"/>
  <c r="G90" i="1"/>
  <c r="G58" i="1"/>
  <c r="F118" i="1"/>
  <c r="F86" i="1"/>
  <c r="F54" i="1"/>
  <c r="G114" i="1"/>
  <c r="G82" i="1"/>
  <c r="G50" i="1"/>
  <c r="F137" i="1"/>
  <c r="F129" i="1"/>
  <c r="F121" i="1"/>
  <c r="F113" i="1"/>
  <c r="F105" i="1"/>
  <c r="F97" i="1"/>
  <c r="F89" i="1"/>
  <c r="F81" i="1"/>
  <c r="F73" i="1"/>
  <c r="F65" i="1"/>
  <c r="F57" i="1"/>
  <c r="F49" i="1"/>
  <c r="G133" i="1"/>
  <c r="G125" i="1"/>
  <c r="G117" i="1"/>
  <c r="G109" i="1"/>
  <c r="G101" i="1"/>
  <c r="G93" i="1"/>
  <c r="G85" i="1"/>
  <c r="G77" i="1"/>
  <c r="G69" i="1"/>
  <c r="G61" i="1"/>
  <c r="G53" i="1"/>
  <c r="F136" i="1"/>
  <c r="F132" i="1"/>
  <c r="F128" i="1"/>
  <c r="F124" i="1"/>
  <c r="F120" i="1"/>
  <c r="F116" i="1"/>
  <c r="F112" i="1"/>
  <c r="F108" i="1"/>
  <c r="F104" i="1"/>
  <c r="F100" i="1"/>
  <c r="F96" i="1"/>
  <c r="F92" i="1"/>
  <c r="F88" i="1"/>
  <c r="F84" i="1"/>
  <c r="F80" i="1"/>
  <c r="F76" i="1"/>
  <c r="F72" i="1"/>
  <c r="F68" i="1"/>
  <c r="F64" i="1"/>
  <c r="F60" i="1"/>
  <c r="F56" i="1"/>
  <c r="F52" i="1"/>
  <c r="F48" i="1"/>
  <c r="F135" i="1"/>
  <c r="F131" i="1"/>
  <c r="F127" i="1"/>
  <c r="F123" i="1"/>
  <c r="F119" i="1"/>
  <c r="F115" i="1"/>
  <c r="F111" i="1"/>
  <c r="F107" i="1"/>
  <c r="F103" i="1"/>
  <c r="F99" i="1"/>
  <c r="F95" i="1"/>
  <c r="F91" i="1"/>
  <c r="F87" i="1"/>
  <c r="F83" i="1"/>
  <c r="F79" i="1"/>
  <c r="F75" i="1"/>
  <c r="F71" i="1"/>
  <c r="F67" i="1"/>
  <c r="F63" i="1"/>
  <c r="F59" i="1"/>
  <c r="F55" i="1"/>
  <c r="F51" i="1"/>
  <c r="F47" i="1"/>
  <c r="F46" i="1"/>
  <c r="F42" i="1"/>
  <c r="F38" i="1"/>
  <c r="F34" i="1"/>
  <c r="F30" i="1"/>
  <c r="F24" i="1"/>
  <c r="F45" i="1"/>
  <c r="F41" i="1"/>
  <c r="F37" i="1"/>
  <c r="F33" i="1"/>
  <c r="F29" i="1"/>
  <c r="F19" i="1"/>
  <c r="F44" i="1"/>
  <c r="F40" i="1"/>
  <c r="F36" i="1"/>
  <c r="F32" i="1"/>
  <c r="F28" i="1"/>
  <c r="F11" i="1"/>
  <c r="F43" i="1"/>
  <c r="F39" i="1"/>
  <c r="F35" i="1"/>
  <c r="F31" i="1"/>
  <c r="F27" i="1"/>
  <c r="F8" i="1"/>
  <c r="G26" i="1"/>
  <c r="G10" i="1"/>
  <c r="F22" i="1"/>
  <c r="F16" i="1"/>
  <c r="F6" i="1"/>
  <c r="G14" i="1"/>
  <c r="F20" i="1"/>
  <c r="F15" i="1"/>
  <c r="F4" i="1"/>
  <c r="G18" i="1"/>
  <c r="F23" i="1"/>
  <c r="F12" i="1"/>
  <c r="F7" i="1"/>
  <c r="G5" i="1"/>
  <c r="G25" i="1"/>
  <c r="G21" i="1"/>
  <c r="G17" i="1"/>
  <c r="G13" i="1"/>
  <c r="G9" i="1"/>
  <c r="I82" i="14" l="1"/>
  <c r="I47" i="14"/>
  <c r="I16" i="14"/>
  <c r="N2" i="24"/>
  <c r="N4" i="24"/>
  <c r="N5" i="24"/>
  <c r="N6" i="24"/>
  <c r="N7" i="24"/>
  <c r="N3" i="24"/>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G184" i="9"/>
  <c r="G185" i="9"/>
  <c r="G186" i="9"/>
  <c r="G187" i="9"/>
  <c r="G188" i="9"/>
  <c r="G189" i="9"/>
  <c r="G190" i="9"/>
  <c r="G191" i="9"/>
  <c r="G192" i="9"/>
  <c r="G193" i="9"/>
  <c r="G194" i="9"/>
  <c r="G195" i="9"/>
  <c r="G196" i="9"/>
  <c r="G197" i="9"/>
  <c r="G198" i="9"/>
  <c r="G199" i="9"/>
  <c r="G200" i="9"/>
  <c r="G201" i="9"/>
  <c r="G202" i="9"/>
  <c r="G203" i="9"/>
  <c r="G204" i="9"/>
  <c r="G205" i="9"/>
  <c r="G206" i="9"/>
  <c r="G207" i="9"/>
  <c r="G208" i="9"/>
  <c r="G209" i="9"/>
  <c r="G210" i="9"/>
  <c r="G211" i="9"/>
  <c r="G212" i="9"/>
  <c r="G213" i="9"/>
  <c r="G214" i="9"/>
  <c r="G215" i="9"/>
  <c r="G216" i="9"/>
  <c r="G217" i="9"/>
  <c r="G218" i="9"/>
  <c r="G219" i="9"/>
  <c r="G220" i="9"/>
  <c r="G221" i="9"/>
  <c r="G222" i="9"/>
  <c r="G223" i="9"/>
  <c r="G224" i="9"/>
  <c r="G225" i="9"/>
  <c r="G226" i="9"/>
  <c r="G227" i="9"/>
  <c r="G228" i="9"/>
  <c r="G229" i="9"/>
  <c r="G230" i="9"/>
  <c r="G231" i="9"/>
  <c r="G232" i="9"/>
  <c r="G233" i="9"/>
  <c r="G234" i="9"/>
  <c r="G235" i="9"/>
  <c r="G236" i="9"/>
  <c r="G237" i="9"/>
  <c r="G238" i="9"/>
  <c r="G239" i="9"/>
  <c r="G240" i="9"/>
  <c r="G241" i="9"/>
  <c r="G242" i="9"/>
  <c r="G243" i="9"/>
  <c r="G244" i="9"/>
  <c r="G245" i="9"/>
  <c r="G246" i="9"/>
  <c r="G247" i="9"/>
  <c r="G248" i="9"/>
  <c r="G249" i="9"/>
  <c r="G250" i="9"/>
  <c r="G251" i="9"/>
  <c r="G252" i="9"/>
  <c r="G253" i="9"/>
  <c r="G254" i="9"/>
  <c r="G255" i="9"/>
  <c r="G256" i="9"/>
  <c r="G257" i="9"/>
  <c r="G258" i="9"/>
  <c r="G259" i="9"/>
  <c r="G260" i="9"/>
  <c r="G261" i="9"/>
  <c r="G262" i="9"/>
  <c r="G263" i="9"/>
  <c r="G264" i="9"/>
  <c r="G265" i="9"/>
  <c r="G266" i="9"/>
  <c r="G267" i="9"/>
  <c r="G268" i="9"/>
  <c r="G269" i="9"/>
  <c r="G270" i="9"/>
  <c r="G271" i="9"/>
  <c r="G272" i="9"/>
  <c r="G273" i="9"/>
  <c r="G274" i="9"/>
  <c r="G275" i="9"/>
  <c r="G276" i="9"/>
  <c r="G277" i="9"/>
  <c r="G278" i="9"/>
  <c r="G279" i="9"/>
  <c r="G280" i="9"/>
  <c r="G281" i="9"/>
  <c r="G282" i="9"/>
  <c r="G283" i="9"/>
  <c r="G284" i="9"/>
  <c r="G285" i="9"/>
  <c r="G286" i="9"/>
  <c r="G287" i="9"/>
  <c r="G288" i="9"/>
  <c r="G289" i="9"/>
  <c r="G290" i="9"/>
  <c r="G291" i="9"/>
  <c r="G292" i="9"/>
  <c r="G293" i="9"/>
  <c r="G294" i="9"/>
  <c r="G295" i="9"/>
  <c r="G296" i="9"/>
  <c r="G297" i="9"/>
  <c r="G298" i="9"/>
  <c r="G299" i="9"/>
  <c r="G300" i="9"/>
  <c r="G301" i="9"/>
  <c r="G302" i="9"/>
  <c r="G303" i="9"/>
  <c r="G304" i="9"/>
  <c r="G305" i="9"/>
  <c r="G306" i="9"/>
  <c r="G307" i="9"/>
  <c r="G308" i="9"/>
  <c r="G309" i="9"/>
  <c r="G310" i="9"/>
  <c r="G311" i="9"/>
  <c r="G312" i="9"/>
  <c r="G313" i="9"/>
  <c r="G314" i="9"/>
  <c r="G315" i="9"/>
  <c r="G316" i="9"/>
  <c r="G317" i="9"/>
  <c r="G318" i="9"/>
  <c r="G319" i="9"/>
  <c r="G320" i="9"/>
  <c r="G321" i="9"/>
  <c r="G322" i="9"/>
  <c r="G323" i="9"/>
  <c r="G324" i="9"/>
  <c r="G325" i="9"/>
  <c r="G326" i="9"/>
  <c r="G327" i="9"/>
  <c r="G328" i="9"/>
  <c r="G329" i="9"/>
  <c r="G330" i="9"/>
  <c r="G331" i="9"/>
  <c r="G332" i="9"/>
  <c r="G333" i="9"/>
  <c r="G334" i="9"/>
  <c r="G335" i="9"/>
  <c r="G336" i="9"/>
  <c r="G337" i="9"/>
  <c r="G338" i="9"/>
  <c r="G339" i="9"/>
  <c r="G340" i="9"/>
  <c r="G341" i="9"/>
  <c r="G342" i="9"/>
  <c r="G343" i="9"/>
  <c r="G344" i="9"/>
  <c r="G345" i="9"/>
  <c r="G346" i="9"/>
  <c r="G347" i="9"/>
  <c r="G348" i="9"/>
  <c r="G349" i="9"/>
  <c r="G350" i="9"/>
  <c r="G351" i="9"/>
  <c r="G352" i="9"/>
  <c r="G353" i="9"/>
  <c r="G354" i="9"/>
  <c r="G355" i="9"/>
  <c r="G356" i="9"/>
  <c r="G357" i="9"/>
  <c r="G358" i="9"/>
  <c r="G359" i="9"/>
  <c r="G360" i="9"/>
  <c r="G361" i="9"/>
  <c r="G362" i="9"/>
  <c r="G363" i="9"/>
  <c r="G364" i="9"/>
  <c r="G365" i="9"/>
  <c r="G366" i="9"/>
  <c r="G367" i="9"/>
  <c r="G368" i="9"/>
  <c r="G369" i="9"/>
  <c r="G370" i="9"/>
  <c r="G371" i="9"/>
  <c r="G372" i="9"/>
  <c r="G373" i="9"/>
  <c r="G374" i="9"/>
  <c r="G375" i="9"/>
  <c r="G376" i="9"/>
  <c r="G377" i="9"/>
  <c r="G378" i="9"/>
  <c r="G379" i="9"/>
  <c r="G380" i="9"/>
  <c r="G381" i="9"/>
  <c r="G382" i="9"/>
  <c r="G383" i="9"/>
  <c r="G384" i="9"/>
  <c r="G385" i="9"/>
  <c r="G386" i="9"/>
  <c r="G387" i="9"/>
  <c r="G388" i="9"/>
  <c r="G389" i="9"/>
  <c r="G390" i="9"/>
  <c r="G391" i="9"/>
  <c r="G392" i="9"/>
  <c r="G393" i="9"/>
  <c r="G394" i="9"/>
  <c r="G395" i="9"/>
  <c r="G396" i="9"/>
  <c r="G397" i="9"/>
  <c r="G398" i="9"/>
  <c r="G399" i="9"/>
  <c r="G400" i="9"/>
  <c r="G401" i="9"/>
  <c r="G402" i="9"/>
  <c r="G403" i="9"/>
  <c r="G404" i="9"/>
  <c r="G405" i="9"/>
  <c r="G406" i="9"/>
  <c r="G407" i="9"/>
  <c r="G408" i="9"/>
  <c r="G409" i="9"/>
  <c r="G410" i="9"/>
  <c r="G411" i="9"/>
  <c r="G412" i="9"/>
  <c r="G413" i="9"/>
  <c r="G414" i="9"/>
  <c r="G415" i="9"/>
  <c r="G416" i="9"/>
  <c r="G417" i="9"/>
  <c r="G418" i="9"/>
  <c r="G419" i="9"/>
  <c r="G420" i="9"/>
  <c r="G421" i="9"/>
  <c r="G422" i="9"/>
  <c r="G423" i="9"/>
  <c r="G424" i="9"/>
  <c r="G425" i="9"/>
  <c r="G426" i="9"/>
  <c r="G427" i="9"/>
  <c r="G428" i="9"/>
  <c r="G429" i="9"/>
  <c r="G430" i="9"/>
  <c r="G431" i="9"/>
  <c r="G432" i="9"/>
  <c r="G433" i="9"/>
  <c r="G434" i="9"/>
  <c r="G435" i="9"/>
  <c r="G436" i="9"/>
  <c r="G437" i="9"/>
  <c r="G438" i="9"/>
  <c r="G439" i="9"/>
  <c r="G440" i="9"/>
  <c r="G441" i="9"/>
  <c r="G442" i="9"/>
  <c r="G443" i="9"/>
  <c r="G444" i="9"/>
  <c r="G445" i="9"/>
  <c r="G446" i="9"/>
  <c r="G447" i="9"/>
  <c r="G448" i="9"/>
  <c r="G449" i="9"/>
  <c r="G450" i="9"/>
  <c r="G451" i="9"/>
  <c r="G452" i="9"/>
  <c r="G453" i="9"/>
  <c r="G454" i="9"/>
  <c r="G455" i="9"/>
  <c r="G456" i="9"/>
  <c r="G457" i="9"/>
  <c r="G458" i="9"/>
  <c r="G459" i="9"/>
  <c r="G460" i="9"/>
  <c r="G461" i="9"/>
  <c r="G462" i="9"/>
  <c r="G463" i="9"/>
  <c r="G464" i="9"/>
  <c r="G465" i="9"/>
  <c r="G466" i="9"/>
  <c r="G467" i="9"/>
  <c r="G468" i="9"/>
  <c r="G469" i="9"/>
  <c r="G470" i="9"/>
  <c r="G471" i="9"/>
  <c r="G472" i="9"/>
  <c r="G473" i="9"/>
  <c r="G474" i="9"/>
  <c r="G475" i="9"/>
  <c r="G476" i="9"/>
  <c r="G477" i="9"/>
  <c r="G478" i="9"/>
  <c r="G479" i="9"/>
  <c r="G480" i="9"/>
  <c r="G481" i="9"/>
  <c r="G482" i="9"/>
  <c r="G483" i="9"/>
  <c r="G484" i="9"/>
  <c r="G485" i="9"/>
  <c r="G486" i="9"/>
  <c r="G487" i="9"/>
  <c r="G488" i="9"/>
  <c r="G489" i="9"/>
  <c r="G490" i="9"/>
  <c r="G491" i="9"/>
  <c r="G492" i="9"/>
  <c r="G493" i="9"/>
  <c r="G494" i="9"/>
  <c r="G495" i="9"/>
  <c r="G496" i="9"/>
  <c r="G497" i="9"/>
  <c r="G498" i="9"/>
  <c r="G499" i="9"/>
  <c r="G500" i="9"/>
  <c r="G501" i="9"/>
  <c r="G502" i="9"/>
  <c r="G503" i="9"/>
  <c r="G504" i="9"/>
  <c r="G505" i="9"/>
  <c r="G506" i="9"/>
  <c r="G507" i="9"/>
  <c r="G508" i="9"/>
  <c r="G509" i="9"/>
  <c r="G510" i="9"/>
  <c r="G511" i="9"/>
  <c r="G512" i="9"/>
  <c r="G513" i="9"/>
  <c r="G514" i="9"/>
  <c r="G515" i="9"/>
  <c r="G516" i="9"/>
  <c r="G517" i="9"/>
  <c r="G518" i="9"/>
  <c r="G519" i="9"/>
  <c r="G520" i="9"/>
  <c r="G521" i="9"/>
  <c r="G522" i="9"/>
  <c r="G523" i="9"/>
  <c r="G524" i="9"/>
  <c r="G525" i="9"/>
  <c r="G526" i="9"/>
  <c r="G527" i="9"/>
  <c r="G528" i="9"/>
  <c r="G529" i="9"/>
  <c r="G530" i="9"/>
  <c r="G531" i="9"/>
  <c r="G532" i="9"/>
  <c r="G533" i="9"/>
  <c r="G534" i="9"/>
  <c r="G535" i="9"/>
  <c r="G536" i="9"/>
  <c r="G537" i="9"/>
  <c r="G538" i="9"/>
  <c r="G539" i="9"/>
  <c r="G540" i="9"/>
  <c r="G541" i="9"/>
  <c r="G542" i="9"/>
  <c r="G543" i="9"/>
  <c r="G544" i="9"/>
  <c r="G545" i="9"/>
  <c r="G546" i="9"/>
  <c r="G547" i="9"/>
  <c r="G548" i="9"/>
  <c r="G549" i="9"/>
  <c r="G550" i="9"/>
  <c r="G551" i="9"/>
  <c r="G552" i="9"/>
  <c r="G553" i="9"/>
  <c r="G554" i="9"/>
  <c r="G555" i="9"/>
  <c r="G556" i="9"/>
  <c r="G557" i="9"/>
  <c r="G558" i="9"/>
  <c r="G559" i="9"/>
  <c r="G560" i="9"/>
  <c r="G561" i="9"/>
  <c r="G562" i="9"/>
  <c r="G563" i="9"/>
  <c r="G564" i="9"/>
  <c r="G565" i="9"/>
  <c r="G566" i="9"/>
  <c r="G567" i="9"/>
  <c r="G568" i="9"/>
  <c r="G569" i="9"/>
  <c r="G570" i="9"/>
  <c r="G571" i="9"/>
  <c r="G572" i="9"/>
  <c r="G573" i="9"/>
  <c r="G574" i="9"/>
  <c r="G575" i="9"/>
  <c r="G576" i="9"/>
  <c r="G577" i="9"/>
  <c r="G578" i="9"/>
  <c r="G579" i="9"/>
  <c r="G580" i="9"/>
  <c r="G581" i="9"/>
  <c r="G582" i="9"/>
  <c r="G583" i="9"/>
  <c r="G584" i="9"/>
  <c r="G585" i="9"/>
  <c r="G586" i="9"/>
  <c r="G587" i="9"/>
  <c r="G588" i="9"/>
  <c r="G589" i="9"/>
  <c r="G590" i="9"/>
  <c r="G591" i="9"/>
  <c r="G592" i="9"/>
  <c r="G593" i="9"/>
  <c r="G594" i="9"/>
  <c r="G595" i="9"/>
  <c r="G596" i="9"/>
  <c r="G597" i="9"/>
  <c r="G598" i="9"/>
  <c r="G599" i="9"/>
  <c r="G600" i="9"/>
  <c r="G601" i="9"/>
  <c r="G602" i="9"/>
  <c r="G603" i="9"/>
  <c r="G604" i="9"/>
  <c r="G605" i="9"/>
  <c r="G606" i="9"/>
  <c r="G607" i="9"/>
  <c r="G608" i="9"/>
  <c r="G609" i="9"/>
  <c r="G610" i="9"/>
  <c r="G611" i="9"/>
  <c r="G612" i="9"/>
  <c r="G613" i="9"/>
  <c r="G614" i="9"/>
  <c r="G615" i="9"/>
  <c r="G616" i="9"/>
  <c r="G617" i="9"/>
  <c r="G618" i="9"/>
  <c r="G619" i="9"/>
  <c r="G620" i="9"/>
  <c r="G621" i="9"/>
  <c r="G622" i="9"/>
  <c r="G623" i="9"/>
  <c r="G624" i="9"/>
  <c r="G625" i="9"/>
  <c r="G626" i="9"/>
  <c r="G627" i="9"/>
  <c r="G628" i="9"/>
  <c r="G629" i="9"/>
  <c r="G630" i="9"/>
  <c r="G631" i="9"/>
  <c r="G632" i="9"/>
  <c r="G633" i="9"/>
  <c r="G634" i="9"/>
  <c r="G635" i="9"/>
  <c r="G636" i="9"/>
  <c r="G637" i="9"/>
  <c r="G638" i="9"/>
  <c r="G639" i="9"/>
  <c r="G640" i="9"/>
  <c r="G641" i="9"/>
  <c r="G642" i="9"/>
  <c r="G643" i="9"/>
  <c r="G644" i="9"/>
  <c r="G645" i="9"/>
  <c r="G646" i="9"/>
  <c r="G647" i="9"/>
  <c r="G648" i="9"/>
  <c r="G649" i="9"/>
  <c r="G650" i="9"/>
  <c r="G651" i="9"/>
  <c r="G652" i="9"/>
  <c r="G653" i="9"/>
  <c r="G654" i="9"/>
  <c r="G655" i="9"/>
  <c r="G656" i="9"/>
  <c r="G657" i="9"/>
  <c r="G658" i="9"/>
  <c r="G659" i="9"/>
  <c r="G660" i="9"/>
  <c r="G661" i="9"/>
  <c r="G662" i="9"/>
  <c r="G663" i="9"/>
  <c r="G664" i="9"/>
  <c r="G665" i="9"/>
  <c r="G666" i="9"/>
  <c r="G667" i="9"/>
  <c r="G668" i="9"/>
  <c r="G669" i="9"/>
  <c r="G670" i="9"/>
  <c r="G671" i="9"/>
  <c r="G672" i="9"/>
  <c r="G673" i="9"/>
  <c r="G674" i="9"/>
  <c r="G675" i="9"/>
  <c r="G676" i="9"/>
  <c r="G677" i="9"/>
  <c r="G678" i="9"/>
  <c r="G679" i="9"/>
  <c r="G680" i="9"/>
  <c r="G681" i="9"/>
  <c r="G682" i="9"/>
  <c r="G683" i="9"/>
  <c r="G684" i="9"/>
  <c r="G685" i="9"/>
  <c r="G686" i="9"/>
  <c r="G687" i="9"/>
  <c r="G688" i="9"/>
  <c r="G689" i="9"/>
  <c r="G690" i="9"/>
  <c r="G691" i="9"/>
  <c r="G692" i="9"/>
  <c r="G693" i="9"/>
  <c r="G694" i="9"/>
  <c r="G695" i="9"/>
  <c r="G696" i="9"/>
  <c r="G697" i="9"/>
  <c r="G698" i="9"/>
  <c r="G699" i="9"/>
  <c r="G700" i="9"/>
  <c r="G701" i="9"/>
  <c r="G702" i="9"/>
  <c r="G703" i="9"/>
  <c r="G704" i="9"/>
  <c r="G705" i="9"/>
  <c r="G706" i="9"/>
  <c r="G707" i="9"/>
  <c r="G708" i="9"/>
  <c r="G709" i="9"/>
  <c r="G710" i="9"/>
  <c r="G711" i="9"/>
  <c r="G712" i="9"/>
  <c r="G713" i="9"/>
  <c r="G714" i="9"/>
  <c r="G715" i="9"/>
  <c r="G716" i="9"/>
  <c r="G717" i="9"/>
  <c r="G718" i="9"/>
  <c r="G719" i="9"/>
  <c r="G720" i="9"/>
  <c r="G721" i="9"/>
  <c r="G722" i="9"/>
  <c r="G723" i="9"/>
  <c r="G724" i="9"/>
  <c r="G725" i="9"/>
  <c r="G726" i="9"/>
  <c r="G727" i="9"/>
  <c r="G728" i="9"/>
  <c r="G729" i="9"/>
  <c r="G730" i="9"/>
  <c r="G731" i="9"/>
  <c r="G732" i="9"/>
  <c r="G733" i="9"/>
  <c r="G734" i="9"/>
  <c r="G735" i="9"/>
  <c r="G736" i="9"/>
  <c r="G737" i="9"/>
  <c r="G738" i="9"/>
  <c r="G739" i="9"/>
  <c r="G740" i="9"/>
  <c r="G741" i="9"/>
  <c r="G742" i="9"/>
  <c r="G743" i="9"/>
  <c r="G744" i="9"/>
  <c r="G745" i="9"/>
  <c r="G746" i="9"/>
  <c r="G747" i="9"/>
  <c r="G748" i="9"/>
  <c r="G749" i="9"/>
  <c r="G750" i="9"/>
  <c r="G751" i="9"/>
  <c r="G752" i="9"/>
  <c r="G753" i="9"/>
  <c r="G754" i="9"/>
  <c r="G755" i="9"/>
  <c r="G756" i="9"/>
  <c r="G757" i="9"/>
  <c r="G758" i="9"/>
  <c r="G759" i="9"/>
  <c r="G760" i="9"/>
  <c r="G761" i="9"/>
  <c r="G762" i="9"/>
  <c r="G763" i="9"/>
  <c r="G764" i="9"/>
  <c r="G765" i="9"/>
  <c r="G766" i="9"/>
  <c r="G767" i="9"/>
  <c r="G768" i="9"/>
  <c r="G769" i="9"/>
  <c r="G770" i="9"/>
  <c r="G771" i="9"/>
  <c r="G772" i="9"/>
  <c r="G773" i="9"/>
  <c r="G774" i="9"/>
  <c r="G775" i="9"/>
  <c r="G776" i="9"/>
  <c r="G777" i="9"/>
  <c r="G778" i="9"/>
  <c r="G779" i="9"/>
  <c r="G780" i="9"/>
  <c r="G781" i="9"/>
  <c r="G782" i="9"/>
  <c r="G783" i="9"/>
  <c r="G784" i="9"/>
  <c r="G785" i="9"/>
  <c r="G786" i="9"/>
  <c r="G787" i="9"/>
  <c r="G788" i="9"/>
  <c r="G789" i="9"/>
  <c r="G790" i="9"/>
  <c r="G791" i="9"/>
  <c r="G792" i="9"/>
  <c r="G793" i="9"/>
  <c r="G794" i="9"/>
  <c r="G795" i="9"/>
  <c r="G796" i="9"/>
  <c r="G797" i="9"/>
  <c r="G798" i="9"/>
  <c r="G799" i="9"/>
  <c r="G800" i="9"/>
  <c r="G801" i="9"/>
  <c r="G802" i="9"/>
  <c r="G803" i="9"/>
  <c r="G804" i="9"/>
  <c r="G805" i="9"/>
  <c r="G806" i="9"/>
  <c r="G807" i="9"/>
  <c r="G808" i="9"/>
  <c r="G809" i="9"/>
  <c r="G810" i="9"/>
  <c r="G811" i="9"/>
  <c r="G812" i="9"/>
  <c r="G813" i="9"/>
  <c r="G814" i="9"/>
  <c r="G815" i="9"/>
  <c r="G816" i="9"/>
  <c r="G817" i="9"/>
  <c r="G818" i="9"/>
  <c r="G819" i="9"/>
  <c r="G820" i="9"/>
  <c r="G821" i="9"/>
  <c r="G822" i="9"/>
  <c r="G823" i="9"/>
  <c r="G824" i="9"/>
  <c r="G825" i="9"/>
  <c r="G826" i="9"/>
  <c r="G827" i="9"/>
  <c r="G828" i="9"/>
  <c r="G829" i="9"/>
  <c r="G830" i="9"/>
  <c r="G831" i="9"/>
  <c r="G832" i="9"/>
  <c r="G833" i="9"/>
  <c r="G834" i="9"/>
  <c r="G835" i="9"/>
  <c r="G836" i="9"/>
  <c r="G837" i="9"/>
  <c r="G838" i="9"/>
  <c r="G839" i="9"/>
  <c r="G840" i="9"/>
  <c r="G841" i="9"/>
  <c r="G842" i="9"/>
  <c r="G843" i="9"/>
  <c r="G844" i="9"/>
  <c r="G845" i="9"/>
  <c r="G846" i="9"/>
  <c r="G847" i="9"/>
  <c r="G848" i="9"/>
  <c r="G849" i="9"/>
  <c r="G850" i="9"/>
  <c r="G851" i="9"/>
  <c r="G852" i="9"/>
  <c r="G853" i="9"/>
  <c r="G854" i="9"/>
  <c r="G855" i="9"/>
  <c r="G856" i="9"/>
  <c r="G857" i="9"/>
  <c r="G858" i="9"/>
  <c r="G859" i="9"/>
  <c r="G860" i="9"/>
  <c r="G861" i="9"/>
  <c r="G862" i="9"/>
  <c r="G863" i="9"/>
  <c r="G864" i="9"/>
  <c r="G865" i="9"/>
  <c r="G866" i="9"/>
  <c r="G867" i="9"/>
  <c r="G868" i="9"/>
  <c r="G869" i="9"/>
  <c r="G870" i="9"/>
  <c r="G871" i="9"/>
  <c r="G872" i="9"/>
  <c r="G873" i="9"/>
  <c r="G874" i="9"/>
  <c r="G875" i="9"/>
  <c r="G876" i="9"/>
  <c r="G877" i="9"/>
  <c r="G878" i="9"/>
  <c r="G879" i="9"/>
  <c r="G880" i="9"/>
  <c r="G881" i="9"/>
  <c r="G882" i="9"/>
  <c r="G883" i="9"/>
  <c r="G884" i="9"/>
  <c r="G885" i="9"/>
  <c r="G886" i="9"/>
  <c r="G887" i="9"/>
  <c r="G888" i="9"/>
  <c r="G889" i="9"/>
  <c r="G890" i="9"/>
  <c r="G891" i="9"/>
  <c r="G892" i="9"/>
  <c r="G893" i="9"/>
  <c r="G894" i="9"/>
  <c r="G895" i="9"/>
  <c r="G896" i="9"/>
  <c r="G897" i="9"/>
  <c r="G898" i="9"/>
  <c r="G899" i="9"/>
  <c r="G900" i="9"/>
  <c r="G901" i="9"/>
  <c r="G902" i="9"/>
  <c r="G903" i="9"/>
  <c r="G904" i="9"/>
  <c r="G905" i="9"/>
  <c r="G906" i="9"/>
  <c r="G907" i="9"/>
  <c r="G908" i="9"/>
  <c r="G909" i="9"/>
  <c r="G910" i="9"/>
  <c r="G911" i="9"/>
  <c r="G912" i="9"/>
  <c r="G913" i="9"/>
  <c r="G914" i="9"/>
  <c r="G915" i="9"/>
  <c r="G916" i="9"/>
  <c r="G917" i="9"/>
  <c r="G918" i="9"/>
  <c r="G919" i="9"/>
  <c r="G920" i="9"/>
  <c r="G921" i="9"/>
  <c r="G922" i="9"/>
  <c r="G923" i="9"/>
  <c r="G924" i="9"/>
  <c r="G925" i="9"/>
  <c r="G926" i="9"/>
  <c r="G927" i="9"/>
  <c r="G928" i="9"/>
  <c r="G929" i="9"/>
  <c r="G930" i="9"/>
  <c r="G931" i="9"/>
  <c r="G932" i="9"/>
  <c r="G933" i="9"/>
  <c r="G934" i="9"/>
  <c r="G935" i="9"/>
  <c r="G936" i="9"/>
  <c r="G937" i="9"/>
  <c r="G938" i="9"/>
  <c r="G939" i="9"/>
  <c r="G940" i="9"/>
  <c r="G941" i="9"/>
  <c r="G942" i="9"/>
  <c r="G943" i="9"/>
  <c r="G944" i="9"/>
  <c r="G945" i="9"/>
  <c r="G946" i="9"/>
  <c r="G947" i="9"/>
  <c r="G948" i="9"/>
  <c r="G949" i="9"/>
  <c r="G950" i="9"/>
  <c r="G951" i="9"/>
  <c r="G952" i="9"/>
  <c r="G953" i="9"/>
  <c r="G954" i="9"/>
  <c r="G955" i="9"/>
  <c r="G956" i="9"/>
  <c r="G957" i="9"/>
  <c r="G958" i="9"/>
  <c r="G959" i="9"/>
  <c r="G960" i="9"/>
  <c r="G961" i="9"/>
  <c r="G962" i="9"/>
  <c r="G963" i="9"/>
  <c r="G964" i="9"/>
  <c r="G965" i="9"/>
  <c r="G966" i="9"/>
  <c r="G967" i="9"/>
  <c r="G968" i="9"/>
  <c r="G969" i="9"/>
  <c r="G970" i="9"/>
  <c r="G971" i="9"/>
  <c r="G972" i="9"/>
  <c r="G973" i="9"/>
  <c r="G974" i="9"/>
  <c r="G975" i="9"/>
  <c r="G976" i="9"/>
  <c r="G977" i="9"/>
  <c r="G978" i="9"/>
  <c r="G979" i="9"/>
  <c r="G980" i="9"/>
  <c r="G981" i="9"/>
  <c r="G982" i="9"/>
  <c r="G983" i="9"/>
  <c r="G984" i="9"/>
  <c r="G985" i="9"/>
  <c r="G986" i="9"/>
  <c r="G987" i="9"/>
  <c r="G988" i="9"/>
  <c r="G989" i="9"/>
  <c r="G990" i="9"/>
  <c r="G991" i="9"/>
  <c r="G992" i="9"/>
  <c r="G993" i="9"/>
  <c r="G994" i="9"/>
  <c r="G995" i="9"/>
  <c r="G996" i="9"/>
  <c r="G997" i="9"/>
  <c r="G998" i="9"/>
  <c r="G999" i="9"/>
  <c r="G1000" i="9"/>
  <c r="G1001" i="9"/>
  <c r="G1002" i="9"/>
  <c r="G1003" i="9"/>
  <c r="G1004" i="9"/>
  <c r="G1005" i="9"/>
  <c r="G1006" i="9"/>
  <c r="G1007" i="9"/>
  <c r="G1008" i="9"/>
  <c r="G1009" i="9"/>
  <c r="G1010" i="9"/>
  <c r="G1011" i="9"/>
  <c r="G1012" i="9"/>
  <c r="G1013" i="9"/>
  <c r="G1014" i="9"/>
  <c r="G1015" i="9"/>
  <c r="G1016" i="9"/>
  <c r="G1017" i="9"/>
  <c r="G1018" i="9"/>
  <c r="G1019" i="9"/>
  <c r="G1020" i="9"/>
  <c r="G1021" i="9"/>
  <c r="G1022" i="9"/>
  <c r="G1023" i="9"/>
  <c r="G1024" i="9"/>
  <c r="G1025" i="9"/>
  <c r="G1026" i="9"/>
  <c r="G1027" i="9"/>
  <c r="G1028" i="9"/>
  <c r="G1029" i="9"/>
  <c r="G1030" i="9"/>
  <c r="G1031" i="9"/>
  <c r="G1032" i="9"/>
  <c r="G1033" i="9"/>
  <c r="G1034" i="9"/>
  <c r="G1035" i="9"/>
  <c r="G1036" i="9"/>
  <c r="G1037" i="9"/>
  <c r="G1038" i="9"/>
  <c r="G1039" i="9"/>
  <c r="G1040" i="9"/>
  <c r="G1041" i="9"/>
  <c r="G1042" i="9"/>
  <c r="G1043" i="9"/>
  <c r="G1044" i="9"/>
  <c r="G1045" i="9"/>
  <c r="G1046" i="9"/>
  <c r="G1047" i="9"/>
  <c r="G1048" i="9"/>
  <c r="G1049" i="9"/>
  <c r="G1050" i="9"/>
  <c r="G1051" i="9"/>
  <c r="G1052" i="9"/>
  <c r="G1053" i="9"/>
  <c r="G1054" i="9"/>
  <c r="G1055" i="9"/>
  <c r="G1056" i="9"/>
  <c r="G1057" i="9"/>
  <c r="G1058" i="9"/>
  <c r="G1059" i="9"/>
  <c r="G1060" i="9"/>
  <c r="G1061" i="9"/>
  <c r="G1062" i="9"/>
  <c r="G1063" i="9"/>
  <c r="G1064" i="9"/>
  <c r="G1065" i="9"/>
  <c r="G1066" i="9"/>
  <c r="G1067" i="9"/>
  <c r="G1068" i="9"/>
  <c r="G1069" i="9"/>
  <c r="G1070" i="9"/>
  <c r="G1071" i="9"/>
  <c r="G1072" i="9"/>
  <c r="G1073" i="9"/>
  <c r="G1074" i="9"/>
  <c r="G1075" i="9"/>
  <c r="G1076" i="9"/>
  <c r="G1077" i="9"/>
  <c r="G1078" i="9"/>
  <c r="G1079" i="9"/>
  <c r="G1080" i="9"/>
  <c r="G1081" i="9"/>
  <c r="G1082" i="9"/>
  <c r="G1083" i="9"/>
  <c r="G1084" i="9"/>
  <c r="G1085" i="9"/>
  <c r="G1086" i="9"/>
  <c r="G1087" i="9"/>
  <c r="G1088" i="9"/>
  <c r="G1089" i="9"/>
  <c r="G1090" i="9"/>
  <c r="G1091" i="9"/>
  <c r="G1092" i="9"/>
  <c r="G1093" i="9"/>
  <c r="G1094" i="9"/>
  <c r="G1095" i="9"/>
  <c r="G1096" i="9"/>
  <c r="G1097" i="9"/>
  <c r="G1098" i="9"/>
  <c r="G1099" i="9"/>
  <c r="G1100" i="9"/>
  <c r="G1101" i="9"/>
  <c r="G1102" i="9"/>
  <c r="G1103" i="9"/>
  <c r="G1104" i="9"/>
  <c r="G1105" i="9"/>
  <c r="G1106" i="9"/>
  <c r="G1107" i="9"/>
  <c r="G1108" i="9"/>
  <c r="G1109" i="9"/>
  <c r="G1110" i="9"/>
  <c r="G1111" i="9"/>
  <c r="G1112" i="9"/>
  <c r="G1113" i="9"/>
  <c r="G1114" i="9"/>
  <c r="G1115" i="9"/>
  <c r="G1116" i="9"/>
  <c r="G1117" i="9"/>
  <c r="G1118" i="9"/>
  <c r="G1119" i="9"/>
  <c r="G1120" i="9"/>
  <c r="G1121" i="9"/>
  <c r="G1122" i="9"/>
  <c r="G1123" i="9"/>
  <c r="G1124" i="9"/>
  <c r="G1125" i="9"/>
  <c r="G1126" i="9"/>
  <c r="G1127" i="9"/>
  <c r="G1128" i="9"/>
  <c r="G1129" i="9"/>
  <c r="G1130" i="9"/>
  <c r="G1131" i="9"/>
  <c r="G1132" i="9"/>
  <c r="G1133" i="9"/>
  <c r="G1134" i="9"/>
  <c r="G1135" i="9"/>
  <c r="G1136" i="9"/>
  <c r="G1137" i="9"/>
  <c r="G1138" i="9"/>
  <c r="G1139" i="9"/>
  <c r="G1140" i="9"/>
  <c r="G1141" i="9"/>
  <c r="G1142" i="9"/>
  <c r="G1143" i="9"/>
  <c r="G1144" i="9"/>
  <c r="G1145" i="9"/>
  <c r="G1146" i="9"/>
  <c r="G1147" i="9"/>
  <c r="G1148" i="9"/>
  <c r="G1149" i="9"/>
  <c r="G1150" i="9"/>
  <c r="G1151" i="9"/>
  <c r="G1152" i="9"/>
  <c r="G1153" i="9"/>
  <c r="G1154" i="9"/>
  <c r="G1155" i="9"/>
  <c r="G1156" i="9"/>
  <c r="G1157" i="9"/>
  <c r="G1158" i="9"/>
  <c r="G1159" i="9"/>
  <c r="G1160" i="9"/>
  <c r="G1161" i="9"/>
  <c r="G1162" i="9"/>
  <c r="G1163" i="9"/>
  <c r="G1164" i="9"/>
  <c r="G1165" i="9"/>
  <c r="G1166" i="9"/>
  <c r="G1167" i="9"/>
  <c r="G1168" i="9"/>
  <c r="G1169" i="9"/>
  <c r="G1170" i="9"/>
  <c r="G1171" i="9"/>
  <c r="G1172" i="9"/>
  <c r="G1173" i="9"/>
  <c r="G1174" i="9"/>
  <c r="G1175" i="9"/>
  <c r="G1176" i="9"/>
  <c r="G1177" i="9"/>
  <c r="G1178" i="9"/>
  <c r="G1179" i="9"/>
  <c r="G1180" i="9"/>
  <c r="G1181" i="9"/>
  <c r="G1182" i="9"/>
  <c r="G1183" i="9"/>
  <c r="G1184" i="9"/>
  <c r="G1185" i="9"/>
  <c r="G1186" i="9"/>
  <c r="G1187" i="9"/>
  <c r="G1188" i="9"/>
  <c r="G1189" i="9"/>
  <c r="G1190" i="9"/>
  <c r="G1191" i="9"/>
  <c r="G1192" i="9"/>
  <c r="G1193" i="9"/>
  <c r="G1194" i="9"/>
  <c r="G1195" i="9"/>
  <c r="G1196" i="9"/>
  <c r="G1197" i="9"/>
  <c r="G1198" i="9"/>
  <c r="G1199" i="9"/>
  <c r="G1200" i="9"/>
  <c r="G1201" i="9"/>
  <c r="G1202" i="9"/>
  <c r="G1203" i="9"/>
  <c r="G1204" i="9"/>
  <c r="G1205" i="9"/>
  <c r="G1206" i="9"/>
  <c r="G1207" i="9"/>
  <c r="G1208" i="9"/>
  <c r="G1209" i="9"/>
  <c r="G1210" i="9"/>
  <c r="G1211" i="9"/>
  <c r="G1212" i="9"/>
  <c r="G1213" i="9"/>
  <c r="G1214" i="9"/>
  <c r="G1215" i="9"/>
  <c r="G1216" i="9"/>
  <c r="G1217" i="9"/>
  <c r="G1218" i="9"/>
  <c r="G1219" i="9"/>
  <c r="G1220" i="9"/>
  <c r="G1221" i="9"/>
  <c r="G1222" i="9"/>
  <c r="G1223" i="9"/>
  <c r="G1224" i="9"/>
  <c r="G1225" i="9"/>
  <c r="G1226" i="9"/>
  <c r="G1227" i="9"/>
  <c r="G1228" i="9"/>
  <c r="G1229" i="9"/>
  <c r="G1230" i="9"/>
  <c r="G1231" i="9"/>
  <c r="G1232" i="9"/>
  <c r="G1233" i="9"/>
  <c r="G1234" i="9"/>
  <c r="G1235" i="9"/>
  <c r="G1236" i="9"/>
  <c r="G1237" i="9"/>
  <c r="G1238" i="9"/>
  <c r="G1239" i="9"/>
  <c r="G1240" i="9"/>
  <c r="G1241" i="9"/>
  <c r="G1242" i="9"/>
  <c r="G1243" i="9"/>
  <c r="G1244" i="9"/>
  <c r="G1245" i="9"/>
  <c r="G1246" i="9"/>
  <c r="G1247" i="9"/>
  <c r="G1248" i="9"/>
  <c r="G1249" i="9"/>
  <c r="G1250" i="9"/>
  <c r="G1251" i="9"/>
  <c r="G1252" i="9"/>
  <c r="G1253" i="9"/>
  <c r="G1254" i="9"/>
  <c r="G1255" i="9"/>
  <c r="G1256" i="9"/>
  <c r="G1257" i="9"/>
  <c r="G1258" i="9"/>
  <c r="G1259" i="9"/>
  <c r="G1260" i="9"/>
  <c r="G1261" i="9"/>
  <c r="G1262" i="9"/>
  <c r="G1263" i="9"/>
  <c r="G1264" i="9"/>
  <c r="G1265" i="9"/>
  <c r="G1266" i="9"/>
  <c r="G1267" i="9"/>
  <c r="G1268" i="9"/>
  <c r="G1269" i="9"/>
  <c r="G1270" i="9"/>
  <c r="G1271" i="9"/>
  <c r="G1272" i="9"/>
  <c r="G1273" i="9"/>
  <c r="G1274" i="9"/>
  <c r="G1275" i="9"/>
  <c r="G1276" i="9"/>
  <c r="G1277" i="9"/>
  <c r="G1278" i="9"/>
  <c r="G1279" i="9"/>
  <c r="G1280" i="9"/>
  <c r="G1281" i="9"/>
  <c r="G1282" i="9"/>
  <c r="G1283" i="9"/>
  <c r="G1284" i="9"/>
  <c r="G1285" i="9"/>
  <c r="G1286" i="9"/>
  <c r="G1287" i="9"/>
  <c r="G1288" i="9"/>
  <c r="G1289" i="9"/>
  <c r="G1290" i="9"/>
  <c r="G1291" i="9"/>
  <c r="G1292" i="9"/>
  <c r="G1293" i="9"/>
  <c r="G1294" i="9"/>
  <c r="G1295" i="9"/>
  <c r="G1296" i="9"/>
  <c r="G1297" i="9"/>
  <c r="G1298" i="9"/>
  <c r="G1299" i="9"/>
  <c r="G1300" i="9"/>
  <c r="G1301" i="9"/>
  <c r="G1302" i="9"/>
  <c r="G1303" i="9"/>
  <c r="G1304" i="9"/>
  <c r="G1305" i="9"/>
  <c r="G1306" i="9"/>
  <c r="G1307" i="9"/>
  <c r="G1308" i="9"/>
  <c r="G1309" i="9"/>
  <c r="G1310" i="9"/>
  <c r="G1311" i="9"/>
  <c r="G1312" i="9"/>
  <c r="G1313" i="9"/>
  <c r="G1314" i="9"/>
  <c r="G1315" i="9"/>
  <c r="G1316" i="9"/>
  <c r="G1317" i="9"/>
  <c r="G1318" i="9"/>
  <c r="G1319" i="9"/>
  <c r="G1320" i="9"/>
  <c r="G1321" i="9"/>
  <c r="G1322" i="9"/>
  <c r="G1323" i="9"/>
  <c r="G1324" i="9"/>
  <c r="G1325" i="9"/>
  <c r="G1326" i="9"/>
  <c r="G1327" i="9"/>
  <c r="G1328" i="9"/>
  <c r="G1329" i="9"/>
  <c r="G1330" i="9"/>
  <c r="G1331" i="9"/>
  <c r="G1332" i="9"/>
  <c r="G1333" i="9"/>
  <c r="G1334" i="9"/>
  <c r="G1335" i="9"/>
  <c r="G1336" i="9"/>
  <c r="G1337" i="9"/>
  <c r="G1338" i="9"/>
  <c r="G1339" i="9"/>
  <c r="G1340" i="9"/>
  <c r="G1341" i="9"/>
  <c r="G1342" i="9"/>
  <c r="G1343" i="9"/>
  <c r="G1344" i="9"/>
  <c r="G1345" i="9"/>
  <c r="G1346" i="9"/>
  <c r="G1347" i="9"/>
  <c r="G1348" i="9"/>
  <c r="G1349" i="9"/>
  <c r="G1350" i="9"/>
  <c r="G1351" i="9"/>
  <c r="G1352" i="9"/>
  <c r="G1353" i="9"/>
  <c r="G1354" i="9"/>
  <c r="G1355" i="9"/>
  <c r="G1356" i="9"/>
  <c r="G1357" i="9"/>
  <c r="G1358" i="9"/>
  <c r="G1359" i="9"/>
  <c r="G1360" i="9"/>
  <c r="G1361" i="9"/>
  <c r="G1362" i="9"/>
  <c r="G1363" i="9"/>
  <c r="G1364" i="9"/>
  <c r="G1365" i="9"/>
  <c r="G1366" i="9"/>
  <c r="G1367" i="9"/>
  <c r="G1368" i="9"/>
  <c r="G1369" i="9"/>
  <c r="G1370" i="9"/>
  <c r="G1371" i="9"/>
  <c r="G1372" i="9"/>
  <c r="G1373" i="9"/>
  <c r="G1374" i="9"/>
  <c r="G1375" i="9"/>
  <c r="G1376" i="9"/>
  <c r="G1377" i="9"/>
  <c r="G1378" i="9"/>
  <c r="G1379" i="9"/>
  <c r="G1380" i="9"/>
  <c r="G1381" i="9"/>
  <c r="G1382" i="9"/>
  <c r="G1383" i="9"/>
  <c r="G1384" i="9"/>
  <c r="G1385" i="9"/>
  <c r="G1386" i="9"/>
  <c r="G1387" i="9"/>
  <c r="G1388" i="9"/>
  <c r="G1389" i="9"/>
  <c r="G1390" i="9"/>
  <c r="G1391" i="9"/>
  <c r="G1392" i="9"/>
  <c r="G1393" i="9"/>
  <c r="G1394" i="9"/>
  <c r="G1395" i="9"/>
  <c r="G1396" i="9"/>
  <c r="G1397" i="9"/>
  <c r="G1398" i="9"/>
  <c r="G1399" i="9"/>
  <c r="G1400" i="9"/>
  <c r="G1401" i="9"/>
  <c r="G1402" i="9"/>
  <c r="G1403" i="9"/>
  <c r="G1404" i="9"/>
  <c r="G1405" i="9"/>
  <c r="G1406" i="9"/>
  <c r="G1407" i="9"/>
  <c r="G1408" i="9"/>
  <c r="G1409" i="9"/>
  <c r="G1410" i="9"/>
  <c r="G1411" i="9"/>
  <c r="G1412" i="9"/>
  <c r="G1413" i="9"/>
  <c r="G1414" i="9"/>
  <c r="G1415" i="9"/>
  <c r="G1416" i="9"/>
  <c r="G1417" i="9"/>
  <c r="G1418" i="9"/>
  <c r="G1419" i="9"/>
  <c r="G1420" i="9"/>
  <c r="G1421" i="9"/>
  <c r="G1422" i="9"/>
  <c r="G1423" i="9"/>
  <c r="G1424" i="9"/>
  <c r="G1425" i="9"/>
  <c r="G1426" i="9"/>
  <c r="G1427" i="9"/>
  <c r="G1428" i="9"/>
  <c r="G1429" i="9"/>
  <c r="G1430" i="9"/>
  <c r="G1431" i="9"/>
  <c r="G1432" i="9"/>
  <c r="G1433" i="9"/>
  <c r="G1434" i="9"/>
  <c r="G1435" i="9"/>
  <c r="G1436" i="9"/>
  <c r="G1437" i="9"/>
  <c r="G1438" i="9"/>
  <c r="G1439" i="9"/>
  <c r="G1440" i="9"/>
  <c r="G1441" i="9"/>
  <c r="G1442" i="9"/>
  <c r="G1443" i="9"/>
  <c r="G1444" i="9"/>
  <c r="G1445" i="9"/>
  <c r="G1446" i="9"/>
  <c r="G1447" i="9"/>
  <c r="G1448" i="9"/>
  <c r="G1449" i="9"/>
  <c r="G1450" i="9"/>
  <c r="G1451" i="9"/>
  <c r="G1452" i="9"/>
  <c r="G1453" i="9"/>
  <c r="G1454" i="9"/>
  <c r="G1455" i="9"/>
  <c r="G1456" i="9"/>
  <c r="G1457" i="9"/>
  <c r="G1458" i="9"/>
  <c r="G1459" i="9"/>
  <c r="G1460" i="9"/>
  <c r="G1461" i="9"/>
  <c r="G1462" i="9"/>
  <c r="G1463" i="9"/>
  <c r="G1464" i="9"/>
  <c r="G1465" i="9"/>
  <c r="G1466" i="9"/>
  <c r="G1467" i="9"/>
  <c r="G1468" i="9"/>
  <c r="G1469" i="9"/>
  <c r="G1470" i="9"/>
  <c r="G1471" i="9"/>
  <c r="G1472" i="9"/>
  <c r="G1473" i="9"/>
  <c r="G1474" i="9"/>
  <c r="G1475" i="9"/>
  <c r="G1476" i="9"/>
  <c r="G1477" i="9"/>
  <c r="G1478" i="9"/>
  <c r="G1479" i="9"/>
  <c r="G1480" i="9"/>
  <c r="G1481" i="9"/>
  <c r="G1482" i="9"/>
  <c r="G1483" i="9"/>
  <c r="G1484" i="9"/>
  <c r="G1485" i="9"/>
  <c r="G1486" i="9"/>
  <c r="G1487" i="9"/>
  <c r="G1488" i="9"/>
  <c r="G1489" i="9"/>
  <c r="G1490" i="9"/>
  <c r="G1491" i="9"/>
  <c r="G1492" i="9"/>
  <c r="G1493" i="9"/>
  <c r="G1494" i="9"/>
  <c r="G1495" i="9"/>
  <c r="G1496" i="9"/>
  <c r="G1497" i="9"/>
  <c r="G1498" i="9"/>
  <c r="G1499" i="9"/>
  <c r="G1500" i="9"/>
  <c r="G1501" i="9"/>
  <c r="G1502" i="9"/>
  <c r="G1503" i="9"/>
  <c r="G1504" i="9"/>
  <c r="G1505" i="9"/>
  <c r="G1506" i="9"/>
  <c r="G1507" i="9"/>
  <c r="G1508" i="9"/>
  <c r="G1509" i="9"/>
  <c r="G1510" i="9"/>
  <c r="G1511" i="9"/>
  <c r="G1512" i="9"/>
  <c r="G1513" i="9"/>
  <c r="G1514" i="9"/>
  <c r="G1515" i="9"/>
  <c r="G1516" i="9"/>
  <c r="G1517" i="9"/>
  <c r="G1518" i="9"/>
  <c r="G1519" i="9"/>
  <c r="G1520" i="9"/>
  <c r="G1521" i="9"/>
  <c r="G1522" i="9"/>
  <c r="G1523" i="9"/>
  <c r="G1524" i="9"/>
  <c r="G1525" i="9"/>
  <c r="G1526" i="9"/>
  <c r="G1527" i="9"/>
  <c r="G1528" i="9"/>
  <c r="G1529" i="9"/>
  <c r="G1530" i="9"/>
  <c r="G1531" i="9"/>
  <c r="G1532" i="9"/>
  <c r="G1533" i="9"/>
  <c r="G1534" i="9"/>
  <c r="G1535" i="9"/>
  <c r="G1536" i="9"/>
  <c r="G1537" i="9"/>
  <c r="G1538" i="9"/>
  <c r="G1539" i="9"/>
  <c r="G1540" i="9"/>
  <c r="G1541" i="9"/>
  <c r="G1542" i="9"/>
  <c r="G1543" i="9"/>
  <c r="G1544" i="9"/>
  <c r="N15" i="24"/>
  <c r="X22" i="24" l="1"/>
  <c r="X26" i="24" s="1"/>
  <c r="W26" i="24" s="1"/>
  <c r="N29" i="24"/>
  <c r="B1" i="42"/>
  <c r="A4" i="42" s="1"/>
  <c r="J82" i="14"/>
  <c r="J47" i="14"/>
  <c r="K47" i="14" s="1"/>
  <c r="L47" i="14" s="1"/>
  <c r="M47" i="14" s="1"/>
  <c r="N47" i="14" s="1"/>
  <c r="O47" i="14" s="1"/>
  <c r="J16" i="14"/>
  <c r="N24" i="24"/>
  <c r="O16" i="24"/>
  <c r="N21" i="24"/>
  <c r="N18" i="24"/>
  <c r="O15" i="24"/>
  <c r="N14" i="24"/>
  <c r="O14" i="24"/>
  <c r="O24" i="24"/>
  <c r="N25" i="24"/>
  <c r="O17" i="24"/>
  <c r="N16" i="24"/>
  <c r="N17" i="24"/>
  <c r="O18" i="24"/>
  <c r="O25" i="24"/>
  <c r="X17" i="24" l="1" a="1"/>
  <c r="X17" i="24" s="1"/>
  <c r="W25" i="24" s="1"/>
  <c r="X24" i="24"/>
  <c r="X25" i="24"/>
  <c r="X27" i="24"/>
  <c r="W27" i="24" s="1"/>
  <c r="O26" i="24"/>
  <c r="O27" i="24" s="1"/>
  <c r="N19" i="24"/>
  <c r="O19" i="24"/>
  <c r="A5" i="42"/>
  <c r="B4" i="42"/>
  <c r="E4" i="42"/>
  <c r="O28" i="24" l="1"/>
  <c r="S23" i="24" s="1"/>
  <c r="S24" i="24" s="1"/>
  <c r="S26" i="24" s="1"/>
  <c r="O22" i="24"/>
  <c r="D4" i="42"/>
  <c r="C4" i="42"/>
  <c r="E5" i="42"/>
  <c r="B5" i="42"/>
  <c r="A6" i="42"/>
  <c r="I4" i="35"/>
  <c r="B20" i="35" s="1"/>
  <c r="I3" i="35"/>
  <c r="B12" i="35" s="1"/>
  <c r="I2" i="35"/>
  <c r="B4" i="35" s="1"/>
  <c r="E4" i="35"/>
  <c r="D20" i="35"/>
  <c r="D4" i="35"/>
  <c r="D12" i="35"/>
  <c r="F4" i="42" l="1"/>
  <c r="E6" i="42"/>
  <c r="A7" i="42"/>
  <c r="B6" i="42"/>
  <c r="D5" i="42"/>
  <c r="C5" i="42"/>
  <c r="B50" i="35"/>
  <c r="B49" i="35"/>
  <c r="B48" i="35"/>
  <c r="B46" i="35"/>
  <c r="B47" i="35"/>
  <c r="B62" i="35"/>
  <c r="B61" i="35"/>
  <c r="B60" i="35"/>
  <c r="B59" i="35"/>
  <c r="B35" i="35"/>
  <c r="B36" i="35"/>
  <c r="B37" i="35"/>
  <c r="B38" i="35"/>
  <c r="B55" i="35"/>
  <c r="B42" i="35"/>
  <c r="B56" i="35"/>
  <c r="B58" i="35"/>
  <c r="B54" i="35"/>
  <c r="B64" i="35"/>
  <c r="B31" i="35"/>
  <c r="B39" i="35"/>
  <c r="B43" i="35"/>
  <c r="B51" i="35"/>
  <c r="B63" i="35"/>
  <c r="B30" i="35"/>
  <c r="B34" i="35"/>
  <c r="B32" i="35"/>
  <c r="B40" i="35"/>
  <c r="B44" i="35"/>
  <c r="B52" i="35"/>
  <c r="B33" i="35"/>
  <c r="B41" i="35"/>
  <c r="B45" i="35"/>
  <c r="B53" i="35"/>
  <c r="B57" i="35"/>
  <c r="B65" i="35"/>
  <c r="B15" i="35"/>
  <c r="B19" i="35"/>
  <c r="B11" i="35"/>
  <c r="B23" i="35"/>
  <c r="B10" i="35"/>
  <c r="B6" i="35"/>
  <c r="B18" i="35"/>
  <c r="B14" i="35"/>
  <c r="B26" i="35"/>
  <c r="B22" i="35"/>
  <c r="B3" i="35"/>
  <c r="B9" i="35"/>
  <c r="B5" i="35"/>
  <c r="B17" i="35"/>
  <c r="B13" i="35"/>
  <c r="B25" i="35"/>
  <c r="B21" i="35"/>
  <c r="B7" i="35"/>
  <c r="B8" i="35"/>
  <c r="B16" i="35"/>
  <c r="B24" i="35"/>
  <c r="E18" i="35"/>
  <c r="E9" i="35"/>
  <c r="E14" i="35"/>
  <c r="E23" i="35"/>
  <c r="E24" i="35"/>
  <c r="E12" i="35"/>
  <c r="E26" i="35"/>
  <c r="E20" i="35"/>
  <c r="E8" i="35"/>
  <c r="E19" i="35"/>
  <c r="E22" i="35"/>
  <c r="E6" i="35"/>
  <c r="E3" i="35"/>
  <c r="E15" i="35"/>
  <c r="E21" i="35"/>
  <c r="E17" i="35"/>
  <c r="E7" i="35"/>
  <c r="E13" i="35"/>
  <c r="E25" i="35"/>
  <c r="E11" i="35"/>
  <c r="E10" i="35"/>
  <c r="E16" i="35"/>
  <c r="E5" i="35"/>
  <c r="D11" i="35"/>
  <c r="D38" i="35"/>
  <c r="D6" i="35"/>
  <c r="D36" i="35"/>
  <c r="D44" i="35"/>
  <c r="D13" i="35"/>
  <c r="D21" i="35"/>
  <c r="D47" i="35"/>
  <c r="D26" i="35"/>
  <c r="D57" i="35"/>
  <c r="D24" i="35"/>
  <c r="D15" i="35"/>
  <c r="D30" i="35"/>
  <c r="D58" i="35"/>
  <c r="D45" i="35"/>
  <c r="D46" i="35"/>
  <c r="D52" i="35"/>
  <c r="D51" i="35"/>
  <c r="D59" i="35"/>
  <c r="D64" i="35"/>
  <c r="D54" i="35"/>
  <c r="D37" i="35"/>
  <c r="D19" i="35"/>
  <c r="D33" i="35"/>
  <c r="D3" i="35"/>
  <c r="D5" i="35"/>
  <c r="D18" i="35"/>
  <c r="D50" i="35"/>
  <c r="D10" i="35"/>
  <c r="D62" i="35"/>
  <c r="D39" i="35"/>
  <c r="D49" i="35"/>
  <c r="D34" i="35"/>
  <c r="D53" i="35"/>
  <c r="D25" i="35"/>
  <c r="D61" i="35"/>
  <c r="D7" i="35"/>
  <c r="D17" i="35"/>
  <c r="D56" i="35"/>
  <c r="D32" i="35"/>
  <c r="D60" i="35"/>
  <c r="D31" i="35"/>
  <c r="D48" i="35"/>
  <c r="D63" i="35"/>
  <c r="D22" i="35"/>
  <c r="D43" i="35"/>
  <c r="D55" i="35"/>
  <c r="D35" i="35"/>
  <c r="D65" i="35"/>
  <c r="D42" i="35"/>
  <c r="D8" i="35"/>
  <c r="D40" i="35"/>
  <c r="D41" i="35"/>
  <c r="F5" i="42" l="1"/>
  <c r="D6" i="42"/>
  <c r="C6" i="42"/>
  <c r="E7" i="42"/>
  <c r="B7" i="42"/>
  <c r="A8" i="42"/>
  <c r="B2" i="4"/>
  <c r="D16" i="35"/>
  <c r="D9" i="35"/>
  <c r="D23" i="35"/>
  <c r="D14" i="35"/>
  <c r="F6" i="42" l="1"/>
  <c r="D7" i="42"/>
  <c r="C7" i="42"/>
  <c r="E8" i="42"/>
  <c r="B8" i="42"/>
  <c r="A9" i="42"/>
  <c r="H7" i="2"/>
  <c r="H7" i="3"/>
  <c r="H7" i="28"/>
  <c r="H7" i="8"/>
  <c r="H7" i="15"/>
  <c r="H7" i="16"/>
  <c r="F7" i="42" l="1"/>
  <c r="D8" i="42"/>
  <c r="C8" i="42"/>
  <c r="E9" i="42"/>
  <c r="A10" i="42"/>
  <c r="B9" i="42"/>
  <c r="F7" i="4"/>
  <c r="F8" i="4"/>
  <c r="G10" i="4"/>
  <c r="G11" i="4"/>
  <c r="F12" i="4"/>
  <c r="G14" i="4"/>
  <c r="F15" i="4"/>
  <c r="F16" i="4"/>
  <c r="G18" i="4"/>
  <c r="G19" i="4"/>
  <c r="F20" i="4"/>
  <c r="G22" i="4"/>
  <c r="G23" i="4"/>
  <c r="G24" i="4"/>
  <c r="F26" i="4"/>
  <c r="F27" i="4"/>
  <c r="G28" i="4"/>
  <c r="G29" i="4"/>
  <c r="G30" i="4"/>
  <c r="F31" i="4"/>
  <c r="G32" i="4"/>
  <c r="F33" i="4"/>
  <c r="G34" i="4"/>
  <c r="F35" i="4"/>
  <c r="G36" i="4"/>
  <c r="G37" i="4"/>
  <c r="F38" i="4"/>
  <c r="F39" i="4"/>
  <c r="F40" i="4"/>
  <c r="G41" i="4"/>
  <c r="G42" i="4"/>
  <c r="F43" i="4"/>
  <c r="F44" i="4"/>
  <c r="G45" i="4"/>
  <c r="G46" i="4"/>
  <c r="F47" i="4"/>
  <c r="F48" i="4"/>
  <c r="G49" i="4"/>
  <c r="G50" i="4"/>
  <c r="G51" i="4"/>
  <c r="F52" i="4"/>
  <c r="G53" i="4"/>
  <c r="G54" i="4"/>
  <c r="F55" i="4"/>
  <c r="F56" i="4"/>
  <c r="G57" i="4"/>
  <c r="G58" i="4"/>
  <c r="F59" i="4"/>
  <c r="F60" i="4"/>
  <c r="F61" i="4"/>
  <c r="G62" i="4"/>
  <c r="G63" i="4"/>
  <c r="F64" i="4"/>
  <c r="F65" i="4"/>
  <c r="G66" i="4"/>
  <c r="F67" i="4"/>
  <c r="F68" i="4"/>
  <c r="F69" i="4"/>
  <c r="G70" i="4"/>
  <c r="G71" i="4"/>
  <c r="F72" i="4"/>
  <c r="F73" i="4"/>
  <c r="G74" i="4"/>
  <c r="F75" i="4"/>
  <c r="F76" i="4"/>
  <c r="F77" i="4"/>
  <c r="G78" i="4"/>
  <c r="G79" i="4"/>
  <c r="F80" i="4"/>
  <c r="F81" i="4"/>
  <c r="G82" i="4"/>
  <c r="F83" i="4"/>
  <c r="F84" i="4"/>
  <c r="F85" i="4"/>
  <c r="G86" i="4"/>
  <c r="G87" i="4"/>
  <c r="F88" i="4"/>
  <c r="F89" i="4"/>
  <c r="G90" i="4"/>
  <c r="F91" i="4"/>
  <c r="F92" i="4"/>
  <c r="F93" i="4"/>
  <c r="G94" i="4"/>
  <c r="F95" i="4"/>
  <c r="F96" i="4"/>
  <c r="F97" i="4"/>
  <c r="F98" i="4"/>
  <c r="F99" i="4"/>
  <c r="F100" i="4"/>
  <c r="G101" i="4"/>
  <c r="G102" i="4"/>
  <c r="F103" i="4"/>
  <c r="F104" i="4"/>
  <c r="G105" i="4"/>
  <c r="F106" i="4"/>
  <c r="F107" i="4"/>
  <c r="F108" i="4"/>
  <c r="G109" i="4"/>
  <c r="G110" i="4"/>
  <c r="G111" i="4"/>
  <c r="F112" i="4"/>
  <c r="G113" i="4"/>
  <c r="F114" i="4"/>
  <c r="F115" i="4"/>
  <c r="F116" i="4"/>
  <c r="G117" i="4"/>
  <c r="G118" i="4"/>
  <c r="F119" i="4"/>
  <c r="F120" i="4"/>
  <c r="G121" i="4"/>
  <c r="F122" i="4"/>
  <c r="F123" i="4"/>
  <c r="F124" i="4"/>
  <c r="G125" i="4"/>
  <c r="F126" i="4"/>
  <c r="F127" i="4"/>
  <c r="F128" i="4"/>
  <c r="G129" i="4"/>
  <c r="F130" i="4"/>
  <c r="F131" i="4"/>
  <c r="F132" i="4"/>
  <c r="G133" i="4"/>
  <c r="F134" i="4"/>
  <c r="F135" i="4"/>
  <c r="F136" i="4"/>
  <c r="G137" i="4"/>
  <c r="F138" i="4"/>
  <c r="G139" i="4"/>
  <c r="F140" i="4"/>
  <c r="G141" i="4"/>
  <c r="F142" i="4"/>
  <c r="F143" i="4"/>
  <c r="F144" i="4"/>
  <c r="G145" i="4"/>
  <c r="G146" i="4"/>
  <c r="G147" i="4"/>
  <c r="G148" i="4"/>
  <c r="F149" i="4"/>
  <c r="F150" i="4"/>
  <c r="F151" i="4"/>
  <c r="G152" i="4"/>
  <c r="G153" i="4"/>
  <c r="F154" i="4"/>
  <c r="F155" i="4"/>
  <c r="G156" i="4"/>
  <c r="F157" i="4"/>
  <c r="G158" i="4"/>
  <c r="F159" i="4"/>
  <c r="F160" i="4"/>
  <c r="F161" i="4"/>
  <c r="G162" i="4"/>
  <c r="G163" i="4"/>
  <c r="F164" i="4"/>
  <c r="F165" i="4"/>
  <c r="G166" i="4"/>
  <c r="F167" i="4"/>
  <c r="F168" i="4"/>
  <c r="F169" i="4"/>
  <c r="G170" i="4"/>
  <c r="F171" i="4"/>
  <c r="F172" i="4"/>
  <c r="F173" i="4"/>
  <c r="G174" i="4"/>
  <c r="F175" i="4"/>
  <c r="F176" i="4"/>
  <c r="F177" i="4"/>
  <c r="G178" i="4"/>
  <c r="G179" i="4"/>
  <c r="F180" i="4"/>
  <c r="F181" i="4"/>
  <c r="G182" i="4"/>
  <c r="F183" i="4"/>
  <c r="F184" i="4"/>
  <c r="F185" i="4"/>
  <c r="G186" i="4"/>
  <c r="F187" i="4"/>
  <c r="F188" i="4"/>
  <c r="F189" i="4"/>
  <c r="G190" i="4"/>
  <c r="F191" i="4"/>
  <c r="F192" i="4"/>
  <c r="F193" i="4"/>
  <c r="G194" i="4"/>
  <c r="G195" i="4"/>
  <c r="F196" i="4"/>
  <c r="F197" i="4"/>
  <c r="G198" i="4"/>
  <c r="F199" i="4"/>
  <c r="F200" i="4"/>
  <c r="F201" i="4"/>
  <c r="G202" i="4"/>
  <c r="F203" i="4"/>
  <c r="F204" i="4"/>
  <c r="F205" i="4"/>
  <c r="G206" i="4"/>
  <c r="F207" i="4"/>
  <c r="F208" i="4"/>
  <c r="F209" i="4"/>
  <c r="G210" i="4"/>
  <c r="G211" i="4"/>
  <c r="F212" i="4"/>
  <c r="F213" i="4"/>
  <c r="G214" i="4"/>
  <c r="F215" i="4"/>
  <c r="F216" i="4"/>
  <c r="F217" i="4"/>
  <c r="G218" i="4"/>
  <c r="F219" i="4"/>
  <c r="F220" i="4"/>
  <c r="F221" i="4"/>
  <c r="G222" i="4"/>
  <c r="F223" i="4"/>
  <c r="F224" i="4"/>
  <c r="F225" i="4"/>
  <c r="G226" i="4"/>
  <c r="F227" i="4"/>
  <c r="F228" i="4"/>
  <c r="F229" i="4"/>
  <c r="G230" i="4"/>
  <c r="F231" i="4"/>
  <c r="F232" i="4"/>
  <c r="F233" i="4"/>
  <c r="G234" i="4"/>
  <c r="F235" i="4"/>
  <c r="F236" i="4"/>
  <c r="F237" i="4"/>
  <c r="G238" i="4"/>
  <c r="F239" i="4"/>
  <c r="F240" i="4"/>
  <c r="F241" i="4"/>
  <c r="G242" i="4"/>
  <c r="E242" i="28"/>
  <c r="G242" i="28" s="1"/>
  <c r="E241" i="28"/>
  <c r="E240" i="28"/>
  <c r="G240" i="28" s="1"/>
  <c r="E239" i="28"/>
  <c r="F239" i="28" s="1"/>
  <c r="E238" i="28"/>
  <c r="E237" i="28"/>
  <c r="F237" i="28" s="1"/>
  <c r="E236" i="28"/>
  <c r="G236" i="28" s="1"/>
  <c r="E235" i="28"/>
  <c r="E234" i="28"/>
  <c r="G234" i="28" s="1"/>
  <c r="E233" i="28"/>
  <c r="E232" i="28"/>
  <c r="G232" i="28" s="1"/>
  <c r="E231" i="28"/>
  <c r="F231" i="28" s="1"/>
  <c r="E230" i="28"/>
  <c r="E229" i="28"/>
  <c r="F229" i="28" s="1"/>
  <c r="E228" i="28"/>
  <c r="G228" i="28" s="1"/>
  <c r="E227" i="28"/>
  <c r="E226" i="28"/>
  <c r="G226" i="28" s="1"/>
  <c r="E225" i="28"/>
  <c r="E224" i="28"/>
  <c r="F224" i="28" s="1"/>
  <c r="E223" i="28"/>
  <c r="F223" i="28" s="1"/>
  <c r="E222" i="28"/>
  <c r="E221" i="28"/>
  <c r="F221" i="28" s="1"/>
  <c r="E220" i="28"/>
  <c r="G220" i="28" s="1"/>
  <c r="E219" i="28"/>
  <c r="E218" i="28"/>
  <c r="G218" i="28" s="1"/>
  <c r="E217" i="28"/>
  <c r="E216" i="28"/>
  <c r="G216" i="28" s="1"/>
  <c r="E215" i="28"/>
  <c r="F215" i="28" s="1"/>
  <c r="E214" i="28"/>
  <c r="E213" i="28"/>
  <c r="F213" i="28" s="1"/>
  <c r="E212" i="28"/>
  <c r="F212" i="28" s="1"/>
  <c r="E211" i="28"/>
  <c r="E210" i="28"/>
  <c r="G210" i="28" s="1"/>
  <c r="E209" i="28"/>
  <c r="F209" i="28" s="1"/>
  <c r="E208" i="28"/>
  <c r="G208" i="28" s="1"/>
  <c r="E207" i="28"/>
  <c r="F207" i="28" s="1"/>
  <c r="E206" i="28"/>
  <c r="G206" i="28" s="1"/>
  <c r="E205" i="28"/>
  <c r="F205" i="28" s="1"/>
  <c r="E204" i="28"/>
  <c r="G204" i="28" s="1"/>
  <c r="E203" i="28"/>
  <c r="G203" i="28" s="1"/>
  <c r="E202" i="28"/>
  <c r="G202" i="28" s="1"/>
  <c r="E201" i="28"/>
  <c r="F201" i="28" s="1"/>
  <c r="E200" i="28"/>
  <c r="G200" i="28" s="1"/>
  <c r="E199" i="28"/>
  <c r="F199" i="28" s="1"/>
  <c r="E198" i="28"/>
  <c r="G198" i="28" s="1"/>
  <c r="E197" i="28"/>
  <c r="F197" i="28" s="1"/>
  <c r="E196" i="28"/>
  <c r="G196" i="28" s="1"/>
  <c r="E195" i="28"/>
  <c r="G195" i="28" s="1"/>
  <c r="E194" i="28"/>
  <c r="G194" i="28" s="1"/>
  <c r="E193" i="28"/>
  <c r="F193" i="28" s="1"/>
  <c r="E192" i="28"/>
  <c r="F192" i="28" s="1"/>
  <c r="E191" i="28"/>
  <c r="F191" i="28" s="1"/>
  <c r="E190" i="28"/>
  <c r="G190" i="28" s="1"/>
  <c r="E189" i="28"/>
  <c r="F189" i="28" s="1"/>
  <c r="E188" i="28"/>
  <c r="G188" i="28" s="1"/>
  <c r="E187" i="28"/>
  <c r="G187" i="28" s="1"/>
  <c r="E186" i="28"/>
  <c r="G186" i="28" s="1"/>
  <c r="E185" i="28"/>
  <c r="F185" i="28" s="1"/>
  <c r="E184" i="28"/>
  <c r="G184" i="28" s="1"/>
  <c r="E183" i="28"/>
  <c r="F183" i="28" s="1"/>
  <c r="E182" i="28"/>
  <c r="G182" i="28" s="1"/>
  <c r="E181" i="28"/>
  <c r="F181" i="28" s="1"/>
  <c r="E180" i="28"/>
  <c r="F180" i="28" s="1"/>
  <c r="E179" i="28"/>
  <c r="G179" i="28" s="1"/>
  <c r="E178" i="28"/>
  <c r="G178" i="28" s="1"/>
  <c r="E177" i="28"/>
  <c r="F177" i="28" s="1"/>
  <c r="E176" i="28"/>
  <c r="G176" i="28" s="1"/>
  <c r="E175" i="28"/>
  <c r="F175" i="28" s="1"/>
  <c r="E174" i="28"/>
  <c r="G174" i="28" s="1"/>
  <c r="E173" i="28"/>
  <c r="F173" i="28" s="1"/>
  <c r="E172" i="28"/>
  <c r="G172" i="28" s="1"/>
  <c r="E171" i="28"/>
  <c r="G171" i="28" s="1"/>
  <c r="E170" i="28"/>
  <c r="G170" i="28" s="1"/>
  <c r="E169" i="28"/>
  <c r="F169" i="28" s="1"/>
  <c r="E168" i="28"/>
  <c r="G168" i="28" s="1"/>
  <c r="E167" i="28"/>
  <c r="F167" i="28" s="1"/>
  <c r="E166" i="28"/>
  <c r="G166" i="28" s="1"/>
  <c r="E165" i="28"/>
  <c r="F165" i="28" s="1"/>
  <c r="E164" i="28"/>
  <c r="G164" i="28" s="1"/>
  <c r="E163" i="28"/>
  <c r="G163" i="28" s="1"/>
  <c r="E162" i="28"/>
  <c r="G162" i="28" s="1"/>
  <c r="E161" i="28"/>
  <c r="F161" i="28" s="1"/>
  <c r="E160" i="28"/>
  <c r="F160" i="28" s="1"/>
  <c r="E159" i="28"/>
  <c r="F159" i="28" s="1"/>
  <c r="E158" i="28"/>
  <c r="G158" i="28" s="1"/>
  <c r="E157" i="28"/>
  <c r="F157" i="28" s="1"/>
  <c r="E156" i="28"/>
  <c r="G156" i="28" s="1"/>
  <c r="E155" i="28"/>
  <c r="G155" i="28" s="1"/>
  <c r="E154" i="28"/>
  <c r="G154" i="28" s="1"/>
  <c r="E153" i="28"/>
  <c r="F153" i="28" s="1"/>
  <c r="E152" i="28"/>
  <c r="G152" i="28" s="1"/>
  <c r="E151" i="28"/>
  <c r="F151" i="28" s="1"/>
  <c r="E150" i="28"/>
  <c r="G150" i="28" s="1"/>
  <c r="E149" i="28"/>
  <c r="F149" i="28" s="1"/>
  <c r="E148" i="28"/>
  <c r="F148" i="28" s="1"/>
  <c r="E147" i="28"/>
  <c r="G147" i="28" s="1"/>
  <c r="E146" i="28"/>
  <c r="G146" i="28" s="1"/>
  <c r="E145" i="28"/>
  <c r="F145" i="28" s="1"/>
  <c r="E144" i="28"/>
  <c r="G144" i="28" s="1"/>
  <c r="E143" i="28"/>
  <c r="F143" i="28" s="1"/>
  <c r="E142" i="28"/>
  <c r="G142" i="28" s="1"/>
  <c r="E141" i="28"/>
  <c r="F141" i="28" s="1"/>
  <c r="E140" i="28"/>
  <c r="G140" i="28" s="1"/>
  <c r="E139" i="28"/>
  <c r="G139" i="28" s="1"/>
  <c r="E138" i="28"/>
  <c r="G138" i="28" s="1"/>
  <c r="E137" i="28"/>
  <c r="F137" i="28" s="1"/>
  <c r="E136" i="28"/>
  <c r="G136" i="28" s="1"/>
  <c r="E135" i="28"/>
  <c r="F135" i="28" s="1"/>
  <c r="E134" i="28"/>
  <c r="G134" i="28" s="1"/>
  <c r="E133" i="28"/>
  <c r="F133" i="28" s="1"/>
  <c r="E132" i="28"/>
  <c r="G132" i="28" s="1"/>
  <c r="E131" i="28"/>
  <c r="G131" i="28" s="1"/>
  <c r="E130" i="28"/>
  <c r="G130" i="28" s="1"/>
  <c r="E129" i="28"/>
  <c r="F129" i="28" s="1"/>
  <c r="E128" i="28"/>
  <c r="F128" i="28" s="1"/>
  <c r="E127" i="28"/>
  <c r="F127" i="28" s="1"/>
  <c r="E126" i="28"/>
  <c r="G126" i="28" s="1"/>
  <c r="E125" i="28"/>
  <c r="F125" i="28" s="1"/>
  <c r="E124" i="28"/>
  <c r="G124" i="28" s="1"/>
  <c r="E123" i="28"/>
  <c r="G123" i="28" s="1"/>
  <c r="E122" i="28"/>
  <c r="G122" i="28" s="1"/>
  <c r="E121" i="28"/>
  <c r="F121" i="28" s="1"/>
  <c r="E120" i="28"/>
  <c r="G120" i="28" s="1"/>
  <c r="E119" i="28"/>
  <c r="F119" i="28" s="1"/>
  <c r="E118" i="28"/>
  <c r="G118" i="28" s="1"/>
  <c r="E117" i="28"/>
  <c r="F117" i="28" s="1"/>
  <c r="E116" i="28"/>
  <c r="F116" i="28" s="1"/>
  <c r="E115" i="28"/>
  <c r="G115" i="28" s="1"/>
  <c r="E114" i="28"/>
  <c r="G114" i="28" s="1"/>
  <c r="E113" i="28"/>
  <c r="F113" i="28" s="1"/>
  <c r="E112" i="28"/>
  <c r="G112" i="28" s="1"/>
  <c r="E111" i="28"/>
  <c r="F111" i="28" s="1"/>
  <c r="E110" i="28"/>
  <c r="G110" i="28" s="1"/>
  <c r="E109" i="28"/>
  <c r="F109" i="28" s="1"/>
  <c r="E108" i="28"/>
  <c r="G108" i="28" s="1"/>
  <c r="E107" i="28"/>
  <c r="G107" i="28" s="1"/>
  <c r="E106" i="28"/>
  <c r="G106" i="28" s="1"/>
  <c r="E105" i="28"/>
  <c r="F105" i="28" s="1"/>
  <c r="E104" i="28"/>
  <c r="G104" i="28" s="1"/>
  <c r="E103" i="28"/>
  <c r="F103" i="28" s="1"/>
  <c r="E102" i="28"/>
  <c r="G102" i="28" s="1"/>
  <c r="E101" i="28"/>
  <c r="F101" i="28" s="1"/>
  <c r="E100" i="28"/>
  <c r="G100" i="28" s="1"/>
  <c r="E99" i="28"/>
  <c r="G99" i="28" s="1"/>
  <c r="E98" i="28"/>
  <c r="G98" i="28" s="1"/>
  <c r="E97" i="28"/>
  <c r="F97" i="28" s="1"/>
  <c r="E96" i="28"/>
  <c r="F96" i="28" s="1"/>
  <c r="E95" i="28"/>
  <c r="F95" i="28" s="1"/>
  <c r="E94" i="28"/>
  <c r="G94" i="28" s="1"/>
  <c r="E93" i="28"/>
  <c r="F93" i="28" s="1"/>
  <c r="E92" i="28"/>
  <c r="G92" i="28" s="1"/>
  <c r="E91" i="28"/>
  <c r="G91" i="28" s="1"/>
  <c r="E90" i="28"/>
  <c r="G90" i="28" s="1"/>
  <c r="E89" i="28"/>
  <c r="F89" i="28" s="1"/>
  <c r="E88" i="28"/>
  <c r="G88" i="28" s="1"/>
  <c r="E87" i="28"/>
  <c r="F87" i="28" s="1"/>
  <c r="E86" i="28"/>
  <c r="G86" i="28" s="1"/>
  <c r="E85" i="28"/>
  <c r="F85" i="28" s="1"/>
  <c r="E84" i="28"/>
  <c r="F84" i="28" s="1"/>
  <c r="E83" i="28"/>
  <c r="G83" i="28" s="1"/>
  <c r="E82" i="28"/>
  <c r="G82" i="28" s="1"/>
  <c r="E81" i="28"/>
  <c r="F81" i="28" s="1"/>
  <c r="E80" i="28"/>
  <c r="G80" i="28" s="1"/>
  <c r="E79" i="28"/>
  <c r="F79" i="28" s="1"/>
  <c r="E78" i="28"/>
  <c r="G78" i="28" s="1"/>
  <c r="E77" i="28"/>
  <c r="F77" i="28" s="1"/>
  <c r="E76" i="28"/>
  <c r="G76" i="28" s="1"/>
  <c r="E75" i="28"/>
  <c r="G75" i="28" s="1"/>
  <c r="E74" i="28"/>
  <c r="G74" i="28" s="1"/>
  <c r="E73" i="28"/>
  <c r="G73" i="28" s="1"/>
  <c r="E72" i="28"/>
  <c r="G72" i="28" s="1"/>
  <c r="E71" i="28"/>
  <c r="E70" i="28"/>
  <c r="F70" i="28" s="1"/>
  <c r="E69" i="28"/>
  <c r="G69" i="28" s="1"/>
  <c r="E68" i="28"/>
  <c r="G68" i="28" s="1"/>
  <c r="E67" i="28"/>
  <c r="E66" i="28"/>
  <c r="F66" i="28" s="1"/>
  <c r="E65" i="28"/>
  <c r="F65" i="28" s="1"/>
  <c r="E64" i="28"/>
  <c r="G64" i="28" s="1"/>
  <c r="E63" i="28"/>
  <c r="E62" i="28"/>
  <c r="F62" i="28" s="1"/>
  <c r="E61" i="28"/>
  <c r="G61" i="28" s="1"/>
  <c r="E60" i="28"/>
  <c r="G60" i="28" s="1"/>
  <c r="E59" i="28"/>
  <c r="E58" i="28"/>
  <c r="F58" i="28" s="1"/>
  <c r="E57" i="28"/>
  <c r="G57" i="28" s="1"/>
  <c r="E56" i="28"/>
  <c r="G56" i="28" s="1"/>
  <c r="E55" i="28"/>
  <c r="E54" i="28"/>
  <c r="F54" i="28" s="1"/>
  <c r="E53" i="28"/>
  <c r="G53" i="28" s="1"/>
  <c r="E52" i="28"/>
  <c r="G52" i="28" s="1"/>
  <c r="E51" i="28"/>
  <c r="E50" i="28"/>
  <c r="F50" i="28" s="1"/>
  <c r="E49" i="28"/>
  <c r="F49" i="28" s="1"/>
  <c r="E48" i="28"/>
  <c r="G48" i="28" s="1"/>
  <c r="E47" i="28"/>
  <c r="E46" i="28"/>
  <c r="F46" i="28" s="1"/>
  <c r="E45" i="28"/>
  <c r="G45" i="28" s="1"/>
  <c r="E44" i="28"/>
  <c r="G44" i="28" s="1"/>
  <c r="E43" i="28"/>
  <c r="E42" i="28"/>
  <c r="F42" i="28" s="1"/>
  <c r="E41" i="28"/>
  <c r="G41" i="28" s="1"/>
  <c r="E40" i="28"/>
  <c r="G40" i="28" s="1"/>
  <c r="E39" i="28"/>
  <c r="E38" i="28"/>
  <c r="F38" i="28" s="1"/>
  <c r="E37" i="28"/>
  <c r="G37" i="28" s="1"/>
  <c r="E36" i="28"/>
  <c r="G36" i="28" s="1"/>
  <c r="E35" i="28"/>
  <c r="E34" i="28"/>
  <c r="F34" i="28" s="1"/>
  <c r="E33" i="28"/>
  <c r="F33" i="28" s="1"/>
  <c r="E32" i="28"/>
  <c r="G32" i="28" s="1"/>
  <c r="E31" i="28"/>
  <c r="E30" i="28"/>
  <c r="F30" i="28" s="1"/>
  <c r="E29" i="28"/>
  <c r="G29" i="28" s="1"/>
  <c r="E28" i="28"/>
  <c r="G28" i="28" s="1"/>
  <c r="E27" i="28"/>
  <c r="E26" i="28"/>
  <c r="F26" i="28" s="1"/>
  <c r="E25" i="28"/>
  <c r="G25" i="28" s="1"/>
  <c r="E24" i="28"/>
  <c r="G24" i="28" s="1"/>
  <c r="E23" i="28"/>
  <c r="E22" i="28"/>
  <c r="F22" i="28" s="1"/>
  <c r="E21" i="28"/>
  <c r="F21" i="28" s="1"/>
  <c r="E20" i="28"/>
  <c r="G20" i="28" s="1"/>
  <c r="E19" i="28"/>
  <c r="E18" i="28"/>
  <c r="F18" i="28" s="1"/>
  <c r="E17" i="28"/>
  <c r="F17" i="28" s="1"/>
  <c r="E16" i="28"/>
  <c r="G16" i="28" s="1"/>
  <c r="E15" i="28"/>
  <c r="E14" i="28"/>
  <c r="F14" i="28" s="1"/>
  <c r="E13" i="28"/>
  <c r="F13" i="28" s="1"/>
  <c r="E12" i="28"/>
  <c r="G12" i="28" s="1"/>
  <c r="E11" i="28"/>
  <c r="E10" i="28"/>
  <c r="F10" i="28" s="1"/>
  <c r="E9" i="28"/>
  <c r="G9" i="28" s="1"/>
  <c r="E8" i="28"/>
  <c r="G8" i="28" s="1"/>
  <c r="E7" i="28"/>
  <c r="E6" i="28"/>
  <c r="F6" i="28" s="1"/>
  <c r="E5" i="28"/>
  <c r="G5" i="28" s="1"/>
  <c r="E4" i="28"/>
  <c r="G4" i="28" s="1"/>
  <c r="E3" i="28"/>
  <c r="B2" i="28"/>
  <c r="H158" i="9" a="1"/>
  <c r="H76" i="9" a="1"/>
  <c r="H24" i="9" a="1"/>
  <c r="H11" i="9" a="1"/>
  <c r="H61" i="9" a="1"/>
  <c r="H71" i="9" a="1"/>
  <c r="H19" i="9" a="1"/>
  <c r="H128" i="9" a="1"/>
  <c r="H169" i="9" a="1"/>
  <c r="H23" i="9" a="1"/>
  <c r="H112" i="9" a="1"/>
  <c r="H197" i="9" a="1"/>
  <c r="H167" i="9" a="1"/>
  <c r="H65" i="9" a="1"/>
  <c r="H60" i="9" a="1"/>
  <c r="H120" i="9" a="1"/>
  <c r="H131" i="9" a="1"/>
  <c r="H159" i="9" a="1"/>
  <c r="H18" i="9" a="1"/>
  <c r="H141" i="9" a="1"/>
  <c r="H63" i="9" a="1"/>
  <c r="H154" i="9" a="1"/>
  <c r="H100" i="9" a="1"/>
  <c r="H68" i="9" a="1"/>
  <c r="H177" i="9" a="1"/>
  <c r="H117" i="9" a="1"/>
  <c r="H99" i="9" a="1"/>
  <c r="H145" i="9" a="1"/>
  <c r="H89" i="9" a="1"/>
  <c r="H41" i="9" a="1"/>
  <c r="H127" i="9" a="1"/>
  <c r="H106" i="9" a="1"/>
  <c r="H200" i="9" a="1"/>
  <c r="H93" i="9" a="1"/>
  <c r="H83" i="9" a="1"/>
  <c r="H108" i="9" a="1"/>
  <c r="H30" i="9" a="1"/>
  <c r="H79" i="9" a="1"/>
  <c r="H199" i="9" a="1"/>
  <c r="H34" i="9" a="1"/>
  <c r="H161" i="9" a="1"/>
  <c r="H162" i="9" a="1"/>
  <c r="H189" i="9" a="1"/>
  <c r="H168" i="9" a="1"/>
  <c r="H78" i="9" a="1"/>
  <c r="H118" i="9" a="1"/>
  <c r="H165" i="9" a="1"/>
  <c r="H138" i="9" a="1"/>
  <c r="H64" i="9" a="1"/>
  <c r="H35" i="9" a="1"/>
  <c r="H176" i="9" a="1"/>
  <c r="H26" i="9" a="1"/>
  <c r="H134" i="9" a="1"/>
  <c r="H181" i="9" a="1"/>
  <c r="H153" i="9" a="1"/>
  <c r="H51" i="9" a="1"/>
  <c r="H192" i="9" a="1"/>
  <c r="H170" i="9" a="1"/>
  <c r="H130" i="9" a="1"/>
  <c r="H193" i="9" a="1"/>
  <c r="H74" i="9" a="1"/>
  <c r="H172" i="9" a="1"/>
  <c r="H126" i="9" a="1"/>
  <c r="H105" i="9" a="1"/>
  <c r="H122" i="9" a="1"/>
  <c r="H50" i="9" a="1"/>
  <c r="H13" i="9" a="1"/>
  <c r="H86" i="9" a="1"/>
  <c r="H155" i="9" a="1"/>
  <c r="H150" i="9" a="1"/>
  <c r="H113" i="9" a="1"/>
  <c r="H114" i="9" a="1"/>
  <c r="H111" i="9" a="1"/>
  <c r="H69" i="9" a="1"/>
  <c r="H90" i="9" a="1"/>
  <c r="H183" i="9" a="1"/>
  <c r="H14" i="9" a="1"/>
  <c r="H185" i="9" a="1"/>
  <c r="H44" i="9" a="1"/>
  <c r="H91" i="9" a="1"/>
  <c r="H107" i="9" a="1"/>
  <c r="H80" i="9" a="1"/>
  <c r="H37" i="9" a="1"/>
  <c r="H42" i="9" a="1"/>
  <c r="H137" i="9" a="1"/>
  <c r="H187" i="9" a="1"/>
  <c r="H55" i="9" a="1"/>
  <c r="H195" i="9" a="1"/>
  <c r="H85" i="9" a="1"/>
  <c r="H123" i="9" a="1"/>
  <c r="H29" i="9" a="1"/>
  <c r="H92" i="9" a="1"/>
  <c r="H194" i="9" a="1"/>
  <c r="H15" i="9" a="1"/>
  <c r="H132" i="9" a="1"/>
  <c r="H156" i="9" a="1"/>
  <c r="H25" i="9" a="1"/>
  <c r="H102" i="9" a="1"/>
  <c r="H58" i="9" a="1"/>
  <c r="H47" i="9" a="1"/>
  <c r="H119" i="9" a="1"/>
  <c r="H101" i="9" a="1"/>
  <c r="H166" i="9" a="1"/>
  <c r="H75" i="9" a="1"/>
  <c r="H135" i="9" a="1"/>
  <c r="H31" i="9" a="1"/>
  <c r="H57" i="9" a="1"/>
  <c r="H142" i="9" a="1"/>
  <c r="H186" i="9" a="1"/>
  <c r="H72" i="9" a="1"/>
  <c r="H88" i="9" a="1"/>
  <c r="H148" i="9" a="1"/>
  <c r="H49" i="9" a="1"/>
  <c r="H164" i="9" a="1"/>
  <c r="H125" i="9" a="1"/>
  <c r="H43" i="9" a="1"/>
  <c r="H109" i="9" a="1"/>
  <c r="H66" i="9" a="1"/>
  <c r="H16" i="9" a="1"/>
  <c r="H38" i="9" a="1"/>
  <c r="H21" i="9" a="1"/>
  <c r="H96" i="9" a="1"/>
  <c r="H12" i="9" a="1"/>
  <c r="H188" i="9" a="1"/>
  <c r="H179" i="9" a="1"/>
  <c r="H56" i="9" a="1"/>
  <c r="H121" i="9" a="1"/>
  <c r="H116" i="9" a="1"/>
  <c r="H133" i="9" a="1"/>
  <c r="H22" i="9" a="1"/>
  <c r="H32" i="9" a="1"/>
  <c r="H53" i="9" a="1"/>
  <c r="H59" i="9" a="1"/>
  <c r="H46" i="9" a="1"/>
  <c r="H20" i="9" a="1"/>
  <c r="H152" i="9" a="1"/>
  <c r="H95" i="9" a="1"/>
  <c r="H77" i="9" a="1"/>
  <c r="H104" i="9" a="1"/>
  <c r="H191" i="9" a="1"/>
  <c r="H190" i="9" a="1"/>
  <c r="H84" i="9" a="1"/>
  <c r="H175" i="9" a="1"/>
  <c r="H139" i="9" a="1"/>
  <c r="H48" i="9" a="1"/>
  <c r="H81" i="9" a="1"/>
  <c r="H151" i="9" a="1"/>
  <c r="H10" i="9" a="1"/>
  <c r="H67" i="9" a="1"/>
  <c r="H124" i="9" a="1"/>
  <c r="H94" i="9" a="1"/>
  <c r="H178" i="9" a="1"/>
  <c r="H115" i="9" a="1"/>
  <c r="H198" i="9" a="1"/>
  <c r="H140" i="9" a="1"/>
  <c r="H160" i="9" a="1"/>
  <c r="H196" i="9" a="1"/>
  <c r="H27" i="9" a="1"/>
  <c r="H52" i="9" a="1"/>
  <c r="H73" i="9" a="1"/>
  <c r="H40" i="9" a="1"/>
  <c r="H146" i="9" a="1"/>
  <c r="H87" i="9" a="1"/>
  <c r="H157" i="9" a="1"/>
  <c r="H182" i="9" a="1"/>
  <c r="H147" i="9" a="1"/>
  <c r="H36" i="9" a="1"/>
  <c r="H129" i="9" a="1"/>
  <c r="H9" i="9" a="1"/>
  <c r="H173" i="9" a="1"/>
  <c r="H70" i="9" a="1"/>
  <c r="H54" i="9" a="1"/>
  <c r="H163" i="9" a="1"/>
  <c r="H28" i="9" a="1"/>
  <c r="H171" i="9" a="1"/>
  <c r="H184" i="9" a="1"/>
  <c r="H45" i="9" a="1"/>
  <c r="H149" i="9" a="1"/>
  <c r="H136" i="9" a="1"/>
  <c r="H97" i="9" a="1"/>
  <c r="H174" i="9" a="1"/>
  <c r="H17" i="9" a="1"/>
  <c r="H33" i="9" a="1"/>
  <c r="H144" i="9" a="1"/>
  <c r="H103" i="9" a="1"/>
  <c r="H82" i="9" a="1"/>
  <c r="H62" i="9" a="1"/>
  <c r="H180" i="9" a="1"/>
  <c r="H143" i="9" a="1"/>
  <c r="H110" i="9" a="1"/>
  <c r="H98" i="9" a="1"/>
  <c r="H39" i="9" a="1"/>
  <c r="H149" i="9" l="1"/>
  <c r="H11" i="9"/>
  <c r="H69" i="9"/>
  <c r="H46" i="9"/>
  <c r="H92" i="9"/>
  <c r="H178" i="9"/>
  <c r="H66" i="9"/>
  <c r="H177" i="9"/>
  <c r="H93" i="9"/>
  <c r="H86" i="9"/>
  <c r="H126" i="9"/>
  <c r="H152" i="9"/>
  <c r="H34" i="9"/>
  <c r="H129" i="9"/>
  <c r="H56" i="9"/>
  <c r="H33" i="9"/>
  <c r="H10" i="9"/>
  <c r="H121" i="9"/>
  <c r="H195" i="9"/>
  <c r="H144" i="9"/>
  <c r="H45" i="9"/>
  <c r="H158" i="9"/>
  <c r="H113" i="9"/>
  <c r="H32" i="9"/>
  <c r="H27" i="9"/>
  <c r="H67" i="9"/>
  <c r="H91" i="9"/>
  <c r="H81" i="9"/>
  <c r="H180" i="9"/>
  <c r="H127" i="9"/>
  <c r="H119" i="9"/>
  <c r="H40" i="9"/>
  <c r="H135" i="9"/>
  <c r="H65" i="9"/>
  <c r="H60" i="9"/>
  <c r="H179" i="9"/>
  <c r="H70" i="9"/>
  <c r="H162" i="9"/>
  <c r="H16" i="9"/>
  <c r="H189" i="9"/>
  <c r="H191" i="9"/>
  <c r="H137" i="9"/>
  <c r="H102" i="9"/>
  <c r="H170" i="9"/>
  <c r="H14" i="9"/>
  <c r="H95" i="9"/>
  <c r="H174" i="9"/>
  <c r="H23" i="9"/>
  <c r="H99" i="9"/>
  <c r="H15" i="9"/>
  <c r="H196" i="9"/>
  <c r="H96" i="9"/>
  <c r="H167" i="9"/>
  <c r="H166" i="9"/>
  <c r="H182" i="9"/>
  <c r="H107" i="9"/>
  <c r="H94" i="9"/>
  <c r="H37" i="9"/>
  <c r="H134" i="9"/>
  <c r="H101" i="9"/>
  <c r="H116" i="9"/>
  <c r="H164" i="9"/>
  <c r="H184" i="9"/>
  <c r="H38" i="9"/>
  <c r="H59" i="9"/>
  <c r="H176" i="9"/>
  <c r="H71" i="9"/>
  <c r="H111" i="9"/>
  <c r="H68" i="9"/>
  <c r="H29" i="9"/>
  <c r="H198" i="9"/>
  <c r="H21" i="9"/>
  <c r="H19" i="9"/>
  <c r="H89" i="9"/>
  <c r="H125" i="9"/>
  <c r="H110" i="9"/>
  <c r="H122" i="9"/>
  <c r="H120" i="9"/>
  <c r="H131" i="9"/>
  <c r="H142" i="9"/>
  <c r="H168" i="9"/>
  <c r="H18" i="9"/>
  <c r="H39" i="9"/>
  <c r="H163" i="9"/>
  <c r="H22" i="9"/>
  <c r="H35" i="9"/>
  <c r="H24" i="9"/>
  <c r="H150" i="9"/>
  <c r="H161" i="9"/>
  <c r="H146" i="9"/>
  <c r="H13" i="9"/>
  <c r="H109" i="9"/>
  <c r="H73" i="9"/>
  <c r="H12" i="9"/>
  <c r="H200" i="9"/>
  <c r="H47" i="9"/>
  <c r="H80" i="9"/>
  <c r="H105" i="9"/>
  <c r="H79" i="9"/>
  <c r="H175" i="9"/>
  <c r="H159" i="9"/>
  <c r="H192" i="9"/>
  <c r="H88" i="9"/>
  <c r="H50" i="9"/>
  <c r="H49" i="9"/>
  <c r="H20" i="9"/>
  <c r="H173" i="9"/>
  <c r="H74" i="9"/>
  <c r="H169" i="9"/>
  <c r="H183" i="9"/>
  <c r="H104" i="9"/>
  <c r="H181" i="9"/>
  <c r="H193" i="9"/>
  <c r="H117" i="9"/>
  <c r="H156" i="9"/>
  <c r="H160" i="9"/>
  <c r="H157" i="9"/>
  <c r="H190" i="9"/>
  <c r="H84" i="9"/>
  <c r="H108" i="9"/>
  <c r="H36" i="9"/>
  <c r="H112" i="9"/>
  <c r="H199" i="9"/>
  <c r="H138" i="9"/>
  <c r="H85" i="9"/>
  <c r="H63" i="9"/>
  <c r="H64" i="9"/>
  <c r="H165" i="9"/>
  <c r="H114" i="9"/>
  <c r="H53" i="9"/>
  <c r="H26" i="9"/>
  <c r="H61" i="9"/>
  <c r="H130" i="9"/>
  <c r="H100" i="9"/>
  <c r="H194" i="9"/>
  <c r="H115" i="9"/>
  <c r="H188" i="9"/>
  <c r="H78" i="9"/>
  <c r="H87" i="9"/>
  <c r="H90" i="9"/>
  <c r="H42" i="9"/>
  <c r="H57" i="9"/>
  <c r="H9" i="9"/>
  <c r="H48" i="9"/>
  <c r="H55" i="9"/>
  <c r="H54" i="9"/>
  <c r="H141" i="9"/>
  <c r="H148" i="9"/>
  <c r="H155" i="9"/>
  <c r="H133" i="9"/>
  <c r="H43" i="9"/>
  <c r="H76" i="9"/>
  <c r="H25" i="9"/>
  <c r="H31" i="9"/>
  <c r="H197" i="9"/>
  <c r="H28" i="9"/>
  <c r="H58" i="9"/>
  <c r="H52" i="9"/>
  <c r="H172" i="9"/>
  <c r="H106" i="9"/>
  <c r="H30" i="9"/>
  <c r="H17" i="9"/>
  <c r="H51" i="9"/>
  <c r="H147" i="9"/>
  <c r="H72" i="9"/>
  <c r="H98" i="9"/>
  <c r="H151" i="9"/>
  <c r="H187" i="9"/>
  <c r="H44" i="9"/>
  <c r="H62" i="9"/>
  <c r="H41" i="9"/>
  <c r="H186" i="9"/>
  <c r="H97" i="9"/>
  <c r="H128" i="9"/>
  <c r="H185" i="9"/>
  <c r="H77" i="9"/>
  <c r="H140" i="9"/>
  <c r="H82" i="9"/>
  <c r="H145" i="9"/>
  <c r="H132" i="9"/>
  <c r="H153" i="9"/>
  <c r="H83" i="9"/>
  <c r="H75" i="9"/>
  <c r="H143" i="9"/>
  <c r="H136" i="9"/>
  <c r="H123" i="9"/>
  <c r="H103" i="9"/>
  <c r="H139" i="9"/>
  <c r="H171" i="9"/>
  <c r="H118" i="9"/>
  <c r="H154" i="9"/>
  <c r="H124" i="9"/>
  <c r="F8" i="42"/>
  <c r="E10" i="42"/>
  <c r="A11" i="42"/>
  <c r="B10" i="42"/>
  <c r="D9" i="42"/>
  <c r="C9" i="42"/>
  <c r="E2" i="28"/>
  <c r="F2" i="28" s="1"/>
  <c r="F202" i="4"/>
  <c r="F232" i="28"/>
  <c r="G17" i="28"/>
  <c r="F204" i="28"/>
  <c r="G224" i="28"/>
  <c r="G231" i="28"/>
  <c r="G199" i="4"/>
  <c r="G212" i="28"/>
  <c r="G33" i="28"/>
  <c r="F216" i="28"/>
  <c r="G42" i="28"/>
  <c r="F45" i="28"/>
  <c r="G65" i="28"/>
  <c r="G199" i="28"/>
  <c r="G34" i="28"/>
  <c r="F37" i="28"/>
  <c r="G183" i="28"/>
  <c r="G215" i="28"/>
  <c r="G227" i="4"/>
  <c r="G21" i="28"/>
  <c r="G13" i="28"/>
  <c r="G26" i="28"/>
  <c r="F29" i="28"/>
  <c r="G50" i="28"/>
  <c r="F53" i="28"/>
  <c r="F88" i="28"/>
  <c r="F104" i="28"/>
  <c r="F120" i="28"/>
  <c r="F136" i="28"/>
  <c r="F152" i="28"/>
  <c r="F168" i="28"/>
  <c r="F184" i="28"/>
  <c r="F200" i="28"/>
  <c r="G49" i="28"/>
  <c r="G58" i="28"/>
  <c r="F61" i="28"/>
  <c r="G66" i="28"/>
  <c r="F69" i="28"/>
  <c r="F76" i="28"/>
  <c r="F92" i="28"/>
  <c r="F108" i="28"/>
  <c r="F124" i="28"/>
  <c r="F140" i="28"/>
  <c r="F156" i="28"/>
  <c r="F172" i="28"/>
  <c r="F188" i="28"/>
  <c r="F220" i="28"/>
  <c r="F236" i="28"/>
  <c r="G10" i="28"/>
  <c r="G18" i="28"/>
  <c r="G84" i="28"/>
  <c r="G87" i="28"/>
  <c r="G96" i="28"/>
  <c r="G103" i="28"/>
  <c r="G116" i="28"/>
  <c r="G119" i="28"/>
  <c r="G128" i="28"/>
  <c r="G135" i="28"/>
  <c r="G148" i="28"/>
  <c r="G151" i="28"/>
  <c r="G160" i="28"/>
  <c r="G167" i="28"/>
  <c r="G180" i="28"/>
  <c r="G192" i="28"/>
  <c r="F9" i="28"/>
  <c r="G22" i="28"/>
  <c r="F25" i="28"/>
  <c r="G38" i="28"/>
  <c r="F41" i="28"/>
  <c r="G54" i="28"/>
  <c r="F57" i="28"/>
  <c r="G70" i="28"/>
  <c r="F73" i="28"/>
  <c r="F80" i="28"/>
  <c r="G95" i="28"/>
  <c r="F100" i="28"/>
  <c r="F112" i="28"/>
  <c r="G127" i="28"/>
  <c r="F132" i="28"/>
  <c r="F144" i="28"/>
  <c r="G159" i="28"/>
  <c r="F164" i="28"/>
  <c r="F176" i="28"/>
  <c r="G191" i="28"/>
  <c r="F196" i="28"/>
  <c r="F208" i="28"/>
  <c r="G223" i="28"/>
  <c r="F228" i="28"/>
  <c r="F240" i="28"/>
  <c r="G14" i="28"/>
  <c r="G30" i="28"/>
  <c r="G46" i="28"/>
  <c r="G62" i="28"/>
  <c r="G79" i="28"/>
  <c r="G111" i="28"/>
  <c r="G143" i="28"/>
  <c r="G175" i="28"/>
  <c r="G207" i="28"/>
  <c r="G239" i="28"/>
  <c r="F234" i="4"/>
  <c r="G231" i="4"/>
  <c r="F218" i="4"/>
  <c r="G215" i="4"/>
  <c r="F186" i="4"/>
  <c r="G183" i="4"/>
  <c r="F195" i="4"/>
  <c r="F170" i="4"/>
  <c r="G167" i="4"/>
  <c r="F211" i="4"/>
  <c r="F163" i="4"/>
  <c r="F5" i="28"/>
  <c r="G6" i="28"/>
  <c r="F179" i="4"/>
  <c r="F51" i="4"/>
  <c r="F153" i="4"/>
  <c r="G43" i="4"/>
  <c r="F139" i="4"/>
  <c r="G38" i="4"/>
  <c r="F23" i="4"/>
  <c r="G20" i="4"/>
  <c r="F238" i="4"/>
  <c r="G235" i="4"/>
  <c r="F222" i="4"/>
  <c r="G219" i="4"/>
  <c r="F206" i="4"/>
  <c r="G203" i="4"/>
  <c r="F190" i="4"/>
  <c r="G187" i="4"/>
  <c r="F174" i="4"/>
  <c r="G171" i="4"/>
  <c r="F158" i="4"/>
  <c r="G149" i="4"/>
  <c r="G126" i="4"/>
  <c r="G123" i="4"/>
  <c r="F111" i="4"/>
  <c r="G103" i="4"/>
  <c r="G84" i="4"/>
  <c r="G81" i="4"/>
  <c r="G68" i="4"/>
  <c r="G65" i="4"/>
  <c r="F53" i="4"/>
  <c r="F45" i="4"/>
  <c r="F34" i="4"/>
  <c r="F242" i="4"/>
  <c r="G239" i="4"/>
  <c r="F226" i="4"/>
  <c r="G223" i="4"/>
  <c r="F210" i="4"/>
  <c r="G207" i="4"/>
  <c r="F194" i="4"/>
  <c r="G191" i="4"/>
  <c r="F178" i="4"/>
  <c r="G175" i="4"/>
  <c r="F162" i="4"/>
  <c r="G159" i="4"/>
  <c r="G154" i="4"/>
  <c r="F146" i="4"/>
  <c r="G143" i="4"/>
  <c r="G134" i="4"/>
  <c r="G131" i="4"/>
  <c r="F113" i="4"/>
  <c r="F105" i="4"/>
  <c r="F58" i="4"/>
  <c r="G55" i="4"/>
  <c r="F50" i="4"/>
  <c r="G47" i="4"/>
  <c r="F30" i="4"/>
  <c r="F24" i="4"/>
  <c r="F19" i="4"/>
  <c r="G16" i="4"/>
  <c r="F230" i="4"/>
  <c r="F214" i="4"/>
  <c r="F198" i="4"/>
  <c r="F182" i="4"/>
  <c r="F166" i="4"/>
  <c r="F148" i="4"/>
  <c r="F118" i="4"/>
  <c r="G115" i="4"/>
  <c r="F110" i="4"/>
  <c r="G107" i="4"/>
  <c r="G92" i="4"/>
  <c r="G89" i="4"/>
  <c r="G76" i="4"/>
  <c r="G73" i="4"/>
  <c r="G60" i="4"/>
  <c r="G26" i="4"/>
  <c r="G119" i="4"/>
  <c r="G91" i="4"/>
  <c r="G83" i="4"/>
  <c r="G75" i="4"/>
  <c r="G67" i="4"/>
  <c r="G59" i="4"/>
  <c r="G7" i="4"/>
  <c r="G240" i="4"/>
  <c r="G236" i="4"/>
  <c r="G232" i="4"/>
  <c r="G228" i="4"/>
  <c r="G224" i="4"/>
  <c r="G220" i="4"/>
  <c r="G216" i="4"/>
  <c r="G212" i="4"/>
  <c r="G208" i="4"/>
  <c r="G204" i="4"/>
  <c r="G200" i="4"/>
  <c r="G196" i="4"/>
  <c r="G192" i="4"/>
  <c r="G188" i="4"/>
  <c r="G184" i="4"/>
  <c r="G180" i="4"/>
  <c r="G176" i="4"/>
  <c r="G172" i="4"/>
  <c r="G168" i="4"/>
  <c r="G164" i="4"/>
  <c r="G160" i="4"/>
  <c r="F156" i="4"/>
  <c r="G151" i="4"/>
  <c r="F147" i="4"/>
  <c r="G135" i="4"/>
  <c r="F121" i="4"/>
  <c r="F102" i="4"/>
  <c r="G99" i="4"/>
  <c r="F42" i="4"/>
  <c r="G39" i="4"/>
  <c r="G15" i="4"/>
  <c r="F11" i="4"/>
  <c r="G8" i="4"/>
  <c r="G12" i="4"/>
  <c r="F36" i="4"/>
  <c r="F28" i="4"/>
  <c r="G95" i="4"/>
  <c r="G241" i="4"/>
  <c r="G237" i="4"/>
  <c r="G233" i="4"/>
  <c r="G229" i="4"/>
  <c r="G225" i="4"/>
  <c r="G221" i="4"/>
  <c r="G217" i="4"/>
  <c r="G213" i="4"/>
  <c r="G209" i="4"/>
  <c r="G205" i="4"/>
  <c r="G201" i="4"/>
  <c r="G197" i="4"/>
  <c r="G193" i="4"/>
  <c r="G189" i="4"/>
  <c r="G185" i="4"/>
  <c r="G181" i="4"/>
  <c r="G177" i="4"/>
  <c r="G173" i="4"/>
  <c r="G169" i="4"/>
  <c r="G165" i="4"/>
  <c r="G161" i="4"/>
  <c r="G157" i="4"/>
  <c r="F152" i="4"/>
  <c r="G150" i="4"/>
  <c r="G127" i="4"/>
  <c r="F94" i="4"/>
  <c r="G88" i="4"/>
  <c r="F86" i="4"/>
  <c r="G80" i="4"/>
  <c r="F78" i="4"/>
  <c r="G72" i="4"/>
  <c r="F70" i="4"/>
  <c r="G64" i="4"/>
  <c r="F62" i="4"/>
  <c r="G33" i="4"/>
  <c r="G31" i="4"/>
  <c r="G27" i="4"/>
  <c r="F22" i="4"/>
  <c r="G155" i="4"/>
  <c r="G142" i="4"/>
  <c r="G116" i="4"/>
  <c r="G108" i="4"/>
  <c r="G100" i="4"/>
  <c r="G56" i="4"/>
  <c r="G48" i="4"/>
  <c r="G40" i="4"/>
  <c r="G93" i="4"/>
  <c r="F90" i="4"/>
  <c r="F87" i="4"/>
  <c r="G85" i="4"/>
  <c r="F82" i="4"/>
  <c r="F79" i="4"/>
  <c r="G77" i="4"/>
  <c r="F74" i="4"/>
  <c r="F71" i="4"/>
  <c r="G69" i="4"/>
  <c r="F66" i="4"/>
  <c r="F63" i="4"/>
  <c r="G61" i="4"/>
  <c r="F57" i="4"/>
  <c r="F54" i="4"/>
  <c r="G52" i="4"/>
  <c r="F49" i="4"/>
  <c r="F46" i="4"/>
  <c r="G44" i="4"/>
  <c r="F41" i="4"/>
  <c r="F37" i="4"/>
  <c r="G35" i="4"/>
  <c r="F32" i="4"/>
  <c r="F29" i="4"/>
  <c r="F21" i="4"/>
  <c r="G21" i="4"/>
  <c r="F14" i="4"/>
  <c r="F145" i="4"/>
  <c r="G140" i="4"/>
  <c r="F137" i="4"/>
  <c r="G132" i="4"/>
  <c r="F129" i="4"/>
  <c r="G124" i="4"/>
  <c r="F17" i="4"/>
  <c r="G17" i="4"/>
  <c r="F10" i="4"/>
  <c r="G138" i="4"/>
  <c r="G130" i="4"/>
  <c r="G122" i="4"/>
  <c r="G114" i="4"/>
  <c r="G106" i="4"/>
  <c r="G98" i="4"/>
  <c r="G96" i="4"/>
  <c r="F13" i="4"/>
  <c r="G13" i="4"/>
  <c r="G144" i="4"/>
  <c r="F141" i="4"/>
  <c r="G136" i="4"/>
  <c r="F133" i="4"/>
  <c r="G128" i="4"/>
  <c r="F125" i="4"/>
  <c r="G120" i="4"/>
  <c r="F117" i="4"/>
  <c r="G112" i="4"/>
  <c r="F109" i="4"/>
  <c r="G104" i="4"/>
  <c r="F101" i="4"/>
  <c r="G97" i="4"/>
  <c r="F25" i="4"/>
  <c r="G25" i="4"/>
  <c r="F18" i="4"/>
  <c r="F9" i="4"/>
  <c r="G9" i="4"/>
  <c r="G211" i="28"/>
  <c r="F211" i="28"/>
  <c r="F225" i="28"/>
  <c r="G225" i="28"/>
  <c r="G238" i="28"/>
  <c r="F238" i="28"/>
  <c r="G3" i="28"/>
  <c r="F3" i="28"/>
  <c r="G7" i="28"/>
  <c r="F7" i="28"/>
  <c r="G11" i="28"/>
  <c r="F11" i="28"/>
  <c r="G15" i="28"/>
  <c r="F15" i="28"/>
  <c r="G19" i="28"/>
  <c r="F19" i="28"/>
  <c r="G23" i="28"/>
  <c r="F23" i="28"/>
  <c r="G27" i="28"/>
  <c r="F27" i="28"/>
  <c r="G31" i="28"/>
  <c r="F31" i="28"/>
  <c r="G35" i="28"/>
  <c r="F35" i="28"/>
  <c r="G39" i="28"/>
  <c r="F39" i="28"/>
  <c r="G43" i="28"/>
  <c r="F43" i="28"/>
  <c r="G47" i="28"/>
  <c r="F47" i="28"/>
  <c r="G51" i="28"/>
  <c r="F51" i="28"/>
  <c r="G55" i="28"/>
  <c r="F55" i="28"/>
  <c r="G59" i="28"/>
  <c r="F59" i="28"/>
  <c r="G63" i="28"/>
  <c r="F63" i="28"/>
  <c r="G67" i="28"/>
  <c r="F67" i="28"/>
  <c r="G71" i="28"/>
  <c r="F71" i="28"/>
  <c r="F75" i="28"/>
  <c r="F83" i="28"/>
  <c r="F91" i="28"/>
  <c r="F99" i="28"/>
  <c r="F107" i="28"/>
  <c r="F115" i="28"/>
  <c r="F123" i="28"/>
  <c r="F131" i="28"/>
  <c r="F139" i="28"/>
  <c r="F147" i="28"/>
  <c r="F155" i="28"/>
  <c r="F163" i="28"/>
  <c r="F171" i="28"/>
  <c r="F179" i="28"/>
  <c r="F187" i="28"/>
  <c r="F195" i="28"/>
  <c r="F203" i="28"/>
  <c r="G214" i="28"/>
  <c r="F214" i="28"/>
  <c r="G219" i="28"/>
  <c r="F219" i="28"/>
  <c r="F233" i="28"/>
  <c r="G233" i="28"/>
  <c r="G81" i="28"/>
  <c r="G89" i="28"/>
  <c r="G97" i="28"/>
  <c r="G105" i="28"/>
  <c r="G113" i="28"/>
  <c r="G121" i="28"/>
  <c r="G129" i="28"/>
  <c r="G137" i="28"/>
  <c r="G145" i="28"/>
  <c r="G153" i="28"/>
  <c r="G161" i="28"/>
  <c r="G169" i="28"/>
  <c r="G177" i="28"/>
  <c r="G185" i="28"/>
  <c r="G193" i="28"/>
  <c r="G201" i="28"/>
  <c r="G209" i="28"/>
  <c r="G222" i="28"/>
  <c r="F222" i="28"/>
  <c r="G227" i="28"/>
  <c r="F227" i="28"/>
  <c r="F241" i="28"/>
  <c r="G241" i="28"/>
  <c r="F4" i="28"/>
  <c r="F8" i="28"/>
  <c r="F12" i="28"/>
  <c r="F16" i="28"/>
  <c r="F20" i="28"/>
  <c r="F24" i="28"/>
  <c r="F28" i="28"/>
  <c r="F32" i="28"/>
  <c r="F36" i="28"/>
  <c r="F40" i="28"/>
  <c r="F44" i="28"/>
  <c r="F48" i="28"/>
  <c r="F52" i="28"/>
  <c r="F56" i="28"/>
  <c r="F60" i="28"/>
  <c r="F64" i="28"/>
  <c r="F68" i="28"/>
  <c r="F72" i="28"/>
  <c r="F78" i="28"/>
  <c r="F86" i="28"/>
  <c r="F94" i="28"/>
  <c r="F102" i="28"/>
  <c r="F110" i="28"/>
  <c r="F118" i="28"/>
  <c r="F126" i="28"/>
  <c r="F134" i="28"/>
  <c r="F142" i="28"/>
  <c r="F150" i="28"/>
  <c r="F158" i="28"/>
  <c r="F166" i="28"/>
  <c r="F174" i="28"/>
  <c r="F182" i="28"/>
  <c r="F190" i="28"/>
  <c r="F198" i="28"/>
  <c r="F206" i="28"/>
  <c r="F217" i="28"/>
  <c r="G217" i="28"/>
  <c r="G230" i="28"/>
  <c r="F230" i="28"/>
  <c r="G235" i="28"/>
  <c r="F235" i="28"/>
  <c r="F74" i="28"/>
  <c r="G77" i="28"/>
  <c r="F82" i="28"/>
  <c r="G85" i="28"/>
  <c r="F90" i="28"/>
  <c r="G93" i="28"/>
  <c r="F98" i="28"/>
  <c r="G101" i="28"/>
  <c r="F106" i="28"/>
  <c r="G109" i="28"/>
  <c r="F114" i="28"/>
  <c r="G117" i="28"/>
  <c r="F122" i="28"/>
  <c r="G125" i="28"/>
  <c r="F130" i="28"/>
  <c r="G133" i="28"/>
  <c r="F138" i="28"/>
  <c r="G141" i="28"/>
  <c r="F146" i="28"/>
  <c r="G149" i="28"/>
  <c r="F154" i="28"/>
  <c r="G157" i="28"/>
  <c r="F162" i="28"/>
  <c r="G165" i="28"/>
  <c r="F170" i="28"/>
  <c r="G173" i="28"/>
  <c r="F178" i="28"/>
  <c r="G181" i="28"/>
  <c r="F186" i="28"/>
  <c r="G189" i="28"/>
  <c r="F194" i="28"/>
  <c r="G197" i="28"/>
  <c r="F202" i="28"/>
  <c r="G205" i="28"/>
  <c r="F210" i="28"/>
  <c r="G213" i="28"/>
  <c r="F218" i="28"/>
  <c r="G221" i="28"/>
  <c r="F226" i="28"/>
  <c r="G229" i="28"/>
  <c r="F234" i="28"/>
  <c r="G237" i="28"/>
  <c r="F242" i="28"/>
  <c r="J172" i="9"/>
  <c r="J196" i="9"/>
  <c r="J70" i="9"/>
  <c r="J136" i="9"/>
  <c r="J185" i="9"/>
  <c r="J156" i="9"/>
  <c r="J85" i="9"/>
  <c r="J11" i="9"/>
  <c r="J27" i="9"/>
  <c r="J106" i="9"/>
  <c r="J96" i="9"/>
  <c r="J38" i="9"/>
  <c r="J68" i="9"/>
  <c r="J158" i="9"/>
  <c r="J137" i="9"/>
  <c r="J73" i="9"/>
  <c r="J130" i="9"/>
  <c r="J149" i="9"/>
  <c r="J37" i="9"/>
  <c r="J71" i="9"/>
  <c r="J14" i="9"/>
  <c r="J138" i="9"/>
  <c r="J111" i="9"/>
  <c r="J150" i="9"/>
  <c r="J191" i="9"/>
  <c r="J120" i="9"/>
  <c r="J102" i="9"/>
  <c r="J47" i="9"/>
  <c r="J57" i="9"/>
  <c r="J60" i="9"/>
  <c r="J110" i="9"/>
  <c r="J200" i="9"/>
  <c r="J157" i="9"/>
  <c r="J62" i="9"/>
  <c r="J170" i="9"/>
  <c r="J48" i="9"/>
  <c r="J112" i="9"/>
  <c r="J39" i="9"/>
  <c r="J161" i="9"/>
  <c r="J43" i="9"/>
  <c r="J20" i="9"/>
  <c r="J18" i="9"/>
  <c r="J15" i="9"/>
  <c r="J59" i="9"/>
  <c r="J126" i="9"/>
  <c r="J179" i="9"/>
  <c r="J165" i="9"/>
  <c r="J33" i="9"/>
  <c r="J115" i="9"/>
  <c r="J193" i="9"/>
  <c r="J175" i="9"/>
  <c r="J10" i="9"/>
  <c r="J121" i="9"/>
  <c r="J26" i="9"/>
  <c r="J168" i="9"/>
  <c r="J173" i="9"/>
  <c r="J66" i="9"/>
  <c r="J95" i="9"/>
  <c r="J75" i="9"/>
  <c r="J9" i="9"/>
  <c r="J144" i="9"/>
  <c r="J181" i="9"/>
  <c r="Q9" i="9"/>
  <c r="J114" i="9"/>
  <c r="J141" i="9"/>
  <c r="J125" i="9"/>
  <c r="J129" i="9"/>
  <c r="J151" i="9"/>
  <c r="J72" i="9"/>
  <c r="J128" i="9"/>
  <c r="J51" i="9"/>
  <c r="J169" i="9"/>
  <c r="J40" i="9"/>
  <c r="J61" i="9"/>
  <c r="J148" i="9"/>
  <c r="J171" i="9"/>
  <c r="J53" i="9"/>
  <c r="J82" i="9"/>
  <c r="J91" i="9"/>
  <c r="J97" i="9"/>
  <c r="J98" i="9"/>
  <c r="J163" i="9"/>
  <c r="J78" i="9"/>
  <c r="J54" i="9"/>
  <c r="J87" i="9"/>
  <c r="J50" i="9"/>
  <c r="J46" i="9"/>
  <c r="J119" i="9"/>
  <c r="J105" i="9"/>
  <c r="J118" i="9"/>
  <c r="J36" i="9"/>
  <c r="J174" i="9"/>
  <c r="J79" i="9"/>
  <c r="J180" i="9"/>
  <c r="J45" i="9"/>
  <c r="J153" i="9"/>
  <c r="J24" i="9"/>
  <c r="J152" i="9"/>
  <c r="J101" i="9"/>
  <c r="J133" i="9"/>
  <c r="J16" i="9"/>
  <c r="J164" i="9"/>
  <c r="J160" i="9"/>
  <c r="J44" i="9"/>
  <c r="J64" i="9"/>
  <c r="J41" i="9"/>
  <c r="J117" i="9"/>
  <c r="J154" i="9"/>
  <c r="J162" i="9"/>
  <c r="J195" i="9"/>
  <c r="J122" i="9"/>
  <c r="J190" i="9"/>
  <c r="J167" i="9"/>
  <c r="J21" i="9"/>
  <c r="J186" i="9"/>
  <c r="J116" i="9"/>
  <c r="J22" i="9"/>
  <c r="J17" i="9"/>
  <c r="J100" i="9"/>
  <c r="J34" i="9"/>
  <c r="J192" i="9"/>
  <c r="J65" i="9"/>
  <c r="J86" i="9"/>
  <c r="J83" i="9"/>
  <c r="J124" i="9"/>
  <c r="J109" i="9"/>
  <c r="J139" i="9"/>
  <c r="J23" i="9"/>
  <c r="J12" i="9"/>
  <c r="J197" i="9"/>
  <c r="J55" i="9"/>
  <c r="J94" i="9"/>
  <c r="J183" i="9"/>
  <c r="J103" i="9"/>
  <c r="J188" i="9"/>
  <c r="J131" i="9"/>
  <c r="J159" i="9"/>
  <c r="J155" i="9"/>
  <c r="J132" i="9"/>
  <c r="J74" i="9"/>
  <c r="J89" i="9"/>
  <c r="J104" i="9"/>
  <c r="J31" i="9"/>
  <c r="J176" i="9"/>
  <c r="J177" i="9"/>
  <c r="J135" i="9"/>
  <c r="J113" i="9"/>
  <c r="J25" i="9"/>
  <c r="J189" i="9"/>
  <c r="J99" i="9"/>
  <c r="J182" i="9"/>
  <c r="J93" i="9"/>
  <c r="I10" i="9"/>
  <c r="J198" i="9"/>
  <c r="J147" i="9"/>
  <c r="J90" i="9"/>
  <c r="J32" i="9"/>
  <c r="J140" i="9"/>
  <c r="J13" i="9"/>
  <c r="J58" i="9"/>
  <c r="J187" i="9"/>
  <c r="J30" i="9"/>
  <c r="J84" i="9"/>
  <c r="J19" i="9"/>
  <c r="J63" i="9"/>
  <c r="J194" i="9"/>
  <c r="J29" i="9"/>
  <c r="J28" i="9"/>
  <c r="J81" i="9"/>
  <c r="J143" i="9"/>
  <c r="J42" i="9"/>
  <c r="J35" i="9"/>
  <c r="J127" i="9"/>
  <c r="J67" i="9"/>
  <c r="J69" i="9"/>
  <c r="J80" i="9"/>
  <c r="J123" i="9"/>
  <c r="J134" i="9"/>
  <c r="J146" i="9"/>
  <c r="J77" i="9"/>
  <c r="J142" i="9"/>
  <c r="J49" i="9"/>
  <c r="J56" i="9"/>
  <c r="J88" i="9"/>
  <c r="J108" i="9"/>
  <c r="J184" i="9"/>
  <c r="J145" i="9"/>
  <c r="J178" i="9"/>
  <c r="J92" i="9"/>
  <c r="J166" i="9"/>
  <c r="J52" i="9"/>
  <c r="J107" i="9"/>
  <c r="J76" i="9"/>
  <c r="M9" i="9"/>
  <c r="J199" i="9"/>
  <c r="F9" i="42" l="1"/>
  <c r="D10" i="42"/>
  <c r="C10" i="42"/>
  <c r="E11" i="42"/>
  <c r="A12" i="42"/>
  <c r="B11" i="42"/>
  <c r="G2" i="28"/>
  <c r="E7" i="2"/>
  <c r="E8" i="2"/>
  <c r="E11" i="2"/>
  <c r="E12" i="2"/>
  <c r="E15" i="2"/>
  <c r="E16" i="2"/>
  <c r="E19" i="2"/>
  <c r="E20" i="2"/>
  <c r="E23" i="2"/>
  <c r="E24" i="2"/>
  <c r="E27" i="2"/>
  <c r="E28" i="2"/>
  <c r="E31" i="2"/>
  <c r="E32" i="2"/>
  <c r="E35" i="2"/>
  <c r="E36" i="2"/>
  <c r="E39" i="2"/>
  <c r="E40" i="2"/>
  <c r="E43" i="2"/>
  <c r="E44" i="2"/>
  <c r="E47" i="2"/>
  <c r="E48" i="2"/>
  <c r="E51" i="2"/>
  <c r="E52" i="2"/>
  <c r="E55" i="2"/>
  <c r="E56" i="2"/>
  <c r="E59" i="2"/>
  <c r="E60" i="2"/>
  <c r="E63" i="2"/>
  <c r="E64" i="2"/>
  <c r="E67" i="2"/>
  <c r="E68" i="2"/>
  <c r="E71" i="2"/>
  <c r="E72" i="2"/>
  <c r="E75" i="2"/>
  <c r="E76" i="2"/>
  <c r="E79" i="2"/>
  <c r="E80" i="2"/>
  <c r="E83" i="2"/>
  <c r="E84" i="2"/>
  <c r="E87" i="2"/>
  <c r="E88" i="2"/>
  <c r="E91" i="2"/>
  <c r="E92" i="2"/>
  <c r="E95" i="2"/>
  <c r="E96" i="2"/>
  <c r="E99" i="2"/>
  <c r="E100" i="2"/>
  <c r="E103" i="2"/>
  <c r="E104" i="2"/>
  <c r="E107" i="2"/>
  <c r="E108" i="2"/>
  <c r="E111" i="2"/>
  <c r="E112" i="2"/>
  <c r="E115" i="2"/>
  <c r="E116" i="2"/>
  <c r="E119" i="2"/>
  <c r="E120" i="2"/>
  <c r="E123" i="2"/>
  <c r="E124" i="2"/>
  <c r="E127" i="2"/>
  <c r="E128" i="2"/>
  <c r="E131" i="2"/>
  <c r="E132" i="2"/>
  <c r="E135" i="2"/>
  <c r="E136" i="2"/>
  <c r="E139" i="2"/>
  <c r="E140" i="2"/>
  <c r="E143" i="2"/>
  <c r="E144" i="2"/>
  <c r="E147" i="2"/>
  <c r="E148" i="2"/>
  <c r="E151" i="2"/>
  <c r="E152" i="2"/>
  <c r="E155" i="2"/>
  <c r="E156" i="2"/>
  <c r="E159" i="2"/>
  <c r="E160" i="2"/>
  <c r="E163" i="2"/>
  <c r="E164" i="2"/>
  <c r="E167" i="2"/>
  <c r="E168" i="2"/>
  <c r="E171" i="2"/>
  <c r="E172" i="2"/>
  <c r="E175" i="2"/>
  <c r="E176" i="2"/>
  <c r="E179" i="2"/>
  <c r="E180" i="2"/>
  <c r="E183" i="2"/>
  <c r="E184" i="2"/>
  <c r="E187" i="2"/>
  <c r="E188" i="2"/>
  <c r="E191" i="2"/>
  <c r="E192" i="2"/>
  <c r="E195" i="2"/>
  <c r="E196" i="2"/>
  <c r="E199" i="2"/>
  <c r="E200" i="2"/>
  <c r="E203" i="2"/>
  <c r="E204" i="2"/>
  <c r="E207" i="2"/>
  <c r="E208" i="2"/>
  <c r="E211" i="2"/>
  <c r="E212" i="2"/>
  <c r="E215" i="2"/>
  <c r="E216" i="2"/>
  <c r="E219" i="2"/>
  <c r="E220" i="2"/>
  <c r="E223" i="2"/>
  <c r="E224" i="2"/>
  <c r="E227" i="2"/>
  <c r="E228" i="2"/>
  <c r="E231" i="2"/>
  <c r="E232" i="2"/>
  <c r="E235" i="2"/>
  <c r="E236" i="2"/>
  <c r="E239" i="2"/>
  <c r="E240" i="2"/>
  <c r="E242" i="2"/>
  <c r="E4" i="2"/>
  <c r="E5" i="2"/>
  <c r="E6" i="2"/>
  <c r="E9" i="2"/>
  <c r="E10" i="2"/>
  <c r="E13" i="2"/>
  <c r="E14" i="2"/>
  <c r="E17" i="2"/>
  <c r="E18" i="2"/>
  <c r="E21" i="2"/>
  <c r="E22" i="2"/>
  <c r="E25" i="2"/>
  <c r="E26" i="2"/>
  <c r="E29" i="2"/>
  <c r="E30" i="2"/>
  <c r="E33" i="2"/>
  <c r="E34" i="2"/>
  <c r="E37" i="2"/>
  <c r="E38" i="2"/>
  <c r="E41" i="2"/>
  <c r="E42" i="2"/>
  <c r="E45" i="2"/>
  <c r="E46" i="2"/>
  <c r="E49" i="2"/>
  <c r="E50" i="2"/>
  <c r="E53" i="2"/>
  <c r="E54" i="2"/>
  <c r="E57" i="2"/>
  <c r="E58" i="2"/>
  <c r="E61" i="2"/>
  <c r="E62" i="2"/>
  <c r="E65" i="2"/>
  <c r="E66" i="2"/>
  <c r="E69" i="2"/>
  <c r="E70" i="2"/>
  <c r="E73" i="2"/>
  <c r="E74" i="2"/>
  <c r="E77" i="2"/>
  <c r="E78" i="2"/>
  <c r="E81" i="2"/>
  <c r="E82" i="2"/>
  <c r="E85" i="2"/>
  <c r="E86" i="2"/>
  <c r="E89" i="2"/>
  <c r="E90" i="2"/>
  <c r="E93" i="2"/>
  <c r="E94" i="2"/>
  <c r="E97" i="2"/>
  <c r="E98" i="2"/>
  <c r="E101" i="2"/>
  <c r="E102" i="2"/>
  <c r="E105" i="2"/>
  <c r="E106" i="2"/>
  <c r="E109" i="2"/>
  <c r="E110" i="2"/>
  <c r="E113" i="2"/>
  <c r="E114" i="2"/>
  <c r="E117" i="2"/>
  <c r="E118" i="2"/>
  <c r="E121" i="2"/>
  <c r="E122" i="2"/>
  <c r="E125" i="2"/>
  <c r="E126" i="2"/>
  <c r="E129" i="2"/>
  <c r="E130" i="2"/>
  <c r="E133" i="2"/>
  <c r="E134" i="2"/>
  <c r="E137" i="2"/>
  <c r="E138" i="2"/>
  <c r="E141" i="2"/>
  <c r="E142" i="2"/>
  <c r="E145" i="2"/>
  <c r="E146" i="2"/>
  <c r="E149" i="2"/>
  <c r="E150" i="2"/>
  <c r="E153" i="2"/>
  <c r="E154" i="2"/>
  <c r="E157" i="2"/>
  <c r="E158" i="2"/>
  <c r="E161" i="2"/>
  <c r="E162" i="2"/>
  <c r="E165" i="2"/>
  <c r="E166" i="2"/>
  <c r="E169" i="2"/>
  <c r="E170" i="2"/>
  <c r="E173" i="2"/>
  <c r="E174" i="2"/>
  <c r="E177" i="2"/>
  <c r="E178" i="2"/>
  <c r="E181" i="2"/>
  <c r="E182" i="2"/>
  <c r="E185" i="2"/>
  <c r="E186" i="2"/>
  <c r="E189" i="2"/>
  <c r="E190" i="2"/>
  <c r="E193" i="2"/>
  <c r="E194" i="2"/>
  <c r="E197" i="2"/>
  <c r="E198" i="2"/>
  <c r="E201" i="2"/>
  <c r="E202" i="2"/>
  <c r="E205" i="2"/>
  <c r="E206" i="2"/>
  <c r="E209" i="2"/>
  <c r="E210" i="2"/>
  <c r="E213" i="2"/>
  <c r="E214" i="2"/>
  <c r="E217" i="2"/>
  <c r="E218" i="2"/>
  <c r="E221" i="2"/>
  <c r="E222" i="2"/>
  <c r="E225" i="2"/>
  <c r="E226" i="2"/>
  <c r="E229" i="2"/>
  <c r="E230" i="2"/>
  <c r="E233" i="2"/>
  <c r="E234" i="2"/>
  <c r="E237" i="2"/>
  <c r="E238" i="2"/>
  <c r="E241" i="2"/>
  <c r="E6" i="15"/>
  <c r="E7" i="15"/>
  <c r="G7" i="15" s="1"/>
  <c r="E8" i="15"/>
  <c r="F8" i="15" s="1"/>
  <c r="E10" i="15"/>
  <c r="F10" i="15" s="1"/>
  <c r="E11" i="15"/>
  <c r="F11" i="15" s="1"/>
  <c r="E12" i="15"/>
  <c r="F12" i="15" s="1"/>
  <c r="E13" i="15"/>
  <c r="F13" i="15" s="1"/>
  <c r="E14" i="15"/>
  <c r="F14" i="15" s="1"/>
  <c r="E15" i="15"/>
  <c r="F15" i="15" s="1"/>
  <c r="E17" i="15"/>
  <c r="F17" i="15" s="1"/>
  <c r="E18" i="15"/>
  <c r="F18" i="15" s="1"/>
  <c r="E20" i="15"/>
  <c r="F20" i="15" s="1"/>
  <c r="E23" i="15"/>
  <c r="F23" i="15" s="1"/>
  <c r="E24" i="15"/>
  <c r="F24" i="15" s="1"/>
  <c r="E25" i="15"/>
  <c r="F25" i="15" s="1"/>
  <c r="E26" i="15"/>
  <c r="F26" i="15" s="1"/>
  <c r="E27" i="15"/>
  <c r="F27" i="15" s="1"/>
  <c r="E28" i="15"/>
  <c r="F28" i="15" s="1"/>
  <c r="E32" i="15"/>
  <c r="F32" i="15" s="1"/>
  <c r="E33" i="15"/>
  <c r="F33" i="15" s="1"/>
  <c r="E34" i="15"/>
  <c r="F34" i="15" s="1"/>
  <c r="E35" i="15"/>
  <c r="F35" i="15" s="1"/>
  <c r="E36" i="15"/>
  <c r="F36" i="15" s="1"/>
  <c r="E39" i="15"/>
  <c r="F39" i="15" s="1"/>
  <c r="E40" i="15"/>
  <c r="F40" i="15" s="1"/>
  <c r="E41" i="15"/>
  <c r="F41" i="15" s="1"/>
  <c r="E42" i="15"/>
  <c r="F42" i="15" s="1"/>
  <c r="E43" i="15"/>
  <c r="F43" i="15" s="1"/>
  <c r="E44" i="15"/>
  <c r="F44" i="15" s="1"/>
  <c r="E47" i="15"/>
  <c r="F47" i="15" s="1"/>
  <c r="E48" i="15"/>
  <c r="F48" i="15" s="1"/>
  <c r="E49" i="15"/>
  <c r="F49" i="15" s="1"/>
  <c r="E50" i="15"/>
  <c r="F50" i="15" s="1"/>
  <c r="E52" i="15"/>
  <c r="F52" i="15" s="1"/>
  <c r="E55" i="15"/>
  <c r="F55" i="15" s="1"/>
  <c r="E57" i="15"/>
  <c r="F57" i="15" s="1"/>
  <c r="E58" i="15"/>
  <c r="F58" i="15" s="1"/>
  <c r="E59" i="15"/>
  <c r="F59" i="15" s="1"/>
  <c r="E60" i="15"/>
  <c r="F60" i="15" s="1"/>
  <c r="E62" i="15"/>
  <c r="F62" i="15" s="1"/>
  <c r="E64" i="15"/>
  <c r="F64" i="15" s="1"/>
  <c r="E65" i="15"/>
  <c r="F65" i="15" s="1"/>
  <c r="E66" i="15"/>
  <c r="F66" i="15" s="1"/>
  <c r="E67" i="15"/>
  <c r="F67" i="15" s="1"/>
  <c r="E69" i="15"/>
  <c r="F69" i="15" s="1"/>
  <c r="E70" i="15"/>
  <c r="F70" i="15" s="1"/>
  <c r="E71" i="15"/>
  <c r="F71" i="15" s="1"/>
  <c r="E72" i="15"/>
  <c r="F72" i="15" s="1"/>
  <c r="E75" i="15"/>
  <c r="F75" i="15" s="1"/>
  <c r="E76" i="15"/>
  <c r="F76" i="15" s="1"/>
  <c r="E77" i="15"/>
  <c r="F77" i="15" s="1"/>
  <c r="E78" i="15"/>
  <c r="F78" i="15" s="1"/>
  <c r="E82" i="15"/>
  <c r="F82" i="15" s="1"/>
  <c r="E84" i="15"/>
  <c r="F84" i="15" s="1"/>
  <c r="E85" i="15"/>
  <c r="F85" i="15" s="1"/>
  <c r="E86" i="15"/>
  <c r="F86" i="15" s="1"/>
  <c r="E87" i="15"/>
  <c r="F87" i="15" s="1"/>
  <c r="E88" i="15"/>
  <c r="F88" i="15" s="1"/>
  <c r="E90" i="15"/>
  <c r="F90" i="15" s="1"/>
  <c r="E91" i="15"/>
  <c r="F91" i="15" s="1"/>
  <c r="E92" i="15"/>
  <c r="F92" i="15" s="1"/>
  <c r="E93" i="15"/>
  <c r="F93" i="15" s="1"/>
  <c r="E94" i="15"/>
  <c r="F94" i="15" s="1"/>
  <c r="E95" i="15"/>
  <c r="F95" i="15" s="1"/>
  <c r="E96" i="15"/>
  <c r="F96" i="15" s="1"/>
  <c r="E98" i="15"/>
  <c r="F98" i="15" s="1"/>
  <c r="E100" i="15"/>
  <c r="F100" i="15" s="1"/>
  <c r="E101" i="15"/>
  <c r="F101" i="15" s="1"/>
  <c r="E102" i="15"/>
  <c r="F102" i="15" s="1"/>
  <c r="E103" i="15"/>
  <c r="F103" i="15" s="1"/>
  <c r="E104" i="15"/>
  <c r="F104" i="15" s="1"/>
  <c r="E106" i="15"/>
  <c r="F106" i="15" s="1"/>
  <c r="E108" i="15"/>
  <c r="F108" i="15" s="1"/>
  <c r="E109" i="15"/>
  <c r="F109" i="15" s="1"/>
  <c r="E110" i="15"/>
  <c r="F110" i="15" s="1"/>
  <c r="E111" i="15"/>
  <c r="F111" i="15" s="1"/>
  <c r="E112" i="15"/>
  <c r="F112" i="15" s="1"/>
  <c r="E114" i="15"/>
  <c r="F114" i="15" s="1"/>
  <c r="E115" i="15"/>
  <c r="F115" i="15" s="1"/>
  <c r="E116" i="15"/>
  <c r="F116" i="15" s="1"/>
  <c r="E117" i="15"/>
  <c r="F117" i="15" s="1"/>
  <c r="E118" i="15"/>
  <c r="F118" i="15" s="1"/>
  <c r="E119" i="15"/>
  <c r="F119" i="15" s="1"/>
  <c r="E121" i="15"/>
  <c r="F121" i="15" s="1"/>
  <c r="E122" i="15"/>
  <c r="F122" i="15" s="1"/>
  <c r="E124" i="15"/>
  <c r="F124" i="15" s="1"/>
  <c r="E128" i="15"/>
  <c r="F128" i="15" s="1"/>
  <c r="E129" i="15"/>
  <c r="F129" i="15" s="1"/>
  <c r="E130" i="15"/>
  <c r="F130" i="15" s="1"/>
  <c r="E131" i="15"/>
  <c r="F131" i="15" s="1"/>
  <c r="E134" i="15"/>
  <c r="F134" i="15" s="1"/>
  <c r="E135" i="15"/>
  <c r="F135" i="15" s="1"/>
  <c r="E136" i="15"/>
  <c r="F136" i="15" s="1"/>
  <c r="E137" i="15"/>
  <c r="F137" i="15" s="1"/>
  <c r="E138" i="15"/>
  <c r="F138" i="15" s="1"/>
  <c r="E139" i="15"/>
  <c r="F139" i="15" s="1"/>
  <c r="E140" i="15"/>
  <c r="F140" i="15" s="1"/>
  <c r="E142" i="15"/>
  <c r="F142" i="15" s="1"/>
  <c r="E148" i="15"/>
  <c r="F148" i="15" s="1"/>
  <c r="E149" i="15"/>
  <c r="F149" i="15" s="1"/>
  <c r="E150" i="15"/>
  <c r="F150" i="15" s="1"/>
  <c r="E151" i="15"/>
  <c r="F151" i="15" s="1"/>
  <c r="E152" i="15"/>
  <c r="F152" i="15" s="1"/>
  <c r="E155" i="15"/>
  <c r="F155" i="15" s="1"/>
  <c r="E156" i="15"/>
  <c r="F156" i="15" s="1"/>
  <c r="E157" i="15"/>
  <c r="F157" i="15" s="1"/>
  <c r="E158" i="15"/>
  <c r="F158" i="15" s="1"/>
  <c r="E159" i="15"/>
  <c r="F159" i="15" s="1"/>
  <c r="E160" i="15"/>
  <c r="F160" i="15" s="1"/>
  <c r="E164" i="15"/>
  <c r="F164" i="15" s="1"/>
  <c r="E165" i="15"/>
  <c r="F165" i="15" s="1"/>
  <c r="E166" i="15"/>
  <c r="F166" i="15" s="1"/>
  <c r="E167" i="15"/>
  <c r="F167" i="15" s="1"/>
  <c r="E168" i="15"/>
  <c r="F168" i="15" s="1"/>
  <c r="E172" i="15"/>
  <c r="F172" i="15" s="1"/>
  <c r="E173" i="15"/>
  <c r="F173" i="15" s="1"/>
  <c r="E174" i="15"/>
  <c r="F174" i="15" s="1"/>
  <c r="E175" i="15"/>
  <c r="F175" i="15" s="1"/>
  <c r="E176" i="15"/>
  <c r="F176" i="15" s="1"/>
  <c r="E179" i="15"/>
  <c r="F179" i="15" s="1"/>
  <c r="E180" i="15"/>
  <c r="F180" i="15" s="1"/>
  <c r="E181" i="15"/>
  <c r="F181" i="15" s="1"/>
  <c r="E182" i="15"/>
  <c r="F182" i="15" s="1"/>
  <c r="E183" i="15"/>
  <c r="F183" i="15" s="1"/>
  <c r="E186" i="15"/>
  <c r="F186" i="15" s="1"/>
  <c r="E188" i="15"/>
  <c r="F188" i="15" s="1"/>
  <c r="E189" i="15"/>
  <c r="F189" i="15" s="1"/>
  <c r="E190" i="15"/>
  <c r="F190" i="15" s="1"/>
  <c r="E192" i="15"/>
  <c r="F192" i="15" s="1"/>
  <c r="E194" i="15"/>
  <c r="F194" i="15" s="1"/>
  <c r="E195" i="15"/>
  <c r="F195" i="15" s="1"/>
  <c r="E199" i="15"/>
  <c r="F199" i="15" s="1"/>
  <c r="E200" i="15"/>
  <c r="F200" i="15" s="1"/>
  <c r="E201" i="15"/>
  <c r="F201" i="15" s="1"/>
  <c r="E202" i="15"/>
  <c r="F202" i="15" s="1"/>
  <c r="E203" i="15"/>
  <c r="F203" i="15" s="1"/>
  <c r="E204" i="15"/>
  <c r="F204" i="15" s="1"/>
  <c r="E208" i="15"/>
  <c r="F208" i="15" s="1"/>
  <c r="E209" i="15"/>
  <c r="F209" i="15" s="1"/>
  <c r="E210" i="15"/>
  <c r="F210" i="15" s="1"/>
  <c r="E212" i="15"/>
  <c r="F212" i="15" s="1"/>
  <c r="E214" i="15"/>
  <c r="F214" i="15" s="1"/>
  <c r="E215" i="15"/>
  <c r="F215" i="15" s="1"/>
  <c r="E216" i="15"/>
  <c r="F216" i="15" s="1"/>
  <c r="E217" i="15"/>
  <c r="F217" i="15" s="1"/>
  <c r="E218" i="15"/>
  <c r="F218" i="15" s="1"/>
  <c r="E219" i="15"/>
  <c r="F219" i="15" s="1"/>
  <c r="E220" i="15"/>
  <c r="F220" i="15" s="1"/>
  <c r="E222" i="15"/>
  <c r="F222" i="15" s="1"/>
  <c r="E223" i="15"/>
  <c r="F223" i="15" s="1"/>
  <c r="E224" i="15"/>
  <c r="F224" i="15" s="1"/>
  <c r="E225" i="15"/>
  <c r="F225" i="15" s="1"/>
  <c r="E226" i="15"/>
  <c r="F226" i="15" s="1"/>
  <c r="E228" i="15"/>
  <c r="F228" i="15" s="1"/>
  <c r="E230" i="15"/>
  <c r="F230" i="15" s="1"/>
  <c r="E231" i="15"/>
  <c r="F231" i="15" s="1"/>
  <c r="E232" i="15"/>
  <c r="F232" i="15" s="1"/>
  <c r="E233" i="15"/>
  <c r="F233" i="15" s="1"/>
  <c r="E234" i="15"/>
  <c r="F234" i="15" s="1"/>
  <c r="E236" i="15"/>
  <c r="F236" i="15" s="1"/>
  <c r="E238" i="15"/>
  <c r="F238" i="15" s="1"/>
  <c r="E239" i="15"/>
  <c r="F239" i="15" s="1"/>
  <c r="E240" i="15"/>
  <c r="F240" i="15" s="1"/>
  <c r="E241" i="15"/>
  <c r="F241" i="15" s="1"/>
  <c r="E242" i="15"/>
  <c r="F242" i="15" s="1"/>
  <c r="E4" i="16"/>
  <c r="F4" i="16" s="1"/>
  <c r="E5" i="16"/>
  <c r="E6" i="16"/>
  <c r="G6" i="16" s="1"/>
  <c r="E7" i="16"/>
  <c r="F7" i="16" s="1"/>
  <c r="E8" i="16"/>
  <c r="F8" i="16" s="1"/>
  <c r="E9" i="16"/>
  <c r="E10" i="16"/>
  <c r="E11" i="16"/>
  <c r="F11" i="16" s="1"/>
  <c r="E12" i="16"/>
  <c r="F12" i="16" s="1"/>
  <c r="E13" i="16"/>
  <c r="E14" i="16"/>
  <c r="E15" i="16"/>
  <c r="F15" i="16" s="1"/>
  <c r="E16" i="16"/>
  <c r="F16" i="16" s="1"/>
  <c r="E17" i="16"/>
  <c r="E18" i="16"/>
  <c r="E19" i="16"/>
  <c r="F19" i="16" s="1"/>
  <c r="E20" i="16"/>
  <c r="F20" i="16" s="1"/>
  <c r="E21" i="16"/>
  <c r="E22" i="16"/>
  <c r="E23" i="16"/>
  <c r="F23" i="16" s="1"/>
  <c r="E24" i="16"/>
  <c r="F24" i="16" s="1"/>
  <c r="E25" i="16"/>
  <c r="E26" i="16"/>
  <c r="E27" i="16"/>
  <c r="F27" i="16" s="1"/>
  <c r="E28" i="16"/>
  <c r="F28" i="16" s="1"/>
  <c r="E29" i="16"/>
  <c r="E30" i="16"/>
  <c r="F30" i="16" s="1"/>
  <c r="E31" i="16"/>
  <c r="F31" i="16" s="1"/>
  <c r="E32" i="16"/>
  <c r="F32" i="16" s="1"/>
  <c r="E33" i="16"/>
  <c r="E34" i="16"/>
  <c r="E35" i="16"/>
  <c r="F35" i="16" s="1"/>
  <c r="E36" i="16"/>
  <c r="F36" i="16" s="1"/>
  <c r="E37" i="16"/>
  <c r="E38" i="16"/>
  <c r="F38" i="16" s="1"/>
  <c r="E39" i="16"/>
  <c r="F39" i="16" s="1"/>
  <c r="E40" i="16"/>
  <c r="F40" i="16" s="1"/>
  <c r="E41" i="16"/>
  <c r="E42" i="16"/>
  <c r="E43" i="16"/>
  <c r="F43" i="16" s="1"/>
  <c r="E44" i="16"/>
  <c r="F44" i="16" s="1"/>
  <c r="E45" i="16"/>
  <c r="E46" i="16"/>
  <c r="F46" i="16" s="1"/>
  <c r="E47" i="16"/>
  <c r="F47" i="16" s="1"/>
  <c r="E48" i="16"/>
  <c r="F48" i="16" s="1"/>
  <c r="E49" i="16"/>
  <c r="E50" i="16"/>
  <c r="F50" i="16" s="1"/>
  <c r="E51" i="16"/>
  <c r="F51" i="16" s="1"/>
  <c r="E52" i="16"/>
  <c r="F52" i="16" s="1"/>
  <c r="E53" i="16"/>
  <c r="E54" i="16"/>
  <c r="E55" i="16"/>
  <c r="F55" i="16" s="1"/>
  <c r="E56" i="16"/>
  <c r="F56" i="16" s="1"/>
  <c r="E57" i="16"/>
  <c r="E58" i="16"/>
  <c r="E59" i="16"/>
  <c r="F59" i="16" s="1"/>
  <c r="E60" i="16"/>
  <c r="F60" i="16" s="1"/>
  <c r="E61" i="16"/>
  <c r="E62" i="16"/>
  <c r="F62" i="16" s="1"/>
  <c r="E63" i="16"/>
  <c r="F63" i="16" s="1"/>
  <c r="E64" i="16"/>
  <c r="F64" i="16" s="1"/>
  <c r="E65" i="16"/>
  <c r="E66" i="16"/>
  <c r="F66" i="16" s="1"/>
  <c r="E67" i="16"/>
  <c r="F67" i="16" s="1"/>
  <c r="E68" i="16"/>
  <c r="F68" i="16" s="1"/>
  <c r="E69" i="16"/>
  <c r="E70" i="16"/>
  <c r="F70" i="16" s="1"/>
  <c r="E71" i="16"/>
  <c r="F71" i="16" s="1"/>
  <c r="E72" i="16"/>
  <c r="F72" i="16" s="1"/>
  <c r="E73" i="16"/>
  <c r="E74" i="16"/>
  <c r="E75" i="16"/>
  <c r="F75" i="16" s="1"/>
  <c r="E76" i="16"/>
  <c r="F76" i="16" s="1"/>
  <c r="E77" i="16"/>
  <c r="E78" i="16"/>
  <c r="E79" i="16"/>
  <c r="F79" i="16" s="1"/>
  <c r="E80" i="16"/>
  <c r="F80" i="16" s="1"/>
  <c r="E81" i="16"/>
  <c r="E82" i="16"/>
  <c r="F82" i="16" s="1"/>
  <c r="E83" i="16"/>
  <c r="F83" i="16" s="1"/>
  <c r="E84" i="16"/>
  <c r="F84" i="16" s="1"/>
  <c r="E85" i="16"/>
  <c r="E86" i="16"/>
  <c r="F86" i="16" s="1"/>
  <c r="E87" i="16"/>
  <c r="F87" i="16" s="1"/>
  <c r="E88" i="16"/>
  <c r="F88" i="16" s="1"/>
  <c r="E89" i="16"/>
  <c r="E90" i="16"/>
  <c r="E91" i="16"/>
  <c r="F91" i="16" s="1"/>
  <c r="E92" i="16"/>
  <c r="F92" i="16" s="1"/>
  <c r="E93" i="16"/>
  <c r="E94" i="16"/>
  <c r="F94" i="16" s="1"/>
  <c r="E95" i="16"/>
  <c r="F95" i="16" s="1"/>
  <c r="E96" i="16"/>
  <c r="F96" i="16" s="1"/>
  <c r="E97" i="16"/>
  <c r="E98" i="16"/>
  <c r="E99" i="16"/>
  <c r="F99" i="16" s="1"/>
  <c r="E100" i="16"/>
  <c r="F100" i="16" s="1"/>
  <c r="E101" i="16"/>
  <c r="E102" i="16"/>
  <c r="F102" i="16" s="1"/>
  <c r="E103" i="16"/>
  <c r="F103" i="16" s="1"/>
  <c r="E104" i="16"/>
  <c r="F104" i="16" s="1"/>
  <c r="E105" i="16"/>
  <c r="E106" i="16"/>
  <c r="E107" i="16"/>
  <c r="F107" i="16" s="1"/>
  <c r="E108" i="16"/>
  <c r="F108" i="16" s="1"/>
  <c r="E109" i="16"/>
  <c r="E110" i="16"/>
  <c r="F110" i="16" s="1"/>
  <c r="E111" i="16"/>
  <c r="F111" i="16" s="1"/>
  <c r="E112" i="16"/>
  <c r="F112" i="16" s="1"/>
  <c r="E113" i="16"/>
  <c r="E114" i="16"/>
  <c r="F114" i="16" s="1"/>
  <c r="E115" i="16"/>
  <c r="F115" i="16" s="1"/>
  <c r="E116" i="16"/>
  <c r="F116" i="16" s="1"/>
  <c r="E117" i="16"/>
  <c r="E118" i="16"/>
  <c r="E119" i="16"/>
  <c r="F119" i="16" s="1"/>
  <c r="E120" i="16"/>
  <c r="F120" i="16" s="1"/>
  <c r="E121" i="16"/>
  <c r="E122" i="16"/>
  <c r="E123" i="16"/>
  <c r="F123" i="16" s="1"/>
  <c r="E124" i="16"/>
  <c r="F124" i="16" s="1"/>
  <c r="E125" i="16"/>
  <c r="E126" i="16"/>
  <c r="F126" i="16" s="1"/>
  <c r="E127" i="16"/>
  <c r="F127" i="16" s="1"/>
  <c r="E128" i="16"/>
  <c r="F128" i="16" s="1"/>
  <c r="E129" i="16"/>
  <c r="E130" i="16"/>
  <c r="F130" i="16" s="1"/>
  <c r="E131" i="16"/>
  <c r="F131" i="16" s="1"/>
  <c r="E132" i="16"/>
  <c r="F132" i="16" s="1"/>
  <c r="E133" i="16"/>
  <c r="E134" i="16"/>
  <c r="F134" i="16" s="1"/>
  <c r="E135" i="16"/>
  <c r="F135" i="16" s="1"/>
  <c r="E136" i="16"/>
  <c r="F136" i="16" s="1"/>
  <c r="E137" i="16"/>
  <c r="E138" i="16"/>
  <c r="E139" i="16"/>
  <c r="F139" i="16" s="1"/>
  <c r="E140" i="16"/>
  <c r="F140" i="16" s="1"/>
  <c r="E141" i="16"/>
  <c r="E142" i="16"/>
  <c r="E143" i="16"/>
  <c r="F143" i="16" s="1"/>
  <c r="E144" i="16"/>
  <c r="F144" i="16" s="1"/>
  <c r="E145" i="16"/>
  <c r="E146" i="16"/>
  <c r="F146" i="16" s="1"/>
  <c r="E147" i="16"/>
  <c r="F147" i="16" s="1"/>
  <c r="E148" i="16"/>
  <c r="F148" i="16" s="1"/>
  <c r="E149" i="16"/>
  <c r="E150" i="16"/>
  <c r="F150" i="16" s="1"/>
  <c r="E151" i="16"/>
  <c r="F151" i="16" s="1"/>
  <c r="E152" i="16"/>
  <c r="F152" i="16" s="1"/>
  <c r="E153" i="16"/>
  <c r="E154" i="16"/>
  <c r="E155" i="16"/>
  <c r="F155" i="16" s="1"/>
  <c r="E156" i="16"/>
  <c r="F156" i="16" s="1"/>
  <c r="E157" i="16"/>
  <c r="F157" i="16" s="1"/>
  <c r="E158" i="16"/>
  <c r="F158" i="16" s="1"/>
  <c r="E159" i="16"/>
  <c r="F159" i="16" s="1"/>
  <c r="E160" i="16"/>
  <c r="F160" i="16" s="1"/>
  <c r="E161" i="16"/>
  <c r="F161" i="16" s="1"/>
  <c r="E162" i="16"/>
  <c r="E163" i="16"/>
  <c r="F163" i="16" s="1"/>
  <c r="E164" i="16"/>
  <c r="F164" i="16" s="1"/>
  <c r="E165" i="16"/>
  <c r="F165" i="16" s="1"/>
  <c r="E166" i="16"/>
  <c r="F166" i="16" s="1"/>
  <c r="E167" i="16"/>
  <c r="F167" i="16" s="1"/>
  <c r="E168" i="16"/>
  <c r="F168" i="16" s="1"/>
  <c r="E169" i="16"/>
  <c r="F169" i="16" s="1"/>
  <c r="E170" i="16"/>
  <c r="E171" i="16"/>
  <c r="F171" i="16" s="1"/>
  <c r="E172" i="16"/>
  <c r="F172" i="16" s="1"/>
  <c r="E173" i="16"/>
  <c r="F173" i="16" s="1"/>
  <c r="E174" i="16"/>
  <c r="F174" i="16" s="1"/>
  <c r="E175" i="16"/>
  <c r="F175" i="16" s="1"/>
  <c r="E176" i="16"/>
  <c r="F176" i="16" s="1"/>
  <c r="E177" i="16"/>
  <c r="F177" i="16" s="1"/>
  <c r="E178" i="16"/>
  <c r="F178" i="16" s="1"/>
  <c r="E179" i="16"/>
  <c r="F179" i="16" s="1"/>
  <c r="E180" i="16"/>
  <c r="F180" i="16" s="1"/>
  <c r="E181" i="16"/>
  <c r="F181" i="16" s="1"/>
  <c r="E182" i="16"/>
  <c r="F182" i="16" s="1"/>
  <c r="E183" i="16"/>
  <c r="F183" i="16" s="1"/>
  <c r="E184" i="16"/>
  <c r="F184" i="16" s="1"/>
  <c r="E185" i="16"/>
  <c r="E186" i="16"/>
  <c r="F186" i="16" s="1"/>
  <c r="E187" i="16"/>
  <c r="F187" i="16" s="1"/>
  <c r="E188" i="16"/>
  <c r="F188" i="16" s="1"/>
  <c r="E189" i="16"/>
  <c r="F189" i="16" s="1"/>
  <c r="E190" i="16"/>
  <c r="F190" i="16" s="1"/>
  <c r="E191" i="16"/>
  <c r="F191" i="16" s="1"/>
  <c r="E192" i="16"/>
  <c r="F192" i="16" s="1"/>
  <c r="E193" i="16"/>
  <c r="F193" i="16" s="1"/>
  <c r="E194" i="16"/>
  <c r="F194" i="16" s="1"/>
  <c r="E195" i="16"/>
  <c r="F195" i="16" s="1"/>
  <c r="E196" i="16"/>
  <c r="F196" i="16" s="1"/>
  <c r="E197" i="16"/>
  <c r="F197" i="16" s="1"/>
  <c r="E198" i="16"/>
  <c r="F198" i="16" s="1"/>
  <c r="E199" i="16"/>
  <c r="F199" i="16" s="1"/>
  <c r="E200" i="16"/>
  <c r="F200" i="16" s="1"/>
  <c r="E201" i="16"/>
  <c r="E202" i="16"/>
  <c r="F202" i="16" s="1"/>
  <c r="E203" i="16"/>
  <c r="F203" i="16" s="1"/>
  <c r="E204" i="16"/>
  <c r="F204" i="16" s="1"/>
  <c r="E205" i="16"/>
  <c r="F205" i="16" s="1"/>
  <c r="E206" i="16"/>
  <c r="F206" i="16" s="1"/>
  <c r="E207" i="16"/>
  <c r="F207" i="16" s="1"/>
  <c r="E208" i="16"/>
  <c r="F208" i="16" s="1"/>
  <c r="E209" i="16"/>
  <c r="F209" i="16" s="1"/>
  <c r="E210" i="16"/>
  <c r="F210" i="16" s="1"/>
  <c r="E211" i="16"/>
  <c r="F211" i="16" s="1"/>
  <c r="E212" i="16"/>
  <c r="F212" i="16" s="1"/>
  <c r="E213" i="16"/>
  <c r="F213" i="16" s="1"/>
  <c r="E214" i="16"/>
  <c r="F214" i="16" s="1"/>
  <c r="E215" i="16"/>
  <c r="F215" i="16" s="1"/>
  <c r="E216" i="16"/>
  <c r="F216" i="16" s="1"/>
  <c r="E217" i="16"/>
  <c r="E218" i="16"/>
  <c r="F218" i="16" s="1"/>
  <c r="E219" i="16"/>
  <c r="F219" i="16" s="1"/>
  <c r="E220" i="16"/>
  <c r="F220" i="16" s="1"/>
  <c r="E221" i="16"/>
  <c r="F221" i="16" s="1"/>
  <c r="E222" i="16"/>
  <c r="F222" i="16" s="1"/>
  <c r="E223" i="16"/>
  <c r="F223" i="16" s="1"/>
  <c r="E224" i="16"/>
  <c r="F224" i="16" s="1"/>
  <c r="E225" i="16"/>
  <c r="F225" i="16" s="1"/>
  <c r="E226" i="16"/>
  <c r="F226" i="16" s="1"/>
  <c r="E227" i="16"/>
  <c r="F227" i="16" s="1"/>
  <c r="E228" i="16"/>
  <c r="F228" i="16" s="1"/>
  <c r="E229" i="16"/>
  <c r="F229" i="16" s="1"/>
  <c r="E230" i="16"/>
  <c r="F230" i="16" s="1"/>
  <c r="E231" i="16"/>
  <c r="F231" i="16" s="1"/>
  <c r="E232" i="16"/>
  <c r="F232" i="16" s="1"/>
  <c r="E233" i="16"/>
  <c r="E234" i="16"/>
  <c r="F234" i="16" s="1"/>
  <c r="E235" i="16"/>
  <c r="F235" i="16" s="1"/>
  <c r="E236" i="16"/>
  <c r="F236" i="16" s="1"/>
  <c r="E237" i="16"/>
  <c r="F237" i="16" s="1"/>
  <c r="E238" i="16"/>
  <c r="F238" i="16" s="1"/>
  <c r="E239" i="16"/>
  <c r="F239" i="16" s="1"/>
  <c r="E240" i="16"/>
  <c r="F240" i="16" s="1"/>
  <c r="E241" i="16"/>
  <c r="F241" i="16" s="1"/>
  <c r="E242" i="16"/>
  <c r="F242" i="16" s="1"/>
  <c r="E3" i="16"/>
  <c r="F3" i="16" s="1"/>
  <c r="B2" i="16"/>
  <c r="E19" i="15"/>
  <c r="F19" i="15" s="1"/>
  <c r="E31" i="15"/>
  <c r="F31" i="15" s="1"/>
  <c r="E51" i="15"/>
  <c r="F51" i="15" s="1"/>
  <c r="E63" i="15"/>
  <c r="F63" i="15" s="1"/>
  <c r="E79" i="15"/>
  <c r="F79" i="15" s="1"/>
  <c r="E83" i="15"/>
  <c r="F83" i="15" s="1"/>
  <c r="E99" i="15"/>
  <c r="F99" i="15" s="1"/>
  <c r="E107" i="15"/>
  <c r="F107" i="15" s="1"/>
  <c r="E123" i="15"/>
  <c r="F123" i="15" s="1"/>
  <c r="E127" i="15"/>
  <c r="F127" i="15" s="1"/>
  <c r="E143" i="15"/>
  <c r="F143" i="15" s="1"/>
  <c r="E147" i="15"/>
  <c r="F147" i="15" s="1"/>
  <c r="E163" i="15"/>
  <c r="F163" i="15" s="1"/>
  <c r="E171" i="15"/>
  <c r="F171" i="15" s="1"/>
  <c r="E187" i="15"/>
  <c r="F187" i="15" s="1"/>
  <c r="E191" i="15"/>
  <c r="F191" i="15" s="1"/>
  <c r="E207" i="15"/>
  <c r="F207" i="15" s="1"/>
  <c r="E211" i="15"/>
  <c r="F211" i="15" s="1"/>
  <c r="E227" i="15"/>
  <c r="F227" i="15" s="1"/>
  <c r="E235" i="15"/>
  <c r="F235" i="15" s="1"/>
  <c r="E3" i="15"/>
  <c r="F3" i="15" s="1"/>
  <c r="E4" i="15"/>
  <c r="G4" i="15" s="1"/>
  <c r="E5" i="15"/>
  <c r="G5" i="15" s="1"/>
  <c r="E9" i="15"/>
  <c r="F9" i="15" s="1"/>
  <c r="E16" i="15"/>
  <c r="F16" i="15" s="1"/>
  <c r="E21" i="15"/>
  <c r="F21" i="15" s="1"/>
  <c r="E22" i="15"/>
  <c r="F22" i="15" s="1"/>
  <c r="E29" i="15"/>
  <c r="F29" i="15" s="1"/>
  <c r="E30" i="15"/>
  <c r="F30" i="15" s="1"/>
  <c r="E37" i="15"/>
  <c r="F37" i="15" s="1"/>
  <c r="E38" i="15"/>
  <c r="F38" i="15" s="1"/>
  <c r="E45" i="15"/>
  <c r="F45" i="15" s="1"/>
  <c r="E46" i="15"/>
  <c r="F46" i="15" s="1"/>
  <c r="E53" i="15"/>
  <c r="F53" i="15" s="1"/>
  <c r="E54" i="15"/>
  <c r="F54" i="15" s="1"/>
  <c r="E56" i="15"/>
  <c r="F56" i="15" s="1"/>
  <c r="E61" i="15"/>
  <c r="F61" i="15" s="1"/>
  <c r="E68" i="15"/>
  <c r="F68" i="15" s="1"/>
  <c r="E73" i="15"/>
  <c r="F73" i="15" s="1"/>
  <c r="E74" i="15"/>
  <c r="F74" i="15" s="1"/>
  <c r="E80" i="15"/>
  <c r="F80" i="15" s="1"/>
  <c r="E81" i="15"/>
  <c r="F81" i="15" s="1"/>
  <c r="E89" i="15"/>
  <c r="F89" i="15" s="1"/>
  <c r="E97" i="15"/>
  <c r="F97" i="15" s="1"/>
  <c r="E105" i="15"/>
  <c r="F105" i="15" s="1"/>
  <c r="E113" i="15"/>
  <c r="F113" i="15" s="1"/>
  <c r="E120" i="15"/>
  <c r="F120" i="15" s="1"/>
  <c r="E125" i="15"/>
  <c r="F125" i="15" s="1"/>
  <c r="E126" i="15"/>
  <c r="F126" i="15" s="1"/>
  <c r="E132" i="15"/>
  <c r="F132" i="15" s="1"/>
  <c r="E133" i="15"/>
  <c r="F133" i="15" s="1"/>
  <c r="E141" i="15"/>
  <c r="F141" i="15" s="1"/>
  <c r="E144" i="15"/>
  <c r="F144" i="15" s="1"/>
  <c r="E145" i="15"/>
  <c r="F145" i="15" s="1"/>
  <c r="E146" i="15"/>
  <c r="F146" i="15" s="1"/>
  <c r="E153" i="15"/>
  <c r="F153" i="15" s="1"/>
  <c r="E154" i="15"/>
  <c r="F154" i="15" s="1"/>
  <c r="E161" i="15"/>
  <c r="F161" i="15" s="1"/>
  <c r="E162" i="15"/>
  <c r="F162" i="15" s="1"/>
  <c r="E169" i="15"/>
  <c r="F169" i="15" s="1"/>
  <c r="E170" i="15"/>
  <c r="F170" i="15" s="1"/>
  <c r="E177" i="15"/>
  <c r="F177" i="15" s="1"/>
  <c r="E178" i="15"/>
  <c r="F178" i="15" s="1"/>
  <c r="E184" i="15"/>
  <c r="F184" i="15" s="1"/>
  <c r="E185" i="15"/>
  <c r="F185" i="15" s="1"/>
  <c r="E193" i="15"/>
  <c r="F193" i="15" s="1"/>
  <c r="E196" i="15"/>
  <c r="F196" i="15" s="1"/>
  <c r="E197" i="15"/>
  <c r="F197" i="15" s="1"/>
  <c r="E198" i="15"/>
  <c r="F198" i="15" s="1"/>
  <c r="E205" i="15"/>
  <c r="F205" i="15" s="1"/>
  <c r="E206" i="15"/>
  <c r="F206" i="15" s="1"/>
  <c r="E213" i="15"/>
  <c r="F213" i="15" s="1"/>
  <c r="E221" i="15"/>
  <c r="F221" i="15" s="1"/>
  <c r="E229" i="15"/>
  <c r="F229" i="15" s="1"/>
  <c r="E237" i="15"/>
  <c r="F237" i="15" s="1"/>
  <c r="B2" i="15"/>
  <c r="I9" i="9"/>
  <c r="O9" i="9"/>
  <c r="P9" i="9"/>
  <c r="P10" i="9"/>
  <c r="L9" i="9"/>
  <c r="R9" i="9" l="1"/>
  <c r="F10" i="42"/>
  <c r="E12" i="42"/>
  <c r="B12" i="42"/>
  <c r="A13" i="42"/>
  <c r="D11" i="42"/>
  <c r="C11" i="42"/>
  <c r="E2" i="16"/>
  <c r="F2" i="16" s="1"/>
  <c r="E2" i="15"/>
  <c r="F2" i="15" s="1"/>
  <c r="D72" i="14"/>
  <c r="N22" i="24"/>
  <c r="G7" i="16"/>
  <c r="G4" i="16"/>
  <c r="F7" i="15"/>
  <c r="G3" i="15"/>
  <c r="N26" i="24"/>
  <c r="N28" i="24" s="1"/>
  <c r="G3" i="16"/>
  <c r="F233" i="16"/>
  <c r="F217" i="16"/>
  <c r="F201" i="16"/>
  <c r="F185" i="16"/>
  <c r="F142" i="16"/>
  <c r="F118" i="16"/>
  <c r="F98" i="16"/>
  <c r="F78" i="16"/>
  <c r="F54" i="16"/>
  <c r="F34" i="16"/>
  <c r="G8" i="16"/>
  <c r="F4" i="15"/>
  <c r="G6" i="15"/>
  <c r="F6" i="15"/>
  <c r="F5" i="15"/>
  <c r="F141" i="16"/>
  <c r="F125" i="16"/>
  <c r="F109" i="16"/>
  <c r="F93" i="16"/>
  <c r="F77" i="16"/>
  <c r="F61" i="16"/>
  <c r="F45" i="16"/>
  <c r="F29" i="16"/>
  <c r="F153" i="16"/>
  <c r="F137" i="16"/>
  <c r="F121" i="16"/>
  <c r="F105" i="16"/>
  <c r="F89" i="16"/>
  <c r="F73" i="16"/>
  <c r="F57" i="16"/>
  <c r="F41" i="16"/>
  <c r="F25" i="16"/>
  <c r="F21" i="16"/>
  <c r="F17" i="16"/>
  <c r="F13" i="16"/>
  <c r="F9" i="16"/>
  <c r="G9" i="16"/>
  <c r="F5" i="16"/>
  <c r="G5" i="16"/>
  <c r="F149" i="16"/>
  <c r="F133" i="16"/>
  <c r="F117" i="16"/>
  <c r="F101" i="16"/>
  <c r="F85" i="16"/>
  <c r="F69" i="16"/>
  <c r="F53" i="16"/>
  <c r="F37" i="16"/>
  <c r="F170" i="16"/>
  <c r="F162" i="16"/>
  <c r="F154" i="16"/>
  <c r="F145" i="16"/>
  <c r="F138" i="16"/>
  <c r="F129" i="16"/>
  <c r="F122" i="16"/>
  <c r="F113" i="16"/>
  <c r="F106" i="16"/>
  <c r="F97" i="16"/>
  <c r="F90" i="16"/>
  <c r="F81" i="16"/>
  <c r="F74" i="16"/>
  <c r="F65" i="16"/>
  <c r="F58" i="16"/>
  <c r="F49" i="16"/>
  <c r="F42" i="16"/>
  <c r="F33" i="16"/>
  <c r="F26" i="16"/>
  <c r="F22" i="16"/>
  <c r="F18" i="16"/>
  <c r="F14" i="16"/>
  <c r="F10" i="16"/>
  <c r="F6" i="16"/>
  <c r="I151" i="9"/>
  <c r="I38" i="9"/>
  <c r="I18" i="9"/>
  <c r="I150" i="9"/>
  <c r="I127" i="9"/>
  <c r="I101" i="9"/>
  <c r="I23" i="9"/>
  <c r="I183" i="9"/>
  <c r="I29" i="9"/>
  <c r="I66" i="9"/>
  <c r="I28" i="9"/>
  <c r="I114" i="9"/>
  <c r="I172" i="9"/>
  <c r="I186" i="9"/>
  <c r="I188" i="9"/>
  <c r="I174" i="9"/>
  <c r="I120" i="9"/>
  <c r="I139" i="9"/>
  <c r="I185" i="9"/>
  <c r="I103" i="9"/>
  <c r="I161" i="9"/>
  <c r="I169" i="9"/>
  <c r="I74" i="9"/>
  <c r="I31" i="9"/>
  <c r="I181" i="9"/>
  <c r="I165" i="9"/>
  <c r="I141" i="9"/>
  <c r="I83" i="9"/>
  <c r="I152" i="9"/>
  <c r="I21" i="9"/>
  <c r="I14" i="9"/>
  <c r="I86" i="9"/>
  <c r="I149" i="9"/>
  <c r="I71" i="9"/>
  <c r="I116" i="9"/>
  <c r="I113" i="9"/>
  <c r="I69" i="9"/>
  <c r="I47" i="9"/>
  <c r="I13" i="9"/>
  <c r="I184" i="9"/>
  <c r="I43" i="9"/>
  <c r="I135" i="9"/>
  <c r="I189" i="9"/>
  <c r="I193" i="9"/>
  <c r="I85" i="9"/>
  <c r="I94" i="9"/>
  <c r="I92" i="9"/>
  <c r="K10" i="9"/>
  <c r="I123" i="9"/>
  <c r="I148" i="9"/>
  <c r="I100" i="9"/>
  <c r="I72" i="9"/>
  <c r="I62" i="9"/>
  <c r="I99" i="9"/>
  <c r="I154" i="9"/>
  <c r="I58" i="9"/>
  <c r="I55" i="9"/>
  <c r="I196" i="9"/>
  <c r="I51" i="9"/>
  <c r="I98" i="9"/>
  <c r="I84" i="9"/>
  <c r="I182" i="9"/>
  <c r="I199" i="9"/>
  <c r="I166" i="9"/>
  <c r="I70" i="9"/>
  <c r="I164" i="9"/>
  <c r="I173" i="9"/>
  <c r="I50" i="9"/>
  <c r="I65" i="9"/>
  <c r="I81" i="9"/>
  <c r="I17" i="9"/>
  <c r="I180" i="9"/>
  <c r="I126" i="9"/>
  <c r="I137" i="9"/>
  <c r="I125" i="9"/>
  <c r="I131" i="9"/>
  <c r="I11" i="9"/>
  <c r="I68" i="9"/>
  <c r="I159" i="9"/>
  <c r="I109" i="9"/>
  <c r="I73" i="9"/>
  <c r="I90" i="9"/>
  <c r="I12" i="9"/>
  <c r="I64" i="9"/>
  <c r="I77" i="9"/>
  <c r="I35" i="9"/>
  <c r="I191" i="9"/>
  <c r="I195" i="9"/>
  <c r="I95" i="9"/>
  <c r="I45" i="9"/>
  <c r="I44" i="9"/>
  <c r="I22" i="9"/>
  <c r="I140" i="9"/>
  <c r="I143" i="9"/>
  <c r="I26" i="9"/>
  <c r="I41" i="9"/>
  <c r="I105" i="9"/>
  <c r="I156" i="9"/>
  <c r="I56" i="9"/>
  <c r="I40" i="9"/>
  <c r="I197" i="9"/>
  <c r="I16" i="9"/>
  <c r="I157" i="9"/>
  <c r="I97" i="9"/>
  <c r="I134" i="9"/>
  <c r="I178" i="9"/>
  <c r="I63" i="9"/>
  <c r="I115" i="9"/>
  <c r="I27" i="9"/>
  <c r="I67" i="9"/>
  <c r="I33" i="9"/>
  <c r="I96" i="9"/>
  <c r="I168" i="9"/>
  <c r="I20" i="9"/>
  <c r="L10" i="9"/>
  <c r="I75" i="9"/>
  <c r="I46" i="9"/>
  <c r="I136" i="9"/>
  <c r="I25" i="9"/>
  <c r="I190" i="9"/>
  <c r="I36" i="9"/>
  <c r="I175" i="9"/>
  <c r="I91" i="9"/>
  <c r="I49" i="9"/>
  <c r="I142" i="9"/>
  <c r="I88" i="9"/>
  <c r="I167" i="9"/>
  <c r="I121" i="9"/>
  <c r="I130" i="9"/>
  <c r="I61" i="9"/>
  <c r="I144" i="9"/>
  <c r="I162" i="9"/>
  <c r="I170" i="9"/>
  <c r="I132" i="9"/>
  <c r="I57" i="9"/>
  <c r="I15" i="9"/>
  <c r="I34" i="9"/>
  <c r="I79" i="9"/>
  <c r="I153" i="9"/>
  <c r="I87" i="9"/>
  <c r="I104" i="9"/>
  <c r="I158" i="9"/>
  <c r="I110" i="9"/>
  <c r="I111" i="9"/>
  <c r="I82" i="9"/>
  <c r="I117" i="9"/>
  <c r="I133" i="9"/>
  <c r="I163" i="9"/>
  <c r="I177" i="9"/>
  <c r="I145" i="9"/>
  <c r="I129" i="9"/>
  <c r="I76" i="9"/>
  <c r="I24" i="9"/>
  <c r="I54" i="9"/>
  <c r="I37" i="9"/>
  <c r="I52" i="9"/>
  <c r="I147" i="9"/>
  <c r="I160" i="9"/>
  <c r="I48" i="9"/>
  <c r="I89" i="9"/>
  <c r="I93" i="9"/>
  <c r="I32" i="9"/>
  <c r="I78" i="9"/>
  <c r="I146" i="9"/>
  <c r="K9" i="9"/>
  <c r="I119" i="9"/>
  <c r="I122" i="9"/>
  <c r="I124" i="9"/>
  <c r="I194" i="9"/>
  <c r="O10" i="9"/>
  <c r="I138" i="9"/>
  <c r="I80" i="9"/>
  <c r="I39" i="9"/>
  <c r="I192" i="9"/>
  <c r="I42" i="9"/>
  <c r="I200" i="9"/>
  <c r="I106" i="9"/>
  <c r="I53" i="9"/>
  <c r="I155" i="9"/>
  <c r="I112" i="9"/>
  <c r="I198" i="9"/>
  <c r="I171" i="9"/>
  <c r="I179" i="9"/>
  <c r="I59" i="9"/>
  <c r="I176" i="9"/>
  <c r="I30" i="9"/>
  <c r="I19" i="9"/>
  <c r="I118" i="9"/>
  <c r="I102" i="9"/>
  <c r="I60" i="9"/>
  <c r="I108" i="9"/>
  <c r="I128" i="9"/>
  <c r="I107" i="9"/>
  <c r="I187" i="9"/>
  <c r="N9" i="9" l="1"/>
  <c r="G2" i="16"/>
  <c r="N27" i="24"/>
  <c r="X23" i="24"/>
  <c r="F11" i="42"/>
  <c r="E13" i="42"/>
  <c r="A14" i="42"/>
  <c r="B13" i="42"/>
  <c r="D12" i="42"/>
  <c r="C12" i="42"/>
  <c r="G2" i="15"/>
  <c r="E3" i="8"/>
  <c r="F3" i="8" s="1"/>
  <c r="E4" i="8"/>
  <c r="G4" i="8" s="1"/>
  <c r="E5" i="8"/>
  <c r="G5" i="8" s="1"/>
  <c r="E6" i="8"/>
  <c r="F6" i="8" s="1"/>
  <c r="E7" i="8"/>
  <c r="F7" i="8" s="1"/>
  <c r="E8" i="8"/>
  <c r="F8" i="8" s="1"/>
  <c r="E9" i="8"/>
  <c r="F9" i="8" s="1"/>
  <c r="E10" i="8"/>
  <c r="F10" i="8" s="1"/>
  <c r="E11" i="8"/>
  <c r="F11" i="8" s="1"/>
  <c r="E12" i="8"/>
  <c r="F12" i="8" s="1"/>
  <c r="E13" i="8"/>
  <c r="F13" i="8" s="1"/>
  <c r="E14" i="8"/>
  <c r="F14" i="8" s="1"/>
  <c r="E15" i="8"/>
  <c r="F15" i="8" s="1"/>
  <c r="E16" i="8"/>
  <c r="F16" i="8" s="1"/>
  <c r="E17" i="8"/>
  <c r="F17" i="8" s="1"/>
  <c r="E18" i="8"/>
  <c r="F18" i="8" s="1"/>
  <c r="E19" i="8"/>
  <c r="F19" i="8" s="1"/>
  <c r="E20" i="8"/>
  <c r="F20" i="8" s="1"/>
  <c r="E21" i="8"/>
  <c r="F21" i="8" s="1"/>
  <c r="E22" i="8"/>
  <c r="F22" i="8" s="1"/>
  <c r="E23" i="8"/>
  <c r="F23" i="8" s="1"/>
  <c r="E24" i="8"/>
  <c r="F24" i="8" s="1"/>
  <c r="E25" i="8"/>
  <c r="F25" i="8" s="1"/>
  <c r="E26" i="8"/>
  <c r="F26" i="8" s="1"/>
  <c r="E27" i="8"/>
  <c r="F27" i="8" s="1"/>
  <c r="E28" i="8"/>
  <c r="F28" i="8" s="1"/>
  <c r="E29" i="8"/>
  <c r="F29" i="8" s="1"/>
  <c r="E30" i="8"/>
  <c r="F30" i="8" s="1"/>
  <c r="E31" i="8"/>
  <c r="F31" i="8" s="1"/>
  <c r="E32" i="8"/>
  <c r="F32" i="8" s="1"/>
  <c r="E33" i="8"/>
  <c r="F33" i="8" s="1"/>
  <c r="E34" i="8"/>
  <c r="F34" i="8" s="1"/>
  <c r="E35" i="8"/>
  <c r="F35" i="8" s="1"/>
  <c r="E36" i="8"/>
  <c r="F36" i="8" s="1"/>
  <c r="E37" i="8"/>
  <c r="F37" i="8" s="1"/>
  <c r="E38" i="8"/>
  <c r="F38" i="8" s="1"/>
  <c r="E39" i="8"/>
  <c r="F39" i="8" s="1"/>
  <c r="E40" i="8"/>
  <c r="F40" i="8" s="1"/>
  <c r="E41" i="8"/>
  <c r="F41" i="8" s="1"/>
  <c r="E42" i="8"/>
  <c r="F42" i="8" s="1"/>
  <c r="E43" i="8"/>
  <c r="F43" i="8" s="1"/>
  <c r="E44" i="8"/>
  <c r="F44" i="8" s="1"/>
  <c r="E45" i="8"/>
  <c r="F45" i="8" s="1"/>
  <c r="E46" i="8"/>
  <c r="F46" i="8" s="1"/>
  <c r="E47" i="8"/>
  <c r="F47" i="8" s="1"/>
  <c r="E48" i="8"/>
  <c r="F48" i="8" s="1"/>
  <c r="E49" i="8"/>
  <c r="F49" i="8" s="1"/>
  <c r="E50" i="8"/>
  <c r="F50" i="8" s="1"/>
  <c r="E51" i="8"/>
  <c r="F51" i="8" s="1"/>
  <c r="E52" i="8"/>
  <c r="F52" i="8" s="1"/>
  <c r="E53" i="8"/>
  <c r="F53" i="8" s="1"/>
  <c r="E54" i="8"/>
  <c r="F54" i="8" s="1"/>
  <c r="E55" i="8"/>
  <c r="F55" i="8" s="1"/>
  <c r="E56" i="8"/>
  <c r="F56" i="8" s="1"/>
  <c r="E57" i="8"/>
  <c r="F57" i="8" s="1"/>
  <c r="E58" i="8"/>
  <c r="F58" i="8" s="1"/>
  <c r="E59" i="8"/>
  <c r="F59" i="8" s="1"/>
  <c r="E60" i="8"/>
  <c r="F60" i="8" s="1"/>
  <c r="E61" i="8"/>
  <c r="F61" i="8" s="1"/>
  <c r="E62" i="8"/>
  <c r="F62" i="8" s="1"/>
  <c r="E63" i="8"/>
  <c r="F63" i="8" s="1"/>
  <c r="E64" i="8"/>
  <c r="F64" i="8" s="1"/>
  <c r="E65" i="8"/>
  <c r="F65" i="8" s="1"/>
  <c r="E66" i="8"/>
  <c r="F66" i="8" s="1"/>
  <c r="E67" i="8"/>
  <c r="F67" i="8" s="1"/>
  <c r="E68" i="8"/>
  <c r="F68" i="8" s="1"/>
  <c r="E69" i="8"/>
  <c r="F69" i="8" s="1"/>
  <c r="E70" i="8"/>
  <c r="F70" i="8" s="1"/>
  <c r="E71" i="8"/>
  <c r="F71" i="8" s="1"/>
  <c r="E72" i="8"/>
  <c r="F72" i="8" s="1"/>
  <c r="E73" i="8"/>
  <c r="F73" i="8" s="1"/>
  <c r="E74" i="8"/>
  <c r="F74" i="8" s="1"/>
  <c r="E75" i="8"/>
  <c r="F75" i="8" s="1"/>
  <c r="E76" i="8"/>
  <c r="F76" i="8" s="1"/>
  <c r="E77" i="8"/>
  <c r="F77" i="8" s="1"/>
  <c r="E78" i="8"/>
  <c r="F78" i="8" s="1"/>
  <c r="E79" i="8"/>
  <c r="F79" i="8" s="1"/>
  <c r="E80" i="8"/>
  <c r="F80" i="8" s="1"/>
  <c r="E81" i="8"/>
  <c r="F81" i="8" s="1"/>
  <c r="E82" i="8"/>
  <c r="F82" i="8" s="1"/>
  <c r="E83" i="8"/>
  <c r="F83" i="8" s="1"/>
  <c r="E84" i="8"/>
  <c r="F84" i="8" s="1"/>
  <c r="E85" i="8"/>
  <c r="F85" i="8" s="1"/>
  <c r="E86" i="8"/>
  <c r="F86" i="8" s="1"/>
  <c r="E87" i="8"/>
  <c r="F87" i="8" s="1"/>
  <c r="E88" i="8"/>
  <c r="F88" i="8" s="1"/>
  <c r="E89" i="8"/>
  <c r="F89" i="8" s="1"/>
  <c r="E90" i="8"/>
  <c r="F90" i="8" s="1"/>
  <c r="E91" i="8"/>
  <c r="F91" i="8" s="1"/>
  <c r="E92" i="8"/>
  <c r="F92" i="8" s="1"/>
  <c r="E93" i="8"/>
  <c r="F93" i="8" s="1"/>
  <c r="E94" i="8"/>
  <c r="F94" i="8" s="1"/>
  <c r="E95" i="8"/>
  <c r="F95" i="8" s="1"/>
  <c r="E96" i="8"/>
  <c r="F96" i="8" s="1"/>
  <c r="E97" i="8"/>
  <c r="F97" i="8" s="1"/>
  <c r="E98" i="8"/>
  <c r="F98" i="8" s="1"/>
  <c r="E99" i="8"/>
  <c r="F99" i="8" s="1"/>
  <c r="E100" i="8"/>
  <c r="F100" i="8" s="1"/>
  <c r="E101" i="8"/>
  <c r="F101" i="8" s="1"/>
  <c r="E102" i="8"/>
  <c r="F102" i="8" s="1"/>
  <c r="E103" i="8"/>
  <c r="F103" i="8" s="1"/>
  <c r="E104" i="8"/>
  <c r="F104" i="8" s="1"/>
  <c r="E105" i="8"/>
  <c r="F105" i="8" s="1"/>
  <c r="E106" i="8"/>
  <c r="F106" i="8" s="1"/>
  <c r="E107" i="8"/>
  <c r="F107" i="8" s="1"/>
  <c r="E108" i="8"/>
  <c r="F108" i="8" s="1"/>
  <c r="E109" i="8"/>
  <c r="F109" i="8" s="1"/>
  <c r="E110" i="8"/>
  <c r="F110" i="8" s="1"/>
  <c r="E111" i="8"/>
  <c r="F111" i="8" s="1"/>
  <c r="E112" i="8"/>
  <c r="F112" i="8" s="1"/>
  <c r="E113" i="8"/>
  <c r="F113" i="8" s="1"/>
  <c r="E114" i="8"/>
  <c r="F114" i="8" s="1"/>
  <c r="E115" i="8"/>
  <c r="F115" i="8" s="1"/>
  <c r="E116" i="8"/>
  <c r="F116" i="8" s="1"/>
  <c r="E117" i="8"/>
  <c r="F117" i="8" s="1"/>
  <c r="E118" i="8"/>
  <c r="F118" i="8" s="1"/>
  <c r="E119" i="8"/>
  <c r="F119" i="8" s="1"/>
  <c r="E120" i="8"/>
  <c r="F120" i="8" s="1"/>
  <c r="E121" i="8"/>
  <c r="F121" i="8" s="1"/>
  <c r="E122" i="8"/>
  <c r="F122" i="8" s="1"/>
  <c r="E123" i="8"/>
  <c r="F123" i="8" s="1"/>
  <c r="E124" i="8"/>
  <c r="F124" i="8" s="1"/>
  <c r="E125" i="8"/>
  <c r="F125" i="8" s="1"/>
  <c r="E126" i="8"/>
  <c r="F126" i="8" s="1"/>
  <c r="E127" i="8"/>
  <c r="F127" i="8" s="1"/>
  <c r="E128" i="8"/>
  <c r="F128" i="8" s="1"/>
  <c r="E129" i="8"/>
  <c r="F129" i="8" s="1"/>
  <c r="E130" i="8"/>
  <c r="F130" i="8" s="1"/>
  <c r="E131" i="8"/>
  <c r="F131" i="8" s="1"/>
  <c r="E132" i="8"/>
  <c r="F132" i="8" s="1"/>
  <c r="E133" i="8"/>
  <c r="F133" i="8" s="1"/>
  <c r="E134" i="8"/>
  <c r="F134" i="8" s="1"/>
  <c r="E135" i="8"/>
  <c r="F135" i="8" s="1"/>
  <c r="E136" i="8"/>
  <c r="F136" i="8" s="1"/>
  <c r="E137" i="8"/>
  <c r="F137" i="8" s="1"/>
  <c r="E138" i="8"/>
  <c r="F138" i="8" s="1"/>
  <c r="E139" i="8"/>
  <c r="F139" i="8" s="1"/>
  <c r="E140" i="8"/>
  <c r="F140" i="8" s="1"/>
  <c r="E141" i="8"/>
  <c r="F141" i="8" s="1"/>
  <c r="E142" i="8"/>
  <c r="F142" i="8" s="1"/>
  <c r="E143" i="8"/>
  <c r="F143" i="8" s="1"/>
  <c r="E144" i="8"/>
  <c r="F144" i="8" s="1"/>
  <c r="E145" i="8"/>
  <c r="F145" i="8" s="1"/>
  <c r="E146" i="8"/>
  <c r="F146" i="8" s="1"/>
  <c r="E147" i="8"/>
  <c r="F147" i="8" s="1"/>
  <c r="E148" i="8"/>
  <c r="F148" i="8" s="1"/>
  <c r="E149" i="8"/>
  <c r="F149" i="8" s="1"/>
  <c r="E150" i="8"/>
  <c r="F150" i="8" s="1"/>
  <c r="E151" i="8"/>
  <c r="F151" i="8" s="1"/>
  <c r="E152" i="8"/>
  <c r="F152" i="8" s="1"/>
  <c r="E153" i="8"/>
  <c r="F153" i="8" s="1"/>
  <c r="E154" i="8"/>
  <c r="F154" i="8" s="1"/>
  <c r="E155" i="8"/>
  <c r="F155" i="8" s="1"/>
  <c r="E156" i="8"/>
  <c r="F156" i="8" s="1"/>
  <c r="E157" i="8"/>
  <c r="F157" i="8" s="1"/>
  <c r="E158" i="8"/>
  <c r="F158" i="8" s="1"/>
  <c r="E159" i="8"/>
  <c r="F159" i="8" s="1"/>
  <c r="E160" i="8"/>
  <c r="F160" i="8" s="1"/>
  <c r="E161" i="8"/>
  <c r="F161" i="8" s="1"/>
  <c r="E162" i="8"/>
  <c r="F162" i="8" s="1"/>
  <c r="E163" i="8"/>
  <c r="F163" i="8" s="1"/>
  <c r="E164" i="8"/>
  <c r="F164" i="8" s="1"/>
  <c r="E165" i="8"/>
  <c r="F165" i="8" s="1"/>
  <c r="E166" i="8"/>
  <c r="F166" i="8" s="1"/>
  <c r="E167" i="8"/>
  <c r="F167" i="8" s="1"/>
  <c r="E168" i="8"/>
  <c r="F168" i="8" s="1"/>
  <c r="E169" i="8"/>
  <c r="F169" i="8" s="1"/>
  <c r="E170" i="8"/>
  <c r="F170" i="8" s="1"/>
  <c r="E171" i="8"/>
  <c r="F171" i="8" s="1"/>
  <c r="E172" i="8"/>
  <c r="F172" i="8" s="1"/>
  <c r="E173" i="8"/>
  <c r="F173" i="8" s="1"/>
  <c r="E174" i="8"/>
  <c r="F174" i="8" s="1"/>
  <c r="E175" i="8"/>
  <c r="F175" i="8" s="1"/>
  <c r="E176" i="8"/>
  <c r="F176" i="8" s="1"/>
  <c r="E177" i="8"/>
  <c r="F177" i="8" s="1"/>
  <c r="E178" i="8"/>
  <c r="F178" i="8" s="1"/>
  <c r="E179" i="8"/>
  <c r="F179" i="8" s="1"/>
  <c r="E180" i="8"/>
  <c r="F180" i="8" s="1"/>
  <c r="E181" i="8"/>
  <c r="F181" i="8" s="1"/>
  <c r="E182" i="8"/>
  <c r="F182" i="8" s="1"/>
  <c r="E183" i="8"/>
  <c r="F183" i="8" s="1"/>
  <c r="E184" i="8"/>
  <c r="F184" i="8" s="1"/>
  <c r="E185" i="8"/>
  <c r="F185" i="8" s="1"/>
  <c r="E186" i="8"/>
  <c r="F186" i="8" s="1"/>
  <c r="E187" i="8"/>
  <c r="F187" i="8" s="1"/>
  <c r="E188" i="8"/>
  <c r="F188" i="8" s="1"/>
  <c r="E189" i="8"/>
  <c r="F189" i="8" s="1"/>
  <c r="E190" i="8"/>
  <c r="F190" i="8" s="1"/>
  <c r="E191" i="8"/>
  <c r="F191" i="8" s="1"/>
  <c r="E192" i="8"/>
  <c r="F192" i="8" s="1"/>
  <c r="E193" i="8"/>
  <c r="F193" i="8" s="1"/>
  <c r="E194" i="8"/>
  <c r="F194" i="8" s="1"/>
  <c r="E195" i="8"/>
  <c r="F195" i="8" s="1"/>
  <c r="E196" i="8"/>
  <c r="F196" i="8" s="1"/>
  <c r="E197" i="8"/>
  <c r="F197" i="8" s="1"/>
  <c r="E198" i="8"/>
  <c r="F198" i="8" s="1"/>
  <c r="E199" i="8"/>
  <c r="F199" i="8" s="1"/>
  <c r="E200" i="8"/>
  <c r="F200" i="8" s="1"/>
  <c r="E201" i="8"/>
  <c r="F201" i="8" s="1"/>
  <c r="E202" i="8"/>
  <c r="F202" i="8" s="1"/>
  <c r="E203" i="8"/>
  <c r="F203" i="8" s="1"/>
  <c r="E204" i="8"/>
  <c r="F204" i="8" s="1"/>
  <c r="E205" i="8"/>
  <c r="F205" i="8" s="1"/>
  <c r="E206" i="8"/>
  <c r="F206" i="8" s="1"/>
  <c r="E207" i="8"/>
  <c r="F207" i="8" s="1"/>
  <c r="E208" i="8"/>
  <c r="F208" i="8" s="1"/>
  <c r="E209" i="8"/>
  <c r="F209" i="8" s="1"/>
  <c r="E210" i="8"/>
  <c r="F210" i="8" s="1"/>
  <c r="E211" i="8"/>
  <c r="F211" i="8" s="1"/>
  <c r="E212" i="8"/>
  <c r="F212" i="8" s="1"/>
  <c r="E213" i="8"/>
  <c r="F213" i="8" s="1"/>
  <c r="E214" i="8"/>
  <c r="F214" i="8" s="1"/>
  <c r="E215" i="8"/>
  <c r="F215" i="8" s="1"/>
  <c r="E216" i="8"/>
  <c r="F216" i="8" s="1"/>
  <c r="E217" i="8"/>
  <c r="F217" i="8" s="1"/>
  <c r="E218" i="8"/>
  <c r="F218" i="8" s="1"/>
  <c r="E219" i="8"/>
  <c r="F219" i="8" s="1"/>
  <c r="E220" i="8"/>
  <c r="F220" i="8" s="1"/>
  <c r="E221" i="8"/>
  <c r="F221" i="8" s="1"/>
  <c r="E222" i="8"/>
  <c r="F222" i="8" s="1"/>
  <c r="E223" i="8"/>
  <c r="F223" i="8" s="1"/>
  <c r="E224" i="8"/>
  <c r="F224" i="8" s="1"/>
  <c r="E225" i="8"/>
  <c r="F225" i="8" s="1"/>
  <c r="E226" i="8"/>
  <c r="F226" i="8" s="1"/>
  <c r="E227" i="8"/>
  <c r="F227" i="8" s="1"/>
  <c r="E228" i="8"/>
  <c r="F228" i="8" s="1"/>
  <c r="E229" i="8"/>
  <c r="F229" i="8" s="1"/>
  <c r="E230" i="8"/>
  <c r="F230" i="8" s="1"/>
  <c r="E231" i="8"/>
  <c r="F231" i="8" s="1"/>
  <c r="E232" i="8"/>
  <c r="F232" i="8" s="1"/>
  <c r="E233" i="8"/>
  <c r="F233" i="8" s="1"/>
  <c r="E234" i="8"/>
  <c r="F234" i="8" s="1"/>
  <c r="E235" i="8"/>
  <c r="F235" i="8" s="1"/>
  <c r="E236" i="8"/>
  <c r="F236" i="8" s="1"/>
  <c r="E237" i="8"/>
  <c r="F237" i="8" s="1"/>
  <c r="E238" i="8"/>
  <c r="F238" i="8" s="1"/>
  <c r="E239" i="8"/>
  <c r="F239" i="8" s="1"/>
  <c r="E240" i="8"/>
  <c r="F240" i="8" s="1"/>
  <c r="E241" i="8"/>
  <c r="F241" i="8" s="1"/>
  <c r="B2" i="8"/>
  <c r="A18" i="11"/>
  <c r="A19" i="11"/>
  <c r="A20" i="11"/>
  <c r="A21" i="11"/>
  <c r="A22" i="11"/>
  <c r="A23" i="11"/>
  <c r="A17" i="11"/>
  <c r="B17" i="11"/>
  <c r="B18" i="11"/>
  <c r="B19" i="11"/>
  <c r="B20" i="11"/>
  <c r="B21" i="11"/>
  <c r="B22" i="11"/>
  <c r="B23" i="11"/>
  <c r="F12" i="42" l="1"/>
  <c r="D13" i="42"/>
  <c r="C13" i="42"/>
  <c r="E14" i="42"/>
  <c r="A15" i="42"/>
  <c r="B14" i="42"/>
  <c r="G3" i="8"/>
  <c r="E2" i="8"/>
  <c r="G2" i="8" s="1"/>
  <c r="F4" i="8"/>
  <c r="F5" i="8"/>
  <c r="F13" i="42" l="1"/>
  <c r="E15" i="42"/>
  <c r="B15" i="42"/>
  <c r="A16" i="42"/>
  <c r="D14" i="42"/>
  <c r="C14" i="42"/>
  <c r="F2" i="8"/>
  <c r="F14" i="42" l="1"/>
  <c r="E16" i="42"/>
  <c r="A17" i="42"/>
  <c r="B16" i="42"/>
  <c r="D15" i="42"/>
  <c r="C15" i="42"/>
  <c r="H4" i="20"/>
  <c r="F15" i="42" l="1"/>
  <c r="D16" i="42"/>
  <c r="C16" i="42"/>
  <c r="E17" i="42"/>
  <c r="A18" i="42"/>
  <c r="B17" i="42"/>
  <c r="G178" i="1"/>
  <c r="F178" i="1"/>
  <c r="G170" i="1"/>
  <c r="F170" i="1"/>
  <c r="G162" i="1"/>
  <c r="F162" i="1"/>
  <c r="G142" i="1"/>
  <c r="F142" i="1"/>
  <c r="G181" i="1"/>
  <c r="F181" i="1"/>
  <c r="G173" i="1"/>
  <c r="F173" i="1"/>
  <c r="G165" i="1"/>
  <c r="F165" i="1"/>
  <c r="G141" i="1"/>
  <c r="F141" i="1"/>
  <c r="F184" i="1"/>
  <c r="G184" i="1"/>
  <c r="F180" i="1"/>
  <c r="G180" i="1"/>
  <c r="F176" i="1"/>
  <c r="G176" i="1"/>
  <c r="F172" i="1"/>
  <c r="G172" i="1"/>
  <c r="F168" i="1"/>
  <c r="G168" i="1"/>
  <c r="F164" i="1"/>
  <c r="G164" i="1"/>
  <c r="F160" i="1"/>
  <c r="G160" i="1"/>
  <c r="F144" i="1"/>
  <c r="G144" i="1"/>
  <c r="F140" i="1"/>
  <c r="G140" i="1"/>
  <c r="G182" i="1"/>
  <c r="F182" i="1"/>
  <c r="G174" i="1"/>
  <c r="F174" i="1"/>
  <c r="G166" i="1"/>
  <c r="F166" i="1"/>
  <c r="G146" i="1"/>
  <c r="F146" i="1"/>
  <c r="G177" i="1"/>
  <c r="F177" i="1"/>
  <c r="G169" i="1"/>
  <c r="F169" i="1"/>
  <c r="G161" i="1"/>
  <c r="F161" i="1"/>
  <c r="G145" i="1"/>
  <c r="F145" i="1"/>
  <c r="F183" i="1"/>
  <c r="G183" i="1"/>
  <c r="G179" i="1"/>
  <c r="F179" i="1"/>
  <c r="F175" i="1"/>
  <c r="G175" i="1"/>
  <c r="F171" i="1"/>
  <c r="G171" i="1"/>
  <c r="G167" i="1"/>
  <c r="F167" i="1"/>
  <c r="F163" i="1"/>
  <c r="G163" i="1"/>
  <c r="F143" i="1"/>
  <c r="G143" i="1"/>
  <c r="G139" i="1"/>
  <c r="F139" i="1"/>
  <c r="E4" i="3"/>
  <c r="E5" i="3"/>
  <c r="E6" i="3"/>
  <c r="E7" i="3"/>
  <c r="E8" i="3"/>
  <c r="E9" i="3"/>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K62" i="14"/>
  <c r="J62" i="14"/>
  <c r="H62" i="14"/>
  <c r="G62" i="14"/>
  <c r="E62" i="14"/>
  <c r="L62" i="14"/>
  <c r="I62" i="14"/>
  <c r="D62" i="14"/>
  <c r="M62" i="14"/>
  <c r="F62" i="14"/>
  <c r="E18" i="42" l="1"/>
  <c r="A19" i="42"/>
  <c r="B18" i="42"/>
  <c r="F16" i="42"/>
  <c r="D17" i="42"/>
  <c r="C17" i="42"/>
  <c r="K60" i="14"/>
  <c r="L60" i="14"/>
  <c r="M60" i="14"/>
  <c r="K74" i="14"/>
  <c r="K77" i="14" s="1"/>
  <c r="L74" i="14"/>
  <c r="L77" i="14" s="1"/>
  <c r="M74" i="14"/>
  <c r="M77" i="14" s="1"/>
  <c r="J74" i="14"/>
  <c r="J77" i="14" s="1"/>
  <c r="I74" i="14"/>
  <c r="I77" i="14" s="1"/>
  <c r="H74" i="14"/>
  <c r="H77" i="14" s="1"/>
  <c r="G74" i="14"/>
  <c r="G77" i="14" s="1"/>
  <c r="F74" i="14"/>
  <c r="F77" i="14" s="1"/>
  <c r="E74" i="14"/>
  <c r="E77" i="14" s="1"/>
  <c r="J60" i="14"/>
  <c r="I60" i="14"/>
  <c r="H60" i="14"/>
  <c r="G60" i="14"/>
  <c r="F60" i="14"/>
  <c r="E60" i="14"/>
  <c r="I57" i="14"/>
  <c r="H57" i="14"/>
  <c r="F57" i="14"/>
  <c r="L57" i="14"/>
  <c r="J57" i="14"/>
  <c r="G57" i="14"/>
  <c r="K57" i="14"/>
  <c r="M57" i="14"/>
  <c r="E57" i="14"/>
  <c r="D18" i="42" l="1"/>
  <c r="C18" i="42"/>
  <c r="F17" i="42"/>
  <c r="E19" i="42"/>
  <c r="A20" i="42"/>
  <c r="B19" i="42"/>
  <c r="F85" i="14"/>
  <c r="E85" i="14"/>
  <c r="L85" i="14"/>
  <c r="M85" i="14"/>
  <c r="J85" i="14"/>
  <c r="I85" i="14"/>
  <c r="K85" i="14"/>
  <c r="G85" i="14"/>
  <c r="H85" i="14"/>
  <c r="O56" i="14"/>
  <c r="N56" i="14"/>
  <c r="D60" i="14"/>
  <c r="D74" i="14"/>
  <c r="D77" i="14" s="1"/>
  <c r="R14" i="14"/>
  <c r="D57" i="14"/>
  <c r="I35" i="14" l="1"/>
  <c r="M35" i="14"/>
  <c r="J35" i="14"/>
  <c r="N35" i="14"/>
  <c r="K35" i="14"/>
  <c r="O35" i="14"/>
  <c r="L35" i="14"/>
  <c r="F18" i="42"/>
  <c r="D19" i="42"/>
  <c r="C19" i="42"/>
  <c r="E20" i="42"/>
  <c r="A21" i="42"/>
  <c r="B20" i="42"/>
  <c r="K49" i="14"/>
  <c r="O49" i="14"/>
  <c r="L49" i="14"/>
  <c r="M49" i="14"/>
  <c r="I49" i="14"/>
  <c r="J49" i="14"/>
  <c r="N49" i="14"/>
  <c r="H3" i="20"/>
  <c r="I33" i="14"/>
  <c r="M33" i="14"/>
  <c r="I34" i="14"/>
  <c r="M34" i="14"/>
  <c r="I37" i="14"/>
  <c r="M37" i="14"/>
  <c r="I38" i="14"/>
  <c r="M38" i="14"/>
  <c r="K39" i="14"/>
  <c r="O39" i="14"/>
  <c r="J33" i="14"/>
  <c r="N33" i="14"/>
  <c r="J34" i="14"/>
  <c r="N34" i="14"/>
  <c r="J37" i="14"/>
  <c r="N37" i="14"/>
  <c r="J38" i="14"/>
  <c r="N38" i="14"/>
  <c r="L39" i="14"/>
  <c r="K33" i="14"/>
  <c r="O33" i="14"/>
  <c r="K34" i="14"/>
  <c r="O34" i="14"/>
  <c r="K37" i="14"/>
  <c r="O37" i="14"/>
  <c r="K38" i="14"/>
  <c r="O38" i="14"/>
  <c r="I39" i="14"/>
  <c r="M39" i="14"/>
  <c r="L33" i="14"/>
  <c r="L34" i="14"/>
  <c r="L37" i="14"/>
  <c r="L38" i="14"/>
  <c r="J39" i="14"/>
  <c r="N39" i="14"/>
  <c r="D85" i="14"/>
  <c r="G87" i="14"/>
  <c r="G86" i="14"/>
  <c r="M87" i="14"/>
  <c r="M86" i="14"/>
  <c r="K87" i="14"/>
  <c r="K86" i="14"/>
  <c r="L87" i="14"/>
  <c r="L86" i="14"/>
  <c r="I87" i="14"/>
  <c r="I86" i="14"/>
  <c r="E87" i="14"/>
  <c r="E86" i="14"/>
  <c r="H87" i="14"/>
  <c r="H86" i="14"/>
  <c r="J87" i="14"/>
  <c r="J86" i="14"/>
  <c r="F87" i="14"/>
  <c r="F86" i="14"/>
  <c r="F240" i="1"/>
  <c r="G240" i="1"/>
  <c r="F236" i="1"/>
  <c r="G236" i="1"/>
  <c r="F232" i="1"/>
  <c r="G232" i="1"/>
  <c r="F228" i="1"/>
  <c r="G228" i="1"/>
  <c r="F224" i="1"/>
  <c r="G224" i="1"/>
  <c r="F220" i="1"/>
  <c r="G220" i="1"/>
  <c r="F216" i="1"/>
  <c r="G216" i="1"/>
  <c r="F212" i="1"/>
  <c r="G212" i="1"/>
  <c r="F208" i="1"/>
  <c r="G208" i="1"/>
  <c r="F204" i="1"/>
  <c r="G204" i="1"/>
  <c r="F200" i="1"/>
  <c r="G200" i="1"/>
  <c r="F196" i="1"/>
  <c r="G196" i="1"/>
  <c r="F192" i="1"/>
  <c r="G192" i="1"/>
  <c r="F188" i="1"/>
  <c r="G188" i="1"/>
  <c r="F243" i="1"/>
  <c r="G243" i="1"/>
  <c r="F239" i="1"/>
  <c r="G239" i="1"/>
  <c r="G235" i="1"/>
  <c r="F235" i="1"/>
  <c r="F231" i="1"/>
  <c r="G231" i="1"/>
  <c r="F227" i="1"/>
  <c r="G227" i="1"/>
  <c r="G223" i="1"/>
  <c r="F223" i="1"/>
  <c r="F219" i="1"/>
  <c r="G219" i="1"/>
  <c r="F215" i="1"/>
  <c r="G215" i="1"/>
  <c r="G211" i="1"/>
  <c r="F211" i="1"/>
  <c r="F207" i="1"/>
  <c r="G207" i="1"/>
  <c r="F203" i="1"/>
  <c r="G203" i="1"/>
  <c r="G199" i="1"/>
  <c r="F199" i="1"/>
  <c r="F195" i="1"/>
  <c r="G195" i="1"/>
  <c r="F191" i="1"/>
  <c r="G191" i="1"/>
  <c r="G187" i="1"/>
  <c r="F187" i="1"/>
  <c r="G242" i="1"/>
  <c r="F242" i="1"/>
  <c r="G238" i="1"/>
  <c r="F238" i="1"/>
  <c r="G234" i="1"/>
  <c r="F234" i="1"/>
  <c r="G230" i="1"/>
  <c r="F230" i="1"/>
  <c r="G226" i="1"/>
  <c r="F226" i="1"/>
  <c r="G222" i="1"/>
  <c r="F222" i="1"/>
  <c r="G218" i="1"/>
  <c r="F218" i="1"/>
  <c r="G214" i="1"/>
  <c r="F214" i="1"/>
  <c r="G210" i="1"/>
  <c r="F210" i="1"/>
  <c r="G206" i="1"/>
  <c r="F206" i="1"/>
  <c r="G202" i="1"/>
  <c r="F202" i="1"/>
  <c r="G198" i="1"/>
  <c r="F198" i="1"/>
  <c r="G194" i="1"/>
  <c r="F194" i="1"/>
  <c r="G190" i="1"/>
  <c r="F190" i="1"/>
  <c r="G186" i="1"/>
  <c r="F186" i="1"/>
  <c r="G241" i="1"/>
  <c r="F241" i="1"/>
  <c r="G237" i="1"/>
  <c r="F237" i="1"/>
  <c r="G233" i="1"/>
  <c r="F233" i="1"/>
  <c r="G229" i="1"/>
  <c r="F229" i="1"/>
  <c r="G225" i="1"/>
  <c r="F225" i="1"/>
  <c r="G221" i="1"/>
  <c r="F221" i="1"/>
  <c r="G217" i="1"/>
  <c r="F217" i="1"/>
  <c r="G213" i="1"/>
  <c r="F213" i="1"/>
  <c r="G209" i="1"/>
  <c r="F209" i="1"/>
  <c r="G205" i="1"/>
  <c r="F205" i="1"/>
  <c r="G201" i="1"/>
  <c r="F201" i="1"/>
  <c r="G197" i="1"/>
  <c r="F197" i="1"/>
  <c r="G193" i="1"/>
  <c r="F193" i="1"/>
  <c r="G189" i="1"/>
  <c r="F189" i="1"/>
  <c r="G185" i="1"/>
  <c r="F185" i="1"/>
  <c r="E32" i="14"/>
  <c r="E35" i="14" s="1"/>
  <c r="F32" i="14"/>
  <c r="F35" i="14" s="1"/>
  <c r="G32" i="14"/>
  <c r="G35" i="14" s="1"/>
  <c r="H32" i="14"/>
  <c r="H34" i="14" s="1"/>
  <c r="I32" i="14"/>
  <c r="J32" i="14"/>
  <c r="E23" i="14"/>
  <c r="F23" i="14"/>
  <c r="G23" i="14"/>
  <c r="H23" i="14"/>
  <c r="I23" i="14"/>
  <c r="J23" i="14"/>
  <c r="E18" i="14"/>
  <c r="F18" i="14"/>
  <c r="N5" i="36" s="1"/>
  <c r="G18" i="14"/>
  <c r="X5" i="36" s="1"/>
  <c r="H18" i="14"/>
  <c r="I18" i="14"/>
  <c r="J18" i="14"/>
  <c r="E15" i="14"/>
  <c r="I15" i="14"/>
  <c r="H15" i="14"/>
  <c r="F15" i="14"/>
  <c r="G15" i="14"/>
  <c r="J15" i="14"/>
  <c r="H49" i="14" l="1"/>
  <c r="H35" i="14"/>
  <c r="H36" i="14" s="1"/>
  <c r="M36" i="14"/>
  <c r="O36" i="14"/>
  <c r="N36" i="14"/>
  <c r="K36" i="14"/>
  <c r="L36" i="14"/>
  <c r="F19" i="42"/>
  <c r="E34" i="14"/>
  <c r="J36" i="14"/>
  <c r="G34" i="14"/>
  <c r="I36" i="14"/>
  <c r="E21" i="42"/>
  <c r="A22" i="42"/>
  <c r="B21" i="42"/>
  <c r="D20" i="42"/>
  <c r="C20" i="42"/>
  <c r="E49" i="14"/>
  <c r="F49" i="14"/>
  <c r="G49" i="14"/>
  <c r="R15" i="14"/>
  <c r="K51" i="14"/>
  <c r="K50" i="14"/>
  <c r="M51" i="14"/>
  <c r="M50" i="14"/>
  <c r="L51" i="14"/>
  <c r="L50" i="14"/>
  <c r="O51" i="14"/>
  <c r="O50" i="14"/>
  <c r="N51" i="14"/>
  <c r="N50" i="14"/>
  <c r="F34" i="14"/>
  <c r="F36" i="14" s="1"/>
  <c r="D87" i="14"/>
  <c r="D86" i="14"/>
  <c r="E8" i="11"/>
  <c r="C8" i="11"/>
  <c r="D8" i="11"/>
  <c r="F8" i="11"/>
  <c r="C9" i="11"/>
  <c r="D9" i="11"/>
  <c r="E9" i="11"/>
  <c r="F9" i="11"/>
  <c r="C10" i="11"/>
  <c r="D10" i="11"/>
  <c r="E10" i="11"/>
  <c r="F10" i="11"/>
  <c r="C11" i="11"/>
  <c r="D11" i="11"/>
  <c r="E11" i="11"/>
  <c r="F11" i="11"/>
  <c r="C12" i="11"/>
  <c r="D12" i="11"/>
  <c r="E12" i="11"/>
  <c r="F12" i="11"/>
  <c r="C13" i="11"/>
  <c r="D13" i="11"/>
  <c r="E13" i="11"/>
  <c r="F13" i="11"/>
  <c r="C14" i="11"/>
  <c r="D14" i="11"/>
  <c r="E14" i="11"/>
  <c r="F14" i="11"/>
  <c r="D7" i="11"/>
  <c r="E7" i="11"/>
  <c r="F7" i="11"/>
  <c r="C7" i="11"/>
  <c r="F20" i="42" l="1"/>
  <c r="E36" i="14"/>
  <c r="G36" i="14"/>
  <c r="D21" i="42"/>
  <c r="C21" i="42"/>
  <c r="E22" i="42"/>
  <c r="A23" i="42"/>
  <c r="B22" i="42"/>
  <c r="G14" i="11"/>
  <c r="H14" i="11"/>
  <c r="G51" i="14"/>
  <c r="G50" i="14"/>
  <c r="J51" i="14"/>
  <c r="J50" i="14"/>
  <c r="E51" i="14"/>
  <c r="E50" i="14"/>
  <c r="I51" i="14"/>
  <c r="I50" i="14"/>
  <c r="F51" i="14"/>
  <c r="F50" i="14"/>
  <c r="H51" i="14"/>
  <c r="H50" i="14"/>
  <c r="G13" i="11"/>
  <c r="H13" i="11"/>
  <c r="G12" i="11"/>
  <c r="H12" i="11"/>
  <c r="G10" i="11"/>
  <c r="H10" i="11"/>
  <c r="G11" i="11"/>
  <c r="H11" i="11"/>
  <c r="G9" i="11"/>
  <c r="H9" i="11"/>
  <c r="G8" i="11"/>
  <c r="H8" i="11"/>
  <c r="G7" i="11"/>
  <c r="H7" i="11"/>
  <c r="F21" i="42" l="1"/>
  <c r="E23" i="42"/>
  <c r="A24" i="42"/>
  <c r="B23" i="42"/>
  <c r="D22" i="42"/>
  <c r="C22" i="42"/>
  <c r="S9" i="9"/>
  <c r="U9" i="9"/>
  <c r="D11" i="14"/>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16" i="16"/>
  <c r="G15" i="16"/>
  <c r="G14" i="16"/>
  <c r="G13" i="16"/>
  <c r="G12" i="16"/>
  <c r="G11" i="16"/>
  <c r="G10" i="16"/>
  <c r="G242" i="15"/>
  <c r="G241" i="15"/>
  <c r="G240" i="15"/>
  <c r="G239" i="15"/>
  <c r="G238" i="15"/>
  <c r="G237" i="15"/>
  <c r="G236" i="15"/>
  <c r="G235" i="15"/>
  <c r="G234" i="15"/>
  <c r="G233" i="15"/>
  <c r="G232" i="15"/>
  <c r="G231" i="15"/>
  <c r="G230" i="15"/>
  <c r="G229" i="15"/>
  <c r="G228" i="15"/>
  <c r="G227" i="15"/>
  <c r="G226" i="15"/>
  <c r="G225" i="15"/>
  <c r="G224" i="15"/>
  <c r="G223" i="15"/>
  <c r="G222" i="15"/>
  <c r="G221" i="15"/>
  <c r="G220" i="15"/>
  <c r="G219" i="15"/>
  <c r="G218" i="15"/>
  <c r="G217" i="15"/>
  <c r="G216" i="15"/>
  <c r="G215" i="15"/>
  <c r="G214" i="15"/>
  <c r="G213" i="15"/>
  <c r="G212" i="15"/>
  <c r="G211" i="15"/>
  <c r="G210" i="15"/>
  <c r="G209" i="15"/>
  <c r="G208" i="15"/>
  <c r="G207" i="15"/>
  <c r="G206" i="15"/>
  <c r="G205" i="15"/>
  <c r="G204" i="15"/>
  <c r="G203" i="15"/>
  <c r="G202" i="15"/>
  <c r="G201" i="15"/>
  <c r="G200" i="15"/>
  <c r="G199" i="15"/>
  <c r="G198" i="15"/>
  <c r="G197" i="15"/>
  <c r="G196" i="15"/>
  <c r="G195" i="15"/>
  <c r="G194" i="15"/>
  <c r="G193" i="15"/>
  <c r="G192" i="15"/>
  <c r="G191" i="15"/>
  <c r="G190" i="15"/>
  <c r="G189" i="15"/>
  <c r="G188" i="15"/>
  <c r="G187" i="15"/>
  <c r="G186" i="15"/>
  <c r="G185" i="15"/>
  <c r="G184" i="15"/>
  <c r="G183" i="15"/>
  <c r="G182" i="15"/>
  <c r="G181" i="15"/>
  <c r="G180" i="15"/>
  <c r="G179" i="15"/>
  <c r="G178" i="15"/>
  <c r="G177" i="15"/>
  <c r="G176" i="15"/>
  <c r="G175" i="15"/>
  <c r="G174" i="15"/>
  <c r="G173" i="15"/>
  <c r="G172" i="15"/>
  <c r="G171" i="15"/>
  <c r="G170" i="15"/>
  <c r="G169" i="15"/>
  <c r="G168" i="15"/>
  <c r="G167" i="15"/>
  <c r="G166" i="15"/>
  <c r="G165" i="15"/>
  <c r="G164" i="15"/>
  <c r="G163" i="15"/>
  <c r="G162" i="15"/>
  <c r="G161" i="15"/>
  <c r="G160" i="15"/>
  <c r="G159" i="15"/>
  <c r="G158" i="15"/>
  <c r="G157" i="15"/>
  <c r="G156" i="15"/>
  <c r="G155" i="15"/>
  <c r="G154" i="15"/>
  <c r="G153" i="15"/>
  <c r="G152" i="15"/>
  <c r="G151" i="15"/>
  <c r="G150" i="15"/>
  <c r="G149" i="15"/>
  <c r="G148" i="15"/>
  <c r="G147" i="15"/>
  <c r="G146" i="15"/>
  <c r="G145" i="15"/>
  <c r="G144" i="15"/>
  <c r="G143" i="15"/>
  <c r="G142" i="15"/>
  <c r="G141" i="15"/>
  <c r="G140" i="15"/>
  <c r="G139" i="15"/>
  <c r="G138" i="15"/>
  <c r="G137" i="15"/>
  <c r="G136" i="15"/>
  <c r="G135" i="15"/>
  <c r="G134" i="15"/>
  <c r="G133" i="15"/>
  <c r="G132" i="15"/>
  <c r="G131" i="15"/>
  <c r="G130" i="15"/>
  <c r="G129" i="15"/>
  <c r="G128" i="15"/>
  <c r="G127" i="15"/>
  <c r="G126" i="15"/>
  <c r="G125" i="15"/>
  <c r="G124" i="15"/>
  <c r="G123" i="15"/>
  <c r="G122" i="15"/>
  <c r="G121" i="15"/>
  <c r="G120" i="15"/>
  <c r="G119" i="15"/>
  <c r="G118" i="15"/>
  <c r="G117" i="15"/>
  <c r="G116" i="15"/>
  <c r="G115" i="15"/>
  <c r="G114" i="15"/>
  <c r="G113" i="15"/>
  <c r="G112" i="15"/>
  <c r="G111" i="15"/>
  <c r="G110" i="15"/>
  <c r="G109" i="15"/>
  <c r="G108" i="15"/>
  <c r="G107" i="15"/>
  <c r="G106" i="15"/>
  <c r="G105" i="15"/>
  <c r="G104" i="15"/>
  <c r="G103" i="15"/>
  <c r="G102" i="15"/>
  <c r="G101" i="15"/>
  <c r="G100" i="15"/>
  <c r="G99" i="15"/>
  <c r="G98" i="15"/>
  <c r="G97" i="15"/>
  <c r="G96" i="15"/>
  <c r="G95" i="15"/>
  <c r="G94" i="15"/>
  <c r="G93" i="15"/>
  <c r="G92" i="15"/>
  <c r="G91" i="15"/>
  <c r="G90" i="15"/>
  <c r="G89" i="15"/>
  <c r="G88" i="15"/>
  <c r="G87" i="15"/>
  <c r="G86" i="15"/>
  <c r="G85" i="15"/>
  <c r="G84" i="15"/>
  <c r="G83" i="15"/>
  <c r="G82" i="15"/>
  <c r="G81" i="15"/>
  <c r="G80" i="15"/>
  <c r="G79" i="15"/>
  <c r="G78" i="15"/>
  <c r="G77" i="15"/>
  <c r="G76" i="15"/>
  <c r="G75" i="15"/>
  <c r="G74" i="15"/>
  <c r="G73" i="15"/>
  <c r="G72" i="15"/>
  <c r="G71" i="15"/>
  <c r="G70" i="15"/>
  <c r="G69" i="15"/>
  <c r="G68" i="15"/>
  <c r="G67" i="15"/>
  <c r="G66" i="15"/>
  <c r="G65" i="15"/>
  <c r="G64" i="15"/>
  <c r="G63" i="15"/>
  <c r="G62" i="15"/>
  <c r="G61" i="15"/>
  <c r="G60" i="15"/>
  <c r="G59"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G26" i="15"/>
  <c r="G25" i="15"/>
  <c r="G24" i="15"/>
  <c r="G23" i="15"/>
  <c r="G22" i="15"/>
  <c r="G21" i="15"/>
  <c r="G20" i="15"/>
  <c r="G19" i="15"/>
  <c r="G18" i="15"/>
  <c r="G17" i="15"/>
  <c r="G16" i="15"/>
  <c r="G15" i="15"/>
  <c r="G14" i="15"/>
  <c r="G13" i="15"/>
  <c r="G12" i="15"/>
  <c r="G11" i="15"/>
  <c r="G10" i="15"/>
  <c r="G9" i="15"/>
  <c r="G8" i="15"/>
  <c r="G192" i="8"/>
  <c r="G196" i="8"/>
  <c r="G200" i="8"/>
  <c r="G204" i="8"/>
  <c r="G208" i="8"/>
  <c r="G212" i="8"/>
  <c r="G216" i="8"/>
  <c r="G220" i="8"/>
  <c r="G224" i="8"/>
  <c r="G225" i="8"/>
  <c r="G228" i="8"/>
  <c r="G229" i="8"/>
  <c r="G230" i="8"/>
  <c r="G231" i="8"/>
  <c r="G232" i="8"/>
  <c r="G233" i="8"/>
  <c r="G234" i="8"/>
  <c r="G235" i="8"/>
  <c r="G236" i="8"/>
  <c r="G237" i="8"/>
  <c r="G238" i="8"/>
  <c r="G239" i="8"/>
  <c r="G240" i="8"/>
  <c r="G241" i="8"/>
  <c r="D15" i="14"/>
  <c r="D12" i="14"/>
  <c r="D27" i="14"/>
  <c r="D20" i="14"/>
  <c r="D26" i="14"/>
  <c r="D25" i="14"/>
  <c r="D29" i="14"/>
  <c r="D28" i="14"/>
  <c r="D13" i="14"/>
  <c r="C5" i="36" l="1"/>
  <c r="C35" i="14"/>
  <c r="F22" i="42"/>
  <c r="D23" i="42"/>
  <c r="C23" i="42"/>
  <c r="E24" i="42"/>
  <c r="A25" i="42"/>
  <c r="B24" i="42"/>
  <c r="F5" i="36"/>
  <c r="D49" i="14"/>
  <c r="T9" i="9"/>
  <c r="V9" i="9"/>
  <c r="D30" i="14"/>
  <c r="E5" i="36" s="1"/>
  <c r="D82" i="14"/>
  <c r="D47" i="14"/>
  <c r="D23" i="14"/>
  <c r="D16" i="14"/>
  <c r="E242" i="8"/>
  <c r="F242" i="8" s="1"/>
  <c r="D32" i="14"/>
  <c r="D35" i="14" s="1"/>
  <c r="G184" i="8"/>
  <c r="G172" i="8"/>
  <c r="G168" i="8"/>
  <c r="G152" i="8"/>
  <c r="G136" i="8"/>
  <c r="G116" i="8"/>
  <c r="G226" i="8"/>
  <c r="G222" i="8"/>
  <c r="G218" i="8"/>
  <c r="G214" i="8"/>
  <c r="G210" i="8"/>
  <c r="G206" i="8"/>
  <c r="G202" i="8"/>
  <c r="G198" i="8"/>
  <c r="G194" i="8"/>
  <c r="G190" i="8"/>
  <c r="G186" i="8"/>
  <c r="G182" i="8"/>
  <c r="G178" i="8"/>
  <c r="G174" i="8"/>
  <c r="G170" i="8"/>
  <c r="G166" i="8"/>
  <c r="G162" i="8"/>
  <c r="G158" i="8"/>
  <c r="G154" i="8"/>
  <c r="G150" i="8"/>
  <c r="G146" i="8"/>
  <c r="G142" i="8"/>
  <c r="G138" i="8"/>
  <c r="G134" i="8"/>
  <c r="G130" i="8"/>
  <c r="G126" i="8"/>
  <c r="G122" i="8"/>
  <c r="G118" i="8"/>
  <c r="G114" i="8"/>
  <c r="G110" i="8"/>
  <c r="G180" i="8"/>
  <c r="G160" i="8"/>
  <c r="G148" i="8"/>
  <c r="G140" i="8"/>
  <c r="G128" i="8"/>
  <c r="G120" i="8"/>
  <c r="G221" i="8"/>
  <c r="G217" i="8"/>
  <c r="G213" i="8"/>
  <c r="G209" i="8"/>
  <c r="G205" i="8"/>
  <c r="G201" i="8"/>
  <c r="G197" i="8"/>
  <c r="G193" i="8"/>
  <c r="G189" i="8"/>
  <c r="G185" i="8"/>
  <c r="G181" i="8"/>
  <c r="G177" i="8"/>
  <c r="G173" i="8"/>
  <c r="G169" i="8"/>
  <c r="G165" i="8"/>
  <c r="G161" i="8"/>
  <c r="G157" i="8"/>
  <c r="G153" i="8"/>
  <c r="G149" i="8"/>
  <c r="G145" i="8"/>
  <c r="G141" i="8"/>
  <c r="G137" i="8"/>
  <c r="G133" i="8"/>
  <c r="G129" i="8"/>
  <c r="G125" i="8"/>
  <c r="G121" i="8"/>
  <c r="G117" i="8"/>
  <c r="G113" i="8"/>
  <c r="G109" i="8"/>
  <c r="G188" i="8"/>
  <c r="G176" i="8"/>
  <c r="G164" i="8"/>
  <c r="G156" i="8"/>
  <c r="G144" i="8"/>
  <c r="G132" i="8"/>
  <c r="G124" i="8"/>
  <c r="G112" i="8"/>
  <c r="G227" i="8"/>
  <c r="G223" i="8"/>
  <c r="G219" i="8"/>
  <c r="G215" i="8"/>
  <c r="G211" i="8"/>
  <c r="G207" i="8"/>
  <c r="G203" i="8"/>
  <c r="G199" i="8"/>
  <c r="G195" i="8"/>
  <c r="G191" i="8"/>
  <c r="G187" i="8"/>
  <c r="G183" i="8"/>
  <c r="G179" i="8"/>
  <c r="G175" i="8"/>
  <c r="G171" i="8"/>
  <c r="G167" i="8"/>
  <c r="G163" i="8"/>
  <c r="G159" i="8"/>
  <c r="G155" i="8"/>
  <c r="G151" i="8"/>
  <c r="G147" i="8"/>
  <c r="G143" i="8"/>
  <c r="G139" i="8"/>
  <c r="G135" i="8"/>
  <c r="G131" i="8"/>
  <c r="G127" i="8"/>
  <c r="G123" i="8"/>
  <c r="G119" i="8"/>
  <c r="G115" i="8"/>
  <c r="G111" i="8"/>
  <c r="H56" i="14"/>
  <c r="H75" i="14" s="1"/>
  <c r="M72" i="14"/>
  <c r="M56" i="14"/>
  <c r="M75" i="14" s="1"/>
  <c r="L72" i="14"/>
  <c r="H72" i="14"/>
  <c r="G72" i="14"/>
  <c r="I72" i="14"/>
  <c r="E72" i="14"/>
  <c r="F56" i="14"/>
  <c r="F75" i="14" s="1"/>
  <c r="J56" i="14"/>
  <c r="J75" i="14" s="1"/>
  <c r="K56" i="14"/>
  <c r="K75" i="14" s="1"/>
  <c r="F72" i="14"/>
  <c r="J72" i="14"/>
  <c r="G56" i="14"/>
  <c r="G75" i="14" s="1"/>
  <c r="D76" i="14"/>
  <c r="D78" i="14" s="1"/>
  <c r="L56" i="14"/>
  <c r="L75" i="14" s="1"/>
  <c r="D56" i="14"/>
  <c r="K72" i="14"/>
  <c r="E56" i="14"/>
  <c r="E75" i="14" s="1"/>
  <c r="I56" i="14"/>
  <c r="I75" i="14" s="1"/>
  <c r="H14" i="14"/>
  <c r="I14" i="14"/>
  <c r="I24" i="14" s="1"/>
  <c r="E14" i="14"/>
  <c r="G14" i="14"/>
  <c r="J14" i="14"/>
  <c r="J24" i="14" s="1"/>
  <c r="F14" i="14"/>
  <c r="D18" i="14"/>
  <c r="D5" i="36" s="1"/>
  <c r="O14" i="14"/>
  <c r="O24" i="14" s="1"/>
  <c r="K14" i="14"/>
  <c r="K24" i="14" s="1"/>
  <c r="L14" i="14"/>
  <c r="L24" i="14" s="1"/>
  <c r="N14" i="14"/>
  <c r="N24" i="14" s="1"/>
  <c r="M14" i="14"/>
  <c r="M24" i="14" s="1"/>
  <c r="D21" i="14"/>
  <c r="H24" i="14" l="1"/>
  <c r="H38" i="14" s="1"/>
  <c r="H33" i="14"/>
  <c r="F23" i="42"/>
  <c r="E25" i="42"/>
  <c r="A26" i="42"/>
  <c r="B25" i="42"/>
  <c r="D24" i="42"/>
  <c r="C24" i="42"/>
  <c r="G33" i="14"/>
  <c r="AE5" i="36" s="1"/>
  <c r="G24" i="14"/>
  <c r="G38" i="14" s="1"/>
  <c r="F33" i="14"/>
  <c r="U5" i="36" s="1"/>
  <c r="F24" i="14"/>
  <c r="F38" i="14" s="1"/>
  <c r="E33" i="14"/>
  <c r="E24" i="14"/>
  <c r="E38" i="14" s="1"/>
  <c r="F76" i="14"/>
  <c r="F78" i="14" s="1"/>
  <c r="F66" i="14"/>
  <c r="F80" i="14" s="1"/>
  <c r="E76" i="14"/>
  <c r="E78" i="14" s="1"/>
  <c r="E66" i="14"/>
  <c r="E80" i="14" s="1"/>
  <c r="L76" i="14"/>
  <c r="L78" i="14" s="1"/>
  <c r="L66" i="14"/>
  <c r="L80" i="14" s="1"/>
  <c r="K76" i="14"/>
  <c r="K78" i="14" s="1"/>
  <c r="K66" i="14"/>
  <c r="K80" i="14" s="1"/>
  <c r="G76" i="14"/>
  <c r="G78" i="14" s="1"/>
  <c r="G66" i="14"/>
  <c r="G80" i="14" s="1"/>
  <c r="M76" i="14"/>
  <c r="M78" i="14" s="1"/>
  <c r="M66" i="14"/>
  <c r="M80" i="14" s="1"/>
  <c r="I76" i="14"/>
  <c r="I78" i="14" s="1"/>
  <c r="I66" i="14"/>
  <c r="I80" i="14" s="1"/>
  <c r="D75" i="14"/>
  <c r="D66" i="14"/>
  <c r="D80" i="14" s="1"/>
  <c r="J76" i="14"/>
  <c r="J78" i="14" s="1"/>
  <c r="J66" i="14"/>
  <c r="J80" i="14" s="1"/>
  <c r="H76" i="14"/>
  <c r="H78" i="14" s="1"/>
  <c r="H66" i="14"/>
  <c r="H80" i="14" s="1"/>
  <c r="D34" i="14"/>
  <c r="D36" i="14" s="1"/>
  <c r="D51" i="14"/>
  <c r="D50" i="14"/>
  <c r="J61" i="14"/>
  <c r="J79" i="14" s="1"/>
  <c r="H61" i="14"/>
  <c r="H79" i="14" s="1"/>
  <c r="K19" i="14"/>
  <c r="F19" i="14"/>
  <c r="F37" i="14" s="1"/>
  <c r="K61" i="14"/>
  <c r="K79" i="14" s="1"/>
  <c r="G61" i="14"/>
  <c r="G79" i="14" s="1"/>
  <c r="M61" i="14"/>
  <c r="M79" i="14" s="1"/>
  <c r="M19" i="14"/>
  <c r="E19" i="14"/>
  <c r="E37" i="14" s="1"/>
  <c r="N19" i="14"/>
  <c r="H19" i="14"/>
  <c r="H37" i="14" s="1"/>
  <c r="F61" i="14"/>
  <c r="F79" i="14" s="1"/>
  <c r="E61" i="14"/>
  <c r="E79" i="14" s="1"/>
  <c r="L61" i="14"/>
  <c r="L79" i="14" s="1"/>
  <c r="O19" i="14"/>
  <c r="L19" i="14"/>
  <c r="G19" i="14"/>
  <c r="G37" i="14" s="1"/>
  <c r="D61" i="14"/>
  <c r="D79" i="14" s="1"/>
  <c r="I61" i="14"/>
  <c r="I79" i="14" s="1"/>
  <c r="G242" i="8"/>
  <c r="D14" i="14"/>
  <c r="D33" i="14" s="1"/>
  <c r="K5" i="36" s="1"/>
  <c r="G108" i="8"/>
  <c r="F241" i="3"/>
  <c r="G240" i="3"/>
  <c r="G239" i="3"/>
  <c r="F237" i="3"/>
  <c r="F236" i="3"/>
  <c r="G235" i="3"/>
  <c r="F233" i="3"/>
  <c r="G232" i="3"/>
  <c r="G231" i="3"/>
  <c r="F229" i="3"/>
  <c r="G228" i="3"/>
  <c r="G227" i="3"/>
  <c r="F225" i="3"/>
  <c r="G224" i="3"/>
  <c r="G223" i="3"/>
  <c r="F221" i="3"/>
  <c r="F220" i="3"/>
  <c r="G219" i="3"/>
  <c r="F217" i="3"/>
  <c r="G216" i="3"/>
  <c r="G215" i="3"/>
  <c r="F213" i="3"/>
  <c r="G212" i="3"/>
  <c r="G211" i="3"/>
  <c r="F209" i="3"/>
  <c r="G208" i="3"/>
  <c r="G207" i="3"/>
  <c r="F205" i="3"/>
  <c r="G204" i="3"/>
  <c r="G203" i="3"/>
  <c r="G201" i="3"/>
  <c r="F200" i="3"/>
  <c r="G199" i="3"/>
  <c r="G197" i="3"/>
  <c r="G196" i="3"/>
  <c r="G195" i="3"/>
  <c r="G193" i="3"/>
  <c r="G192" i="3"/>
  <c r="G191" i="3"/>
  <c r="G189" i="3"/>
  <c r="G188" i="3"/>
  <c r="G187" i="3"/>
  <c r="G185" i="3"/>
  <c r="G184" i="3"/>
  <c r="G183" i="3"/>
  <c r="G181" i="3"/>
  <c r="G180" i="3"/>
  <c r="G179" i="3"/>
  <c r="F177" i="3"/>
  <c r="G176" i="3"/>
  <c r="G175" i="3"/>
  <c r="G173" i="3"/>
  <c r="G172" i="3"/>
  <c r="G171" i="3"/>
  <c r="G169" i="3"/>
  <c r="G168" i="3"/>
  <c r="G167" i="3"/>
  <c r="F165" i="3"/>
  <c r="G164" i="3"/>
  <c r="G163" i="3"/>
  <c r="G161" i="3"/>
  <c r="F161" i="3"/>
  <c r="G160" i="3"/>
  <c r="G159" i="3"/>
  <c r="F157" i="3"/>
  <c r="F156" i="3"/>
  <c r="G155" i="3"/>
  <c r="F153" i="3"/>
  <c r="F152" i="3"/>
  <c r="G151" i="3"/>
  <c r="G149" i="3"/>
  <c r="F148" i="3"/>
  <c r="G147" i="3"/>
  <c r="G145" i="3"/>
  <c r="F144" i="3"/>
  <c r="G143" i="3"/>
  <c r="G141" i="3"/>
  <c r="F140" i="3"/>
  <c r="G139" i="3"/>
  <c r="G137" i="3"/>
  <c r="F136" i="3"/>
  <c r="G135" i="3"/>
  <c r="G133" i="3"/>
  <c r="G132" i="3"/>
  <c r="G131" i="3"/>
  <c r="G129" i="3"/>
  <c r="G128" i="3"/>
  <c r="G127" i="3"/>
  <c r="G125" i="3"/>
  <c r="G124" i="3"/>
  <c r="G123" i="3"/>
  <c r="G121" i="3"/>
  <c r="G120" i="3"/>
  <c r="G119" i="3"/>
  <c r="G117" i="3"/>
  <c r="G116" i="3"/>
  <c r="G115" i="3"/>
  <c r="F113" i="3"/>
  <c r="G112" i="3"/>
  <c r="G111" i="3"/>
  <c r="F109" i="3"/>
  <c r="G108" i="3"/>
  <c r="G107" i="3"/>
  <c r="F105" i="3"/>
  <c r="G104" i="3"/>
  <c r="G103" i="3"/>
  <c r="G101" i="3"/>
  <c r="F100" i="3"/>
  <c r="G99" i="3"/>
  <c r="G97" i="3"/>
  <c r="F96" i="3"/>
  <c r="G95" i="3"/>
  <c r="G93" i="3"/>
  <c r="F92" i="3"/>
  <c r="G91" i="3"/>
  <c r="G89" i="3"/>
  <c r="F88" i="3"/>
  <c r="G87" i="3"/>
  <c r="G85" i="3"/>
  <c r="G84" i="3"/>
  <c r="G83" i="3"/>
  <c r="F82" i="3"/>
  <c r="F81" i="3"/>
  <c r="F80" i="3"/>
  <c r="G79" i="3"/>
  <c r="F78" i="3"/>
  <c r="G77" i="3"/>
  <c r="G76" i="3"/>
  <c r="G75" i="3"/>
  <c r="F74" i="3"/>
  <c r="G73" i="3"/>
  <c r="F72" i="3"/>
  <c r="F71" i="3"/>
  <c r="G70" i="3"/>
  <c r="G69" i="3"/>
  <c r="F68" i="3"/>
  <c r="G67" i="3"/>
  <c r="G66" i="3"/>
  <c r="G65" i="3"/>
  <c r="F64" i="3"/>
  <c r="G63" i="3"/>
  <c r="F62" i="3"/>
  <c r="G61" i="3"/>
  <c r="F60" i="3"/>
  <c r="F59" i="3"/>
  <c r="G59" i="3"/>
  <c r="G58" i="3"/>
  <c r="G57" i="3"/>
  <c r="F56" i="3"/>
  <c r="F55" i="3"/>
  <c r="F54" i="3"/>
  <c r="G53" i="3"/>
  <c r="F52" i="3"/>
  <c r="G51" i="3"/>
  <c r="G50" i="3"/>
  <c r="G49" i="3"/>
  <c r="F48" i="3"/>
  <c r="G47" i="3"/>
  <c r="F46" i="3"/>
  <c r="G45" i="3"/>
  <c r="F44" i="3"/>
  <c r="G43" i="3"/>
  <c r="F42" i="3"/>
  <c r="G41" i="3"/>
  <c r="F40" i="3"/>
  <c r="G39" i="3"/>
  <c r="G38" i="3"/>
  <c r="G37" i="3"/>
  <c r="F36" i="3"/>
  <c r="F35" i="3"/>
  <c r="G35" i="3"/>
  <c r="F34" i="3"/>
  <c r="G33" i="3"/>
  <c r="F32" i="3"/>
  <c r="G31" i="3"/>
  <c r="F30" i="3"/>
  <c r="G29" i="3"/>
  <c r="F28" i="3"/>
  <c r="G27" i="3"/>
  <c r="F26" i="3"/>
  <c r="G25" i="3"/>
  <c r="F24" i="3"/>
  <c r="G23" i="3"/>
  <c r="F22" i="3"/>
  <c r="G21" i="3"/>
  <c r="F20" i="3"/>
  <c r="G19" i="3"/>
  <c r="G18" i="3"/>
  <c r="G17" i="3"/>
  <c r="F16" i="3"/>
  <c r="G15" i="3"/>
  <c r="F14" i="3"/>
  <c r="G13" i="3"/>
  <c r="F12" i="3"/>
  <c r="G11" i="3"/>
  <c r="G10" i="3"/>
  <c r="G9" i="3"/>
  <c r="F8" i="3"/>
  <c r="F7" i="3"/>
  <c r="F6" i="3"/>
  <c r="G5" i="3"/>
  <c r="F4" i="3"/>
  <c r="G242" i="2"/>
  <c r="F242" i="2"/>
  <c r="F241" i="2"/>
  <c r="G240" i="2"/>
  <c r="F239" i="2"/>
  <c r="F238" i="2"/>
  <c r="F237" i="2"/>
  <c r="G236" i="2"/>
  <c r="F235" i="2"/>
  <c r="G234" i="2"/>
  <c r="F234" i="2"/>
  <c r="F229" i="2"/>
  <c r="G228" i="2"/>
  <c r="F227" i="2"/>
  <c r="G226" i="2"/>
  <c r="G225" i="2"/>
  <c r="F225" i="2"/>
  <c r="G224" i="2"/>
  <c r="F223" i="2"/>
  <c r="F221" i="2"/>
  <c r="G220" i="2"/>
  <c r="F219" i="2"/>
  <c r="G218" i="2"/>
  <c r="G217" i="2"/>
  <c r="G216" i="2"/>
  <c r="F215" i="2"/>
  <c r="G214" i="2"/>
  <c r="F214" i="2"/>
  <c r="G212" i="2"/>
  <c r="F211" i="2"/>
  <c r="G210" i="2"/>
  <c r="G209" i="2"/>
  <c r="G208" i="2"/>
  <c r="F207" i="2"/>
  <c r="F205" i="2"/>
  <c r="G204" i="2"/>
  <c r="F203" i="2"/>
  <c r="G202" i="2"/>
  <c r="G201" i="2"/>
  <c r="G200" i="2"/>
  <c r="F199" i="2"/>
  <c r="F198" i="2"/>
  <c r="G196" i="2"/>
  <c r="F195" i="2"/>
  <c r="G194" i="2"/>
  <c r="F193" i="2"/>
  <c r="F191" i="2"/>
  <c r="G190" i="2"/>
  <c r="F189" i="2"/>
  <c r="G188" i="2"/>
  <c r="G186" i="2"/>
  <c r="G185" i="2"/>
  <c r="F183" i="2"/>
  <c r="F182" i="2"/>
  <c r="F181" i="2"/>
  <c r="F177" i="2"/>
  <c r="F175" i="2"/>
  <c r="F174" i="2"/>
  <c r="F173" i="2"/>
  <c r="G172" i="2"/>
  <c r="F167" i="2"/>
  <c r="G166" i="2"/>
  <c r="F165" i="2"/>
  <c r="G164" i="2"/>
  <c r="F161" i="2"/>
  <c r="F159" i="2"/>
  <c r="F157" i="2"/>
  <c r="G156" i="2"/>
  <c r="G154" i="2"/>
  <c r="G153" i="2"/>
  <c r="F151" i="2"/>
  <c r="F149" i="2"/>
  <c r="G148" i="2"/>
  <c r="F146" i="2"/>
  <c r="F145" i="2"/>
  <c r="F143" i="2"/>
  <c r="G142" i="2"/>
  <c r="F141" i="2"/>
  <c r="G140" i="2"/>
  <c r="F138" i="2"/>
  <c r="F137" i="2"/>
  <c r="F135" i="2"/>
  <c r="F134" i="2"/>
  <c r="F133" i="2"/>
  <c r="G132" i="2"/>
  <c r="F130" i="2"/>
  <c r="F127" i="2"/>
  <c r="F126" i="2"/>
  <c r="F125" i="2"/>
  <c r="G124" i="2"/>
  <c r="G121" i="2"/>
  <c r="F119" i="2"/>
  <c r="G118" i="2"/>
  <c r="F117" i="2"/>
  <c r="G116" i="2"/>
  <c r="G114" i="2"/>
  <c r="F113" i="2"/>
  <c r="F111" i="2"/>
  <c r="F110" i="2"/>
  <c r="F109" i="2"/>
  <c r="G108" i="2"/>
  <c r="G106" i="2"/>
  <c r="F103" i="2"/>
  <c r="G102" i="2"/>
  <c r="F101" i="2"/>
  <c r="G100" i="2"/>
  <c r="F97" i="2"/>
  <c r="F95" i="2"/>
  <c r="F93" i="2"/>
  <c r="G92" i="2"/>
  <c r="G90" i="2"/>
  <c r="G89" i="2"/>
  <c r="F87" i="2"/>
  <c r="F85" i="2"/>
  <c r="G84" i="2"/>
  <c r="F82" i="2"/>
  <c r="F81" i="2"/>
  <c r="F79" i="2"/>
  <c r="G78" i="2"/>
  <c r="F77" i="2"/>
  <c r="G76" i="2"/>
  <c r="F74" i="2"/>
  <c r="G73" i="2"/>
  <c r="F71" i="2"/>
  <c r="G70" i="2"/>
  <c r="G69" i="2"/>
  <c r="F68" i="2"/>
  <c r="F66" i="2"/>
  <c r="G65" i="2"/>
  <c r="F64" i="2"/>
  <c r="F63" i="2"/>
  <c r="G62" i="2"/>
  <c r="G61" i="2"/>
  <c r="F60" i="2"/>
  <c r="G59" i="2"/>
  <c r="F58" i="2"/>
  <c r="G57" i="2"/>
  <c r="F56" i="2"/>
  <c r="G54" i="2"/>
  <c r="G53" i="2"/>
  <c r="F52" i="2"/>
  <c r="G51" i="2"/>
  <c r="G49" i="2"/>
  <c r="F48" i="2"/>
  <c r="G47" i="2"/>
  <c r="G46" i="2"/>
  <c r="G45" i="2"/>
  <c r="F44" i="2"/>
  <c r="F43" i="2"/>
  <c r="F42" i="2"/>
  <c r="G41" i="2"/>
  <c r="F40" i="2"/>
  <c r="F39" i="2"/>
  <c r="G38" i="2"/>
  <c r="G37" i="2"/>
  <c r="F36" i="2"/>
  <c r="F34" i="2"/>
  <c r="G33" i="2"/>
  <c r="F32" i="2"/>
  <c r="F31" i="2"/>
  <c r="G30" i="2"/>
  <c r="G29" i="2"/>
  <c r="F28" i="2"/>
  <c r="F26" i="2"/>
  <c r="G25" i="2"/>
  <c r="F24" i="2"/>
  <c r="G23" i="2"/>
  <c r="G22" i="2"/>
  <c r="G21" i="2"/>
  <c r="F20" i="2"/>
  <c r="G19" i="2"/>
  <c r="F18" i="2"/>
  <c r="F17" i="2"/>
  <c r="G16" i="2"/>
  <c r="G15" i="2"/>
  <c r="F14" i="2"/>
  <c r="G13" i="2"/>
  <c r="F12" i="2"/>
  <c r="G11" i="2"/>
  <c r="F10" i="2"/>
  <c r="G9" i="2"/>
  <c r="G8" i="2"/>
  <c r="G7" i="2"/>
  <c r="F6" i="2"/>
  <c r="G5" i="2"/>
  <c r="G4" i="2"/>
  <c r="H39" i="14" l="1"/>
  <c r="R19" i="14"/>
  <c r="AB5" i="36"/>
  <c r="R18" i="14"/>
  <c r="D25" i="42"/>
  <c r="C25" i="42"/>
  <c r="E26" i="42"/>
  <c r="A27" i="42"/>
  <c r="B26" i="42"/>
  <c r="F24" i="42"/>
  <c r="R5" i="36"/>
  <c r="D24" i="14"/>
  <c r="G39" i="14"/>
  <c r="E39" i="14"/>
  <c r="D81" i="14"/>
  <c r="G81" i="14"/>
  <c r="D19" i="14"/>
  <c r="D37" i="14" s="1"/>
  <c r="J19" i="14"/>
  <c r="I19" i="14"/>
  <c r="J81" i="14"/>
  <c r="F31" i="14"/>
  <c r="H31" i="14"/>
  <c r="E31" i="14"/>
  <c r="N31" i="14"/>
  <c r="M31" i="14"/>
  <c r="L31" i="14"/>
  <c r="O31" i="14"/>
  <c r="K31" i="14"/>
  <c r="I81" i="14"/>
  <c r="H81" i="14"/>
  <c r="K81" i="14"/>
  <c r="L81" i="14"/>
  <c r="F81" i="14"/>
  <c r="G31" i="14"/>
  <c r="E81" i="14"/>
  <c r="M81" i="14"/>
  <c r="G82" i="2"/>
  <c r="G138" i="2"/>
  <c r="G107" i="8"/>
  <c r="G137" i="2"/>
  <c r="G130" i="2"/>
  <c r="G66" i="2"/>
  <c r="G56" i="3"/>
  <c r="G225" i="3"/>
  <c r="G113" i="3"/>
  <c r="F173" i="3"/>
  <c r="F176" i="3"/>
  <c r="G241" i="3"/>
  <c r="G7" i="3"/>
  <c r="G40" i="3"/>
  <c r="F43" i="3"/>
  <c r="F125" i="3"/>
  <c r="F23" i="3"/>
  <c r="F119" i="3"/>
  <c r="F129" i="3"/>
  <c r="F189" i="3"/>
  <c r="G8" i="3"/>
  <c r="F236" i="2"/>
  <c r="G177" i="3"/>
  <c r="G182" i="2"/>
  <c r="F197" i="3"/>
  <c r="F232" i="3"/>
  <c r="G198" i="2"/>
  <c r="G100" i="3"/>
  <c r="F101" i="3"/>
  <c r="G34" i="2"/>
  <c r="G32" i="3"/>
  <c r="F103" i="3"/>
  <c r="G31" i="2"/>
  <c r="F133" i="3"/>
  <c r="F90" i="2"/>
  <c r="G110" i="2"/>
  <c r="F240" i="2"/>
  <c r="F117" i="3"/>
  <c r="G152" i="3"/>
  <c r="F180" i="3"/>
  <c r="G223" i="2"/>
  <c r="F135" i="3"/>
  <c r="F73" i="2"/>
  <c r="G146" i="2"/>
  <c r="F166" i="2"/>
  <c r="G16" i="3"/>
  <c r="F51" i="3"/>
  <c r="F67" i="3"/>
  <c r="G153" i="3"/>
  <c r="F181" i="3"/>
  <c r="F216" i="3"/>
  <c r="F104" i="3"/>
  <c r="G136" i="3"/>
  <c r="F168" i="3"/>
  <c r="F199" i="3"/>
  <c r="G148" i="3"/>
  <c r="F193" i="3"/>
  <c r="G161" i="2"/>
  <c r="G229" i="3"/>
  <c r="F51" i="2"/>
  <c r="G52" i="3"/>
  <c r="F169" i="3"/>
  <c r="F190" i="2"/>
  <c r="G39" i="2"/>
  <c r="F164" i="3"/>
  <c r="G238" i="2"/>
  <c r="G48" i="3"/>
  <c r="F121" i="3"/>
  <c r="F23" i="2"/>
  <c r="G55" i="3"/>
  <c r="G92" i="3"/>
  <c r="F217" i="2"/>
  <c r="G126" i="2"/>
  <c r="F116" i="3"/>
  <c r="G200" i="3"/>
  <c r="F39" i="3"/>
  <c r="F185" i="3"/>
  <c r="G134" i="2"/>
  <c r="F118" i="2"/>
  <c r="F154" i="2"/>
  <c r="G174" i="2"/>
  <c r="G109" i="3"/>
  <c r="G71" i="2"/>
  <c r="F114" i="2"/>
  <c r="G71" i="3"/>
  <c r="G156" i="3"/>
  <c r="G140" i="3"/>
  <c r="G4" i="3"/>
  <c r="G43" i="2"/>
  <c r="G63" i="2"/>
  <c r="F194" i="2"/>
  <c r="F228" i="3"/>
  <c r="F201" i="2"/>
  <c r="F19" i="3"/>
  <c r="F59" i="2"/>
  <c r="G133" i="2"/>
  <c r="G20" i="3"/>
  <c r="G220" i="3"/>
  <c r="F78" i="2"/>
  <c r="G144" i="3"/>
  <c r="F160" i="3"/>
  <c r="F11" i="3"/>
  <c r="G81" i="3"/>
  <c r="G213" i="3"/>
  <c r="G105" i="3"/>
  <c r="G97" i="2"/>
  <c r="F172" i="3"/>
  <c r="F212" i="3"/>
  <c r="G74" i="2"/>
  <c r="G88" i="3"/>
  <c r="F183" i="3"/>
  <c r="G95" i="2"/>
  <c r="G72" i="3"/>
  <c r="G157" i="3"/>
  <c r="G24" i="3"/>
  <c r="F77" i="3"/>
  <c r="G96" i="3"/>
  <c r="F112" i="3"/>
  <c r="G209" i="3"/>
  <c r="G64" i="3"/>
  <c r="G165" i="3"/>
  <c r="G236" i="3"/>
  <c r="F116" i="2"/>
  <c r="F210" i="2"/>
  <c r="F108" i="3"/>
  <c r="G12" i="3"/>
  <c r="F15" i="3"/>
  <c r="G28" i="3"/>
  <c r="F31" i="3"/>
  <c r="G44" i="3"/>
  <c r="F47" i="3"/>
  <c r="G60" i="3"/>
  <c r="F63" i="3"/>
  <c r="G80" i="3"/>
  <c r="F85" i="3"/>
  <c r="F87" i="3"/>
  <c r="F120" i="3"/>
  <c r="F124" i="3"/>
  <c r="F128" i="3"/>
  <c r="F132" i="3"/>
  <c r="F137" i="3"/>
  <c r="F141" i="3"/>
  <c r="F145" i="3"/>
  <c r="F149" i="3"/>
  <c r="F151" i="3"/>
  <c r="F184" i="3"/>
  <c r="F188" i="3"/>
  <c r="F192" i="3"/>
  <c r="F196" i="3"/>
  <c r="F201" i="3"/>
  <c r="G205" i="3"/>
  <c r="F208" i="3"/>
  <c r="G221" i="3"/>
  <c r="F224" i="3"/>
  <c r="G237" i="3"/>
  <c r="F240" i="3"/>
  <c r="F27" i="3"/>
  <c r="F89" i="3"/>
  <c r="F93" i="3"/>
  <c r="F97" i="3"/>
  <c r="F167" i="3"/>
  <c r="F204" i="3"/>
  <c r="G217" i="3"/>
  <c r="G233" i="3"/>
  <c r="G36" i="3"/>
  <c r="G68" i="3"/>
  <c r="G35" i="2"/>
  <c r="F35" i="2"/>
  <c r="F50" i="2"/>
  <c r="G50" i="2"/>
  <c r="G98" i="2"/>
  <c r="F98" i="2"/>
  <c r="G222" i="2"/>
  <c r="F222" i="2"/>
  <c r="G232" i="2"/>
  <c r="F232" i="2"/>
  <c r="F102" i="2"/>
  <c r="F142" i="2"/>
  <c r="F213" i="2"/>
  <c r="G213" i="2"/>
  <c r="F27" i="2"/>
  <c r="G27" i="2"/>
  <c r="G42" i="2"/>
  <c r="G67" i="2"/>
  <c r="F67" i="2"/>
  <c r="G94" i="2"/>
  <c r="F94" i="2"/>
  <c r="F106" i="2"/>
  <c r="G150" i="2"/>
  <c r="F150" i="2"/>
  <c r="G159" i="2"/>
  <c r="G162" i="2"/>
  <c r="F162" i="2"/>
  <c r="G169" i="2"/>
  <c r="F169" i="2"/>
  <c r="G180" i="2"/>
  <c r="F180" i="2"/>
  <c r="G230" i="2"/>
  <c r="F230" i="2"/>
  <c r="G86" i="2"/>
  <c r="F86" i="2"/>
  <c r="G105" i="2"/>
  <c r="F105" i="2"/>
  <c r="F129" i="2"/>
  <c r="G129" i="2"/>
  <c r="G158" i="2"/>
  <c r="F158" i="2"/>
  <c r="G178" i="2"/>
  <c r="F178" i="2"/>
  <c r="G206" i="2"/>
  <c r="F206" i="2"/>
  <c r="F47" i="2"/>
  <c r="F197" i="2"/>
  <c r="G197" i="2"/>
  <c r="G55" i="2"/>
  <c r="F55" i="2"/>
  <c r="G122" i="2"/>
  <c r="F122" i="2"/>
  <c r="G170" i="2"/>
  <c r="F170" i="2"/>
  <c r="F186" i="2"/>
  <c r="G193" i="2"/>
  <c r="F202" i="2"/>
  <c r="F209" i="2"/>
  <c r="F218" i="2"/>
  <c r="F220" i="2"/>
  <c r="F224" i="2"/>
  <c r="F226" i="2"/>
  <c r="F228" i="2"/>
  <c r="G239" i="2"/>
  <c r="G241" i="2"/>
  <c r="G58" i="2"/>
  <c r="F84" i="2"/>
  <c r="G101" i="2"/>
  <c r="G127" i="2"/>
  <c r="F148" i="2"/>
  <c r="G165" i="2"/>
  <c r="G191" i="2"/>
  <c r="G205" i="2"/>
  <c r="G158" i="3"/>
  <c r="F158" i="3"/>
  <c r="F10" i="3"/>
  <c r="F18" i="3"/>
  <c r="F38" i="3"/>
  <c r="F50" i="3"/>
  <c r="F58" i="3"/>
  <c r="F66" i="3"/>
  <c r="F70" i="3"/>
  <c r="F76" i="3"/>
  <c r="F79" i="3"/>
  <c r="F84" i="3"/>
  <c r="F107" i="3"/>
  <c r="G114" i="3"/>
  <c r="F114" i="3"/>
  <c r="G130" i="3"/>
  <c r="F130" i="3"/>
  <c r="F139" i="3"/>
  <c r="G146" i="3"/>
  <c r="F146" i="3"/>
  <c r="F155" i="3"/>
  <c r="F207" i="3"/>
  <c r="F211" i="3"/>
  <c r="F215" i="3"/>
  <c r="F219" i="3"/>
  <c r="F239" i="3"/>
  <c r="F5" i="3"/>
  <c r="G6" i="3"/>
  <c r="F9" i="3"/>
  <c r="F13" i="3"/>
  <c r="G14" i="3"/>
  <c r="F17" i="3"/>
  <c r="F21" i="3"/>
  <c r="G22" i="3"/>
  <c r="F25" i="3"/>
  <c r="G26" i="3"/>
  <c r="F29" i="3"/>
  <c r="G30" i="3"/>
  <c r="F33" i="3"/>
  <c r="G34" i="3"/>
  <c r="F37" i="3"/>
  <c r="F41" i="3"/>
  <c r="G42" i="3"/>
  <c r="F45" i="3"/>
  <c r="G46" i="3"/>
  <c r="F49" i="3"/>
  <c r="F53" i="3"/>
  <c r="G54" i="3"/>
  <c r="F57" i="3"/>
  <c r="F61" i="3"/>
  <c r="G62" i="3"/>
  <c r="F65" i="3"/>
  <c r="F69" i="3"/>
  <c r="F73" i="3"/>
  <c r="G86" i="3"/>
  <c r="F86" i="3"/>
  <c r="F95" i="3"/>
  <c r="G102" i="3"/>
  <c r="F102" i="3"/>
  <c r="F111" i="3"/>
  <c r="G118" i="3"/>
  <c r="F118" i="3"/>
  <c r="F127" i="3"/>
  <c r="G134" i="3"/>
  <c r="F134" i="3"/>
  <c r="F143" i="3"/>
  <c r="G150" i="3"/>
  <c r="F150" i="3"/>
  <c r="F159" i="3"/>
  <c r="G166" i="3"/>
  <c r="F166" i="3"/>
  <c r="F175" i="3"/>
  <c r="G182" i="3"/>
  <c r="F182" i="3"/>
  <c r="F191" i="3"/>
  <c r="G198" i="3"/>
  <c r="F198" i="3"/>
  <c r="G94" i="3"/>
  <c r="F94" i="3"/>
  <c r="G110" i="3"/>
  <c r="F110" i="3"/>
  <c r="G126" i="3"/>
  <c r="F126" i="3"/>
  <c r="G142" i="3"/>
  <c r="F142" i="3"/>
  <c r="G174" i="3"/>
  <c r="F174" i="3"/>
  <c r="G190" i="3"/>
  <c r="F190" i="3"/>
  <c r="G74" i="3"/>
  <c r="G82" i="3"/>
  <c r="F91" i="3"/>
  <c r="G98" i="3"/>
  <c r="F98" i="3"/>
  <c r="F123" i="3"/>
  <c r="G162" i="3"/>
  <c r="F162" i="3"/>
  <c r="F171" i="3"/>
  <c r="G178" i="3"/>
  <c r="F178" i="3"/>
  <c r="F187" i="3"/>
  <c r="G194" i="3"/>
  <c r="F194" i="3"/>
  <c r="F203" i="3"/>
  <c r="F223" i="3"/>
  <c r="F227" i="3"/>
  <c r="F231" i="3"/>
  <c r="F235" i="3"/>
  <c r="F75" i="3"/>
  <c r="G78" i="3"/>
  <c r="F83" i="3"/>
  <c r="G90" i="3"/>
  <c r="F90" i="3"/>
  <c r="F99" i="3"/>
  <c r="G106" i="3"/>
  <c r="F106" i="3"/>
  <c r="F115" i="3"/>
  <c r="G122" i="3"/>
  <c r="F122" i="3"/>
  <c r="F131" i="3"/>
  <c r="G138" i="3"/>
  <c r="F138" i="3"/>
  <c r="F147" i="3"/>
  <c r="G154" i="3"/>
  <c r="F154" i="3"/>
  <c r="F163" i="3"/>
  <c r="G170" i="3"/>
  <c r="F170" i="3"/>
  <c r="F179" i="3"/>
  <c r="G186" i="3"/>
  <c r="F186" i="3"/>
  <c r="F195" i="3"/>
  <c r="G202" i="3"/>
  <c r="F202" i="3"/>
  <c r="G206" i="3"/>
  <c r="F206" i="3"/>
  <c r="G210" i="3"/>
  <c r="F210" i="3"/>
  <c r="G214" i="3"/>
  <c r="F214" i="3"/>
  <c r="G218" i="3"/>
  <c r="F218" i="3"/>
  <c r="G222" i="3"/>
  <c r="F222" i="3"/>
  <c r="G226" i="3"/>
  <c r="F226" i="3"/>
  <c r="G230" i="3"/>
  <c r="F230" i="3"/>
  <c r="G234" i="3"/>
  <c r="F234" i="3"/>
  <c r="G238" i="3"/>
  <c r="F238" i="3"/>
  <c r="G242" i="3"/>
  <c r="F242" i="3"/>
  <c r="G10" i="2"/>
  <c r="F13" i="2"/>
  <c r="G17" i="2"/>
  <c r="G6" i="2"/>
  <c r="F9" i="2"/>
  <c r="G26" i="2"/>
  <c r="F5" i="2"/>
  <c r="G18" i="2"/>
  <c r="G14" i="2"/>
  <c r="G120" i="2"/>
  <c r="F120" i="2"/>
  <c r="F4" i="2"/>
  <c r="F22" i="2"/>
  <c r="F30" i="2"/>
  <c r="F38" i="2"/>
  <c r="F54" i="2"/>
  <c r="F62" i="2"/>
  <c r="G77" i="2"/>
  <c r="F92" i="2"/>
  <c r="G103" i="2"/>
  <c r="G109" i="2"/>
  <c r="F124" i="2"/>
  <c r="G128" i="2"/>
  <c r="F128" i="2"/>
  <c r="G141" i="2"/>
  <c r="F156" i="2"/>
  <c r="G167" i="2"/>
  <c r="G173" i="2"/>
  <c r="G199" i="2"/>
  <c r="G207" i="2"/>
  <c r="G12" i="2"/>
  <c r="F19" i="2"/>
  <c r="G72" i="2"/>
  <c r="F72" i="2"/>
  <c r="G81" i="2"/>
  <c r="G113" i="2"/>
  <c r="F115" i="2"/>
  <c r="G115" i="2"/>
  <c r="G117" i="2"/>
  <c r="F121" i="2"/>
  <c r="F132" i="2"/>
  <c r="G136" i="2"/>
  <c r="F136" i="2"/>
  <c r="G143" i="2"/>
  <c r="G145" i="2"/>
  <c r="F147" i="2"/>
  <c r="G147" i="2"/>
  <c r="G149" i="2"/>
  <c r="F153" i="2"/>
  <c r="F164" i="2"/>
  <c r="G168" i="2"/>
  <c r="F168" i="2"/>
  <c r="G175" i="2"/>
  <c r="G177" i="2"/>
  <c r="F179" i="2"/>
  <c r="G179" i="2"/>
  <c r="G181" i="2"/>
  <c r="F185" i="2"/>
  <c r="F196" i="2"/>
  <c r="F204" i="2"/>
  <c r="F212" i="2"/>
  <c r="G88" i="2"/>
  <c r="F88" i="2"/>
  <c r="F99" i="2"/>
  <c r="G99" i="2"/>
  <c r="F131" i="2"/>
  <c r="G131" i="2"/>
  <c r="G152" i="2"/>
  <c r="F152" i="2"/>
  <c r="F163" i="2"/>
  <c r="G163" i="2"/>
  <c r="G184" i="2"/>
  <c r="F184" i="2"/>
  <c r="F233" i="2"/>
  <c r="G233" i="2"/>
  <c r="F8" i="2"/>
  <c r="F16" i="2"/>
  <c r="G20" i="2"/>
  <c r="F25" i="2"/>
  <c r="G28" i="2"/>
  <c r="F33" i="2"/>
  <c r="G36" i="2"/>
  <c r="F41" i="2"/>
  <c r="G44" i="2"/>
  <c r="F46" i="2"/>
  <c r="F49" i="2"/>
  <c r="G52" i="2"/>
  <c r="F57" i="2"/>
  <c r="G60" i="2"/>
  <c r="F65" i="2"/>
  <c r="G68" i="2"/>
  <c r="F70" i="2"/>
  <c r="F75" i="2"/>
  <c r="G75" i="2"/>
  <c r="G96" i="2"/>
  <c r="F96" i="2"/>
  <c r="F107" i="2"/>
  <c r="G107" i="2"/>
  <c r="G135" i="2"/>
  <c r="F139" i="2"/>
  <c r="G139" i="2"/>
  <c r="G160" i="2"/>
  <c r="F160" i="2"/>
  <c r="F171" i="2"/>
  <c r="G171" i="2"/>
  <c r="F188" i="2"/>
  <c r="G192" i="2"/>
  <c r="F192" i="2"/>
  <c r="G215" i="2"/>
  <c r="G227" i="2"/>
  <c r="G229" i="2"/>
  <c r="F231" i="2"/>
  <c r="G231" i="2"/>
  <c r="F7" i="2"/>
  <c r="F11" i="2"/>
  <c r="F15" i="2"/>
  <c r="G79" i="2"/>
  <c r="F83" i="2"/>
  <c r="G83" i="2"/>
  <c r="G85" i="2"/>
  <c r="F89" i="2"/>
  <c r="F100" i="2"/>
  <c r="G104" i="2"/>
  <c r="F104" i="2"/>
  <c r="G111" i="2"/>
  <c r="F21" i="2"/>
  <c r="G24" i="2"/>
  <c r="F29" i="2"/>
  <c r="G32" i="2"/>
  <c r="F37" i="2"/>
  <c r="G40" i="2"/>
  <c r="F45" i="2"/>
  <c r="G48" i="2"/>
  <c r="F53" i="2"/>
  <c r="G56" i="2"/>
  <c r="F61" i="2"/>
  <c r="G64" i="2"/>
  <c r="F69" i="2"/>
  <c r="F76" i="2"/>
  <c r="G80" i="2"/>
  <c r="F80" i="2"/>
  <c r="G87" i="2"/>
  <c r="F91" i="2"/>
  <c r="G91" i="2"/>
  <c r="G93" i="2"/>
  <c r="F108" i="2"/>
  <c r="G112" i="2"/>
  <c r="F112" i="2"/>
  <c r="G119" i="2"/>
  <c r="F123" i="2"/>
  <c r="G123" i="2"/>
  <c r="G125" i="2"/>
  <c r="F140" i="2"/>
  <c r="G144" i="2"/>
  <c r="F144" i="2"/>
  <c r="G151" i="2"/>
  <c r="F155" i="2"/>
  <c r="G155" i="2"/>
  <c r="G157" i="2"/>
  <c r="F172" i="2"/>
  <c r="G176" i="2"/>
  <c r="F176" i="2"/>
  <c r="G183" i="2"/>
  <c r="F187" i="2"/>
  <c r="G187" i="2"/>
  <c r="G189" i="2"/>
  <c r="G195" i="2"/>
  <c r="F200" i="2"/>
  <c r="G203" i="2"/>
  <c r="F208" i="2"/>
  <c r="G211" i="2"/>
  <c r="F216" i="2"/>
  <c r="G219" i="2"/>
  <c r="G221" i="2"/>
  <c r="G235" i="2"/>
  <c r="G237" i="2"/>
  <c r="F25" i="42" l="1"/>
  <c r="E27" i="42"/>
  <c r="A28" i="42"/>
  <c r="B27" i="42"/>
  <c r="D26" i="42"/>
  <c r="C26" i="42"/>
  <c r="D38" i="14"/>
  <c r="D39" i="14" s="1"/>
  <c r="F39" i="14"/>
  <c r="R20" i="14" s="1"/>
  <c r="J31" i="14"/>
  <c r="D31" i="14"/>
  <c r="I31" i="14"/>
  <c r="G106" i="8"/>
  <c r="F26" i="42" l="1"/>
  <c r="D27" i="42"/>
  <c r="C27" i="42"/>
  <c r="E28" i="42"/>
  <c r="A29" i="42"/>
  <c r="B28" i="42"/>
  <c r="H5" i="36"/>
  <c r="R8" i="14"/>
  <c r="O45" i="14" s="1"/>
  <c r="O46" i="14" s="1"/>
  <c r="G105" i="8"/>
  <c r="F27" i="42" l="1"/>
  <c r="D28" i="42"/>
  <c r="C28" i="42"/>
  <c r="E29" i="42"/>
  <c r="A30" i="42"/>
  <c r="B29" i="42"/>
  <c r="E43" i="14"/>
  <c r="E44" i="14" s="1"/>
  <c r="D44" i="14" s="1"/>
  <c r="R9" i="14"/>
  <c r="H41" i="14" s="1"/>
  <c r="I45" i="14"/>
  <c r="I46" i="14" s="1"/>
  <c r="H45" i="14"/>
  <c r="H46" i="14" s="1"/>
  <c r="F45" i="14"/>
  <c r="F46" i="14" s="1"/>
  <c r="R10" i="14"/>
  <c r="L45" i="14"/>
  <c r="L46" i="14" s="1"/>
  <c r="N45" i="14"/>
  <c r="N46" i="14" s="1"/>
  <c r="D45" i="14"/>
  <c r="D46" i="14" s="1"/>
  <c r="R21" i="14"/>
  <c r="R11" i="14"/>
  <c r="K45" i="14"/>
  <c r="K46" i="14" s="1"/>
  <c r="M45" i="14"/>
  <c r="M46" i="14" s="1"/>
  <c r="E45" i="14"/>
  <c r="E46" i="14" s="1"/>
  <c r="J45" i="14"/>
  <c r="J46" i="14" s="1"/>
  <c r="D43" i="14"/>
  <c r="G45" i="14"/>
  <c r="G46" i="14" s="1"/>
  <c r="G104" i="8"/>
  <c r="F28" i="42" l="1"/>
  <c r="E30" i="42"/>
  <c r="A31" i="42"/>
  <c r="B30" i="42"/>
  <c r="D29" i="42"/>
  <c r="C29" i="42"/>
  <c r="E41" i="14"/>
  <c r="K41" i="14"/>
  <c r="L41" i="14"/>
  <c r="F41" i="14"/>
  <c r="F43" i="14"/>
  <c r="F44" i="14" s="1"/>
  <c r="O41" i="14"/>
  <c r="D41" i="14"/>
  <c r="J41" i="14"/>
  <c r="N41" i="14"/>
  <c r="M43" i="14"/>
  <c r="M42" i="14" s="1"/>
  <c r="I41" i="14"/>
  <c r="M41" i="14"/>
  <c r="G41" i="14"/>
  <c r="K43" i="14"/>
  <c r="K44" i="14" s="1"/>
  <c r="H43" i="14"/>
  <c r="H42" i="14" s="1"/>
  <c r="E42" i="14"/>
  <c r="D42" i="14" s="1"/>
  <c r="O43" i="14"/>
  <c r="O42" i="14" s="1"/>
  <c r="G43" i="14"/>
  <c r="G42" i="14" s="1"/>
  <c r="J43" i="14"/>
  <c r="J42" i="14" s="1"/>
  <c r="N43" i="14"/>
  <c r="N44" i="14" s="1"/>
  <c r="L43" i="14"/>
  <c r="L42" i="14" s="1"/>
  <c r="I43" i="14"/>
  <c r="I44" i="14" s="1"/>
  <c r="G103" i="8"/>
  <c r="F29" i="42" l="1"/>
  <c r="D30" i="42"/>
  <c r="C30" i="42"/>
  <c r="E31" i="42"/>
  <c r="A32" i="42"/>
  <c r="B31" i="42"/>
  <c r="F42" i="14"/>
  <c r="K42" i="14"/>
  <c r="H44" i="14"/>
  <c r="J44" i="14"/>
  <c r="M44" i="14"/>
  <c r="N42" i="14"/>
  <c r="G44" i="14"/>
  <c r="L44" i="14"/>
  <c r="O44" i="14"/>
  <c r="I42" i="14"/>
  <c r="G102" i="8"/>
  <c r="F30" i="42" l="1"/>
  <c r="E32" i="42"/>
  <c r="A33" i="42"/>
  <c r="B32" i="42"/>
  <c r="D31" i="42"/>
  <c r="C31" i="42"/>
  <c r="G101" i="8"/>
  <c r="F31" i="42" l="1"/>
  <c r="D32" i="42"/>
  <c r="C32" i="42"/>
  <c r="E33" i="42"/>
  <c r="A34" i="42"/>
  <c r="B33" i="42"/>
  <c r="G100" i="8"/>
  <c r="F32" i="42" l="1"/>
  <c r="D33" i="42"/>
  <c r="C33" i="42"/>
  <c r="E34" i="42"/>
  <c r="A35" i="42"/>
  <c r="B34" i="42"/>
  <c r="G99" i="8"/>
  <c r="F33" i="42" l="1"/>
  <c r="E35" i="42"/>
  <c r="A36" i="42"/>
  <c r="B35" i="42"/>
  <c r="D34" i="42"/>
  <c r="C34" i="42"/>
  <c r="G98" i="8"/>
  <c r="F34" i="42" l="1"/>
  <c r="D35" i="42"/>
  <c r="C35" i="42"/>
  <c r="E36" i="42"/>
  <c r="A37" i="42"/>
  <c r="B36" i="42"/>
  <c r="G97" i="8"/>
  <c r="F35" i="42" l="1"/>
  <c r="E37" i="42"/>
  <c r="A38" i="42"/>
  <c r="B37" i="42"/>
  <c r="D36" i="42"/>
  <c r="C36" i="42"/>
  <c r="G96" i="8"/>
  <c r="D37" i="42" l="1"/>
  <c r="C37" i="42"/>
  <c r="E38" i="42"/>
  <c r="A39" i="42"/>
  <c r="B38" i="42"/>
  <c r="F36" i="42"/>
  <c r="G95" i="8"/>
  <c r="F37" i="42" l="1"/>
  <c r="E39" i="42"/>
  <c r="A40" i="42"/>
  <c r="B39" i="42"/>
  <c r="D38" i="42"/>
  <c r="C38" i="42"/>
  <c r="G94" i="8"/>
  <c r="F38" i="42" l="1"/>
  <c r="D39" i="42"/>
  <c r="C39" i="42"/>
  <c r="E40" i="42"/>
  <c r="A41" i="42"/>
  <c r="B40" i="42"/>
  <c r="G93" i="8"/>
  <c r="F39" i="42" l="1"/>
  <c r="E41" i="42"/>
  <c r="A42" i="42"/>
  <c r="B41" i="42"/>
  <c r="D40" i="42"/>
  <c r="C40" i="42"/>
  <c r="G92" i="8"/>
  <c r="D41" i="42" l="1"/>
  <c r="C41" i="42"/>
  <c r="E42" i="42"/>
  <c r="B42" i="42"/>
  <c r="A43" i="42"/>
  <c r="F40" i="42"/>
  <c r="G91" i="8"/>
  <c r="F41" i="42" l="1"/>
  <c r="D42" i="42"/>
  <c r="C42" i="42"/>
  <c r="E43" i="42"/>
  <c r="A44" i="42"/>
  <c r="B43" i="42"/>
  <c r="G90" i="8"/>
  <c r="F42" i="42" l="1"/>
  <c r="E44" i="42"/>
  <c r="A45" i="42"/>
  <c r="B44" i="42"/>
  <c r="D43" i="42"/>
  <c r="C43" i="42"/>
  <c r="G89" i="8"/>
  <c r="F43" i="42" l="1"/>
  <c r="D44" i="42"/>
  <c r="C44" i="42"/>
  <c r="E45" i="42"/>
  <c r="A46" i="42"/>
  <c r="B45" i="42"/>
  <c r="G88" i="8"/>
  <c r="F44" i="42" l="1"/>
  <c r="D45" i="42"/>
  <c r="C45" i="42"/>
  <c r="E46" i="42"/>
  <c r="A47" i="42"/>
  <c r="B46" i="42"/>
  <c r="G87" i="8"/>
  <c r="F45" i="42" l="1"/>
  <c r="E47" i="42"/>
  <c r="A48" i="42"/>
  <c r="B47" i="42"/>
  <c r="D46" i="42"/>
  <c r="C46" i="42"/>
  <c r="G86" i="8"/>
  <c r="F46" i="42" l="1"/>
  <c r="D47" i="42"/>
  <c r="C47" i="42"/>
  <c r="E48" i="42"/>
  <c r="A49" i="42"/>
  <c r="B48" i="42"/>
  <c r="G85" i="8"/>
  <c r="F47" i="42" l="1"/>
  <c r="E49" i="42"/>
  <c r="A50" i="42"/>
  <c r="B49" i="42"/>
  <c r="D48" i="42"/>
  <c r="C48" i="42"/>
  <c r="G84" i="8"/>
  <c r="F48" i="42" l="1"/>
  <c r="D49" i="42"/>
  <c r="C49" i="42"/>
  <c r="E50" i="42"/>
  <c r="A51" i="42"/>
  <c r="B50" i="42"/>
  <c r="G83" i="8"/>
  <c r="F49" i="42" l="1"/>
  <c r="E51" i="42"/>
  <c r="A52" i="42"/>
  <c r="B51" i="42"/>
  <c r="D50" i="42"/>
  <c r="C50" i="42"/>
  <c r="G82" i="8"/>
  <c r="F50" i="42" l="1"/>
  <c r="D51" i="42"/>
  <c r="C51" i="42"/>
  <c r="E52" i="42"/>
  <c r="A53" i="42"/>
  <c r="B52" i="42"/>
  <c r="G81" i="8"/>
  <c r="F51" i="42" l="1"/>
  <c r="E53" i="42"/>
  <c r="A54" i="42"/>
  <c r="B53" i="42"/>
  <c r="D52" i="42"/>
  <c r="C52" i="42"/>
  <c r="G80" i="8"/>
  <c r="F52" i="42" l="1"/>
  <c r="D53" i="42"/>
  <c r="C53" i="42"/>
  <c r="E54" i="42"/>
  <c r="A55" i="42"/>
  <c r="B54" i="42"/>
  <c r="G79" i="8"/>
  <c r="F53" i="42" l="1"/>
  <c r="E55" i="42"/>
  <c r="A56" i="42"/>
  <c r="B55" i="42"/>
  <c r="D54" i="42"/>
  <c r="C54" i="42"/>
  <c r="G78" i="8"/>
  <c r="F54" i="42" l="1"/>
  <c r="D55" i="42"/>
  <c r="C55" i="42"/>
  <c r="E56" i="42"/>
  <c r="A57" i="42"/>
  <c r="B56" i="42"/>
  <c r="G77" i="8"/>
  <c r="F55" i="42" l="1"/>
  <c r="E57" i="42"/>
  <c r="A58" i="42"/>
  <c r="B57" i="42"/>
  <c r="D56" i="42"/>
  <c r="C56" i="42"/>
  <c r="G76" i="8"/>
  <c r="F56" i="42" l="1"/>
  <c r="D57" i="42"/>
  <c r="C57" i="42"/>
  <c r="E58" i="42"/>
  <c r="A59" i="42"/>
  <c r="B58" i="42"/>
  <c r="G75" i="8"/>
  <c r="F57" i="42" l="1"/>
  <c r="E59" i="42"/>
  <c r="A60" i="42"/>
  <c r="B59" i="42"/>
  <c r="D58" i="42"/>
  <c r="C58" i="42"/>
  <c r="G74" i="8"/>
  <c r="F58" i="42" l="1"/>
  <c r="D59" i="42"/>
  <c r="C59" i="42"/>
  <c r="E60" i="42"/>
  <c r="A61" i="42"/>
  <c r="B60" i="42"/>
  <c r="G73" i="8"/>
  <c r="F59" i="42" l="1"/>
  <c r="E61" i="42"/>
  <c r="A62" i="42"/>
  <c r="B61" i="42"/>
  <c r="D60" i="42"/>
  <c r="C60" i="42"/>
  <c r="G72" i="8"/>
  <c r="F60" i="42" l="1"/>
  <c r="D61" i="42"/>
  <c r="C61" i="42"/>
  <c r="E62" i="42"/>
  <c r="A63" i="42"/>
  <c r="B62" i="42"/>
  <c r="G71" i="8"/>
  <c r="F61" i="42" l="1"/>
  <c r="E63" i="42"/>
  <c r="A64" i="42"/>
  <c r="B63" i="42"/>
  <c r="D62" i="42"/>
  <c r="C62" i="42"/>
  <c r="G70" i="8"/>
  <c r="F62" i="42" l="1"/>
  <c r="D63" i="42"/>
  <c r="C63" i="42"/>
  <c r="E64" i="42"/>
  <c r="A65" i="42"/>
  <c r="B64" i="42"/>
  <c r="G69" i="8"/>
  <c r="F63" i="42" l="1"/>
  <c r="E65" i="42"/>
  <c r="A66" i="42"/>
  <c r="B65" i="42"/>
  <c r="D64" i="42"/>
  <c r="C64" i="42"/>
  <c r="G68" i="8"/>
  <c r="F64" i="42" l="1"/>
  <c r="D65" i="42"/>
  <c r="C65" i="42"/>
  <c r="E66" i="42"/>
  <c r="A67" i="42"/>
  <c r="B66" i="42"/>
  <c r="G67" i="8"/>
  <c r="F65" i="42" l="1"/>
  <c r="E67" i="42"/>
  <c r="A68" i="42"/>
  <c r="B67" i="42"/>
  <c r="D66" i="42"/>
  <c r="C66" i="42"/>
  <c r="G66" i="8"/>
  <c r="F66" i="42" l="1"/>
  <c r="D67" i="42"/>
  <c r="C67" i="42"/>
  <c r="E68" i="42"/>
  <c r="A69" i="42"/>
  <c r="B68" i="42"/>
  <c r="G65" i="8"/>
  <c r="F67" i="42" l="1"/>
  <c r="E69" i="42"/>
  <c r="A70" i="42"/>
  <c r="B69" i="42"/>
  <c r="D68" i="42"/>
  <c r="C68" i="42"/>
  <c r="G64" i="8"/>
  <c r="F68" i="42" l="1"/>
  <c r="D69" i="42"/>
  <c r="C69" i="42"/>
  <c r="E70" i="42"/>
  <c r="A71" i="42"/>
  <c r="B70" i="42"/>
  <c r="G63" i="8"/>
  <c r="F69" i="42" l="1"/>
  <c r="E71" i="42"/>
  <c r="A72" i="42"/>
  <c r="B71" i="42"/>
  <c r="D70" i="42"/>
  <c r="C70" i="42"/>
  <c r="G62" i="8"/>
  <c r="F70" i="42" l="1"/>
  <c r="D71" i="42"/>
  <c r="C71" i="42"/>
  <c r="E72" i="42"/>
  <c r="A73" i="42"/>
  <c r="B72" i="42"/>
  <c r="G61" i="8"/>
  <c r="F71" i="42" l="1"/>
  <c r="E73" i="42"/>
  <c r="A74" i="42"/>
  <c r="B73" i="42"/>
  <c r="D72" i="42"/>
  <c r="C72" i="42"/>
  <c r="G60" i="8"/>
  <c r="F72" i="42" l="1"/>
  <c r="D73" i="42"/>
  <c r="C73" i="42"/>
  <c r="E74" i="42"/>
  <c r="A75" i="42"/>
  <c r="B74" i="42"/>
  <c r="G59" i="8"/>
  <c r="L134" i="9"/>
  <c r="P54" i="9"/>
  <c r="O189" i="9"/>
  <c r="H1104" i="9" a="1"/>
  <c r="H1427" i="9" a="1"/>
  <c r="H1394" i="9" a="1"/>
  <c r="P128" i="9"/>
  <c r="P59" i="9"/>
  <c r="H1062" i="9" a="1"/>
  <c r="K102" i="9"/>
  <c r="M55" i="9"/>
  <c r="H786" i="9" a="1"/>
  <c r="H800" i="9" a="1"/>
  <c r="K99" i="9"/>
  <c r="L154" i="9"/>
  <c r="H1184" i="9" a="1"/>
  <c r="K128" i="9"/>
  <c r="Q170" i="9"/>
  <c r="M97" i="9"/>
  <c r="H1382" i="9" a="1"/>
  <c r="Q114" i="9"/>
  <c r="H1305" i="9" a="1"/>
  <c r="H1050" i="9" a="1"/>
  <c r="P87" i="9"/>
  <c r="L103" i="9"/>
  <c r="L195" i="9"/>
  <c r="K64" i="9"/>
  <c r="H832" i="9" a="1"/>
  <c r="M128" i="9"/>
  <c r="K145" i="9"/>
  <c r="K33" i="9"/>
  <c r="O73" i="9"/>
  <c r="H979" i="9" a="1"/>
  <c r="P148" i="9"/>
  <c r="H1538" i="9" a="1"/>
  <c r="P173" i="9"/>
  <c r="H1005" i="9" a="1"/>
  <c r="P18" i="9"/>
  <c r="K136" i="9"/>
  <c r="H1209" i="9" a="1"/>
  <c r="L84" i="9"/>
  <c r="L66" i="9"/>
  <c r="H998" i="9" a="1"/>
  <c r="H941" i="9" a="1"/>
  <c r="O75" i="9"/>
  <c r="H1030" i="9" a="1"/>
  <c r="H797" i="9" a="1"/>
  <c r="H1232" i="9" a="1"/>
  <c r="H1528" i="9" a="1"/>
  <c r="P88" i="9"/>
  <c r="L145" i="9"/>
  <c r="H1027" i="9" a="1"/>
  <c r="Q89" i="9"/>
  <c r="M54" i="9"/>
  <c r="K174" i="9"/>
  <c r="H1519" i="9" a="1"/>
  <c r="P109" i="9"/>
  <c r="M175" i="9"/>
  <c r="H1446" i="9" a="1"/>
  <c r="H1208" i="9" a="1"/>
  <c r="H1028" i="9" a="1"/>
  <c r="H866" i="9" a="1"/>
  <c r="L175" i="9"/>
  <c r="M58" i="9"/>
  <c r="H1294" i="9" a="1"/>
  <c r="Q41" i="9"/>
  <c r="P113" i="9"/>
  <c r="Q159" i="9"/>
  <c r="H828" i="9" a="1"/>
  <c r="L105" i="9"/>
  <c r="L14" i="9"/>
  <c r="Q126" i="9"/>
  <c r="M200" i="9"/>
  <c r="L86" i="9"/>
  <c r="P51" i="9"/>
  <c r="P15" i="9"/>
  <c r="O154" i="9"/>
  <c r="H1214" i="9" a="1"/>
  <c r="H1101" i="9" a="1"/>
  <c r="M149" i="9"/>
  <c r="H1092" i="9" a="1"/>
  <c r="H835" i="9" a="1"/>
  <c r="O96" i="9"/>
  <c r="Q31" i="9"/>
  <c r="H1221" i="9" a="1"/>
  <c r="H1145" i="9" a="1"/>
  <c r="H1501" i="9" a="1"/>
  <c r="H1383" i="9" a="1"/>
  <c r="H1332" i="9" a="1"/>
  <c r="M119" i="9"/>
  <c r="M102" i="9"/>
  <c r="K31" i="9"/>
  <c r="H1508" i="9" a="1"/>
  <c r="L110" i="9"/>
  <c r="H1230" i="9" a="1"/>
  <c r="L71" i="9"/>
  <c r="O157" i="9"/>
  <c r="M16" i="9"/>
  <c r="H1243" i="9" a="1"/>
  <c r="H812" i="9" a="1"/>
  <c r="H817" i="9" a="1"/>
  <c r="K118" i="9"/>
  <c r="H964" i="9" a="1"/>
  <c r="H1024" i="9" a="1"/>
  <c r="H905" i="9" a="1"/>
  <c r="O61" i="9"/>
  <c r="M132" i="9"/>
  <c r="P89" i="9"/>
  <c r="M178" i="9"/>
  <c r="M91" i="9"/>
  <c r="H1352" i="9" a="1"/>
  <c r="K25" i="9"/>
  <c r="H1302" i="9" a="1"/>
  <c r="H1436" i="9" a="1"/>
  <c r="H1385" i="9" a="1"/>
  <c r="H1277" i="9" a="1"/>
  <c r="O127" i="9"/>
  <c r="H881" i="9" a="1"/>
  <c r="H1126" i="9" a="1"/>
  <c r="H1348" i="9" a="1"/>
  <c r="O41" i="9"/>
  <c r="M90" i="9"/>
  <c r="H1472" i="9" a="1"/>
  <c r="H798" i="9" a="1"/>
  <c r="K91" i="9"/>
  <c r="M154" i="9"/>
  <c r="H1463" i="9" a="1"/>
  <c r="Q88" i="9"/>
  <c r="H889" i="9" a="1"/>
  <c r="H1417" i="9" a="1"/>
  <c r="K11" i="9"/>
  <c r="M48" i="9"/>
  <c r="H1287" i="9" a="1"/>
  <c r="H1220" i="9" a="1"/>
  <c r="H1036" i="9" a="1"/>
  <c r="O178" i="9"/>
  <c r="K40" i="9"/>
  <c r="L157" i="9"/>
  <c r="M109" i="9"/>
  <c r="K155" i="9"/>
  <c r="L120" i="9"/>
  <c r="K67" i="9"/>
  <c r="H988" i="9" a="1"/>
  <c r="Q26" i="9"/>
  <c r="L143" i="9"/>
  <c r="M23" i="9"/>
  <c r="H1482" i="9" a="1"/>
  <c r="Q158" i="9"/>
  <c r="K191" i="9"/>
  <c r="H1353" i="9" a="1"/>
  <c r="H1174" i="9" a="1"/>
  <c r="H1070" i="9" a="1"/>
  <c r="Q196" i="9"/>
  <c r="H1147" i="9" a="1"/>
  <c r="H902" i="9" a="1"/>
  <c r="O19" i="9"/>
  <c r="H1257" i="9" a="1"/>
  <c r="H1459" i="9" a="1"/>
  <c r="M191" i="9"/>
  <c r="L183" i="9"/>
  <c r="M42" i="9"/>
  <c r="M72" i="9"/>
  <c r="P49" i="9"/>
  <c r="L36" i="9"/>
  <c r="Q107" i="9"/>
  <c r="L59" i="9"/>
  <c r="K167" i="9"/>
  <c r="H854" i="9" a="1"/>
  <c r="H834" i="9" a="1"/>
  <c r="Q152" i="9"/>
  <c r="P47" i="9"/>
  <c r="H850" i="9" a="1"/>
  <c r="H891" i="9" a="1"/>
  <c r="Q109" i="9"/>
  <c r="H1234" i="9" a="1"/>
  <c r="P147" i="9"/>
  <c r="K89" i="9"/>
  <c r="H1186" i="9" a="1"/>
  <c r="O135" i="9"/>
  <c r="H870" i="9" a="1"/>
  <c r="O191" i="9"/>
  <c r="O58" i="9"/>
  <c r="O77" i="9"/>
  <c r="H1298" i="9" a="1"/>
  <c r="Q95" i="9"/>
  <c r="H1507" i="9" a="1"/>
  <c r="H810" i="9" a="1"/>
  <c r="H951" i="9" a="1"/>
  <c r="M161" i="9"/>
  <c r="H1179" i="9" a="1"/>
  <c r="M131" i="9"/>
  <c r="M179" i="9"/>
  <c r="L130" i="9"/>
  <c r="K152" i="9"/>
  <c r="L162" i="9"/>
  <c r="O199" i="9"/>
  <c r="H824" i="9" a="1"/>
  <c r="K80" i="9"/>
  <c r="Q108" i="9"/>
  <c r="H973" i="9" a="1"/>
  <c r="H935" i="9" a="1"/>
  <c r="O37" i="9"/>
  <c r="H1250" i="9" a="1"/>
  <c r="O71" i="9"/>
  <c r="O99" i="9"/>
  <c r="P14" i="9"/>
  <c r="P68" i="9"/>
  <c r="Q187" i="9"/>
  <c r="P193" i="9"/>
  <c r="K138" i="9"/>
  <c r="O87" i="9"/>
  <c r="H992" i="9" a="1"/>
  <c r="H1279" i="9" a="1"/>
  <c r="M22" i="9"/>
  <c r="H1248" i="9" a="1"/>
  <c r="H1269" i="9" a="1"/>
  <c r="P200" i="9"/>
  <c r="L83" i="9"/>
  <c r="H1166" i="9" a="1"/>
  <c r="H1249" i="9" a="1"/>
  <c r="L115" i="9"/>
  <c r="H1205" i="9" a="1"/>
  <c r="H873" i="9" a="1"/>
  <c r="O114" i="9"/>
  <c r="Q96" i="9"/>
  <c r="M111" i="9"/>
  <c r="H1376" i="9" a="1"/>
  <c r="P150" i="9"/>
  <c r="O156" i="9"/>
  <c r="H958" i="9" a="1"/>
  <c r="L164" i="9"/>
  <c r="P58" i="9"/>
  <c r="O56" i="9"/>
  <c r="H1492" i="9" a="1"/>
  <c r="L55" i="9"/>
  <c r="K130" i="9"/>
  <c r="H1389" i="9" a="1"/>
  <c r="H1082" i="9" a="1"/>
  <c r="K87" i="9"/>
  <c r="Q36" i="9"/>
  <c r="O42" i="9"/>
  <c r="H897" i="9" a="1"/>
  <c r="Q100" i="9"/>
  <c r="O95" i="9"/>
  <c r="M79" i="9"/>
  <c r="H1238" i="9" a="1"/>
  <c r="H1239" i="9" a="1"/>
  <c r="H1465" i="9" a="1"/>
  <c r="H1254" i="9" a="1"/>
  <c r="L119" i="9"/>
  <c r="H1327" i="9" a="1"/>
  <c r="L60" i="9"/>
  <c r="P110" i="9"/>
  <c r="O170" i="9"/>
  <c r="L87" i="9"/>
  <c r="H1323" i="9" a="1"/>
  <c r="Q154" i="9"/>
  <c r="L97" i="9"/>
  <c r="H1161" i="9" a="1"/>
  <c r="H1021" i="9" a="1"/>
  <c r="H1142" i="9" a="1"/>
  <c r="P25" i="9"/>
  <c r="M193" i="9"/>
  <c r="H1369" i="9" a="1"/>
  <c r="P152" i="9"/>
  <c r="P76" i="9"/>
  <c r="H1063" i="9" a="1"/>
  <c r="H1187" i="9" a="1"/>
  <c r="H830" i="9" a="1"/>
  <c r="P137" i="9"/>
  <c r="O173" i="9"/>
  <c r="H1515" i="9" a="1"/>
  <c r="H822" i="9" a="1"/>
  <c r="M171" i="9"/>
  <c r="H1132" i="9" a="1"/>
  <c r="K106" i="9"/>
  <c r="M136" i="9"/>
  <c r="H1395" i="9" a="1"/>
  <c r="H1335" i="9" a="1"/>
  <c r="O85" i="9"/>
  <c r="H1088" i="9" a="1"/>
  <c r="K196" i="9"/>
  <c r="H883" i="9" a="1"/>
  <c r="L53" i="9"/>
  <c r="H1246" i="9" a="1"/>
  <c r="L140" i="9"/>
  <c r="Q135" i="9"/>
  <c r="H1502" i="9" a="1"/>
  <c r="H1188" i="9" a="1"/>
  <c r="P151" i="9"/>
  <c r="H899" i="9" a="1"/>
  <c r="O38" i="9"/>
  <c r="O106" i="9"/>
  <c r="K153" i="9"/>
  <c r="H1388" i="9" a="1"/>
  <c r="H1003" i="9" a="1"/>
  <c r="H1212" i="9" a="1"/>
  <c r="L67" i="9"/>
  <c r="O82" i="9"/>
  <c r="L17" i="9"/>
  <c r="H1373" i="9" a="1"/>
  <c r="Q76" i="9"/>
  <c r="P117" i="9"/>
  <c r="H1236" i="9" a="1"/>
  <c r="H1160" i="9" a="1"/>
  <c r="L153" i="9"/>
  <c r="H825" i="9" a="1"/>
  <c r="H1011" i="9" a="1"/>
  <c r="P170" i="9"/>
  <c r="Q65" i="9"/>
  <c r="H1155" i="9" a="1"/>
  <c r="Q72" i="9"/>
  <c r="L163" i="9"/>
  <c r="H782" i="9" a="1"/>
  <c r="M133" i="9"/>
  <c r="P167" i="9"/>
  <c r="O128" i="9"/>
  <c r="Q78" i="9"/>
  <c r="H913" i="9" a="1"/>
  <c r="O34" i="9"/>
  <c r="H1265" i="9" a="1"/>
  <c r="M74" i="9"/>
  <c r="Q86" i="9"/>
  <c r="L52" i="9"/>
  <c r="M43" i="9"/>
  <c r="O137" i="9"/>
  <c r="H1268" i="9" a="1"/>
  <c r="K92" i="9"/>
  <c r="P75" i="9"/>
  <c r="O108" i="9"/>
  <c r="H1297" i="9" a="1"/>
  <c r="H1274" i="9" a="1"/>
  <c r="K76" i="9"/>
  <c r="L188" i="9"/>
  <c r="K150" i="9"/>
  <c r="O119" i="9"/>
  <c r="K158" i="9"/>
  <c r="H1477" i="9" a="1"/>
  <c r="H1057" i="9" a="1"/>
  <c r="M134" i="9"/>
  <c r="H1483" i="9" a="1"/>
  <c r="O172" i="9"/>
  <c r="H1052" i="9" a="1"/>
  <c r="H793" i="9" a="1"/>
  <c r="H858" i="9" a="1"/>
  <c r="K90" i="9"/>
  <c r="L70" i="9"/>
  <c r="L174" i="9"/>
  <c r="L173" i="9"/>
  <c r="H978" i="9" a="1"/>
  <c r="K127" i="9"/>
  <c r="H1225" i="9" a="1"/>
  <c r="P52" i="9"/>
  <c r="H981" i="9" a="1"/>
  <c r="H1337" i="9" a="1"/>
  <c r="H1351" i="9" a="1"/>
  <c r="P81" i="9"/>
  <c r="M69" i="9"/>
  <c r="Q137" i="9"/>
  <c r="L28" i="9"/>
  <c r="K171" i="9"/>
  <c r="H1093" i="9" a="1"/>
  <c r="H1162" i="9" a="1"/>
  <c r="Q32" i="9"/>
  <c r="Q113" i="9"/>
  <c r="H1233" i="9" a="1"/>
  <c r="O22" i="9"/>
  <c r="H1180" i="9" a="1"/>
  <c r="H1217" i="9" a="1"/>
  <c r="P144" i="9"/>
  <c r="H1115" i="9" a="1"/>
  <c r="O35" i="9"/>
  <c r="M34" i="9"/>
  <c r="M116" i="9"/>
  <c r="H845" i="9" a="1"/>
  <c r="H1138" i="9" a="1"/>
  <c r="H1474" i="9" a="1"/>
  <c r="H1405" i="9" a="1"/>
  <c r="P70" i="9"/>
  <c r="K170" i="9"/>
  <c r="Q160" i="9"/>
  <c r="H1002" i="9" a="1"/>
  <c r="H966" i="9" a="1"/>
  <c r="H1242" i="9" a="1"/>
  <c r="M11" i="9"/>
  <c r="H987" i="9" a="1"/>
  <c r="H1354" i="9" a="1"/>
  <c r="H1400" i="9" a="1"/>
  <c r="O46" i="9"/>
  <c r="L196" i="9"/>
  <c r="L24" i="9"/>
  <c r="H1467" i="9" a="1"/>
  <c r="L161" i="9"/>
  <c r="K81" i="9"/>
  <c r="M114" i="9"/>
  <c r="H1464" i="9" a="1"/>
  <c r="H802" i="9" a="1"/>
  <c r="K160" i="9"/>
  <c r="O21" i="9"/>
  <c r="H1151" i="9" a="1"/>
  <c r="K113" i="9"/>
  <c r="M123" i="9"/>
  <c r="H1094" i="9" a="1"/>
  <c r="M20" i="9"/>
  <c r="P134" i="9"/>
  <c r="H819" i="9" a="1"/>
  <c r="O166" i="9"/>
  <c r="P166" i="9"/>
  <c r="Q161" i="9"/>
  <c r="H1422" i="9" a="1"/>
  <c r="O81" i="9"/>
  <c r="P122" i="9"/>
  <c r="L139" i="9"/>
  <c r="M188" i="9"/>
  <c r="M51" i="9"/>
  <c r="M184" i="9"/>
  <c r="O27" i="9"/>
  <c r="M99" i="9"/>
  <c r="L74" i="9"/>
  <c r="O125" i="9"/>
  <c r="M33" i="9"/>
  <c r="Q10" i="9"/>
  <c r="O147" i="9"/>
  <c r="Q112" i="9"/>
  <c r="K45" i="9"/>
  <c r="M117" i="9"/>
  <c r="L186" i="9"/>
  <c r="L69" i="9"/>
  <c r="M75" i="9"/>
  <c r="H1338" i="9" a="1"/>
  <c r="H875" i="9" a="1"/>
  <c r="M83" i="9"/>
  <c r="K135" i="9"/>
  <c r="H1536" i="9" a="1"/>
  <c r="H1213" i="9" a="1"/>
  <c r="M98" i="9"/>
  <c r="K180" i="9"/>
  <c r="H980" i="9" a="1"/>
  <c r="M89" i="9"/>
  <c r="O20" i="9"/>
  <c r="H1285" i="9" a="1"/>
  <c r="H1408" i="9" a="1"/>
  <c r="O31" i="9"/>
  <c r="H1015" i="9" a="1"/>
  <c r="K55" i="9"/>
  <c r="O160" i="9"/>
  <c r="H1060" i="9" a="1"/>
  <c r="H783" i="9" a="1"/>
  <c r="H1013" i="9" a="1"/>
  <c r="O40" i="9"/>
  <c r="Q42" i="9"/>
  <c r="Q101" i="9"/>
  <c r="K156" i="9"/>
  <c r="K69" i="9"/>
  <c r="P13" i="9"/>
  <c r="P91" i="9"/>
  <c r="H1206" i="9" a="1"/>
  <c r="H1067" i="9" a="1"/>
  <c r="P121" i="9"/>
  <c r="H1340" i="9" a="1"/>
  <c r="O140" i="9"/>
  <c r="P33" i="9"/>
  <c r="K178" i="9"/>
  <c r="M82" i="9"/>
  <c r="K197" i="9"/>
  <c r="H982" i="9" a="1"/>
  <c r="H855" i="9" a="1"/>
  <c r="H1105" i="9" a="1"/>
  <c r="H1504" i="9" a="1"/>
  <c r="K176" i="9"/>
  <c r="M112" i="9"/>
  <c r="H862" i="9" a="1"/>
  <c r="L37" i="9"/>
  <c r="H1454" i="9" a="1"/>
  <c r="P111" i="9"/>
  <c r="K95" i="9"/>
  <c r="M125" i="9"/>
  <c r="M110" i="9"/>
  <c r="H805" i="9" a="1"/>
  <c r="H1157" i="9" a="1"/>
  <c r="H799" i="9" a="1"/>
  <c r="H1259" i="9" a="1"/>
  <c r="L121" i="9"/>
  <c r="K142" i="9"/>
  <c r="P27" i="9"/>
  <c r="H1042" i="9" a="1"/>
  <c r="P164" i="9"/>
  <c r="Q62" i="9"/>
  <c r="H887" i="9" a="1"/>
  <c r="H1099" i="9" a="1"/>
  <c r="L102" i="9"/>
  <c r="M40" i="9"/>
  <c r="H919" i="9" a="1"/>
  <c r="M52" i="9"/>
  <c r="L33" i="9"/>
  <c r="H1529" i="9" a="1"/>
  <c r="O141" i="9"/>
  <c r="L124" i="9"/>
  <c r="K49" i="9"/>
  <c r="K198" i="9"/>
  <c r="P159" i="9"/>
  <c r="H1278" i="9" a="1"/>
  <c r="P95" i="9"/>
  <c r="H1193" i="9" a="1"/>
  <c r="H1350" i="9" a="1"/>
  <c r="P46" i="9"/>
  <c r="K105" i="9"/>
  <c r="O33" i="9"/>
  <c r="M10" i="9"/>
  <c r="H1527" i="9" a="1"/>
  <c r="H1401" i="9" a="1"/>
  <c r="M103" i="9"/>
  <c r="L181" i="9"/>
  <c r="Q157" i="9"/>
  <c r="H942" i="9" a="1"/>
  <c r="M17" i="9"/>
  <c r="H999" i="9" a="1"/>
  <c r="O44" i="9"/>
  <c r="H843" i="9" a="1"/>
  <c r="L129" i="9"/>
  <c r="P60" i="9"/>
  <c r="P12" i="9"/>
  <c r="O98" i="9"/>
  <c r="K116" i="9"/>
  <c r="M127" i="9"/>
  <c r="H1456" i="9" a="1"/>
  <c r="K96" i="9"/>
  <c r="P41" i="9"/>
  <c r="O181" i="9"/>
  <c r="M135" i="9"/>
  <c r="H991" i="9" a="1"/>
  <c r="H1514" i="9" a="1"/>
  <c r="H1375" i="9" a="1"/>
  <c r="H1312" i="9" a="1"/>
  <c r="P172" i="9"/>
  <c r="P26" i="9"/>
  <c r="L122" i="9"/>
  <c r="K43" i="9"/>
  <c r="M173" i="9"/>
  <c r="H1364" i="9" a="1"/>
  <c r="L56" i="9"/>
  <c r="K187" i="9"/>
  <c r="H1223" i="9" a="1"/>
  <c r="H1379" i="9" a="1"/>
  <c r="Q98" i="9"/>
  <c r="L172" i="9"/>
  <c r="H1128" i="9" a="1"/>
  <c r="K115" i="9"/>
  <c r="Q116" i="9"/>
  <c r="Q146" i="9"/>
  <c r="P97" i="9"/>
  <c r="H1308" i="9" a="1"/>
  <c r="H1362" i="9" a="1"/>
  <c r="O118" i="9"/>
  <c r="H931" i="9" a="1"/>
  <c r="H1520" i="9" a="1"/>
  <c r="Q143" i="9"/>
  <c r="H1365" i="9" a="1"/>
  <c r="H918" i="9" a="1"/>
  <c r="M199" i="9"/>
  <c r="H1319" i="9" a="1"/>
  <c r="H1309" i="9" a="1"/>
  <c r="Q178" i="9"/>
  <c r="H1494" i="9" a="1"/>
  <c r="H1068" i="9" a="1"/>
  <c r="H796" i="9" a="1"/>
  <c r="H1402" i="9" a="1"/>
  <c r="P183" i="9"/>
  <c r="P138" i="9"/>
  <c r="K71" i="9"/>
  <c r="H841" i="9" a="1"/>
  <c r="H1035" i="9" a="1"/>
  <c r="H1087" i="9" a="1"/>
  <c r="Q94" i="9"/>
  <c r="H1215" i="9" a="1"/>
  <c r="Q125" i="9"/>
  <c r="M137" i="9"/>
  <c r="L79" i="9"/>
  <c r="O53" i="9"/>
  <c r="L192" i="9"/>
  <c r="H1407" i="9" a="1"/>
  <c r="H1357" i="9" a="1"/>
  <c r="H1425" i="9" a="1"/>
  <c r="K12" i="9"/>
  <c r="L149" i="9"/>
  <c r="O94" i="9"/>
  <c r="L148" i="9"/>
  <c r="H1040" i="9" a="1"/>
  <c r="H1149" i="9" a="1"/>
  <c r="O59" i="9"/>
  <c r="H1283" i="9" a="1"/>
  <c r="H1406" i="9" a="1"/>
  <c r="L177" i="9"/>
  <c r="L167" i="9"/>
  <c r="Q105" i="9"/>
  <c r="H953" i="9" a="1"/>
  <c r="H945" i="9" a="1"/>
  <c r="M138" i="9"/>
  <c r="M198" i="9"/>
  <c r="Q30" i="9"/>
  <c r="K177" i="9"/>
  <c r="P44" i="9"/>
  <c r="H1306" i="9" a="1"/>
  <c r="K172" i="9"/>
  <c r="K47" i="9"/>
  <c r="Q61" i="9"/>
  <c r="H1235" i="9" a="1"/>
  <c r="Q54" i="9"/>
  <c r="M182" i="9"/>
  <c r="H1299" i="9" a="1"/>
  <c r="M130" i="9"/>
  <c r="H1387" i="9" a="1"/>
  <c r="H944" i="9" a="1"/>
  <c r="K72" i="9"/>
  <c r="H849" i="9" a="1"/>
  <c r="M186" i="9"/>
  <c r="H975" i="9" a="1"/>
  <c r="P71" i="9"/>
  <c r="H1343" i="9" a="1"/>
  <c r="H833" i="9" a="1"/>
  <c r="K189" i="9"/>
  <c r="P61" i="9"/>
  <c r="M38" i="9"/>
  <c r="P73" i="9"/>
  <c r="H1412" i="9" a="1"/>
  <c r="M63" i="9"/>
  <c r="Q149" i="9"/>
  <c r="H1086" i="9" a="1"/>
  <c r="L104" i="9"/>
  <c r="Q177" i="9"/>
  <c r="O179" i="9"/>
  <c r="H1150" i="9" a="1"/>
  <c r="M174" i="9"/>
  <c r="M45" i="9"/>
  <c r="H1480" i="9" a="1"/>
  <c r="P80" i="9"/>
  <c r="Q164" i="9"/>
  <c r="O182" i="9"/>
  <c r="H1397" i="9" a="1"/>
  <c r="H842" i="9" a="1"/>
  <c r="H1346" i="9" a="1"/>
  <c r="H930" i="9" a="1"/>
  <c r="M80" i="9"/>
  <c r="H1295" i="9" a="1"/>
  <c r="H1470" i="9" a="1"/>
  <c r="L170" i="9"/>
  <c r="H1415" i="9" a="1"/>
  <c r="O195" i="9"/>
  <c r="M168" i="9"/>
  <c r="O165" i="9"/>
  <c r="P176" i="9"/>
  <c r="H851" i="9" a="1"/>
  <c r="M176" i="9"/>
  <c r="H864" i="9" a="1"/>
  <c r="P69" i="9"/>
  <c r="Q55" i="9"/>
  <c r="H1185" i="9" a="1"/>
  <c r="H1196" i="9" a="1"/>
  <c r="Q131" i="9"/>
  <c r="O113" i="9"/>
  <c r="H1377" i="9" a="1"/>
  <c r="H1022" i="9" a="1"/>
  <c r="Q188" i="9"/>
  <c r="M68" i="9"/>
  <c r="O164" i="9"/>
  <c r="H1484" i="9" a="1"/>
  <c r="H1201" i="9" a="1"/>
  <c r="H1540" i="9" a="1"/>
  <c r="P114" i="9"/>
  <c r="K148" i="9"/>
  <c r="O196" i="9"/>
  <c r="P72" i="9"/>
  <c r="H1131" i="9" a="1"/>
  <c r="H1310" i="9" a="1"/>
  <c r="P129" i="9"/>
  <c r="O174" i="9"/>
  <c r="H1103" i="9" a="1"/>
  <c r="H1051" i="9" a="1"/>
  <c r="H1468" i="9" a="1"/>
  <c r="Q84" i="9"/>
  <c r="H1485" i="9" a="1"/>
  <c r="H1496" i="9" a="1"/>
  <c r="H968" i="9" a="1"/>
  <c r="H1320" i="9" a="1"/>
  <c r="K17" i="9"/>
  <c r="K59" i="9"/>
  <c r="H1355" i="9" a="1"/>
  <c r="K53" i="9"/>
  <c r="H1098" i="9" a="1"/>
  <c r="L76" i="9"/>
  <c r="H1292" i="9" a="1"/>
  <c r="K62" i="9"/>
  <c r="H1204" i="9" a="1"/>
  <c r="K193" i="9"/>
  <c r="K146" i="9"/>
  <c r="P168" i="9"/>
  <c r="H1016" i="9" a="1"/>
  <c r="L144" i="9"/>
  <c r="L101" i="9"/>
  <c r="K48" i="9"/>
  <c r="H1441" i="9" a="1"/>
  <c r="H1037" i="9" a="1"/>
  <c r="K131" i="9"/>
  <c r="H1505" i="9" a="1"/>
  <c r="H1207" i="9" a="1"/>
  <c r="H1368" i="9" a="1"/>
  <c r="P145" i="9"/>
  <c r="P83" i="9"/>
  <c r="H1156" i="9" a="1"/>
  <c r="H781" i="9" a="1"/>
  <c r="M163" i="9"/>
  <c r="M49" i="9"/>
  <c r="M152" i="9"/>
  <c r="L131" i="9"/>
  <c r="Q81" i="9"/>
  <c r="H914" i="9" a="1"/>
  <c r="H1045" i="9" a="1"/>
  <c r="H997" i="9" a="1"/>
  <c r="H1064" i="9" a="1"/>
  <c r="O50" i="9"/>
  <c r="H1075" i="9" a="1"/>
  <c r="L48" i="9"/>
  <c r="H927" i="9" a="1"/>
  <c r="O30" i="9"/>
  <c r="H986" i="9" a="1"/>
  <c r="P192" i="9"/>
  <c r="H1523" i="9" a="1"/>
  <c r="H1344" i="9" a="1"/>
  <c r="Q155" i="9"/>
  <c r="Q103" i="9"/>
  <c r="P94" i="9"/>
  <c r="M81" i="9"/>
  <c r="H1512" i="9" a="1"/>
  <c r="H1262" i="9" a="1"/>
  <c r="O124" i="9"/>
  <c r="H1114" i="9" a="1"/>
  <c r="Q115" i="9"/>
  <c r="H1455" i="9" a="1"/>
  <c r="P153" i="9"/>
  <c r="H1178" i="9" a="1"/>
  <c r="L179" i="9"/>
  <c r="Q104" i="9"/>
  <c r="P107" i="9"/>
  <c r="M143" i="9"/>
  <c r="H809" i="9" a="1"/>
  <c r="P135" i="9"/>
  <c r="P16" i="9"/>
  <c r="O187" i="9"/>
  <c r="K78" i="9"/>
  <c r="Q46" i="9"/>
  <c r="H867" i="9" a="1"/>
  <c r="H1004" i="9" a="1"/>
  <c r="M41" i="9"/>
  <c r="H1363" i="9" a="1"/>
  <c r="K194" i="9"/>
  <c r="L180" i="9"/>
  <c r="P178" i="9"/>
  <c r="H1079" i="9" a="1"/>
  <c r="Q140" i="9"/>
  <c r="K35" i="9"/>
  <c r="L68" i="9"/>
  <c r="Q199" i="9"/>
  <c r="K122" i="9"/>
  <c r="O167" i="9"/>
  <c r="H960" i="9" a="1"/>
  <c r="P131" i="9"/>
  <c r="L64" i="9"/>
  <c r="H1056" i="9" a="1"/>
  <c r="H1017" i="9" a="1"/>
  <c r="H957" i="9" a="1"/>
  <c r="P79" i="9"/>
  <c r="O168" i="9"/>
  <c r="H1509" i="9" a="1"/>
  <c r="K21" i="9"/>
  <c r="Q179" i="9"/>
  <c r="Q185" i="9"/>
  <c r="H1458" i="9" a="1"/>
  <c r="Q12" i="9"/>
  <c r="H1290" i="9" a="1"/>
  <c r="H1421" i="9" a="1"/>
  <c r="H916" i="9" a="1"/>
  <c r="M88" i="9"/>
  <c r="H936" i="9" a="1"/>
  <c r="H1054" i="9" a="1"/>
  <c r="O102" i="9"/>
  <c r="H787" i="9" a="1"/>
  <c r="Q166" i="9"/>
  <c r="H1398" i="9" a="1"/>
  <c r="K103" i="9"/>
  <c r="Q33" i="9"/>
  <c r="L81" i="9"/>
  <c r="H1444" i="9" a="1"/>
  <c r="H1047" i="9" a="1"/>
  <c r="Q138" i="9"/>
  <c r="H1460" i="9" a="1"/>
  <c r="L50" i="9"/>
  <c r="K129" i="9"/>
  <c r="Q58" i="9"/>
  <c r="K168" i="9"/>
  <c r="M187" i="9"/>
  <c r="H925" i="9" a="1"/>
  <c r="H1007" i="9" a="1"/>
  <c r="M148" i="9"/>
  <c r="H1333" i="9" a="1"/>
  <c r="H1521" i="9" a="1"/>
  <c r="H803" i="9" a="1"/>
  <c r="L155" i="9"/>
  <c r="Q51" i="9"/>
  <c r="P31" i="9"/>
  <c r="K120" i="9"/>
  <c r="O131" i="9"/>
  <c r="P154" i="9"/>
  <c r="P98" i="9"/>
  <c r="M87" i="9"/>
  <c r="H1032" i="9" a="1"/>
  <c r="H1134" i="9" a="1"/>
  <c r="H1271" i="9" a="1"/>
  <c r="H1497" i="9" a="1"/>
  <c r="Q21" i="9"/>
  <c r="O14" i="9"/>
  <c r="K119" i="9"/>
  <c r="M196" i="9"/>
  <c r="H959" i="9" a="1"/>
  <c r="O194" i="9"/>
  <c r="H1125" i="9" a="1"/>
  <c r="H1084" i="9" a="1"/>
  <c r="H874" i="9" a="1"/>
  <c r="H1366" i="9" a="1"/>
  <c r="H985" i="9" a="1"/>
  <c r="O74" i="9"/>
  <c r="K200" i="9"/>
  <c r="H871" i="9" a="1"/>
  <c r="H920" i="9" a="1"/>
  <c r="H1404" i="9" a="1"/>
  <c r="H780" i="9" a="1"/>
  <c r="P125" i="9"/>
  <c r="H970" i="9" a="1"/>
  <c r="H1181" i="9" a="1"/>
  <c r="K144" i="9"/>
  <c r="H1264" i="9" a="1"/>
  <c r="P53" i="9"/>
  <c r="M78" i="9"/>
  <c r="H1117" i="9" a="1"/>
  <c r="M141" i="9"/>
  <c r="H1392" i="9" a="1"/>
  <c r="H1288" i="9" a="1"/>
  <c r="M150" i="9"/>
  <c r="O136" i="9"/>
  <c r="L112" i="9"/>
  <c r="H1148" i="9" a="1"/>
  <c r="H1317" i="9" a="1"/>
  <c r="Q119" i="9"/>
  <c r="H1102" i="9" a="1"/>
  <c r="O148" i="9"/>
  <c r="H1076" i="9" a="1"/>
  <c r="Q186" i="9"/>
  <c r="H1282" i="9" a="1"/>
  <c r="H994" i="9" a="1"/>
  <c r="L54" i="9"/>
  <c r="H1119" i="9" a="1"/>
  <c r="K85" i="9"/>
  <c r="O190" i="9"/>
  <c r="H1198" i="9" a="1"/>
  <c r="H1331" i="9" a="1"/>
  <c r="H1107" i="9" a="1"/>
  <c r="Q23" i="9"/>
  <c r="H1481" i="9" a="1"/>
  <c r="L156" i="9"/>
  <c r="H1535" i="9" a="1"/>
  <c r="H837" i="9" a="1"/>
  <c r="M25" i="9"/>
  <c r="K165" i="9"/>
  <c r="Q122" i="9"/>
  <c r="H827" i="9" a="1"/>
  <c r="P86" i="9"/>
  <c r="P92" i="9"/>
  <c r="H1270" i="9" a="1"/>
  <c r="H989" i="9" a="1"/>
  <c r="O52" i="9"/>
  <c r="H807" i="9" a="1"/>
  <c r="Q92" i="9"/>
  <c r="O175" i="9"/>
  <c r="K77" i="9"/>
  <c r="Q24" i="9"/>
  <c r="H1307" i="9" a="1"/>
  <c r="H1525" i="9" a="1"/>
  <c r="H954" i="9" a="1"/>
  <c r="P195" i="9"/>
  <c r="H1439" i="9" a="1"/>
  <c r="L123" i="9"/>
  <c r="P22" i="9"/>
  <c r="O63" i="9"/>
  <c r="L90" i="9"/>
  <c r="M157" i="9"/>
  <c r="O67" i="9"/>
  <c r="K173" i="9"/>
  <c r="H1123" i="9" a="1"/>
  <c r="Q128" i="9"/>
  <c r="O130" i="9"/>
  <c r="H1065" i="9" a="1"/>
  <c r="M71" i="9"/>
  <c r="Q195" i="9"/>
  <c r="H965" i="9" a="1"/>
  <c r="M160" i="9"/>
  <c r="H876" i="9" a="1"/>
  <c r="P191" i="9"/>
  <c r="K50" i="9"/>
  <c r="M167" i="9"/>
  <c r="H1275" i="9" a="1"/>
  <c r="P197" i="9"/>
  <c r="K121" i="9"/>
  <c r="K70" i="9"/>
  <c r="L171" i="9"/>
  <c r="L107" i="9"/>
  <c r="M84" i="9"/>
  <c r="M121" i="9"/>
  <c r="H1490" i="9" a="1"/>
  <c r="H901" i="9" a="1"/>
  <c r="L85" i="9"/>
  <c r="P74" i="9"/>
  <c r="H1069" i="9" a="1"/>
  <c r="H1163" i="9" a="1"/>
  <c r="K32" i="9"/>
  <c r="H1141" i="9" a="1"/>
  <c r="Q45" i="9"/>
  <c r="H1127" i="9" a="1"/>
  <c r="H1324" i="9" a="1"/>
  <c r="L77" i="9"/>
  <c r="H1409" i="9" a="1"/>
  <c r="Q91" i="9"/>
  <c r="K159" i="9"/>
  <c r="Q150" i="9"/>
  <c r="M118" i="9"/>
  <c r="H1440" i="9" a="1"/>
  <c r="H1434" i="9" a="1"/>
  <c r="P149" i="9"/>
  <c r="L20" i="9"/>
  <c r="H1329" i="9" a="1"/>
  <c r="O133" i="9"/>
  <c r="O117" i="9"/>
  <c r="Q124" i="9"/>
  <c r="H1517" i="9" a="1"/>
  <c r="O139" i="9"/>
  <c r="P90" i="9"/>
  <c r="H1413" i="9" a="1"/>
  <c r="H1255" i="9" a="1"/>
  <c r="O18" i="9"/>
  <c r="H1293" i="9" a="1"/>
  <c r="H1489" i="9" a="1"/>
  <c r="H1261" i="9" a="1"/>
  <c r="H846" i="9" a="1"/>
  <c r="H938" i="9" a="1"/>
  <c r="O198" i="9"/>
  <c r="K199" i="9"/>
  <c r="O54" i="9"/>
  <c r="H1447" i="9" a="1"/>
  <c r="M76" i="9"/>
  <c r="K98" i="9"/>
  <c r="H1182" i="9" a="1"/>
  <c r="P196" i="9"/>
  <c r="M139" i="9"/>
  <c r="H777" i="9" a="1"/>
  <c r="H806" i="9" a="1"/>
  <c r="O177" i="9"/>
  <c r="K54" i="9"/>
  <c r="L15" i="9"/>
  <c r="H1025" i="9" a="1"/>
  <c r="M67" i="9"/>
  <c r="P77" i="9"/>
  <c r="H1466" i="9" a="1"/>
  <c r="P143" i="9"/>
  <c r="O65" i="9"/>
  <c r="H1191" i="9" a="1"/>
  <c r="L44" i="9"/>
  <c r="H974" i="9" a="1"/>
  <c r="O120" i="9"/>
  <c r="Q118" i="9"/>
  <c r="H934" i="9" a="1"/>
  <c r="P64" i="9"/>
  <c r="L89" i="9"/>
  <c r="L19" i="9"/>
  <c r="M92" i="9"/>
  <c r="H836" i="9" a="1"/>
  <c r="P43" i="9"/>
  <c r="H1100" i="9" a="1"/>
  <c r="L125" i="9"/>
  <c r="H1516" i="9" a="1"/>
  <c r="H1202" i="9" a="1"/>
  <c r="P36" i="9"/>
  <c r="H1091" i="9" a="1"/>
  <c r="K94" i="9"/>
  <c r="O186" i="9"/>
  <c r="H1450" i="9" a="1"/>
  <c r="O153" i="9"/>
  <c r="M155" i="9"/>
  <c r="H1218" i="9" a="1"/>
  <c r="M190" i="9"/>
  <c r="H1171" i="9" a="1"/>
  <c r="H950" i="9" a="1"/>
  <c r="H983" i="9" a="1"/>
  <c r="K110" i="9"/>
  <c r="K36" i="9"/>
  <c r="Q171" i="9"/>
  <c r="H1199" i="9" a="1"/>
  <c r="H1245" i="9" a="1"/>
  <c r="H838" i="9" a="1"/>
  <c r="L43" i="9"/>
  <c r="Q93" i="9"/>
  <c r="M165" i="9"/>
  <c r="L42" i="9"/>
  <c r="P174" i="9"/>
  <c r="Q173" i="9"/>
  <c r="H1173" i="9" a="1"/>
  <c r="L184" i="9"/>
  <c r="H1031" i="9" a="1"/>
  <c r="M28" i="9"/>
  <c r="H791" i="9" a="1"/>
  <c r="H1231" i="9" a="1"/>
  <c r="H865" i="9" a="1"/>
  <c r="L57" i="9"/>
  <c r="P62" i="9"/>
  <c r="M50" i="9"/>
  <c r="P115" i="9"/>
  <c r="P34" i="9"/>
  <c r="H863" i="9" a="1"/>
  <c r="H1010" i="9" a="1"/>
  <c r="L106" i="9"/>
  <c r="H990" i="9" a="1"/>
  <c r="H1111" i="9" a="1"/>
  <c r="H815" i="9" a="1"/>
  <c r="H1229" i="9" a="1"/>
  <c r="O11" i="9"/>
  <c r="H1286" i="9" a="1"/>
  <c r="M13" i="9"/>
  <c r="H1370" i="9" a="1"/>
  <c r="H1211" i="9" a="1"/>
  <c r="H926" i="9" a="1"/>
  <c r="H1325" i="9" a="1"/>
  <c r="H1336" i="9" a="1"/>
  <c r="H1112" i="9" a="1"/>
  <c r="O15" i="9"/>
  <c r="Q52" i="9"/>
  <c r="Q39" i="9"/>
  <c r="O188" i="9"/>
  <c r="L160" i="9"/>
  <c r="M47" i="9"/>
  <c r="H1058" i="9" a="1"/>
  <c r="P189" i="9"/>
  <c r="L178" i="9"/>
  <c r="H1371" i="9" a="1"/>
  <c r="H1183" i="9" a="1"/>
  <c r="H1129" i="9" a="1"/>
  <c r="H1478" i="9" a="1"/>
  <c r="Q162" i="9"/>
  <c r="H1424" i="9" a="1"/>
  <c r="P169" i="9"/>
  <c r="H859" i="9" a="1"/>
  <c r="M145" i="9"/>
  <c r="Q172" i="9"/>
  <c r="O45" i="9"/>
  <c r="O92" i="9"/>
  <c r="L117" i="9"/>
  <c r="M177" i="9"/>
  <c r="H1423" i="9" a="1"/>
  <c r="M96" i="9"/>
  <c r="Q192" i="9"/>
  <c r="K133" i="9"/>
  <c r="P187" i="9"/>
  <c r="H962" i="9" a="1"/>
  <c r="K108" i="9"/>
  <c r="O47" i="9"/>
  <c r="M37" i="9"/>
  <c r="O183" i="9"/>
  <c r="L39" i="9"/>
  <c r="L185" i="9"/>
  <c r="H898" i="9" a="1"/>
  <c r="M158" i="9"/>
  <c r="P48" i="9"/>
  <c r="H1499" i="9" a="1"/>
  <c r="M18" i="9"/>
  <c r="H1240" i="9" a="1"/>
  <c r="H929" i="9" a="1"/>
  <c r="L113" i="9"/>
  <c r="H1167" i="9" a="1"/>
  <c r="K63" i="9"/>
  <c r="H1122" i="9" a="1"/>
  <c r="P190" i="9"/>
  <c r="H1416" i="9" a="1"/>
  <c r="H1177" i="9" a="1"/>
  <c r="H1432" i="9" a="1"/>
  <c r="H1192" i="9" a="1"/>
  <c r="H1488" i="9" a="1"/>
  <c r="H933" i="9" a="1"/>
  <c r="K163" i="9"/>
  <c r="K27" i="9"/>
  <c r="Q136" i="9"/>
  <c r="P130" i="9"/>
  <c r="M21" i="9"/>
  <c r="O121" i="9"/>
  <c r="H1526" i="9" a="1"/>
  <c r="K26" i="9"/>
  <c r="H955" i="9" a="1"/>
  <c r="P177" i="9"/>
  <c r="K65" i="9"/>
  <c r="Q44" i="9"/>
  <c r="H1284" i="9" a="1"/>
  <c r="L198" i="9"/>
  <c r="H993" i="9" a="1"/>
  <c r="O111" i="9"/>
  <c r="O68" i="9"/>
  <c r="H1072" i="9" a="1"/>
  <c r="O132" i="9"/>
  <c r="K154" i="9"/>
  <c r="L194" i="9"/>
  <c r="H1452" i="9" a="1"/>
  <c r="H1469" i="9" a="1"/>
  <c r="Q194" i="9"/>
  <c r="Q27" i="9"/>
  <c r="L63" i="9"/>
  <c r="O138" i="9"/>
  <c r="H826" i="9" a="1"/>
  <c r="O159" i="9"/>
  <c r="M15" i="9"/>
  <c r="H1041" i="9" a="1"/>
  <c r="H1260" i="9" a="1"/>
  <c r="L197" i="9"/>
  <c r="H1046" i="9" a="1"/>
  <c r="H1055" i="9" a="1"/>
  <c r="H1008" i="9" a="1"/>
  <c r="O146" i="9"/>
  <c r="K175" i="9"/>
  <c r="Q70" i="9"/>
  <c r="P40" i="9"/>
  <c r="L100" i="9"/>
  <c r="H1029" i="9" a="1"/>
  <c r="L82" i="9"/>
  <c r="H1495" i="9" a="1"/>
  <c r="Q49" i="9"/>
  <c r="H892" i="9" a="1"/>
  <c r="H829" i="9" a="1"/>
  <c r="H1539" i="9" a="1"/>
  <c r="H1358" i="9" a="1"/>
  <c r="H1267" i="9" a="1"/>
  <c r="L116" i="9"/>
  <c r="O36" i="9"/>
  <c r="H1414" i="9" a="1"/>
  <c r="M153" i="9"/>
  <c r="H831" i="9" a="1"/>
  <c r="H1130" i="9" a="1"/>
  <c r="H1080" i="9" a="1"/>
  <c r="Q50" i="9"/>
  <c r="Q144" i="9"/>
  <c r="L16" i="9"/>
  <c r="O89" i="9"/>
  <c r="M140" i="9"/>
  <c r="Q142" i="9"/>
  <c r="L118" i="9"/>
  <c r="L92" i="9"/>
  <c r="H1071" i="9" a="1"/>
  <c r="H1449" i="9" a="1"/>
  <c r="M85" i="9"/>
  <c r="K124" i="9"/>
  <c r="O145" i="9"/>
  <c r="Q198" i="9"/>
  <c r="O88" i="9"/>
  <c r="H1431" i="9" a="1"/>
  <c r="K101" i="9"/>
  <c r="K125" i="9"/>
  <c r="H984" i="9" a="1"/>
  <c r="H839" i="9" a="1"/>
  <c r="Q174" i="9"/>
  <c r="K192" i="9"/>
  <c r="O105" i="9"/>
  <c r="P24" i="9"/>
  <c r="M24" i="9"/>
  <c r="M124" i="9"/>
  <c r="H939" i="9" a="1"/>
  <c r="K24" i="9"/>
  <c r="L75" i="9"/>
  <c r="L193" i="9"/>
  <c r="L138" i="9"/>
  <c r="L141" i="9"/>
  <c r="H1304" i="9" a="1"/>
  <c r="M156" i="9"/>
  <c r="H1537" i="9" a="1"/>
  <c r="H1372" i="9" a="1"/>
  <c r="O78" i="9"/>
  <c r="O39" i="9"/>
  <c r="Q102" i="9"/>
  <c r="H1533" i="9" a="1"/>
  <c r="O144" i="9"/>
  <c r="L111" i="9"/>
  <c r="H1429" i="9" a="1"/>
  <c r="Q190" i="9"/>
  <c r="H847" i="9" a="1"/>
  <c r="K111" i="9"/>
  <c r="H928" i="9" a="1"/>
  <c r="Q64" i="9"/>
  <c r="M77" i="9"/>
  <c r="L45" i="9"/>
  <c r="H818" i="9" a="1"/>
  <c r="P194" i="9"/>
  <c r="Q200" i="9"/>
  <c r="K181" i="9"/>
  <c r="H1258" i="9" a="1"/>
  <c r="L166" i="9"/>
  <c r="L159" i="9"/>
  <c r="Q175" i="9"/>
  <c r="L93" i="9"/>
  <c r="H1390" i="9" a="1"/>
  <c r="H1500" i="9" a="1"/>
  <c r="H1437" i="9" a="1"/>
  <c r="Q151" i="9"/>
  <c r="K41" i="9"/>
  <c r="Q120" i="9"/>
  <c r="O24" i="9"/>
  <c r="H1106" i="9" a="1"/>
  <c r="K42" i="9"/>
  <c r="M107" i="9"/>
  <c r="H1083" i="9" a="1"/>
  <c r="H1280" i="9" a="1"/>
  <c r="Q40" i="9"/>
  <c r="H801" i="9" a="1"/>
  <c r="H808" i="9" a="1"/>
  <c r="M194" i="9"/>
  <c r="Q14" i="9"/>
  <c r="K166" i="9"/>
  <c r="P156" i="9"/>
  <c r="H1049" i="9" a="1"/>
  <c r="H869" i="9" a="1"/>
  <c r="H1347" i="9" a="1"/>
  <c r="M70" i="9"/>
  <c r="Q148" i="9"/>
  <c r="L31" i="9"/>
  <c r="Q97" i="9"/>
  <c r="M29" i="9"/>
  <c r="H1066" i="9" a="1"/>
  <c r="H1096" i="9" a="1"/>
  <c r="P108" i="9"/>
  <c r="H1479" i="9" a="1"/>
  <c r="P96" i="9"/>
  <c r="H1301" i="9" a="1"/>
  <c r="P56" i="9"/>
  <c r="O80" i="9"/>
  <c r="H1396" i="9" a="1"/>
  <c r="K186" i="9"/>
  <c r="L25" i="9"/>
  <c r="H1311" i="9" a="1"/>
  <c r="Q176" i="9"/>
  <c r="H1164" i="9" a="1"/>
  <c r="Q25" i="9"/>
  <c r="O17" i="9"/>
  <c r="L108" i="9"/>
  <c r="L146" i="9"/>
  <c r="H943" i="9" a="1"/>
  <c r="P182" i="9"/>
  <c r="P188" i="9"/>
  <c r="H1110" i="9" a="1"/>
  <c r="K83" i="9"/>
  <c r="K126" i="9"/>
  <c r="H1012" i="9" a="1"/>
  <c r="H1216" i="9" a="1"/>
  <c r="H795" i="9" a="1"/>
  <c r="Q68" i="9"/>
  <c r="O93" i="9"/>
  <c r="H1019" i="9" a="1"/>
  <c r="M105" i="9"/>
  <c r="H921" i="9" a="1"/>
  <c r="H1300" i="9" a="1"/>
  <c r="M120" i="9"/>
  <c r="O180" i="9"/>
  <c r="O51" i="9"/>
  <c r="Q74" i="9"/>
  <c r="O91" i="9"/>
  <c r="O107" i="9"/>
  <c r="O86" i="9"/>
  <c r="H1493" i="9" a="1"/>
  <c r="L114" i="9"/>
  <c r="P106" i="9"/>
  <c r="L35" i="9"/>
  <c r="Q48" i="9"/>
  <c r="H1033" i="9" a="1"/>
  <c r="O152" i="9"/>
  <c r="H996" i="9" a="1"/>
  <c r="H1281" i="9" a="1"/>
  <c r="H893" i="9" a="1"/>
  <c r="Q77" i="9"/>
  <c r="K20" i="9"/>
  <c r="Q191" i="9"/>
  <c r="H879" i="9" a="1"/>
  <c r="H1194" i="9" a="1"/>
  <c r="P139" i="9"/>
  <c r="O90" i="9"/>
  <c r="M181" i="9"/>
  <c r="P158" i="9"/>
  <c r="L109" i="9"/>
  <c r="H882" i="9" a="1"/>
  <c r="M172" i="9"/>
  <c r="M27" i="9"/>
  <c r="H1109" i="9" a="1"/>
  <c r="O84" i="9"/>
  <c r="Q66" i="9"/>
  <c r="O163" i="9"/>
  <c r="O185" i="9"/>
  <c r="K134" i="9"/>
  <c r="O49" i="9"/>
  <c r="H1326" i="9" a="1"/>
  <c r="L49" i="9"/>
  <c r="L126" i="9"/>
  <c r="H1461" i="9" a="1"/>
  <c r="H1090" i="9" a="1"/>
  <c r="P55" i="9"/>
  <c r="H1081" i="9" a="1"/>
  <c r="H1273" i="9" a="1"/>
  <c r="O197" i="9"/>
  <c r="P184" i="9"/>
  <c r="H1462" i="9" a="1"/>
  <c r="K52" i="9"/>
  <c r="H1120" i="9" a="1"/>
  <c r="P140" i="9"/>
  <c r="P136" i="9"/>
  <c r="Q57" i="9"/>
  <c r="Q181" i="9"/>
  <c r="L13" i="9"/>
  <c r="H860" i="9" a="1"/>
  <c r="K29" i="9"/>
  <c r="H1503" i="9" a="1"/>
  <c r="P198" i="9"/>
  <c r="P67" i="9"/>
  <c r="H1342" i="9" a="1"/>
  <c r="H1228" i="9" a="1"/>
  <c r="O25" i="9"/>
  <c r="K79" i="9"/>
  <c r="K185" i="9"/>
  <c r="H886" i="9" a="1"/>
  <c r="H1014" i="9" a="1"/>
  <c r="H1445" i="9" a="1"/>
  <c r="H1532" i="9" a="1"/>
  <c r="K109" i="9"/>
  <c r="P100" i="9"/>
  <c r="P180" i="9"/>
  <c r="O76" i="9"/>
  <c r="M61" i="9"/>
  <c r="Q34" i="9"/>
  <c r="P63" i="9"/>
  <c r="H1176" i="9" a="1"/>
  <c r="P157" i="9"/>
  <c r="P30" i="9"/>
  <c r="O23" i="9"/>
  <c r="O122" i="9"/>
  <c r="O123" i="9"/>
  <c r="H1089" i="9" a="1"/>
  <c r="Q132" i="9"/>
  <c r="Q145" i="9"/>
  <c r="P28" i="9"/>
  <c r="H940" i="9" a="1"/>
  <c r="L73" i="9"/>
  <c r="L18" i="9"/>
  <c r="H1403" i="9" a="1"/>
  <c r="K86" i="9"/>
  <c r="K38" i="9"/>
  <c r="Q133" i="9"/>
  <c r="O55" i="9"/>
  <c r="K183" i="9"/>
  <c r="H1438" i="9" a="1"/>
  <c r="H1361" i="9" a="1"/>
  <c r="O66" i="9"/>
  <c r="L99" i="9"/>
  <c r="K82" i="9"/>
  <c r="M95" i="9"/>
  <c r="K84" i="9"/>
  <c r="H1314" i="9" a="1"/>
  <c r="K139" i="9"/>
  <c r="O142" i="9"/>
  <c r="H1136" i="9" a="1"/>
  <c r="O193" i="9"/>
  <c r="H1095" i="9" a="1"/>
  <c r="L51" i="9"/>
  <c r="H1121" i="9" a="1"/>
  <c r="P132" i="9"/>
  <c r="P57" i="9"/>
  <c r="H852" i="9" a="1"/>
  <c r="K57" i="9"/>
  <c r="O104" i="9"/>
  <c r="P103" i="9"/>
  <c r="M19" i="9"/>
  <c r="M185" i="9"/>
  <c r="M12" i="9"/>
  <c r="M30" i="9"/>
  <c r="H1009" i="9" a="1"/>
  <c r="O100" i="9"/>
  <c r="H1330" i="9" a="1"/>
  <c r="H1443" i="9" a="1"/>
  <c r="H1001" i="9" a="1"/>
  <c r="O60" i="9"/>
  <c r="H1531" i="9" a="1"/>
  <c r="H1289" i="9" a="1"/>
  <c r="Q75" i="9"/>
  <c r="P127" i="9"/>
  <c r="H848" i="9" a="1"/>
  <c r="H1133" i="9" a="1"/>
  <c r="M14" i="9"/>
  <c r="H1135" i="9" a="1"/>
  <c r="M46" i="9"/>
  <c r="M115" i="9"/>
  <c r="O69" i="9"/>
  <c r="K114" i="9"/>
  <c r="P199" i="9"/>
  <c r="L133" i="9"/>
  <c r="H1244" i="9" a="1"/>
  <c r="P20" i="9"/>
  <c r="Q83" i="9"/>
  <c r="H1169" i="9" a="1"/>
  <c r="H877" i="9" a="1"/>
  <c r="H1195" i="9" a="1"/>
  <c r="P38" i="9"/>
  <c r="L95" i="9"/>
  <c r="P21" i="9"/>
  <c r="H1428" i="9" a="1"/>
  <c r="L128" i="9"/>
  <c r="H1393" i="9" a="1"/>
  <c r="Q43" i="9"/>
  <c r="O79" i="9"/>
  <c r="Q35" i="9"/>
  <c r="P133" i="9"/>
  <c r="H1534" i="9" a="1"/>
  <c r="Q193" i="9"/>
  <c r="H820" i="9" a="1"/>
  <c r="M147" i="9"/>
  <c r="M59" i="9"/>
  <c r="O62" i="9"/>
  <c r="H1165" i="9" a="1"/>
  <c r="K141" i="9"/>
  <c r="H1006" i="9" a="1"/>
  <c r="P175" i="9"/>
  <c r="P17" i="9"/>
  <c r="H1085" i="9" a="1"/>
  <c r="M101" i="9"/>
  <c r="P37" i="9"/>
  <c r="K137" i="9"/>
  <c r="H1078" i="9" a="1"/>
  <c r="P160" i="9"/>
  <c r="L80" i="9"/>
  <c r="H1303" i="9" a="1"/>
  <c r="H1318" i="9" a="1"/>
  <c r="H995" i="9" a="1"/>
  <c r="L78" i="9"/>
  <c r="P163" i="9"/>
  <c r="M162" i="9"/>
  <c r="H1154" i="9" a="1"/>
  <c r="M53" i="9"/>
  <c r="H878" i="9" a="1"/>
  <c r="K157" i="9"/>
  <c r="Q29" i="9"/>
  <c r="K66" i="9"/>
  <c r="O176" i="9"/>
  <c r="H1116" i="9" a="1"/>
  <c r="H1137" i="9" a="1"/>
  <c r="L152" i="9"/>
  <c r="H1491" i="9" a="1"/>
  <c r="P179" i="9"/>
  <c r="O162" i="9"/>
  <c r="Q168" i="9"/>
  <c r="H949" i="9" a="1"/>
  <c r="H908" i="9" a="1"/>
  <c r="K68" i="9"/>
  <c r="O110" i="9"/>
  <c r="H1143" i="9" a="1"/>
  <c r="H1097" i="9" a="1"/>
  <c r="O72" i="9"/>
  <c r="H1241" i="9" a="1"/>
  <c r="H1203" i="9" a="1"/>
  <c r="P186" i="9"/>
  <c r="O161" i="9"/>
  <c r="H1399" i="9" a="1"/>
  <c r="K58" i="9"/>
  <c r="H813" i="9" a="1"/>
  <c r="L91" i="9"/>
  <c r="H1026" i="9" a="1"/>
  <c r="Q111" i="9"/>
  <c r="H1158" i="9" a="1"/>
  <c r="H1237" i="9" a="1"/>
  <c r="L142" i="9"/>
  <c r="H1457" i="9" a="1"/>
  <c r="H1386" i="9" a="1"/>
  <c r="O169" i="9"/>
  <c r="H952" i="9" a="1"/>
  <c r="H1384" i="9" a="1"/>
  <c r="P185" i="9"/>
  <c r="O64" i="9"/>
  <c r="H1374" i="9" a="1"/>
  <c r="P155" i="9"/>
  <c r="L29" i="9"/>
  <c r="H1023" i="9" a="1"/>
  <c r="H1059" i="9" a="1"/>
  <c r="M66" i="9"/>
  <c r="P112" i="9"/>
  <c r="H1321" i="9" a="1"/>
  <c r="H1349" i="9" a="1"/>
  <c r="O112" i="9"/>
  <c r="H1513" i="9" a="1"/>
  <c r="P82" i="9"/>
  <c r="H924" i="9" a="1"/>
  <c r="H917" i="9" a="1"/>
  <c r="H868" i="9" a="1"/>
  <c r="H1190" i="9" a="1"/>
  <c r="K143" i="9"/>
  <c r="M104" i="9"/>
  <c r="H814" i="9" a="1"/>
  <c r="H910" i="9" a="1"/>
  <c r="M192" i="9"/>
  <c r="L187" i="9"/>
  <c r="P11" i="9"/>
  <c r="K44" i="9"/>
  <c r="O158" i="9"/>
  <c r="Q38" i="9"/>
  <c r="H1510" i="9" a="1"/>
  <c r="O103" i="9"/>
  <c r="Q82" i="9"/>
  <c r="K104" i="9"/>
  <c r="L98" i="9"/>
  <c r="Q183" i="9"/>
  <c r="M36" i="9"/>
  <c r="L61" i="9"/>
  <c r="H1359" i="9" a="1"/>
  <c r="P162" i="9"/>
  <c r="H790" i="9" a="1"/>
  <c r="P99" i="9"/>
  <c r="L132" i="9"/>
  <c r="M35" i="9"/>
  <c r="M159" i="9"/>
  <c r="P29" i="9"/>
  <c r="M39" i="9"/>
  <c r="Q141" i="9"/>
  <c r="K74" i="9"/>
  <c r="Q106" i="9"/>
  <c r="K18" i="9"/>
  <c r="H884" i="9" a="1"/>
  <c r="O115" i="9"/>
  <c r="L199" i="9"/>
  <c r="L27" i="9"/>
  <c r="H1420" i="9" a="1"/>
  <c r="M197" i="9"/>
  <c r="H1541" i="9" a="1"/>
  <c r="Q147" i="9"/>
  <c r="K51" i="9"/>
  <c r="O48" i="9"/>
  <c r="O129" i="9"/>
  <c r="M122" i="9"/>
  <c r="H1124" i="9" a="1"/>
  <c r="Q123" i="9"/>
  <c r="H907" i="9" a="1"/>
  <c r="M146" i="9"/>
  <c r="H1442" i="9" a="1"/>
  <c r="H861" i="9" a="1"/>
  <c r="Q19" i="9"/>
  <c r="Q53" i="9"/>
  <c r="H1530" i="9" a="1"/>
  <c r="L88" i="9"/>
  <c r="H890" i="9" a="1"/>
  <c r="P165" i="9"/>
  <c r="Q79" i="9"/>
  <c r="P66" i="9"/>
  <c r="H1313" i="9" a="1"/>
  <c r="M62" i="9"/>
  <c r="P104" i="9"/>
  <c r="L135" i="9"/>
  <c r="H1113" i="9" a="1"/>
  <c r="Q63" i="9"/>
  <c r="P32" i="9"/>
  <c r="H1272" i="9" a="1"/>
  <c r="M60" i="9"/>
  <c r="O97" i="9"/>
  <c r="H1381" i="9" a="1"/>
  <c r="P126" i="9"/>
  <c r="Q67" i="9"/>
  <c r="Q60" i="9"/>
  <c r="O16" i="9"/>
  <c r="H1471" i="9" a="1"/>
  <c r="L22" i="9"/>
  <c r="H1175" i="9" a="1"/>
  <c r="K14" i="9"/>
  <c r="L30" i="9"/>
  <c r="O26" i="9"/>
  <c r="P124" i="9"/>
  <c r="K161" i="9"/>
  <c r="O70" i="9"/>
  <c r="M169" i="9"/>
  <c r="Q121" i="9"/>
  <c r="K93" i="9"/>
  <c r="H1159" i="9" a="1"/>
  <c r="M142" i="9"/>
  <c r="L26" i="9"/>
  <c r="O83" i="9"/>
  <c r="H888" i="9" a="1"/>
  <c r="H1418" i="9" a="1"/>
  <c r="Q165" i="9"/>
  <c r="H857" i="9" a="1"/>
  <c r="O126" i="9"/>
  <c r="L40" i="9"/>
  <c r="H885" i="9" a="1"/>
  <c r="H1334" i="9" a="1"/>
  <c r="O200" i="9"/>
  <c r="P120" i="9"/>
  <c r="H909" i="9" a="1"/>
  <c r="H1000" i="9" a="1"/>
  <c r="H911" i="9" a="1"/>
  <c r="K195" i="9"/>
  <c r="L127" i="9"/>
  <c r="H1453" i="9" a="1"/>
  <c r="H1473" i="9" a="1"/>
  <c r="P105" i="9"/>
  <c r="M183" i="9"/>
  <c r="O28" i="9"/>
  <c r="H915" i="9" a="1"/>
  <c r="H1253" i="9" a="1"/>
  <c r="H1153" i="9" a="1"/>
  <c r="M65" i="9"/>
  <c r="H1168" i="9" a="1"/>
  <c r="L23" i="9"/>
  <c r="K61" i="9"/>
  <c r="L190" i="9"/>
  <c r="H1227" i="9" a="1"/>
  <c r="H1263" i="9" a="1"/>
  <c r="H972" i="9" a="1"/>
  <c r="H1276" i="9" a="1"/>
  <c r="H1061" i="9" a="1"/>
  <c r="M166" i="9"/>
  <c r="Q37" i="9"/>
  <c r="P78" i="9"/>
  <c r="H1074" i="9" a="1"/>
  <c r="H948" i="9" a="1"/>
  <c r="L158" i="9"/>
  <c r="P50" i="9"/>
  <c r="K88" i="9"/>
  <c r="H971" i="9" a="1"/>
  <c r="H1411" i="9" a="1"/>
  <c r="H872" i="9" a="1"/>
  <c r="H1506" i="9" a="1"/>
  <c r="K100" i="9"/>
  <c r="H1139" i="9" a="1"/>
  <c r="H1360" i="9" a="1"/>
  <c r="H856" i="9" a="1"/>
  <c r="Q167" i="9"/>
  <c r="H946" i="9" a="1"/>
  <c r="H923" i="9" a="1"/>
  <c r="H1486" i="9" a="1"/>
  <c r="H967" i="9" a="1"/>
  <c r="Q47" i="9"/>
  <c r="P23" i="9"/>
  <c r="L47" i="9"/>
  <c r="H823" i="9" a="1"/>
  <c r="P45" i="9"/>
  <c r="H1224" i="9" a="1"/>
  <c r="H894" i="9" a="1"/>
  <c r="P141" i="9"/>
  <c r="K46" i="9"/>
  <c r="P116" i="9"/>
  <c r="O184" i="9"/>
  <c r="K73" i="9"/>
  <c r="Q85" i="9"/>
  <c r="K60" i="9"/>
  <c r="K34" i="9"/>
  <c r="H1077" i="9" a="1"/>
  <c r="P85" i="9"/>
  <c r="P171" i="9"/>
  <c r="H1044" i="9" a="1"/>
  <c r="K169" i="9"/>
  <c r="L62" i="9"/>
  <c r="M180" i="9"/>
  <c r="M113" i="9"/>
  <c r="H778" i="9" a="1"/>
  <c r="H904" i="9" a="1"/>
  <c r="L34" i="9"/>
  <c r="H1053" i="9" a="1"/>
  <c r="H1200" i="9" a="1"/>
  <c r="M64" i="9"/>
  <c r="L147" i="9"/>
  <c r="Q15" i="9"/>
  <c r="Q127" i="9"/>
  <c r="M93" i="9"/>
  <c r="Q163" i="9"/>
  <c r="H1152" i="9" a="1"/>
  <c r="M31" i="9"/>
  <c r="H792" i="9" a="1"/>
  <c r="H1144" i="9" a="1"/>
  <c r="H956" i="9" a="1"/>
  <c r="H895" i="9" a="1"/>
  <c r="L21" i="9"/>
  <c r="L168" i="9"/>
  <c r="H1435" i="9" a="1"/>
  <c r="H1511" i="9" a="1"/>
  <c r="K164" i="9"/>
  <c r="H1291" i="9" a="1"/>
  <c r="H1197" i="9" a="1"/>
  <c r="Q69" i="9"/>
  <c r="Q59" i="9"/>
  <c r="L94" i="9"/>
  <c r="P119" i="9"/>
  <c r="L72" i="9"/>
  <c r="M126" i="9"/>
  <c r="K39" i="9"/>
  <c r="O192" i="9"/>
  <c r="H1146" i="9" a="1"/>
  <c r="Q117" i="9"/>
  <c r="H1247" i="9" a="1"/>
  <c r="H1476" i="9" a="1"/>
  <c r="H1170" i="9" a="1"/>
  <c r="H1356" i="9" a="1"/>
  <c r="M26" i="9"/>
  <c r="Q169" i="9"/>
  <c r="P19" i="9"/>
  <c r="H1410" i="9" a="1"/>
  <c r="H1315" i="9" a="1"/>
  <c r="H1266" i="9" a="1"/>
  <c r="K19" i="9"/>
  <c r="O134" i="9"/>
  <c r="K75" i="9"/>
  <c r="O149" i="9"/>
  <c r="H1542" i="9" a="1"/>
  <c r="H853" i="9" a="1"/>
  <c r="H816" i="9" a="1"/>
  <c r="H906" i="9" a="1"/>
  <c r="H1048" i="9" a="1"/>
  <c r="H1426" i="9" a="1"/>
  <c r="Q11" i="9"/>
  <c r="L182" i="9"/>
  <c r="L150" i="9"/>
  <c r="Q87" i="9"/>
  <c r="Q16" i="9"/>
  <c r="H1034" i="9" a="1"/>
  <c r="L136" i="9"/>
  <c r="H1073" i="9" a="1"/>
  <c r="L169" i="9"/>
  <c r="Q153" i="9"/>
  <c r="K15" i="9"/>
  <c r="H1316" i="9" a="1"/>
  <c r="H1487" i="9" a="1"/>
  <c r="L38" i="9"/>
  <c r="M189" i="9"/>
  <c r="Q73" i="9"/>
  <c r="L96" i="9"/>
  <c r="Q56" i="9"/>
  <c r="L65" i="9"/>
  <c r="H794" i="9" a="1"/>
  <c r="H1172" i="9" a="1"/>
  <c r="P142" i="9"/>
  <c r="M32" i="9"/>
  <c r="H912" i="9" a="1"/>
  <c r="K107" i="9"/>
  <c r="P123" i="9"/>
  <c r="M94" i="9"/>
  <c r="P93" i="9"/>
  <c r="H1043" i="9" a="1"/>
  <c r="H1419" i="9" a="1"/>
  <c r="K182" i="9"/>
  <c r="M108" i="9"/>
  <c r="K13" i="9"/>
  <c r="P65" i="9"/>
  <c r="Q71" i="9"/>
  <c r="Q99" i="9"/>
  <c r="H969" i="9" a="1"/>
  <c r="H963" i="9" a="1"/>
  <c r="M56" i="9"/>
  <c r="H1524" i="9" a="1"/>
  <c r="L41" i="9"/>
  <c r="Q22" i="9"/>
  <c r="K123" i="9"/>
  <c r="L12" i="9"/>
  <c r="K37" i="9"/>
  <c r="Q110" i="9"/>
  <c r="H1518" i="9" a="1"/>
  <c r="H1543" i="9" a="1"/>
  <c r="O171" i="9"/>
  <c r="H1322" i="9" a="1"/>
  <c r="M100" i="9"/>
  <c r="H804" i="9" a="1"/>
  <c r="H1140" i="9" a="1"/>
  <c r="H1210" i="9" a="1"/>
  <c r="O143" i="9"/>
  <c r="H1378" i="9" a="1"/>
  <c r="H844" i="9" a="1"/>
  <c r="H961" i="9" a="1"/>
  <c r="H1451" i="9" a="1"/>
  <c r="O13" i="9"/>
  <c r="Q197" i="9"/>
  <c r="H1339" i="9" a="1"/>
  <c r="H1251" i="9" a="1"/>
  <c r="H1475" i="9" a="1"/>
  <c r="Q180" i="9"/>
  <c r="Q13" i="9"/>
  <c r="K56" i="9"/>
  <c r="K140" i="9"/>
  <c r="K22" i="9"/>
  <c r="H784" i="9" a="1"/>
  <c r="O101" i="9"/>
  <c r="O32" i="9"/>
  <c r="H840" i="9" a="1"/>
  <c r="L151" i="9"/>
  <c r="K132" i="9"/>
  <c r="M164" i="9"/>
  <c r="O109" i="9"/>
  <c r="P102" i="9"/>
  <c r="L137" i="9"/>
  <c r="Q156" i="9"/>
  <c r="P118" i="9"/>
  <c r="H1544" i="9" a="1"/>
  <c r="K149" i="9"/>
  <c r="H1328" i="9" a="1"/>
  <c r="Q17" i="9"/>
  <c r="L200" i="9"/>
  <c r="O43" i="9"/>
  <c r="H788" i="9" a="1"/>
  <c r="H1345" i="9" a="1"/>
  <c r="M73" i="9"/>
  <c r="O116" i="9"/>
  <c r="H1498" i="9" a="1"/>
  <c r="L176" i="9"/>
  <c r="H1252" i="9" a="1"/>
  <c r="H779" i="9" a="1"/>
  <c r="K97" i="9"/>
  <c r="H1341" i="9" a="1"/>
  <c r="H1296" i="9" a="1"/>
  <c r="Q130" i="9"/>
  <c r="Q134" i="9"/>
  <c r="H1118" i="9" a="1"/>
  <c r="Q129" i="9"/>
  <c r="H1391" i="9" a="1"/>
  <c r="O57" i="9"/>
  <c r="K184" i="9"/>
  <c r="P39" i="9"/>
  <c r="P42" i="9"/>
  <c r="O151" i="9"/>
  <c r="H1219" i="9" a="1"/>
  <c r="H903" i="9" a="1"/>
  <c r="H1189" i="9" a="1"/>
  <c r="O150" i="9"/>
  <c r="K112" i="9"/>
  <c r="H1380" i="9" a="1"/>
  <c r="P101" i="9"/>
  <c r="H932" i="9" a="1"/>
  <c r="Q28" i="9"/>
  <c r="K190" i="9"/>
  <c r="K151" i="9"/>
  <c r="M57" i="9"/>
  <c r="L165" i="9"/>
  <c r="K23" i="9"/>
  <c r="H1522" i="9" a="1"/>
  <c r="M44" i="9"/>
  <c r="H1256" i="9" a="1"/>
  <c r="H785" i="9" a="1"/>
  <c r="O155" i="9"/>
  <c r="H1108" i="9" a="1"/>
  <c r="P146" i="9"/>
  <c r="H1018" i="9" a="1"/>
  <c r="K179" i="9"/>
  <c r="H896" i="9" a="1"/>
  <c r="Q139" i="9"/>
  <c r="L11" i="9"/>
  <c r="P161" i="9"/>
  <c r="K188" i="9"/>
  <c r="M106" i="9"/>
  <c r="Q184" i="9"/>
  <c r="K147" i="9"/>
  <c r="H1226" i="9" a="1"/>
  <c r="K162" i="9"/>
  <c r="H947" i="9" a="1"/>
  <c r="L191" i="9"/>
  <c r="H1020" i="9" a="1"/>
  <c r="H977" i="9" a="1"/>
  <c r="M129" i="9"/>
  <c r="K28" i="9"/>
  <c r="H1222" i="9" a="1"/>
  <c r="H880" i="9" a="1"/>
  <c r="O12" i="9"/>
  <c r="P84" i="9"/>
  <c r="H1433" i="9" a="1"/>
  <c r="H1039" i="9" a="1"/>
  <c r="M86" i="9"/>
  <c r="H1448" i="9" a="1"/>
  <c r="H811" i="9" a="1"/>
  <c r="Q80" i="9"/>
  <c r="H976" i="9" a="1"/>
  <c r="H1367" i="9" a="1"/>
  <c r="K16" i="9"/>
  <c r="L58" i="9"/>
  <c r="M195" i="9"/>
  <c r="Q20" i="9"/>
  <c r="H937" i="9" a="1"/>
  <c r="O29" i="9"/>
  <c r="H1430" i="9" a="1"/>
  <c r="M144" i="9"/>
  <c r="M170" i="9"/>
  <c r="Q90" i="9"/>
  <c r="H1038" i="9" a="1"/>
  <c r="H821" i="9" a="1"/>
  <c r="H789" i="9" a="1"/>
  <c r="H922" i="9" a="1"/>
  <c r="H900" i="9" a="1"/>
  <c r="K30" i="9"/>
  <c r="Q182" i="9"/>
  <c r="M151" i="9"/>
  <c r="P35" i="9"/>
  <c r="L46" i="9"/>
  <c r="Q18" i="9"/>
  <c r="L189" i="9"/>
  <c r="L32" i="9"/>
  <c r="P181" i="9"/>
  <c r="K117" i="9"/>
  <c r="Q189" i="9"/>
  <c r="R189" i="9" l="1"/>
  <c r="R18" i="9"/>
  <c r="N151" i="9"/>
  <c r="R182" i="9"/>
  <c r="H900" i="9"/>
  <c r="H922" i="9"/>
  <c r="H789" i="9"/>
  <c r="H821" i="9"/>
  <c r="H1038" i="9"/>
  <c r="R90" i="9"/>
  <c r="N170" i="9"/>
  <c r="N144" i="9"/>
  <c r="S144" i="9" s="1"/>
  <c r="H1430" i="9"/>
  <c r="H937" i="9"/>
  <c r="R20" i="9"/>
  <c r="N195" i="9"/>
  <c r="S195" i="9" s="1"/>
  <c r="H1367" i="9"/>
  <c r="H976" i="9"/>
  <c r="R80" i="9"/>
  <c r="H811" i="9"/>
  <c r="H1448" i="9"/>
  <c r="N86" i="9"/>
  <c r="H1039" i="9"/>
  <c r="H1433" i="9"/>
  <c r="H880" i="9"/>
  <c r="H1222" i="9"/>
  <c r="N129" i="9"/>
  <c r="U129" i="9" s="1"/>
  <c r="H977" i="9"/>
  <c r="H1020" i="9"/>
  <c r="H947" i="9"/>
  <c r="H1226" i="9"/>
  <c r="R184" i="9"/>
  <c r="N106" i="9"/>
  <c r="R139" i="9"/>
  <c r="H896" i="9"/>
  <c r="H1018" i="9"/>
  <c r="H1108" i="9"/>
  <c r="H785" i="9"/>
  <c r="H1256" i="9"/>
  <c r="N44" i="9"/>
  <c r="U44" i="9" s="1"/>
  <c r="H1522" i="9"/>
  <c r="N57" i="9"/>
  <c r="R28" i="9"/>
  <c r="H932" i="9"/>
  <c r="H1380" i="9"/>
  <c r="H1189" i="9"/>
  <c r="H903" i="9"/>
  <c r="H1219" i="9"/>
  <c r="H1391" i="9"/>
  <c r="R129" i="9"/>
  <c r="H1118" i="9"/>
  <c r="R134" i="9"/>
  <c r="R130" i="9"/>
  <c r="H1296" i="9"/>
  <c r="H1341" i="9"/>
  <c r="H779" i="9"/>
  <c r="H1252" i="9"/>
  <c r="H1498" i="9"/>
  <c r="N73" i="9"/>
  <c r="H1345" i="9"/>
  <c r="H788" i="9"/>
  <c r="R17" i="9"/>
  <c r="H1328" i="9"/>
  <c r="H1544" i="9"/>
  <c r="R156" i="9"/>
  <c r="N164" i="9"/>
  <c r="S164" i="9" s="1"/>
  <c r="H840" i="9"/>
  <c r="H784" i="9"/>
  <c r="R13" i="9"/>
  <c r="R180" i="9"/>
  <c r="H1475" i="9"/>
  <c r="H1251" i="9"/>
  <c r="H1339" i="9"/>
  <c r="R197" i="9"/>
  <c r="H1451" i="9"/>
  <c r="H961" i="9"/>
  <c r="H844" i="9"/>
  <c r="H1378" i="9"/>
  <c r="H1210" i="9"/>
  <c r="H1140" i="9"/>
  <c r="H804" i="9"/>
  <c r="N100" i="9"/>
  <c r="H1322" i="9"/>
  <c r="H1543" i="9"/>
  <c r="H1518" i="9"/>
  <c r="R110" i="9"/>
  <c r="R22" i="9"/>
  <c r="H1524" i="9"/>
  <c r="N56" i="9"/>
  <c r="H963" i="9"/>
  <c r="H969" i="9"/>
  <c r="R99" i="9"/>
  <c r="R71" i="9"/>
  <c r="N108" i="9"/>
  <c r="S108" i="9" s="1"/>
  <c r="H1419" i="9"/>
  <c r="H1043" i="9"/>
  <c r="N94" i="9"/>
  <c r="H912" i="9"/>
  <c r="N32" i="9"/>
  <c r="S32" i="9" s="1"/>
  <c r="H1172" i="9"/>
  <c r="H794" i="9"/>
  <c r="R56" i="9"/>
  <c r="R73" i="9"/>
  <c r="N189" i="9"/>
  <c r="U189" i="9" s="1"/>
  <c r="H1487" i="9"/>
  <c r="H1316" i="9"/>
  <c r="R153" i="9"/>
  <c r="H1073" i="9"/>
  <c r="H1034" i="9"/>
  <c r="R16" i="9"/>
  <c r="R87" i="9"/>
  <c r="R11" i="9"/>
  <c r="H1426" i="9"/>
  <c r="H1048" i="9"/>
  <c r="H906" i="9"/>
  <c r="H816" i="9"/>
  <c r="H853" i="9"/>
  <c r="H1542" i="9"/>
  <c r="H1266" i="9"/>
  <c r="H1315" i="9"/>
  <c r="H1410" i="9"/>
  <c r="R169" i="9"/>
  <c r="N26" i="9"/>
  <c r="S26" i="9" s="1"/>
  <c r="H1356" i="9"/>
  <c r="H1170" i="9"/>
  <c r="H1476" i="9"/>
  <c r="H1247" i="9"/>
  <c r="R117" i="9"/>
  <c r="H1146" i="9"/>
  <c r="N126" i="9"/>
  <c r="S126" i="9" s="1"/>
  <c r="R59" i="9"/>
  <c r="R69" i="9"/>
  <c r="H1197" i="9"/>
  <c r="H1291" i="9"/>
  <c r="H1511" i="9"/>
  <c r="H1435" i="9"/>
  <c r="H895" i="9"/>
  <c r="H956" i="9"/>
  <c r="H1144" i="9"/>
  <c r="H792" i="9"/>
  <c r="N31" i="9"/>
  <c r="S31" i="9" s="1"/>
  <c r="H1152" i="9"/>
  <c r="R163" i="9"/>
  <c r="N93" i="9"/>
  <c r="U93" i="9" s="1"/>
  <c r="R127" i="9"/>
  <c r="R15" i="9"/>
  <c r="N64" i="9"/>
  <c r="S64" i="9" s="1"/>
  <c r="H1200" i="9"/>
  <c r="H1053" i="9"/>
  <c r="H904" i="9"/>
  <c r="H778" i="9"/>
  <c r="N113" i="9"/>
  <c r="S113" i="9" s="1"/>
  <c r="N180" i="9"/>
  <c r="H1044" i="9"/>
  <c r="H1077" i="9"/>
  <c r="R85" i="9"/>
  <c r="H894" i="9"/>
  <c r="H1224" i="9"/>
  <c r="H823" i="9"/>
  <c r="R47" i="9"/>
  <c r="H967" i="9"/>
  <c r="H1486" i="9"/>
  <c r="H923" i="9"/>
  <c r="H946" i="9"/>
  <c r="R167" i="9"/>
  <c r="H856" i="9"/>
  <c r="H1360" i="9"/>
  <c r="H1139" i="9"/>
  <c r="H1506" i="9"/>
  <c r="H872" i="9"/>
  <c r="H1411" i="9"/>
  <c r="H971" i="9"/>
  <c r="H948" i="9"/>
  <c r="H1074" i="9"/>
  <c r="R37" i="9"/>
  <c r="N166" i="9"/>
  <c r="S166" i="9" s="1"/>
  <c r="H1061" i="9"/>
  <c r="H1276" i="9"/>
  <c r="H972" i="9"/>
  <c r="H1263" i="9"/>
  <c r="H1227" i="9"/>
  <c r="H1168" i="9"/>
  <c r="N65" i="9"/>
  <c r="U65" i="9" s="1"/>
  <c r="H1153" i="9"/>
  <c r="H1253" i="9"/>
  <c r="H915" i="9"/>
  <c r="N183" i="9"/>
  <c r="H1473" i="9"/>
  <c r="H1453" i="9"/>
  <c r="H911" i="9"/>
  <c r="H1000" i="9"/>
  <c r="H909" i="9"/>
  <c r="H1334" i="9"/>
  <c r="H885" i="9"/>
  <c r="H857" i="9"/>
  <c r="R165" i="9"/>
  <c r="H1418" i="9"/>
  <c r="H888" i="9"/>
  <c r="N142" i="9"/>
  <c r="H1159" i="9"/>
  <c r="R121" i="9"/>
  <c r="N169" i="9"/>
  <c r="H1175" i="9"/>
  <c r="H1471" i="9"/>
  <c r="R60" i="9"/>
  <c r="R67" i="9"/>
  <c r="H1381" i="9"/>
  <c r="N60" i="9"/>
  <c r="U60" i="9" s="1"/>
  <c r="H1272" i="9"/>
  <c r="R63" i="9"/>
  <c r="H1113" i="9"/>
  <c r="N62" i="9"/>
  <c r="S62" i="9" s="1"/>
  <c r="H1313" i="9"/>
  <c r="R79" i="9"/>
  <c r="H890" i="9"/>
  <c r="H1530" i="9"/>
  <c r="R53" i="9"/>
  <c r="R19" i="9"/>
  <c r="H861" i="9"/>
  <c r="H1442" i="9"/>
  <c r="N146" i="9"/>
  <c r="U146" i="9" s="1"/>
  <c r="H907" i="9"/>
  <c r="R123" i="9"/>
  <c r="H1124" i="9"/>
  <c r="N122" i="9"/>
  <c r="U122" i="9" s="1"/>
  <c r="R147" i="9"/>
  <c r="H1541" i="9"/>
  <c r="N197" i="9"/>
  <c r="H1420" i="9"/>
  <c r="H884" i="9"/>
  <c r="R106" i="9"/>
  <c r="R141" i="9"/>
  <c r="N39" i="9"/>
  <c r="U39" i="9" s="1"/>
  <c r="N159" i="9"/>
  <c r="N35" i="9"/>
  <c r="S35" i="9" s="1"/>
  <c r="H790" i="9"/>
  <c r="H1359" i="9"/>
  <c r="N36" i="9"/>
  <c r="S36" i="9" s="1"/>
  <c r="R183" i="9"/>
  <c r="R82" i="9"/>
  <c r="H1510" i="9"/>
  <c r="R38" i="9"/>
  <c r="N192" i="9"/>
  <c r="S192" i="9" s="1"/>
  <c r="H910" i="9"/>
  <c r="H814" i="9"/>
  <c r="N104" i="9"/>
  <c r="H1190" i="9"/>
  <c r="H868" i="9"/>
  <c r="H917" i="9"/>
  <c r="H924" i="9"/>
  <c r="H1513" i="9"/>
  <c r="H1349" i="9"/>
  <c r="H1321" i="9"/>
  <c r="N66" i="9"/>
  <c r="S66" i="9" s="1"/>
  <c r="H1059" i="9"/>
  <c r="H1023" i="9"/>
  <c r="H1374" i="9"/>
  <c r="H1384" i="9"/>
  <c r="H952" i="9"/>
  <c r="H1386" i="9"/>
  <c r="H1457" i="9"/>
  <c r="H1237" i="9"/>
  <c r="H1158" i="9"/>
  <c r="R111" i="9"/>
  <c r="H1026" i="9"/>
  <c r="H813" i="9"/>
  <c r="H1399" i="9"/>
  <c r="H1203" i="9"/>
  <c r="H1241" i="9"/>
  <c r="H1097" i="9"/>
  <c r="H1143" i="9"/>
  <c r="H908" i="9"/>
  <c r="H949" i="9"/>
  <c r="R168" i="9"/>
  <c r="H1491" i="9"/>
  <c r="H1137" i="9"/>
  <c r="H1116" i="9"/>
  <c r="R29" i="9"/>
  <c r="H878" i="9"/>
  <c r="N53" i="9"/>
  <c r="H1154" i="9"/>
  <c r="N162" i="9"/>
  <c r="U162" i="9" s="1"/>
  <c r="H995" i="9"/>
  <c r="H1318" i="9"/>
  <c r="H1303" i="9"/>
  <c r="H1078" i="9"/>
  <c r="N101" i="9"/>
  <c r="H1085" i="9"/>
  <c r="H1006" i="9"/>
  <c r="H1165" i="9"/>
  <c r="N59" i="9"/>
  <c r="N147" i="9"/>
  <c r="S147" i="9" s="1"/>
  <c r="H820" i="9"/>
  <c r="R193" i="9"/>
  <c r="H1534" i="9"/>
  <c r="R35" i="9"/>
  <c r="R43" i="9"/>
  <c r="H1393" i="9"/>
  <c r="H1428" i="9"/>
  <c r="H1195" i="9"/>
  <c r="H877" i="9"/>
  <c r="H1169" i="9"/>
  <c r="R83" i="9"/>
  <c r="H1244" i="9"/>
  <c r="N115" i="9"/>
  <c r="N46" i="9"/>
  <c r="S46" i="9" s="1"/>
  <c r="H1135" i="9"/>
  <c r="N14" i="9"/>
  <c r="U14" i="9" s="1"/>
  <c r="H1133" i="9"/>
  <c r="H848" i="9"/>
  <c r="R75" i="9"/>
  <c r="H1289" i="9"/>
  <c r="H1531" i="9"/>
  <c r="H1001" i="9"/>
  <c r="H1443" i="9"/>
  <c r="H1330" i="9"/>
  <c r="H1009" i="9"/>
  <c r="N30" i="9"/>
  <c r="U30" i="9" s="1"/>
  <c r="N12" i="9"/>
  <c r="N185" i="9"/>
  <c r="S185" i="9" s="1"/>
  <c r="N19" i="9"/>
  <c r="S19" i="9" s="1"/>
  <c r="H852" i="9"/>
  <c r="H1121" i="9"/>
  <c r="H1095" i="9"/>
  <c r="H1136" i="9"/>
  <c r="H1314" i="9"/>
  <c r="N95" i="9"/>
  <c r="H1361" i="9"/>
  <c r="H1438" i="9"/>
  <c r="R133" i="9"/>
  <c r="H1403" i="9"/>
  <c r="H940" i="9"/>
  <c r="R145" i="9"/>
  <c r="R132" i="9"/>
  <c r="H1089" i="9"/>
  <c r="H1176" i="9"/>
  <c r="R34" i="9"/>
  <c r="N61" i="9"/>
  <c r="S61" i="9" s="1"/>
  <c r="H1532" i="9"/>
  <c r="H1445" i="9"/>
  <c r="H1014" i="9"/>
  <c r="H886" i="9"/>
  <c r="H1228" i="9"/>
  <c r="H1342" i="9"/>
  <c r="H1503" i="9"/>
  <c r="H860" i="9"/>
  <c r="R181" i="9"/>
  <c r="R57" i="9"/>
  <c r="H1120" i="9"/>
  <c r="H1462" i="9"/>
  <c r="H1273" i="9"/>
  <c r="H1081" i="9"/>
  <c r="H1090" i="9"/>
  <c r="H1461" i="9"/>
  <c r="H1326" i="9"/>
  <c r="R66" i="9"/>
  <c r="H1109" i="9"/>
  <c r="N27" i="9"/>
  <c r="N172" i="9"/>
  <c r="U172" i="9" s="1"/>
  <c r="H882" i="9"/>
  <c r="N181" i="9"/>
  <c r="H1194" i="9"/>
  <c r="H879" i="9"/>
  <c r="R191" i="9"/>
  <c r="R77" i="9"/>
  <c r="H893" i="9"/>
  <c r="H1281" i="9"/>
  <c r="H996" i="9"/>
  <c r="H1033" i="9"/>
  <c r="R48" i="9"/>
  <c r="H1493" i="9"/>
  <c r="R74" i="9"/>
  <c r="N120" i="9"/>
  <c r="U120" i="9" s="1"/>
  <c r="H1300" i="9"/>
  <c r="H921" i="9"/>
  <c r="N105" i="9"/>
  <c r="S105" i="9" s="1"/>
  <c r="H1019" i="9"/>
  <c r="R68" i="9"/>
  <c r="H795" i="9"/>
  <c r="H1216" i="9"/>
  <c r="H1012" i="9"/>
  <c r="H1110" i="9"/>
  <c r="H943" i="9"/>
  <c r="R25" i="9"/>
  <c r="H1164" i="9"/>
  <c r="R176" i="9"/>
  <c r="H1311" i="9"/>
  <c r="H1396" i="9"/>
  <c r="H1301" i="9"/>
  <c r="H1479" i="9"/>
  <c r="H1096" i="9"/>
  <c r="H1066" i="9"/>
  <c r="N29" i="9"/>
  <c r="R97" i="9"/>
  <c r="R148" i="9"/>
  <c r="N70" i="9"/>
  <c r="S70" i="9" s="1"/>
  <c r="H1347" i="9"/>
  <c r="H869" i="9"/>
  <c r="H1049" i="9"/>
  <c r="R14" i="9"/>
  <c r="N194" i="9"/>
  <c r="H808" i="9"/>
  <c r="H801" i="9"/>
  <c r="R40" i="9"/>
  <c r="H1280" i="9"/>
  <c r="H1083" i="9"/>
  <c r="N107" i="9"/>
  <c r="H1106" i="9"/>
  <c r="R120" i="9"/>
  <c r="R151" i="9"/>
  <c r="H1437" i="9"/>
  <c r="H1500" i="9"/>
  <c r="H1390" i="9"/>
  <c r="R175" i="9"/>
  <c r="H1258" i="9"/>
  <c r="R200" i="9"/>
  <c r="H818" i="9"/>
  <c r="N77" i="9"/>
  <c r="R64" i="9"/>
  <c r="H928" i="9"/>
  <c r="H847" i="9"/>
  <c r="R190" i="9"/>
  <c r="H1429" i="9"/>
  <c r="H1533" i="9"/>
  <c r="R102" i="9"/>
  <c r="H1372" i="9"/>
  <c r="H1537" i="9"/>
  <c r="N156" i="9"/>
  <c r="S156" i="9" s="1"/>
  <c r="H1304" i="9"/>
  <c r="H939" i="9"/>
  <c r="N124" i="9"/>
  <c r="N24" i="9"/>
  <c r="U24" i="9" s="1"/>
  <c r="R174" i="9"/>
  <c r="H839" i="9"/>
  <c r="H984" i="9"/>
  <c r="H1431" i="9"/>
  <c r="R198" i="9"/>
  <c r="N85" i="9"/>
  <c r="H1449" i="9"/>
  <c r="H1071" i="9"/>
  <c r="R142" i="9"/>
  <c r="N140" i="9"/>
  <c r="S140" i="9" s="1"/>
  <c r="R144" i="9"/>
  <c r="R50" i="9"/>
  <c r="H1080" i="9"/>
  <c r="H1130" i="9"/>
  <c r="H831" i="9"/>
  <c r="N153" i="9"/>
  <c r="U153" i="9" s="1"/>
  <c r="H1414" i="9"/>
  <c r="H1267" i="9"/>
  <c r="H1358" i="9"/>
  <c r="H1539" i="9"/>
  <c r="H829" i="9"/>
  <c r="H892" i="9"/>
  <c r="R49" i="9"/>
  <c r="H1495" i="9"/>
  <c r="H1029" i="9"/>
  <c r="R70" i="9"/>
  <c r="H1008" i="9"/>
  <c r="H1055" i="9"/>
  <c r="H1046" i="9"/>
  <c r="H1260" i="9"/>
  <c r="H1041" i="9"/>
  <c r="N15" i="9"/>
  <c r="S15" i="9" s="1"/>
  <c r="H826" i="9"/>
  <c r="R27" i="9"/>
  <c r="R194" i="9"/>
  <c r="H1469" i="9"/>
  <c r="H1452" i="9"/>
  <c r="H1072" i="9"/>
  <c r="H993" i="9"/>
  <c r="H1284" i="9"/>
  <c r="R44" i="9"/>
  <c r="H955" i="9"/>
  <c r="H1526" i="9"/>
  <c r="N21" i="9"/>
  <c r="U21" i="9" s="1"/>
  <c r="R136" i="9"/>
  <c r="H933" i="9"/>
  <c r="H1488" i="9"/>
  <c r="H1192" i="9"/>
  <c r="H1432" i="9"/>
  <c r="H1177" i="9"/>
  <c r="H1416" i="9"/>
  <c r="H1122" i="9"/>
  <c r="H1167" i="9"/>
  <c r="H929" i="9"/>
  <c r="H1240" i="9"/>
  <c r="N18" i="9"/>
  <c r="H1499" i="9"/>
  <c r="N158" i="9"/>
  <c r="S158" i="9" s="1"/>
  <c r="H898" i="9"/>
  <c r="N37" i="9"/>
  <c r="U37" i="9" s="1"/>
  <c r="H962" i="9"/>
  <c r="R192" i="9"/>
  <c r="N96" i="9"/>
  <c r="U96" i="9" s="1"/>
  <c r="H1423" i="9"/>
  <c r="N177" i="9"/>
  <c r="U177" i="9" s="1"/>
  <c r="R172" i="9"/>
  <c r="N145" i="9"/>
  <c r="S145" i="9" s="1"/>
  <c r="H859" i="9"/>
  <c r="H1424" i="9"/>
  <c r="R162" i="9"/>
  <c r="H1478" i="9"/>
  <c r="H1129" i="9"/>
  <c r="H1183" i="9"/>
  <c r="H1371" i="9"/>
  <c r="H1058" i="9"/>
  <c r="N47" i="9"/>
  <c r="R39" i="9"/>
  <c r="R52" i="9"/>
  <c r="H1112" i="9"/>
  <c r="H1336" i="9"/>
  <c r="H1325" i="9"/>
  <c r="H926" i="9"/>
  <c r="H1211" i="9"/>
  <c r="H1370" i="9"/>
  <c r="N13" i="9"/>
  <c r="S13" i="9" s="1"/>
  <c r="H1286" i="9"/>
  <c r="H1229" i="9"/>
  <c r="H815" i="9"/>
  <c r="H1111" i="9"/>
  <c r="H990" i="9"/>
  <c r="H1010" i="9"/>
  <c r="H863" i="9"/>
  <c r="N50" i="9"/>
  <c r="U50" i="9" s="1"/>
  <c r="H865" i="9"/>
  <c r="H1231" i="9"/>
  <c r="H791" i="9"/>
  <c r="N28" i="9"/>
  <c r="S28" i="9" s="1"/>
  <c r="H1031" i="9"/>
  <c r="H1173" i="9"/>
  <c r="R173" i="9"/>
  <c r="N165" i="9"/>
  <c r="S165" i="9" s="1"/>
  <c r="R93" i="9"/>
  <c r="H838" i="9"/>
  <c r="H1245" i="9"/>
  <c r="H1199" i="9"/>
  <c r="R171" i="9"/>
  <c r="H983" i="9"/>
  <c r="H950" i="9"/>
  <c r="H1171" i="9"/>
  <c r="N190" i="9"/>
  <c r="U190" i="9" s="1"/>
  <c r="H1218" i="9"/>
  <c r="N155" i="9"/>
  <c r="U155" i="9" s="1"/>
  <c r="H1450" i="9"/>
  <c r="H1091" i="9"/>
  <c r="H1202" i="9"/>
  <c r="H1516" i="9"/>
  <c r="H1100" i="9"/>
  <c r="H836" i="9"/>
  <c r="N92" i="9"/>
  <c r="S92" i="9" s="1"/>
  <c r="H934" i="9"/>
  <c r="R118" i="9"/>
  <c r="H974" i="9"/>
  <c r="H1191" i="9"/>
  <c r="H1466" i="9"/>
  <c r="N67" i="9"/>
  <c r="H1025" i="9"/>
  <c r="H806" i="9"/>
  <c r="H777" i="9"/>
  <c r="N139" i="9"/>
  <c r="H1182" i="9"/>
  <c r="N76" i="9"/>
  <c r="H1447" i="9"/>
  <c r="H938" i="9"/>
  <c r="H846" i="9"/>
  <c r="H1261" i="9"/>
  <c r="H1489" i="9"/>
  <c r="H1293" i="9"/>
  <c r="H1255" i="9"/>
  <c r="H1413" i="9"/>
  <c r="H1517" i="9"/>
  <c r="R124" i="9"/>
  <c r="H1329" i="9"/>
  <c r="H1434" i="9"/>
  <c r="H1440" i="9"/>
  <c r="N118" i="9"/>
  <c r="R150" i="9"/>
  <c r="R91" i="9"/>
  <c r="H1409" i="9"/>
  <c r="H1324" i="9"/>
  <c r="H1127" i="9"/>
  <c r="R45" i="9"/>
  <c r="H1141" i="9"/>
  <c r="H1163" i="9"/>
  <c r="H1069" i="9"/>
  <c r="H901" i="9"/>
  <c r="H1490" i="9"/>
  <c r="N121" i="9"/>
  <c r="N84" i="9"/>
  <c r="H1275" i="9"/>
  <c r="N167" i="9"/>
  <c r="H876" i="9"/>
  <c r="N160" i="9"/>
  <c r="U160" i="9" s="1"/>
  <c r="H965" i="9"/>
  <c r="R195" i="9"/>
  <c r="N71" i="9"/>
  <c r="H1065" i="9"/>
  <c r="R128" i="9"/>
  <c r="H1123" i="9"/>
  <c r="N157" i="9"/>
  <c r="H1439" i="9"/>
  <c r="H954" i="9"/>
  <c r="H1525" i="9"/>
  <c r="H1307" i="9"/>
  <c r="R24" i="9"/>
  <c r="R92" i="9"/>
  <c r="H807" i="9"/>
  <c r="H989" i="9"/>
  <c r="H1270" i="9"/>
  <c r="H827" i="9"/>
  <c r="R122" i="9"/>
  <c r="N25" i="9"/>
  <c r="H837" i="9"/>
  <c r="H1535" i="9"/>
  <c r="H1481" i="9"/>
  <c r="R23" i="9"/>
  <c r="H1107" i="9"/>
  <c r="H1331" i="9"/>
  <c r="H1198" i="9"/>
  <c r="H1119" i="9"/>
  <c r="H994" i="9"/>
  <c r="H1282" i="9"/>
  <c r="R186" i="9"/>
  <c r="H1076" i="9"/>
  <c r="H1102" i="9"/>
  <c r="R119" i="9"/>
  <c r="H1317" i="9"/>
  <c r="H1148" i="9"/>
  <c r="N150" i="9"/>
  <c r="S150" i="9" s="1"/>
  <c r="H1288" i="9"/>
  <c r="H1392" i="9"/>
  <c r="N141" i="9"/>
  <c r="U141" i="9" s="1"/>
  <c r="H1117" i="9"/>
  <c r="N78" i="9"/>
  <c r="U78" i="9" s="1"/>
  <c r="H1264" i="9"/>
  <c r="H1181" i="9"/>
  <c r="H970" i="9"/>
  <c r="H780" i="9"/>
  <c r="H1404" i="9"/>
  <c r="H920" i="9"/>
  <c r="H871" i="9"/>
  <c r="H985" i="9"/>
  <c r="H1366" i="9"/>
  <c r="H874" i="9"/>
  <c r="H1084" i="9"/>
  <c r="H1125" i="9"/>
  <c r="H959" i="9"/>
  <c r="N196" i="9"/>
  <c r="R21" i="9"/>
  <c r="H1497" i="9"/>
  <c r="H1271" i="9"/>
  <c r="H1134" i="9"/>
  <c r="H1032" i="9"/>
  <c r="N87" i="9"/>
  <c r="S87" i="9" s="1"/>
  <c r="R51" i="9"/>
  <c r="H803" i="9"/>
  <c r="H1521" i="9"/>
  <c r="H1333" i="9"/>
  <c r="N148" i="9"/>
  <c r="U148" i="9" s="1"/>
  <c r="H1007" i="9"/>
  <c r="H925" i="9"/>
  <c r="N187" i="9"/>
  <c r="U187" i="9" s="1"/>
  <c r="R58" i="9"/>
  <c r="H1460" i="9"/>
  <c r="R138" i="9"/>
  <c r="H1047" i="9"/>
  <c r="H1444" i="9"/>
  <c r="R33" i="9"/>
  <c r="H1398" i="9"/>
  <c r="R166" i="9"/>
  <c r="H787" i="9"/>
  <c r="H1054" i="9"/>
  <c r="H936" i="9"/>
  <c r="N88" i="9"/>
  <c r="U88" i="9" s="1"/>
  <c r="H916" i="9"/>
  <c r="H1421" i="9"/>
  <c r="H1290" i="9"/>
  <c r="R12" i="9"/>
  <c r="H1458" i="9"/>
  <c r="R185" i="9"/>
  <c r="R179" i="9"/>
  <c r="H1509" i="9"/>
  <c r="H957" i="9"/>
  <c r="H1017" i="9"/>
  <c r="H1056" i="9"/>
  <c r="H960" i="9"/>
  <c r="R199" i="9"/>
  <c r="R140" i="9"/>
  <c r="H1079" i="9"/>
  <c r="H1363" i="9"/>
  <c r="N41" i="9"/>
  <c r="H1004" i="9"/>
  <c r="H867" i="9"/>
  <c r="R46" i="9"/>
  <c r="H809" i="9"/>
  <c r="N143" i="9"/>
  <c r="U143" i="9" s="1"/>
  <c r="R104" i="9"/>
  <c r="H1178" i="9"/>
  <c r="H1455" i="9"/>
  <c r="R115" i="9"/>
  <c r="H1114" i="9"/>
  <c r="H1262" i="9"/>
  <c r="H1512" i="9"/>
  <c r="N81" i="9"/>
  <c r="U81" i="9" s="1"/>
  <c r="R103" i="9"/>
  <c r="R155" i="9"/>
  <c r="H1344" i="9"/>
  <c r="H1523" i="9"/>
  <c r="H986" i="9"/>
  <c r="H927" i="9"/>
  <c r="H1075" i="9"/>
  <c r="H1064" i="9"/>
  <c r="H997" i="9"/>
  <c r="H1045" i="9"/>
  <c r="H914" i="9"/>
  <c r="R81" i="9"/>
  <c r="N152" i="9"/>
  <c r="S152" i="9" s="1"/>
  <c r="N49" i="9"/>
  <c r="U49" i="9" s="1"/>
  <c r="N163" i="9"/>
  <c r="U163" i="9" s="1"/>
  <c r="H781" i="9"/>
  <c r="H1156" i="9"/>
  <c r="H1368" i="9"/>
  <c r="H1207" i="9"/>
  <c r="H1505" i="9"/>
  <c r="H1037" i="9"/>
  <c r="H1441" i="9"/>
  <c r="H1016" i="9"/>
  <c r="H1204" i="9"/>
  <c r="H1292" i="9"/>
  <c r="H1098" i="9"/>
  <c r="H1355" i="9"/>
  <c r="H1320" i="9"/>
  <c r="H968" i="9"/>
  <c r="H1496" i="9"/>
  <c r="H1485" i="9"/>
  <c r="R84" i="9"/>
  <c r="H1468" i="9"/>
  <c r="H1051" i="9"/>
  <c r="H1103" i="9"/>
  <c r="H1310" i="9"/>
  <c r="H1131" i="9"/>
  <c r="H1540" i="9"/>
  <c r="H1201" i="9"/>
  <c r="H1484" i="9"/>
  <c r="N68" i="9"/>
  <c r="S68" i="9" s="1"/>
  <c r="R188" i="9"/>
  <c r="H1022" i="9"/>
  <c r="H1377" i="9"/>
  <c r="R131" i="9"/>
  <c r="H1196" i="9"/>
  <c r="H1185" i="9"/>
  <c r="R55" i="9"/>
  <c r="H864" i="9"/>
  <c r="N176" i="9"/>
  <c r="U176" i="9" s="1"/>
  <c r="H851" i="9"/>
  <c r="N168" i="9"/>
  <c r="H1415" i="9"/>
  <c r="H1470" i="9"/>
  <c r="H1295" i="9"/>
  <c r="N80" i="9"/>
  <c r="H930" i="9"/>
  <c r="H1346" i="9"/>
  <c r="H842" i="9"/>
  <c r="H1397" i="9"/>
  <c r="R164" i="9"/>
  <c r="H1480" i="9"/>
  <c r="N45" i="9"/>
  <c r="U45" i="9" s="1"/>
  <c r="N174" i="9"/>
  <c r="H1150" i="9"/>
  <c r="R177" i="9"/>
  <c r="H1086" i="9"/>
  <c r="R149" i="9"/>
  <c r="N63" i="9"/>
  <c r="U63" i="9" s="1"/>
  <c r="H1412" i="9"/>
  <c r="N38" i="9"/>
  <c r="S38" i="9" s="1"/>
  <c r="H833" i="9"/>
  <c r="H1343" i="9"/>
  <c r="H975" i="9"/>
  <c r="N186" i="9"/>
  <c r="H849" i="9"/>
  <c r="H944" i="9"/>
  <c r="H1387" i="9"/>
  <c r="N130" i="9"/>
  <c r="U130" i="9" s="1"/>
  <c r="H1299" i="9"/>
  <c r="N182" i="9"/>
  <c r="U182" i="9" s="1"/>
  <c r="R54" i="9"/>
  <c r="H1235" i="9"/>
  <c r="R61" i="9"/>
  <c r="H1306" i="9"/>
  <c r="R30" i="9"/>
  <c r="N198" i="9"/>
  <c r="S198" i="9" s="1"/>
  <c r="N138" i="9"/>
  <c r="H945" i="9"/>
  <c r="H953" i="9"/>
  <c r="R105" i="9"/>
  <c r="H1406" i="9"/>
  <c r="H1283" i="9"/>
  <c r="H1149" i="9"/>
  <c r="H1040" i="9"/>
  <c r="H1425" i="9"/>
  <c r="H1357" i="9"/>
  <c r="H1407" i="9"/>
  <c r="N137" i="9"/>
  <c r="U137" i="9" s="1"/>
  <c r="R125" i="9"/>
  <c r="H1215" i="9"/>
  <c r="R94" i="9"/>
  <c r="H1087" i="9"/>
  <c r="H1035" i="9"/>
  <c r="H841" i="9"/>
  <c r="H1402" i="9"/>
  <c r="H796" i="9"/>
  <c r="H1068" i="9"/>
  <c r="H1494" i="9"/>
  <c r="R178" i="9"/>
  <c r="H1309" i="9"/>
  <c r="H1319" i="9"/>
  <c r="N199" i="9"/>
  <c r="U199" i="9" s="1"/>
  <c r="H918" i="9"/>
  <c r="H1365" i="9"/>
  <c r="R143" i="9"/>
  <c r="H1520" i="9"/>
  <c r="H931" i="9"/>
  <c r="H1362" i="9"/>
  <c r="H1308" i="9"/>
  <c r="R146" i="9"/>
  <c r="R116" i="9"/>
  <c r="H1128" i="9"/>
  <c r="R98" i="9"/>
  <c r="H1379" i="9"/>
  <c r="H1223" i="9"/>
  <c r="H1364" i="9"/>
  <c r="N173" i="9"/>
  <c r="S173" i="9" s="1"/>
  <c r="H1312" i="9"/>
  <c r="H1375" i="9"/>
  <c r="H1514" i="9"/>
  <c r="H991" i="9"/>
  <c r="N135" i="9"/>
  <c r="H1456" i="9"/>
  <c r="N127" i="9"/>
  <c r="S127" i="9" s="1"/>
  <c r="H843" i="9"/>
  <c r="H999" i="9"/>
  <c r="N17" i="9"/>
  <c r="H942" i="9"/>
  <c r="R157" i="9"/>
  <c r="N103" i="9"/>
  <c r="S103" i="9" s="1"/>
  <c r="H1401" i="9"/>
  <c r="H1527" i="9"/>
  <c r="N10" i="9"/>
  <c r="U10" i="9" s="1"/>
  <c r="H1350" i="9"/>
  <c r="H1193" i="9"/>
  <c r="H1278" i="9"/>
  <c r="H1529" i="9"/>
  <c r="N52" i="9"/>
  <c r="S52" i="9" s="1"/>
  <c r="H919" i="9"/>
  <c r="N40" i="9"/>
  <c r="S40" i="9" s="1"/>
  <c r="H1099" i="9"/>
  <c r="H887" i="9"/>
  <c r="R62" i="9"/>
  <c r="H1042" i="9"/>
  <c r="H1259" i="9"/>
  <c r="H799" i="9"/>
  <c r="H1157" i="9"/>
  <c r="H805" i="9"/>
  <c r="N110" i="9"/>
  <c r="N125" i="9"/>
  <c r="U125" i="9" s="1"/>
  <c r="H1454" i="9"/>
  <c r="H862" i="9"/>
  <c r="N112" i="9"/>
  <c r="H1504" i="9"/>
  <c r="H1105" i="9"/>
  <c r="H855" i="9"/>
  <c r="H982" i="9"/>
  <c r="N82" i="9"/>
  <c r="S82" i="9" s="1"/>
  <c r="H1340" i="9"/>
  <c r="H1067" i="9"/>
  <c r="H1206" i="9"/>
  <c r="R101" i="9"/>
  <c r="R42" i="9"/>
  <c r="H1013" i="9"/>
  <c r="H783" i="9"/>
  <c r="H1060" i="9"/>
  <c r="H1015" i="9"/>
  <c r="H1408" i="9"/>
  <c r="H1285" i="9"/>
  <c r="N89" i="9"/>
  <c r="U89" i="9" s="1"/>
  <c r="H980" i="9"/>
  <c r="N98" i="9"/>
  <c r="U98" i="9" s="1"/>
  <c r="H1213" i="9"/>
  <c r="H1536" i="9"/>
  <c r="N83" i="9"/>
  <c r="S83" i="9" s="1"/>
  <c r="H875" i="9"/>
  <c r="H1338" i="9"/>
  <c r="N75" i="9"/>
  <c r="U75" i="9" s="1"/>
  <c r="N117" i="9"/>
  <c r="R112" i="9"/>
  <c r="R10" i="9"/>
  <c r="N33" i="9"/>
  <c r="S33" i="9" s="1"/>
  <c r="N99" i="9"/>
  <c r="S99" i="9" s="1"/>
  <c r="N184" i="9"/>
  <c r="S184" i="9" s="1"/>
  <c r="N51" i="9"/>
  <c r="U51" i="9" s="1"/>
  <c r="N188" i="9"/>
  <c r="U188" i="9" s="1"/>
  <c r="H1422" i="9"/>
  <c r="R161" i="9"/>
  <c r="H819" i="9"/>
  <c r="N20" i="9"/>
  <c r="S20" i="9" s="1"/>
  <c r="H1094" i="9"/>
  <c r="N123" i="9"/>
  <c r="U123" i="9" s="1"/>
  <c r="H1151" i="9"/>
  <c r="H802" i="9"/>
  <c r="H1464" i="9"/>
  <c r="N114" i="9"/>
  <c r="U114" i="9" s="1"/>
  <c r="H1467" i="9"/>
  <c r="H1400" i="9"/>
  <c r="H1354" i="9"/>
  <c r="H987" i="9"/>
  <c r="N11" i="9"/>
  <c r="S11" i="9" s="1"/>
  <c r="H1242" i="9"/>
  <c r="H966" i="9"/>
  <c r="H1002" i="9"/>
  <c r="R160" i="9"/>
  <c r="H1405" i="9"/>
  <c r="H1474" i="9"/>
  <c r="H1138" i="9"/>
  <c r="H845" i="9"/>
  <c r="N116" i="9"/>
  <c r="S116" i="9" s="1"/>
  <c r="N34" i="9"/>
  <c r="U34" i="9" s="1"/>
  <c r="H1115" i="9"/>
  <c r="H1217" i="9"/>
  <c r="H1180" i="9"/>
  <c r="H1233" i="9"/>
  <c r="R113" i="9"/>
  <c r="R32" i="9"/>
  <c r="H1162" i="9"/>
  <c r="H1093" i="9"/>
  <c r="R137" i="9"/>
  <c r="N69" i="9"/>
  <c r="H1351" i="9"/>
  <c r="H1337" i="9"/>
  <c r="H981" i="9"/>
  <c r="H1225" i="9"/>
  <c r="H978" i="9"/>
  <c r="H858" i="9"/>
  <c r="H793" i="9"/>
  <c r="H1052" i="9"/>
  <c r="H1483" i="9"/>
  <c r="N134" i="9"/>
  <c r="H1057" i="9"/>
  <c r="H1477" i="9"/>
  <c r="H1274" i="9"/>
  <c r="H1297" i="9"/>
  <c r="H1268" i="9"/>
  <c r="N43" i="9"/>
  <c r="R86" i="9"/>
  <c r="N74" i="9"/>
  <c r="H1265" i="9"/>
  <c r="H913" i="9"/>
  <c r="R78" i="9"/>
  <c r="N133" i="9"/>
  <c r="S133" i="9" s="1"/>
  <c r="H782" i="9"/>
  <c r="R72" i="9"/>
  <c r="H1155" i="9"/>
  <c r="R65" i="9"/>
  <c r="H1011" i="9"/>
  <c r="H825" i="9"/>
  <c r="H1160" i="9"/>
  <c r="H1236" i="9"/>
  <c r="R76" i="9"/>
  <c r="H1373" i="9"/>
  <c r="H1212" i="9"/>
  <c r="H1003" i="9"/>
  <c r="H1388" i="9"/>
  <c r="H899" i="9"/>
  <c r="H1188" i="9"/>
  <c r="H1502" i="9"/>
  <c r="R135" i="9"/>
  <c r="H1246" i="9"/>
  <c r="H883" i="9"/>
  <c r="H1088" i="9"/>
  <c r="H1335" i="9"/>
  <c r="H1395" i="9"/>
  <c r="N136" i="9"/>
  <c r="U136" i="9" s="1"/>
  <c r="H1132" i="9"/>
  <c r="N171" i="9"/>
  <c r="S171" i="9" s="1"/>
  <c r="H822" i="9"/>
  <c r="H1515" i="9"/>
  <c r="H830" i="9"/>
  <c r="H1187" i="9"/>
  <c r="H1063" i="9"/>
  <c r="H1369" i="9"/>
  <c r="N193" i="9"/>
  <c r="H1142" i="9"/>
  <c r="H1021" i="9"/>
  <c r="H1161" i="9"/>
  <c r="R154" i="9"/>
  <c r="H1323" i="9"/>
  <c r="H1327" i="9"/>
  <c r="H1254" i="9"/>
  <c r="H1465" i="9"/>
  <c r="H1239" i="9"/>
  <c r="H1238" i="9"/>
  <c r="N79" i="9"/>
  <c r="R100" i="9"/>
  <c r="H897" i="9"/>
  <c r="R36" i="9"/>
  <c r="H1082" i="9"/>
  <c r="H1389" i="9"/>
  <c r="H1492" i="9"/>
  <c r="H958" i="9"/>
  <c r="H1376" i="9"/>
  <c r="N111" i="9"/>
  <c r="U111" i="9" s="1"/>
  <c r="R96" i="9"/>
  <c r="H873" i="9"/>
  <c r="H1205" i="9"/>
  <c r="H1249" i="9"/>
  <c r="H1166" i="9"/>
  <c r="H1269" i="9"/>
  <c r="H1248" i="9"/>
  <c r="N22" i="9"/>
  <c r="H1279" i="9"/>
  <c r="H992" i="9"/>
  <c r="R187" i="9"/>
  <c r="H1250" i="9"/>
  <c r="H935" i="9"/>
  <c r="H973" i="9"/>
  <c r="R108" i="9"/>
  <c r="H824" i="9"/>
  <c r="N179" i="9"/>
  <c r="U179" i="9" s="1"/>
  <c r="N131" i="9"/>
  <c r="H1179" i="9"/>
  <c r="N161" i="9"/>
  <c r="S161" i="9" s="1"/>
  <c r="H951" i="9"/>
  <c r="H810" i="9"/>
  <c r="H1507" i="9"/>
  <c r="R95" i="9"/>
  <c r="H1298" i="9"/>
  <c r="H870" i="9"/>
  <c r="H1186" i="9"/>
  <c r="H1234" i="9"/>
  <c r="R109" i="9"/>
  <c r="H891" i="9"/>
  <c r="H850" i="9"/>
  <c r="R152" i="9"/>
  <c r="H834" i="9"/>
  <c r="H854" i="9"/>
  <c r="R107" i="9"/>
  <c r="N72" i="9"/>
  <c r="U72" i="9" s="1"/>
  <c r="N42" i="9"/>
  <c r="U42" i="9" s="1"/>
  <c r="N191" i="9"/>
  <c r="S191" i="9" s="1"/>
  <c r="H1459" i="9"/>
  <c r="H1257" i="9"/>
  <c r="H902" i="9"/>
  <c r="H1147" i="9"/>
  <c r="R196" i="9"/>
  <c r="H1070" i="9"/>
  <c r="H1174" i="9"/>
  <c r="H1353" i="9"/>
  <c r="R158" i="9"/>
  <c r="H1482" i="9"/>
  <c r="N23" i="9"/>
  <c r="U23" i="9" s="1"/>
  <c r="R26" i="9"/>
  <c r="H988" i="9"/>
  <c r="N109" i="9"/>
  <c r="U109" i="9" s="1"/>
  <c r="H1036" i="9"/>
  <c r="H1220" i="9"/>
  <c r="H1287" i="9"/>
  <c r="N48" i="9"/>
  <c r="U48" i="9" s="1"/>
  <c r="H1417" i="9"/>
  <c r="H889" i="9"/>
  <c r="R88" i="9"/>
  <c r="H1463" i="9"/>
  <c r="N154" i="9"/>
  <c r="H798" i="9"/>
  <c r="H1472" i="9"/>
  <c r="N90" i="9"/>
  <c r="U90" i="9" s="1"/>
  <c r="H1348" i="9"/>
  <c r="H1126" i="9"/>
  <c r="H881" i="9"/>
  <c r="H1277" i="9"/>
  <c r="H1385" i="9"/>
  <c r="H1436" i="9"/>
  <c r="H1302" i="9"/>
  <c r="H1352" i="9"/>
  <c r="N91" i="9"/>
  <c r="S91" i="9" s="1"/>
  <c r="N178" i="9"/>
  <c r="S178" i="9" s="1"/>
  <c r="N132" i="9"/>
  <c r="U132" i="9" s="1"/>
  <c r="H905" i="9"/>
  <c r="H1024" i="9"/>
  <c r="H964" i="9"/>
  <c r="H817" i="9"/>
  <c r="H812" i="9"/>
  <c r="H1243" i="9"/>
  <c r="N16" i="9"/>
  <c r="U16" i="9" s="1"/>
  <c r="H1230" i="9"/>
  <c r="H1508" i="9"/>
  <c r="N102" i="9"/>
  <c r="S102" i="9" s="1"/>
  <c r="N119" i="9"/>
  <c r="H1332" i="9"/>
  <c r="H1383" i="9"/>
  <c r="H1501" i="9"/>
  <c r="H1145" i="9"/>
  <c r="H1221" i="9"/>
  <c r="R31" i="9"/>
  <c r="H835" i="9"/>
  <c r="H1092" i="9"/>
  <c r="N149" i="9"/>
  <c r="S149" i="9" s="1"/>
  <c r="H1101" i="9"/>
  <c r="H1214" i="9"/>
  <c r="N200" i="9"/>
  <c r="S200" i="9" s="1"/>
  <c r="R126" i="9"/>
  <c r="H828" i="9"/>
  <c r="R159" i="9"/>
  <c r="R41" i="9"/>
  <c r="H1294" i="9"/>
  <c r="N58" i="9"/>
  <c r="U58" i="9" s="1"/>
  <c r="H866" i="9"/>
  <c r="H1028" i="9"/>
  <c r="H1208" i="9"/>
  <c r="H1446" i="9"/>
  <c r="N175" i="9"/>
  <c r="U175" i="9" s="1"/>
  <c r="H1519" i="9"/>
  <c r="N54" i="9"/>
  <c r="S54" i="9" s="1"/>
  <c r="R89" i="9"/>
  <c r="H1027" i="9"/>
  <c r="H1528" i="9"/>
  <c r="H1232" i="9"/>
  <c r="H797" i="9"/>
  <c r="H1030" i="9"/>
  <c r="H941" i="9"/>
  <c r="H998" i="9"/>
  <c r="H1209" i="9"/>
  <c r="H1005" i="9"/>
  <c r="H1538" i="9"/>
  <c r="H979" i="9"/>
  <c r="N128" i="9"/>
  <c r="S128" i="9" s="1"/>
  <c r="H832" i="9"/>
  <c r="H1050" i="9"/>
  <c r="H1305" i="9"/>
  <c r="R114" i="9"/>
  <c r="H1382" i="9"/>
  <c r="N97" i="9"/>
  <c r="U97" i="9" s="1"/>
  <c r="R170" i="9"/>
  <c r="H1184" i="9"/>
  <c r="H800" i="9"/>
  <c r="H786" i="9"/>
  <c r="N55" i="9"/>
  <c r="U55" i="9" s="1"/>
  <c r="H1062" i="9"/>
  <c r="H1394" i="9"/>
  <c r="H1427" i="9"/>
  <c r="H1104" i="9"/>
  <c r="S50" i="9"/>
  <c r="S39" i="9"/>
  <c r="U152" i="9"/>
  <c r="S146" i="9"/>
  <c r="U173" i="9"/>
  <c r="U116" i="9"/>
  <c r="U149" i="9"/>
  <c r="S34" i="9"/>
  <c r="U178" i="9"/>
  <c r="U164" i="9"/>
  <c r="S160" i="9"/>
  <c r="U166" i="9"/>
  <c r="U13" i="9"/>
  <c r="U191" i="9"/>
  <c r="U82" i="9"/>
  <c r="S14" i="9"/>
  <c r="S141" i="9"/>
  <c r="S63" i="9"/>
  <c r="U20" i="9"/>
  <c r="S16" i="9"/>
  <c r="S143" i="9"/>
  <c r="U161" i="9"/>
  <c r="U28" i="9"/>
  <c r="S188" i="9"/>
  <c r="U54" i="9"/>
  <c r="U26" i="9"/>
  <c r="U62" i="9"/>
  <c r="S125" i="9"/>
  <c r="U61" i="9"/>
  <c r="S10" i="9"/>
  <c r="S75" i="9"/>
  <c r="U165" i="9"/>
  <c r="U200" i="9"/>
  <c r="S90" i="9"/>
  <c r="S122" i="9"/>
  <c r="S97" i="9"/>
  <c r="S120" i="9"/>
  <c r="U91" i="9"/>
  <c r="S182" i="9"/>
  <c r="S24" i="9"/>
  <c r="U64" i="9"/>
  <c r="S81" i="9"/>
  <c r="U19" i="9"/>
  <c r="U83" i="9"/>
  <c r="U46" i="9"/>
  <c r="U11" i="9"/>
  <c r="S78" i="9"/>
  <c r="S136" i="9"/>
  <c r="S132" i="9"/>
  <c r="U31" i="9"/>
  <c r="S51" i="9"/>
  <c r="S177" i="9"/>
  <c r="U140" i="9"/>
  <c r="S23" i="9"/>
  <c r="S190" i="9"/>
  <c r="U112" i="9"/>
  <c r="S112" i="9"/>
  <c r="U127" i="9"/>
  <c r="S60" i="9"/>
  <c r="U158" i="9"/>
  <c r="S169" i="9"/>
  <c r="U169" i="9"/>
  <c r="U108" i="9"/>
  <c r="U118" i="9"/>
  <c r="S118" i="9"/>
  <c r="U56" i="9"/>
  <c r="S56" i="9"/>
  <c r="U195" i="9"/>
  <c r="U171" i="9"/>
  <c r="S22" i="9"/>
  <c r="U22" i="9"/>
  <c r="S119" i="9"/>
  <c r="U119" i="9"/>
  <c r="S69" i="9"/>
  <c r="U69" i="9"/>
  <c r="U40" i="9"/>
  <c r="S181" i="9"/>
  <c r="U181" i="9"/>
  <c r="U27" i="9"/>
  <c r="S27" i="9"/>
  <c r="S21" i="9"/>
  <c r="U94" i="9"/>
  <c r="S94" i="9"/>
  <c r="U126" i="9"/>
  <c r="S71" i="9"/>
  <c r="U71" i="9"/>
  <c r="S93" i="9"/>
  <c r="U193" i="9"/>
  <c r="S193" i="9"/>
  <c r="U66" i="9"/>
  <c r="S106" i="9"/>
  <c r="U106" i="9"/>
  <c r="U103" i="9"/>
  <c r="S98" i="9"/>
  <c r="U150" i="9"/>
  <c r="U15" i="9"/>
  <c r="S25" i="9"/>
  <c r="U25" i="9"/>
  <c r="S153" i="9"/>
  <c r="U157" i="9"/>
  <c r="S157" i="9"/>
  <c r="S84" i="9"/>
  <c r="U84" i="9"/>
  <c r="U121" i="9"/>
  <c r="S121" i="9"/>
  <c r="S12" i="9"/>
  <c r="U12" i="9"/>
  <c r="U147" i="9"/>
  <c r="S89" i="9"/>
  <c r="S74" i="9"/>
  <c r="U74" i="9"/>
  <c r="U43" i="9"/>
  <c r="S43" i="9"/>
  <c r="S175" i="9"/>
  <c r="S79" i="9"/>
  <c r="U79" i="9"/>
  <c r="U110" i="9"/>
  <c r="S110" i="9"/>
  <c r="S196" i="9"/>
  <c r="U196" i="9"/>
  <c r="S80" i="9"/>
  <c r="U80" i="9"/>
  <c r="S168" i="9"/>
  <c r="U168" i="9"/>
  <c r="U156" i="9"/>
  <c r="U139" i="9"/>
  <c r="S139" i="9"/>
  <c r="S29" i="9"/>
  <c r="U29" i="9"/>
  <c r="S162" i="9"/>
  <c r="F73" i="42"/>
  <c r="E75" i="42"/>
  <c r="A76" i="42"/>
  <c r="B75" i="42"/>
  <c r="D74" i="42"/>
  <c r="C74" i="42"/>
  <c r="G58" i="8"/>
  <c r="S47" i="9" l="1"/>
  <c r="U47" i="9"/>
  <c r="U18" i="9"/>
  <c r="S18" i="9"/>
  <c r="S53" i="9"/>
  <c r="U53" i="9"/>
  <c r="U38" i="9"/>
  <c r="S17" i="9"/>
  <c r="U17" i="9"/>
  <c r="S76" i="9"/>
  <c r="U76" i="9"/>
  <c r="S107" i="9"/>
  <c r="U107" i="9"/>
  <c r="S101" i="9"/>
  <c r="U101" i="9"/>
  <c r="S142" i="9"/>
  <c r="U142" i="9"/>
  <c r="U183" i="9"/>
  <c r="S183" i="9"/>
  <c r="U151" i="9"/>
  <c r="S151" i="9"/>
  <c r="S130" i="9"/>
  <c r="U198" i="9"/>
  <c r="U87" i="9"/>
  <c r="S49" i="9"/>
  <c r="S44" i="9"/>
  <c r="U145" i="9"/>
  <c r="S88" i="9"/>
  <c r="U184" i="9"/>
  <c r="S154" i="9"/>
  <c r="U154" i="9"/>
  <c r="U186" i="9"/>
  <c r="S186" i="9"/>
  <c r="U41" i="9"/>
  <c r="S41" i="9"/>
  <c r="U167" i="9"/>
  <c r="S167" i="9"/>
  <c r="U197" i="9"/>
  <c r="S197" i="9"/>
  <c r="U185" i="9"/>
  <c r="S189" i="9"/>
  <c r="S42" i="9"/>
  <c r="S179" i="9"/>
  <c r="U113" i="9"/>
  <c r="S114" i="9"/>
  <c r="U134" i="9"/>
  <c r="S134" i="9"/>
  <c r="S117" i="9"/>
  <c r="U117" i="9"/>
  <c r="U124" i="9"/>
  <c r="S124" i="9"/>
  <c r="S95" i="9"/>
  <c r="U95" i="9"/>
  <c r="S59" i="9"/>
  <c r="U59" i="9"/>
  <c r="U73" i="9"/>
  <c r="S73" i="9"/>
  <c r="S170" i="9"/>
  <c r="U170" i="9"/>
  <c r="S163" i="9"/>
  <c r="U35" i="9"/>
  <c r="S48" i="9"/>
  <c r="U144" i="9"/>
  <c r="U105" i="9"/>
  <c r="S148" i="9"/>
  <c r="S111" i="9"/>
  <c r="S123" i="9"/>
  <c r="U128" i="9"/>
  <c r="U192" i="9"/>
  <c r="U92" i="9"/>
  <c r="S137" i="9"/>
  <c r="S155" i="9"/>
  <c r="U99" i="9"/>
  <c r="S96" i="9"/>
  <c r="S172" i="9"/>
  <c r="U70" i="9"/>
  <c r="U135" i="9"/>
  <c r="S135" i="9"/>
  <c r="S85" i="9"/>
  <c r="U85" i="9"/>
  <c r="U77" i="9"/>
  <c r="S77" i="9"/>
  <c r="S104" i="9"/>
  <c r="U104" i="9"/>
  <c r="S159" i="9"/>
  <c r="U159" i="9"/>
  <c r="U100" i="9"/>
  <c r="S100" i="9"/>
  <c r="S57" i="9"/>
  <c r="U57" i="9"/>
  <c r="U86" i="9"/>
  <c r="S86" i="9"/>
  <c r="U52" i="9"/>
  <c r="S65" i="9"/>
  <c r="S30" i="9"/>
  <c r="S187" i="9"/>
  <c r="U33" i="9"/>
  <c r="U68" i="9"/>
  <c r="S72" i="9"/>
  <c r="U133" i="9"/>
  <c r="S199" i="9"/>
  <c r="U36" i="9"/>
  <c r="S176" i="9"/>
  <c r="S58" i="9"/>
  <c r="S109" i="9"/>
  <c r="S55" i="9"/>
  <c r="S129" i="9"/>
  <c r="S45" i="9"/>
  <c r="U102" i="9"/>
  <c r="U32" i="9"/>
  <c r="S37" i="9"/>
  <c r="U131" i="9"/>
  <c r="S131" i="9"/>
  <c r="S138" i="9"/>
  <c r="U138" i="9"/>
  <c r="S174" i="9"/>
  <c r="U174" i="9"/>
  <c r="U67" i="9"/>
  <c r="S67" i="9"/>
  <c r="S194" i="9"/>
  <c r="U194" i="9"/>
  <c r="S115" i="9"/>
  <c r="U115" i="9"/>
  <c r="S180" i="9"/>
  <c r="U180" i="9"/>
  <c r="F74" i="42"/>
  <c r="D75" i="42"/>
  <c r="C75" i="42"/>
  <c r="E76" i="42"/>
  <c r="A77" i="42"/>
  <c r="B76" i="42"/>
  <c r="G57" i="8"/>
  <c r="F75" i="42" l="1"/>
  <c r="E77" i="42"/>
  <c r="A78" i="42"/>
  <c r="B77" i="42"/>
  <c r="D76" i="42"/>
  <c r="C76" i="42"/>
  <c r="G56" i="8"/>
  <c r="J1491" i="9"/>
  <c r="J1480" i="9"/>
  <c r="J1378" i="9"/>
  <c r="J1065" i="9"/>
  <c r="J893" i="9"/>
  <c r="J1304" i="9"/>
  <c r="J993" i="9"/>
  <c r="J1391" i="9"/>
  <c r="J1083" i="9"/>
  <c r="J1021" i="9"/>
  <c r="J1438" i="9"/>
  <c r="J1045" i="9"/>
  <c r="J1339" i="9"/>
  <c r="J952" i="9"/>
  <c r="J1101" i="9"/>
  <c r="J1017" i="9"/>
  <c r="J844" i="9"/>
  <c r="J1533" i="9"/>
  <c r="J1157" i="9"/>
  <c r="J940" i="9"/>
  <c r="J906" i="9"/>
  <c r="J1267" i="9"/>
  <c r="J1360" i="9"/>
  <c r="J872" i="9"/>
  <c r="J1436" i="9"/>
  <c r="J1091" i="9"/>
  <c r="J830" i="9"/>
  <c r="J999" i="9"/>
  <c r="J1373" i="9"/>
  <c r="J1366" i="9"/>
  <c r="J883" i="9"/>
  <c r="J1313" i="9"/>
  <c r="J851" i="9"/>
  <c r="J1471" i="9"/>
  <c r="J1294" i="9"/>
  <c r="J826" i="9"/>
  <c r="J1148" i="9"/>
  <c r="J1282" i="9"/>
  <c r="J1256" i="9"/>
  <c r="J921" i="9"/>
  <c r="J951" i="9"/>
  <c r="J876" i="9"/>
  <c r="J1381" i="9"/>
  <c r="J1403" i="9"/>
  <c r="J1437" i="9"/>
  <c r="J1317" i="9"/>
  <c r="J943" i="9"/>
  <c r="J1423" i="9"/>
  <c r="J1319" i="9"/>
  <c r="J1404" i="9"/>
  <c r="J1352" i="9"/>
  <c r="J1529" i="9"/>
  <c r="J1201" i="9"/>
  <c r="J1068" i="9"/>
  <c r="J1218" i="9"/>
  <c r="J912" i="9"/>
  <c r="J1390" i="9"/>
  <c r="J885" i="9"/>
  <c r="J1431" i="9"/>
  <c r="J895" i="9"/>
  <c r="J1331" i="9"/>
  <c r="J1007" i="9"/>
  <c r="J1165" i="9"/>
  <c r="J1456" i="9"/>
  <c r="J1213" i="9"/>
  <c r="J1127" i="9"/>
  <c r="J859" i="9"/>
  <c r="J1341" i="9"/>
  <c r="J1408" i="9"/>
  <c r="J1500" i="9"/>
  <c r="J1053" i="9"/>
  <c r="J886" i="9"/>
  <c r="J894" i="9"/>
  <c r="J814" i="9"/>
  <c r="J1237" i="9"/>
  <c r="J1446" i="9"/>
  <c r="J1145" i="9"/>
  <c r="J822" i="9"/>
  <c r="J881" i="9"/>
  <c r="J1153" i="9"/>
  <c r="J860" i="9"/>
  <c r="J853" i="9"/>
  <c r="J977" i="9"/>
  <c r="J1133" i="9"/>
  <c r="J1146" i="9"/>
  <c r="J1102" i="9"/>
  <c r="J1221" i="9"/>
  <c r="J1261" i="9"/>
  <c r="J1079" i="9"/>
  <c r="J1509" i="9"/>
  <c r="J1233" i="9"/>
  <c r="J1273" i="9"/>
  <c r="J1050" i="9"/>
  <c r="J1174" i="9"/>
  <c r="J1052" i="9"/>
  <c r="J819" i="9"/>
  <c r="J1202" i="9"/>
  <c r="J1180" i="9"/>
  <c r="J1539" i="9"/>
  <c r="J863" i="9"/>
  <c r="J1246" i="9"/>
  <c r="J1188" i="9"/>
  <c r="J787" i="9"/>
  <c r="J1274" i="9"/>
  <c r="M1491" i="9"/>
  <c r="J902" i="9"/>
  <c r="J891" i="9"/>
  <c r="I1218" i="9"/>
  <c r="J1311" i="9"/>
  <c r="J1450" i="9"/>
  <c r="J1356" i="9"/>
  <c r="J828" i="9"/>
  <c r="J1396" i="9"/>
  <c r="J969" i="9"/>
  <c r="J875" i="9"/>
  <c r="J1260" i="9"/>
  <c r="J1354" i="9"/>
  <c r="J848" i="9"/>
  <c r="J850" i="9"/>
  <c r="I1341" i="9"/>
  <c r="J1000" i="9"/>
  <c r="J1167" i="9"/>
  <c r="J1136" i="9"/>
  <c r="J962" i="9"/>
  <c r="J882" i="9"/>
  <c r="J807" i="9"/>
  <c r="J1199" i="9"/>
  <c r="J928" i="9"/>
  <c r="J1036" i="9"/>
  <c r="J880" i="9"/>
  <c r="J1534" i="9"/>
  <c r="J1243" i="9"/>
  <c r="J1466" i="9"/>
  <c r="J966" i="9"/>
  <c r="J1321" i="9"/>
  <c r="J1483" i="9"/>
  <c r="J887" i="9"/>
  <c r="I1403" i="9"/>
  <c r="J832" i="9"/>
  <c r="J986" i="9"/>
  <c r="J909" i="9"/>
  <c r="J941" i="9"/>
  <c r="J1252" i="9"/>
  <c r="J1528" i="9"/>
  <c r="I1304" i="9"/>
  <c r="J1031" i="9"/>
  <c r="M1167" i="9"/>
  <c r="Q1391" i="9"/>
  <c r="I1136" i="9"/>
  <c r="J1175" i="9"/>
  <c r="J1278" i="9"/>
  <c r="J862" i="9"/>
  <c r="J1475" i="9"/>
  <c r="J1371" i="9"/>
  <c r="J1295" i="9"/>
  <c r="J843" i="9"/>
  <c r="J1144" i="9"/>
  <c r="J1155" i="9"/>
  <c r="J858" i="9"/>
  <c r="J1099" i="9"/>
  <c r="J1338" i="9"/>
  <c r="O1304" i="9"/>
  <c r="J1002" i="9"/>
  <c r="I1036" i="9"/>
  <c r="I1256" i="9"/>
  <c r="J879" i="9"/>
  <c r="I1273" i="9"/>
  <c r="Q943" i="9"/>
  <c r="Q850" i="9"/>
  <c r="I1000" i="9"/>
  <c r="J964" i="9"/>
  <c r="I872" i="9"/>
  <c r="Q858" i="9"/>
  <c r="Q1366" i="9"/>
  <c r="M1188" i="9"/>
  <c r="Q952" i="9"/>
  <c r="I1534" i="9"/>
  <c r="J954" i="9"/>
  <c r="O1218" i="9"/>
  <c r="M1202" i="9"/>
  <c r="J939" i="9"/>
  <c r="J1525" i="9"/>
  <c r="Q964" i="9"/>
  <c r="M1174" i="9"/>
  <c r="M1000" i="9"/>
  <c r="I887" i="9"/>
  <c r="J1027" i="9"/>
  <c r="J1349" i="9"/>
  <c r="Q928" i="9"/>
  <c r="M1274" i="9"/>
  <c r="M860" i="9"/>
  <c r="I1500" i="9"/>
  <c r="J1216" i="9"/>
  <c r="M891" i="9"/>
  <c r="J1123" i="9"/>
  <c r="J1207" i="9"/>
  <c r="J1448" i="9"/>
  <c r="J1229" i="9"/>
  <c r="J1428" i="9"/>
  <c r="I807" i="9"/>
  <c r="M1256" i="9"/>
  <c r="I1153" i="9"/>
  <c r="J1285" i="9"/>
  <c r="J1013" i="9"/>
  <c r="J1057" i="9"/>
  <c r="J1334" i="9"/>
  <c r="J1515" i="9"/>
  <c r="J1445" i="9"/>
  <c r="J1337" i="9"/>
  <c r="M1337" i="9" s="1"/>
  <c r="J1140" i="9"/>
  <c r="J805" i="9"/>
  <c r="J1307" i="9"/>
  <c r="J1162" i="9"/>
  <c r="J1323" i="9"/>
  <c r="J1240" i="9"/>
  <c r="J1086" i="9"/>
  <c r="J985" i="9"/>
  <c r="M985" i="9" s="1"/>
  <c r="J1430" i="9"/>
  <c r="J1223" i="9"/>
  <c r="J1056" i="9"/>
  <c r="I1056" i="9" s="1"/>
  <c r="J1048" i="9"/>
  <c r="J1301" i="9"/>
  <c r="J996" i="9"/>
  <c r="J1195" i="9"/>
  <c r="J1401" i="9"/>
  <c r="J1014" i="9"/>
  <c r="J1353" i="9"/>
  <c r="J1104" i="9"/>
  <c r="I1104" i="9" s="1"/>
  <c r="J1416" i="9"/>
  <c r="J1538" i="9"/>
  <c r="J955" i="9"/>
  <c r="J1513" i="9"/>
  <c r="Q1513" i="9" s="1"/>
  <c r="J788" i="9"/>
  <c r="J1344" i="9"/>
  <c r="J1250" i="9"/>
  <c r="J1172" i="9"/>
  <c r="I1172" i="9" s="1"/>
  <c r="J1128" i="9"/>
  <c r="J980" i="9"/>
  <c r="I980" i="9" s="1"/>
  <c r="J991" i="9"/>
  <c r="J1117" i="9"/>
  <c r="M1117" i="9" s="1"/>
  <c r="J1208" i="9"/>
  <c r="J1126" i="9"/>
  <c r="J946" i="9"/>
  <c r="J1544" i="9"/>
  <c r="M1282" i="9"/>
  <c r="J1288" i="9"/>
  <c r="J818" i="9"/>
  <c r="I818" i="9" s="1"/>
  <c r="J1325" i="9"/>
  <c r="J1130" i="9"/>
  <c r="J988" i="9"/>
  <c r="M988" i="9" s="1"/>
  <c r="J1316" i="9"/>
  <c r="J1169" i="9"/>
  <c r="J847" i="9"/>
  <c r="J1490" i="9"/>
  <c r="J1210" i="9"/>
  <c r="M1316" i="9"/>
  <c r="J1071" i="9"/>
  <c r="I1317" i="9"/>
  <c r="J1143" i="9"/>
  <c r="J808" i="9"/>
  <c r="J1137" i="9"/>
  <c r="J1094" i="9"/>
  <c r="J1427" i="9"/>
  <c r="J1335" i="9"/>
  <c r="J1176" i="9"/>
  <c r="I1223" i="9"/>
  <c r="K1223" i="9" s="1"/>
  <c r="J793" i="9"/>
  <c r="M1017" i="9"/>
  <c r="J835" i="9"/>
  <c r="J1197" i="9"/>
  <c r="J1351" i="9"/>
  <c r="J1314" i="9"/>
  <c r="Q1314" i="9" s="1"/>
  <c r="J1032" i="9"/>
  <c r="J1289" i="9"/>
  <c r="J1022" i="9"/>
  <c r="J1336" i="9"/>
  <c r="Q1223" i="9"/>
  <c r="J968" i="9"/>
  <c r="J795" i="9"/>
  <c r="Q795" i="9" s="1"/>
  <c r="J1132" i="9"/>
  <c r="J1439" i="9"/>
  <c r="Q1439" i="9" s="1"/>
  <c r="J1435" i="9"/>
  <c r="I1435" i="9" s="1"/>
  <c r="J1504" i="9"/>
  <c r="J1135" i="9"/>
  <c r="J1485" i="9"/>
  <c r="I1485" i="9" s="1"/>
  <c r="I1378" i="9"/>
  <c r="I1101" i="9"/>
  <c r="J1265" i="9"/>
  <c r="J839" i="9"/>
  <c r="J1080" i="9"/>
  <c r="J1469" i="9"/>
  <c r="M1469" i="9" s="1"/>
  <c r="M968" i="9"/>
  <c r="J1364" i="9"/>
  <c r="J1370" i="9"/>
  <c r="J1454" i="9"/>
  <c r="J1369" i="9"/>
  <c r="M1369" i="9" s="1"/>
  <c r="J936" i="9"/>
  <c r="I936" i="9" s="1"/>
  <c r="J1047" i="9"/>
  <c r="M1047" i="9" s="1"/>
  <c r="J1113" i="9"/>
  <c r="J1131" i="9"/>
  <c r="J967" i="9"/>
  <c r="M1364" i="9"/>
  <c r="J778" i="9"/>
  <c r="J1387" i="9"/>
  <c r="J1405" i="9"/>
  <c r="I1339" i="9"/>
  <c r="J1468" i="9"/>
  <c r="J1227" i="9"/>
  <c r="J1084" i="9"/>
  <c r="J989" i="9"/>
  <c r="M989" i="9" s="1"/>
  <c r="J1470" i="9"/>
  <c r="Q1470" i="9" s="1"/>
  <c r="J1478" i="9"/>
  <c r="Q1169" i="9"/>
  <c r="J1493" i="9"/>
  <c r="M1493" i="9" s="1"/>
  <c r="J852" i="9"/>
  <c r="M852" i="9" s="1"/>
  <c r="M1445" i="9"/>
  <c r="J1521" i="9"/>
  <c r="J1441" i="9"/>
  <c r="J913" i="9"/>
  <c r="M1289" i="9"/>
  <c r="I1169" i="9"/>
  <c r="J1247" i="9"/>
  <c r="J1443" i="9"/>
  <c r="J1526" i="9"/>
  <c r="J1324" i="9"/>
  <c r="J1061" i="9"/>
  <c r="J1112" i="9"/>
  <c r="J1251" i="9"/>
  <c r="J1012" i="9"/>
  <c r="J1327" i="9"/>
  <c r="M1404" i="9"/>
  <c r="M1094" i="9"/>
  <c r="J1517" i="9"/>
  <c r="M1517" i="9" s="1"/>
  <c r="Q902" i="9"/>
  <c r="I1213" i="9"/>
  <c r="M883" i="9"/>
  <c r="Q852" i="9"/>
  <c r="J1264" i="9"/>
  <c r="J1296" i="9"/>
  <c r="M1296" i="9" s="1"/>
  <c r="J1163" i="9"/>
  <c r="J884" i="9"/>
  <c r="J973" i="9"/>
  <c r="J1263" i="9"/>
  <c r="J1303" i="9"/>
  <c r="J1178" i="9"/>
  <c r="J1409" i="9"/>
  <c r="I988" i="9"/>
  <c r="J942" i="9"/>
  <c r="I942" i="9" s="1"/>
  <c r="J1379" i="9"/>
  <c r="M1379" i="9" s="1"/>
  <c r="J1350" i="9"/>
  <c r="Q1350" i="9" s="1"/>
  <c r="J1224" i="9"/>
  <c r="J1026" i="9"/>
  <c r="J1200" i="9"/>
  <c r="J1051" i="9"/>
  <c r="J1238" i="9"/>
  <c r="J825" i="9"/>
  <c r="J1076" i="9"/>
  <c r="M1076" i="9" s="1"/>
  <c r="J1422" i="9"/>
  <c r="J1058" i="9"/>
  <c r="J1134" i="9"/>
  <c r="J816" i="9"/>
  <c r="J1397" i="9"/>
  <c r="J1308" i="9"/>
  <c r="J1486" i="9"/>
  <c r="J1312" i="9"/>
  <c r="J1004" i="9"/>
  <c r="I1381" i="9"/>
  <c r="J845" i="9"/>
  <c r="J1460" i="9"/>
  <c r="J1272" i="9"/>
  <c r="J856" i="9"/>
  <c r="M856" i="9" s="1"/>
  <c r="J916" i="9"/>
  <c r="J926" i="9"/>
  <c r="J1090" i="9"/>
  <c r="J1426" i="9"/>
  <c r="J1502" i="9"/>
  <c r="M875" i="9"/>
  <c r="M1336" i="9"/>
  <c r="J1092" i="9"/>
  <c r="I1401" i="9"/>
  <c r="I1146" i="9"/>
  <c r="J1107" i="9"/>
  <c r="M1036" i="9"/>
  <c r="I1502" i="9"/>
  <c r="L1502" i="9" s="1"/>
  <c r="J978" i="9"/>
  <c r="I1202" i="9"/>
  <c r="P1213" i="9"/>
  <c r="J870" i="9"/>
  <c r="M1221" i="9"/>
  <c r="Q1251" i="9"/>
  <c r="J837" i="9"/>
  <c r="J1150" i="9"/>
  <c r="I1408" i="9"/>
  <c r="K1408" i="9" s="1"/>
  <c r="I1197" i="9"/>
  <c r="J1077" i="9"/>
  <c r="O1403" i="9"/>
  <c r="Q1162" i="9"/>
  <c r="J1115" i="9"/>
  <c r="J871" i="9"/>
  <c r="J1498" i="9"/>
  <c r="M1007" i="9"/>
  <c r="I885" i="9"/>
  <c r="M1224" i="9"/>
  <c r="L1317" i="9"/>
  <c r="Q1450" i="9"/>
  <c r="P1403" i="9"/>
  <c r="I826" i="9"/>
  <c r="M1483" i="9"/>
  <c r="J1122" i="9"/>
  <c r="I1122" i="9" s="1"/>
  <c r="Q1468" i="9"/>
  <c r="M1079" i="9"/>
  <c r="L1104" i="9"/>
  <c r="Q1493" i="9"/>
  <c r="Q1498" i="9"/>
  <c r="L1197" i="9"/>
  <c r="I967" i="9"/>
  <c r="I1071" i="9"/>
  <c r="I1379" i="9"/>
  <c r="M969" i="9"/>
  <c r="Q1319" i="9"/>
  <c r="L818" i="9"/>
  <c r="Q1296" i="9"/>
  <c r="M1441" i="9"/>
  <c r="L1000" i="9"/>
  <c r="M1022" i="9"/>
  <c r="I845" i="9"/>
  <c r="L1202" i="9"/>
  <c r="I1002" i="9"/>
  <c r="I1263" i="9"/>
  <c r="M1278" i="9"/>
  <c r="I1308" i="9"/>
  <c r="L1036" i="9"/>
  <c r="Q1178" i="9"/>
  <c r="I1133" i="9"/>
  <c r="M1335" i="9"/>
  <c r="M1247" i="9"/>
  <c r="J1418" i="9"/>
  <c r="J972" i="9"/>
  <c r="J1093" i="9"/>
  <c r="Q1246" i="9"/>
  <c r="I847" i="9"/>
  <c r="I1150" i="9"/>
  <c r="J1151" i="9"/>
  <c r="I787" i="9"/>
  <c r="J1524" i="9"/>
  <c r="J1412" i="9"/>
  <c r="J1192" i="9"/>
  <c r="M1176" i="9"/>
  <c r="M1172" i="9"/>
  <c r="Q1336" i="9"/>
  <c r="J791" i="9"/>
  <c r="I1047" i="9"/>
  <c r="Q1172" i="9"/>
  <c r="J1496" i="9"/>
  <c r="J945" i="9"/>
  <c r="J1214" i="9"/>
  <c r="J1451" i="9"/>
  <c r="M946" i="9"/>
  <c r="Q847" i="9"/>
  <c r="I1285" i="9"/>
  <c r="I1163" i="9"/>
  <c r="J1042" i="9"/>
  <c r="J998" i="9"/>
  <c r="M1521" i="9"/>
  <c r="M1431" i="9"/>
  <c r="J780" i="9"/>
  <c r="J1226" i="9"/>
  <c r="I1226" i="9" s="1"/>
  <c r="J815" i="9"/>
  <c r="J1476" i="9"/>
  <c r="J1075" i="9"/>
  <c r="J1315" i="9"/>
  <c r="J888" i="9"/>
  <c r="J1402" i="9"/>
  <c r="J1330" i="9"/>
  <c r="J1530" i="9"/>
  <c r="J1138" i="9"/>
  <c r="J1262" i="9"/>
  <c r="J1328" i="9"/>
  <c r="J1038" i="9"/>
  <c r="J908" i="9"/>
  <c r="J1063" i="9"/>
  <c r="J1019" i="9"/>
  <c r="M1515" i="9"/>
  <c r="J1241" i="9"/>
  <c r="J920" i="9"/>
  <c r="Q888" i="9"/>
  <c r="J1458" i="9"/>
  <c r="M1458" i="9" s="1"/>
  <c r="J1111" i="9"/>
  <c r="J1103" i="9"/>
  <c r="J958" i="9"/>
  <c r="J919" i="9"/>
  <c r="J1194" i="9"/>
  <c r="M1194" i="9" s="1"/>
  <c r="Q1480" i="9"/>
  <c r="J1088" i="9"/>
  <c r="J959" i="9"/>
  <c r="J1511" i="9"/>
  <c r="J956" i="9"/>
  <c r="J1346" i="9"/>
  <c r="J997" i="9"/>
  <c r="I997" i="9" s="1"/>
  <c r="J905" i="9"/>
  <c r="J1073" i="9"/>
  <c r="J1440" i="9"/>
  <c r="J1442" i="9"/>
  <c r="I991" i="9"/>
  <c r="J1095" i="9"/>
  <c r="Q1544" i="9"/>
  <c r="J781" i="9"/>
  <c r="J1492" i="9"/>
  <c r="M1091" i="9"/>
  <c r="M1440" i="9"/>
  <c r="J1230" i="9"/>
  <c r="J1171" i="9"/>
  <c r="J1506" i="9"/>
  <c r="J1417" i="9"/>
  <c r="J1326" i="9"/>
  <c r="J1395" i="9"/>
  <c r="J1225" i="9"/>
  <c r="J1232" i="9"/>
  <c r="J829" i="9"/>
  <c r="J1386" i="9"/>
  <c r="J1234" i="9"/>
  <c r="M1234" i="9" s="1"/>
  <c r="J1142" i="9"/>
  <c r="J925" i="9"/>
  <c r="J1236" i="9"/>
  <c r="J873" i="9"/>
  <c r="M873" i="9" s="1"/>
  <c r="J1024" i="9"/>
  <c r="J1154" i="9"/>
  <c r="Q1417" i="9"/>
  <c r="I1065" i="9"/>
  <c r="M1304" i="9"/>
  <c r="I1045" i="9"/>
  <c r="L1045" i="9" s="1"/>
  <c r="J1398" i="9"/>
  <c r="J866" i="9"/>
  <c r="J864" i="9"/>
  <c r="Q864" i="9" s="1"/>
  <c r="J915" i="9"/>
  <c r="J1043" i="9"/>
  <c r="J1239" i="9"/>
  <c r="J1495" i="9"/>
  <c r="I985" i="9"/>
  <c r="O985" i="9" s="1"/>
  <c r="J1184" i="9"/>
  <c r="J935" i="9"/>
  <c r="J1212" i="9"/>
  <c r="J1372" i="9"/>
  <c r="J804" i="9"/>
  <c r="J1283" i="9"/>
  <c r="J979" i="9"/>
  <c r="J1220" i="9"/>
  <c r="J1291" i="9"/>
  <c r="M1291" i="9" s="1"/>
  <c r="J1512" i="9"/>
  <c r="J910" i="9"/>
  <c r="J1185" i="9"/>
  <c r="Q1485" i="9"/>
  <c r="J1457" i="9"/>
  <c r="J1268" i="9"/>
  <c r="J1510" i="9"/>
  <c r="J1072" i="9"/>
  <c r="J1464" i="9"/>
  <c r="J1245" i="9"/>
  <c r="I1366" i="9"/>
  <c r="L1366" i="9" s="1"/>
  <c r="J1449" i="9"/>
  <c r="J901" i="9"/>
  <c r="J861" i="9"/>
  <c r="J1161" i="9"/>
  <c r="J1041" i="9"/>
  <c r="J1242" i="9"/>
  <c r="J1078" i="9"/>
  <c r="Q1403" i="9"/>
  <c r="J1407" i="9"/>
  <c r="J947" i="9"/>
  <c r="J960" i="9"/>
  <c r="J953" i="9"/>
  <c r="J1269" i="9"/>
  <c r="Q951" i="9"/>
  <c r="J1332" i="9"/>
  <c r="J1484" i="9"/>
  <c r="J1482" i="9"/>
  <c r="J1118" i="9"/>
  <c r="I876" i="9"/>
  <c r="M1476" i="9"/>
  <c r="J854" i="9"/>
  <c r="J803" i="9"/>
  <c r="J1198" i="9"/>
  <c r="J1384" i="9"/>
  <c r="J1537" i="9"/>
  <c r="J833" i="9"/>
  <c r="J1124" i="9"/>
  <c r="J929" i="9"/>
  <c r="Q1395" i="9"/>
  <c r="Q1267" i="9"/>
  <c r="J1244" i="9"/>
  <c r="Q1244" i="9" s="1"/>
  <c r="M1038" i="9"/>
  <c r="J1320" i="9"/>
  <c r="J1275" i="9"/>
  <c r="J1357" i="9"/>
  <c r="Q1357" i="9" s="1"/>
  <c r="J1006" i="9"/>
  <c r="J1306" i="9"/>
  <c r="J976" i="9"/>
  <c r="I1188" i="9"/>
  <c r="I888" i="9"/>
  <c r="J1368" i="9"/>
  <c r="Q1521" i="9"/>
  <c r="J1374" i="9"/>
  <c r="J914" i="9"/>
  <c r="J995" i="9"/>
  <c r="I995" i="9" s="1"/>
  <c r="M1500" i="9"/>
  <c r="M1436" i="9"/>
  <c r="I1289" i="9"/>
  <c r="J1467" i="9"/>
  <c r="J1527" i="9"/>
  <c r="J1062" i="9"/>
  <c r="J1290" i="9"/>
  <c r="J1060" i="9"/>
  <c r="J1257" i="9"/>
  <c r="J1279" i="9"/>
  <c r="J950" i="9"/>
  <c r="J1322" i="9"/>
  <c r="J1005" i="9"/>
  <c r="Q1454" i="9"/>
  <c r="J789" i="9"/>
  <c r="Q789" i="9" s="1"/>
  <c r="J982" i="9"/>
  <c r="J1025" i="9"/>
  <c r="J1035" i="9"/>
  <c r="M925" i="9"/>
  <c r="J1394" i="9"/>
  <c r="Q1394" i="9" s="1"/>
  <c r="J1400" i="9"/>
  <c r="M1400" i="9" s="1"/>
  <c r="J1358" i="9"/>
  <c r="I1358" i="9" s="1"/>
  <c r="M1401" i="9"/>
  <c r="J1067" i="9"/>
  <c r="I1067" i="9" s="1"/>
  <c r="M1378" i="9"/>
  <c r="J1536" i="9"/>
  <c r="J1015" i="9"/>
  <c r="J1203" i="9"/>
  <c r="J1432" i="9"/>
  <c r="M1142" i="9"/>
  <c r="I973" i="9"/>
  <c r="P973" i="9" s="1"/>
  <c r="J865" i="9"/>
  <c r="J932" i="9"/>
  <c r="I932" i="9" s="1"/>
  <c r="Q1213" i="9"/>
  <c r="Q808" i="9"/>
  <c r="M1218" i="9"/>
  <c r="I962" i="9"/>
  <c r="J1023" i="9"/>
  <c r="J1266" i="9"/>
  <c r="J1085" i="9"/>
  <c r="J823" i="9"/>
  <c r="J779" i="9"/>
  <c r="J1187" i="9"/>
  <c r="J965" i="9"/>
  <c r="M965" i="9" s="1"/>
  <c r="J1481" i="9"/>
  <c r="J1462" i="9"/>
  <c r="Q1239" i="9"/>
  <c r="O936" i="9"/>
  <c r="I1471" i="9"/>
  <c r="J809" i="9"/>
  <c r="Q1370" i="9"/>
  <c r="J1029" i="9"/>
  <c r="Q1528" i="9"/>
  <c r="I1048" i="9"/>
  <c r="Q1422" i="9"/>
  <c r="M1138" i="9"/>
  <c r="M1426" i="9"/>
  <c r="Q1527" i="9"/>
  <c r="M845" i="9"/>
  <c r="I1513" i="9"/>
  <c r="I1099" i="9"/>
  <c r="J1054" i="9"/>
  <c r="Q1484" i="9"/>
  <c r="I1026" i="9"/>
  <c r="Q876" i="9"/>
  <c r="M1144" i="9"/>
  <c r="I910" i="9"/>
  <c r="P910" i="9" s="1"/>
  <c r="J1463" i="9"/>
  <c r="K1435" i="9"/>
  <c r="Q966" i="9"/>
  <c r="K876" i="9"/>
  <c r="M818" i="9"/>
  <c r="I843" i="9"/>
  <c r="M815" i="9"/>
  <c r="I828" i="9"/>
  <c r="Q1396" i="9"/>
  <c r="J1189" i="9"/>
  <c r="I1282" i="9"/>
  <c r="J1039" i="9"/>
  <c r="Q1510" i="9"/>
  <c r="I1043" i="9"/>
  <c r="J1116" i="9"/>
  <c r="I1314" i="9"/>
  <c r="J1219" i="9"/>
  <c r="P826" i="9"/>
  <c r="J1309" i="9"/>
  <c r="M1539" i="9"/>
  <c r="I1208" i="9"/>
  <c r="K1208" i="9" s="1"/>
  <c r="J811" i="9"/>
  <c r="Q811" i="9" s="1"/>
  <c r="J838" i="9"/>
  <c r="J1030" i="9"/>
  <c r="M1030" i="9" s="1"/>
  <c r="J1147" i="9"/>
  <c r="I1147" i="9" s="1"/>
  <c r="J904" i="9"/>
  <c r="J974" i="9"/>
  <c r="J1516" i="9"/>
  <c r="J1410" i="9"/>
  <c r="J1046" i="9"/>
  <c r="J1008" i="9"/>
  <c r="M1008" i="9" s="1"/>
  <c r="J1355" i="9"/>
  <c r="J1540" i="9"/>
  <c r="Q1540" i="9" s="1"/>
  <c r="J1016" i="9"/>
  <c r="J1003" i="9"/>
  <c r="Q904" i="9"/>
  <c r="J1258" i="9"/>
  <c r="M1258" i="9" s="1"/>
  <c r="J1389" i="9"/>
  <c r="Q1389" i="9" s="1"/>
  <c r="J1425" i="9"/>
  <c r="J1347" i="9"/>
  <c r="Q1347" i="9" s="1"/>
  <c r="I996" i="9"/>
  <c r="J1168" i="9"/>
  <c r="J1248" i="9"/>
  <c r="Q1248" i="9" s="1"/>
  <c r="J1044" i="9"/>
  <c r="J1235" i="9"/>
  <c r="Q1235" i="9" s="1"/>
  <c r="J1503" i="9"/>
  <c r="J1287" i="9"/>
  <c r="J1453" i="9"/>
  <c r="M1453" i="9" s="1"/>
  <c r="I958" i="9"/>
  <c r="J1064" i="9"/>
  <c r="J1228" i="9"/>
  <c r="J1477" i="9"/>
  <c r="Q1477" i="9" s="1"/>
  <c r="J831" i="9"/>
  <c r="J1034" i="9"/>
  <c r="J963" i="9"/>
  <c r="J849" i="9"/>
  <c r="M849" i="9" s="1"/>
  <c r="M956" i="9"/>
  <c r="J1541" i="9"/>
  <c r="J934" i="9"/>
  <c r="Q934" i="9" s="1"/>
  <c r="J1329" i="9"/>
  <c r="J1209" i="9"/>
  <c r="J792" i="9"/>
  <c r="J890" i="9"/>
  <c r="J855" i="9"/>
  <c r="M1063" i="9"/>
  <c r="J797" i="9"/>
  <c r="J918" i="9"/>
  <c r="I814" i="9"/>
  <c r="O814" i="9" s="1"/>
  <c r="J813" i="9"/>
  <c r="I813" i="9" s="1"/>
  <c r="J841" i="9"/>
  <c r="J984" i="9"/>
  <c r="J1149" i="9"/>
  <c r="J1348" i="9"/>
  <c r="J1020" i="9"/>
  <c r="J786" i="9"/>
  <c r="J1532" i="9"/>
  <c r="Q1532" i="9" s="1"/>
  <c r="J1070" i="9"/>
  <c r="J1377" i="9"/>
  <c r="Q1377" i="9" s="1"/>
  <c r="I1521" i="9"/>
  <c r="I955" i="9"/>
  <c r="K955" i="9" s="1"/>
  <c r="J801" i="9"/>
  <c r="J1193" i="9"/>
  <c r="J1010" i="9"/>
  <c r="I1010" i="9" s="1"/>
  <c r="J1001" i="9"/>
  <c r="J1141" i="9"/>
  <c r="M934" i="9"/>
  <c r="J1518" i="9"/>
  <c r="J1459" i="9"/>
  <c r="J1186" i="9"/>
  <c r="M1186" i="9" s="1"/>
  <c r="M1197" i="9"/>
  <c r="J1129" i="9"/>
  <c r="J824" i="9"/>
  <c r="Q824" i="9" s="1"/>
  <c r="J1177" i="9"/>
  <c r="Q856" i="9"/>
  <c r="I1462" i="9"/>
  <c r="J1292" i="9"/>
  <c r="M841" i="9"/>
  <c r="M982" i="9"/>
  <c r="M1102" i="9"/>
  <c r="J1081" i="9"/>
  <c r="I926" i="9"/>
  <c r="M1045" i="9"/>
  <c r="M1534" i="9"/>
  <c r="I1134" i="9"/>
  <c r="Q958" i="9"/>
  <c r="J1413" i="9"/>
  <c r="M993" i="9"/>
  <c r="I1234" i="9"/>
  <c r="M1081" i="9"/>
  <c r="I804" i="9"/>
  <c r="O1197" i="9"/>
  <c r="I1228" i="9"/>
  <c r="K1213" i="9"/>
  <c r="I1038" i="9"/>
  <c r="M1122" i="9"/>
  <c r="Q1275" i="9"/>
  <c r="M1061" i="9"/>
  <c r="Q818" i="9"/>
  <c r="I808" i="9"/>
  <c r="M1169" i="9"/>
  <c r="I1335" i="9"/>
  <c r="J1018" i="9"/>
  <c r="J1385" i="9"/>
  <c r="Q1536" i="9"/>
  <c r="J1461" i="9"/>
  <c r="Q1193" i="9"/>
  <c r="M967" i="9"/>
  <c r="M831" i="9"/>
  <c r="I1391" i="9"/>
  <c r="I1075" i="9"/>
  <c r="I1491" i="9"/>
  <c r="M1294" i="9"/>
  <c r="Q1165" i="9"/>
  <c r="M1266" i="9"/>
  <c r="I816" i="9"/>
  <c r="M1026" i="9"/>
  <c r="M1422" i="9"/>
  <c r="I1482" i="9"/>
  <c r="P1169" i="9"/>
  <c r="I1309" i="9"/>
  <c r="L1471" i="9"/>
  <c r="I781" i="9"/>
  <c r="M1319" i="9"/>
  <c r="Q1263" i="9"/>
  <c r="K1065" i="9"/>
  <c r="Q1199" i="9"/>
  <c r="O826" i="9"/>
  <c r="M1498" i="9"/>
  <c r="M1540" i="9"/>
  <c r="K1314" i="9"/>
  <c r="Q1451" i="9"/>
  <c r="I1212" i="9"/>
  <c r="J903" i="9"/>
  <c r="I1155" i="9"/>
  <c r="L1065" i="9"/>
  <c r="I1495" i="9"/>
  <c r="O807" i="9"/>
  <c r="M1189" i="9"/>
  <c r="J1280" i="9"/>
  <c r="Q881" i="9"/>
  <c r="P1317" i="9"/>
  <c r="Q1427" i="9"/>
  <c r="I950" i="9"/>
  <c r="M1386" i="9"/>
  <c r="M1288" i="9"/>
  <c r="O1208" i="9"/>
  <c r="M1264" i="9"/>
  <c r="M1195" i="9"/>
  <c r="I1261" i="9"/>
  <c r="O1379" i="9"/>
  <c r="L967" i="9"/>
  <c r="I1353" i="9"/>
  <c r="L1146" i="9"/>
  <c r="M1430" i="9"/>
  <c r="M1391" i="9"/>
  <c r="I1225" i="9"/>
  <c r="L1155" i="9"/>
  <c r="K1521" i="9"/>
  <c r="I968" i="9"/>
  <c r="I1288" i="9"/>
  <c r="I1140" i="9"/>
  <c r="Q940" i="9"/>
  <c r="M848" i="9"/>
  <c r="M1016" i="9"/>
  <c r="J981" i="9"/>
  <c r="J785" i="9"/>
  <c r="I1369" i="9"/>
  <c r="M1058" i="9"/>
  <c r="Q1339" i="9"/>
  <c r="J1433" i="9"/>
  <c r="Q1337" i="9"/>
  <c r="L807" i="9"/>
  <c r="Q1504" i="9"/>
  <c r="O847" i="9"/>
  <c r="J1383" i="9"/>
  <c r="M1438" i="9"/>
  <c r="Q926" i="9"/>
  <c r="I1258" i="9"/>
  <c r="J990" i="9"/>
  <c r="M1025" i="9"/>
  <c r="M1015" i="9"/>
  <c r="Q781" i="9"/>
  <c r="Q853" i="9"/>
  <c r="Q1216" i="9"/>
  <c r="I1509" i="9"/>
  <c r="L1534" i="9"/>
  <c r="K1150" i="9"/>
  <c r="M906" i="9"/>
  <c r="I793" i="9"/>
  <c r="L926" i="9"/>
  <c r="M1317" i="9"/>
  <c r="Q1186" i="9"/>
  <c r="K1309" i="9"/>
  <c r="Q1332" i="9"/>
  <c r="I1360" i="9"/>
  <c r="J1318" i="9"/>
  <c r="P1202" i="9"/>
  <c r="I880" i="9"/>
  <c r="M786" i="9"/>
  <c r="I1148" i="9"/>
  <c r="L1391" i="9"/>
  <c r="K847" i="9"/>
  <c r="Q1301" i="9"/>
  <c r="Q832" i="9"/>
  <c r="Q1379" i="9"/>
  <c r="J1160" i="9"/>
  <c r="M1287" i="9"/>
  <c r="Q872" i="9"/>
  <c r="M792" i="9"/>
  <c r="M1124" i="9"/>
  <c r="Q1469" i="9"/>
  <c r="J897" i="9"/>
  <c r="J1300" i="9"/>
  <c r="I1515" i="9"/>
  <c r="I1084" i="9"/>
  <c r="M1012" i="9"/>
  <c r="L973" i="9"/>
  <c r="M1252" i="9"/>
  <c r="Q1265" i="9"/>
  <c r="J1380" i="9"/>
  <c r="M1374" i="9"/>
  <c r="M863" i="9"/>
  <c r="I1149" i="9"/>
  <c r="I1430" i="9"/>
  <c r="J846" i="9"/>
  <c r="J1049" i="9"/>
  <c r="Q1237" i="9"/>
  <c r="I865" i="9"/>
  <c r="Q822" i="9"/>
  <c r="M1141" i="9"/>
  <c r="I1083" i="9"/>
  <c r="Q1405" i="9"/>
  <c r="Q780" i="9"/>
  <c r="O1285" i="9"/>
  <c r="I1506" i="9"/>
  <c r="I1185" i="9"/>
  <c r="M1368" i="9"/>
  <c r="Q801" i="9"/>
  <c r="I1216" i="9"/>
  <c r="J869" i="9"/>
  <c r="M1002" i="9"/>
  <c r="J1494" i="9"/>
  <c r="M1467" i="9"/>
  <c r="Q1511" i="9"/>
  <c r="I822" i="9"/>
  <c r="I1459" i="9"/>
  <c r="I1127" i="9"/>
  <c r="K1459" i="9"/>
  <c r="M1127" i="9"/>
  <c r="O813" i="9"/>
  <c r="M885" i="9"/>
  <c r="I916" i="9"/>
  <c r="M1155" i="9"/>
  <c r="M803" i="9"/>
  <c r="Q1272" i="9"/>
  <c r="J892" i="9"/>
  <c r="P1381" i="9"/>
  <c r="O1353" i="9"/>
  <c r="Q1387" i="9"/>
  <c r="O1163" i="9"/>
  <c r="P962" i="9"/>
  <c r="I1064" i="9"/>
  <c r="I1494" i="9"/>
  <c r="M942" i="9"/>
  <c r="K1358" i="9"/>
  <c r="O1308" i="9"/>
  <c r="I1248" i="9"/>
  <c r="Q912" i="9"/>
  <c r="K1339" i="9"/>
  <c r="M1135" i="9"/>
  <c r="L1067" i="9"/>
  <c r="L1482" i="9"/>
  <c r="J1455" i="9"/>
  <c r="I1349" i="9"/>
  <c r="O926" i="9"/>
  <c r="I1292" i="9"/>
  <c r="Q1515" i="9"/>
  <c r="M1251" i="9"/>
  <c r="Q1192" i="9"/>
  <c r="I1319" i="9"/>
  <c r="L808" i="9"/>
  <c r="L1225" i="9"/>
  <c r="K1494" i="9"/>
  <c r="M1101" i="9"/>
  <c r="M1233" i="9"/>
  <c r="M1228" i="9"/>
  <c r="J1345" i="9"/>
  <c r="I921" i="9"/>
  <c r="Q879" i="9"/>
  <c r="I1024" i="9"/>
  <c r="J1205" i="9"/>
  <c r="K926" i="9"/>
  <c r="O816" i="9"/>
  <c r="M1054" i="9"/>
  <c r="I1144" i="9"/>
  <c r="K885" i="9"/>
  <c r="P814" i="9"/>
  <c r="J1196" i="9"/>
  <c r="I1433" i="9"/>
  <c r="Q965" i="9"/>
  <c r="Q861" i="9"/>
  <c r="M1065" i="9"/>
  <c r="O880" i="9"/>
  <c r="I928" i="9"/>
  <c r="I929" i="9"/>
  <c r="O1482" i="9"/>
  <c r="M894" i="9"/>
  <c r="M1395" i="9"/>
  <c r="I1516" i="9"/>
  <c r="K1471" i="9"/>
  <c r="K887" i="9"/>
  <c r="I1081" i="9"/>
  <c r="P1256" i="9"/>
  <c r="K1369" i="9"/>
  <c r="K1153" i="9"/>
  <c r="Q1189" i="9"/>
  <c r="L872" i="9"/>
  <c r="I1416" i="9"/>
  <c r="I1385" i="9"/>
  <c r="L1485" i="9"/>
  <c r="M990" i="9"/>
  <c r="O1223" i="9"/>
  <c r="I795" i="9"/>
  <c r="Q1205" i="9"/>
  <c r="Q1334" i="9"/>
  <c r="I1441" i="9"/>
  <c r="Q1274" i="9"/>
  <c r="I791" i="9"/>
  <c r="I892" i="9"/>
  <c r="P1433" i="9"/>
  <c r="Q1196" i="9"/>
  <c r="K1349" i="9"/>
  <c r="P795" i="9"/>
  <c r="M1437" i="9"/>
  <c r="Q839" i="9"/>
  <c r="Q1502" i="9"/>
  <c r="K1000" i="9"/>
  <c r="J1040" i="9"/>
  <c r="J1105" i="9"/>
  <c r="M1105" i="9" s="1"/>
  <c r="J1365" i="9"/>
  <c r="J1222" i="9"/>
  <c r="Q1222" i="9" s="1"/>
  <c r="J1190" i="9"/>
  <c r="M943" i="9"/>
  <c r="J1119" i="9"/>
  <c r="M1119" i="9" s="1"/>
  <c r="I1301" i="9"/>
  <c r="L1301" i="9" s="1"/>
  <c r="J1429" i="9"/>
  <c r="I1429" i="9" s="1"/>
  <c r="J800" i="9"/>
  <c r="J820" i="9"/>
  <c r="J1069" i="9"/>
  <c r="J1089" i="9"/>
  <c r="J1508" i="9"/>
  <c r="M1425" i="9"/>
  <c r="P1223" i="9"/>
  <c r="J1420" i="9"/>
  <c r="J1055" i="9"/>
  <c r="M1055" i="9" s="1"/>
  <c r="J1191" i="9"/>
  <c r="J983" i="9"/>
  <c r="M983" i="9" s="1"/>
  <c r="Q838" i="9"/>
  <c r="J1388" i="9"/>
  <c r="J1479" i="9"/>
  <c r="J1181" i="9"/>
  <c r="J1284" i="9"/>
  <c r="J1183" i="9"/>
  <c r="Q1183" i="9" s="1"/>
  <c r="M1351" i="9"/>
  <c r="Q1355" i="9"/>
  <c r="I1490" i="9"/>
  <c r="J1519" i="9"/>
  <c r="J1170" i="9"/>
  <c r="M1170" i="9" s="1"/>
  <c r="J1253" i="9"/>
  <c r="I1328" i="9"/>
  <c r="K1328" i="9" s="1"/>
  <c r="J922" i="9"/>
  <c r="J927" i="9"/>
  <c r="Q1316" i="9"/>
  <c r="J944" i="9"/>
  <c r="J911" i="9"/>
  <c r="Q911" i="9" s="1"/>
  <c r="J961" i="9"/>
  <c r="I1400" i="9"/>
  <c r="J1277" i="9"/>
  <c r="M1277" i="9" s="1"/>
  <c r="M807" i="9"/>
  <c r="P1471" i="9"/>
  <c r="L1328" i="9"/>
  <c r="J1108" i="9"/>
  <c r="I1347" i="9"/>
  <c r="Q1304" i="9"/>
  <c r="M795" i="9"/>
  <c r="Q1351" i="9"/>
  <c r="M1502" i="9"/>
  <c r="M996" i="9"/>
  <c r="J878" i="9"/>
  <c r="P1304" i="9"/>
  <c r="I1060" i="9"/>
  <c r="I1072" i="9"/>
  <c r="K1072" i="9" s="1"/>
  <c r="J987" i="9"/>
  <c r="I1077" i="9"/>
  <c r="Q1208" i="9"/>
  <c r="M1486" i="9"/>
  <c r="Q1437" i="9"/>
  <c r="I1195" i="9"/>
  <c r="P1195" i="9" s="1"/>
  <c r="M1269" i="9"/>
  <c r="Q1266" i="9"/>
  <c r="O1534" i="9"/>
  <c r="L813" i="9"/>
  <c r="Q819" i="9"/>
  <c r="O876" i="9"/>
  <c r="I1132" i="9"/>
  <c r="I1103" i="9"/>
  <c r="I1091" i="9"/>
  <c r="Q1416" i="9"/>
  <c r="Q1402" i="9"/>
  <c r="M1149" i="9"/>
  <c r="M1147" i="9"/>
  <c r="I915" i="9"/>
  <c r="I811" i="9"/>
  <c r="Q968" i="9"/>
  <c r="J821" i="9"/>
  <c r="I1230" i="9"/>
  <c r="L936" i="9"/>
  <c r="L1358" i="9"/>
  <c r="O1328" i="9"/>
  <c r="I1189" i="9"/>
  <c r="J806" i="9"/>
  <c r="Q1233" i="9"/>
  <c r="M1104" i="9"/>
  <c r="M1199" i="9"/>
  <c r="I823" i="9"/>
  <c r="M1439" i="9"/>
  <c r="I1192" i="9"/>
  <c r="M1093" i="9"/>
  <c r="I1334" i="9"/>
  <c r="L781" i="9"/>
  <c r="M828" i="9"/>
  <c r="I1322" i="9"/>
  <c r="K962" i="9"/>
  <c r="M1240" i="9"/>
  <c r="K1502" i="9"/>
  <c r="M809" i="9"/>
  <c r="M1168" i="9"/>
  <c r="Q954" i="9"/>
  <c r="L804" i="9"/>
  <c r="P828" i="9"/>
  <c r="K872" i="9"/>
  <c r="J1419" i="9"/>
  <c r="I1419" i="9"/>
  <c r="I1023" i="9"/>
  <c r="I848" i="9"/>
  <c r="P848" i="9" s="1"/>
  <c r="L996" i="9"/>
  <c r="M1265" i="9"/>
  <c r="O818" i="9"/>
  <c r="M1527" i="9"/>
  <c r="M1013" i="9"/>
  <c r="Q950" i="9"/>
  <c r="M1019" i="9"/>
  <c r="M787" i="9"/>
  <c r="J1028" i="9"/>
  <c r="M1134" i="9"/>
  <c r="J1139" i="9"/>
  <c r="Q1445" i="9"/>
  <c r="J1179" i="9"/>
  <c r="L1048" i="9"/>
  <c r="I1050" i="9"/>
  <c r="I841" i="9"/>
  <c r="K841" i="9" s="1"/>
  <c r="J1363" i="9"/>
  <c r="I1445" i="9"/>
  <c r="Q1180" i="9"/>
  <c r="M1352" i="9"/>
  <c r="Q829" i="9"/>
  <c r="J1523" i="9"/>
  <c r="M1327" i="9"/>
  <c r="J1098" i="9"/>
  <c r="M1468" i="9"/>
  <c r="I914" i="9"/>
  <c r="M1363" i="9"/>
  <c r="L1369" i="9"/>
  <c r="I1242" i="9"/>
  <c r="I1187" i="9"/>
  <c r="K1187" i="9" s="1"/>
  <c r="Q859" i="9"/>
  <c r="J1376" i="9"/>
  <c r="Q956" i="9"/>
  <c r="I1246" i="9"/>
  <c r="Q1354" i="9"/>
  <c r="J1152" i="9"/>
  <c r="Q1533" i="9"/>
  <c r="M1485" i="9"/>
  <c r="O1358" i="9"/>
  <c r="Q1291" i="9"/>
  <c r="I935" i="9"/>
  <c r="M962" i="9"/>
  <c r="M838" i="9"/>
  <c r="O1401" i="9"/>
  <c r="M935" i="9"/>
  <c r="M977" i="9"/>
  <c r="L793" i="9"/>
  <c r="M986" i="9"/>
  <c r="P1301" i="9"/>
  <c r="I1005" i="9"/>
  <c r="M1409" i="9"/>
  <c r="I838" i="9"/>
  <c r="Q1226" i="9"/>
  <c r="Q785" i="9"/>
  <c r="J975" i="9"/>
  <c r="Q959" i="9"/>
  <c r="I1014" i="9"/>
  <c r="L1043" i="9"/>
  <c r="I1017" i="9"/>
  <c r="I1222" i="9"/>
  <c r="J1293" i="9"/>
  <c r="Q918" i="9"/>
  <c r="Q1294" i="9"/>
  <c r="Q1258" i="9"/>
  <c r="M1526" i="9"/>
  <c r="P1197" i="9"/>
  <c r="I830" i="9"/>
  <c r="I1090" i="9"/>
  <c r="J1411" i="9"/>
  <c r="M1071" i="9"/>
  <c r="Q1348" i="9"/>
  <c r="J867" i="9"/>
  <c r="I1051" i="9"/>
  <c r="K1051" i="9" s="1"/>
  <c r="I1448" i="9"/>
  <c r="Q865" i="9"/>
  <c r="I1179" i="9"/>
  <c r="J1074" i="9"/>
  <c r="J1488" i="9"/>
  <c r="Q961" i="9"/>
  <c r="I1069" i="9"/>
  <c r="J782" i="9"/>
  <c r="M1435" i="9"/>
  <c r="J1255" i="9"/>
  <c r="J1359" i="9"/>
  <c r="Q823" i="9"/>
  <c r="I1373" i="9"/>
  <c r="M1353" i="9"/>
  <c r="K1513" i="9"/>
  <c r="M1490" i="9"/>
  <c r="I952" i="9"/>
  <c r="O952" i="9" s="1"/>
  <c r="L1071" i="9"/>
  <c r="P872" i="9"/>
  <c r="M999" i="9"/>
  <c r="I1404" i="9"/>
  <c r="L1282" i="9"/>
  <c r="Q1530" i="9"/>
  <c r="O1491" i="9"/>
  <c r="Q854" i="9"/>
  <c r="O980" i="9"/>
  <c r="L885" i="9"/>
  <c r="I866" i="9"/>
  <c r="L1309" i="9"/>
  <c r="I873" i="9"/>
  <c r="I1177" i="9"/>
  <c r="P1177" i="9" s="1"/>
  <c r="K1104" i="9"/>
  <c r="M851" i="9"/>
  <c r="M928" i="9"/>
  <c r="P1189" i="9"/>
  <c r="O1430" i="9"/>
  <c r="Q935" i="9"/>
  <c r="I990" i="9"/>
  <c r="K1043" i="9"/>
  <c r="P808" i="9"/>
  <c r="M895" i="9"/>
  <c r="Q1313" i="9"/>
  <c r="M1131" i="9"/>
  <c r="M1480" i="9"/>
  <c r="L916" i="9"/>
  <c r="Q932" i="9"/>
  <c r="L1103" i="9"/>
  <c r="I1443" i="9"/>
  <c r="M1311" i="9"/>
  <c r="Q1170" i="9"/>
  <c r="K1490" i="9"/>
  <c r="K1347" i="9"/>
  <c r="I788" i="9"/>
  <c r="Q1374" i="9"/>
  <c r="I1277" i="9"/>
  <c r="P1360" i="9"/>
  <c r="P1429" i="9"/>
  <c r="I978" i="9"/>
  <c r="P1263" i="9"/>
  <c r="L1177" i="9"/>
  <c r="K1261" i="9"/>
  <c r="L995" i="9"/>
  <c r="I1354" i="9"/>
  <c r="Q1188" i="9"/>
  <c r="M1442" i="9"/>
  <c r="I1523" i="9"/>
  <c r="O1523" i="9" s="1"/>
  <c r="I1350" i="9"/>
  <c r="P915" i="9"/>
  <c r="I863" i="9"/>
  <c r="P921" i="9"/>
  <c r="Q1461" i="9"/>
  <c r="J1444" i="9"/>
  <c r="O1317" i="9"/>
  <c r="L1153" i="9"/>
  <c r="I1031" i="9"/>
  <c r="K1002" i="9"/>
  <c r="M859" i="9"/>
  <c r="Q1369" i="9"/>
  <c r="L985" i="9"/>
  <c r="M1010" i="9"/>
  <c r="I1030" i="9"/>
  <c r="M1046" i="9"/>
  <c r="O1212" i="9"/>
  <c r="M1443" i="9"/>
  <c r="L1261" i="9"/>
  <c r="Q1242" i="9"/>
  <c r="O843" i="9"/>
  <c r="K1289" i="9"/>
  <c r="M1360" i="9"/>
  <c r="P1216" i="9"/>
  <c r="I801" i="9"/>
  <c r="M819" i="9"/>
  <c r="M1496" i="9"/>
  <c r="M1042" i="9"/>
  <c r="L1077" i="9"/>
  <c r="Q975" i="9"/>
  <c r="M1462" i="9"/>
  <c r="O1195" i="9"/>
  <c r="I1413" i="9"/>
  <c r="M1031" i="9"/>
  <c r="P1369" i="9"/>
  <c r="M1088" i="9"/>
  <c r="Q1517" i="9"/>
  <c r="I867" i="9"/>
  <c r="O1177" i="9"/>
  <c r="P801" i="9"/>
  <c r="M1192" i="9"/>
  <c r="Q1262" i="9"/>
  <c r="I1451" i="9"/>
  <c r="I1022" i="9"/>
  <c r="P955" i="9"/>
  <c r="K1341" i="9"/>
  <c r="O865" i="9"/>
  <c r="O1485" i="9"/>
  <c r="M1530" i="9"/>
  <c r="L1516" i="9"/>
  <c r="P1482" i="9"/>
  <c r="K1023" i="9"/>
  <c r="I1055" i="9"/>
  <c r="O1261" i="9"/>
  <c r="P1353" i="9"/>
  <c r="K942" i="9"/>
  <c r="O1319" i="9"/>
  <c r="K1353" i="9"/>
  <c r="L1349" i="9"/>
  <c r="L1319" i="9"/>
  <c r="P867" i="9"/>
  <c r="K1419" i="9"/>
  <c r="M1145" i="9"/>
  <c r="I1019" i="9"/>
  <c r="M1153" i="9"/>
  <c r="I1423" i="9"/>
  <c r="Q870" i="9"/>
  <c r="I1098" i="9"/>
  <c r="Q1187" i="9"/>
  <c r="M830" i="9"/>
  <c r="M964" i="9"/>
  <c r="I959" i="9"/>
  <c r="I1530" i="9"/>
  <c r="O1172" i="9"/>
  <c r="M1253" i="9"/>
  <c r="K1071" i="9"/>
  <c r="O1495" i="9"/>
  <c r="I934" i="9"/>
  <c r="O1288" i="9"/>
  <c r="I1138" i="9"/>
  <c r="I1052" i="9"/>
  <c r="O1347" i="9"/>
  <c r="Q1322" i="9"/>
  <c r="L843" i="9"/>
  <c r="K1195" i="9"/>
  <c r="Q1212" i="9"/>
  <c r="M844" i="9"/>
  <c r="O1234" i="9"/>
  <c r="M998" i="9"/>
  <c r="L934" i="9"/>
  <c r="K866" i="9"/>
  <c r="M1403" i="9"/>
  <c r="I1377" i="9"/>
  <c r="O1516" i="9"/>
  <c r="Q791" i="9"/>
  <c r="J1286" i="9"/>
  <c r="O866" i="9"/>
  <c r="K811" i="9"/>
  <c r="Q869" i="9"/>
  <c r="I852" i="9"/>
  <c r="L1148" i="9"/>
  <c r="L848" i="9"/>
  <c r="M1098" i="9"/>
  <c r="I1174" i="9"/>
  <c r="O1174" i="9"/>
  <c r="I1073" i="9"/>
  <c r="M1456" i="9"/>
  <c r="K818" i="9"/>
  <c r="K929" i="9"/>
  <c r="M1099" i="9"/>
  <c r="Q1221" i="9"/>
  <c r="J1474" i="9"/>
  <c r="J1406" i="9"/>
  <c r="M872" i="9"/>
  <c r="J1158" i="9"/>
  <c r="J1298" i="9"/>
  <c r="J827" i="9"/>
  <c r="J1305" i="9"/>
  <c r="J1033" i="9"/>
  <c r="M1033" i="9" s="1"/>
  <c r="J924" i="9"/>
  <c r="J1110" i="9"/>
  <c r="I1110" i="9" s="1"/>
  <c r="I1194" i="9"/>
  <c r="J1211" i="9"/>
  <c r="J802" i="9"/>
  <c r="M802" i="9" s="1"/>
  <c r="M1064" i="9"/>
  <c r="M1267" i="9"/>
  <c r="I979" i="9"/>
  <c r="P979" i="9" s="1"/>
  <c r="J1087" i="9"/>
  <c r="M1087" i="9" s="1"/>
  <c r="J1531" i="9"/>
  <c r="J1215" i="9"/>
  <c r="J1011" i="9"/>
  <c r="M1011" i="9" s="1"/>
  <c r="J777" i="9"/>
  <c r="J1499" i="9"/>
  <c r="J1382" i="9"/>
  <c r="J937" i="9"/>
  <c r="Q937" i="9" s="1"/>
  <c r="J896" i="9"/>
  <c r="J1505" i="9"/>
  <c r="I886" i="9"/>
  <c r="I1503" i="9"/>
  <c r="P1503" i="9" s="1"/>
  <c r="J783" i="9"/>
  <c r="Q783" i="9" s="1"/>
  <c r="J1156" i="9"/>
  <c r="M1156" i="9" s="1"/>
  <c r="J1472" i="9"/>
  <c r="J877" i="9"/>
  <c r="J971" i="9"/>
  <c r="J970" i="9"/>
  <c r="J957" i="9"/>
  <c r="J994" i="9"/>
  <c r="I994" i="9" s="1"/>
  <c r="J1501" i="9"/>
  <c r="J834" i="9"/>
  <c r="I834" i="9" s="1"/>
  <c r="I1303" i="9"/>
  <c r="M1165" i="9"/>
  <c r="I1427" i="9"/>
  <c r="J1271" i="9"/>
  <c r="M886" i="9"/>
  <c r="J1254" i="9"/>
  <c r="Q1491" i="9"/>
  <c r="Q1176" i="9"/>
  <c r="I882" i="9"/>
  <c r="K882" i="9" s="1"/>
  <c r="M901" i="9"/>
  <c r="I861" i="9"/>
  <c r="I1117" i="9"/>
  <c r="O1273" i="9"/>
  <c r="P1401" i="9"/>
  <c r="I1126" i="9"/>
  <c r="K1126" i="9" s="1"/>
  <c r="Q1320" i="9"/>
  <c r="M881" i="9"/>
  <c r="Q871" i="9"/>
  <c r="P1408" i="9"/>
  <c r="L988" i="9"/>
  <c r="L1490" i="9"/>
  <c r="I890" i="9"/>
  <c r="P890" i="9" s="1"/>
  <c r="M1198" i="9"/>
  <c r="M1381" i="9"/>
  <c r="I1135" i="9"/>
  <c r="K1135" i="9" s="1"/>
  <c r="I1061" i="9"/>
  <c r="L1061" i="9" s="1"/>
  <c r="I939" i="9"/>
  <c r="L939" i="9" s="1"/>
  <c r="O1490" i="9"/>
  <c r="M1326" i="9"/>
  <c r="L882" i="9"/>
  <c r="M920" i="9"/>
  <c r="M913" i="9"/>
  <c r="M1330" i="9"/>
  <c r="Q1344" i="9"/>
  <c r="J1059" i="9"/>
  <c r="P1194" i="9"/>
  <c r="M1371" i="9"/>
  <c r="Q941" i="9"/>
  <c r="M910" i="9"/>
  <c r="M974" i="9"/>
  <c r="J1342" i="9"/>
  <c r="I860" i="9"/>
  <c r="L860" i="9" s="1"/>
  <c r="K843" i="9"/>
  <c r="Q916" i="9"/>
  <c r="M1181" i="9"/>
  <c r="M961" i="9"/>
  <c r="Q1268" i="9"/>
  <c r="Q1475" i="9"/>
  <c r="Q1539" i="9"/>
  <c r="Q891" i="9"/>
  <c r="K1010" i="9"/>
  <c r="J842" i="9"/>
  <c r="Q842" i="9" s="1"/>
  <c r="Q1220" i="9"/>
  <c r="Q1353" i="9"/>
  <c r="I1063" i="9"/>
  <c r="K1063" i="9" s="1"/>
  <c r="L1503" i="9"/>
  <c r="I1042" i="9"/>
  <c r="I1492" i="9"/>
  <c r="Q1432" i="9"/>
  <c r="Q1471" i="9"/>
  <c r="M950" i="9"/>
  <c r="M1357" i="9"/>
  <c r="P1379" i="9"/>
  <c r="P1172" i="9"/>
  <c r="P980" i="9"/>
  <c r="P843" i="9"/>
  <c r="M850" i="9"/>
  <c r="Q1185" i="9"/>
  <c r="M1053" i="9"/>
  <c r="M1285" i="9"/>
  <c r="L1150" i="9"/>
  <c r="L1289" i="9"/>
  <c r="I884" i="9"/>
  <c r="L884" i="9" s="1"/>
  <c r="P1490" i="9"/>
  <c r="I1119" i="9"/>
  <c r="J1310" i="9"/>
  <c r="I1310" i="9" s="1"/>
  <c r="O958" i="9"/>
  <c r="M970" i="9"/>
  <c r="J1166" i="9"/>
  <c r="P882" i="9"/>
  <c r="M1239" i="9"/>
  <c r="I1095" i="9"/>
  <c r="L1095" i="9" s="1"/>
  <c r="L847" i="9"/>
  <c r="Q828" i="9"/>
  <c r="O1301" i="9"/>
  <c r="I1320" i="9"/>
  <c r="P1320" i="9" s="1"/>
  <c r="M843" i="9"/>
  <c r="Q1519" i="9"/>
  <c r="Q945" i="9"/>
  <c r="Q1463" i="9"/>
  <c r="Q1446" i="9"/>
  <c r="M904" i="9"/>
  <c r="I1089" i="9"/>
  <c r="J1362" i="9"/>
  <c r="Q1426" i="9"/>
  <c r="J799" i="9"/>
  <c r="J1259" i="9"/>
  <c r="I1220" i="9"/>
  <c r="Q1397" i="9"/>
  <c r="J1340" i="9"/>
  <c r="I1463" i="9"/>
  <c r="M916" i="9"/>
  <c r="Q1325" i="9"/>
  <c r="Q1227" i="9"/>
  <c r="Q963" i="9"/>
  <c r="M1018" i="9"/>
  <c r="Q877" i="9"/>
  <c r="Q1315" i="9"/>
  <c r="I1240" i="9"/>
  <c r="I831" i="9"/>
  <c r="M959" i="9"/>
  <c r="O1462" i="9"/>
  <c r="L1099" i="9"/>
  <c r="I1384" i="9"/>
  <c r="I1176" i="9"/>
  <c r="M1328" i="9"/>
  <c r="J1543" i="9"/>
  <c r="J1361" i="9"/>
  <c r="J1164" i="9"/>
  <c r="M1183" i="9"/>
  <c r="M1538" i="9"/>
  <c r="M1171" i="9"/>
  <c r="M1532" i="9"/>
  <c r="Q920" i="9"/>
  <c r="P1258" i="9"/>
  <c r="J1217" i="9"/>
  <c r="Q969" i="9"/>
  <c r="M829" i="9"/>
  <c r="Q1425" i="9"/>
  <c r="I1469" i="9"/>
  <c r="M1162" i="9"/>
  <c r="O828" i="9"/>
  <c r="L1188" i="9"/>
  <c r="I1533" i="9"/>
  <c r="K1533" i="9" s="1"/>
  <c r="J1096" i="9"/>
  <c r="Q1342" i="9"/>
  <c r="M1463" i="9"/>
  <c r="O1378" i="9"/>
  <c r="I1096" i="9"/>
  <c r="I1406" i="9"/>
  <c r="M1200" i="9"/>
  <c r="L1513" i="9"/>
  <c r="K1172" i="9"/>
  <c r="M1146" i="9"/>
  <c r="M937" i="9"/>
  <c r="L1117" i="9"/>
  <c r="I1252" i="9"/>
  <c r="I903" i="9"/>
  <c r="Q1362" i="9"/>
  <c r="Q1335" i="9"/>
  <c r="O910" i="9"/>
  <c r="I1247" i="9"/>
  <c r="K1317" i="9"/>
  <c r="J810" i="9"/>
  <c r="I1330" i="9"/>
  <c r="Q1371" i="9"/>
  <c r="J1447" i="9"/>
  <c r="I1244" i="9"/>
  <c r="P886" i="9"/>
  <c r="K1403" i="9"/>
  <c r="I1541" i="9"/>
  <c r="I1311" i="9"/>
  <c r="J812" i="9"/>
  <c r="Q906" i="9"/>
  <c r="M805" i="9"/>
  <c r="I1544" i="9"/>
  <c r="M1241" i="9"/>
  <c r="I858" i="9"/>
  <c r="I856" i="9"/>
  <c r="Q1372" i="9"/>
  <c r="M1133" i="9"/>
  <c r="M944" i="9"/>
  <c r="O1521" i="9"/>
  <c r="Q787" i="9"/>
  <c r="P1273" i="9"/>
  <c r="Q1459" i="9"/>
  <c r="J1487" i="9"/>
  <c r="I1254" i="9"/>
  <c r="K1220" i="9"/>
  <c r="L1541" i="9"/>
  <c r="J1393" i="9"/>
  <c r="J1421" i="9"/>
  <c r="K831" i="9"/>
  <c r="O1369" i="9"/>
  <c r="I951" i="9"/>
  <c r="K951" i="9" s="1"/>
  <c r="K861" i="9"/>
  <c r="P1435" i="9"/>
  <c r="Q1363" i="9"/>
  <c r="I1245" i="9"/>
  <c r="Q809" i="9"/>
  <c r="M827" i="9"/>
  <c r="L1110" i="9"/>
  <c r="P1430" i="9"/>
  <c r="I871" i="9"/>
  <c r="L1228" i="9"/>
  <c r="M1359" i="9"/>
  <c r="M1372" i="9"/>
  <c r="M1077" i="9"/>
  <c r="Q1168" i="9"/>
  <c r="K1185" i="9"/>
  <c r="M1396" i="9"/>
  <c r="Q1412" i="9"/>
  <c r="M1157" i="9"/>
  <c r="I837" i="9"/>
  <c r="K837" i="9" s="1"/>
  <c r="P1448" i="9"/>
  <c r="M1332" i="9"/>
  <c r="Q1328" i="9"/>
  <c r="I1364" i="9"/>
  <c r="I1141" i="9"/>
  <c r="L1141" i="9" s="1"/>
  <c r="L1132" i="9"/>
  <c r="P1406" i="9"/>
  <c r="P1308" i="9"/>
  <c r="P887" i="9"/>
  <c r="K939" i="9"/>
  <c r="M1193" i="9"/>
  <c r="I1496" i="9"/>
  <c r="K1496" i="9" s="1"/>
  <c r="I1013" i="9"/>
  <c r="I1411" i="9"/>
  <c r="O1226" i="9"/>
  <c r="L1288" i="9"/>
  <c r="L1373" i="9"/>
  <c r="M1069" i="9"/>
  <c r="I895" i="9"/>
  <c r="K1263" i="9"/>
  <c r="J796" i="9"/>
  <c r="P1322" i="9"/>
  <c r="O1404" i="9"/>
  <c r="K822" i="9"/>
  <c r="Q929" i="9"/>
  <c r="M1086" i="9"/>
  <c r="P1334" i="9"/>
  <c r="I780" i="9"/>
  <c r="K1245" i="9"/>
  <c r="M1420" i="9"/>
  <c r="Q1171" i="9"/>
  <c r="I1439" i="9"/>
  <c r="L1439" i="9" s="1"/>
  <c r="M1377" i="9"/>
  <c r="P818" i="9"/>
  <c r="P837" i="9"/>
  <c r="L837" i="9"/>
  <c r="M1455" i="9"/>
  <c r="L822" i="9"/>
  <c r="Q1225" i="9"/>
  <c r="Q1488" i="9"/>
  <c r="M1347" i="9"/>
  <c r="M870" i="9"/>
  <c r="M1084" i="9"/>
  <c r="M1219" i="9"/>
  <c r="I1171" i="9"/>
  <c r="K1246" i="9"/>
  <c r="L1024" i="9"/>
  <c r="M1014" i="9"/>
  <c r="L1179" i="9"/>
  <c r="I1359" i="9"/>
  <c r="P1359" i="9" s="1"/>
  <c r="I842" i="9"/>
  <c r="I1221" i="9"/>
  <c r="O1221" i="9" s="1"/>
  <c r="I927" i="9"/>
  <c r="K927" i="9" s="1"/>
  <c r="K973" i="9"/>
  <c r="L1226" i="9"/>
  <c r="P1247" i="9"/>
  <c r="K1482" i="9"/>
  <c r="P1179" i="9"/>
  <c r="M855" i="9"/>
  <c r="K1485" i="9"/>
  <c r="K967" i="9"/>
  <c r="Q1202" i="9"/>
  <c r="I1475" i="9"/>
  <c r="Q1516" i="9"/>
  <c r="L1523" i="9"/>
  <c r="Q1257" i="9"/>
  <c r="Q1234" i="9"/>
  <c r="O951" i="9"/>
  <c r="I1316" i="9"/>
  <c r="Q1290" i="9"/>
  <c r="K1247" i="9"/>
  <c r="I1478" i="9"/>
  <c r="K1095" i="9"/>
  <c r="L1544" i="9"/>
  <c r="M1417" i="9"/>
  <c r="M814" i="9"/>
  <c r="K1475" i="9"/>
  <c r="O1314" i="9"/>
  <c r="Q1284" i="9"/>
  <c r="M1313" i="9"/>
  <c r="Q1462" i="9"/>
  <c r="L861" i="9"/>
  <c r="I1232" i="9"/>
  <c r="P1373" i="9"/>
  <c r="I920" i="9"/>
  <c r="L887" i="9"/>
  <c r="I909" i="9"/>
  <c r="O1506" i="9"/>
  <c r="L1014" i="9"/>
  <c r="L1176" i="9"/>
  <c r="L1127" i="9"/>
  <c r="P1225" i="9"/>
  <c r="I878" i="9"/>
  <c r="P1478" i="9"/>
  <c r="Q1411" i="9"/>
  <c r="K1385" i="9"/>
  <c r="Q848" i="9"/>
  <c r="Q1393" i="9"/>
  <c r="K1192" i="9"/>
  <c r="K1197" i="9"/>
  <c r="L1234" i="9"/>
  <c r="L880" i="9"/>
  <c r="I940" i="9"/>
  <c r="M1448" i="9"/>
  <c r="K884" i="9"/>
  <c r="K1320" i="9"/>
  <c r="P978" i="9"/>
  <c r="L801" i="9"/>
  <c r="O1320" i="9"/>
  <c r="L942" i="9"/>
  <c r="I894" i="9"/>
  <c r="K1177" i="9"/>
  <c r="O894" i="9"/>
  <c r="O978" i="9"/>
  <c r="K1433" i="9"/>
  <c r="M1187" i="9"/>
  <c r="M1056" i="9"/>
  <c r="M887" i="9"/>
  <c r="Q1376" i="9"/>
  <c r="L1010" i="9"/>
  <c r="P830" i="9"/>
  <c r="O955" i="9"/>
  <c r="Q957" i="9"/>
  <c r="M893" i="9"/>
  <c r="K1366" i="9"/>
  <c r="P1208" i="9"/>
  <c r="M1412" i="9"/>
  <c r="I1318" i="9"/>
  <c r="O1303" i="9"/>
  <c r="I1250" i="9"/>
  <c r="L1381" i="9"/>
  <c r="L1230" i="9"/>
  <c r="I1092" i="9"/>
  <c r="I1164" i="9"/>
  <c r="P1404" i="9"/>
  <c r="L1247" i="9"/>
  <c r="P1506" i="9"/>
  <c r="L1144" i="9"/>
  <c r="P1228" i="9"/>
  <c r="I993" i="9"/>
  <c r="L1492" i="9"/>
  <c r="O1263" i="9"/>
  <c r="L828" i="9"/>
  <c r="K996" i="9"/>
  <c r="Q1529" i="9"/>
  <c r="Q1419" i="9"/>
  <c r="Q1508" i="9"/>
  <c r="L1134" i="9"/>
  <c r="K1148" i="9"/>
  <c r="Q1380" i="9"/>
  <c r="M1128" i="9"/>
  <c r="Q1330" i="9"/>
  <c r="Q1438" i="9"/>
  <c r="I1418" i="9"/>
  <c r="K1400" i="9"/>
  <c r="J1522" i="9"/>
  <c r="J790" i="9"/>
  <c r="J1399" i="9"/>
  <c r="J1009" i="9"/>
  <c r="J817" i="9"/>
  <c r="Q817" i="9" s="1"/>
  <c r="J1204" i="9"/>
  <c r="J938" i="9"/>
  <c r="J1343" i="9"/>
  <c r="J1097" i="9"/>
  <c r="M1222" i="9"/>
  <c r="J868" i="9"/>
  <c r="I893" i="9"/>
  <c r="L893" i="9" s="1"/>
  <c r="J784" i="9"/>
  <c r="J923" i="9"/>
  <c r="Q1201" i="9"/>
  <c r="Q1500" i="9"/>
  <c r="J1302" i="9"/>
  <c r="J1415" i="9"/>
  <c r="I1407" i="9"/>
  <c r="J1473" i="9"/>
  <c r="J949" i="9"/>
  <c r="J1082" i="9"/>
  <c r="J1434" i="9"/>
  <c r="J840" i="9"/>
  <c r="I1337" i="9"/>
  <c r="J1270" i="9"/>
  <c r="J992" i="9"/>
  <c r="M992" i="9" s="1"/>
  <c r="J1066" i="9"/>
  <c r="M1408" i="9"/>
  <c r="I947" i="9"/>
  <c r="L947" i="9" s="1"/>
  <c r="J1465" i="9"/>
  <c r="J1109" i="9"/>
  <c r="J1392" i="9"/>
  <c r="J1297" i="9"/>
  <c r="J1367" i="9"/>
  <c r="Q936" i="9"/>
  <c r="J836" i="9"/>
  <c r="J1121" i="9"/>
  <c r="Q974" i="9"/>
  <c r="J907" i="9"/>
  <c r="J933" i="9"/>
  <c r="M833" i="9"/>
  <c r="J1231" i="9"/>
  <c r="M1004" i="9"/>
  <c r="I1068" i="9"/>
  <c r="L1068" i="9" s="1"/>
  <c r="Q908" i="9"/>
  <c r="J1114" i="9"/>
  <c r="L1218" i="9"/>
  <c r="I1295" i="9"/>
  <c r="L1295" i="9" s="1"/>
  <c r="J1507" i="9"/>
  <c r="Q942" i="9"/>
  <c r="J1489" i="9"/>
  <c r="Q1489" i="9" s="1"/>
  <c r="K1117" i="9"/>
  <c r="I1088" i="9"/>
  <c r="P1289" i="9"/>
  <c r="Q1309" i="9"/>
  <c r="K1068" i="9"/>
  <c r="I1007" i="9"/>
  <c r="Q1434" i="9"/>
  <c r="Q1228" i="9"/>
  <c r="I1105" i="9"/>
  <c r="M877" i="9"/>
  <c r="I1076" i="9"/>
  <c r="K947" i="9"/>
  <c r="K1122" i="9"/>
  <c r="Q1311" i="9"/>
  <c r="K814" i="9"/>
  <c r="M862" i="9"/>
  <c r="O932" i="9"/>
  <c r="Q1167" i="9"/>
  <c r="M1525" i="9"/>
  <c r="I923" i="9"/>
  <c r="I844" i="9"/>
  <c r="O844" i="9" s="1"/>
  <c r="L1401" i="9"/>
  <c r="M1348" i="9"/>
  <c r="Q840" i="9"/>
  <c r="L962" i="9"/>
  <c r="J1159" i="9"/>
  <c r="L1172" i="9"/>
  <c r="I964" i="9"/>
  <c r="J794" i="9"/>
  <c r="M1052" i="9"/>
  <c r="P936" i="9"/>
  <c r="I1142" i="9"/>
  <c r="K1142" i="9" s="1"/>
  <c r="Q1466" i="9"/>
  <c r="O1381" i="9"/>
  <c r="I1528" i="9"/>
  <c r="O1528" i="9" s="1"/>
  <c r="M1097" i="9"/>
  <c r="J1125" i="9"/>
  <c r="I1025" i="9"/>
  <c r="K1025" i="9" s="1"/>
  <c r="K980" i="9"/>
  <c r="I1161" i="9"/>
  <c r="M861" i="9"/>
  <c r="I1390" i="9"/>
  <c r="Q885" i="9"/>
  <c r="I1274" i="9"/>
  <c r="I854" i="9"/>
  <c r="Q806" i="9"/>
  <c r="J1173" i="9"/>
  <c r="J1281" i="9"/>
  <c r="J798" i="9"/>
  <c r="M1040" i="9"/>
  <c r="Q1407" i="9"/>
  <c r="M1229" i="9"/>
  <c r="P1462" i="9"/>
  <c r="I803" i="9"/>
  <c r="K1045" i="9"/>
  <c r="M1516" i="9"/>
  <c r="I1094" i="9"/>
  <c r="K1094" i="9" s="1"/>
  <c r="Q1464" i="9"/>
  <c r="Q826" i="9"/>
  <c r="Q1526" i="9"/>
  <c r="M1225" i="9"/>
  <c r="L1163" i="9"/>
  <c r="M939" i="9"/>
  <c r="Q1436" i="9"/>
  <c r="P1528" i="9"/>
  <c r="J874" i="9"/>
  <c r="M874" i="9" s="1"/>
  <c r="M1216" i="9"/>
  <c r="M813" i="9"/>
  <c r="Q1352" i="9"/>
  <c r="O781" i="9"/>
  <c r="K1099" i="9"/>
  <c r="K1119" i="9"/>
  <c r="I1143" i="9"/>
  <c r="K1143" i="9" s="1"/>
  <c r="Q1229" i="9"/>
  <c r="I1243" i="9"/>
  <c r="Q834" i="9"/>
  <c r="I937" i="9"/>
  <c r="L1076" i="9"/>
  <c r="Q1214" i="9"/>
  <c r="L910" i="9"/>
  <c r="L814" i="9"/>
  <c r="Q1418" i="9"/>
  <c r="M1349" i="9"/>
  <c r="J948" i="9"/>
  <c r="I849" i="9"/>
  <c r="I1382" i="9"/>
  <c r="I1387" i="9"/>
  <c r="M780" i="9"/>
  <c r="Q893" i="9"/>
  <c r="Q1163" i="9"/>
  <c r="M940" i="9"/>
  <c r="O1337" i="9"/>
  <c r="Q1492" i="9"/>
  <c r="M820" i="9"/>
  <c r="M1154" i="9"/>
  <c r="M1503" i="9"/>
  <c r="Q947" i="9"/>
  <c r="M918" i="9"/>
  <c r="Q1269" i="9"/>
  <c r="M1529" i="9"/>
  <c r="M1301" i="9"/>
  <c r="Q1503" i="9"/>
  <c r="M822" i="9"/>
  <c r="I1029" i="9"/>
  <c r="J1414" i="9"/>
  <c r="Q1534" i="9"/>
  <c r="J889" i="9"/>
  <c r="J1452" i="9"/>
  <c r="J857" i="9"/>
  <c r="J1333" i="9"/>
  <c r="L1273" i="9"/>
  <c r="I1512" i="9"/>
  <c r="M1220" i="9"/>
  <c r="K936" i="9"/>
  <c r="M857" i="9"/>
  <c r="M1136" i="9"/>
  <c r="I1272" i="9"/>
  <c r="Q1241" i="9"/>
  <c r="Q1433" i="9"/>
  <c r="M1208" i="9"/>
  <c r="K1491" i="9"/>
  <c r="O947" i="9"/>
  <c r="I784" i="9"/>
  <c r="P1274" i="9"/>
  <c r="K1462" i="9"/>
  <c r="M1312" i="9"/>
  <c r="I1460" i="9"/>
  <c r="I1054" i="9"/>
  <c r="L1054" i="9" s="1"/>
  <c r="I1125" i="9"/>
  <c r="M1322" i="9"/>
  <c r="K910" i="9"/>
  <c r="M997" i="9"/>
  <c r="I825" i="9"/>
  <c r="L825" i="9" s="1"/>
  <c r="K828" i="9"/>
  <c r="M876" i="9"/>
  <c r="P1491" i="9"/>
  <c r="O1471" i="9"/>
  <c r="M1321" i="9"/>
  <c r="Q905" i="9"/>
  <c r="I1214" i="9"/>
  <c r="I1537" i="9"/>
  <c r="I1278" i="9"/>
  <c r="M1246" i="9"/>
  <c r="Q1177" i="9"/>
  <c r="I778" i="9"/>
  <c r="M835" i="9"/>
  <c r="J931" i="9"/>
  <c r="P1400" i="9"/>
  <c r="J1497" i="9"/>
  <c r="J898" i="9"/>
  <c r="I898" i="9" s="1"/>
  <c r="J1182" i="9"/>
  <c r="I1182" i="9" s="1"/>
  <c r="L1223" i="9"/>
  <c r="J1542" i="9"/>
  <c r="I906" i="9"/>
  <c r="L906" i="9" s="1"/>
  <c r="I1156" i="9"/>
  <c r="M811" i="9"/>
  <c r="Q1401" i="9"/>
  <c r="L958" i="9"/>
  <c r="Q1360" i="9"/>
  <c r="M1446" i="9"/>
  <c r="M1308" i="9"/>
  <c r="I783" i="9"/>
  <c r="I829" i="9"/>
  <c r="K829" i="9" s="1"/>
  <c r="I1203" i="9"/>
  <c r="J1106" i="9"/>
  <c r="J1120" i="9"/>
  <c r="P813" i="9"/>
  <c r="L1435" i="9"/>
  <c r="J1375" i="9"/>
  <c r="M1129" i="9"/>
  <c r="I1115" i="9"/>
  <c r="M789" i="9"/>
  <c r="Q790" i="9"/>
  <c r="I1162" i="9"/>
  <c r="I972" i="9"/>
  <c r="I802" i="9"/>
  <c r="Q1282" i="9"/>
  <c r="I1180" i="9"/>
  <c r="K1180" i="9" s="1"/>
  <c r="I1397" i="9"/>
  <c r="Q1326" i="9"/>
  <c r="L1341" i="9"/>
  <c r="L1314" i="9"/>
  <c r="O787" i="9"/>
  <c r="P856" i="9"/>
  <c r="Q779" i="9"/>
  <c r="K1077" i="9"/>
  <c r="M1103" i="9"/>
  <c r="O893" i="9"/>
  <c r="I1111" i="9"/>
  <c r="P1512" i="9"/>
  <c r="O935" i="9"/>
  <c r="Q1430" i="9"/>
  <c r="K1379" i="9"/>
  <c r="L1147" i="9"/>
  <c r="M1470" i="9"/>
  <c r="O1515" i="9"/>
  <c r="M1510" i="9"/>
  <c r="I933" i="9"/>
  <c r="K933" i="9" s="1"/>
  <c r="I1129" i="9"/>
  <c r="L1129" i="9" s="1"/>
  <c r="I1290" i="9"/>
  <c r="K1163" i="9"/>
  <c r="L1533" i="9"/>
  <c r="J1299" i="9"/>
  <c r="K1156" i="9"/>
  <c r="O884" i="9"/>
  <c r="M1413" i="9"/>
  <c r="M936" i="9"/>
  <c r="M1533" i="9"/>
  <c r="I1507" i="9"/>
  <c r="M779" i="9"/>
  <c r="Q886" i="9"/>
  <c r="I820" i="9"/>
  <c r="Q794" i="9"/>
  <c r="P1419" i="9"/>
  <c r="L841" i="9"/>
  <c r="J1514" i="9"/>
  <c r="O964" i="9"/>
  <c r="P1495" i="9"/>
  <c r="L1419" i="9"/>
  <c r="Q800" i="9"/>
  <c r="K1194" i="9"/>
  <c r="M1511" i="9"/>
  <c r="O1187" i="9"/>
  <c r="O1429" i="9"/>
  <c r="K1272" i="9"/>
  <c r="L955" i="9"/>
  <c r="K1381" i="9"/>
  <c r="P1335" i="9"/>
  <c r="M1338" i="9"/>
  <c r="I1365" i="9"/>
  <c r="L1365" i="9" s="1"/>
  <c r="L1500" i="9"/>
  <c r="O1364" i="9"/>
  <c r="Q1243" i="9"/>
  <c r="I1021" i="9"/>
  <c r="L1021" i="9" s="1"/>
  <c r="O838" i="9"/>
  <c r="O1192" i="9"/>
  <c r="O1272" i="9"/>
  <c r="M1309" i="9"/>
  <c r="K848" i="9"/>
  <c r="M1112" i="9"/>
  <c r="L1069" i="9"/>
  <c r="Q1238" i="9"/>
  <c r="K1397" i="9"/>
  <c r="I1269" i="9"/>
  <c r="I1504" i="9"/>
  <c r="I1124" i="9"/>
  <c r="M821" i="9"/>
  <c r="L1285" i="9"/>
  <c r="O1496" i="9"/>
  <c r="O820" i="9"/>
  <c r="O942" i="9"/>
  <c r="P1411" i="9"/>
  <c r="K932" i="9"/>
  <c r="O1213" i="9"/>
  <c r="M1272" i="9"/>
  <c r="M1513" i="9"/>
  <c r="I1033" i="9"/>
  <c r="J917" i="9"/>
  <c r="J899" i="9"/>
  <c r="M899" i="9" s="1"/>
  <c r="J1249" i="9"/>
  <c r="Q1410" i="9"/>
  <c r="M1062" i="9"/>
  <c r="M808" i="9"/>
  <c r="I1102" i="9"/>
  <c r="Q1346" i="9"/>
  <c r="J1037" i="9"/>
  <c r="M1260" i="9"/>
  <c r="K1445" i="9"/>
  <c r="Q922" i="9"/>
  <c r="O885" i="9"/>
  <c r="Q1443" i="9"/>
  <c r="I1006" i="9"/>
  <c r="K1017" i="9"/>
  <c r="M995" i="9"/>
  <c r="I999" i="9"/>
  <c r="I1368" i="9"/>
  <c r="M1523" i="9"/>
  <c r="K1005" i="9"/>
  <c r="Q883" i="9"/>
  <c r="K1503" i="9"/>
  <c r="M871" i="9"/>
  <c r="I1011" i="9"/>
  <c r="P1234" i="9"/>
  <c r="I839" i="9"/>
  <c r="K871" i="9"/>
  <c r="I805" i="9"/>
  <c r="L1429" i="9"/>
  <c r="O1203" i="9"/>
  <c r="M837" i="9"/>
  <c r="I1106" i="9"/>
  <c r="M1214" i="9"/>
  <c r="Q1203" i="9"/>
  <c r="Q833" i="9"/>
  <c r="M1159" i="9"/>
  <c r="O1509" i="9"/>
  <c r="M1245" i="9"/>
  <c r="P932" i="9"/>
  <c r="J900" i="9"/>
  <c r="Q900" i="9" s="1"/>
  <c r="L1007" i="9"/>
  <c r="M888" i="9"/>
  <c r="I1524" i="9"/>
  <c r="Q835" i="9"/>
  <c r="M1339" i="9"/>
  <c r="K1335" i="9"/>
  <c r="K1322" i="9"/>
  <c r="O837" i="9"/>
  <c r="Q1514" i="9"/>
  <c r="M1050" i="9"/>
  <c r="P816" i="9"/>
  <c r="L1030" i="9"/>
  <c r="M1518" i="9"/>
  <c r="M1148" i="9"/>
  <c r="K1301" i="9"/>
  <c r="P1509" i="9"/>
  <c r="L1433" i="9"/>
  <c r="K1413" i="9"/>
  <c r="K844" i="9"/>
  <c r="L1115" i="9"/>
  <c r="K1242" i="9"/>
  <c r="P861" i="9"/>
  <c r="P1220" i="9"/>
  <c r="I1352" i="9"/>
  <c r="Q1310" i="9"/>
  <c r="I1239" i="9"/>
  <c r="Q1478" i="9"/>
  <c r="O1256" i="9"/>
  <c r="O788" i="9"/>
  <c r="P1188" i="9"/>
  <c r="P906" i="9"/>
  <c r="O1330" i="9"/>
  <c r="M1419" i="9"/>
  <c r="L823" i="9"/>
  <c r="L1081" i="9"/>
  <c r="P1349" i="9"/>
  <c r="K1364" i="9"/>
  <c r="K1439" i="9"/>
  <c r="L978" i="9"/>
  <c r="O1316" i="9"/>
  <c r="K940" i="9"/>
  <c r="M1494" i="9"/>
  <c r="L892" i="9"/>
  <c r="Q1375" i="9"/>
  <c r="L1521" i="9"/>
  <c r="M1334" i="9"/>
  <c r="I1281" i="9"/>
  <c r="I809" i="9"/>
  <c r="O1194" i="9"/>
  <c r="Q880" i="9"/>
  <c r="M1078" i="9"/>
  <c r="L1378" i="9"/>
  <c r="L997" i="9"/>
  <c r="Q1368" i="9"/>
  <c r="M1024" i="9"/>
  <c r="K813" i="9"/>
  <c r="Q1457" i="9"/>
  <c r="Q814" i="9"/>
  <c r="P831" i="9"/>
  <c r="I1241" i="9"/>
  <c r="M1082" i="9"/>
  <c r="I1157" i="9"/>
  <c r="K1171" i="9"/>
  <c r="I798" i="9"/>
  <c r="L1194" i="9"/>
  <c r="O1359" i="9"/>
  <c r="L1026" i="9"/>
  <c r="O1368" i="9"/>
  <c r="L1149" i="9"/>
  <c r="M1324" i="9"/>
  <c r="I857" i="9"/>
  <c r="M1501" i="9"/>
  <c r="M1354" i="9"/>
  <c r="I1040" i="9"/>
  <c r="L1125" i="9"/>
  <c r="K1212" i="9"/>
  <c r="Q1385" i="9"/>
  <c r="O834" i="9"/>
  <c r="M1318" i="9"/>
  <c r="K890" i="9"/>
  <c r="M1182" i="9"/>
  <c r="Q1356" i="9"/>
  <c r="I877" i="9"/>
  <c r="K1295" i="9"/>
  <c r="L1353" i="9"/>
  <c r="K1061" i="9"/>
  <c r="Q1219" i="9"/>
  <c r="J1276" i="9"/>
  <c r="I817" i="9"/>
  <c r="L1042" i="9"/>
  <c r="K1495" i="9"/>
  <c r="M1027" i="9"/>
  <c r="P1252" i="9"/>
  <c r="K950" i="9"/>
  <c r="Q1490" i="9"/>
  <c r="O928" i="9"/>
  <c r="P871" i="9"/>
  <c r="I1338" i="9"/>
  <c r="I1388" i="9"/>
  <c r="Q1409" i="9"/>
  <c r="O939" i="9"/>
  <c r="I1008" i="9"/>
  <c r="K1147" i="9"/>
  <c r="K1146" i="9"/>
  <c r="M1175" i="9"/>
  <c r="Q1496" i="9"/>
  <c r="K1182" i="9"/>
  <c r="K1285" i="9"/>
  <c r="K873" i="9"/>
  <c r="P877" i="9"/>
  <c r="O802" i="9"/>
  <c r="K1318" i="9"/>
  <c r="I1470" i="9"/>
  <c r="K1050" i="9"/>
  <c r="I1049" i="9"/>
  <c r="O1463" i="9"/>
  <c r="J1206" i="9"/>
  <c r="L1388" i="9"/>
  <c r="I835" i="9"/>
  <c r="I850" i="9"/>
  <c r="K1391" i="9"/>
  <c r="K1523" i="9"/>
  <c r="P1171" i="9"/>
  <c r="Q1217" i="9"/>
  <c r="Q1476" i="9"/>
  <c r="K1090" i="9"/>
  <c r="L1031" i="9"/>
  <c r="Q1281" i="9"/>
  <c r="K1308" i="9"/>
  <c r="K1411" i="9"/>
  <c r="K1141" i="9"/>
  <c r="L1213" i="9"/>
  <c r="L1418" i="9"/>
  <c r="P1494" i="9"/>
  <c r="P1418" i="9"/>
  <c r="K1225" i="9"/>
  <c r="O1282" i="9"/>
  <c r="I1426" i="9"/>
  <c r="M847" i="9"/>
  <c r="M1005" i="9"/>
  <c r="P1407" i="9"/>
  <c r="I1393" i="9"/>
  <c r="L1403" i="9"/>
  <c r="L1222" i="9"/>
  <c r="K1506" i="9"/>
  <c r="Q939" i="9"/>
  <c r="M1261" i="9"/>
  <c r="I1409" i="9"/>
  <c r="I879" i="9"/>
  <c r="M1226" i="9"/>
  <c r="I1078" i="9"/>
  <c r="M1460" i="9"/>
  <c r="I1070" i="9"/>
  <c r="Q1340" i="9"/>
  <c r="M957" i="9"/>
  <c r="Q1261" i="9"/>
  <c r="I1344" i="9"/>
  <c r="I1296" i="9"/>
  <c r="K1406" i="9"/>
  <c r="Q1472" i="9"/>
  <c r="K935" i="9"/>
  <c r="I925" i="9"/>
  <c r="Q1287" i="9"/>
  <c r="I1461" i="9"/>
  <c r="O1512" i="9"/>
  <c r="M1388" i="9"/>
  <c r="L856" i="9"/>
  <c r="O1537" i="9"/>
  <c r="O1228" i="9"/>
  <c r="O1171" i="9"/>
  <c r="J1424" i="9"/>
  <c r="M1205" i="9"/>
  <c r="M1108" i="9"/>
  <c r="O823" i="9"/>
  <c r="P1254" i="9"/>
  <c r="P1212" i="9"/>
  <c r="M1497" i="9"/>
  <c r="K988" i="9"/>
  <c r="L1096" i="9"/>
  <c r="M1342" i="9"/>
  <c r="O873" i="9"/>
  <c r="K825" i="9"/>
  <c r="O1513" i="9"/>
  <c r="K1492" i="9"/>
  <c r="O778" i="9"/>
  <c r="M1212" i="9"/>
  <c r="K968" i="9"/>
  <c r="M1280" i="9"/>
  <c r="K1344" i="9"/>
  <c r="I1004" i="9"/>
  <c r="I1505" i="9"/>
  <c r="L990" i="9"/>
  <c r="I1425" i="9"/>
  <c r="M879" i="9"/>
  <c r="K1064" i="9"/>
  <c r="Q1440" i="9"/>
  <c r="K1401" i="9"/>
  <c r="K1290" i="9"/>
  <c r="P884" i="9"/>
  <c r="M1424" i="9"/>
  <c r="L925" i="9"/>
  <c r="Q1232" i="9"/>
  <c r="P1378" i="9"/>
  <c r="I1514" i="9"/>
  <c r="O1318" i="9"/>
  <c r="P1180" i="9"/>
  <c r="M1116" i="9"/>
  <c r="M902" i="9"/>
  <c r="K781" i="9"/>
  <c r="P1541" i="9"/>
  <c r="K1427" i="9"/>
  <c r="P1384" i="9"/>
  <c r="K1134" i="9"/>
  <c r="M816" i="9"/>
  <c r="L1461" i="9"/>
  <c r="I891" i="9"/>
  <c r="Q1378" i="9"/>
  <c r="M1373" i="9"/>
  <c r="L1091" i="9"/>
  <c r="M1389" i="9"/>
  <c r="K1075" i="9"/>
  <c r="M1346" i="9"/>
  <c r="K1509" i="9"/>
  <c r="O1470" i="9"/>
  <c r="L1413" i="9"/>
  <c r="M892" i="9"/>
  <c r="L1411" i="9"/>
  <c r="O937" i="9"/>
  <c r="P1505" i="9"/>
  <c r="L1248" i="9"/>
  <c r="O878" i="9"/>
  <c r="P1319" i="9"/>
  <c r="O791" i="9"/>
  <c r="Q841" i="9"/>
  <c r="M846" i="9"/>
  <c r="I1348" i="9"/>
  <c r="I1085" i="9"/>
  <c r="O1216" i="9"/>
  <c r="Q1365" i="9"/>
  <c r="M1390" i="9"/>
  <c r="Q884" i="9"/>
  <c r="Q1256" i="9"/>
  <c r="K1138" i="9"/>
  <c r="K1500" i="9"/>
  <c r="L1085" i="9"/>
  <c r="M1043" i="9"/>
  <c r="L1221" i="9"/>
  <c r="L1060" i="9"/>
  <c r="K1019" i="9"/>
  <c r="I855" i="9"/>
  <c r="M1283" i="9"/>
  <c r="M923" i="9"/>
  <c r="Q1414" i="9"/>
  <c r="M1152" i="9"/>
  <c r="P817" i="9"/>
  <c r="P928" i="9"/>
  <c r="P1443" i="9"/>
  <c r="K1277" i="9"/>
  <c r="L1524" i="9"/>
  <c r="Q973" i="9"/>
  <c r="O1408" i="9"/>
  <c r="L935" i="9"/>
  <c r="I1479" i="9"/>
  <c r="I1201" i="9"/>
  <c r="L1406" i="9"/>
  <c r="I1374" i="9"/>
  <c r="Q1327" i="9"/>
  <c r="I912" i="9"/>
  <c r="I919" i="9"/>
  <c r="M1356" i="9"/>
  <c r="L1382" i="9"/>
  <c r="L1258" i="9"/>
  <c r="K1512" i="9"/>
  <c r="P951" i="9"/>
  <c r="P1461" i="9"/>
  <c r="L1514" i="9"/>
  <c r="K1174" i="9"/>
  <c r="P1352" i="9"/>
  <c r="I1455" i="9"/>
  <c r="L891" i="9"/>
  <c r="L940" i="9"/>
  <c r="K855" i="9"/>
  <c r="K1455" i="9"/>
  <c r="Q1429" i="9"/>
  <c r="K1155" i="9"/>
  <c r="O920" i="9"/>
  <c r="M1140" i="9"/>
  <c r="Q1331" i="9"/>
  <c r="P1354" i="9"/>
  <c r="O950" i="9"/>
  <c r="Q807" i="9"/>
  <c r="Q805" i="9"/>
  <c r="I983" i="9"/>
  <c r="L912" i="9"/>
  <c r="I859" i="9"/>
  <c r="I1356" i="9"/>
  <c r="K1382" i="9"/>
  <c r="O1258" i="9"/>
  <c r="L1512" i="9"/>
  <c r="L951" i="9"/>
  <c r="K1461" i="9"/>
  <c r="I1522" i="9"/>
  <c r="L1496" i="9"/>
  <c r="L1073" i="9"/>
  <c r="P1277" i="9"/>
  <c r="P1441" i="9"/>
  <c r="L1374" i="9"/>
  <c r="P919" i="9"/>
  <c r="P1337" i="9"/>
  <c r="K1136" i="9"/>
  <c r="M1037" i="9"/>
  <c r="M1244" i="9"/>
  <c r="M1210" i="9"/>
  <c r="Q1194" i="9"/>
  <c r="Q972" i="9"/>
  <c r="M1506" i="9"/>
  <c r="M1034" i="9"/>
  <c r="M832" i="9"/>
  <c r="I1175" i="9"/>
  <c r="Q1474" i="9"/>
  <c r="O1391" i="9"/>
  <c r="P1230" i="9"/>
  <c r="O1278" i="9"/>
  <c r="O1514" i="9"/>
  <c r="L1352" i="9"/>
  <c r="O795" i="9"/>
  <c r="P850" i="9"/>
  <c r="K894" i="9"/>
  <c r="O855" i="9"/>
  <c r="P1522" i="9"/>
  <c r="K1008" i="9"/>
  <c r="I806" i="9"/>
  <c r="I1294" i="9"/>
  <c r="K916" i="9"/>
  <c r="I1219" i="9"/>
  <c r="M1514" i="9"/>
  <c r="K914" i="9"/>
  <c r="Q1253" i="9"/>
  <c r="L927" i="9"/>
  <c r="O1503" i="9"/>
  <c r="K990" i="9"/>
  <c r="M980" i="9"/>
  <c r="L865" i="9"/>
  <c r="M963" i="9"/>
  <c r="K839" i="9"/>
  <c r="I1093" i="9"/>
  <c r="M1035" i="9"/>
  <c r="L890" i="9"/>
  <c r="I1082" i="9"/>
  <c r="P1294" i="9"/>
  <c r="Q1386" i="9"/>
  <c r="L1507" i="9"/>
  <c r="M1057" i="9"/>
  <c r="P1328" i="9"/>
  <c r="K923" i="9"/>
  <c r="M1414" i="9"/>
  <c r="Q793" i="9"/>
  <c r="L803" i="9"/>
  <c r="I976" i="9"/>
  <c r="I1152" i="9"/>
  <c r="L1495" i="9"/>
  <c r="P1219" i="9"/>
  <c r="K1219" i="9"/>
  <c r="M900" i="9"/>
  <c r="K1088" i="9"/>
  <c r="Q1289" i="9"/>
  <c r="L1459" i="9"/>
  <c r="M1023" i="9"/>
  <c r="L1133" i="9"/>
  <c r="K976" i="9"/>
  <c r="P1341" i="9"/>
  <c r="I1370" i="9"/>
  <c r="Q953" i="9"/>
  <c r="I1020" i="9"/>
  <c r="M1479" i="9"/>
  <c r="Q1264" i="9"/>
  <c r="M882" i="9"/>
  <c r="I1224" i="9"/>
  <c r="M1394" i="9"/>
  <c r="I1432" i="9"/>
  <c r="I1486" i="9"/>
  <c r="K1304" i="9"/>
  <c r="Q933" i="9"/>
  <c r="Q1295" i="9"/>
  <c r="L1335" i="9"/>
  <c r="I1342" i="9"/>
  <c r="P950" i="9"/>
  <c r="M948" i="9"/>
  <c r="I1028" i="9"/>
  <c r="M1362" i="9"/>
  <c r="Q1259" i="9"/>
  <c r="P1463" i="9"/>
  <c r="L914" i="9"/>
  <c r="I1383" i="9"/>
  <c r="Q889" i="9"/>
  <c r="Q1543" i="9"/>
  <c r="O1164" i="9"/>
  <c r="P1469" i="9"/>
  <c r="P880" i="9"/>
  <c r="P1278" i="9"/>
  <c r="M810" i="9"/>
  <c r="I931" i="9"/>
  <c r="I1447" i="9"/>
  <c r="O1447" i="9"/>
  <c r="P1182" i="9"/>
  <c r="K1311" i="9"/>
  <c r="P829" i="9"/>
  <c r="L858" i="9"/>
  <c r="K802" i="9"/>
  <c r="L1180" i="9"/>
  <c r="O1373" i="9"/>
  <c r="K952" i="9"/>
  <c r="I917" i="9"/>
  <c r="O921" i="9"/>
  <c r="I1249" i="9"/>
  <c r="K1350" i="9"/>
  <c r="K863" i="9"/>
  <c r="I1037" i="9"/>
  <c r="P805" i="9"/>
  <c r="O909" i="9"/>
  <c r="O809" i="9"/>
  <c r="I1276" i="9"/>
  <c r="P1530" i="9"/>
  <c r="L1250" i="9"/>
  <c r="P1164" i="9"/>
  <c r="L857" i="9"/>
  <c r="P835" i="9"/>
  <c r="P1393" i="9"/>
  <c r="K1409" i="9"/>
  <c r="K879" i="9"/>
  <c r="K1070" i="9"/>
  <c r="L1344" i="9"/>
  <c r="O1296" i="9"/>
  <c r="O925" i="9"/>
  <c r="L1505" i="9"/>
  <c r="P1425" i="9"/>
  <c r="L859" i="9"/>
  <c r="L1356" i="9"/>
  <c r="O1175" i="9"/>
  <c r="K1370" i="9"/>
  <c r="O1224" i="9"/>
  <c r="L1432" i="9"/>
  <c r="L1486" i="9"/>
  <c r="K1342" i="9"/>
  <c r="L1028" i="9"/>
  <c r="Q1406" i="9"/>
  <c r="Q1495" i="9"/>
  <c r="I815" i="9"/>
  <c r="L1090" i="9"/>
  <c r="Q887" i="9"/>
  <c r="Q1279" i="9"/>
  <c r="I1450" i="9"/>
  <c r="L1450" i="9" s="1"/>
  <c r="P1330" i="9"/>
  <c r="P784" i="9"/>
  <c r="I1477" i="9"/>
  <c r="O1477" i="9" s="1"/>
  <c r="P1544" i="9"/>
  <c r="P1523" i="9"/>
  <c r="P1387" i="9"/>
  <c r="I1300" i="9"/>
  <c r="P927" i="9"/>
  <c r="L1528" i="9"/>
  <c r="I1527" i="9"/>
  <c r="Q919" i="9"/>
  <c r="M1150" i="9"/>
  <c r="L1038" i="9"/>
  <c r="L1040" i="9"/>
  <c r="M1423" i="9"/>
  <c r="O1419" i="9"/>
  <c r="P1246" i="9"/>
  <c r="K1534" i="9"/>
  <c r="K1310" i="9"/>
  <c r="K898" i="9"/>
  <c r="I1542" i="9"/>
  <c r="L1542" i="9" s="1"/>
  <c r="I1480" i="9"/>
  <c r="P1460" i="9"/>
  <c r="M1273" i="9"/>
  <c r="L1359" i="9"/>
  <c r="M984" i="9"/>
  <c r="K1240" i="9"/>
  <c r="L1470" i="9"/>
  <c r="K1202" i="9"/>
  <c r="M1115" i="9"/>
  <c r="I966" i="9"/>
  <c r="P967" i="9"/>
  <c r="Q1323" i="9"/>
  <c r="Q1413" i="9"/>
  <c r="M952" i="9"/>
  <c r="M1365" i="9"/>
  <c r="K1248" i="9"/>
  <c r="I1299" i="9"/>
  <c r="O1277" i="9"/>
  <c r="P857" i="9"/>
  <c r="L1527" i="9"/>
  <c r="O892" i="9"/>
  <c r="K878" i="9"/>
  <c r="I794" i="9"/>
  <c r="P1314" i="9"/>
  <c r="P1388" i="9"/>
  <c r="P929" i="9"/>
  <c r="M782" i="9"/>
  <c r="O914" i="9"/>
  <c r="P1309" i="9"/>
  <c r="M1471" i="9"/>
  <c r="O1162" i="9"/>
  <c r="P1521" i="9"/>
  <c r="I1087" i="9"/>
  <c r="K1087" i="9" s="1"/>
  <c r="M884" i="9"/>
  <c r="L1187" i="9"/>
  <c r="L1491" i="9"/>
  <c r="M1268" i="9"/>
  <c r="M1232" i="9"/>
  <c r="I1440" i="9"/>
  <c r="Q1453" i="9"/>
  <c r="Q866" i="9"/>
  <c r="Q1525" i="9"/>
  <c r="L838" i="9"/>
  <c r="K1359" i="9"/>
  <c r="K893" i="9"/>
  <c r="P1187" i="9"/>
  <c r="I1120" i="9"/>
  <c r="O1289" i="9"/>
  <c r="O860" i="9"/>
  <c r="I1454" i="9"/>
  <c r="P793" i="9"/>
  <c r="O1440" i="9"/>
  <c r="I1112" i="9"/>
  <c r="L1112" i="9" s="1"/>
  <c r="K1234" i="9"/>
  <c r="P1318" i="9"/>
  <c r="L1214" i="9"/>
  <c r="M778" i="9"/>
  <c r="P1459" i="9"/>
  <c r="P1226" i="9"/>
  <c r="L871" i="9"/>
  <c r="K1069" i="9"/>
  <c r="P947" i="9"/>
  <c r="P888" i="9"/>
  <c r="M1151" i="9"/>
  <c r="M1185" i="9"/>
  <c r="O1445" i="9"/>
  <c r="M1489" i="9"/>
  <c r="P1261" i="9"/>
  <c r="I954" i="9"/>
  <c r="I1160" i="9"/>
  <c r="M1207" i="9"/>
  <c r="P939" i="9"/>
  <c r="M1454" i="9"/>
  <c r="P860" i="9"/>
  <c r="M839" i="9"/>
  <c r="L1050" i="9"/>
  <c r="K1038" i="9"/>
  <c r="O1384" i="9"/>
  <c r="L1408" i="9"/>
  <c r="O1188" i="9"/>
  <c r="P847" i="9"/>
  <c r="Q1307" i="9"/>
  <c r="M1164" i="9"/>
  <c r="I1371" i="9"/>
  <c r="Q1388" i="9"/>
  <c r="M1080" i="9"/>
  <c r="M1457" i="9"/>
  <c r="P1477" i="9"/>
  <c r="P1413" i="9"/>
  <c r="P823" i="9"/>
  <c r="K1081" i="9"/>
  <c r="O852" i="9"/>
  <c r="O1225" i="9"/>
  <c r="I1012" i="9"/>
  <c r="M979" i="9"/>
  <c r="O1533" i="9"/>
  <c r="I965" i="9"/>
  <c r="O965" i="9" s="1"/>
  <c r="Q1408" i="9"/>
  <c r="I1343" i="9"/>
  <c r="L1343" i="9" s="1"/>
  <c r="O1397" i="9"/>
  <c r="I1259" i="9"/>
  <c r="P1451" i="9"/>
  <c r="L1448" i="9"/>
  <c r="J1535" i="9"/>
  <c r="M1535" i="9" s="1"/>
  <c r="K1469" i="9"/>
  <c r="K1067" i="9"/>
  <c r="M1118" i="9"/>
  <c r="Q921" i="9"/>
  <c r="I963" i="9"/>
  <c r="K1026" i="9"/>
  <c r="M1392" i="9"/>
  <c r="O916" i="9"/>
  <c r="Q1195" i="9"/>
  <c r="K966" i="9"/>
  <c r="P1221" i="9"/>
  <c r="M1196" i="9"/>
  <c r="P933" i="9"/>
  <c r="Q1494" i="9"/>
  <c r="O867" i="9"/>
  <c r="P1368" i="9"/>
  <c r="O1292" i="9"/>
  <c r="P1365" i="9"/>
  <c r="L877" i="9"/>
  <c r="M1286" i="9"/>
  <c r="L1320" i="9"/>
  <c r="O1295" i="9"/>
  <c r="O850" i="9"/>
  <c r="Q1400" i="9"/>
  <c r="M817" i="9"/>
  <c r="M1068" i="9"/>
  <c r="P1295" i="9"/>
  <c r="P844" i="9"/>
  <c r="I1372" i="9"/>
  <c r="O1239" i="9"/>
  <c r="L1423" i="9"/>
  <c r="I896" i="9"/>
  <c r="L1119" i="9"/>
  <c r="K1189" i="9"/>
  <c r="K1348" i="9"/>
  <c r="P1163" i="9"/>
  <c r="K807" i="9"/>
  <c r="M1292" i="9"/>
  <c r="Q960" i="9"/>
  <c r="Q1250" i="9"/>
  <c r="Q1211" i="9"/>
  <c r="O841" i="9"/>
  <c r="I846" i="9"/>
  <c r="P846" i="9" s="1"/>
  <c r="L834" i="9"/>
  <c r="I1444" i="9"/>
  <c r="P1444" i="9" s="1"/>
  <c r="K1524" i="9"/>
  <c r="L852" i="9"/>
  <c r="I796" i="9"/>
  <c r="P1385" i="9"/>
  <c r="I1206" i="9"/>
  <c r="L1504" i="9"/>
  <c r="O794" i="9"/>
  <c r="M1083" i="9"/>
  <c r="P815" i="9"/>
  <c r="Q820" i="9"/>
  <c r="Q1240" i="9"/>
  <c r="P1285" i="9"/>
  <c r="O1281" i="9"/>
  <c r="M1543" i="9"/>
  <c r="Q1215" i="9"/>
  <c r="L1004" i="9"/>
  <c r="L1354" i="9"/>
  <c r="I960" i="9"/>
  <c r="M1250" i="9"/>
  <c r="I911" i="9"/>
  <c r="K1448" i="9"/>
  <c r="K1282" i="9"/>
  <c r="L1334" i="9"/>
  <c r="Q874" i="9"/>
  <c r="K928" i="9"/>
  <c r="K1516" i="9"/>
  <c r="O1443" i="9"/>
  <c r="K1239" i="9"/>
  <c r="K963" i="9"/>
  <c r="L794" i="9"/>
  <c r="L1479" i="9"/>
  <c r="L960" i="9"/>
  <c r="K919" i="9"/>
  <c r="P796" i="9"/>
  <c r="O1455" i="9"/>
  <c r="L873" i="9"/>
  <c r="I1113" i="9"/>
  <c r="L1017" i="9"/>
  <c r="L1078" i="9"/>
  <c r="I1046" i="9"/>
  <c r="L933" i="9"/>
  <c r="K1160" i="9"/>
  <c r="M960" i="9"/>
  <c r="M1184" i="9"/>
  <c r="M911" i="9"/>
  <c r="Q1524" i="9"/>
  <c r="I1039" i="9"/>
  <c r="O1334" i="9"/>
  <c r="I874" i="9"/>
  <c r="K1106" i="9"/>
  <c r="P1338" i="9"/>
  <c r="L1008" i="9"/>
  <c r="K1443" i="9"/>
  <c r="P1239" i="9"/>
  <c r="P891" i="9"/>
  <c r="P940" i="9"/>
  <c r="K912" i="9"/>
  <c r="O859" i="9"/>
  <c r="O1444" i="9"/>
  <c r="M864" i="9"/>
  <c r="K1047" i="9"/>
  <c r="M1090" i="9"/>
  <c r="M898" i="9"/>
  <c r="I1267" i="9"/>
  <c r="K1425" i="9"/>
  <c r="K1115" i="9"/>
  <c r="I1200" i="9"/>
  <c r="K1200" i="9" s="1"/>
  <c r="L1348" i="9"/>
  <c r="Q855" i="9"/>
  <c r="I1283" i="9"/>
  <c r="Q923" i="9"/>
  <c r="O1179" i="9"/>
  <c r="L817" i="9"/>
  <c r="O1459" i="9"/>
  <c r="M1522" i="9"/>
  <c r="P1496" i="9"/>
  <c r="L1443" i="9"/>
  <c r="L1022" i="9"/>
  <c r="K1480" i="9"/>
  <c r="L1277" i="9"/>
  <c r="O1441" i="9"/>
  <c r="O1201" i="9"/>
  <c r="P912" i="9"/>
  <c r="O919" i="9"/>
  <c r="K1283" i="9"/>
  <c r="O874" i="9"/>
  <c r="L954" i="9"/>
  <c r="P1534" i="9"/>
  <c r="M1416" i="9"/>
  <c r="K1011" i="9"/>
  <c r="P1282" i="9"/>
  <c r="M919" i="9"/>
  <c r="O848" i="9"/>
  <c r="K1036" i="9"/>
  <c r="Q1317" i="9"/>
  <c r="L1506" i="9"/>
  <c r="M1235" i="9"/>
  <c r="Q1333" i="9"/>
  <c r="K1132" i="9"/>
  <c r="L1384" i="9"/>
  <c r="I1351" i="9"/>
  <c r="L1404" i="9"/>
  <c r="O1366" i="9"/>
  <c r="L1175" i="9"/>
  <c r="O1360" i="9"/>
  <c r="I1041" i="9"/>
  <c r="K1041" i="9" s="1"/>
  <c r="L1041" i="9"/>
  <c r="M869" i="9"/>
  <c r="L1093" i="9"/>
  <c r="Q1300" i="9"/>
  <c r="I1086" i="9"/>
  <c r="O887" i="9"/>
  <c r="Q1497" i="9"/>
  <c r="K1073" i="9"/>
  <c r="L1162" i="9"/>
  <c r="Q1537" i="9"/>
  <c r="K1031" i="9"/>
  <c r="M1114" i="9"/>
  <c r="K1294" i="9"/>
  <c r="L1219" i="9"/>
  <c r="L976" i="9"/>
  <c r="K1176" i="9"/>
  <c r="Q857" i="9"/>
  <c r="K1040" i="9"/>
  <c r="L1142" i="9"/>
  <c r="I971" i="9"/>
  <c r="O1475" i="9"/>
  <c r="M1524" i="9"/>
  <c r="Q778" i="9"/>
  <c r="Q1245" i="9"/>
  <c r="L971" i="9"/>
  <c r="L1082" i="9"/>
  <c r="M1237" i="9"/>
  <c r="M1370" i="9"/>
  <c r="I953" i="9"/>
  <c r="L953" i="9" s="1"/>
  <c r="M1020" i="9"/>
  <c r="Q1479" i="9"/>
  <c r="I1264" i="9"/>
  <c r="L1264" i="9" s="1"/>
  <c r="Q882" i="9"/>
  <c r="Q1224" i="9"/>
  <c r="M825" i="9"/>
  <c r="Q909" i="9"/>
  <c r="Q1486" i="9"/>
  <c r="L1304" i="9"/>
  <c r="M824" i="9"/>
  <c r="I961" i="9"/>
  <c r="P961" i="9" s="1"/>
  <c r="L787" i="9"/>
  <c r="Q821" i="9"/>
  <c r="I948" i="9"/>
  <c r="Q948" i="9"/>
  <c r="M1028" i="9"/>
  <c r="I1362" i="9"/>
  <c r="K1362" i="9" s="1"/>
  <c r="M981" i="9"/>
  <c r="L1463" i="9"/>
  <c r="P914" i="9"/>
  <c r="M1383" i="9"/>
  <c r="I889" i="9"/>
  <c r="I1361" i="9"/>
  <c r="O784" i="9"/>
  <c r="P825" i="9"/>
  <c r="K880" i="9"/>
  <c r="K1222" i="9"/>
  <c r="Q810" i="9"/>
  <c r="M931" i="9"/>
  <c r="M1447" i="9"/>
  <c r="P898" i="9"/>
  <c r="O1182" i="9"/>
  <c r="O906" i="9"/>
  <c r="L1311" i="9"/>
  <c r="M812" i="9"/>
  <c r="O829" i="9"/>
  <c r="K856" i="9"/>
  <c r="L802" i="9"/>
  <c r="O1180" i="9"/>
  <c r="K1373" i="9"/>
  <c r="I869" i="9"/>
  <c r="Q917" i="9"/>
  <c r="K1249" i="9"/>
  <c r="P1350" i="9"/>
  <c r="O863" i="9"/>
  <c r="I1196" i="9"/>
  <c r="L805" i="9"/>
  <c r="P878" i="9"/>
  <c r="L809" i="9"/>
  <c r="L1098" i="9"/>
  <c r="L959" i="9"/>
  <c r="O1530" i="9"/>
  <c r="K1250" i="9"/>
  <c r="L1164" i="9"/>
  <c r="K993" i="9"/>
  <c r="K1450" i="9"/>
  <c r="L1477" i="9"/>
  <c r="O1300" i="9"/>
  <c r="K1470" i="9"/>
  <c r="L835" i="9"/>
  <c r="L1299" i="9"/>
  <c r="L1393" i="9"/>
  <c r="P1409" i="9"/>
  <c r="O879" i="9"/>
  <c r="K1440" i="9"/>
  <c r="O1344" i="9"/>
  <c r="K1120" i="9"/>
  <c r="P1454" i="9"/>
  <c r="K1112" i="9"/>
  <c r="O1505" i="9"/>
  <c r="O1425" i="9"/>
  <c r="P1259" i="9"/>
  <c r="O1479" i="9"/>
  <c r="K1113" i="9"/>
  <c r="P859" i="9"/>
  <c r="O1356" i="9"/>
  <c r="L874" i="9"/>
  <c r="L1200" i="9"/>
  <c r="P1283" i="9"/>
  <c r="O971" i="9"/>
  <c r="P1370" i="9"/>
  <c r="K953" i="9"/>
  <c r="K1264" i="9"/>
  <c r="K1224" i="9"/>
  <c r="O1432" i="9"/>
  <c r="P1486" i="9"/>
  <c r="P1342" i="9"/>
  <c r="K948" i="9"/>
  <c r="L1362" i="9"/>
  <c r="L1383" i="9"/>
  <c r="Q1210" i="9"/>
  <c r="M867" i="9"/>
  <c r="M1421" i="9"/>
  <c r="I1154" i="9"/>
  <c r="I881" i="9"/>
  <c r="I1497" i="9"/>
  <c r="L1011" i="9"/>
  <c r="M804" i="9"/>
  <c r="M1048" i="9"/>
  <c r="Q1523" i="9"/>
  <c r="L1169" i="9"/>
  <c r="O1507" i="9"/>
  <c r="O822" i="9"/>
  <c r="I1518" i="9"/>
  <c r="P1248" i="9"/>
  <c r="Q1306" i="9"/>
  <c r="O1322" i="9"/>
  <c r="Q946" i="9"/>
  <c r="M1070" i="9"/>
  <c r="L1006" i="9"/>
  <c r="K1218" i="9"/>
  <c r="K1504" i="9"/>
  <c r="K1084" i="9"/>
  <c r="K920" i="9"/>
  <c r="L1292" i="9"/>
  <c r="O881" i="9"/>
  <c r="O886" i="9"/>
  <c r="O801" i="9"/>
  <c r="K937" i="9"/>
  <c r="M1380" i="9"/>
  <c r="I1396" i="9"/>
  <c r="I1003" i="9"/>
  <c r="K1003" i="9" s="1"/>
  <c r="K1273" i="9"/>
  <c r="L1056" i="9"/>
  <c r="Q1338" i="9"/>
  <c r="I1456" i="9"/>
  <c r="L980" i="9"/>
  <c r="K1024" i="9"/>
  <c r="M1039" i="9"/>
  <c r="O1310" i="9"/>
  <c r="K817" i="9"/>
  <c r="Q1428" i="9"/>
  <c r="M971" i="9"/>
  <c r="L849" i="9"/>
  <c r="K1384" i="9"/>
  <c r="M1238" i="9"/>
  <c r="P1500" i="9"/>
  <c r="P926" i="9"/>
  <c r="L1002" i="9"/>
  <c r="I1123" i="9"/>
  <c r="L1123" i="9" s="1"/>
  <c r="L1426" i="9"/>
  <c r="P903" i="9"/>
  <c r="O934" i="9"/>
  <c r="I1540" i="9"/>
  <c r="M1255" i="9"/>
  <c r="I984" i="9"/>
  <c r="K1454" i="9"/>
  <c r="P937" i="9"/>
  <c r="O1435" i="9"/>
  <c r="L1192" i="9"/>
  <c r="J1520" i="9"/>
  <c r="O1176" i="9"/>
  <c r="M1387" i="9"/>
  <c r="I1210" i="9"/>
  <c r="P1316" i="9"/>
  <c r="Q1383" i="9"/>
  <c r="Q890" i="9"/>
  <c r="M1223" i="9"/>
  <c r="I1510" i="9"/>
  <c r="L866" i="9"/>
  <c r="P852" i="9"/>
  <c r="K1365" i="9"/>
  <c r="O1439" i="9"/>
  <c r="K892" i="9"/>
  <c r="L1308" i="9"/>
  <c r="P791" i="9"/>
  <c r="L1072" i="9"/>
  <c r="K867" i="9"/>
  <c r="M889" i="9"/>
  <c r="O830" i="9"/>
  <c r="I1493" i="9"/>
  <c r="M1107" i="9"/>
  <c r="Q786" i="9"/>
  <c r="I1511" i="9"/>
  <c r="L1511" i="9" s="1"/>
  <c r="K783" i="9"/>
  <c r="M903" i="9"/>
  <c r="K1377" i="9"/>
  <c r="K1451" i="9"/>
  <c r="P788" i="9"/>
  <c r="L1124" i="9"/>
  <c r="P855" i="9"/>
  <c r="P1206" i="9"/>
  <c r="M1415" i="9"/>
  <c r="K1127" i="9"/>
  <c r="I1209" i="9"/>
  <c r="K1334" i="9"/>
  <c r="M922" i="9"/>
  <c r="I905" i="9"/>
  <c r="O927" i="9"/>
  <c r="O1524" i="9"/>
  <c r="K796" i="9"/>
  <c r="O835" i="9"/>
  <c r="P894" i="9"/>
  <c r="L905" i="9"/>
  <c r="L1243" i="9"/>
  <c r="I1453" i="9"/>
  <c r="P1453" i="9" s="1"/>
  <c r="P885" i="9"/>
  <c r="L1372" i="9"/>
  <c r="L1122" i="9"/>
  <c r="O1423" i="9"/>
  <c r="I1526" i="9"/>
  <c r="K1526" i="9" s="1"/>
  <c r="P1391" i="9"/>
  <c r="P954" i="9"/>
  <c r="Q1206" i="9"/>
  <c r="O963" i="9"/>
  <c r="K1201" i="9"/>
  <c r="P1356" i="9"/>
  <c r="K1522" i="9"/>
  <c r="L1281" i="9"/>
  <c r="L1208" i="9"/>
  <c r="K1479" i="9"/>
  <c r="K1103" i="9"/>
  <c r="K1374" i="9"/>
  <c r="I913" i="9"/>
  <c r="P841" i="9"/>
  <c r="L1088" i="9"/>
  <c r="P1507" i="9"/>
  <c r="L1013" i="9"/>
  <c r="O1385" i="9"/>
  <c r="L1239" i="9"/>
  <c r="K891" i="9"/>
  <c r="P960" i="9"/>
  <c r="K859" i="9"/>
  <c r="K1356" i="9"/>
  <c r="K1444" i="9"/>
  <c r="P1310" i="9"/>
  <c r="I1236" i="9"/>
  <c r="K1236" i="9" s="1"/>
  <c r="P1445" i="9"/>
  <c r="O817" i="9"/>
  <c r="L1174" i="9"/>
  <c r="Q1448" i="9"/>
  <c r="Q967" i="9"/>
  <c r="M1029" i="9"/>
  <c r="L1347" i="9"/>
  <c r="O1219" i="9"/>
  <c r="L1455" i="9"/>
  <c r="Q843" i="9"/>
  <c r="L1063" i="9"/>
  <c r="K1091" i="9"/>
  <c r="I1297" i="9"/>
  <c r="O1202" i="9"/>
  <c r="L1351" i="9"/>
  <c r="I1431" i="9"/>
  <c r="L1431" i="9" s="1"/>
  <c r="O1431" i="9"/>
  <c r="L1182" i="9"/>
  <c r="M1407" i="9"/>
  <c r="I1018" i="9"/>
  <c r="K1093" i="9"/>
  <c r="O1169" i="9"/>
  <c r="M853" i="9"/>
  <c r="I1484" i="9"/>
  <c r="O973" i="9"/>
  <c r="I1253" i="9"/>
  <c r="M927" i="9"/>
  <c r="I862" i="9"/>
  <c r="O961" i="9"/>
  <c r="O968" i="9"/>
  <c r="K1140" i="9"/>
  <c r="K994" i="9"/>
  <c r="I1414" i="9"/>
  <c r="Q1164" i="9"/>
  <c r="L784" i="9"/>
  <c r="I975" i="9"/>
  <c r="I810" i="9"/>
  <c r="Q1447" i="9"/>
  <c r="Q1182" i="9"/>
  <c r="Q897" i="9"/>
  <c r="O858" i="9"/>
  <c r="K1254" i="9"/>
  <c r="P1185" i="9"/>
  <c r="L921" i="9"/>
  <c r="I1205" i="9"/>
  <c r="L842" i="9"/>
  <c r="L1478" i="9"/>
  <c r="P809" i="9"/>
  <c r="P959" i="9"/>
  <c r="L1157" i="9"/>
  <c r="L1377" i="9"/>
  <c r="O1393" i="9"/>
  <c r="L1003" i="9"/>
  <c r="O1409" i="9"/>
  <c r="P1440" i="9"/>
  <c r="K1456" i="9"/>
  <c r="L1120" i="9"/>
  <c r="Q1424" i="9"/>
  <c r="L1425" i="9"/>
  <c r="O1259" i="9"/>
  <c r="P1479" i="9"/>
  <c r="L1283" i="9"/>
  <c r="P976" i="9"/>
  <c r="P971" i="9"/>
  <c r="L1370" i="9"/>
  <c r="O953" i="9"/>
  <c r="L1484" i="9"/>
  <c r="L1224" i="9"/>
  <c r="P948" i="9"/>
  <c r="O1383" i="9"/>
  <c r="O1414" i="9"/>
  <c r="O889" i="9"/>
  <c r="K1361" i="9"/>
  <c r="K975" i="9"/>
  <c r="P810" i="9"/>
  <c r="L931" i="9"/>
  <c r="O869" i="9"/>
  <c r="L917" i="9"/>
  <c r="O1249" i="9"/>
  <c r="K1205" i="9"/>
  <c r="L1196" i="9"/>
  <c r="O1276" i="9"/>
  <c r="O1254" i="9"/>
  <c r="I1436" i="9"/>
  <c r="M1466" i="9"/>
  <c r="I1032" i="9"/>
  <c r="I907" i="9"/>
  <c r="I1333" i="9"/>
  <c r="I782" i="9"/>
  <c r="K1528" i="9"/>
  <c r="L909" i="9"/>
  <c r="K1033" i="9"/>
  <c r="O1497" i="9"/>
  <c r="L791" i="9"/>
  <c r="P866" i="9"/>
  <c r="L888" i="9"/>
  <c r="K1056" i="9"/>
  <c r="I1375" i="9"/>
  <c r="M1111" i="9"/>
  <c r="Q1303" i="9"/>
  <c r="Q1249" i="9"/>
  <c r="P804" i="9"/>
  <c r="M1173" i="9"/>
  <c r="Q1288" i="9"/>
  <c r="Q1506" i="9"/>
  <c r="L1092" i="9"/>
  <c r="Q1179" i="9"/>
  <c r="K903" i="9"/>
  <c r="Q955" i="9"/>
  <c r="K1338" i="9"/>
  <c r="I1159" i="9"/>
  <c r="K815" i="9"/>
  <c r="L1136" i="9"/>
  <c r="K1404" i="9"/>
  <c r="M1096" i="9"/>
  <c r="L1440" i="9"/>
  <c r="M1178" i="9"/>
  <c r="Q1197" i="9"/>
  <c r="L1494" i="9"/>
  <c r="O1365" i="9"/>
  <c r="L1259" i="9"/>
  <c r="K808" i="9"/>
  <c r="P1513" i="9"/>
  <c r="K1048" i="9"/>
  <c r="Q1483" i="9"/>
  <c r="I851" i="9"/>
  <c r="O845" i="9"/>
  <c r="K1416" i="9"/>
  <c r="L846" i="9"/>
  <c r="M783" i="9"/>
  <c r="L1201" i="9"/>
  <c r="K896" i="9"/>
  <c r="P783" i="9"/>
  <c r="K954" i="9"/>
  <c r="O1504" i="9"/>
  <c r="O1493" i="9"/>
  <c r="L1322" i="9"/>
  <c r="M1449" i="9"/>
  <c r="I1251" i="9"/>
  <c r="O1251" i="9" s="1"/>
  <c r="K1216" i="9"/>
  <c r="L1012" i="9"/>
  <c r="K835" i="9"/>
  <c r="O983" i="9"/>
  <c r="L1251" i="9"/>
  <c r="K1510" i="9"/>
  <c r="P1397" i="9"/>
  <c r="M1211" i="9"/>
  <c r="M1444" i="9"/>
  <c r="Q796" i="9"/>
  <c r="K1210" i="9"/>
  <c r="O1209" i="9"/>
  <c r="K1175" i="9"/>
  <c r="K1129" i="9"/>
  <c r="I1457" i="9"/>
  <c r="L1023" i="9"/>
  <c r="I1151" i="9"/>
  <c r="L1151" i="9" s="1"/>
  <c r="K1013" i="9"/>
  <c r="L1256" i="9"/>
  <c r="K1124" i="9"/>
  <c r="K1288" i="9"/>
  <c r="L1195" i="9"/>
  <c r="L1297" i="9"/>
  <c r="P1297" i="9"/>
  <c r="I1468" i="9"/>
  <c r="I1449" i="9"/>
  <c r="M896" i="9"/>
  <c r="Q825" i="9"/>
  <c r="I824" i="9"/>
  <c r="O948" i="9"/>
  <c r="I981" i="9"/>
  <c r="I1452" i="9"/>
  <c r="O1452" i="9" s="1"/>
  <c r="L1360" i="9"/>
  <c r="P931" i="9"/>
  <c r="O1541" i="9"/>
  <c r="I1255" i="9"/>
  <c r="K1255" i="9" s="1"/>
  <c r="I1345" i="9"/>
  <c r="O1345" i="9" s="1"/>
  <c r="O1350" i="9"/>
  <c r="L878" i="9"/>
  <c r="K1530" i="9"/>
  <c r="L993" i="9"/>
  <c r="K1032" i="9"/>
  <c r="O1454" i="9"/>
  <c r="L1526" i="9"/>
  <c r="L1267" i="9"/>
  <c r="O913" i="9"/>
  <c r="P1431" i="9"/>
  <c r="P1264" i="9"/>
  <c r="P1432" i="9"/>
  <c r="L961" i="9"/>
  <c r="O1362" i="9"/>
  <c r="P1383" i="9"/>
  <c r="P1452" i="9"/>
  <c r="O975" i="9"/>
  <c r="K931" i="9"/>
  <c r="P1255" i="9"/>
  <c r="K1345" i="9"/>
  <c r="P1205" i="9"/>
  <c r="O1196" i="9"/>
  <c r="Q1280" i="9"/>
  <c r="M1542" i="9"/>
  <c r="M823" i="9"/>
  <c r="K854" i="9"/>
  <c r="K1507" i="9"/>
  <c r="I1116" i="9"/>
  <c r="O798" i="9"/>
  <c r="L1241" i="9"/>
  <c r="I1291" i="9"/>
  <c r="O1407" i="9"/>
  <c r="L1269" i="9"/>
  <c r="K1478" i="9"/>
  <c r="L1232" i="9"/>
  <c r="O780" i="9"/>
  <c r="I864" i="9"/>
  <c r="Q1218" i="9"/>
  <c r="I986" i="9"/>
  <c r="K986" i="9" s="1"/>
  <c r="J930" i="9"/>
  <c r="M1508" i="9"/>
  <c r="O967" i="9"/>
  <c r="O1492" i="9"/>
  <c r="M951" i="9"/>
  <c r="M1331" i="9"/>
  <c r="K1221" i="9"/>
  <c r="O890" i="9"/>
  <c r="M1085" i="9"/>
  <c r="M947" i="9"/>
  <c r="Q1423" i="9"/>
  <c r="L1203" i="9"/>
  <c r="M1418" i="9"/>
  <c r="M955" i="9"/>
  <c r="P1533" i="9"/>
  <c r="K1256" i="9"/>
  <c r="O1341" i="9"/>
  <c r="I833" i="9"/>
  <c r="M858" i="9"/>
  <c r="O1510" i="9"/>
  <c r="O972" i="9"/>
  <c r="O833" i="9"/>
  <c r="O1161" i="9"/>
  <c r="Q1381" i="9"/>
  <c r="M1075" i="9"/>
  <c r="M1320" i="9"/>
  <c r="O1230" i="9"/>
  <c r="K1133" i="9"/>
  <c r="O891" i="9"/>
  <c r="L1444" i="9"/>
  <c r="L1019" i="9"/>
  <c r="I1346" i="9"/>
  <c r="P1537" i="9"/>
  <c r="K788" i="9"/>
  <c r="O1374" i="9"/>
  <c r="K1206" i="9"/>
  <c r="M890" i="9"/>
  <c r="L1206" i="9"/>
  <c r="M1095" i="9"/>
  <c r="I779" i="9"/>
  <c r="L1216" i="9"/>
  <c r="K1012" i="9"/>
  <c r="P1374" i="9"/>
  <c r="P1455" i="9"/>
  <c r="O793" i="9"/>
  <c r="M1275" i="9"/>
  <c r="P834" i="9"/>
  <c r="L1462" i="9"/>
  <c r="K934" i="9"/>
  <c r="Q851" i="9"/>
  <c r="O1426" i="9"/>
  <c r="K1007" i="9"/>
  <c r="K1152" i="9"/>
  <c r="O1540" i="9"/>
  <c r="M1217" i="9"/>
  <c r="O1294" i="9"/>
  <c r="Q1449" i="9"/>
  <c r="M1284" i="9"/>
  <c r="M1432" i="9"/>
  <c r="M1295" i="9"/>
  <c r="L948" i="9"/>
  <c r="I1363" i="9"/>
  <c r="Q1452" i="9"/>
  <c r="K1360" i="9"/>
  <c r="Q931" i="9"/>
  <c r="K1541" i="9"/>
  <c r="Q1255" i="9"/>
  <c r="M1345" i="9"/>
  <c r="K889" i="9"/>
  <c r="O931" i="9"/>
  <c r="P1347" i="9"/>
  <c r="M1478" i="9"/>
  <c r="P1244" i="9"/>
  <c r="O1460" i="9"/>
  <c r="O871" i="9"/>
  <c r="P822" i="9"/>
  <c r="I1499" i="9"/>
  <c r="K816" i="9"/>
  <c r="K793" i="9"/>
  <c r="I902" i="9"/>
  <c r="K1096" i="9"/>
  <c r="L1052" i="9"/>
  <c r="I1044" i="9"/>
  <c r="K1232" i="9"/>
  <c r="M1427" i="9"/>
  <c r="I1325" i="9"/>
  <c r="M1067" i="9"/>
  <c r="M1177" i="9"/>
  <c r="P1366" i="9"/>
  <c r="L1263" i="9"/>
  <c r="Q1318" i="9"/>
  <c r="O872" i="9"/>
  <c r="K1463" i="9"/>
  <c r="L1316" i="9"/>
  <c r="K801" i="9"/>
  <c r="K1055" i="9"/>
  <c r="K1292" i="9"/>
  <c r="O857" i="9"/>
  <c r="L844" i="9"/>
  <c r="L826" i="9"/>
  <c r="L1242" i="9"/>
  <c r="Q837" i="9"/>
  <c r="L1051" i="9"/>
  <c r="I1233" i="9"/>
  <c r="Q1175" i="9"/>
  <c r="M1254" i="9"/>
  <c r="I1525" i="9"/>
  <c r="L979" i="9"/>
  <c r="L1212" i="9"/>
  <c r="K1054" i="9"/>
  <c r="K1060" i="9"/>
  <c r="K804" i="9"/>
  <c r="O1220" i="9"/>
  <c r="L1094" i="9"/>
  <c r="Q1293" i="9"/>
  <c r="I1395" i="9"/>
  <c r="L937" i="9"/>
  <c r="K1426" i="9"/>
  <c r="L1246" i="9"/>
  <c r="O861" i="9"/>
  <c r="I1035" i="9"/>
  <c r="K1296" i="9"/>
  <c r="M1433" i="9"/>
  <c r="L1189" i="9"/>
  <c r="L1185" i="9"/>
  <c r="I785" i="9"/>
  <c r="J1100" i="9"/>
  <c r="L1135" i="9"/>
  <c r="K1316" i="9"/>
  <c r="M1482" i="9"/>
  <c r="P916" i="9"/>
  <c r="K1044" i="9"/>
  <c r="O1338" i="9"/>
  <c r="P942" i="9"/>
  <c r="P1288" i="9"/>
  <c r="I1324" i="9"/>
  <c r="P1241" i="9"/>
  <c r="O915" i="9"/>
  <c r="I1535" i="9"/>
  <c r="K1505" i="9"/>
  <c r="M1325" i="9"/>
  <c r="P1364" i="9"/>
  <c r="L830" i="9"/>
  <c r="K1049" i="9"/>
  <c r="P902" i="9"/>
  <c r="I1489" i="9"/>
  <c r="K1319" i="9"/>
  <c r="Q1535" i="9"/>
  <c r="O1413" i="9"/>
  <c r="I930" i="9"/>
  <c r="L1111" i="9"/>
  <c r="Q1247" i="9"/>
  <c r="L1245" i="9"/>
  <c r="M1021" i="9"/>
  <c r="Q910" i="9"/>
  <c r="M1032" i="9"/>
  <c r="Q1538" i="9"/>
  <c r="K1085" i="9"/>
  <c r="I1275" i="9"/>
  <c r="L1278" i="9"/>
  <c r="P1514" i="9"/>
  <c r="K1371" i="9"/>
  <c r="K965" i="9"/>
  <c r="Q1455" i="9"/>
  <c r="K1441" i="9"/>
  <c r="K1511" i="9"/>
  <c r="M978" i="9"/>
  <c r="K1092" i="9"/>
  <c r="I1487" i="9"/>
  <c r="Q1384" i="9"/>
  <c r="K845" i="9"/>
  <c r="O1502" i="9"/>
  <c r="I1458" i="9"/>
  <c r="M976" i="9"/>
  <c r="P865" i="9"/>
  <c r="L845" i="9"/>
  <c r="O1232" i="9"/>
  <c r="P1416" i="9"/>
  <c r="P1343" i="9"/>
  <c r="P1535" i="9"/>
  <c r="L930" i="9"/>
  <c r="K1458" i="9"/>
  <c r="O846" i="9"/>
  <c r="M1106" i="9"/>
  <c r="O1354" i="9"/>
  <c r="Q1181" i="9"/>
  <c r="O1453" i="9"/>
  <c r="M791" i="9"/>
  <c r="P1493" i="9"/>
  <c r="Q1283" i="9"/>
  <c r="K1537" i="9"/>
  <c r="K1514" i="9"/>
  <c r="L965" i="9"/>
  <c r="K795" i="9"/>
  <c r="L966" i="9"/>
  <c r="K1209" i="9"/>
  <c r="L855" i="9"/>
  <c r="K911" i="9"/>
  <c r="I998" i="9"/>
  <c r="K998" i="9" s="1"/>
  <c r="O1372" i="9"/>
  <c r="I1428" i="9"/>
  <c r="P1423" i="9"/>
  <c r="P1281" i="9"/>
  <c r="Q1184" i="9"/>
  <c r="L1515" i="9"/>
  <c r="O903" i="9"/>
  <c r="I900" i="9"/>
  <c r="O1333" i="9"/>
  <c r="O1451" i="9"/>
  <c r="L788" i="9"/>
  <c r="P1504" i="9"/>
  <c r="L1487" i="9"/>
  <c r="P913" i="9"/>
  <c r="O911" i="9"/>
  <c r="K900" i="9"/>
  <c r="P1485" i="9"/>
  <c r="Q1161" i="9"/>
  <c r="P849" i="9"/>
  <c r="M842" i="9"/>
  <c r="P1344" i="9"/>
  <c r="O806" i="9"/>
  <c r="I1265" i="9"/>
  <c r="K1460" i="9"/>
  <c r="L1044" i="9"/>
  <c r="K1110" i="9"/>
  <c r="P1218" i="9"/>
  <c r="O1351" i="9"/>
  <c r="P806" i="9"/>
  <c r="P1516" i="9"/>
  <c r="Q1373" i="9"/>
  <c r="O1246" i="9"/>
  <c r="I1027" i="9"/>
  <c r="K1352" i="9"/>
  <c r="L806" i="9"/>
  <c r="K1027" i="9"/>
  <c r="M796" i="9"/>
  <c r="O1236" i="9"/>
  <c r="P1371" i="9"/>
  <c r="I1399" i="9"/>
  <c r="Q813" i="9"/>
  <c r="K1082" i="9"/>
  <c r="K1169" i="9"/>
  <c r="I853" i="9"/>
  <c r="M1484" i="9"/>
  <c r="M973" i="9"/>
  <c r="I1394" i="9"/>
  <c r="M941" i="9"/>
  <c r="M933" i="9"/>
  <c r="O1335" i="9"/>
  <c r="L968" i="9"/>
  <c r="M1259" i="9"/>
  <c r="L994" i="9"/>
  <c r="K1414" i="9"/>
  <c r="K1164" i="9"/>
  <c r="K1278" i="9"/>
  <c r="K1330" i="9"/>
  <c r="L1447" i="9"/>
  <c r="M897" i="9"/>
  <c r="K858" i="9"/>
  <c r="L1254" i="9"/>
  <c r="O1185" i="9"/>
  <c r="K921" i="9"/>
  <c r="L1350" i="9"/>
  <c r="K842" i="9"/>
  <c r="P920" i="9"/>
  <c r="M1276" i="9"/>
  <c r="O815" i="9"/>
  <c r="K1157" i="9"/>
  <c r="K857" i="9"/>
  <c r="O1377" i="9"/>
  <c r="O782" i="9"/>
  <c r="K1299" i="9"/>
  <c r="L1396" i="9"/>
  <c r="O1375" i="9"/>
  <c r="L879" i="9"/>
  <c r="K1525" i="9"/>
  <c r="L1456" i="9"/>
  <c r="K925" i="9"/>
  <c r="I1424" i="9"/>
  <c r="M1100" i="9"/>
  <c r="L1159" i="9"/>
  <c r="K1535" i="9"/>
  <c r="L1453" i="9"/>
  <c r="P1251" i="9"/>
  <c r="L998" i="9"/>
  <c r="K1428" i="9"/>
  <c r="O1283" i="9"/>
  <c r="O976" i="9"/>
  <c r="K971" i="9"/>
  <c r="L1468" i="9"/>
  <c r="O1370" i="9"/>
  <c r="P953" i="9"/>
  <c r="O1484" i="9"/>
  <c r="P1253" i="9"/>
  <c r="K1432" i="9"/>
  <c r="K824" i="9"/>
  <c r="K1028" i="9"/>
  <c r="K981" i="9"/>
  <c r="K1383" i="9"/>
  <c r="P1414" i="9"/>
  <c r="P889" i="9"/>
  <c r="L1452" i="9"/>
  <c r="O1361" i="9"/>
  <c r="P975" i="9"/>
  <c r="K810" i="9"/>
  <c r="P1447" i="9"/>
  <c r="O1255" i="9"/>
  <c r="K869" i="9"/>
  <c r="P1345" i="9"/>
  <c r="K917" i="9"/>
  <c r="L1249" i="9"/>
  <c r="K1037" i="9"/>
  <c r="P1196" i="9"/>
  <c r="K1276" i="9"/>
  <c r="I1386" i="9"/>
  <c r="I969" i="9"/>
  <c r="M781" i="9"/>
  <c r="P934" i="9"/>
  <c r="P839" i="9"/>
  <c r="P1502" i="9"/>
  <c r="M1073" i="9"/>
  <c r="M1452" i="9"/>
  <c r="O1247" i="9"/>
  <c r="P1382" i="9"/>
  <c r="M1120" i="9"/>
  <c r="L929" i="9"/>
  <c r="K978" i="9"/>
  <c r="M1281" i="9"/>
  <c r="M1358" i="9"/>
  <c r="I943" i="9"/>
  <c r="M1249" i="9"/>
  <c r="Q815" i="9"/>
  <c r="M915" i="9"/>
  <c r="M1132" i="9"/>
  <c r="L1375" i="9"/>
  <c r="M1488" i="9"/>
  <c r="K985" i="9"/>
  <c r="K997" i="9"/>
  <c r="Q873" i="9"/>
  <c r="I1057" i="9"/>
  <c r="K995" i="9"/>
  <c r="P1203" i="9"/>
  <c r="M798" i="9"/>
  <c r="M1376" i="9"/>
  <c r="I1108" i="9"/>
  <c r="L1108" i="9" s="1"/>
  <c r="I870" i="9"/>
  <c r="K1006" i="9"/>
  <c r="O1243" i="9"/>
  <c r="I1340" i="9"/>
  <c r="L1430" i="9"/>
  <c r="M932" i="9"/>
  <c r="O811" i="9"/>
  <c r="Q913" i="9"/>
  <c r="Q1341" i="9"/>
  <c r="L795" i="9"/>
  <c r="P925" i="9"/>
  <c r="K1228" i="9"/>
  <c r="K888" i="9"/>
  <c r="P1348" i="9"/>
  <c r="P1300" i="9"/>
  <c r="I922" i="9"/>
  <c r="P1232" i="9"/>
  <c r="O1542" i="9"/>
  <c r="P930" i="9"/>
  <c r="I1321" i="9"/>
  <c r="Q903" i="9"/>
  <c r="L1379" i="9"/>
  <c r="O1511" i="9"/>
  <c r="K852" i="9"/>
  <c r="M1206" i="9"/>
  <c r="O1275" i="9"/>
  <c r="K1014" i="9"/>
  <c r="M1072" i="9"/>
  <c r="M917" i="9"/>
  <c r="I832" i="9"/>
  <c r="K1230" i="9"/>
  <c r="I1286" i="9"/>
  <c r="K794" i="9"/>
  <c r="P1511" i="9"/>
  <c r="O1206" i="9"/>
  <c r="I977" i="9"/>
  <c r="Q1298" i="9"/>
  <c r="K983" i="9"/>
  <c r="Q846" i="9"/>
  <c r="L1338" i="9"/>
  <c r="L1324" i="9"/>
  <c r="L1458" i="9"/>
  <c r="P905" i="9"/>
  <c r="K1515" i="9"/>
  <c r="Q1392" i="9"/>
  <c r="O1390" i="9"/>
  <c r="I982" i="9"/>
  <c r="K806" i="9"/>
  <c r="K1351" i="9"/>
  <c r="I1080" i="9"/>
  <c r="P1236" i="9"/>
  <c r="M865" i="9"/>
  <c r="I897" i="9"/>
  <c r="L1480" i="9"/>
  <c r="K1151" i="9"/>
  <c r="Q1509" i="9"/>
  <c r="I1312" i="9"/>
  <c r="Q1207" i="9"/>
  <c r="L1089" i="9"/>
  <c r="L831" i="9"/>
  <c r="O1469" i="9"/>
  <c r="O1222" i="9"/>
  <c r="L898" i="9"/>
  <c r="O783" i="9"/>
  <c r="K1083" i="9"/>
  <c r="Q899" i="9"/>
  <c r="L839" i="9"/>
  <c r="K1098" i="9"/>
  <c r="P798" i="9"/>
  <c r="K877" i="9"/>
  <c r="O1325" i="9"/>
  <c r="K1396" i="9"/>
  <c r="P879" i="9"/>
  <c r="P1296" i="9"/>
  <c r="O1340" i="9"/>
  <c r="L1113" i="9"/>
  <c r="L1522" i="9"/>
  <c r="O1200" i="9"/>
  <c r="O779" i="9"/>
  <c r="K1449" i="9"/>
  <c r="L1020" i="9"/>
  <c r="O1253" i="9"/>
  <c r="K862" i="9"/>
  <c r="L1342" i="9"/>
  <c r="L1363" i="9"/>
  <c r="L889" i="9"/>
  <c r="P1361" i="9"/>
  <c r="O810" i="9"/>
  <c r="K1447" i="9"/>
  <c r="L869" i="9"/>
  <c r="P917" i="9"/>
  <c r="L1037" i="9"/>
  <c r="P1276" i="9"/>
  <c r="L1460" i="9"/>
  <c r="O1252" i="9"/>
  <c r="L1274" i="9"/>
  <c r="L1530" i="9"/>
  <c r="K1226" i="9"/>
  <c r="M945" i="9"/>
  <c r="I1260" i="9"/>
  <c r="L999" i="9"/>
  <c r="O1250" i="9"/>
  <c r="O962" i="9"/>
  <c r="I1184" i="9"/>
  <c r="P1325" i="9"/>
  <c r="O1418" i="9"/>
  <c r="P1542" i="9"/>
  <c r="I899" i="9"/>
  <c r="O1242" i="9"/>
  <c r="Q1277" i="9"/>
  <c r="K809" i="9"/>
  <c r="L1075" i="9"/>
  <c r="M905" i="9"/>
  <c r="M972" i="9"/>
  <c r="O1309" i="9"/>
  <c r="M799" i="9"/>
  <c r="K787" i="9"/>
  <c r="K1161" i="9"/>
  <c r="I1186" i="9"/>
  <c r="O854" i="9"/>
  <c r="O1544" i="9"/>
  <c r="L1101" i="9"/>
  <c r="O1527" i="9"/>
  <c r="O842" i="9"/>
  <c r="M788" i="9"/>
  <c r="K1042" i="9"/>
  <c r="I946" i="9"/>
  <c r="L1416" i="9"/>
  <c r="L907" i="9"/>
  <c r="K909" i="9"/>
  <c r="O933" i="9"/>
  <c r="K1035" i="9"/>
  <c r="M1293" i="9"/>
  <c r="P870" i="9"/>
  <c r="L1126" i="9"/>
  <c r="Q1345" i="9"/>
  <c r="Q1458" i="9"/>
  <c r="M1474" i="9"/>
  <c r="L785" i="9"/>
  <c r="O1352" i="9"/>
  <c r="O896" i="9"/>
  <c r="M994" i="9"/>
  <c r="Q845" i="9"/>
  <c r="I1412" i="9"/>
  <c r="K1412" i="9"/>
  <c r="P1377" i="9"/>
  <c r="P965" i="9"/>
  <c r="L1441" i="9"/>
  <c r="L1346" i="9"/>
  <c r="M1350" i="9"/>
  <c r="Q1358" i="9"/>
  <c r="Q914" i="9"/>
  <c r="I1235" i="9"/>
  <c r="Q875" i="9"/>
  <c r="P845" i="9"/>
  <c r="K1123" i="9"/>
  <c r="O1416" i="9"/>
  <c r="K1343" i="9"/>
  <c r="K850" i="9"/>
  <c r="L894" i="9"/>
  <c r="O960" i="9"/>
  <c r="P1526" i="9"/>
  <c r="K846" i="9"/>
  <c r="L952" i="9"/>
  <c r="O959" i="9"/>
  <c r="L1143" i="9"/>
  <c r="I1238" i="9"/>
  <c r="L1039" i="9"/>
  <c r="Q1286" i="9"/>
  <c r="K1542" i="9"/>
  <c r="P794" i="9"/>
  <c r="K1235" i="9"/>
  <c r="K1251" i="9"/>
  <c r="M921" i="9"/>
  <c r="K1022" i="9"/>
  <c r="K1179" i="9"/>
  <c r="O1235" i="9"/>
  <c r="L1033" i="9"/>
  <c r="P1265" i="9"/>
  <c r="L1294" i="9"/>
  <c r="L1106" i="9"/>
  <c r="M1492" i="9"/>
  <c r="L982" i="9"/>
  <c r="L1236" i="9"/>
  <c r="I875" i="9"/>
  <c r="O1499" i="9"/>
  <c r="P1351" i="9"/>
  <c r="M1509" i="9"/>
  <c r="Q1312" i="9"/>
  <c r="I1207" i="9"/>
  <c r="K1089" i="9"/>
  <c r="O831" i="9"/>
  <c r="L1469" i="9"/>
  <c r="P1222" i="9"/>
  <c r="Q898" i="9"/>
  <c r="L783" i="9"/>
  <c r="L1083" i="9"/>
  <c r="P899" i="9"/>
  <c r="P863" i="9"/>
  <c r="O839" i="9"/>
  <c r="L1386" i="9"/>
  <c r="O1241" i="9"/>
  <c r="K798" i="9"/>
  <c r="P1450" i="9"/>
  <c r="K1477" i="9"/>
  <c r="K1388" i="9"/>
  <c r="K1325" i="9"/>
  <c r="P864" i="9"/>
  <c r="K1393" i="9"/>
  <c r="L1087" i="9"/>
  <c r="L1409" i="9"/>
  <c r="L986" i="9"/>
  <c r="M930" i="9"/>
  <c r="L1296" i="9"/>
  <c r="L1454" i="9"/>
  <c r="P1186" i="9"/>
  <c r="K1108" i="9"/>
  <c r="O1343" i="9"/>
  <c r="O1321" i="9"/>
  <c r="L1046" i="9"/>
  <c r="O1526" i="9"/>
  <c r="O1522" i="9"/>
  <c r="K1267" i="9"/>
  <c r="P1200" i="9"/>
  <c r="P1175" i="9"/>
  <c r="O900" i="9"/>
  <c r="K1431" i="9"/>
  <c r="K875" i="9"/>
  <c r="P1399" i="9"/>
  <c r="L1449" i="9"/>
  <c r="K853" i="9"/>
  <c r="K1020" i="9"/>
  <c r="P1224" i="9"/>
  <c r="K1394" i="9"/>
  <c r="O1486" i="9"/>
  <c r="P862" i="9"/>
  <c r="K961" i="9"/>
  <c r="O1342" i="9"/>
  <c r="P1362" i="9"/>
  <c r="O1363" i="9"/>
  <c r="L1414" i="9"/>
  <c r="K1452" i="9"/>
  <c r="L1361" i="9"/>
  <c r="L975" i="9"/>
  <c r="L810" i="9"/>
  <c r="L1255" i="9"/>
  <c r="P869" i="9"/>
  <c r="L1345" i="9"/>
  <c r="O917" i="9"/>
  <c r="P1249" i="9"/>
  <c r="O1205" i="9"/>
  <c r="K1196" i="9"/>
  <c r="L1276" i="9"/>
  <c r="K1424" i="9"/>
  <c r="K1486" i="9"/>
  <c r="O1450" i="9"/>
  <c r="P1439" i="9"/>
  <c r="Q892" i="9"/>
  <c r="O1500" i="9"/>
  <c r="K826" i="9"/>
  <c r="Q927" i="9"/>
  <c r="I1284" i="9"/>
  <c r="I1332" i="9"/>
  <c r="Q1435" i="9"/>
  <c r="M866" i="9"/>
  <c r="Q849" i="9"/>
  <c r="M1044" i="9"/>
  <c r="K1046" i="9"/>
  <c r="P1291" i="9"/>
  <c r="K1423" i="9"/>
  <c r="P895" i="9"/>
  <c r="P858" i="9"/>
  <c r="K1429" i="9"/>
  <c r="L915" i="9"/>
  <c r="M834" i="9"/>
  <c r="K1188" i="9"/>
  <c r="M1504" i="9"/>
  <c r="M1314" i="9"/>
  <c r="I883" i="9"/>
  <c r="I1389" i="9"/>
  <c r="K1259" i="9"/>
  <c r="K959" i="9"/>
  <c r="P1292" i="9"/>
  <c r="L1140" i="9"/>
  <c r="M954" i="9"/>
  <c r="M909" i="9"/>
  <c r="I1327" i="9"/>
  <c r="Q1482" i="9"/>
  <c r="M1341" i="9"/>
  <c r="Q1404" i="9"/>
  <c r="Q788" i="9"/>
  <c r="K1453" i="9"/>
  <c r="Q1276" i="9"/>
  <c r="K1021" i="9"/>
  <c r="K1214" i="9"/>
  <c r="P1492" i="9"/>
  <c r="M794" i="9"/>
  <c r="Q1254" i="9"/>
  <c r="I957" i="9"/>
  <c r="I992" i="9"/>
  <c r="I1473" i="9"/>
  <c r="Q784" i="9"/>
  <c r="M1544" i="9"/>
  <c r="K1284" i="9"/>
  <c r="K1332" i="9"/>
  <c r="O883" i="9"/>
  <c r="L1389" i="9"/>
  <c r="P1327" i="9"/>
  <c r="O957" i="9"/>
  <c r="L992" i="9"/>
  <c r="L1473" i="9"/>
  <c r="L1049" i="9"/>
  <c r="L815" i="9"/>
  <c r="K780" i="9"/>
  <c r="L1364" i="9"/>
  <c r="O825" i="9"/>
  <c r="Q1349" i="9"/>
  <c r="O882" i="9"/>
  <c r="M1536" i="9"/>
  <c r="Q1324" i="9"/>
  <c r="M953" i="9"/>
  <c r="I1053" i="9"/>
  <c r="L1053" i="9" s="1"/>
  <c r="Q895" i="9"/>
  <c r="I1034" i="9"/>
  <c r="M1003" i="9"/>
  <c r="O984" i="9"/>
  <c r="O1388" i="9"/>
  <c r="O1411" i="9"/>
  <c r="L1330" i="9"/>
  <c r="L1025" i="9"/>
  <c r="O808" i="9"/>
  <c r="Q1460" i="9"/>
  <c r="M1450" i="9"/>
  <c r="I918" i="9"/>
  <c r="L918" i="9" s="1"/>
  <c r="I1331" i="9"/>
  <c r="O1331" i="9" s="1"/>
  <c r="M1366" i="9"/>
  <c r="I1438" i="9"/>
  <c r="K1438" i="9" s="1"/>
  <c r="L1070" i="9"/>
  <c r="K1281" i="9"/>
  <c r="L1064" i="9"/>
  <c r="L829" i="9"/>
  <c r="Q1292" i="9"/>
  <c r="M1203" i="9"/>
  <c r="I1357" i="9"/>
  <c r="K1357" i="9" s="1"/>
  <c r="I1145" i="9"/>
  <c r="M1213" i="9"/>
  <c r="M1126" i="9"/>
  <c r="I1168" i="9"/>
  <c r="K1168" i="9" s="1"/>
  <c r="K1354" i="9"/>
  <c r="I1380" i="9"/>
  <c r="L1380" i="9" s="1"/>
  <c r="K1076" i="9"/>
  <c r="I1183" i="9"/>
  <c r="P1183" i="9" s="1"/>
  <c r="Q802" i="9"/>
  <c r="K1039" i="9"/>
  <c r="P1250" i="9"/>
  <c r="O856" i="9"/>
  <c r="K860" i="9"/>
  <c r="M1397" i="9"/>
  <c r="M1110" i="9"/>
  <c r="M1248" i="9"/>
  <c r="O877" i="9"/>
  <c r="K972" i="9"/>
  <c r="I1376" i="9"/>
  <c r="O1376" i="9" s="1"/>
  <c r="Q862" i="9"/>
  <c r="I1532" i="9"/>
  <c r="L1532" i="9" s="1"/>
  <c r="M1429" i="9"/>
  <c r="O1264" i="9"/>
  <c r="O1478" i="9"/>
  <c r="M1049" i="9"/>
  <c r="I1280" i="9"/>
  <c r="L1280" i="9" s="1"/>
  <c r="P787" i="9"/>
  <c r="Q1278" i="9"/>
  <c r="Q1260" i="9"/>
  <c r="M800" i="9"/>
  <c r="I1538" i="9"/>
  <c r="K1538" i="9" s="1"/>
  <c r="K1183" i="9"/>
  <c r="O1332" i="9"/>
  <c r="L1034" i="9"/>
  <c r="L1331" i="9"/>
  <c r="K883" i="9"/>
  <c r="O1389" i="9"/>
  <c r="P1376" i="9"/>
  <c r="O1327" i="9"/>
  <c r="O1357" i="9"/>
  <c r="O1532" i="9"/>
  <c r="O1280" i="9"/>
  <c r="K1473" i="9"/>
  <c r="O1538" i="9"/>
  <c r="P1470" i="9"/>
  <c r="O1248" i="9"/>
  <c r="P968" i="9"/>
  <c r="M1475" i="9"/>
  <c r="M1495" i="9"/>
  <c r="I1128" i="9"/>
  <c r="K1128" i="9" s="1"/>
  <c r="K1269" i="9"/>
  <c r="I1166" i="9"/>
  <c r="Q1273" i="9"/>
  <c r="M1201" i="9"/>
  <c r="K1489" i="9"/>
  <c r="P909" i="9"/>
  <c r="Q867" i="9"/>
  <c r="I1170" i="9"/>
  <c r="L1170" i="9" s="1"/>
  <c r="I1237" i="9"/>
  <c r="Q831" i="9"/>
  <c r="O986" i="9"/>
  <c r="K1144" i="9"/>
  <c r="K906" i="9"/>
  <c r="I945" i="9"/>
  <c r="L932" i="9"/>
  <c r="Q1270" i="9"/>
  <c r="I1446" i="9"/>
  <c r="O1380" i="9"/>
  <c r="P1332" i="9"/>
  <c r="P1166" i="9"/>
  <c r="P1331" i="9"/>
  <c r="L1438" i="9"/>
  <c r="O1170" i="9"/>
  <c r="P1357" i="9"/>
  <c r="P1237" i="9"/>
  <c r="P1280" i="9"/>
  <c r="L945" i="9"/>
  <c r="P1446" i="9"/>
  <c r="L1538" i="9"/>
  <c r="O1494" i="9"/>
  <c r="I1266" i="9"/>
  <c r="Q1456" i="9"/>
  <c r="L1160" i="9"/>
  <c r="M1310" i="9"/>
  <c r="K1378" i="9"/>
  <c r="P842" i="9"/>
  <c r="I821" i="9"/>
  <c r="Q894" i="9"/>
  <c r="L863" i="9"/>
  <c r="I1539" i="9"/>
  <c r="M1089" i="9"/>
  <c r="O1183" i="9"/>
  <c r="L1332" i="9"/>
  <c r="K918" i="9"/>
  <c r="P1389" i="9"/>
  <c r="K821" i="9"/>
  <c r="L1327" i="9"/>
  <c r="L1145" i="9"/>
  <c r="O1168" i="9"/>
  <c r="K957" i="9"/>
  <c r="L1497" i="9"/>
  <c r="Q1252" i="9"/>
  <c r="L1325" i="9"/>
  <c r="M1481" i="9"/>
  <c r="Q844" i="9"/>
  <c r="L950" i="9"/>
  <c r="I1517" i="9"/>
  <c r="I989" i="9"/>
  <c r="K989" i="9" s="1"/>
  <c r="P1380" i="9"/>
  <c r="L1284" i="9"/>
  <c r="K1389" i="9"/>
  <c r="K1376" i="9"/>
  <c r="L1357" i="9"/>
  <c r="P945" i="9"/>
  <c r="P957" i="9"/>
  <c r="K1159" i="9"/>
  <c r="I941" i="9"/>
  <c r="I1398" i="9"/>
  <c r="K1266" i="9"/>
  <c r="O1284" i="9"/>
  <c r="K1034" i="9"/>
  <c r="P918" i="9"/>
  <c r="L883" i="9"/>
  <c r="L1376" i="9"/>
  <c r="K1327" i="9"/>
  <c r="K1145" i="9"/>
  <c r="P1168" i="9"/>
  <c r="L957" i="9"/>
  <c r="L1517" i="9"/>
  <c r="O1473" i="9"/>
  <c r="L1032" i="9"/>
  <c r="Q803" i="9"/>
  <c r="M1344" i="9"/>
  <c r="O1349" i="9"/>
  <c r="I1498" i="9"/>
  <c r="K833" i="9"/>
  <c r="M975" i="9"/>
  <c r="O888" i="9"/>
  <c r="L881" i="9"/>
  <c r="L1005" i="9"/>
  <c r="I789" i="9"/>
  <c r="I1313" i="9"/>
  <c r="O1266" i="9"/>
  <c r="P1284" i="9"/>
  <c r="L1498" i="9"/>
  <c r="K1331" i="9"/>
  <c r="P1170" i="9"/>
  <c r="P941" i="9"/>
  <c r="K789" i="9"/>
  <c r="P1473" i="9"/>
  <c r="K1313" i="9"/>
  <c r="K1101" i="9"/>
  <c r="P873" i="9"/>
  <c r="Q804" i="9"/>
  <c r="P952" i="9"/>
  <c r="Q896" i="9"/>
  <c r="K1111" i="9"/>
  <c r="M926" i="9"/>
  <c r="I956" i="9"/>
  <c r="K1053" i="9"/>
  <c r="O918" i="9"/>
  <c r="P1438" i="9"/>
  <c r="K1170" i="9"/>
  <c r="K1237" i="9"/>
  <c r="K941" i="9"/>
  <c r="P1539" i="9"/>
  <c r="K1446" i="9"/>
  <c r="P1538" i="9"/>
  <c r="P807" i="9"/>
  <c r="M826" i="9"/>
  <c r="M1477" i="9"/>
  <c r="K1380" i="9"/>
  <c r="L1128" i="9"/>
  <c r="O1438" i="9"/>
  <c r="P1532" i="9"/>
  <c r="K1280" i="9"/>
  <c r="K992" i="9"/>
  <c r="L956" i="9"/>
  <c r="L920" i="9"/>
  <c r="P802" i="9"/>
  <c r="O804" i="9"/>
  <c r="I1466" i="9"/>
  <c r="M912" i="9"/>
  <c r="L1205" i="9"/>
  <c r="L1047" i="9"/>
  <c r="Q830" i="9"/>
  <c r="I1543" i="9"/>
  <c r="I1165" i="9"/>
  <c r="K1241" i="9"/>
  <c r="M1428" i="9"/>
  <c r="P893" i="9"/>
  <c r="L1183" i="9"/>
  <c r="O1166" i="9"/>
  <c r="P883" i="9"/>
  <c r="P821" i="9"/>
  <c r="K1532" i="9"/>
  <c r="L1168" i="9"/>
  <c r="K1517" i="9"/>
  <c r="L989" i="9"/>
  <c r="O1313" i="9"/>
  <c r="M1307" i="9"/>
  <c r="I1307" i="9"/>
  <c r="M1323" i="9"/>
  <c r="I1323" i="9"/>
  <c r="K991" i="9"/>
  <c r="L991" i="9"/>
  <c r="M991" i="9"/>
  <c r="M1130" i="9"/>
  <c r="I1137" i="9"/>
  <c r="I1131" i="9"/>
  <c r="M1405" i="9"/>
  <c r="L1339" i="9"/>
  <c r="O1339" i="9"/>
  <c r="I1227" i="9"/>
  <c r="L1303" i="9"/>
  <c r="P1303" i="9"/>
  <c r="K1303" i="9"/>
  <c r="I1178" i="9"/>
  <c r="I1476" i="9"/>
  <c r="M1315" i="9"/>
  <c r="I1315" i="9"/>
  <c r="M1402" i="9"/>
  <c r="I1402" i="9"/>
  <c r="M1262" i="9"/>
  <c r="I1262" i="9"/>
  <c r="I908" i="9"/>
  <c r="M908" i="9"/>
  <c r="K958" i="9"/>
  <c r="M958" i="9"/>
  <c r="P958" i="9"/>
  <c r="I1442" i="9"/>
  <c r="Q1442" i="9"/>
  <c r="Q1230" i="9"/>
  <c r="M1230" i="9"/>
  <c r="Q1236" i="9"/>
  <c r="M1236" i="9"/>
  <c r="Q1398" i="9"/>
  <c r="M1398" i="9"/>
  <c r="K915" i="9"/>
  <c r="Q915" i="9"/>
  <c r="O979" i="9"/>
  <c r="K979" i="9"/>
  <c r="M1512" i="9"/>
  <c r="Q1512" i="9"/>
  <c r="I1268" i="9"/>
  <c r="I1464" i="9"/>
  <c r="M1464" i="9"/>
  <c r="Q901" i="9"/>
  <c r="P876" i="9"/>
  <c r="L876" i="9"/>
  <c r="I1198" i="9"/>
  <c r="Q1198" i="9"/>
  <c r="M1306" i="9"/>
  <c r="I1306" i="9"/>
  <c r="Q1467" i="9"/>
  <c r="M1257" i="9"/>
  <c r="I1279" i="9"/>
  <c r="M1279" i="9"/>
  <c r="I1536" i="9"/>
  <c r="Q1481" i="9"/>
  <c r="I1481" i="9"/>
  <c r="I904" i="9"/>
  <c r="I974" i="9"/>
  <c r="K974" i="9"/>
  <c r="I1410" i="9"/>
  <c r="M1410" i="9"/>
  <c r="I1355" i="9"/>
  <c r="M1355" i="9"/>
  <c r="I1016" i="9"/>
  <c r="I1287" i="9"/>
  <c r="M1541" i="9"/>
  <c r="Q1541" i="9"/>
  <c r="M1329" i="9"/>
  <c r="Q1329" i="9"/>
  <c r="I1329" i="9"/>
  <c r="L1329" i="9"/>
  <c r="Q1209" i="9"/>
  <c r="M1209" i="9"/>
  <c r="Q792" i="9"/>
  <c r="I792" i="9"/>
  <c r="Q797" i="9"/>
  <c r="M797" i="9"/>
  <c r="I797" i="9"/>
  <c r="I1001" i="9"/>
  <c r="M1001" i="9"/>
  <c r="M1190" i="9"/>
  <c r="Q1190" i="9"/>
  <c r="I1190" i="9"/>
  <c r="I800" i="9"/>
  <c r="K800" i="9"/>
  <c r="I1508" i="9"/>
  <c r="Q1420" i="9"/>
  <c r="Q1191" i="9"/>
  <c r="I1191" i="9"/>
  <c r="M1191" i="9"/>
  <c r="I1181" i="9"/>
  <c r="I1519" i="9"/>
  <c r="I944" i="9"/>
  <c r="L1400" i="9"/>
  <c r="Q878" i="9"/>
  <c r="M878" i="9"/>
  <c r="I987" i="9"/>
  <c r="M987" i="9"/>
  <c r="L811" i="9"/>
  <c r="I1139" i="9"/>
  <c r="P838" i="9"/>
  <c r="I1074" i="9"/>
  <c r="I1474" i="9"/>
  <c r="O1406" i="9"/>
  <c r="M1406" i="9"/>
  <c r="M1158" i="9"/>
  <c r="I1158" i="9"/>
  <c r="I1298" i="9"/>
  <c r="Q827" i="9"/>
  <c r="I827" i="9"/>
  <c r="O827" i="9"/>
  <c r="L827" i="9"/>
  <c r="M1305" i="9"/>
  <c r="Q1305" i="9"/>
  <c r="I1305" i="9"/>
  <c r="I924" i="9"/>
  <c r="M924" i="9"/>
  <c r="I1211" i="9"/>
  <c r="O1211" i="9"/>
  <c r="M1531" i="9"/>
  <c r="I1531" i="9"/>
  <c r="K1531" i="9"/>
  <c r="Q1531" i="9"/>
  <c r="M1215" i="9"/>
  <c r="I1215" i="9"/>
  <c r="P1215" i="9"/>
  <c r="Q777" i="9"/>
  <c r="M777" i="9"/>
  <c r="M1499" i="9"/>
  <c r="Q1499" i="9"/>
  <c r="M1382" i="9"/>
  <c r="M1505" i="9"/>
  <c r="Q1505" i="9"/>
  <c r="K886" i="9"/>
  <c r="L886" i="9"/>
  <c r="I1472" i="9"/>
  <c r="M1472" i="9"/>
  <c r="Q970" i="9"/>
  <c r="I970" i="9"/>
  <c r="Q1501" i="9"/>
  <c r="I1501" i="9"/>
  <c r="L1427" i="9"/>
  <c r="O1427" i="9"/>
  <c r="P1427" i="9"/>
  <c r="M1271" i="9"/>
  <c r="I1271" i="9"/>
  <c r="Q1271" i="9"/>
  <c r="M1059" i="9"/>
  <c r="I1059" i="9"/>
  <c r="M1166" i="9"/>
  <c r="Q1166" i="9"/>
  <c r="Q799" i="9"/>
  <c r="I799" i="9"/>
  <c r="O1240" i="9"/>
  <c r="L1240" i="9"/>
  <c r="M1361" i="9"/>
  <c r="Q1361" i="9"/>
  <c r="I1217" i="9"/>
  <c r="L1252" i="9"/>
  <c r="K1252" i="9"/>
  <c r="K1244" i="9"/>
  <c r="L1244" i="9"/>
  <c r="O1311" i="9"/>
  <c r="P1311" i="9"/>
  <c r="I812" i="9"/>
  <c r="K812" i="9"/>
  <c r="Q812" i="9"/>
  <c r="Q1487" i="9"/>
  <c r="Q1421" i="9"/>
  <c r="P1245" i="9"/>
  <c r="O895" i="9"/>
  <c r="K895" i="9"/>
  <c r="L895" i="9"/>
  <c r="P780" i="9"/>
  <c r="L780" i="9"/>
  <c r="P1475" i="9"/>
  <c r="M790" i="9"/>
  <c r="I790" i="9"/>
  <c r="P790" i="9"/>
  <c r="M1399" i="9"/>
  <c r="Q1399" i="9"/>
  <c r="M1009" i="9"/>
  <c r="I1009" i="9"/>
  <c r="I1204" i="9"/>
  <c r="M1204" i="9"/>
  <c r="M938" i="9"/>
  <c r="I938" i="9"/>
  <c r="Q938" i="9"/>
  <c r="M1343" i="9"/>
  <c r="Q1343" i="9"/>
  <c r="I1097" i="9"/>
  <c r="Q868" i="9"/>
  <c r="I868" i="9"/>
  <c r="K868" i="9"/>
  <c r="M868" i="9"/>
  <c r="K784" i="9"/>
  <c r="M784" i="9"/>
  <c r="O923" i="9"/>
  <c r="L923" i="9"/>
  <c r="P923" i="9"/>
  <c r="I1302" i="9"/>
  <c r="Q1302" i="9"/>
  <c r="M1302" i="9"/>
  <c r="I1415" i="9"/>
  <c r="Q1415" i="9"/>
  <c r="L1407" i="9"/>
  <c r="Q1473" i="9"/>
  <c r="M1473" i="9"/>
  <c r="Q949" i="9"/>
  <c r="I949" i="9"/>
  <c r="I1434" i="9"/>
  <c r="L1434" i="9" s="1"/>
  <c r="K1434" i="9"/>
  <c r="P1434" i="9"/>
  <c r="O1434" i="9"/>
  <c r="M1434" i="9"/>
  <c r="I840" i="9"/>
  <c r="M840" i="9"/>
  <c r="L1337" i="9"/>
  <c r="K1337" i="9"/>
  <c r="I1270" i="9"/>
  <c r="M1270" i="9"/>
  <c r="I1066" i="9"/>
  <c r="M1066" i="9"/>
  <c r="I1465" i="9"/>
  <c r="M1465" i="9"/>
  <c r="P1465" i="9"/>
  <c r="Q1465" i="9"/>
  <c r="K1465" i="9"/>
  <c r="I1109" i="9"/>
  <c r="M1109" i="9"/>
  <c r="I1392" i="9"/>
  <c r="M1297" i="9"/>
  <c r="Q1297" i="9"/>
  <c r="M1367" i="9"/>
  <c r="Q1367" i="9"/>
  <c r="I1367" i="9"/>
  <c r="L1367" i="9"/>
  <c r="M836" i="9"/>
  <c r="I836" i="9"/>
  <c r="I1121" i="9"/>
  <c r="Q907" i="9"/>
  <c r="M907" i="9"/>
  <c r="Q1231" i="9"/>
  <c r="M1231" i="9"/>
  <c r="I1231" i="9"/>
  <c r="I1114" i="9"/>
  <c r="M1507" i="9"/>
  <c r="Q1507" i="9"/>
  <c r="K1105" i="9"/>
  <c r="L1105" i="9"/>
  <c r="L964" i="9"/>
  <c r="K964" i="9"/>
  <c r="P964" i="9"/>
  <c r="K1125" i="9"/>
  <c r="M1125" i="9"/>
  <c r="P1161" i="9"/>
  <c r="K1390" i="9"/>
  <c r="L1390" i="9"/>
  <c r="P1390" i="9"/>
  <c r="O1274" i="9"/>
  <c r="K1274" i="9"/>
  <c r="P854" i="9"/>
  <c r="Q1173" i="9"/>
  <c r="I1173" i="9"/>
  <c r="Q798" i="9"/>
  <c r="L798" i="9"/>
  <c r="O803" i="9"/>
  <c r="P803" i="9"/>
  <c r="P1243" i="9"/>
  <c r="K1243" i="9"/>
  <c r="O849" i="9"/>
  <c r="L1387" i="9"/>
  <c r="K1387" i="9"/>
  <c r="O1387" i="9"/>
  <c r="L1029" i="9"/>
  <c r="L1272" i="9"/>
  <c r="P1272" i="9"/>
  <c r="P1214" i="9"/>
  <c r="O1214" i="9"/>
  <c r="L778" i="9"/>
  <c r="P778" i="9"/>
  <c r="P1162" i="9"/>
  <c r="K1162" i="9"/>
  <c r="P972" i="9"/>
  <c r="L972" i="9"/>
  <c r="P1290" i="9"/>
  <c r="L1290" i="9"/>
  <c r="O1290" i="9"/>
  <c r="Q1299" i="9"/>
  <c r="M1299" i="9"/>
  <c r="K820" i="9"/>
  <c r="L820" i="9"/>
  <c r="P820" i="9"/>
  <c r="P1269" i="9"/>
  <c r="O1269" i="9"/>
  <c r="K1102" i="9"/>
  <c r="L1368" i="9"/>
  <c r="K805" i="9"/>
  <c r="O805" i="9"/>
  <c r="K1300" i="9"/>
  <c r="L1300" i="9"/>
  <c r="K1527" i="9"/>
  <c r="P1480" i="9"/>
  <c r="O1480" i="9"/>
  <c r="P966" i="9"/>
  <c r="P1299" i="9"/>
  <c r="O1299" i="9"/>
  <c r="L1371" i="9"/>
  <c r="P963" i="9"/>
  <c r="P1372" i="9"/>
  <c r="P896" i="9"/>
  <c r="L896" i="9"/>
  <c r="L796" i="9"/>
  <c r="O796" i="9"/>
  <c r="L911" i="9"/>
  <c r="K874" i="9"/>
  <c r="P874" i="9"/>
  <c r="P1267" i="9"/>
  <c r="O1267" i="9"/>
  <c r="L1086" i="9"/>
  <c r="K1154" i="9"/>
  <c r="L1154" i="9"/>
  <c r="P881" i="9"/>
  <c r="K881" i="9"/>
  <c r="K1497" i="9"/>
  <c r="P1497" i="9"/>
  <c r="L1518" i="9"/>
  <c r="P1518" i="9"/>
  <c r="O1518" i="9"/>
  <c r="K1518" i="9"/>
  <c r="O1396" i="9"/>
  <c r="P1396" i="9"/>
  <c r="P1456" i="9"/>
  <c r="O1456" i="9"/>
  <c r="K1540" i="9"/>
  <c r="L1540" i="9"/>
  <c r="K984" i="9"/>
  <c r="L984" i="9"/>
  <c r="Q1520" i="9"/>
  <c r="M1520" i="9"/>
  <c r="I1520" i="9"/>
  <c r="O1210" i="9"/>
  <c r="L1210" i="9"/>
  <c r="P1210" i="9"/>
  <c r="L1510" i="9"/>
  <c r="K1493" i="9"/>
  <c r="L1493" i="9"/>
  <c r="L1209" i="9"/>
  <c r="O905" i="9"/>
  <c r="L913" i="9"/>
  <c r="K913" i="9"/>
  <c r="O1297" i="9"/>
  <c r="K1297" i="9"/>
  <c r="K1018" i="9"/>
  <c r="L1018" i="9"/>
  <c r="P1484" i="9"/>
  <c r="K1484" i="9"/>
  <c r="L1253" i="9"/>
  <c r="K1253" i="9"/>
  <c r="L862" i="9"/>
  <c r="O862" i="9"/>
  <c r="K1436" i="9"/>
  <c r="L1436" i="9"/>
  <c r="P1436" i="9"/>
  <c r="O1436" i="9"/>
  <c r="O907" i="9"/>
  <c r="P907" i="9"/>
  <c r="K1333" i="9"/>
  <c r="P1333" i="9"/>
  <c r="K782" i="9"/>
  <c r="P782" i="9"/>
  <c r="L782" i="9"/>
  <c r="P1375" i="9"/>
  <c r="K1375" i="9"/>
  <c r="K851" i="9"/>
  <c r="O851" i="9"/>
  <c r="P851" i="9"/>
  <c r="L851" i="9"/>
  <c r="P1457" i="9"/>
  <c r="L1457" i="9"/>
  <c r="K1457" i="9"/>
  <c r="O1457" i="9"/>
  <c r="P1468" i="9"/>
  <c r="K1468" i="9"/>
  <c r="O1468" i="9"/>
  <c r="O1449" i="9"/>
  <c r="P1449" i="9"/>
  <c r="P824" i="9"/>
  <c r="O824" i="9"/>
  <c r="L824" i="9"/>
  <c r="L981" i="9"/>
  <c r="O981" i="9"/>
  <c r="P981" i="9"/>
  <c r="K1116" i="9"/>
  <c r="L1116" i="9"/>
  <c r="O1291" i="9"/>
  <c r="L1291" i="9"/>
  <c r="K1291" i="9"/>
  <c r="L864" i="9"/>
  <c r="K864" i="9"/>
  <c r="O864" i="9"/>
  <c r="Q930" i="9"/>
  <c r="K930" i="9"/>
  <c r="O930" i="9"/>
  <c r="P833" i="9"/>
  <c r="L833" i="9"/>
  <c r="P1346" i="9"/>
  <c r="K1346" i="9"/>
  <c r="L779" i="9"/>
  <c r="K779" i="9"/>
  <c r="P779" i="9"/>
  <c r="K1363" i="9"/>
  <c r="P1363" i="9"/>
  <c r="P1499" i="9"/>
  <c r="K1499" i="9"/>
  <c r="L1499" i="9"/>
  <c r="K902" i="9"/>
  <c r="L902" i="9"/>
  <c r="O1233" i="9"/>
  <c r="P1233" i="9"/>
  <c r="L1233" i="9"/>
  <c r="K1233" i="9"/>
  <c r="P1525" i="9"/>
  <c r="O1525" i="9"/>
  <c r="L1525" i="9"/>
  <c r="P1395" i="9"/>
  <c r="K1395" i="9"/>
  <c r="O1395" i="9"/>
  <c r="K785" i="9"/>
  <c r="P785" i="9"/>
  <c r="I1100" i="9"/>
  <c r="P1324" i="9"/>
  <c r="O1324" i="9"/>
  <c r="O1535" i="9"/>
  <c r="L1535" i="9"/>
  <c r="P1489" i="9"/>
  <c r="L1489" i="9"/>
  <c r="O1489" i="9"/>
  <c r="L1275" i="9"/>
  <c r="P1275" i="9"/>
  <c r="K1275" i="9"/>
  <c r="P1487" i="9"/>
  <c r="O1487" i="9"/>
  <c r="K1487" i="9"/>
  <c r="P1458" i="9"/>
  <c r="L1428" i="9"/>
  <c r="P1428" i="9"/>
  <c r="O1428" i="9"/>
  <c r="L900" i="9"/>
  <c r="P900" i="9"/>
  <c r="L1265" i="9"/>
  <c r="O1265" i="9"/>
  <c r="K1265" i="9"/>
  <c r="O1399" i="9"/>
  <c r="L1399" i="9"/>
  <c r="K1399" i="9"/>
  <c r="L853" i="9"/>
  <c r="O853" i="9"/>
  <c r="P853" i="9"/>
  <c r="O1394" i="9"/>
  <c r="P1394" i="9"/>
  <c r="L1394" i="9"/>
  <c r="L1424" i="9"/>
  <c r="O1424" i="9"/>
  <c r="P1424" i="9"/>
  <c r="O1386" i="9"/>
  <c r="K1386" i="9"/>
  <c r="P1386" i="9"/>
  <c r="L969" i="9"/>
  <c r="P969" i="9"/>
  <c r="O969" i="9"/>
  <c r="K969" i="9"/>
  <c r="K943" i="9"/>
  <c r="O943" i="9"/>
  <c r="P943" i="9"/>
  <c r="L943" i="9"/>
  <c r="L1057" i="9"/>
  <c r="O870" i="9"/>
  <c r="K870" i="9"/>
  <c r="P1340" i="9"/>
  <c r="K1340" i="9"/>
  <c r="L1340" i="9"/>
  <c r="L922" i="9"/>
  <c r="P922" i="9"/>
  <c r="K922" i="9"/>
  <c r="O922" i="9"/>
  <c r="P1321" i="9"/>
  <c r="L1321" i="9"/>
  <c r="K1321" i="9"/>
  <c r="L832" i="9"/>
  <c r="O832" i="9"/>
  <c r="P832" i="9"/>
  <c r="K832" i="9"/>
  <c r="L1286" i="9"/>
  <c r="O1286" i="9"/>
  <c r="K1286" i="9"/>
  <c r="P1286" i="9"/>
  <c r="K977" i="9"/>
  <c r="O977" i="9"/>
  <c r="P977" i="9"/>
  <c r="L977" i="9"/>
  <c r="O982" i="9"/>
  <c r="K982" i="9"/>
  <c r="L1080" i="9"/>
  <c r="L897" i="9"/>
  <c r="K897" i="9"/>
  <c r="P897" i="9"/>
  <c r="O897" i="9"/>
  <c r="P1312" i="9"/>
  <c r="L1312" i="9"/>
  <c r="K1312" i="9"/>
  <c r="O1312" i="9"/>
  <c r="O1260" i="9"/>
  <c r="P1260" i="9"/>
  <c r="K1260" i="9"/>
  <c r="L1260" i="9"/>
  <c r="K1184" i="9"/>
  <c r="P1184" i="9"/>
  <c r="O1184" i="9"/>
  <c r="K899" i="9"/>
  <c r="L899" i="9"/>
  <c r="O899" i="9"/>
  <c r="L1186" i="9"/>
  <c r="K1186" i="9"/>
  <c r="O1186" i="9"/>
  <c r="K946" i="9"/>
  <c r="P946" i="9"/>
  <c r="O946" i="9"/>
  <c r="O1412" i="9"/>
  <c r="L1412" i="9"/>
  <c r="P1235" i="9"/>
  <c r="L1235" i="9"/>
  <c r="P1238" i="9"/>
  <c r="L1238" i="9"/>
  <c r="O1238" i="9"/>
  <c r="K1238" i="9"/>
  <c r="L875" i="9"/>
  <c r="P875" i="9"/>
  <c r="O875" i="9"/>
  <c r="P1207" i="9"/>
  <c r="L1207" i="9"/>
  <c r="O1207" i="9"/>
  <c r="K1207" i="9"/>
  <c r="L1166" i="9"/>
  <c r="K1166" i="9"/>
  <c r="L1237" i="9"/>
  <c r="O1237" i="9"/>
  <c r="K945" i="9"/>
  <c r="O945" i="9"/>
  <c r="L1446" i="9"/>
  <c r="O1446" i="9"/>
  <c r="L1266" i="9"/>
  <c r="P1266" i="9"/>
  <c r="O821" i="9"/>
  <c r="L821" i="9"/>
  <c r="L1539" i="9"/>
  <c r="K1539" i="9"/>
  <c r="O1539" i="9"/>
  <c r="P1517" i="9"/>
  <c r="O1517" i="9"/>
  <c r="O941" i="9"/>
  <c r="L941" i="9"/>
  <c r="O1398" i="9"/>
  <c r="P1398" i="9"/>
  <c r="L1398" i="9"/>
  <c r="K1398" i="9"/>
  <c r="K1498" i="9"/>
  <c r="P1498" i="9"/>
  <c r="O1498" i="9"/>
  <c r="L789" i="9"/>
  <c r="P789" i="9"/>
  <c r="O789" i="9"/>
  <c r="P1313" i="9"/>
  <c r="L1313" i="9"/>
  <c r="P956" i="9"/>
  <c r="K956" i="9"/>
  <c r="O956" i="9"/>
  <c r="O1466" i="9"/>
  <c r="P1466" i="9"/>
  <c r="L1466" i="9"/>
  <c r="K1466" i="9"/>
  <c r="P1543" i="9"/>
  <c r="O1543" i="9"/>
  <c r="K1543" i="9"/>
  <c r="L1543" i="9"/>
  <c r="P1165" i="9"/>
  <c r="K1165" i="9"/>
  <c r="O1165" i="9"/>
  <c r="L1165" i="9"/>
  <c r="K1307" i="9"/>
  <c r="P1307" i="9"/>
  <c r="L1307" i="9"/>
  <c r="O1307" i="9"/>
  <c r="O1323" i="9"/>
  <c r="K1323" i="9"/>
  <c r="P1323" i="9"/>
  <c r="L1323" i="9"/>
  <c r="L1137" i="9"/>
  <c r="K1137" i="9"/>
  <c r="K1131" i="9"/>
  <c r="L1131" i="9"/>
  <c r="P1227" i="9"/>
  <c r="L1227" i="9"/>
  <c r="K1227" i="9"/>
  <c r="O1227" i="9"/>
  <c r="P1178" i="9"/>
  <c r="K1178" i="9"/>
  <c r="O1178" i="9"/>
  <c r="L1178" i="9"/>
  <c r="K1476" i="9"/>
  <c r="L1476" i="9"/>
  <c r="P1476" i="9"/>
  <c r="O1476" i="9"/>
  <c r="O1315" i="9"/>
  <c r="L1315" i="9"/>
  <c r="K1315" i="9"/>
  <c r="P1315" i="9"/>
  <c r="O1402" i="9"/>
  <c r="P1402" i="9"/>
  <c r="L1402" i="9"/>
  <c r="K1402" i="9"/>
  <c r="O1262" i="9"/>
  <c r="P1262" i="9"/>
  <c r="K1262" i="9"/>
  <c r="L1262" i="9"/>
  <c r="P908" i="9"/>
  <c r="O908" i="9"/>
  <c r="K908" i="9"/>
  <c r="O1442" i="9"/>
  <c r="K1442" i="9"/>
  <c r="P1442" i="9"/>
  <c r="L1442" i="9"/>
  <c r="O1268" i="9"/>
  <c r="L1268" i="9"/>
  <c r="P1268" i="9"/>
  <c r="K1268" i="9"/>
  <c r="O1464" i="9"/>
  <c r="L1464" i="9"/>
  <c r="K1464" i="9"/>
  <c r="P1464" i="9"/>
  <c r="K1198" i="9"/>
  <c r="O1198" i="9"/>
  <c r="L1198" i="9"/>
  <c r="P1198" i="9"/>
  <c r="O1306" i="9"/>
  <c r="K1306" i="9"/>
  <c r="P1306" i="9"/>
  <c r="P1279" i="9"/>
  <c r="L1279" i="9"/>
  <c r="K1279" i="9"/>
  <c r="O1536" i="9"/>
  <c r="K1536" i="9"/>
  <c r="P1536" i="9"/>
  <c r="L1536" i="9"/>
  <c r="O1481" i="9"/>
  <c r="P1481" i="9"/>
  <c r="K1481" i="9"/>
  <c r="L1481" i="9"/>
  <c r="L904" i="9"/>
  <c r="P904" i="9"/>
  <c r="O904" i="9"/>
  <c r="K904" i="9"/>
  <c r="L974" i="9"/>
  <c r="O974" i="9"/>
  <c r="P974" i="9"/>
  <c r="P1410" i="9"/>
  <c r="O1410" i="9"/>
  <c r="L1410" i="9"/>
  <c r="K1410" i="9"/>
  <c r="K1355" i="9"/>
  <c r="P1355" i="9"/>
  <c r="O1355" i="9"/>
  <c r="K1016" i="9"/>
  <c r="L1016" i="9"/>
  <c r="P1287" i="9"/>
  <c r="K1287" i="9"/>
  <c r="L1287" i="9"/>
  <c r="K1329" i="9"/>
  <c r="P1329" i="9"/>
  <c r="K792" i="9"/>
  <c r="P792" i="9"/>
  <c r="L792" i="9"/>
  <c r="O792" i="9"/>
  <c r="P797" i="9"/>
  <c r="L797" i="9"/>
  <c r="K797" i="9"/>
  <c r="K1001" i="9"/>
  <c r="L1001" i="9"/>
  <c r="K1190" i="9"/>
  <c r="P1190" i="9"/>
  <c r="O1190" i="9"/>
  <c r="L1190" i="9"/>
  <c r="P800" i="9"/>
  <c r="L800" i="9"/>
  <c r="O800" i="9"/>
  <c r="K1508" i="9"/>
  <c r="O1508" i="9"/>
  <c r="P1508" i="9"/>
  <c r="L1191" i="9"/>
  <c r="P1191" i="9"/>
  <c r="O1191" i="9"/>
  <c r="K1191" i="9"/>
  <c r="O1181" i="9"/>
  <c r="K1181" i="9"/>
  <c r="L1181" i="9"/>
  <c r="P1181" i="9"/>
  <c r="O1519" i="9"/>
  <c r="L1519" i="9"/>
  <c r="K1519" i="9"/>
  <c r="P1519" i="9"/>
  <c r="K944" i="9"/>
  <c r="O944" i="9"/>
  <c r="P944" i="9"/>
  <c r="L944" i="9"/>
  <c r="L987" i="9"/>
  <c r="O987" i="9"/>
  <c r="K1139" i="9"/>
  <c r="L1139" i="9"/>
  <c r="L1074" i="9"/>
  <c r="O1474" i="9"/>
  <c r="L1474" i="9"/>
  <c r="K1474" i="9"/>
  <c r="P1474" i="9"/>
  <c r="K1158" i="9"/>
  <c r="P1298" i="9"/>
  <c r="L1298" i="9"/>
  <c r="O1298" i="9"/>
  <c r="P827" i="9"/>
  <c r="K827" i="9"/>
  <c r="O1305" i="9"/>
  <c r="K1305" i="9"/>
  <c r="L1305" i="9"/>
  <c r="P1305" i="9"/>
  <c r="L924" i="9"/>
  <c r="K924" i="9"/>
  <c r="P924" i="9"/>
  <c r="O924" i="9"/>
  <c r="K1211" i="9"/>
  <c r="P1211" i="9"/>
  <c r="O1531" i="9"/>
  <c r="P1531" i="9"/>
  <c r="K1215" i="9"/>
  <c r="L1215" i="9"/>
  <c r="O1215" i="9"/>
  <c r="O1472" i="9"/>
  <c r="P1472" i="9"/>
  <c r="L1472" i="9"/>
  <c r="K1472" i="9"/>
  <c r="L970" i="9"/>
  <c r="K970" i="9"/>
  <c r="P970" i="9"/>
  <c r="O1501" i="9"/>
  <c r="L1501" i="9"/>
  <c r="K1501" i="9"/>
  <c r="P1501" i="9"/>
  <c r="P1271" i="9"/>
  <c r="O1271" i="9"/>
  <c r="K1271" i="9"/>
  <c r="L1271" i="9"/>
  <c r="L1059" i="9"/>
  <c r="K1059" i="9"/>
  <c r="O799" i="9"/>
  <c r="K799" i="9"/>
  <c r="P799" i="9"/>
  <c r="L799" i="9"/>
  <c r="K1217" i="9"/>
  <c r="L1217" i="9"/>
  <c r="P1217" i="9"/>
  <c r="O1217" i="9"/>
  <c r="O812" i="9"/>
  <c r="L812" i="9"/>
  <c r="O790" i="9"/>
  <c r="L790" i="9"/>
  <c r="K790" i="9"/>
  <c r="K1009" i="9"/>
  <c r="L1009" i="9"/>
  <c r="L1204" i="9"/>
  <c r="O1204" i="9"/>
  <c r="K1204" i="9"/>
  <c r="P938" i="9"/>
  <c r="K938" i="9"/>
  <c r="O938" i="9"/>
  <c r="L938" i="9"/>
  <c r="L1097" i="9"/>
  <c r="K1097" i="9"/>
  <c r="L868" i="9"/>
  <c r="P868" i="9"/>
  <c r="L1302" i="9"/>
  <c r="O1302" i="9"/>
  <c r="K1302" i="9"/>
  <c r="P1302" i="9"/>
  <c r="K1415" i="9"/>
  <c r="P1415" i="9"/>
  <c r="L1415" i="9"/>
  <c r="O1415" i="9"/>
  <c r="P949" i="9"/>
  <c r="O949" i="9"/>
  <c r="L949" i="9"/>
  <c r="K840" i="9"/>
  <c r="P840" i="9"/>
  <c r="O840" i="9"/>
  <c r="L840" i="9"/>
  <c r="O1270" i="9"/>
  <c r="P1270" i="9"/>
  <c r="L1270" i="9"/>
  <c r="L1066" i="9"/>
  <c r="K1066" i="9"/>
  <c r="L1465" i="9"/>
  <c r="O1465" i="9"/>
  <c r="K1109" i="9"/>
  <c r="O1392" i="9"/>
  <c r="P1392" i="9"/>
  <c r="K1392" i="9"/>
  <c r="L1392" i="9"/>
  <c r="O1367" i="9"/>
  <c r="K1367" i="9"/>
  <c r="P1367" i="9"/>
  <c r="L836" i="9"/>
  <c r="P836" i="9"/>
  <c r="O836" i="9"/>
  <c r="K1121" i="9"/>
  <c r="L1121" i="9"/>
  <c r="K1231" i="9"/>
  <c r="L1231" i="9"/>
  <c r="P1231" i="9"/>
  <c r="O1231" i="9"/>
  <c r="K1114" i="9"/>
  <c r="L1114" i="9"/>
  <c r="K1173" i="9"/>
  <c r="L1173" i="9"/>
  <c r="P1173" i="9"/>
  <c r="O1173" i="9"/>
  <c r="L1520" i="9"/>
  <c r="P1520" i="9"/>
  <c r="O1520" i="9"/>
  <c r="K1520" i="9"/>
  <c r="K1100" i="9"/>
  <c r="L1100" i="9"/>
  <c r="R930" i="9" l="1"/>
  <c r="N1520" i="9"/>
  <c r="R1520" i="9"/>
  <c r="N1299" i="9"/>
  <c r="S1299" i="9" s="1"/>
  <c r="R1299" i="9"/>
  <c r="R798" i="9"/>
  <c r="R1173" i="9"/>
  <c r="N1125" i="9"/>
  <c r="R1507" i="9"/>
  <c r="N1507" i="9"/>
  <c r="N1231" i="9"/>
  <c r="S1231" i="9" s="1"/>
  <c r="R1231" i="9"/>
  <c r="R907" i="9"/>
  <c r="N1367" i="9"/>
  <c r="R1297" i="9"/>
  <c r="N1297" i="9"/>
  <c r="R1465" i="9"/>
  <c r="N1465" i="9"/>
  <c r="N1066" i="9"/>
  <c r="S1066" i="9" s="1"/>
  <c r="N840" i="9"/>
  <c r="N1434" i="9"/>
  <c r="R949" i="9"/>
  <c r="R1415" i="9"/>
  <c r="R1302" i="9"/>
  <c r="N784" i="9"/>
  <c r="N868" i="9"/>
  <c r="R1343" i="9"/>
  <c r="N1343" i="9"/>
  <c r="R938" i="9"/>
  <c r="N938" i="9"/>
  <c r="U938" i="9" s="1"/>
  <c r="N1204" i="9"/>
  <c r="S1204" i="9" s="1"/>
  <c r="R1399" i="9"/>
  <c r="N1399" i="9"/>
  <c r="S1399" i="9" s="1"/>
  <c r="N790" i="9"/>
  <c r="R1487" i="9"/>
  <c r="R1361" i="9"/>
  <c r="N1361" i="9"/>
  <c r="R799" i="9"/>
  <c r="N1271" i="9"/>
  <c r="S1271" i="9" s="1"/>
  <c r="R1501" i="9"/>
  <c r="N1472" i="9"/>
  <c r="R1505" i="9"/>
  <c r="N1505" i="9"/>
  <c r="S1505" i="9" s="1"/>
  <c r="N1382" i="9"/>
  <c r="R1499" i="9"/>
  <c r="N1499" i="9"/>
  <c r="N1215" i="9"/>
  <c r="S1215" i="9" s="1"/>
  <c r="R1531" i="9"/>
  <c r="N924" i="9"/>
  <c r="S924" i="9" s="1"/>
  <c r="R1305" i="9"/>
  <c r="N1305" i="9"/>
  <c r="R827" i="9"/>
  <c r="N1406" i="9"/>
  <c r="S1406" i="9" s="1"/>
  <c r="N878" i="9"/>
  <c r="R878" i="9"/>
  <c r="N1191" i="9"/>
  <c r="U1191" i="9" s="1"/>
  <c r="R1191" i="9"/>
  <c r="N1190" i="9"/>
  <c r="N1001" i="9"/>
  <c r="N797" i="9"/>
  <c r="U797" i="9" s="1"/>
  <c r="R792" i="9"/>
  <c r="N1209" i="9"/>
  <c r="U1209" i="9" s="1"/>
  <c r="N1329" i="9"/>
  <c r="R1541" i="9"/>
  <c r="N1541" i="9"/>
  <c r="N1410" i="9"/>
  <c r="R1481" i="9"/>
  <c r="N1279" i="9"/>
  <c r="R1198" i="9"/>
  <c r="N1464" i="9"/>
  <c r="R1512" i="9"/>
  <c r="N1512" i="9"/>
  <c r="U1512" i="9" s="1"/>
  <c r="R915" i="9"/>
  <c r="N1236" i="9"/>
  <c r="R1236" i="9"/>
  <c r="N1230" i="9"/>
  <c r="R1230" i="9"/>
  <c r="R1442" i="9"/>
  <c r="N958" i="9"/>
  <c r="N1262" i="9"/>
  <c r="N1402" i="9"/>
  <c r="N1315" i="9"/>
  <c r="N991" i="9"/>
  <c r="S991" i="9" s="1"/>
  <c r="T991" i="9" s="1"/>
  <c r="N1323" i="9"/>
  <c r="N1307" i="9"/>
  <c r="S1307" i="9" s="1"/>
  <c r="N930" i="9"/>
  <c r="R1312" i="9"/>
  <c r="N1492" i="9"/>
  <c r="N921" i="9"/>
  <c r="R1286" i="9"/>
  <c r="R875" i="9"/>
  <c r="R914" i="9"/>
  <c r="N1350" i="9"/>
  <c r="U1350" i="9" s="1"/>
  <c r="R845" i="9"/>
  <c r="N994" i="9"/>
  <c r="N1474" i="9"/>
  <c r="S1474" i="9" s="1"/>
  <c r="R1345" i="9"/>
  <c r="N788" i="9"/>
  <c r="U788" i="9" s="1"/>
  <c r="N799" i="9"/>
  <c r="R1277" i="9"/>
  <c r="R899" i="9"/>
  <c r="R1207" i="9"/>
  <c r="R1509" i="9"/>
  <c r="R1392" i="9"/>
  <c r="R846" i="9"/>
  <c r="R1298" i="9"/>
  <c r="N917" i="9"/>
  <c r="N1072" i="9"/>
  <c r="N1206" i="9"/>
  <c r="R903" i="9"/>
  <c r="R1341" i="9"/>
  <c r="R913" i="9"/>
  <c r="N798" i="9"/>
  <c r="U798" i="9" s="1"/>
  <c r="N1132" i="9"/>
  <c r="R815" i="9"/>
  <c r="N1249" i="9"/>
  <c r="N1358" i="9"/>
  <c r="U1358" i="9" s="1"/>
  <c r="N1120" i="9"/>
  <c r="U1120" i="9" s="1"/>
  <c r="N1452" i="9"/>
  <c r="N1073" i="9"/>
  <c r="N781" i="9"/>
  <c r="N1100" i="9"/>
  <c r="N1276" i="9"/>
  <c r="N897" i="9"/>
  <c r="N933" i="9"/>
  <c r="N973" i="9"/>
  <c r="N1484" i="9"/>
  <c r="R813" i="9"/>
  <c r="N796" i="9"/>
  <c r="R1373" i="9"/>
  <c r="N842" i="9"/>
  <c r="R1161" i="9"/>
  <c r="R1184" i="9"/>
  <c r="R1283" i="9"/>
  <c r="R1181" i="9"/>
  <c r="N1106" i="9"/>
  <c r="U1106" i="9" s="1"/>
  <c r="N976" i="9"/>
  <c r="U976" i="9" s="1"/>
  <c r="R1384" i="9"/>
  <c r="N978" i="9"/>
  <c r="R1455" i="9"/>
  <c r="R910" i="9"/>
  <c r="R1247" i="9"/>
  <c r="R1535" i="9"/>
  <c r="N1482" i="9"/>
  <c r="N1433" i="9"/>
  <c r="N1254" i="9"/>
  <c r="R1175" i="9"/>
  <c r="R837" i="9"/>
  <c r="R1318" i="9"/>
  <c r="N1177" i="9"/>
  <c r="N1067" i="9"/>
  <c r="N1427" i="9"/>
  <c r="N1478" i="9"/>
  <c r="N1345" i="9"/>
  <c r="S1345" i="9" s="1"/>
  <c r="R1255" i="9"/>
  <c r="R931" i="9"/>
  <c r="R1452" i="9"/>
  <c r="N1295" i="9"/>
  <c r="N1432" i="9"/>
  <c r="R1449" i="9"/>
  <c r="N1217" i="9"/>
  <c r="R851" i="9"/>
  <c r="N1275" i="9"/>
  <c r="N1095" i="9"/>
  <c r="U1095" i="9" s="1"/>
  <c r="N890" i="9"/>
  <c r="N1320" i="9"/>
  <c r="U1320" i="9" s="1"/>
  <c r="N1075" i="9"/>
  <c r="R1381" i="9"/>
  <c r="N858" i="9"/>
  <c r="U858" i="9" s="1"/>
  <c r="N955" i="9"/>
  <c r="R1423" i="9"/>
  <c r="N947" i="9"/>
  <c r="N1085" i="9"/>
  <c r="U1085" i="9" s="1"/>
  <c r="N951" i="9"/>
  <c r="R1218" i="9"/>
  <c r="N1542" i="9"/>
  <c r="N896" i="9"/>
  <c r="R796" i="9"/>
  <c r="N1444" i="9"/>
  <c r="N1449" i="9"/>
  <c r="N783" i="9"/>
  <c r="R1197" i="9"/>
  <c r="N1178" i="9"/>
  <c r="S1178" i="9" s="1"/>
  <c r="N1096" i="9"/>
  <c r="S1096" i="9" s="1"/>
  <c r="R955" i="9"/>
  <c r="R1179" i="9"/>
  <c r="R1506" i="9"/>
  <c r="R1288" i="9"/>
  <c r="R1249" i="9"/>
  <c r="R1303" i="9"/>
  <c r="R1424" i="9"/>
  <c r="R897" i="9"/>
  <c r="R1182" i="9"/>
  <c r="R1447" i="9"/>
  <c r="R1164" i="9"/>
  <c r="N927" i="9"/>
  <c r="N853" i="9"/>
  <c r="R843" i="9"/>
  <c r="R967" i="9"/>
  <c r="R1206" i="9"/>
  <c r="N922" i="9"/>
  <c r="N1415" i="9"/>
  <c r="S1415" i="9" s="1"/>
  <c r="N889" i="9"/>
  <c r="N1223" i="9"/>
  <c r="R890" i="9"/>
  <c r="R1383" i="9"/>
  <c r="N1387" i="9"/>
  <c r="N1255" i="9"/>
  <c r="N1238" i="9"/>
  <c r="N971" i="9"/>
  <c r="R1428" i="9"/>
  <c r="R1338" i="9"/>
  <c r="R946" i="9"/>
  <c r="R1306" i="9"/>
  <c r="R1523" i="9"/>
  <c r="N1048" i="9"/>
  <c r="U1048" i="9" s="1"/>
  <c r="N804" i="9"/>
  <c r="R1210" i="9"/>
  <c r="R917" i="9"/>
  <c r="N812" i="9"/>
  <c r="N1447" i="9"/>
  <c r="N931" i="9"/>
  <c r="S931" i="9" s="1"/>
  <c r="R810" i="9"/>
  <c r="N1383" i="9"/>
  <c r="N981" i="9"/>
  <c r="N1028" i="9"/>
  <c r="R948" i="9"/>
  <c r="N824" i="9"/>
  <c r="R1486" i="9"/>
  <c r="N825" i="9"/>
  <c r="R1224" i="9"/>
  <c r="R1479" i="9"/>
  <c r="N1020" i="9"/>
  <c r="N1370" i="9"/>
  <c r="U1370" i="9" s="1"/>
  <c r="R778" i="9"/>
  <c r="N1524" i="9"/>
  <c r="S1524" i="9" s="1"/>
  <c r="R857" i="9"/>
  <c r="N1114" i="9"/>
  <c r="R1537" i="9"/>
  <c r="R1497" i="9"/>
  <c r="R1300" i="9"/>
  <c r="N869" i="9"/>
  <c r="R1333" i="9"/>
  <c r="N1235" i="9"/>
  <c r="U1235" i="9" s="1"/>
  <c r="R1317" i="9"/>
  <c r="N1416" i="9"/>
  <c r="N1522" i="9"/>
  <c r="U1522" i="9" s="1"/>
  <c r="R923" i="9"/>
  <c r="R855" i="9"/>
  <c r="N898" i="9"/>
  <c r="N1090" i="9"/>
  <c r="U1090" i="9" s="1"/>
  <c r="N864" i="9"/>
  <c r="N911" i="9"/>
  <c r="R874" i="9"/>
  <c r="N1250" i="9"/>
  <c r="R1215" i="9"/>
  <c r="R820" i="9"/>
  <c r="N1083" i="9"/>
  <c r="R1211" i="9"/>
  <c r="R960" i="9"/>
  <c r="N1292" i="9"/>
  <c r="N1068" i="9"/>
  <c r="S1068" i="9" s="1"/>
  <c r="N817" i="9"/>
  <c r="N1286" i="9"/>
  <c r="N1196" i="9"/>
  <c r="R1195" i="9"/>
  <c r="N1392" i="9"/>
  <c r="S1392" i="9" s="1"/>
  <c r="R921" i="9"/>
  <c r="N1535" i="9"/>
  <c r="S1535" i="9" s="1"/>
  <c r="R1408" i="9"/>
  <c r="N979" i="9"/>
  <c r="U979" i="9" s="1"/>
  <c r="N1457" i="9"/>
  <c r="N1164" i="9"/>
  <c r="R1307" i="9"/>
  <c r="N839" i="9"/>
  <c r="U839" i="9" s="1"/>
  <c r="N1454" i="9"/>
  <c r="U1454" i="9" s="1"/>
  <c r="N1207" i="9"/>
  <c r="N1185" i="9"/>
  <c r="S1185" i="9" s="1"/>
  <c r="N1151" i="9"/>
  <c r="U1151" i="9" s="1"/>
  <c r="R1525" i="9"/>
  <c r="R866" i="9"/>
  <c r="R1453" i="9"/>
  <c r="N1232" i="9"/>
  <c r="N1268" i="9"/>
  <c r="N884" i="9"/>
  <c r="N1471" i="9"/>
  <c r="N782" i="9"/>
  <c r="U782" i="9" s="1"/>
  <c r="N1365" i="9"/>
  <c r="N952" i="9"/>
  <c r="U952" i="9" s="1"/>
  <c r="R1413" i="9"/>
  <c r="R1323" i="9"/>
  <c r="N1115" i="9"/>
  <c r="U1115" i="9" s="1"/>
  <c r="N984" i="9"/>
  <c r="N1273" i="9"/>
  <c r="N1150" i="9"/>
  <c r="U1150" i="9" s="1"/>
  <c r="R919" i="9"/>
  <c r="R887" i="9"/>
  <c r="R1495" i="9"/>
  <c r="R1406" i="9"/>
  <c r="N810" i="9"/>
  <c r="R889" i="9"/>
  <c r="R1259" i="9"/>
  <c r="N1362" i="9"/>
  <c r="N948" i="9"/>
  <c r="R1295" i="9"/>
  <c r="R933" i="9"/>
  <c r="N1394" i="9"/>
  <c r="N882" i="9"/>
  <c r="N1479" i="9"/>
  <c r="R953" i="9"/>
  <c r="N1023" i="9"/>
  <c r="R1289" i="9"/>
  <c r="N900" i="9"/>
  <c r="R793" i="9"/>
  <c r="N1414" i="9"/>
  <c r="R1386" i="9"/>
  <c r="N980" i="9"/>
  <c r="R1253" i="9"/>
  <c r="N1514" i="9"/>
  <c r="R1474" i="9"/>
  <c r="N832" i="9"/>
  <c r="N1506" i="9"/>
  <c r="U1506" i="9" s="1"/>
  <c r="R972" i="9"/>
  <c r="R1194" i="9"/>
  <c r="N1210" i="9"/>
  <c r="S1210" i="9" s="1"/>
  <c r="N1244" i="9"/>
  <c r="N1037" i="9"/>
  <c r="R805" i="9"/>
  <c r="R1429" i="9"/>
  <c r="N1356" i="9"/>
  <c r="R973" i="9"/>
  <c r="R1414" i="9"/>
  <c r="N923" i="9"/>
  <c r="S923" i="9" s="1"/>
  <c r="N1283" i="9"/>
  <c r="N1043" i="9"/>
  <c r="R1256" i="9"/>
  <c r="R884" i="9"/>
  <c r="N1390" i="9"/>
  <c r="S1390" i="9" s="1"/>
  <c r="R1365" i="9"/>
  <c r="N846" i="9"/>
  <c r="R841" i="9"/>
  <c r="N892" i="9"/>
  <c r="S892" i="9" s="1"/>
  <c r="N1346" i="9"/>
  <c r="N1373" i="9"/>
  <c r="S1373" i="9" s="1"/>
  <c r="R1378" i="9"/>
  <c r="N902" i="9"/>
  <c r="N1116" i="9"/>
  <c r="S1116" i="9" s="1"/>
  <c r="R1232" i="9"/>
  <c r="N1424" i="9"/>
  <c r="R1440" i="9"/>
  <c r="N879" i="9"/>
  <c r="U879" i="9" s="1"/>
  <c r="N1212" i="9"/>
  <c r="N1342" i="9"/>
  <c r="S1342" i="9" s="1"/>
  <c r="N1108" i="9"/>
  <c r="N1388" i="9"/>
  <c r="U1388" i="9" s="1"/>
  <c r="R1261" i="9"/>
  <c r="R1340" i="9"/>
  <c r="N1460" i="9"/>
  <c r="N1226" i="9"/>
  <c r="S1226" i="9" s="1"/>
  <c r="N1261" i="9"/>
  <c r="R939" i="9"/>
  <c r="N847" i="9"/>
  <c r="R1281" i="9"/>
  <c r="R1476" i="9"/>
  <c r="R1217" i="9"/>
  <c r="R1496" i="9"/>
  <c r="N1175" i="9"/>
  <c r="R1409" i="9"/>
  <c r="R1490" i="9"/>
  <c r="R1219" i="9"/>
  <c r="R1356" i="9"/>
  <c r="N1182" i="9"/>
  <c r="S1182" i="9" s="1"/>
  <c r="R1385" i="9"/>
  <c r="N1501" i="9"/>
  <c r="N1082" i="9"/>
  <c r="R814" i="9"/>
  <c r="R1457" i="9"/>
  <c r="N1024" i="9"/>
  <c r="U1024" i="9" s="1"/>
  <c r="R1368" i="9"/>
  <c r="R880" i="9"/>
  <c r="N1334" i="9"/>
  <c r="U1334" i="9" s="1"/>
  <c r="R1375" i="9"/>
  <c r="N1494" i="9"/>
  <c r="U1494" i="9" s="1"/>
  <c r="N1419" i="9"/>
  <c r="R1310" i="9"/>
  <c r="N1148" i="9"/>
  <c r="S1148" i="9" s="1"/>
  <c r="N1518" i="9"/>
  <c r="N1050" i="9"/>
  <c r="S1050" i="9" s="1"/>
  <c r="R1514" i="9"/>
  <c r="N1339" i="9"/>
  <c r="S1339" i="9" s="1"/>
  <c r="R835" i="9"/>
  <c r="N888" i="9"/>
  <c r="S888" i="9" s="1"/>
  <c r="R900" i="9"/>
  <c r="N1245" i="9"/>
  <c r="R833" i="9"/>
  <c r="R1203" i="9"/>
  <c r="N837" i="9"/>
  <c r="S837" i="9" s="1"/>
  <c r="V837" i="9" s="1"/>
  <c r="N871" i="9"/>
  <c r="N1523" i="9"/>
  <c r="N995" i="9"/>
  <c r="R1443" i="9"/>
  <c r="R922" i="9"/>
  <c r="N1260" i="9"/>
  <c r="U1260" i="9" s="1"/>
  <c r="N808" i="9"/>
  <c r="U808" i="9" s="1"/>
  <c r="R1410" i="9"/>
  <c r="N899" i="9"/>
  <c r="N1513" i="9"/>
  <c r="S1513" i="9" s="1"/>
  <c r="N1272" i="9"/>
  <c r="S1272" i="9" s="1"/>
  <c r="R1238" i="9"/>
  <c r="N1112" i="9"/>
  <c r="S1112" i="9" s="1"/>
  <c r="N1309" i="9"/>
  <c r="S1309" i="9" s="1"/>
  <c r="R1243" i="9"/>
  <c r="N1338" i="9"/>
  <c r="N1511" i="9"/>
  <c r="R800" i="9"/>
  <c r="R794" i="9"/>
  <c r="R886" i="9"/>
  <c r="N779" i="9"/>
  <c r="N1533" i="9"/>
  <c r="N936" i="9"/>
  <c r="N1413" i="9"/>
  <c r="N1510" i="9"/>
  <c r="N1470" i="9"/>
  <c r="S1470" i="9" s="1"/>
  <c r="R1430" i="9"/>
  <c r="N1103" i="9"/>
  <c r="U1103" i="9" s="1"/>
  <c r="R779" i="9"/>
  <c r="R1282" i="9"/>
  <c r="R790" i="9"/>
  <c r="N1129" i="9"/>
  <c r="S1129" i="9" s="1"/>
  <c r="N1308" i="9"/>
  <c r="R1360" i="9"/>
  <c r="R1401" i="9"/>
  <c r="N811" i="9"/>
  <c r="S811" i="9" s="1"/>
  <c r="N835" i="9"/>
  <c r="R1177" i="9"/>
  <c r="N1246" i="9"/>
  <c r="S1246" i="9" s="1"/>
  <c r="R905" i="9"/>
  <c r="N1321" i="9"/>
  <c r="N876" i="9"/>
  <c r="U876" i="9" s="1"/>
  <c r="N997" i="9"/>
  <c r="N1322" i="9"/>
  <c r="U1322" i="9" s="1"/>
  <c r="N1312" i="9"/>
  <c r="S1312" i="9" s="1"/>
  <c r="N1208" i="9"/>
  <c r="R1241" i="9"/>
  <c r="N1136" i="9"/>
  <c r="S1136" i="9" s="1"/>
  <c r="N857" i="9"/>
  <c r="R1534" i="9"/>
  <c r="N822" i="9"/>
  <c r="R1503" i="9"/>
  <c r="N1301" i="9"/>
  <c r="R1269" i="9"/>
  <c r="R947" i="9"/>
  <c r="N1503" i="9"/>
  <c r="N1154" i="9"/>
  <c r="N820" i="9"/>
  <c r="N940" i="9"/>
  <c r="R1163" i="9"/>
  <c r="N1349" i="9"/>
  <c r="S1349" i="9" s="1"/>
  <c r="R1418" i="9"/>
  <c r="R1214" i="9"/>
  <c r="R834" i="9"/>
  <c r="R1352" i="9"/>
  <c r="N813" i="9"/>
  <c r="N1216" i="9"/>
  <c r="N874" i="9"/>
  <c r="R1436" i="9"/>
  <c r="N939" i="9"/>
  <c r="U939" i="9" s="1"/>
  <c r="N1225" i="9"/>
  <c r="R1526" i="9"/>
  <c r="R826" i="9"/>
  <c r="R1464" i="9"/>
  <c r="N1516" i="9"/>
  <c r="S1516" i="9" s="1"/>
  <c r="R1407" i="9"/>
  <c r="N1040" i="9"/>
  <c r="R806" i="9"/>
  <c r="R885" i="9"/>
  <c r="N861" i="9"/>
  <c r="N1097" i="9"/>
  <c r="R840" i="9"/>
  <c r="N1348" i="9"/>
  <c r="U1348" i="9" s="1"/>
  <c r="N1525" i="9"/>
  <c r="N862" i="9"/>
  <c r="U862" i="9" s="1"/>
  <c r="R1311" i="9"/>
  <c r="N877" i="9"/>
  <c r="R1228" i="9"/>
  <c r="R1434" i="9"/>
  <c r="R1309" i="9"/>
  <c r="R1489" i="9"/>
  <c r="R942" i="9"/>
  <c r="R908" i="9"/>
  <c r="R974" i="9"/>
  <c r="R936" i="9"/>
  <c r="N1408" i="9"/>
  <c r="S1408" i="9" s="1"/>
  <c r="V1408" i="9" s="1"/>
  <c r="N1222" i="9"/>
  <c r="S1222" i="9" s="1"/>
  <c r="R817" i="9"/>
  <c r="R1330" i="9"/>
  <c r="R1508" i="9"/>
  <c r="R1419" i="9"/>
  <c r="N1412" i="9"/>
  <c r="U1412" i="9" s="1"/>
  <c r="N893" i="9"/>
  <c r="N887" i="9"/>
  <c r="S887" i="9" s="1"/>
  <c r="N1056" i="9"/>
  <c r="N1187" i="9"/>
  <c r="N1448" i="9"/>
  <c r="R1393" i="9"/>
  <c r="R848" i="9"/>
  <c r="R1462" i="9"/>
  <c r="N814" i="9"/>
  <c r="R1290" i="9"/>
  <c r="R1234" i="9"/>
  <c r="R1516" i="9"/>
  <c r="R1202" i="9"/>
  <c r="N855" i="9"/>
  <c r="N1014" i="9"/>
  <c r="N1219" i="9"/>
  <c r="N1347" i="9"/>
  <c r="S1347" i="9" s="1"/>
  <c r="R1225" i="9"/>
  <c r="N1455" i="9"/>
  <c r="U1455" i="9" s="1"/>
  <c r="N1377" i="9"/>
  <c r="R1171" i="9"/>
  <c r="N1069" i="9"/>
  <c r="U1069" i="9" s="1"/>
  <c r="R1328" i="9"/>
  <c r="N1157" i="9"/>
  <c r="U1157" i="9" s="1"/>
  <c r="N1396" i="9"/>
  <c r="U1396" i="9" s="1"/>
  <c r="N1077" i="9"/>
  <c r="N1359" i="9"/>
  <c r="N827" i="9"/>
  <c r="R809" i="9"/>
  <c r="R1363" i="9"/>
  <c r="R1459" i="9"/>
  <c r="N944" i="9"/>
  <c r="N1133" i="9"/>
  <c r="U1133" i="9" s="1"/>
  <c r="R1372" i="9"/>
  <c r="N805" i="9"/>
  <c r="U805" i="9" s="1"/>
  <c r="R906" i="9"/>
  <c r="R1335" i="9"/>
  <c r="R1362" i="9"/>
  <c r="N937" i="9"/>
  <c r="N1146" i="9"/>
  <c r="N1200" i="9"/>
  <c r="U1200" i="9" s="1"/>
  <c r="N1463" i="9"/>
  <c r="R1342" i="9"/>
  <c r="N1162" i="9"/>
  <c r="R1425" i="9"/>
  <c r="R969" i="9"/>
  <c r="R920" i="9"/>
  <c r="N1328" i="9"/>
  <c r="R1315" i="9"/>
  <c r="N1018" i="9"/>
  <c r="S1018" i="9" s="1"/>
  <c r="T1018" i="9" s="1"/>
  <c r="R963" i="9"/>
  <c r="R1227" i="9"/>
  <c r="R1325" i="9"/>
  <c r="N916" i="9"/>
  <c r="U916" i="9" s="1"/>
  <c r="R1397" i="9"/>
  <c r="N904" i="9"/>
  <c r="S904" i="9" s="1"/>
  <c r="R1463" i="9"/>
  <c r="R1519" i="9"/>
  <c r="N843" i="9"/>
  <c r="U843" i="9" s="1"/>
  <c r="R828" i="9"/>
  <c r="V828" i="9" s="1"/>
  <c r="N1239" i="9"/>
  <c r="N970" i="9"/>
  <c r="N1285" i="9"/>
  <c r="R1185" i="9"/>
  <c r="R1471" i="9"/>
  <c r="R1432" i="9"/>
  <c r="R1353" i="9"/>
  <c r="R1220" i="9"/>
  <c r="R891" i="9"/>
  <c r="R1475" i="9"/>
  <c r="R1268" i="9"/>
  <c r="N961" i="9"/>
  <c r="S961" i="9" s="1"/>
  <c r="R916" i="9"/>
  <c r="N974" i="9"/>
  <c r="N910" i="9"/>
  <c r="N1371" i="9"/>
  <c r="R1344" i="9"/>
  <c r="N913" i="9"/>
  <c r="U913" i="9" s="1"/>
  <c r="N1381" i="9"/>
  <c r="N1198" i="9"/>
  <c r="U1198" i="9" s="1"/>
  <c r="R871" i="9"/>
  <c r="R1320" i="9"/>
  <c r="R1491" i="9"/>
  <c r="N886" i="9"/>
  <c r="R783" i="9"/>
  <c r="R937" i="9"/>
  <c r="N1011" i="9"/>
  <c r="N1087" i="9"/>
  <c r="S1087" i="9" s="1"/>
  <c r="N1267" i="9"/>
  <c r="U1267" i="9" s="1"/>
  <c r="N802" i="9"/>
  <c r="U802" i="9" s="1"/>
  <c r="N1033" i="9"/>
  <c r="N872" i="9"/>
  <c r="S872" i="9" s="1"/>
  <c r="R1221" i="9"/>
  <c r="N1099" i="9"/>
  <c r="N1456" i="9"/>
  <c r="U1456" i="9" s="1"/>
  <c r="N1098" i="9"/>
  <c r="S1098" i="9" s="1"/>
  <c r="R869" i="9"/>
  <c r="R791" i="9"/>
  <c r="N1403" i="9"/>
  <c r="S1403" i="9" s="1"/>
  <c r="N998" i="9"/>
  <c r="N844" i="9"/>
  <c r="R1212" i="9"/>
  <c r="R1322" i="9"/>
  <c r="N1253" i="9"/>
  <c r="N964" i="9"/>
  <c r="U964" i="9" s="1"/>
  <c r="R1187" i="9"/>
  <c r="R870" i="9"/>
  <c r="N1153" i="9"/>
  <c r="S1153" i="9" s="1"/>
  <c r="N1530" i="9"/>
  <c r="R1262" i="9"/>
  <c r="N1192" i="9"/>
  <c r="N1088" i="9"/>
  <c r="N1031" i="9"/>
  <c r="N1462" i="9"/>
  <c r="R975" i="9"/>
  <c r="N1042" i="9"/>
  <c r="S1042" i="9" s="1"/>
  <c r="N1496" i="9"/>
  <c r="N1360" i="9"/>
  <c r="N1443" i="9"/>
  <c r="S1443" i="9" s="1"/>
  <c r="N1010" i="9"/>
  <c r="S1010" i="9" s="1"/>
  <c r="T1010" i="9" s="1"/>
  <c r="R1369" i="9"/>
  <c r="N859" i="9"/>
  <c r="N1442" i="9"/>
  <c r="S1442" i="9" s="1"/>
  <c r="R1188" i="9"/>
  <c r="R1374" i="9"/>
  <c r="N1311" i="9"/>
  <c r="R932" i="9"/>
  <c r="N1480" i="9"/>
  <c r="N1131" i="9"/>
  <c r="U1131" i="9" s="1"/>
  <c r="N895" i="9"/>
  <c r="N851" i="9"/>
  <c r="S851" i="9" s="1"/>
  <c r="R854" i="9"/>
  <c r="R1530" i="9"/>
  <c r="N1490" i="9"/>
  <c r="N1353" i="9"/>
  <c r="R823" i="9"/>
  <c r="N1435" i="9"/>
  <c r="R961" i="9"/>
  <c r="R865" i="9"/>
  <c r="N1071" i="9"/>
  <c r="N1526" i="9"/>
  <c r="S1526" i="9" s="1"/>
  <c r="R1258" i="9"/>
  <c r="R1294" i="9"/>
  <c r="R959" i="9"/>
  <c r="R1226" i="9"/>
  <c r="N1409" i="9"/>
  <c r="S1409" i="9" s="1"/>
  <c r="N986" i="9"/>
  <c r="N977" i="9"/>
  <c r="S977" i="9" s="1"/>
  <c r="T977" i="9" s="1"/>
  <c r="N935" i="9"/>
  <c r="S935" i="9" s="1"/>
  <c r="N962" i="9"/>
  <c r="N1485" i="9"/>
  <c r="S1485" i="9" s="1"/>
  <c r="R1533" i="9"/>
  <c r="R1354" i="9"/>
  <c r="R859" i="9"/>
  <c r="N1363" i="9"/>
  <c r="S1363" i="9" s="1"/>
  <c r="T1363" i="9" s="1"/>
  <c r="N1468" i="9"/>
  <c r="R829" i="9"/>
  <c r="N1352" i="9"/>
  <c r="U1352" i="9" s="1"/>
  <c r="R1180" i="9"/>
  <c r="R1445" i="9"/>
  <c r="N1134" i="9"/>
  <c r="N787" i="9"/>
  <c r="N1019" i="9"/>
  <c r="S1019" i="9" s="1"/>
  <c r="T1019" i="9" s="1"/>
  <c r="R950" i="9"/>
  <c r="N1013" i="9"/>
  <c r="N1527" i="9"/>
  <c r="U1527" i="9" s="1"/>
  <c r="N1265" i="9"/>
  <c r="S1265" i="9" s="1"/>
  <c r="N809" i="9"/>
  <c r="N1240" i="9"/>
  <c r="U1240" i="9" s="1"/>
  <c r="N828" i="9"/>
  <c r="S828" i="9" s="1"/>
  <c r="N1093" i="9"/>
  <c r="N1439" i="9"/>
  <c r="N1104" i="9"/>
  <c r="R1233" i="9"/>
  <c r="N1147" i="9"/>
  <c r="R1402" i="9"/>
  <c r="R1416" i="9"/>
  <c r="R1208" i="9"/>
  <c r="N996" i="9"/>
  <c r="S996" i="9" s="1"/>
  <c r="T996" i="9" s="1"/>
  <c r="N1502" i="9"/>
  <c r="R1351" i="9"/>
  <c r="N795" i="9"/>
  <c r="U795" i="9" s="1"/>
  <c r="R1304" i="9"/>
  <c r="N807" i="9"/>
  <c r="U807" i="9" s="1"/>
  <c r="N1277" i="9"/>
  <c r="U1277" i="9" s="1"/>
  <c r="R1316" i="9"/>
  <c r="R1355" i="9"/>
  <c r="N1351" i="9"/>
  <c r="R838" i="9"/>
  <c r="N1425" i="9"/>
  <c r="U1425" i="9" s="1"/>
  <c r="N1119" i="9"/>
  <c r="S1119" i="9" s="1"/>
  <c r="N943" i="9"/>
  <c r="R1222" i="9"/>
  <c r="N1105" i="9"/>
  <c r="S1105" i="9" s="1"/>
  <c r="R1502" i="9"/>
  <c r="R839" i="9"/>
  <c r="R1196" i="9"/>
  <c r="R1274" i="9"/>
  <c r="R1334" i="9"/>
  <c r="R1205" i="9"/>
  <c r="N990" i="9"/>
  <c r="N894" i="9"/>
  <c r="S894" i="9" s="1"/>
  <c r="N1065" i="9"/>
  <c r="U1065" i="9" s="1"/>
  <c r="R861" i="9"/>
  <c r="R965" i="9"/>
  <c r="N1054" i="9"/>
  <c r="S1054" i="9" s="1"/>
  <c r="R879" i="9"/>
  <c r="N1228" i="9"/>
  <c r="S1228" i="9" s="1"/>
  <c r="N1233" i="9"/>
  <c r="U1233" i="9" s="1"/>
  <c r="N1251" i="9"/>
  <c r="N1135" i="9"/>
  <c r="N942" i="9"/>
  <c r="U942" i="9" s="1"/>
  <c r="R1387" i="9"/>
  <c r="R1272" i="9"/>
  <c r="N1155" i="9"/>
  <c r="N885" i="9"/>
  <c r="U885" i="9" s="1"/>
  <c r="N1127" i="9"/>
  <c r="U1127" i="9" s="1"/>
  <c r="R1511" i="9"/>
  <c r="N1002" i="9"/>
  <c r="R801" i="9"/>
  <c r="R780" i="9"/>
  <c r="N1141" i="9"/>
  <c r="R822" i="9"/>
  <c r="N1374" i="9"/>
  <c r="U1374" i="9" s="1"/>
  <c r="R1265" i="9"/>
  <c r="N1252" i="9"/>
  <c r="U1252" i="9" s="1"/>
  <c r="N1012" i="9"/>
  <c r="R1469" i="9"/>
  <c r="N1124" i="9"/>
  <c r="R872" i="9"/>
  <c r="N1287" i="9"/>
  <c r="R1379" i="9"/>
  <c r="R832" i="9"/>
  <c r="R1301" i="9"/>
  <c r="R1186" i="9"/>
  <c r="N1317" i="9"/>
  <c r="U1317" i="9" s="1"/>
  <c r="R1216" i="9"/>
  <c r="R853" i="9"/>
  <c r="R926" i="9"/>
  <c r="R1504" i="9"/>
  <c r="R1337" i="9"/>
  <c r="N1016" i="9"/>
  <c r="N848" i="9"/>
  <c r="U848" i="9" s="1"/>
  <c r="N1391" i="9"/>
  <c r="U1391" i="9" s="1"/>
  <c r="N1195" i="9"/>
  <c r="S1195" i="9" s="1"/>
  <c r="N1264" i="9"/>
  <c r="N1288" i="9"/>
  <c r="N1386" i="9"/>
  <c r="R1427" i="9"/>
  <c r="R881" i="9"/>
  <c r="N1189" i="9"/>
  <c r="U1189" i="9" s="1"/>
  <c r="R1451" i="9"/>
  <c r="N1540" i="9"/>
  <c r="R1263" i="9"/>
  <c r="N1319" i="9"/>
  <c r="N1026" i="9"/>
  <c r="N1294" i="9"/>
  <c r="S1294" i="9" s="1"/>
  <c r="N831" i="9"/>
  <c r="N967" i="9"/>
  <c r="R1536" i="9"/>
  <c r="N1169" i="9"/>
  <c r="U1169" i="9" s="1"/>
  <c r="R818" i="9"/>
  <c r="N1061" i="9"/>
  <c r="U1061" i="9" s="1"/>
  <c r="R1275" i="9"/>
  <c r="N1122" i="9"/>
  <c r="S1122" i="9" s="1"/>
  <c r="N1081" i="9"/>
  <c r="N993" i="9"/>
  <c r="U993" i="9" s="1"/>
  <c r="R958" i="9"/>
  <c r="N1534" i="9"/>
  <c r="N1045" i="9"/>
  <c r="N982" i="9"/>
  <c r="N841" i="9"/>
  <c r="R824" i="9"/>
  <c r="N1197" i="9"/>
  <c r="N1186" i="9"/>
  <c r="N934" i="9"/>
  <c r="U934" i="9" s="1"/>
  <c r="R1377" i="9"/>
  <c r="N1063" i="9"/>
  <c r="R934" i="9"/>
  <c r="R1477" i="9"/>
  <c r="R1235" i="9"/>
  <c r="R1347" i="9"/>
  <c r="N1008" i="9"/>
  <c r="R1396" i="9"/>
  <c r="N818" i="9"/>
  <c r="R876" i="9"/>
  <c r="R1484" i="9"/>
  <c r="N845" i="9"/>
  <c r="S845" i="9" s="1"/>
  <c r="N1426" i="9"/>
  <c r="S1426" i="9" s="1"/>
  <c r="R1528" i="9"/>
  <c r="R1370" i="9"/>
  <c r="R1239" i="9"/>
  <c r="N965" i="9"/>
  <c r="N1218" i="9"/>
  <c r="U1218" i="9" s="1"/>
  <c r="R1213" i="9"/>
  <c r="N1142" i="9"/>
  <c r="N1401" i="9"/>
  <c r="S1401" i="9" s="1"/>
  <c r="N1400" i="9"/>
  <c r="R1394" i="9"/>
  <c r="N925" i="9"/>
  <c r="U925" i="9" s="1"/>
  <c r="R1454" i="9"/>
  <c r="N1436" i="9"/>
  <c r="N1500" i="9"/>
  <c r="U1500" i="9" s="1"/>
  <c r="R1521" i="9"/>
  <c r="N1038" i="9"/>
  <c r="U1038" i="9" s="1"/>
  <c r="R1267" i="9"/>
  <c r="R1395" i="9"/>
  <c r="N1476" i="9"/>
  <c r="U1476" i="9" s="1"/>
  <c r="R951" i="9"/>
  <c r="R1403" i="9"/>
  <c r="R1485" i="9"/>
  <c r="N1291" i="9"/>
  <c r="S1291" i="9" s="1"/>
  <c r="R864" i="9"/>
  <c r="N1304" i="9"/>
  <c r="N873" i="9"/>
  <c r="U873" i="9" s="1"/>
  <c r="N1234" i="9"/>
  <c r="U1234" i="9" s="1"/>
  <c r="N1440" i="9"/>
  <c r="S1440" i="9" s="1"/>
  <c r="N1091" i="9"/>
  <c r="R1544" i="9"/>
  <c r="R1480" i="9"/>
  <c r="N1194" i="9"/>
  <c r="N1458" i="9"/>
  <c r="N1515" i="9"/>
  <c r="U1515" i="9" s="1"/>
  <c r="N1431" i="9"/>
  <c r="U1431" i="9" s="1"/>
  <c r="N1521" i="9"/>
  <c r="S1521" i="9" s="1"/>
  <c r="R847" i="9"/>
  <c r="R1172" i="9"/>
  <c r="N1172" i="9"/>
  <c r="N1176" i="9"/>
  <c r="S1176" i="9" s="1"/>
  <c r="R1246" i="9"/>
  <c r="N1247" i="9"/>
  <c r="N1335" i="9"/>
  <c r="U1335" i="9" s="1"/>
  <c r="R1178" i="9"/>
  <c r="V1178" i="9" s="1"/>
  <c r="N1278" i="9"/>
  <c r="U1278" i="9" s="1"/>
  <c r="N1022" i="9"/>
  <c r="N1441" i="9"/>
  <c r="R1296" i="9"/>
  <c r="R1319" i="9"/>
  <c r="N969" i="9"/>
  <c r="R1493" i="9"/>
  <c r="R1468" i="9"/>
  <c r="N1224" i="9"/>
  <c r="S1224" i="9" s="1"/>
  <c r="N1007" i="9"/>
  <c r="S1007" i="9" s="1"/>
  <c r="T1007" i="9" s="1"/>
  <c r="R1162" i="9"/>
  <c r="R1251" i="9"/>
  <c r="N1221" i="9"/>
  <c r="U1221" i="9" s="1"/>
  <c r="N1036" i="9"/>
  <c r="U1036" i="9" s="1"/>
  <c r="N875" i="9"/>
  <c r="U875" i="9" s="1"/>
  <c r="N856" i="9"/>
  <c r="R1350" i="9"/>
  <c r="N1379" i="9"/>
  <c r="S1379" i="9" s="1"/>
  <c r="N1296" i="9"/>
  <c r="R852" i="9"/>
  <c r="N1094" i="9"/>
  <c r="U1094" i="9" s="1"/>
  <c r="N1404" i="9"/>
  <c r="N1289" i="9"/>
  <c r="N852" i="9"/>
  <c r="N1493" i="9"/>
  <c r="U1493" i="9" s="1"/>
  <c r="R1169" i="9"/>
  <c r="N1369" i="9"/>
  <c r="U1369" i="9" s="1"/>
  <c r="N968" i="9"/>
  <c r="N1469" i="9"/>
  <c r="U1469" i="9" s="1"/>
  <c r="R795" i="9"/>
  <c r="R1223" i="9"/>
  <c r="R1314" i="9"/>
  <c r="N1017" i="9"/>
  <c r="S1017" i="9" s="1"/>
  <c r="T1017" i="9" s="1"/>
  <c r="N1316" i="9"/>
  <c r="U1316" i="9" s="1"/>
  <c r="N988" i="9"/>
  <c r="U988" i="9" s="1"/>
  <c r="N1282" i="9"/>
  <c r="N1117" i="9"/>
  <c r="S1117" i="9" s="1"/>
  <c r="R1513" i="9"/>
  <c r="N985" i="9"/>
  <c r="S985" i="9" s="1"/>
  <c r="T985" i="9" s="1"/>
  <c r="N1337" i="9"/>
  <c r="U1337" i="9" s="1"/>
  <c r="N1256" i="9"/>
  <c r="N891" i="9"/>
  <c r="U891" i="9" s="1"/>
  <c r="N1274" i="9"/>
  <c r="S1274" i="9" s="1"/>
  <c r="R928" i="9"/>
  <c r="N1000" i="9"/>
  <c r="U1000" i="9" s="1"/>
  <c r="N1174" i="9"/>
  <c r="U1174" i="9" s="1"/>
  <c r="R964" i="9"/>
  <c r="N1202" i="9"/>
  <c r="R1366" i="9"/>
  <c r="R850" i="9"/>
  <c r="R943" i="9"/>
  <c r="R1391" i="9"/>
  <c r="N1491" i="9"/>
  <c r="S1491" i="9" s="1"/>
  <c r="U811" i="9"/>
  <c r="U1246" i="9"/>
  <c r="S1317" i="9"/>
  <c r="U1231" i="9"/>
  <c r="S848" i="9"/>
  <c r="S885" i="9"/>
  <c r="S1391" i="9"/>
  <c r="U1050" i="9"/>
  <c r="S1396" i="9"/>
  <c r="U1010" i="9"/>
  <c r="U1349" i="9"/>
  <c r="S1085" i="9"/>
  <c r="S1191" i="9"/>
  <c r="T1191" i="9" s="1"/>
  <c r="U1271" i="9"/>
  <c r="S1412" i="9"/>
  <c r="T1412" i="9" s="1"/>
  <c r="S1350" i="9"/>
  <c r="S1103" i="9"/>
  <c r="U845" i="9"/>
  <c r="S1494" i="9"/>
  <c r="U1178" i="9"/>
  <c r="U1505" i="9"/>
  <c r="S1150" i="9"/>
  <c r="U1342" i="9"/>
  <c r="U977" i="9"/>
  <c r="U1112" i="9"/>
  <c r="S1131" i="9"/>
  <c r="S1527" i="9"/>
  <c r="U985" i="9"/>
  <c r="S807" i="9"/>
  <c r="U1516" i="9"/>
  <c r="S1493" i="9"/>
  <c r="S1189" i="9"/>
  <c r="T1189" i="9" s="1"/>
  <c r="S1240" i="9"/>
  <c r="S805" i="9"/>
  <c r="V805" i="9" s="1"/>
  <c r="U1098" i="9"/>
  <c r="S1127" i="9"/>
  <c r="U1299" i="9"/>
  <c r="S782" i="9"/>
  <c r="S1120" i="9"/>
  <c r="U1524" i="9"/>
  <c r="U1228" i="9"/>
  <c r="U1403" i="9"/>
  <c r="S942" i="9"/>
  <c r="S1252" i="9"/>
  <c r="U1136" i="9"/>
  <c r="U1122" i="9"/>
  <c r="U1406" i="9"/>
  <c r="U991" i="9"/>
  <c r="S862" i="9"/>
  <c r="S1106" i="9"/>
  <c r="U1408" i="9"/>
  <c r="S1267" i="9"/>
  <c r="U1204" i="9"/>
  <c r="S1169" i="9"/>
  <c r="T1169" i="9" s="1"/>
  <c r="U1491" i="9"/>
  <c r="U996" i="9"/>
  <c r="S797" i="9"/>
  <c r="S1233" i="9"/>
  <c r="U1017" i="9"/>
  <c r="U1210" i="9"/>
  <c r="U1440" i="9"/>
  <c r="S1512" i="9"/>
  <c r="U851" i="9"/>
  <c r="S843" i="9"/>
  <c r="S1234" i="9"/>
  <c r="S1278" i="9"/>
  <c r="U1347" i="9"/>
  <c r="U894" i="9"/>
  <c r="S1090" i="9"/>
  <c r="V1228" i="9"/>
  <c r="U887" i="9"/>
  <c r="U1087" i="9"/>
  <c r="S988" i="9"/>
  <c r="T988" i="9" s="1"/>
  <c r="U1415" i="9"/>
  <c r="S1209" i="9"/>
  <c r="T1209" i="9" s="1"/>
  <c r="U1390" i="9"/>
  <c r="U1521" i="9"/>
  <c r="S1069" i="9"/>
  <c r="S891" i="9"/>
  <c r="U1068" i="9"/>
  <c r="U1274" i="9"/>
  <c r="S1322" i="9"/>
  <c r="S1348" i="9"/>
  <c r="S1095" i="9"/>
  <c r="S873" i="9"/>
  <c r="S979" i="9"/>
  <c r="T979" i="9" s="1"/>
  <c r="U892" i="9"/>
  <c r="S1358" i="9"/>
  <c r="U1513" i="9"/>
  <c r="U1379" i="9"/>
  <c r="U1474" i="9"/>
  <c r="U1345" i="9"/>
  <c r="U961" i="9"/>
  <c r="U931" i="9"/>
  <c r="U828" i="9"/>
  <c r="T1215" i="9"/>
  <c r="V1215" i="9"/>
  <c r="U924" i="9"/>
  <c r="U1215" i="9"/>
  <c r="V1363" i="9"/>
  <c r="N1538" i="9"/>
  <c r="R1538" i="9"/>
  <c r="N956" i="9"/>
  <c r="R956" i="9"/>
  <c r="R1313" i="9"/>
  <c r="N1313" i="9"/>
  <c r="N1398" i="9"/>
  <c r="R1398" i="9"/>
  <c r="R1446" i="9"/>
  <c r="N1446" i="9"/>
  <c r="R1473" i="9"/>
  <c r="N1473" i="9"/>
  <c r="N989" i="9"/>
  <c r="N1539" i="9"/>
  <c r="R1539" i="9"/>
  <c r="N992" i="9"/>
  <c r="N1517" i="9"/>
  <c r="R1517" i="9"/>
  <c r="N789" i="9"/>
  <c r="R789" i="9"/>
  <c r="R957" i="9"/>
  <c r="N957" i="9"/>
  <c r="R941" i="9"/>
  <c r="N941" i="9"/>
  <c r="N945" i="9"/>
  <c r="R945" i="9"/>
  <c r="R1280" i="9"/>
  <c r="N1280" i="9"/>
  <c r="N1168" i="9"/>
  <c r="R1168" i="9"/>
  <c r="R1165" i="9"/>
  <c r="N1165" i="9"/>
  <c r="R1237" i="9"/>
  <c r="N1237" i="9"/>
  <c r="N1145" i="9"/>
  <c r="N1532" i="9"/>
  <c r="R1532" i="9"/>
  <c r="R1357" i="9"/>
  <c r="N1357" i="9"/>
  <c r="N1327" i="9"/>
  <c r="R1327" i="9"/>
  <c r="N1170" i="9"/>
  <c r="R1170" i="9"/>
  <c r="N821" i="9"/>
  <c r="R821" i="9"/>
  <c r="N1376" i="9"/>
  <c r="R1376" i="9"/>
  <c r="R1543" i="9"/>
  <c r="N1543" i="9"/>
  <c r="R1438" i="9"/>
  <c r="N1438" i="9"/>
  <c r="N1389" i="9"/>
  <c r="R1389" i="9"/>
  <c r="N883" i="9"/>
  <c r="R883" i="9"/>
  <c r="R1331" i="9"/>
  <c r="N1331" i="9"/>
  <c r="N918" i="9"/>
  <c r="R918" i="9"/>
  <c r="R1498" i="9"/>
  <c r="N1498" i="9"/>
  <c r="R1166" i="9"/>
  <c r="N1166" i="9"/>
  <c r="N1128" i="9"/>
  <c r="N1034" i="9"/>
  <c r="N1053" i="9"/>
  <c r="N1332" i="9"/>
  <c r="R1332" i="9"/>
  <c r="N1284" i="9"/>
  <c r="R1284" i="9"/>
  <c r="N1183" i="9"/>
  <c r="R1183" i="9"/>
  <c r="R1466" i="9"/>
  <c r="N1466" i="9"/>
  <c r="N1266" i="9"/>
  <c r="R1266" i="9"/>
  <c r="R1380" i="9"/>
  <c r="N1380" i="9"/>
  <c r="N800" i="9"/>
  <c r="R893" i="9"/>
  <c r="R784" i="9"/>
  <c r="N1089" i="9"/>
  <c r="R904" i="9"/>
  <c r="R1270" i="9"/>
  <c r="R1260" i="9"/>
  <c r="R1278" i="9"/>
  <c r="N926" i="9"/>
  <c r="R1254" i="9"/>
  <c r="N792" i="9"/>
  <c r="N932" i="9"/>
  <c r="R787" i="9"/>
  <c r="N794" i="9"/>
  <c r="N1428" i="9"/>
  <c r="R1190" i="9"/>
  <c r="R1492" i="9"/>
  <c r="N950" i="9"/>
  <c r="N1005" i="9"/>
  <c r="N1214" i="9"/>
  <c r="N906" i="9"/>
  <c r="N1049" i="9"/>
  <c r="N1111" i="9"/>
  <c r="N1021" i="9"/>
  <c r="N863" i="9"/>
  <c r="N1144" i="9"/>
  <c r="R1478" i="9"/>
  <c r="R1276" i="9"/>
  <c r="N1241" i="9"/>
  <c r="N881" i="9"/>
  <c r="N1453" i="9"/>
  <c r="R1264" i="9"/>
  <c r="R844" i="9"/>
  <c r="R788" i="9"/>
  <c r="N1477" i="9"/>
  <c r="R831" i="9"/>
  <c r="N1126" i="9"/>
  <c r="R1404" i="9"/>
  <c r="N1429" i="9"/>
  <c r="N1213" i="9"/>
  <c r="N1341" i="9"/>
  <c r="R894" i="9"/>
  <c r="R1482" i="9"/>
  <c r="R896" i="9"/>
  <c r="R888" i="9"/>
  <c r="N909" i="9"/>
  <c r="R862" i="9"/>
  <c r="N1481" i="9"/>
  <c r="R1292" i="9"/>
  <c r="N954" i="9"/>
  <c r="U954" i="9" s="1"/>
  <c r="R1271" i="9"/>
  <c r="N1181" i="9"/>
  <c r="N1140" i="9"/>
  <c r="R1472" i="9"/>
  <c r="N1059" i="9"/>
  <c r="N975" i="9"/>
  <c r="R867" i="9"/>
  <c r="N829" i="9"/>
  <c r="R1367" i="9"/>
  <c r="N972" i="9"/>
  <c r="R952" i="9"/>
  <c r="N1064" i="9"/>
  <c r="R842" i="9"/>
  <c r="R909" i="9"/>
  <c r="N1281" i="9"/>
  <c r="N959" i="9"/>
  <c r="R877" i="9"/>
  <c r="N1325" i="9"/>
  <c r="N1070" i="9"/>
  <c r="N1259" i="9"/>
  <c r="N833" i="9"/>
  <c r="N1489" i="9"/>
  <c r="N1248" i="9"/>
  <c r="R830" i="9"/>
  <c r="N1366" i="9"/>
  <c r="N826" i="9"/>
  <c r="N1201" i="9"/>
  <c r="N1314" i="9"/>
  <c r="N1110" i="9"/>
  <c r="U1110" i="9" s="1"/>
  <c r="R804" i="9"/>
  <c r="N1504" i="9"/>
  <c r="N1378" i="9"/>
  <c r="R1273" i="9"/>
  <c r="N1450" i="9"/>
  <c r="N1188" i="9"/>
  <c r="R1252" i="9"/>
  <c r="R1460" i="9"/>
  <c r="R808" i="9"/>
  <c r="N915" i="9"/>
  <c r="N860" i="9"/>
  <c r="N1047" i="9"/>
  <c r="N1025" i="9"/>
  <c r="N1330" i="9"/>
  <c r="R858" i="9"/>
  <c r="R856" i="9"/>
  <c r="R873" i="9"/>
  <c r="R1411" i="9"/>
  <c r="N1269" i="9"/>
  <c r="N1173" i="9"/>
  <c r="N1423" i="9"/>
  <c r="R1250" i="9"/>
  <c r="N1497" i="9"/>
  <c r="R1388" i="9"/>
  <c r="R1291" i="9"/>
  <c r="N1159" i="9"/>
  <c r="N1046" i="9"/>
  <c r="N1039" i="9"/>
  <c r="N1205" i="9"/>
  <c r="N1003" i="9"/>
  <c r="N1044" i="9"/>
  <c r="U1044" i="9" s="1"/>
  <c r="N1344" i="9"/>
  <c r="R849" i="9"/>
  <c r="N912" i="9"/>
  <c r="R895" i="9"/>
  <c r="N866" i="9"/>
  <c r="R1456" i="9"/>
  <c r="N1495" i="9"/>
  <c r="U1495" i="9" s="1"/>
  <c r="R1435" i="9"/>
  <c r="R802" i="9"/>
  <c r="N1101" i="9"/>
  <c r="N953" i="9"/>
  <c r="R803" i="9"/>
  <c r="N1009" i="9"/>
  <c r="R1324" i="9"/>
  <c r="N1536" i="9"/>
  <c r="U1536" i="9" s="1"/>
  <c r="R927" i="9"/>
  <c r="R882" i="9"/>
  <c r="N1076" i="9"/>
  <c r="R1349" i="9"/>
  <c r="R1500" i="9"/>
  <c r="R807" i="9"/>
  <c r="R968" i="9"/>
  <c r="R825" i="9"/>
  <c r="N1302" i="9"/>
  <c r="N1364" i="9"/>
  <c r="R1494" i="9"/>
  <c r="R1248" i="9"/>
  <c r="N780" i="9"/>
  <c r="R1439" i="9"/>
  <c r="N1354" i="9"/>
  <c r="N920" i="9"/>
  <c r="N815" i="9"/>
  <c r="R1450" i="9"/>
  <c r="N1032" i="9"/>
  <c r="R1470" i="9"/>
  <c r="N1486" i="9"/>
  <c r="U1458" i="9"/>
  <c r="S1458" i="9"/>
  <c r="S943" i="9"/>
  <c r="U943" i="9"/>
  <c r="U1434" i="9"/>
  <c r="S1434" i="9"/>
  <c r="U1279" i="9"/>
  <c r="S1279" i="9"/>
  <c r="S886" i="9"/>
  <c r="U886" i="9"/>
  <c r="U856" i="9"/>
  <c r="S856" i="9"/>
  <c r="U1534" i="9"/>
  <c r="S1534" i="9"/>
  <c r="S1202" i="9"/>
  <c r="U1202" i="9"/>
  <c r="S1335" i="9"/>
  <c r="S1097" i="9"/>
  <c r="U1097" i="9"/>
  <c r="U1026" i="9"/>
  <c r="S1026" i="9"/>
  <c r="T1026" i="9" s="1"/>
  <c r="U861" i="9"/>
  <c r="S861" i="9"/>
  <c r="U1319" i="9"/>
  <c r="S1319" i="9"/>
  <c r="S809" i="9"/>
  <c r="V809" i="9" s="1"/>
  <c r="U809" i="9"/>
  <c r="U1225" i="9"/>
  <c r="S1225" i="9"/>
  <c r="S1216" i="9"/>
  <c r="U1216" i="9"/>
  <c r="S1239" i="9"/>
  <c r="U1239" i="9"/>
  <c r="S1134" i="9"/>
  <c r="U1134" i="9"/>
  <c r="S940" i="9"/>
  <c r="U940" i="9"/>
  <c r="U1301" i="9"/>
  <c r="S1301" i="9"/>
  <c r="S1472" i="9"/>
  <c r="U1472" i="9"/>
  <c r="S1146" i="9"/>
  <c r="U1146" i="9"/>
  <c r="U835" i="9"/>
  <c r="S835" i="9"/>
  <c r="V835" i="9" s="1"/>
  <c r="U1287" i="9"/>
  <c r="S1287" i="9"/>
  <c r="U1071" i="9"/>
  <c r="S1071" i="9"/>
  <c r="S1359" i="9"/>
  <c r="U1359" i="9"/>
  <c r="S1510" i="9"/>
  <c r="U1510" i="9"/>
  <c r="S936" i="9"/>
  <c r="U936" i="9"/>
  <c r="U1511" i="9"/>
  <c r="S1511" i="9"/>
  <c r="S790" i="9"/>
  <c r="V790" i="9" s="1"/>
  <c r="U790" i="9"/>
  <c r="U995" i="9"/>
  <c r="S995" i="9"/>
  <c r="T995" i="9" s="1"/>
  <c r="U1125" i="9"/>
  <c r="S1125" i="9"/>
  <c r="S814" i="9"/>
  <c r="V814" i="9" s="1"/>
  <c r="U814" i="9"/>
  <c r="S1245" i="9"/>
  <c r="U1245" i="9"/>
  <c r="S1518" i="9"/>
  <c r="U1518" i="9"/>
  <c r="U1530" i="9"/>
  <c r="S1530" i="9"/>
  <c r="S1419" i="9"/>
  <c r="U1419" i="9"/>
  <c r="S899" i="9"/>
  <c r="U899" i="9"/>
  <c r="U998" i="9"/>
  <c r="S998" i="9"/>
  <c r="T998" i="9" s="1"/>
  <c r="S804" i="9"/>
  <c r="V804" i="9" s="1"/>
  <c r="U804" i="9"/>
  <c r="S1427" i="9"/>
  <c r="U1427" i="9"/>
  <c r="S1067" i="9"/>
  <c r="U1067" i="9"/>
  <c r="U1249" i="9"/>
  <c r="S1249" i="9"/>
  <c r="U1108" i="9"/>
  <c r="S1108" i="9"/>
  <c r="S1238" i="9"/>
  <c r="U1238" i="9"/>
  <c r="S947" i="9"/>
  <c r="U947" i="9"/>
  <c r="U1424" i="9"/>
  <c r="S1424" i="9"/>
  <c r="S902" i="9"/>
  <c r="U902" i="9"/>
  <c r="S1283" i="9"/>
  <c r="U1283" i="9"/>
  <c r="U922" i="9"/>
  <c r="S922" i="9"/>
  <c r="U1520" i="9"/>
  <c r="S1520" i="9"/>
  <c r="S1072" i="9"/>
  <c r="U1072" i="9"/>
  <c r="S832" i="9"/>
  <c r="V832" i="9" s="1"/>
  <c r="U832" i="9"/>
  <c r="U1432" i="9"/>
  <c r="S1432" i="9"/>
  <c r="U824" i="9"/>
  <c r="S824" i="9"/>
  <c r="V824" i="9" s="1"/>
  <c r="S1383" i="9"/>
  <c r="U1383" i="9"/>
  <c r="S1282" i="9"/>
  <c r="U1282" i="9"/>
  <c r="S1315" i="9"/>
  <c r="U1315" i="9"/>
  <c r="S1304" i="9"/>
  <c r="U1304" i="9"/>
  <c r="S968" i="9"/>
  <c r="U968" i="9"/>
  <c r="S1329" i="9"/>
  <c r="U1329" i="9"/>
  <c r="S1197" i="9"/>
  <c r="U1197" i="9"/>
  <c r="S1541" i="9"/>
  <c r="U1541" i="9"/>
  <c r="S1001" i="9"/>
  <c r="T1001" i="9" s="1"/>
  <c r="U1001" i="9"/>
  <c r="S965" i="9"/>
  <c r="U965" i="9"/>
  <c r="U1525" i="9"/>
  <c r="S1525" i="9"/>
  <c r="S1410" i="9"/>
  <c r="U1410" i="9"/>
  <c r="U831" i="9"/>
  <c r="S831" i="9"/>
  <c r="U1262" i="9"/>
  <c r="S1262" i="9"/>
  <c r="S1104" i="9"/>
  <c r="U1104" i="9"/>
  <c r="S1402" i="9"/>
  <c r="T1402" i="9" s="1"/>
  <c r="U1402" i="9"/>
  <c r="S970" i="9"/>
  <c r="U970" i="9"/>
  <c r="S787" i="9"/>
  <c r="V787" i="9" s="1"/>
  <c r="U787" i="9"/>
  <c r="S1016" i="9"/>
  <c r="T1016" i="9" s="1"/>
  <c r="U1016" i="9"/>
  <c r="U1503" i="9"/>
  <c r="S1503" i="9"/>
  <c r="U1465" i="9"/>
  <c r="S1465" i="9"/>
  <c r="U857" i="9"/>
  <c r="S857" i="9"/>
  <c r="S962" i="9"/>
  <c r="U962" i="9"/>
  <c r="S878" i="9"/>
  <c r="U878" i="9"/>
  <c r="S1353" i="9"/>
  <c r="U1353" i="9"/>
  <c r="S1002" i="9"/>
  <c r="T1002" i="9" s="1"/>
  <c r="U1002" i="9"/>
  <c r="U1533" i="9"/>
  <c r="S1533" i="9"/>
  <c r="U1155" i="9"/>
  <c r="S1155" i="9"/>
  <c r="S895" i="9"/>
  <c r="U895" i="9"/>
  <c r="U874" i="9"/>
  <c r="S874" i="9"/>
  <c r="S855" i="9"/>
  <c r="U855" i="9"/>
  <c r="S1523" i="9"/>
  <c r="U1523" i="9"/>
  <c r="S1190" i="9"/>
  <c r="T1190" i="9" s="1"/>
  <c r="U1190" i="9"/>
  <c r="S1496" i="9"/>
  <c r="U1496" i="9"/>
  <c r="S1501" i="9"/>
  <c r="U1501" i="9"/>
  <c r="S844" i="9"/>
  <c r="U844" i="9"/>
  <c r="S781" i="9"/>
  <c r="U781" i="9"/>
  <c r="U1099" i="9"/>
  <c r="S1099" i="9"/>
  <c r="U1273" i="9"/>
  <c r="S1273" i="9"/>
  <c r="U984" i="9"/>
  <c r="S984" i="9"/>
  <c r="T984" i="9" s="1"/>
  <c r="U1164" i="9"/>
  <c r="S1164" i="9"/>
  <c r="S1255" i="9"/>
  <c r="U1255" i="9"/>
  <c r="S955" i="9"/>
  <c r="U955" i="9"/>
  <c r="U1223" i="9"/>
  <c r="S1223" i="9"/>
  <c r="U1250" i="9"/>
  <c r="S1250" i="9"/>
  <c r="U1020" i="9"/>
  <c r="S1020" i="9"/>
  <c r="T1020" i="9" s="1"/>
  <c r="S973" i="9"/>
  <c r="T973" i="9" s="1"/>
  <c r="U973" i="9"/>
  <c r="S948" i="9"/>
  <c r="U948" i="9"/>
  <c r="U1447" i="9"/>
  <c r="S1447" i="9"/>
  <c r="U812" i="9"/>
  <c r="S812" i="9"/>
  <c r="S930" i="9"/>
  <c r="U930" i="9"/>
  <c r="S1038" i="9"/>
  <c r="S1296" i="9"/>
  <c r="U1296" i="9"/>
  <c r="U841" i="9"/>
  <c r="S841" i="9"/>
  <c r="V841" i="9" s="1"/>
  <c r="U784" i="9"/>
  <c r="S784" i="9"/>
  <c r="S840" i="9"/>
  <c r="V840" i="9" s="1"/>
  <c r="U840" i="9"/>
  <c r="S818" i="9"/>
  <c r="V818" i="9" s="1"/>
  <c r="U818" i="9"/>
  <c r="S1502" i="9"/>
  <c r="U1502" i="9"/>
  <c r="S877" i="9"/>
  <c r="U877" i="9"/>
  <c r="U1464" i="9"/>
  <c r="S1464" i="9"/>
  <c r="S1441" i="9"/>
  <c r="U1441" i="9"/>
  <c r="S1381" i="9"/>
  <c r="T1381" i="9" s="1"/>
  <c r="U1381" i="9"/>
  <c r="U1230" i="9"/>
  <c r="S1230" i="9"/>
  <c r="U1247" i="9"/>
  <c r="S1247" i="9"/>
  <c r="U1147" i="9"/>
  <c r="S1147" i="9"/>
  <c r="S967" i="9"/>
  <c r="U967" i="9"/>
  <c r="U974" i="9"/>
  <c r="S974" i="9"/>
  <c r="S1194" i="9"/>
  <c r="U1194" i="9"/>
  <c r="S1439" i="9"/>
  <c r="U1439" i="9"/>
  <c r="S939" i="9"/>
  <c r="S813" i="9"/>
  <c r="V813" i="9" s="1"/>
  <c r="U813" i="9"/>
  <c r="S1463" i="9"/>
  <c r="U1463" i="9"/>
  <c r="S937" i="9"/>
  <c r="U937" i="9"/>
  <c r="S1367" i="9"/>
  <c r="T1367" i="9" s="1"/>
  <c r="U1367" i="9"/>
  <c r="S1012" i="9"/>
  <c r="T1012" i="9" s="1"/>
  <c r="U1012" i="9"/>
  <c r="U1141" i="9"/>
  <c r="S1141" i="9"/>
  <c r="U779" i="9"/>
  <c r="S779" i="9"/>
  <c r="V779" i="9" s="1"/>
  <c r="U1135" i="9"/>
  <c r="S1135" i="9"/>
  <c r="U1251" i="9"/>
  <c r="S1251" i="9"/>
  <c r="U1377" i="9"/>
  <c r="S1377" i="9"/>
  <c r="U1272" i="9"/>
  <c r="U859" i="9"/>
  <c r="S859" i="9"/>
  <c r="U1305" i="9"/>
  <c r="S1305" i="9"/>
  <c r="U1448" i="9"/>
  <c r="S1448" i="9"/>
  <c r="U893" i="9"/>
  <c r="S893" i="9"/>
  <c r="U1343" i="9"/>
  <c r="S1343" i="9"/>
  <c r="S1452" i="9"/>
  <c r="U1452" i="9"/>
  <c r="S1365" i="9"/>
  <c r="U1365" i="9"/>
  <c r="U1471" i="9"/>
  <c r="S1471" i="9"/>
  <c r="U1268" i="9"/>
  <c r="S1268" i="9"/>
  <c r="U951" i="9"/>
  <c r="S951" i="9"/>
  <c r="U1482" i="9"/>
  <c r="S1482" i="9"/>
  <c r="U1387" i="9"/>
  <c r="S1387" i="9"/>
  <c r="S1346" i="9"/>
  <c r="U1346" i="9"/>
  <c r="U978" i="9"/>
  <c r="S978" i="9"/>
  <c r="T978" i="9" s="1"/>
  <c r="S1356" i="9"/>
  <c r="U1356" i="9"/>
  <c r="U958" i="9"/>
  <c r="S958" i="9"/>
  <c r="S1289" i="9"/>
  <c r="U1289" i="9"/>
  <c r="S1186" i="9"/>
  <c r="U1186" i="9"/>
  <c r="S1045" i="9"/>
  <c r="U1045" i="9"/>
  <c r="U969" i="9"/>
  <c r="S969" i="9"/>
  <c r="U868" i="9"/>
  <c r="S868" i="9"/>
  <c r="U1323" i="9"/>
  <c r="S1323" i="9"/>
  <c r="U1081" i="9"/>
  <c r="S1081" i="9"/>
  <c r="S1371" i="9"/>
  <c r="U1371" i="9"/>
  <c r="U852" i="9"/>
  <c r="S852" i="9"/>
  <c r="S910" i="9"/>
  <c r="U910" i="9"/>
  <c r="S1400" i="9"/>
  <c r="U1400" i="9"/>
  <c r="U1540" i="9"/>
  <c r="S1540" i="9"/>
  <c r="S1285" i="9"/>
  <c r="U1285" i="9"/>
  <c r="U1386" i="9"/>
  <c r="S1386" i="9"/>
  <c r="U1264" i="9"/>
  <c r="S1264" i="9"/>
  <c r="U820" i="9"/>
  <c r="S820" i="9"/>
  <c r="V820" i="9" s="1"/>
  <c r="U822" i="9"/>
  <c r="S822" i="9"/>
  <c r="S1328" i="9"/>
  <c r="U1328" i="9"/>
  <c r="U986" i="9"/>
  <c r="S986" i="9"/>
  <c r="T986" i="9" s="1"/>
  <c r="U1499" i="9"/>
  <c r="S1499" i="9"/>
  <c r="U944" i="9"/>
  <c r="S944" i="9"/>
  <c r="U1435" i="9"/>
  <c r="S1435" i="9"/>
  <c r="S827" i="9"/>
  <c r="V827" i="9" s="1"/>
  <c r="U827" i="9"/>
  <c r="S1413" i="9"/>
  <c r="U1413" i="9"/>
  <c r="S1338" i="9"/>
  <c r="U1338" i="9"/>
  <c r="U1311" i="9"/>
  <c r="S1311" i="9"/>
  <c r="U871" i="9"/>
  <c r="S871" i="9"/>
  <c r="S1360" i="9"/>
  <c r="U1360" i="9"/>
  <c r="S1056" i="9"/>
  <c r="U1056" i="9"/>
  <c r="U1478" i="9"/>
  <c r="S1478" i="9"/>
  <c r="U1542" i="9"/>
  <c r="S1542" i="9"/>
  <c r="U1177" i="9"/>
  <c r="S1177" i="9"/>
  <c r="U847" i="9"/>
  <c r="S847" i="9"/>
  <c r="U1261" i="9"/>
  <c r="S1261" i="9"/>
  <c r="S1212" i="9"/>
  <c r="U1212" i="9"/>
  <c r="U1196" i="9"/>
  <c r="S1196" i="9"/>
  <c r="U1286" i="9"/>
  <c r="S1286" i="9"/>
  <c r="S1449" i="9"/>
  <c r="U1449" i="9"/>
  <c r="S1037" i="9"/>
  <c r="U1037" i="9"/>
  <c r="S1444" i="9"/>
  <c r="U1444" i="9"/>
  <c r="U1479" i="9"/>
  <c r="S1479" i="9"/>
  <c r="U981" i="9"/>
  <c r="S981" i="9"/>
  <c r="T981" i="9" s="1"/>
  <c r="S1276" i="9"/>
  <c r="U1276" i="9"/>
  <c r="S1455" i="9"/>
  <c r="S1040" i="9"/>
  <c r="U1040" i="9"/>
  <c r="S980" i="9"/>
  <c r="T980" i="9" s="1"/>
  <c r="U980" i="9"/>
  <c r="U923" i="9"/>
  <c r="S1217" i="9"/>
  <c r="U1217" i="9"/>
  <c r="U1100" i="9"/>
  <c r="S1100" i="9"/>
  <c r="S1073" i="9"/>
  <c r="U1073" i="9"/>
  <c r="U1091" i="9"/>
  <c r="S1091" i="9"/>
  <c r="U842" i="9"/>
  <c r="S842" i="9"/>
  <c r="S1175" i="9"/>
  <c r="U1175" i="9"/>
  <c r="U1013" i="9"/>
  <c r="S1013" i="9"/>
  <c r="T1013" i="9" s="1"/>
  <c r="S934" i="9"/>
  <c r="U890" i="9"/>
  <c r="S890" i="9"/>
  <c r="S1361" i="9"/>
  <c r="U1361" i="9"/>
  <c r="S1114" i="9"/>
  <c r="U1114" i="9"/>
  <c r="U1312" i="9"/>
  <c r="S897" i="9"/>
  <c r="U897" i="9"/>
  <c r="S971" i="9"/>
  <c r="U971" i="9"/>
  <c r="U1018" i="9"/>
  <c r="U1351" i="9"/>
  <c r="S1351" i="9"/>
  <c r="S1457" i="9"/>
  <c r="U1457" i="9"/>
  <c r="S1082" i="9"/>
  <c r="U1082" i="9"/>
  <c r="T1358" i="9"/>
  <c r="U900" i="9"/>
  <c r="S900" i="9"/>
  <c r="U1124" i="9"/>
  <c r="S1124" i="9"/>
  <c r="U1414" i="9"/>
  <c r="S1414" i="9"/>
  <c r="U1480" i="9"/>
  <c r="S1480" i="9"/>
  <c r="S1154" i="9"/>
  <c r="U1154" i="9"/>
  <c r="S1033" i="9"/>
  <c r="T1033" i="9" s="1"/>
  <c r="U1033" i="9"/>
  <c r="S1288" i="9"/>
  <c r="U1288" i="9"/>
  <c r="U1492" i="9"/>
  <c r="S1492" i="9"/>
  <c r="U1275" i="9"/>
  <c r="S1275" i="9"/>
  <c r="S1352" i="9"/>
  <c r="U1031" i="9"/>
  <c r="S1031" i="9"/>
  <c r="T1031" i="9" s="1"/>
  <c r="U1195" i="9"/>
  <c r="U1007" i="9"/>
  <c r="U1265" i="9"/>
  <c r="U1294" i="9"/>
  <c r="S1297" i="9"/>
  <c r="U1297" i="9"/>
  <c r="S1468" i="9"/>
  <c r="U1468" i="9"/>
  <c r="T1408" i="9"/>
  <c r="T1178" i="9"/>
  <c r="V1403" i="9"/>
  <c r="T1403" i="9"/>
  <c r="T1396" i="9"/>
  <c r="V1396" i="9"/>
  <c r="U1008" i="9"/>
  <c r="S1008" i="9"/>
  <c r="T1008" i="9" s="1"/>
  <c r="U1088" i="9"/>
  <c r="S1088" i="9"/>
  <c r="U1142" i="9"/>
  <c r="S1142" i="9"/>
  <c r="S921" i="9"/>
  <c r="U921" i="9"/>
  <c r="U1011" i="9"/>
  <c r="S1011" i="9"/>
  <c r="T1011" i="9" s="1"/>
  <c r="U1460" i="9"/>
  <c r="S1460" i="9"/>
  <c r="S1462" i="9"/>
  <c r="U1462" i="9"/>
  <c r="S1023" i="9"/>
  <c r="T1023" i="9" s="1"/>
  <c r="U1023" i="9"/>
  <c r="S1022" i="9"/>
  <c r="T1022" i="9" s="1"/>
  <c r="U1022" i="9"/>
  <c r="U1514" i="9"/>
  <c r="S1514" i="9"/>
  <c r="S1162" i="9"/>
  <c r="U1162" i="9"/>
  <c r="S1256" i="9"/>
  <c r="U1256" i="9"/>
  <c r="S1110" i="9"/>
  <c r="U796" i="9"/>
  <c r="S796" i="9"/>
  <c r="S1133" i="9"/>
  <c r="S869" i="9"/>
  <c r="U869" i="9"/>
  <c r="S1235" i="9"/>
  <c r="U1236" i="9"/>
  <c r="S1236" i="9"/>
  <c r="U1219" i="9"/>
  <c r="S1219" i="9"/>
  <c r="U1399" i="9"/>
  <c r="S976" i="9"/>
  <c r="T976" i="9" s="1"/>
  <c r="V1391" i="9"/>
  <c r="T1391" i="9"/>
  <c r="S990" i="9"/>
  <c r="T990" i="9" s="1"/>
  <c r="U990" i="9"/>
  <c r="S1507" i="9"/>
  <c r="U1507" i="9"/>
  <c r="U1182" i="9"/>
  <c r="S1515" i="9"/>
  <c r="S1416" i="9"/>
  <c r="U1416" i="9"/>
  <c r="S916" i="9"/>
  <c r="S1132" i="9"/>
  <c r="U1132" i="9"/>
  <c r="S1436" i="9"/>
  <c r="U1436" i="9"/>
  <c r="U1063" i="9"/>
  <c r="S1063" i="9"/>
  <c r="S839" i="9"/>
  <c r="V839" i="9" s="1"/>
  <c r="S1404" i="9"/>
  <c r="U1404" i="9"/>
  <c r="U1176" i="9"/>
  <c r="S1036" i="9"/>
  <c r="S1174" i="9"/>
  <c r="S927" i="9"/>
  <c r="U927" i="9"/>
  <c r="S853" i="9"/>
  <c r="U853" i="9"/>
  <c r="S875" i="9"/>
  <c r="S982" i="9"/>
  <c r="T982" i="9" s="1"/>
  <c r="U982" i="9"/>
  <c r="S1093" i="9"/>
  <c r="U1093" i="9"/>
  <c r="S1431" i="9"/>
  <c r="T1415" i="9"/>
  <c r="V1415" i="9"/>
  <c r="T1204" i="9"/>
  <c r="V1191" i="9"/>
  <c r="V1210" i="9"/>
  <c r="T1210" i="9"/>
  <c r="T1379" i="9"/>
  <c r="V1379" i="9"/>
  <c r="T1390" i="9"/>
  <c r="T1406" i="9"/>
  <c r="V1406" i="9"/>
  <c r="F76" i="42"/>
  <c r="D77" i="42"/>
  <c r="C77" i="42"/>
  <c r="E78" i="42"/>
  <c r="A79" i="42"/>
  <c r="B78" i="42"/>
  <c r="T1228" i="9"/>
  <c r="V843" i="9"/>
  <c r="G55" i="8"/>
  <c r="L1109" i="9"/>
  <c r="K949" i="9"/>
  <c r="P812" i="9"/>
  <c r="L1211" i="9"/>
  <c r="O797" i="9"/>
  <c r="L1306" i="9"/>
  <c r="K1080" i="9"/>
  <c r="K1057" i="9"/>
  <c r="O1458" i="9"/>
  <c r="L1395" i="9"/>
  <c r="K960" i="9"/>
  <c r="K1372" i="9"/>
  <c r="L963" i="9"/>
  <c r="O1371" i="9"/>
  <c r="P1527" i="9"/>
  <c r="K1004" i="9"/>
  <c r="K999" i="9"/>
  <c r="L1397" i="9"/>
  <c r="M1375" i="9"/>
  <c r="O898" i="9"/>
  <c r="K1029" i="9"/>
  <c r="O1382" i="9"/>
  <c r="M1121" i="9"/>
  <c r="M949" i="9"/>
  <c r="Q1204" i="9"/>
  <c r="L1475" i="9"/>
  <c r="L1171" i="9"/>
  <c r="O1245" i="9"/>
  <c r="M1487" i="9"/>
  <c r="O1244" i="9"/>
  <c r="L903" i="9"/>
  <c r="P1176" i="9"/>
  <c r="M1340" i="9"/>
  <c r="I777" i="9"/>
  <c r="P1174" i="9"/>
  <c r="Q1359" i="9"/>
  <c r="I1488" i="9"/>
  <c r="M1139" i="9"/>
  <c r="O1189" i="9"/>
  <c r="O1400" i="9"/>
  <c r="M1519" i="9"/>
  <c r="P892" i="9"/>
  <c r="L1084" i="9"/>
  <c r="I786" i="9"/>
  <c r="P1358" i="9"/>
  <c r="I1062" i="9"/>
  <c r="M914" i="9"/>
  <c r="M1537" i="9"/>
  <c r="I1118" i="9"/>
  <c r="M1041" i="9"/>
  <c r="I1417" i="9"/>
  <c r="M1451" i="9"/>
  <c r="I1058" i="9"/>
  <c r="M1163" i="9"/>
  <c r="M1227" i="9"/>
  <c r="Q1285" i="9"/>
  <c r="M1528" i="9"/>
  <c r="M1243" i="9"/>
  <c r="I1167" i="9"/>
  <c r="I819" i="9"/>
  <c r="Q1431" i="9"/>
  <c r="K1270" i="9"/>
  <c r="P1204" i="9"/>
  <c r="K1298" i="9"/>
  <c r="K1074" i="9"/>
  <c r="L1508" i="9"/>
  <c r="L1355" i="9"/>
  <c r="O1279" i="9"/>
  <c r="O785" i="9"/>
  <c r="O902" i="9"/>
  <c r="K905" i="9"/>
  <c r="P1510" i="9"/>
  <c r="L983" i="9"/>
  <c r="L919" i="9"/>
  <c r="O1461" i="9"/>
  <c r="K1203" i="9"/>
  <c r="L1537" i="9"/>
  <c r="K849" i="9"/>
  <c r="Q836" i="9"/>
  <c r="K1407" i="9"/>
  <c r="K1544" i="9"/>
  <c r="P1240" i="9"/>
  <c r="Q924" i="9"/>
  <c r="K1052" i="9"/>
  <c r="L1055" i="9"/>
  <c r="K1030" i="9"/>
  <c r="Q1444" i="9"/>
  <c r="M1074" i="9"/>
  <c r="L1445" i="9"/>
  <c r="P1192" i="9"/>
  <c r="P811" i="9"/>
  <c r="K791" i="9"/>
  <c r="K865" i="9"/>
  <c r="P1515" i="9"/>
  <c r="M785" i="9"/>
  <c r="M1385" i="9"/>
  <c r="I1193" i="9"/>
  <c r="I1257" i="9"/>
  <c r="I1467" i="9"/>
  <c r="M1384" i="9"/>
  <c r="M1161" i="9"/>
  <c r="Q925" i="9"/>
  <c r="I1107" i="9"/>
  <c r="I1422" i="9"/>
  <c r="P1339" i="9"/>
  <c r="Q1364" i="9"/>
  <c r="M793" i="9"/>
  <c r="I1483" i="9"/>
  <c r="M880" i="9"/>
  <c r="Q1174" i="9"/>
  <c r="Q1390" i="9"/>
  <c r="P1412" i="9"/>
  <c r="L1035" i="9"/>
  <c r="K907" i="9"/>
  <c r="P1209" i="9"/>
  <c r="P1540" i="9"/>
  <c r="K1086" i="9"/>
  <c r="P1201" i="9"/>
  <c r="P1426" i="9"/>
  <c r="K1368" i="9"/>
  <c r="Q1542" i="9"/>
  <c r="M1393" i="9"/>
  <c r="L1310" i="9"/>
  <c r="M1298" i="9"/>
  <c r="I1293" i="9"/>
  <c r="P1242" i="9"/>
  <c r="K823" i="9"/>
  <c r="L928" i="9"/>
  <c r="M1160" i="9"/>
  <c r="M1461" i="9"/>
  <c r="M929" i="9"/>
  <c r="M1242" i="9"/>
  <c r="I1326" i="9"/>
  <c r="Q816" i="9"/>
  <c r="Q1200" i="9"/>
  <c r="M1263" i="9"/>
  <c r="Q1441" i="9"/>
  <c r="M1113" i="9"/>
  <c r="M1143" i="9"/>
  <c r="Q962" i="9"/>
  <c r="Q860" i="9"/>
  <c r="K836" i="9"/>
  <c r="O868" i="9"/>
  <c r="O970" i="9"/>
  <c r="L1531" i="9"/>
  <c r="L1158" i="9"/>
  <c r="O1329" i="9"/>
  <c r="L946" i="9"/>
  <c r="L870" i="9"/>
  <c r="L1027" i="9"/>
  <c r="L1333" i="9"/>
  <c r="P911" i="9"/>
  <c r="O954" i="9"/>
  <c r="O966" i="9"/>
  <c r="O912" i="9"/>
  <c r="O1348" i="9"/>
  <c r="K1078" i="9"/>
  <c r="P1524" i="9"/>
  <c r="L1102" i="9"/>
  <c r="L1156" i="9"/>
  <c r="K778" i="9"/>
  <c r="M1333" i="9"/>
  <c r="K803" i="9"/>
  <c r="L1161" i="9"/>
  <c r="Q1522" i="9"/>
  <c r="O940" i="9"/>
  <c r="I1421" i="9"/>
  <c r="L1220" i="9"/>
  <c r="K834" i="9"/>
  <c r="L1138" i="9"/>
  <c r="L867" i="9"/>
  <c r="Q782" i="9"/>
  <c r="M1411" i="9"/>
  <c r="P935" i="9"/>
  <c r="M1179" i="9"/>
  <c r="Q944" i="9"/>
  <c r="I1420" i="9"/>
  <c r="L1385" i="9"/>
  <c r="O929" i="9"/>
  <c r="K1430" i="9"/>
  <c r="M1300" i="9"/>
  <c r="L1509" i="9"/>
  <c r="L816" i="9"/>
  <c r="M1459" i="9"/>
  <c r="M801" i="9"/>
  <c r="I1015" i="9"/>
  <c r="M1060" i="9"/>
  <c r="M1006" i="9"/>
  <c r="M854" i="9"/>
  <c r="I901" i="9"/>
  <c r="M1092" i="9"/>
  <c r="Q1308" i="9"/>
  <c r="M1051" i="9"/>
  <c r="M1303" i="9"/>
  <c r="I1405" i="9"/>
  <c r="I1336" i="9"/>
  <c r="M1137" i="9"/>
  <c r="I1130" i="9"/>
  <c r="I1229" i="9"/>
  <c r="Q1321" i="9"/>
  <c r="I1199" i="9"/>
  <c r="Q863" i="9"/>
  <c r="I1079" i="9"/>
  <c r="I1529" i="9"/>
  <c r="K987" i="9"/>
  <c r="O1287" i="9"/>
  <c r="L908" i="9"/>
  <c r="L1184" i="9"/>
  <c r="K1324" i="9"/>
  <c r="O1346" i="9"/>
  <c r="L1152" i="9"/>
  <c r="L850" i="9"/>
  <c r="L854" i="9"/>
  <c r="K1418" i="9"/>
  <c r="L1318" i="9"/>
  <c r="Q971" i="9"/>
  <c r="Q1382" i="9"/>
  <c r="L1451" i="9"/>
  <c r="O1448" i="9"/>
  <c r="K830" i="9"/>
  <c r="K838" i="9"/>
  <c r="M806" i="9"/>
  <c r="O1433" i="9"/>
  <c r="K1149" i="9"/>
  <c r="K1258" i="9"/>
  <c r="P781" i="9"/>
  <c r="Q1518" i="9"/>
  <c r="M1290" i="9"/>
  <c r="M1123" i="9"/>
  <c r="M966" i="9"/>
  <c r="M1180" i="9"/>
  <c r="I1437" i="9"/>
  <c r="L777" i="9"/>
  <c r="P777" i="9"/>
  <c r="K777" i="9"/>
  <c r="O777" i="9"/>
  <c r="O1488" i="9"/>
  <c r="K1488" i="9"/>
  <c r="L1488" i="9"/>
  <c r="P1488" i="9"/>
  <c r="L786" i="9"/>
  <c r="O786" i="9"/>
  <c r="K786" i="9"/>
  <c r="P786" i="9"/>
  <c r="L1062" i="9"/>
  <c r="K1062" i="9"/>
  <c r="L1118" i="9"/>
  <c r="K1118" i="9"/>
  <c r="O1417" i="9"/>
  <c r="K1417" i="9"/>
  <c r="P1417" i="9"/>
  <c r="L1417" i="9"/>
  <c r="K1058" i="9"/>
  <c r="L1058" i="9"/>
  <c r="O1167" i="9"/>
  <c r="P1167" i="9"/>
  <c r="L1167" i="9"/>
  <c r="K1167" i="9"/>
  <c r="K819" i="9"/>
  <c r="P819" i="9"/>
  <c r="O819" i="9"/>
  <c r="L819" i="9"/>
  <c r="L1193" i="9"/>
  <c r="K1193" i="9"/>
  <c r="P1193" i="9"/>
  <c r="O1193" i="9"/>
  <c r="K1257" i="9"/>
  <c r="L1257" i="9"/>
  <c r="O1257" i="9"/>
  <c r="P1257" i="9"/>
  <c r="P1467" i="9"/>
  <c r="L1467" i="9"/>
  <c r="O1467" i="9"/>
  <c r="K1467" i="9"/>
  <c r="L1107" i="9"/>
  <c r="K1107" i="9"/>
  <c r="P1422" i="9"/>
  <c r="O1422" i="9"/>
  <c r="L1422" i="9"/>
  <c r="K1422" i="9"/>
  <c r="K1483" i="9"/>
  <c r="L1483" i="9"/>
  <c r="O1483" i="9"/>
  <c r="P1483" i="9"/>
  <c r="L1293" i="9"/>
  <c r="O1293" i="9"/>
  <c r="K1293" i="9"/>
  <c r="P1293" i="9"/>
  <c r="P1326" i="9"/>
  <c r="O1326" i="9"/>
  <c r="K1326" i="9"/>
  <c r="L1326" i="9"/>
  <c r="P1421" i="9"/>
  <c r="K1421" i="9"/>
  <c r="L1421" i="9"/>
  <c r="O1421" i="9"/>
  <c r="L1420" i="9"/>
  <c r="P1420" i="9"/>
  <c r="O1420" i="9"/>
  <c r="K1420" i="9"/>
  <c r="K1015" i="9"/>
  <c r="L1015" i="9"/>
  <c r="O901" i="9"/>
  <c r="L901" i="9"/>
  <c r="P901" i="9"/>
  <c r="K901" i="9"/>
  <c r="O1405" i="9"/>
  <c r="K1405" i="9"/>
  <c r="P1405" i="9"/>
  <c r="L1405" i="9"/>
  <c r="O1336" i="9"/>
  <c r="L1336" i="9"/>
  <c r="P1336" i="9"/>
  <c r="K1336" i="9"/>
  <c r="K1130" i="9"/>
  <c r="L1130" i="9"/>
  <c r="P1229" i="9"/>
  <c r="O1229" i="9"/>
  <c r="L1229" i="9"/>
  <c r="K1229" i="9"/>
  <c r="L1199" i="9"/>
  <c r="O1199" i="9"/>
  <c r="P1199" i="9"/>
  <c r="K1199" i="9"/>
  <c r="K1079" i="9"/>
  <c r="L1079" i="9"/>
  <c r="P1529" i="9"/>
  <c r="K1529" i="9"/>
  <c r="L1529" i="9"/>
  <c r="O1529" i="9"/>
  <c r="L1437" i="9"/>
  <c r="P1437" i="9"/>
  <c r="O1437" i="9"/>
  <c r="K1437" i="9"/>
  <c r="R1437" i="9" l="1"/>
  <c r="N1437" i="9"/>
  <c r="N1529" i="9"/>
  <c r="R1529" i="9"/>
  <c r="N1079" i="9"/>
  <c r="R1199" i="9"/>
  <c r="N1199" i="9"/>
  <c r="N1229" i="9"/>
  <c r="R1229" i="9"/>
  <c r="N1130" i="9"/>
  <c r="R1336" i="9"/>
  <c r="N1336" i="9"/>
  <c r="N1405" i="9"/>
  <c r="R1405" i="9"/>
  <c r="R901" i="9"/>
  <c r="N901" i="9"/>
  <c r="N1015" i="9"/>
  <c r="R1420" i="9"/>
  <c r="N1420" i="9"/>
  <c r="N1421" i="9"/>
  <c r="R1421" i="9"/>
  <c r="N1326" i="9"/>
  <c r="R1326" i="9"/>
  <c r="R1293" i="9"/>
  <c r="N1293" i="9"/>
  <c r="R1483" i="9"/>
  <c r="N1483" i="9"/>
  <c r="N1422" i="9"/>
  <c r="R1422" i="9"/>
  <c r="N1107" i="9"/>
  <c r="N1467" i="9"/>
  <c r="R1467" i="9"/>
  <c r="R1257" i="9"/>
  <c r="N1257" i="9"/>
  <c r="R1193" i="9"/>
  <c r="N1193" i="9"/>
  <c r="N819" i="9"/>
  <c r="R819" i="9"/>
  <c r="N1167" i="9"/>
  <c r="R1167" i="9"/>
  <c r="N1058" i="9"/>
  <c r="N1417" i="9"/>
  <c r="R1417" i="9"/>
  <c r="N1118" i="9"/>
  <c r="N1062" i="9"/>
  <c r="R786" i="9"/>
  <c r="N786" i="9"/>
  <c r="R1488" i="9"/>
  <c r="N1488" i="9"/>
  <c r="R777" i="9"/>
  <c r="N777" i="9"/>
  <c r="N1180" i="9"/>
  <c r="N966" i="9"/>
  <c r="N1123" i="9"/>
  <c r="N1290" i="9"/>
  <c r="R1518" i="9"/>
  <c r="R781" i="9"/>
  <c r="N1258" i="9"/>
  <c r="N1149" i="9"/>
  <c r="R1433" i="9"/>
  <c r="N806" i="9"/>
  <c r="N838" i="9"/>
  <c r="N830" i="9"/>
  <c r="R1448" i="9"/>
  <c r="R1382" i="9"/>
  <c r="R971" i="9"/>
  <c r="N1318" i="9"/>
  <c r="N1418" i="9"/>
  <c r="N850" i="9"/>
  <c r="N1152" i="9"/>
  <c r="R1346" i="9"/>
  <c r="N1324" i="9"/>
  <c r="N1184" i="9"/>
  <c r="N908" i="9"/>
  <c r="R1287" i="9"/>
  <c r="N987" i="9"/>
  <c r="R863" i="9"/>
  <c r="R1321" i="9"/>
  <c r="N1137" i="9"/>
  <c r="N1303" i="9"/>
  <c r="N1051" i="9"/>
  <c r="R1308" i="9"/>
  <c r="N1092" i="9"/>
  <c r="N854" i="9"/>
  <c r="N1006" i="9"/>
  <c r="N1060" i="9"/>
  <c r="N801" i="9"/>
  <c r="N1459" i="9"/>
  <c r="N816" i="9"/>
  <c r="N1509" i="9"/>
  <c r="N1300" i="9"/>
  <c r="N1430" i="9"/>
  <c r="R929" i="9"/>
  <c r="R944" i="9"/>
  <c r="N1179" i="9"/>
  <c r="R935" i="9"/>
  <c r="N1411" i="9"/>
  <c r="R782" i="9"/>
  <c r="N867" i="9"/>
  <c r="N1138" i="9"/>
  <c r="N834" i="9"/>
  <c r="N1220" i="9"/>
  <c r="R940" i="9"/>
  <c r="R1522" i="9"/>
  <c r="N803" i="9"/>
  <c r="N1333" i="9"/>
  <c r="N778" i="9"/>
  <c r="N1156" i="9"/>
  <c r="N1102" i="9"/>
  <c r="R1524" i="9"/>
  <c r="N1078" i="9"/>
  <c r="R1348" i="9"/>
  <c r="R912" i="9"/>
  <c r="R966" i="9"/>
  <c r="R954" i="9"/>
  <c r="R911" i="9"/>
  <c r="N1027" i="9"/>
  <c r="N870" i="9"/>
  <c r="N946" i="9"/>
  <c r="R1329" i="9"/>
  <c r="N1158" i="9"/>
  <c r="N1531" i="9"/>
  <c r="R970" i="9"/>
  <c r="R868" i="9"/>
  <c r="N836" i="9"/>
  <c r="R860" i="9"/>
  <c r="R962" i="9"/>
  <c r="N1143" i="9"/>
  <c r="N1113" i="9"/>
  <c r="R1441" i="9"/>
  <c r="N1263" i="9"/>
  <c r="R1200" i="9"/>
  <c r="R816" i="9"/>
  <c r="N1242" i="9"/>
  <c r="N929" i="9"/>
  <c r="N1461" i="9"/>
  <c r="N1160" i="9"/>
  <c r="N928" i="9"/>
  <c r="N823" i="9"/>
  <c r="R1242" i="9"/>
  <c r="N1298" i="9"/>
  <c r="N1310" i="9"/>
  <c r="N1393" i="9"/>
  <c r="R1542" i="9"/>
  <c r="N1368" i="9"/>
  <c r="R1426" i="9"/>
  <c r="R1201" i="9"/>
  <c r="N1086" i="9"/>
  <c r="R1540" i="9"/>
  <c r="R1209" i="9"/>
  <c r="N907" i="9"/>
  <c r="N1035" i="9"/>
  <c r="R1412" i="9"/>
  <c r="V1412" i="9" s="1"/>
  <c r="R1390" i="9"/>
  <c r="V1390" i="9" s="1"/>
  <c r="R1174" i="9"/>
  <c r="N880" i="9"/>
  <c r="N793" i="9"/>
  <c r="R1364" i="9"/>
  <c r="R1339" i="9"/>
  <c r="R925" i="9"/>
  <c r="N1161" i="9"/>
  <c r="N1384" i="9"/>
  <c r="N1385" i="9"/>
  <c r="N785" i="9"/>
  <c r="R1515" i="9"/>
  <c r="N865" i="9"/>
  <c r="N791" i="9"/>
  <c r="R811" i="9"/>
  <c r="V811" i="9" s="1"/>
  <c r="R1192" i="9"/>
  <c r="N1445" i="9"/>
  <c r="N1074" i="9"/>
  <c r="R1444" i="9"/>
  <c r="N1030" i="9"/>
  <c r="N1055" i="9"/>
  <c r="N1052" i="9"/>
  <c r="R924" i="9"/>
  <c r="R1240" i="9"/>
  <c r="N1544" i="9"/>
  <c r="N1407" i="9"/>
  <c r="R836" i="9"/>
  <c r="N849" i="9"/>
  <c r="N1203" i="9"/>
  <c r="R1461" i="9"/>
  <c r="N919" i="9"/>
  <c r="N983" i="9"/>
  <c r="R1510" i="9"/>
  <c r="N905" i="9"/>
  <c r="R902" i="9"/>
  <c r="R785" i="9"/>
  <c r="R1279" i="9"/>
  <c r="N1355" i="9"/>
  <c r="N1508" i="9"/>
  <c r="N1270" i="9"/>
  <c r="R1431" i="9"/>
  <c r="N1243" i="9"/>
  <c r="N1528" i="9"/>
  <c r="R1285" i="9"/>
  <c r="N1227" i="9"/>
  <c r="N1163" i="9"/>
  <c r="N1451" i="9"/>
  <c r="N1041" i="9"/>
  <c r="N1537" i="9"/>
  <c r="N914" i="9"/>
  <c r="R1358" i="9"/>
  <c r="N1084" i="9"/>
  <c r="R892" i="9"/>
  <c r="N1519" i="9"/>
  <c r="R1400" i="9"/>
  <c r="R1189" i="9"/>
  <c r="V1189" i="9" s="1"/>
  <c r="N1139" i="9"/>
  <c r="R1359" i="9"/>
  <c r="N1340" i="9"/>
  <c r="R1176" i="9"/>
  <c r="N903" i="9"/>
  <c r="R1244" i="9"/>
  <c r="N1487" i="9"/>
  <c r="R1245" i="9"/>
  <c r="N1171" i="9"/>
  <c r="N1475" i="9"/>
  <c r="R1204" i="9"/>
  <c r="V1204" i="9" s="1"/>
  <c r="N949" i="9"/>
  <c r="N1121" i="9"/>
  <c r="N1029" i="9"/>
  <c r="R898" i="9"/>
  <c r="N1375" i="9"/>
  <c r="N1397" i="9"/>
  <c r="N999" i="9"/>
  <c r="N1004" i="9"/>
  <c r="R1527" i="9"/>
  <c r="R1371" i="9"/>
  <c r="N963" i="9"/>
  <c r="N1372" i="9"/>
  <c r="N960" i="9"/>
  <c r="N1395" i="9"/>
  <c r="R1458" i="9"/>
  <c r="N1057" i="9"/>
  <c r="N1080" i="9"/>
  <c r="N1306" i="9"/>
  <c r="R797" i="9"/>
  <c r="N1211" i="9"/>
  <c r="R812" i="9"/>
  <c r="N1109" i="9"/>
  <c r="S1253" i="9"/>
  <c r="U1253" i="9"/>
  <c r="U1014" i="9"/>
  <c r="S1014" i="9"/>
  <c r="T1014" i="9" s="1"/>
  <c r="U1321" i="9"/>
  <c r="S1321" i="9"/>
  <c r="S1292" i="9"/>
  <c r="U1292" i="9"/>
  <c r="S1028" i="9"/>
  <c r="T1028" i="9" s="1"/>
  <c r="U1028" i="9"/>
  <c r="U1295" i="9"/>
  <c r="S1295" i="9"/>
  <c r="S1382" i="9"/>
  <c r="T1382" i="9" s="1"/>
  <c r="U1382" i="9"/>
  <c r="U1129" i="9"/>
  <c r="U1066" i="9"/>
  <c r="U1535" i="9"/>
  <c r="U1373" i="9"/>
  <c r="U1042" i="9"/>
  <c r="U1470" i="9"/>
  <c r="U1485" i="9"/>
  <c r="V822" i="9"/>
  <c r="S802" i="9"/>
  <c r="S938" i="9"/>
  <c r="S858" i="9"/>
  <c r="S788" i="9"/>
  <c r="S798" i="9"/>
  <c r="V798" i="9" s="1"/>
  <c r="U1443" i="9"/>
  <c r="U1409" i="9"/>
  <c r="U904" i="9"/>
  <c r="S1369" i="9"/>
  <c r="U1291" i="9"/>
  <c r="S795" i="9"/>
  <c r="V795" i="9" s="1"/>
  <c r="U1426" i="9"/>
  <c r="S925" i="9"/>
  <c r="S1094" i="9"/>
  <c r="S1316" i="9"/>
  <c r="S1370" i="9"/>
  <c r="U1185" i="9"/>
  <c r="U1226" i="9"/>
  <c r="U1148" i="9"/>
  <c r="U837" i="9"/>
  <c r="S1065" i="9"/>
  <c r="U1309" i="9"/>
  <c r="U1526" i="9"/>
  <c r="U1224" i="9"/>
  <c r="U1401" i="9"/>
  <c r="S1522" i="9"/>
  <c r="U1392" i="9"/>
  <c r="U1096" i="9"/>
  <c r="S879" i="9"/>
  <c r="S1388" i="9"/>
  <c r="T1388" i="9" s="1"/>
  <c r="S952" i="9"/>
  <c r="S964" i="9"/>
  <c r="S1157" i="9"/>
  <c r="U935" i="9"/>
  <c r="S1469" i="9"/>
  <c r="S913" i="9"/>
  <c r="U1222" i="9"/>
  <c r="V807" i="9"/>
  <c r="U1442" i="9"/>
  <c r="U1116" i="9"/>
  <c r="S1115" i="9"/>
  <c r="V1358" i="9"/>
  <c r="U1339" i="9"/>
  <c r="U1117" i="9"/>
  <c r="S1218" i="9"/>
  <c r="T1218" i="9" s="1"/>
  <c r="S1500" i="9"/>
  <c r="S1151" i="9"/>
  <c r="S1061" i="9"/>
  <c r="S1048" i="9"/>
  <c r="S1425" i="9"/>
  <c r="S808" i="9"/>
  <c r="U1105" i="9"/>
  <c r="U1153" i="9"/>
  <c r="S1000" i="9"/>
  <c r="T1000" i="9" s="1"/>
  <c r="S1454" i="9"/>
  <c r="S1308" i="9"/>
  <c r="U1308" i="9"/>
  <c r="U817" i="9"/>
  <c r="S817" i="9"/>
  <c r="V817" i="9" s="1"/>
  <c r="S911" i="9"/>
  <c r="U911" i="9"/>
  <c r="U898" i="9"/>
  <c r="S898" i="9"/>
  <c r="S896" i="9"/>
  <c r="U896" i="9"/>
  <c r="S1254" i="9"/>
  <c r="U1254" i="9"/>
  <c r="S1433" i="9"/>
  <c r="U1433" i="9"/>
  <c r="U1206" i="9"/>
  <c r="S1206" i="9"/>
  <c r="U1172" i="9"/>
  <c r="S1172" i="9"/>
  <c r="U1077" i="9"/>
  <c r="S1077" i="9"/>
  <c r="U846" i="9"/>
  <c r="S846" i="9"/>
  <c r="U1244" i="9"/>
  <c r="S1244" i="9"/>
  <c r="U884" i="9"/>
  <c r="S884" i="9"/>
  <c r="S825" i="9"/>
  <c r="U825" i="9"/>
  <c r="S783" i="9"/>
  <c r="V783" i="9" s="1"/>
  <c r="U783" i="9"/>
  <c r="S1484" i="9"/>
  <c r="U1484" i="9"/>
  <c r="V796" i="9"/>
  <c r="V781" i="9"/>
  <c r="U1307" i="9"/>
  <c r="U872" i="9"/>
  <c r="U1054" i="9"/>
  <c r="U1363" i="9"/>
  <c r="S1198" i="9"/>
  <c r="V1198" i="9" s="1"/>
  <c r="S1374" i="9"/>
  <c r="T1374" i="9" s="1"/>
  <c r="U1119" i="9"/>
  <c r="S1506" i="9"/>
  <c r="S1337" i="9"/>
  <c r="V797" i="9"/>
  <c r="S1221" i="9"/>
  <c r="V1221" i="9" s="1"/>
  <c r="S1476" i="9"/>
  <c r="S993" i="9"/>
  <c r="T993" i="9" s="1"/>
  <c r="S1320" i="9"/>
  <c r="S1277" i="9"/>
  <c r="S876" i="9"/>
  <c r="S1024" i="9"/>
  <c r="T1024" i="9" s="1"/>
  <c r="U888" i="9"/>
  <c r="S1260" i="9"/>
  <c r="S1490" i="9"/>
  <c r="U1490" i="9"/>
  <c r="U1192" i="9"/>
  <c r="S1192" i="9"/>
  <c r="T1192" i="9" s="1"/>
  <c r="U997" i="9"/>
  <c r="S997" i="9"/>
  <c r="T997" i="9" s="1"/>
  <c r="U1043" i="9"/>
  <c r="S1043" i="9"/>
  <c r="S882" i="9"/>
  <c r="U882" i="9"/>
  <c r="S810" i="9"/>
  <c r="V810" i="9" s="1"/>
  <c r="U810" i="9"/>
  <c r="U1232" i="9"/>
  <c r="S1232" i="9"/>
  <c r="U1207" i="9"/>
  <c r="S1207" i="9"/>
  <c r="S1075" i="9"/>
  <c r="U1075" i="9"/>
  <c r="U933" i="9"/>
  <c r="S933" i="9"/>
  <c r="U994" i="9"/>
  <c r="S994" i="9"/>
  <c r="T994" i="9" s="1"/>
  <c r="V812" i="9"/>
  <c r="V825" i="9"/>
  <c r="S1456" i="9"/>
  <c r="S1200" i="9"/>
  <c r="T1200" i="9" s="1"/>
  <c r="V782" i="9"/>
  <c r="S1334" i="9"/>
  <c r="U1019" i="9"/>
  <c r="U1187" i="9"/>
  <c r="S1187" i="9"/>
  <c r="U1208" i="9"/>
  <c r="S1208" i="9"/>
  <c r="U1394" i="9"/>
  <c r="S1394" i="9"/>
  <c r="U1362" i="9"/>
  <c r="S1362" i="9"/>
  <c r="U1083" i="9"/>
  <c r="S1083" i="9"/>
  <c r="S864" i="9"/>
  <c r="U864" i="9"/>
  <c r="U889" i="9"/>
  <c r="S889" i="9"/>
  <c r="U917" i="9"/>
  <c r="S917" i="9"/>
  <c r="S799" i="9"/>
  <c r="V799" i="9" s="1"/>
  <c r="U799" i="9"/>
  <c r="V802" i="9"/>
  <c r="T1198" i="9"/>
  <c r="V808" i="9"/>
  <c r="V1209" i="9"/>
  <c r="V1169" i="9"/>
  <c r="S1495" i="9"/>
  <c r="T1221" i="9"/>
  <c r="S1536" i="9"/>
  <c r="S1044" i="9"/>
  <c r="V1218" i="9"/>
  <c r="S954" i="9"/>
  <c r="V784" i="9"/>
  <c r="V788" i="9"/>
  <c r="V1374" i="9"/>
  <c r="V842" i="9"/>
  <c r="V831" i="9"/>
  <c r="V1402" i="9"/>
  <c r="V1177" i="9"/>
  <c r="T1177" i="9"/>
  <c r="V1356" i="9"/>
  <c r="T1356" i="9"/>
  <c r="T1223" i="9"/>
  <c r="V1223" i="9"/>
  <c r="T1197" i="9"/>
  <c r="V1197" i="9"/>
  <c r="V1419" i="9"/>
  <c r="T1419" i="9"/>
  <c r="T1216" i="9"/>
  <c r="V1216" i="9"/>
  <c r="T1202" i="9"/>
  <c r="V1202" i="9"/>
  <c r="U1032" i="9"/>
  <c r="S1032" i="9"/>
  <c r="T1032" i="9" s="1"/>
  <c r="U1354" i="9"/>
  <c r="S1354" i="9"/>
  <c r="U1344" i="9"/>
  <c r="S1344" i="9"/>
  <c r="S1039" i="9"/>
  <c r="U1039" i="9"/>
  <c r="S1423" i="9"/>
  <c r="U1423" i="9"/>
  <c r="S1310" i="9"/>
  <c r="U1310" i="9"/>
  <c r="U915" i="9"/>
  <c r="S915" i="9"/>
  <c r="S1450" i="9"/>
  <c r="U1450" i="9"/>
  <c r="U826" i="9"/>
  <c r="S826" i="9"/>
  <c r="V826" i="9" s="1"/>
  <c r="S1489" i="9"/>
  <c r="U1489" i="9"/>
  <c r="S1325" i="9"/>
  <c r="U1325" i="9"/>
  <c r="U972" i="9"/>
  <c r="S972" i="9"/>
  <c r="S975" i="9"/>
  <c r="U975" i="9"/>
  <c r="U1181" i="9"/>
  <c r="S1181" i="9"/>
  <c r="S1481" i="9"/>
  <c r="U1481" i="9"/>
  <c r="S1341" i="9"/>
  <c r="U1341" i="9"/>
  <c r="S1126" i="9"/>
  <c r="U1126" i="9"/>
  <c r="U1241" i="9"/>
  <c r="S1241" i="9"/>
  <c r="U863" i="9"/>
  <c r="S863" i="9"/>
  <c r="S906" i="9"/>
  <c r="U906" i="9"/>
  <c r="S926" i="9"/>
  <c r="U926" i="9"/>
  <c r="S800" i="9"/>
  <c r="V800" i="9" s="1"/>
  <c r="U800" i="9"/>
  <c r="U1128" i="9"/>
  <c r="S1128" i="9"/>
  <c r="U1389" i="9"/>
  <c r="S1389" i="9"/>
  <c r="U821" i="9"/>
  <c r="S821" i="9"/>
  <c r="V821" i="9" s="1"/>
  <c r="S1327" i="9"/>
  <c r="U1327" i="9"/>
  <c r="S1532" i="9"/>
  <c r="U1532" i="9"/>
  <c r="S1165" i="9"/>
  <c r="T1165" i="9" s="1"/>
  <c r="U1165" i="9"/>
  <c r="U1280" i="9"/>
  <c r="S1280" i="9"/>
  <c r="U941" i="9"/>
  <c r="S941" i="9"/>
  <c r="S992" i="9"/>
  <c r="T992" i="9" s="1"/>
  <c r="U992" i="9"/>
  <c r="U1473" i="9"/>
  <c r="S1473" i="9"/>
  <c r="T1373" i="9"/>
  <c r="V1373" i="9"/>
  <c r="T1360" i="9"/>
  <c r="V1360" i="9"/>
  <c r="T1185" i="9"/>
  <c r="V1185" i="9"/>
  <c r="V1226" i="9"/>
  <c r="T1226" i="9"/>
  <c r="T1225" i="9"/>
  <c r="V1225" i="9"/>
  <c r="U1076" i="9"/>
  <c r="S1076" i="9"/>
  <c r="S953" i="9"/>
  <c r="U953" i="9"/>
  <c r="U912" i="9"/>
  <c r="S912" i="9"/>
  <c r="U1046" i="9"/>
  <c r="S1046" i="9"/>
  <c r="V1388" i="9"/>
  <c r="S1173" i="9"/>
  <c r="U1173" i="9"/>
  <c r="U1025" i="9"/>
  <c r="S1025" i="9"/>
  <c r="T1025" i="9" s="1"/>
  <c r="U1366" i="9"/>
  <c r="S1366" i="9"/>
  <c r="U833" i="9"/>
  <c r="S833" i="9"/>
  <c r="V833" i="9" s="1"/>
  <c r="V1367" i="9"/>
  <c r="S1059" i="9"/>
  <c r="U1059" i="9"/>
  <c r="S1213" i="9"/>
  <c r="U1213" i="9"/>
  <c r="U1021" i="9"/>
  <c r="S1021" i="9"/>
  <c r="T1021" i="9" s="1"/>
  <c r="U1214" i="9"/>
  <c r="S1214" i="9"/>
  <c r="V1190" i="9"/>
  <c r="S932" i="9"/>
  <c r="U932" i="9"/>
  <c r="S1089" i="9"/>
  <c r="U1089" i="9"/>
  <c r="U1544" i="9"/>
  <c r="S1544" i="9"/>
  <c r="S1266" i="9"/>
  <c r="U1266" i="9"/>
  <c r="U1183" i="9"/>
  <c r="S1183" i="9"/>
  <c r="T1183" i="9" s="1"/>
  <c r="U1332" i="9"/>
  <c r="S1332" i="9"/>
  <c r="U1166" i="9"/>
  <c r="S1166" i="9"/>
  <c r="T1166" i="9" s="1"/>
  <c r="S1438" i="9"/>
  <c r="U1438" i="9"/>
  <c r="U1357" i="9"/>
  <c r="S1357" i="9"/>
  <c r="T1357" i="9" s="1"/>
  <c r="S1145" i="9"/>
  <c r="U1145" i="9"/>
  <c r="S789" i="9"/>
  <c r="V789" i="9" s="1"/>
  <c r="U789" i="9"/>
  <c r="S1398" i="9"/>
  <c r="U1398" i="9"/>
  <c r="S956" i="9"/>
  <c r="U956" i="9"/>
  <c r="V1196" i="9"/>
  <c r="T1196" i="9"/>
  <c r="V1413" i="9"/>
  <c r="T1413" i="9"/>
  <c r="V1386" i="9"/>
  <c r="T1386" i="9"/>
  <c r="T1186" i="9"/>
  <c r="V1186" i="9"/>
  <c r="T1365" i="9"/>
  <c r="V1365" i="9"/>
  <c r="T1409" i="9"/>
  <c r="V1409" i="9"/>
  <c r="T1194" i="9"/>
  <c r="V1194" i="9"/>
  <c r="T1369" i="9"/>
  <c r="V1369" i="9"/>
  <c r="V1370" i="9"/>
  <c r="T1370" i="9"/>
  <c r="V973" i="9"/>
  <c r="V1164" i="9"/>
  <c r="T1164" i="9"/>
  <c r="T970" i="9"/>
  <c r="V970" i="9"/>
  <c r="T1410" i="9"/>
  <c r="V1410" i="9"/>
  <c r="V1224" i="9"/>
  <c r="T1224" i="9"/>
  <c r="V1401" i="9"/>
  <c r="T1401" i="9"/>
  <c r="T1383" i="9"/>
  <c r="V1383" i="9"/>
  <c r="T1392" i="9"/>
  <c r="V1392" i="9"/>
  <c r="T1359" i="9"/>
  <c r="V1359" i="9"/>
  <c r="V1222" i="9"/>
  <c r="T1222" i="9"/>
  <c r="S1486" i="9"/>
  <c r="U1486" i="9"/>
  <c r="S815" i="9"/>
  <c r="V815" i="9" s="1"/>
  <c r="U815" i="9"/>
  <c r="U780" i="9"/>
  <c r="S780" i="9"/>
  <c r="V780" i="9" s="1"/>
  <c r="S1364" i="9"/>
  <c r="U1364" i="9"/>
  <c r="S1101" i="9"/>
  <c r="U1101" i="9"/>
  <c r="U1003" i="9"/>
  <c r="S1003" i="9"/>
  <c r="T1003" i="9" s="1"/>
  <c r="S1159" i="9"/>
  <c r="U1159" i="9"/>
  <c r="U1497" i="9"/>
  <c r="S1497" i="9"/>
  <c r="S1269" i="9"/>
  <c r="U1269" i="9"/>
  <c r="U1047" i="9"/>
  <c r="S1047" i="9"/>
  <c r="U1519" i="9"/>
  <c r="S1519" i="9"/>
  <c r="S1397" i="9"/>
  <c r="U1397" i="9"/>
  <c r="S1378" i="9"/>
  <c r="U1378" i="9"/>
  <c r="S1314" i="9"/>
  <c r="U1314" i="9"/>
  <c r="U1259" i="9"/>
  <c r="S1259" i="9"/>
  <c r="S959" i="9"/>
  <c r="U959" i="9"/>
  <c r="U1064" i="9"/>
  <c r="S1064" i="9"/>
  <c r="U829" i="9"/>
  <c r="S829" i="9"/>
  <c r="V829" i="9" s="1"/>
  <c r="S909" i="9"/>
  <c r="U909" i="9"/>
  <c r="U1429" i="9"/>
  <c r="S1429" i="9"/>
  <c r="U1477" i="9"/>
  <c r="S1477" i="9"/>
  <c r="U1453" i="9"/>
  <c r="S1453" i="9"/>
  <c r="U1111" i="9"/>
  <c r="S1111" i="9"/>
  <c r="S1005" i="9"/>
  <c r="T1005" i="9" s="1"/>
  <c r="U1005" i="9"/>
  <c r="S1428" i="9"/>
  <c r="U1428" i="9"/>
  <c r="S792" i="9"/>
  <c r="V792" i="9" s="1"/>
  <c r="U792" i="9"/>
  <c r="S1380" i="9"/>
  <c r="T1380" i="9" s="1"/>
  <c r="U1380" i="9"/>
  <c r="S1466" i="9"/>
  <c r="U1466" i="9"/>
  <c r="S1053" i="9"/>
  <c r="U1053" i="9"/>
  <c r="V1166" i="9"/>
  <c r="S918" i="9"/>
  <c r="U918" i="9"/>
  <c r="S883" i="9"/>
  <c r="U883" i="9"/>
  <c r="U1376" i="9"/>
  <c r="S1376" i="9"/>
  <c r="U1170" i="9"/>
  <c r="S1170" i="9"/>
  <c r="T1170" i="9" s="1"/>
  <c r="U1237" i="9"/>
  <c r="S1237" i="9"/>
  <c r="S957" i="9"/>
  <c r="U957" i="9"/>
  <c r="U1539" i="9"/>
  <c r="S1539" i="9"/>
  <c r="U1446" i="9"/>
  <c r="S1446" i="9"/>
  <c r="U1313" i="9"/>
  <c r="S1313" i="9"/>
  <c r="V1212" i="9"/>
  <c r="T1212" i="9"/>
  <c r="T1400" i="9"/>
  <c r="V1400" i="9"/>
  <c r="T1371" i="9"/>
  <c r="V1371" i="9"/>
  <c r="T969" i="9"/>
  <c r="V969" i="9"/>
  <c r="T1387" i="9"/>
  <c r="V1387" i="9"/>
  <c r="V1377" i="9"/>
  <c r="T1377" i="9"/>
  <c r="T974" i="9"/>
  <c r="V974" i="9"/>
  <c r="V1381" i="9"/>
  <c r="T1353" i="9"/>
  <c r="V1353" i="9"/>
  <c r="S920" i="9"/>
  <c r="U920" i="9"/>
  <c r="U1302" i="9"/>
  <c r="S1302" i="9"/>
  <c r="S1475" i="9"/>
  <c r="U1475" i="9"/>
  <c r="U1009" i="9"/>
  <c r="S1009" i="9"/>
  <c r="T1009" i="9" s="1"/>
  <c r="S866" i="9"/>
  <c r="U866" i="9"/>
  <c r="U1205" i="9"/>
  <c r="S1205" i="9"/>
  <c r="U1160" i="9"/>
  <c r="S1160" i="9"/>
  <c r="U1330" i="9"/>
  <c r="S1330" i="9"/>
  <c r="S860" i="9"/>
  <c r="U860" i="9"/>
  <c r="U834" i="9"/>
  <c r="S834" i="9"/>
  <c r="V834" i="9" s="1"/>
  <c r="U1188" i="9"/>
  <c r="S1188" i="9"/>
  <c r="S1504" i="9"/>
  <c r="U1504" i="9"/>
  <c r="S1201" i="9"/>
  <c r="U1201" i="9"/>
  <c r="U1248" i="9"/>
  <c r="S1248" i="9"/>
  <c r="S1070" i="9"/>
  <c r="U1070" i="9"/>
  <c r="U1281" i="9"/>
  <c r="S1281" i="9"/>
  <c r="U1140" i="9"/>
  <c r="S1140" i="9"/>
  <c r="U1203" i="9"/>
  <c r="S1203" i="9"/>
  <c r="U881" i="9"/>
  <c r="S881" i="9"/>
  <c r="U1144" i="9"/>
  <c r="S1144" i="9"/>
  <c r="S1049" i="9"/>
  <c r="U1049" i="9"/>
  <c r="U950" i="9"/>
  <c r="S950" i="9"/>
  <c r="U794" i="9"/>
  <c r="S794" i="9"/>
  <c r="V794" i="9" s="1"/>
  <c r="U1284" i="9"/>
  <c r="S1284" i="9"/>
  <c r="U1034" i="9"/>
  <c r="S1034" i="9"/>
  <c r="T1034" i="9" s="1"/>
  <c r="U1498" i="9"/>
  <c r="S1498" i="9"/>
  <c r="S1331" i="9"/>
  <c r="U1331" i="9"/>
  <c r="U1543" i="9"/>
  <c r="S1543" i="9"/>
  <c r="S1168" i="9"/>
  <c r="T1168" i="9" s="1"/>
  <c r="U1168" i="9"/>
  <c r="S945" i="9"/>
  <c r="U945" i="9"/>
  <c r="S1517" i="9"/>
  <c r="U1517" i="9"/>
  <c r="U989" i="9"/>
  <c r="S989" i="9"/>
  <c r="T989" i="9" s="1"/>
  <c r="U1538" i="9"/>
  <c r="S1538" i="9"/>
  <c r="V1174" i="9"/>
  <c r="T1174" i="9"/>
  <c r="V1219" i="9"/>
  <c r="T1219" i="9"/>
  <c r="T1195" i="9"/>
  <c r="V1195" i="9"/>
  <c r="T1404" i="9"/>
  <c r="V1404" i="9"/>
  <c r="T1176" i="9"/>
  <c r="V1176" i="9"/>
  <c r="V1182" i="9"/>
  <c r="T1182" i="9"/>
  <c r="V1162" i="9"/>
  <c r="T1162" i="9"/>
  <c r="V1414" i="9"/>
  <c r="T1414" i="9"/>
  <c r="T971" i="9"/>
  <c r="V971" i="9"/>
  <c r="V1361" i="9"/>
  <c r="T1361" i="9"/>
  <c r="T1175" i="9"/>
  <c r="V1175" i="9"/>
  <c r="T1416" i="9"/>
  <c r="V1416" i="9"/>
  <c r="V1399" i="9"/>
  <c r="T1399" i="9"/>
  <c r="T1217" i="9"/>
  <c r="V1217" i="9"/>
  <c r="F77" i="42"/>
  <c r="E79" i="42"/>
  <c r="A80" i="42"/>
  <c r="B79" i="42"/>
  <c r="D78" i="42"/>
  <c r="C78" i="42"/>
  <c r="V844" i="9"/>
  <c r="V1230" i="9"/>
  <c r="G54" i="8"/>
  <c r="S1211" i="9" l="1"/>
  <c r="U1211" i="9"/>
  <c r="U1057" i="9"/>
  <c r="S1057" i="9"/>
  <c r="S1372" i="9"/>
  <c r="U1372" i="9"/>
  <c r="S1004" i="9"/>
  <c r="T1004" i="9" s="1"/>
  <c r="U1004" i="9"/>
  <c r="S1487" i="9"/>
  <c r="U1487" i="9"/>
  <c r="S1340" i="9"/>
  <c r="U1340" i="9"/>
  <c r="U1451" i="9"/>
  <c r="S1451" i="9"/>
  <c r="S1528" i="9"/>
  <c r="U1528" i="9"/>
  <c r="S1508" i="9"/>
  <c r="U1508" i="9"/>
  <c r="S919" i="9"/>
  <c r="U919" i="9"/>
  <c r="S785" i="9"/>
  <c r="V785" i="9" s="1"/>
  <c r="U785" i="9"/>
  <c r="U880" i="9"/>
  <c r="S880" i="9"/>
  <c r="S1035" i="9"/>
  <c r="T1035" i="9" s="1"/>
  <c r="U1035" i="9"/>
  <c r="S1086" i="9"/>
  <c r="U1086" i="9"/>
  <c r="U1461" i="9"/>
  <c r="S1461" i="9"/>
  <c r="V1200" i="9"/>
  <c r="U1143" i="9"/>
  <c r="S1143" i="9"/>
  <c r="U1156" i="9"/>
  <c r="S1156" i="9"/>
  <c r="S1138" i="9"/>
  <c r="U1138" i="9"/>
  <c r="S1430" i="9"/>
  <c r="U1430" i="9"/>
  <c r="U1459" i="9"/>
  <c r="S1459" i="9"/>
  <c r="U854" i="9"/>
  <c r="S854" i="9"/>
  <c r="S1303" i="9"/>
  <c r="U1303" i="9"/>
  <c r="S987" i="9"/>
  <c r="T987" i="9" s="1"/>
  <c r="U987" i="9"/>
  <c r="S1324" i="9"/>
  <c r="U1324" i="9"/>
  <c r="U1418" i="9"/>
  <c r="S1418" i="9"/>
  <c r="S1180" i="9"/>
  <c r="U1180" i="9"/>
  <c r="U1118" i="9"/>
  <c r="S1118" i="9"/>
  <c r="S1193" i="9"/>
  <c r="U1193" i="9"/>
  <c r="U1422" i="9"/>
  <c r="S1422" i="9"/>
  <c r="V1422" i="9" s="1"/>
  <c r="U1421" i="9"/>
  <c r="S1421" i="9"/>
  <c r="U901" i="9"/>
  <c r="S901" i="9"/>
  <c r="S1336" i="9"/>
  <c r="U1336" i="9"/>
  <c r="S1229" i="9"/>
  <c r="T1229" i="9" s="1"/>
  <c r="U1229" i="9"/>
  <c r="V1362" i="9"/>
  <c r="T1362" i="9"/>
  <c r="V1208" i="9"/>
  <c r="T1208" i="9"/>
  <c r="V1172" i="9"/>
  <c r="T1172" i="9"/>
  <c r="U963" i="9"/>
  <c r="S963" i="9"/>
  <c r="U999" i="9"/>
  <c r="S999" i="9"/>
  <c r="T999" i="9" s="1"/>
  <c r="S1029" i="9"/>
  <c r="T1029" i="9" s="1"/>
  <c r="U1029" i="9"/>
  <c r="S914" i="9"/>
  <c r="U914" i="9"/>
  <c r="U1163" i="9"/>
  <c r="S1163" i="9"/>
  <c r="U1243" i="9"/>
  <c r="S1243" i="9"/>
  <c r="U1355" i="9"/>
  <c r="S1355" i="9"/>
  <c r="U905" i="9"/>
  <c r="S905" i="9"/>
  <c r="U1407" i="9"/>
  <c r="S1407" i="9"/>
  <c r="U1052" i="9"/>
  <c r="S1052" i="9"/>
  <c r="S1074" i="9"/>
  <c r="U1074" i="9"/>
  <c r="U791" i="9"/>
  <c r="S791" i="9"/>
  <c r="V791" i="9" s="1"/>
  <c r="U1385" i="9"/>
  <c r="S1385" i="9"/>
  <c r="S907" i="9"/>
  <c r="U907" i="9"/>
  <c r="U1393" i="9"/>
  <c r="S1393" i="9"/>
  <c r="S823" i="9"/>
  <c r="V823" i="9" s="1"/>
  <c r="U823" i="9"/>
  <c r="S929" i="9"/>
  <c r="U929" i="9"/>
  <c r="U1263" i="9"/>
  <c r="S1263" i="9"/>
  <c r="S946" i="9"/>
  <c r="U946" i="9"/>
  <c r="U1078" i="9"/>
  <c r="S1078" i="9"/>
  <c r="S778" i="9"/>
  <c r="V778" i="9" s="1"/>
  <c r="U778" i="9"/>
  <c r="U867" i="9"/>
  <c r="S867" i="9"/>
  <c r="S1179" i="9"/>
  <c r="U1179" i="9"/>
  <c r="S1300" i="9"/>
  <c r="U1300" i="9"/>
  <c r="U801" i="9"/>
  <c r="S801" i="9"/>
  <c r="V801" i="9" s="1"/>
  <c r="S1092" i="9"/>
  <c r="U1092" i="9"/>
  <c r="U1137" i="9"/>
  <c r="S1137" i="9"/>
  <c r="S1318" i="9"/>
  <c r="U1318" i="9"/>
  <c r="U830" i="9"/>
  <c r="S830" i="9"/>
  <c r="V830" i="9" s="1"/>
  <c r="U1149" i="9"/>
  <c r="S1149" i="9"/>
  <c r="U1290" i="9"/>
  <c r="S1290" i="9"/>
  <c r="S777" i="9"/>
  <c r="V777" i="9" s="1"/>
  <c r="U777" i="9"/>
  <c r="S786" i="9"/>
  <c r="U786" i="9"/>
  <c r="U1167" i="9"/>
  <c r="S1167" i="9"/>
  <c r="U1467" i="9"/>
  <c r="S1467" i="9"/>
  <c r="U1483" i="9"/>
  <c r="S1483" i="9"/>
  <c r="S1420" i="9"/>
  <c r="U1420" i="9"/>
  <c r="S1199" i="9"/>
  <c r="U1199" i="9"/>
  <c r="S1529" i="9"/>
  <c r="U1529" i="9"/>
  <c r="T1207" i="9"/>
  <c r="V1207" i="9"/>
  <c r="U1109" i="9"/>
  <c r="S1109" i="9"/>
  <c r="U1306" i="9"/>
  <c r="S1306" i="9"/>
  <c r="U1395" i="9"/>
  <c r="S1395" i="9"/>
  <c r="U1121" i="9"/>
  <c r="S1121" i="9"/>
  <c r="S1171" i="9"/>
  <c r="U1171" i="9"/>
  <c r="S903" i="9"/>
  <c r="U903" i="9"/>
  <c r="U1139" i="9"/>
  <c r="S1139" i="9"/>
  <c r="S1537" i="9"/>
  <c r="U1537" i="9"/>
  <c r="U1227" i="9"/>
  <c r="S1227" i="9"/>
  <c r="S1055" i="9"/>
  <c r="U1055" i="9"/>
  <c r="U1445" i="9"/>
  <c r="S1445" i="9"/>
  <c r="U865" i="9"/>
  <c r="S865" i="9"/>
  <c r="U1384" i="9"/>
  <c r="S1384" i="9"/>
  <c r="U928" i="9"/>
  <c r="S928" i="9"/>
  <c r="U1242" i="9"/>
  <c r="S1242" i="9"/>
  <c r="S1531" i="9"/>
  <c r="U1531" i="9"/>
  <c r="S870" i="9"/>
  <c r="U870" i="9"/>
  <c r="S1333" i="9"/>
  <c r="U1333" i="9"/>
  <c r="U1220" i="9"/>
  <c r="S1220" i="9"/>
  <c r="U1509" i="9"/>
  <c r="S1509" i="9"/>
  <c r="U1060" i="9"/>
  <c r="S1060" i="9"/>
  <c r="U908" i="9"/>
  <c r="S908" i="9"/>
  <c r="U1152" i="9"/>
  <c r="S1152" i="9"/>
  <c r="U838" i="9"/>
  <c r="S838" i="9"/>
  <c r="V838" i="9" s="1"/>
  <c r="S1258" i="9"/>
  <c r="U1258" i="9"/>
  <c r="S1123" i="9"/>
  <c r="U1123" i="9"/>
  <c r="V786" i="9"/>
  <c r="U1417" i="9"/>
  <c r="S1417" i="9"/>
  <c r="U1257" i="9"/>
  <c r="S1257" i="9"/>
  <c r="U1107" i="9"/>
  <c r="S1107" i="9"/>
  <c r="S1326" i="9"/>
  <c r="U1326" i="9"/>
  <c r="U1130" i="9"/>
  <c r="S1130" i="9"/>
  <c r="U1437" i="9"/>
  <c r="S1437" i="9"/>
  <c r="V1394" i="9"/>
  <c r="T1394" i="9"/>
  <c r="T1187" i="9"/>
  <c r="V1187" i="9"/>
  <c r="T1206" i="9"/>
  <c r="V1206" i="9"/>
  <c r="U1080" i="9"/>
  <c r="S1080" i="9"/>
  <c r="S960" i="9"/>
  <c r="U960" i="9"/>
  <c r="S1375" i="9"/>
  <c r="U1375" i="9"/>
  <c r="U949" i="9"/>
  <c r="S949" i="9"/>
  <c r="S1084" i="9"/>
  <c r="U1084" i="9"/>
  <c r="S1041" i="9"/>
  <c r="U1041" i="9"/>
  <c r="U1270" i="9"/>
  <c r="S1270" i="9"/>
  <c r="S983" i="9"/>
  <c r="T983" i="9" s="1"/>
  <c r="U983" i="9"/>
  <c r="S849" i="9"/>
  <c r="U849" i="9"/>
  <c r="S1030" i="9"/>
  <c r="T1030" i="9" s="1"/>
  <c r="U1030" i="9"/>
  <c r="V1192" i="9"/>
  <c r="U1161" i="9"/>
  <c r="S1161" i="9"/>
  <c r="U793" i="9"/>
  <c r="S793" i="9"/>
  <c r="V793" i="9" s="1"/>
  <c r="U1368" i="9"/>
  <c r="S1368" i="9"/>
  <c r="U1298" i="9"/>
  <c r="S1298" i="9"/>
  <c r="S1113" i="9"/>
  <c r="U1113" i="9"/>
  <c r="S836" i="9"/>
  <c r="V836" i="9" s="1"/>
  <c r="U836" i="9"/>
  <c r="U1158" i="9"/>
  <c r="S1158" i="9"/>
  <c r="S1027" i="9"/>
  <c r="T1027" i="9" s="1"/>
  <c r="U1027" i="9"/>
  <c r="U1102" i="9"/>
  <c r="S1102" i="9"/>
  <c r="U803" i="9"/>
  <c r="S803" i="9"/>
  <c r="V803" i="9" s="1"/>
  <c r="S1411" i="9"/>
  <c r="U1411" i="9"/>
  <c r="U816" i="9"/>
  <c r="S816" i="9"/>
  <c r="V816" i="9" s="1"/>
  <c r="U1006" i="9"/>
  <c r="S1006" i="9"/>
  <c r="T1006" i="9" s="1"/>
  <c r="S1051" i="9"/>
  <c r="U1051" i="9"/>
  <c r="U1184" i="9"/>
  <c r="S1184" i="9"/>
  <c r="U850" i="9"/>
  <c r="S850" i="9"/>
  <c r="V1382" i="9"/>
  <c r="S806" i="9"/>
  <c r="V806" i="9" s="1"/>
  <c r="U806" i="9"/>
  <c r="S966" i="9"/>
  <c r="U966" i="9"/>
  <c r="U1488" i="9"/>
  <c r="S1488" i="9"/>
  <c r="S1062" i="9"/>
  <c r="U1062" i="9"/>
  <c r="U1058" i="9"/>
  <c r="S1058" i="9"/>
  <c r="U819" i="9"/>
  <c r="S819" i="9"/>
  <c r="V819" i="9" s="1"/>
  <c r="U1293" i="9"/>
  <c r="S1293" i="9"/>
  <c r="S1015" i="9"/>
  <c r="T1015" i="9" s="1"/>
  <c r="U1015" i="9"/>
  <c r="S1405" i="9"/>
  <c r="U1405" i="9"/>
  <c r="V1229" i="9"/>
  <c r="U1079" i="9"/>
  <c r="S1079" i="9"/>
  <c r="V1165" i="9"/>
  <c r="V1357" i="9"/>
  <c r="V1380" i="9"/>
  <c r="V1168" i="9"/>
  <c r="T1397" i="9"/>
  <c r="V1397" i="9"/>
  <c r="V1364" i="9"/>
  <c r="T1364" i="9"/>
  <c r="T1366" i="9"/>
  <c r="V1366" i="9"/>
  <c r="T1181" i="9"/>
  <c r="V1181" i="9"/>
  <c r="T972" i="9"/>
  <c r="V972" i="9"/>
  <c r="V1354" i="9"/>
  <c r="T1354" i="9"/>
  <c r="T1188" i="9"/>
  <c r="V1188" i="9"/>
  <c r="V1214" i="9"/>
  <c r="T1214" i="9"/>
  <c r="V1173" i="9"/>
  <c r="T1173" i="9"/>
  <c r="T1201" i="9"/>
  <c r="V1201" i="9"/>
  <c r="T1376" i="9"/>
  <c r="V1376" i="9"/>
  <c r="T1378" i="9"/>
  <c r="V1378" i="9"/>
  <c r="T1213" i="9"/>
  <c r="V1213" i="9"/>
  <c r="V1203" i="9"/>
  <c r="T1203" i="9"/>
  <c r="V1205" i="9"/>
  <c r="T1205" i="9"/>
  <c r="T1398" i="9"/>
  <c r="V1398" i="9"/>
  <c r="V1170" i="9"/>
  <c r="T1389" i="9"/>
  <c r="V1389" i="9"/>
  <c r="V1183" i="9"/>
  <c r="T975" i="9"/>
  <c r="V975" i="9"/>
  <c r="F78" i="42"/>
  <c r="D79" i="42"/>
  <c r="C79" i="42"/>
  <c r="E80" i="42"/>
  <c r="B80" i="42"/>
  <c r="A81" i="42"/>
  <c r="T1422" i="9"/>
  <c r="T1230" i="9"/>
  <c r="T1036" i="9"/>
  <c r="V845" i="9"/>
  <c r="V1423" i="9"/>
  <c r="V1231" i="9"/>
  <c r="G53" i="8"/>
  <c r="T1411" i="9" l="1"/>
  <c r="V1411" i="9"/>
  <c r="T1220" i="9"/>
  <c r="V1220" i="9"/>
  <c r="T1384" i="9"/>
  <c r="V1384" i="9"/>
  <c r="T1227" i="9"/>
  <c r="V1227" i="9"/>
  <c r="T1395" i="9"/>
  <c r="V1395" i="9"/>
  <c r="T1393" i="9"/>
  <c r="V1393" i="9"/>
  <c r="V1385" i="9"/>
  <c r="T1385" i="9"/>
  <c r="V1407" i="9"/>
  <c r="T1407" i="9"/>
  <c r="V1355" i="9"/>
  <c r="T1355" i="9"/>
  <c r="V1163" i="9"/>
  <c r="T1163" i="9"/>
  <c r="V1418" i="9"/>
  <c r="T1418" i="9"/>
  <c r="V1375" i="9"/>
  <c r="T1375" i="9"/>
  <c r="T1171" i="9"/>
  <c r="V1171" i="9"/>
  <c r="V1420" i="9"/>
  <c r="T1420" i="9"/>
  <c r="V1179" i="9"/>
  <c r="T1179" i="9"/>
  <c r="T1167" i="9"/>
  <c r="V1167" i="9"/>
  <c r="V1421" i="9"/>
  <c r="T1421" i="9"/>
  <c r="V1405" i="9"/>
  <c r="T1405" i="9"/>
  <c r="T1184" i="9"/>
  <c r="V1184" i="9"/>
  <c r="T1368" i="9"/>
  <c r="V1368" i="9"/>
  <c r="V1161" i="9"/>
  <c r="T1161" i="9"/>
  <c r="T1417" i="9"/>
  <c r="V1417" i="9"/>
  <c r="V1199" i="9"/>
  <c r="T1199" i="9"/>
  <c r="T1193" i="9"/>
  <c r="V1193" i="9"/>
  <c r="T1180" i="9"/>
  <c r="V1180" i="9"/>
  <c r="T1372" i="9"/>
  <c r="V1372" i="9"/>
  <c r="V1211" i="9"/>
  <c r="T1211" i="9"/>
  <c r="F79" i="42"/>
  <c r="D80" i="42"/>
  <c r="C80" i="42"/>
  <c r="E81" i="42"/>
  <c r="A82" i="42"/>
  <c r="B81" i="42"/>
  <c r="T1423" i="9"/>
  <c r="T1231" i="9"/>
  <c r="T1037" i="9"/>
  <c r="V846" i="9"/>
  <c r="V1424" i="9"/>
  <c r="V1232" i="9"/>
  <c r="G52" i="8"/>
  <c r="F80" i="42" l="1"/>
  <c r="E82" i="42"/>
  <c r="A83" i="42"/>
  <c r="B82" i="42"/>
  <c r="D81" i="42"/>
  <c r="C81" i="42"/>
  <c r="T1424" i="9"/>
  <c r="T1232" i="9"/>
  <c r="T1038" i="9"/>
  <c r="V847" i="9"/>
  <c r="V1425" i="9"/>
  <c r="V1233" i="9"/>
  <c r="G51" i="8"/>
  <c r="F81" i="42" l="1"/>
  <c r="D82" i="42"/>
  <c r="C82" i="42"/>
  <c r="E83" i="42"/>
  <c r="A84" i="42"/>
  <c r="B83" i="42"/>
  <c r="T1233" i="9"/>
  <c r="T1425" i="9"/>
  <c r="T1039" i="9"/>
  <c r="V848" i="9"/>
  <c r="V1426" i="9"/>
  <c r="V1234" i="9"/>
  <c r="G50" i="8"/>
  <c r="F82" i="42" l="1"/>
  <c r="E84" i="42"/>
  <c r="A85" i="42"/>
  <c r="B84" i="42"/>
  <c r="D83" i="42"/>
  <c r="C83" i="42"/>
  <c r="T1040" i="9"/>
  <c r="T1426" i="9"/>
  <c r="T1234" i="9"/>
  <c r="V849" i="9"/>
  <c r="V1427" i="9"/>
  <c r="V1235" i="9"/>
  <c r="G49" i="8"/>
  <c r="F83" i="42" l="1"/>
  <c r="D84" i="42"/>
  <c r="C84" i="42"/>
  <c r="E85" i="42"/>
  <c r="A86" i="42"/>
  <c r="B85" i="42"/>
  <c r="T1427" i="9"/>
  <c r="T1235" i="9"/>
  <c r="T1041" i="9"/>
  <c r="V850" i="9"/>
  <c r="V1428" i="9"/>
  <c r="V1236" i="9"/>
  <c r="G48" i="8"/>
  <c r="F84" i="42" l="1"/>
  <c r="E86" i="42"/>
  <c r="A87" i="42"/>
  <c r="B86" i="42"/>
  <c r="D85" i="42"/>
  <c r="C85" i="42"/>
  <c r="T1428" i="9"/>
  <c r="T1236" i="9"/>
  <c r="T1042" i="9"/>
  <c r="V851" i="9"/>
  <c r="V1429" i="9"/>
  <c r="V1237" i="9"/>
  <c r="G47" i="8"/>
  <c r="F85" i="42" l="1"/>
  <c r="D86" i="42"/>
  <c r="C86" i="42"/>
  <c r="E87" i="42"/>
  <c r="A88" i="42"/>
  <c r="B87" i="42"/>
  <c r="T1043" i="9"/>
  <c r="T1429" i="9"/>
  <c r="T1237" i="9"/>
  <c r="V852" i="9"/>
  <c r="V1430" i="9"/>
  <c r="V1238" i="9"/>
  <c r="G46" i="8"/>
  <c r="F86" i="42" l="1"/>
  <c r="E88" i="42"/>
  <c r="A89" i="42"/>
  <c r="B88" i="42"/>
  <c r="D87" i="42"/>
  <c r="C87" i="42"/>
  <c r="T1044" i="9"/>
  <c r="T1430" i="9"/>
  <c r="T1238" i="9"/>
  <c r="V853" i="9"/>
  <c r="V1239" i="9"/>
  <c r="V1431" i="9"/>
  <c r="G45" i="8"/>
  <c r="F87" i="42" l="1"/>
  <c r="D88" i="42"/>
  <c r="C88" i="42"/>
  <c r="E89" i="42"/>
  <c r="A90" i="42"/>
  <c r="B89" i="42"/>
  <c r="T1431" i="9"/>
  <c r="T1239" i="9"/>
  <c r="T1045" i="9"/>
  <c r="V854" i="9"/>
  <c r="V1432" i="9"/>
  <c r="V1240" i="9"/>
  <c r="G44" i="8"/>
  <c r="F88" i="42" l="1"/>
  <c r="E90" i="42"/>
  <c r="A91" i="42"/>
  <c r="B90" i="42"/>
  <c r="D89" i="42"/>
  <c r="C89" i="42"/>
  <c r="T1046" i="9"/>
  <c r="T1432" i="9"/>
  <c r="T1240" i="9"/>
  <c r="V855" i="9"/>
  <c r="V1433" i="9"/>
  <c r="V1241" i="9"/>
  <c r="G43" i="8"/>
  <c r="F89" i="42" l="1"/>
  <c r="D90" i="42"/>
  <c r="C90" i="42"/>
  <c r="E91" i="42"/>
  <c r="A92" i="42"/>
  <c r="B91" i="42"/>
  <c r="T1047" i="9"/>
  <c r="T1433" i="9"/>
  <c r="T1241" i="9"/>
  <c r="V856" i="9"/>
  <c r="V1434" i="9"/>
  <c r="V1242" i="9"/>
  <c r="G42" i="8"/>
  <c r="F90" i="42" l="1"/>
  <c r="E92" i="42"/>
  <c r="A93" i="42"/>
  <c r="B92" i="42"/>
  <c r="D91" i="42"/>
  <c r="C91" i="42"/>
  <c r="T1048" i="9"/>
  <c r="T1434" i="9"/>
  <c r="T1242" i="9"/>
  <c r="V857" i="9"/>
  <c r="V1435" i="9"/>
  <c r="V1243" i="9"/>
  <c r="G41" i="8"/>
  <c r="F91" i="42" l="1"/>
  <c r="D92" i="42"/>
  <c r="C92" i="42"/>
  <c r="E93" i="42"/>
  <c r="A94" i="42"/>
  <c r="B93" i="42"/>
  <c r="T1435" i="9"/>
  <c r="T1243" i="9"/>
  <c r="T1049" i="9"/>
  <c r="V858" i="9"/>
  <c r="V1436" i="9"/>
  <c r="V1244" i="9"/>
  <c r="G40" i="8"/>
  <c r="F92" i="42" l="1"/>
  <c r="E94" i="42"/>
  <c r="A95" i="42"/>
  <c r="B94" i="42"/>
  <c r="D93" i="42"/>
  <c r="C93" i="42"/>
  <c r="T1436" i="9"/>
  <c r="T1244" i="9"/>
  <c r="T1050" i="9"/>
  <c r="V859" i="9"/>
  <c r="V1437" i="9"/>
  <c r="V1245" i="9"/>
  <c r="G39" i="8"/>
  <c r="F93" i="42" l="1"/>
  <c r="D94" i="42"/>
  <c r="C94" i="42"/>
  <c r="E95" i="42"/>
  <c r="A96" i="42"/>
  <c r="B95" i="42"/>
  <c r="T1051" i="9"/>
  <c r="T1437" i="9"/>
  <c r="T1245" i="9"/>
  <c r="V860" i="9"/>
  <c r="V1438" i="9"/>
  <c r="V1246" i="9"/>
  <c r="G38" i="8"/>
  <c r="F94" i="42" l="1"/>
  <c r="E96" i="42"/>
  <c r="A97" i="42"/>
  <c r="B96" i="42"/>
  <c r="D95" i="42"/>
  <c r="C95" i="42"/>
  <c r="T1052" i="9"/>
  <c r="T1438" i="9"/>
  <c r="T1246" i="9"/>
  <c r="V861" i="9"/>
  <c r="V1439" i="9"/>
  <c r="V1247" i="9"/>
  <c r="G37" i="8"/>
  <c r="F95" i="42" l="1"/>
  <c r="D96" i="42"/>
  <c r="C96" i="42"/>
  <c r="E97" i="42"/>
  <c r="A98" i="42"/>
  <c r="B97" i="42"/>
  <c r="T1439" i="9"/>
  <c r="T1247" i="9"/>
  <c r="T1053" i="9"/>
  <c r="V862" i="9"/>
  <c r="V1440" i="9"/>
  <c r="V1248" i="9"/>
  <c r="G36" i="8"/>
  <c r="Q1158" i="9"/>
  <c r="Q1160" i="9"/>
  <c r="Q1157" i="9"/>
  <c r="Q1156" i="9"/>
  <c r="Q1159" i="9"/>
  <c r="F96" i="42" l="1"/>
  <c r="E98" i="42"/>
  <c r="A99" i="42"/>
  <c r="B98" i="42"/>
  <c r="D97" i="42"/>
  <c r="C97" i="42"/>
  <c r="T1440" i="9"/>
  <c r="T1248" i="9"/>
  <c r="T1054" i="9"/>
  <c r="V863" i="9"/>
  <c r="V1441" i="9"/>
  <c r="V1249" i="9"/>
  <c r="G35" i="8"/>
  <c r="P1157" i="9"/>
  <c r="Q1155" i="9"/>
  <c r="P1159" i="9"/>
  <c r="P1158" i="9"/>
  <c r="P1156" i="9"/>
  <c r="Q1151" i="9"/>
  <c r="P1160" i="9"/>
  <c r="Q1150" i="9"/>
  <c r="Q1152" i="9"/>
  <c r="Q1154" i="9"/>
  <c r="Q1153" i="9"/>
  <c r="F97" i="42" l="1"/>
  <c r="D98" i="42"/>
  <c r="C98" i="42"/>
  <c r="E99" i="42"/>
  <c r="A100" i="42"/>
  <c r="B99" i="42"/>
  <c r="T1249" i="9"/>
  <c r="T1055" i="9"/>
  <c r="T1441" i="9"/>
  <c r="V864" i="9"/>
  <c r="V1442" i="9"/>
  <c r="V1250" i="9"/>
  <c r="G34" i="8"/>
  <c r="Q1149" i="9"/>
  <c r="Q1147" i="9"/>
  <c r="P1151" i="9"/>
  <c r="O1157" i="9"/>
  <c r="O1158" i="9"/>
  <c r="O1159" i="9"/>
  <c r="P1152" i="9"/>
  <c r="Q1144" i="9"/>
  <c r="P1153" i="9"/>
  <c r="O1160" i="9"/>
  <c r="P1154" i="9"/>
  <c r="Q1145" i="9"/>
  <c r="Q1146" i="9"/>
  <c r="O1156" i="9"/>
  <c r="Q1148" i="9"/>
  <c r="P1155" i="9"/>
  <c r="P1150" i="9"/>
  <c r="F98" i="42" l="1"/>
  <c r="E100" i="42"/>
  <c r="A101" i="42"/>
  <c r="B100" i="42"/>
  <c r="D99" i="42"/>
  <c r="C99" i="42"/>
  <c r="R1156" i="9"/>
  <c r="R1159" i="9"/>
  <c r="R1160" i="9"/>
  <c r="R1158" i="9"/>
  <c r="R1157" i="9"/>
  <c r="T1056" i="9"/>
  <c r="T1442" i="9"/>
  <c r="T1250" i="9"/>
  <c r="V865" i="9"/>
  <c r="V1443" i="9"/>
  <c r="V1251" i="9"/>
  <c r="G33" i="8"/>
  <c r="O1150" i="9"/>
  <c r="Q1139" i="9"/>
  <c r="Q1143" i="9"/>
  <c r="P1148" i="9"/>
  <c r="P1144" i="9"/>
  <c r="P1145" i="9"/>
  <c r="P1146" i="9"/>
  <c r="P1147" i="9"/>
  <c r="O1154" i="9"/>
  <c r="Q1142" i="9"/>
  <c r="Q1138" i="9"/>
  <c r="O1153" i="9"/>
  <c r="O1152" i="9"/>
  <c r="Q1141" i="9"/>
  <c r="Q1140" i="9"/>
  <c r="O1155" i="9"/>
  <c r="P1149" i="9"/>
  <c r="O1151" i="9"/>
  <c r="F99" i="42" l="1"/>
  <c r="D100" i="42"/>
  <c r="C100" i="42"/>
  <c r="E101" i="42"/>
  <c r="A102" i="42"/>
  <c r="B101" i="42"/>
  <c r="R1151" i="9"/>
  <c r="R1152" i="9"/>
  <c r="R1150" i="9"/>
  <c r="R1155" i="9"/>
  <c r="R1153" i="9"/>
  <c r="R1154" i="9"/>
  <c r="T1057" i="9"/>
  <c r="T1443" i="9"/>
  <c r="T1251" i="9"/>
  <c r="V866" i="9"/>
  <c r="V1444" i="9"/>
  <c r="V1252" i="9"/>
  <c r="G32" i="8"/>
  <c r="O1147" i="9"/>
  <c r="O1144" i="9"/>
  <c r="P1140" i="9"/>
  <c r="Q1137" i="9"/>
  <c r="Q1133" i="9"/>
  <c r="O1148" i="9"/>
  <c r="O1146" i="9"/>
  <c r="Q1136" i="9"/>
  <c r="O1145" i="9"/>
  <c r="Q1132" i="9"/>
  <c r="P1139" i="9"/>
  <c r="P1142" i="9"/>
  <c r="P1138" i="9"/>
  <c r="P1141" i="9"/>
  <c r="Q1134" i="9"/>
  <c r="O1149" i="9"/>
  <c r="Q1135" i="9"/>
  <c r="P1143" i="9"/>
  <c r="F100" i="42" l="1"/>
  <c r="E102" i="42"/>
  <c r="B102" i="42"/>
  <c r="A103" i="42"/>
  <c r="D101" i="42"/>
  <c r="C101" i="42"/>
  <c r="R1145" i="9"/>
  <c r="R1146" i="9"/>
  <c r="R1149" i="9"/>
  <c r="R1148" i="9"/>
  <c r="R1144" i="9"/>
  <c r="R1147" i="9"/>
  <c r="T1444" i="9"/>
  <c r="T1058" i="9"/>
  <c r="T1252" i="9"/>
  <c r="V867" i="9"/>
  <c r="V1445" i="9"/>
  <c r="V1253" i="9"/>
  <c r="G31" i="8"/>
  <c r="Q1131" i="9"/>
  <c r="Q1130" i="9"/>
  <c r="O1139" i="9"/>
  <c r="P1134" i="9"/>
  <c r="P1132" i="9"/>
  <c r="O1142" i="9"/>
  <c r="P1133" i="9"/>
  <c r="O1140" i="9"/>
  <c r="P1136" i="9"/>
  <c r="O1138" i="9"/>
  <c r="O1141" i="9"/>
  <c r="O1143" i="9"/>
  <c r="Q1128" i="9"/>
  <c r="Q1129" i="9"/>
  <c r="P1135" i="9"/>
  <c r="Q1127" i="9"/>
  <c r="P1137" i="9"/>
  <c r="Q1126" i="9"/>
  <c r="F101" i="42" l="1"/>
  <c r="E103" i="42"/>
  <c r="A104" i="42"/>
  <c r="B103" i="42"/>
  <c r="D102" i="42"/>
  <c r="C102" i="42"/>
  <c r="R1142" i="9"/>
  <c r="R1140" i="9"/>
  <c r="R1143" i="9"/>
  <c r="R1138" i="9"/>
  <c r="R1141" i="9"/>
  <c r="R1139" i="9"/>
  <c r="T1059" i="9"/>
  <c r="T1445" i="9"/>
  <c r="T1253" i="9"/>
  <c r="V868" i="9"/>
  <c r="V1446" i="9"/>
  <c r="V1254" i="9"/>
  <c r="G30" i="8"/>
  <c r="Q1122" i="9"/>
  <c r="P1130" i="9"/>
  <c r="P1129" i="9"/>
  <c r="O1135" i="9"/>
  <c r="Q1125" i="9"/>
  <c r="Q1124" i="9"/>
  <c r="O1132" i="9"/>
  <c r="P1128" i="9"/>
  <c r="O1133" i="9"/>
  <c r="O1136" i="9"/>
  <c r="P1127" i="9"/>
  <c r="O1134" i="9"/>
  <c r="Q1123" i="9"/>
  <c r="Q1121" i="9"/>
  <c r="Q1120" i="9"/>
  <c r="O1137" i="9"/>
  <c r="P1126" i="9"/>
  <c r="P1131" i="9"/>
  <c r="F102" i="42" l="1"/>
  <c r="D103" i="42"/>
  <c r="C103" i="42"/>
  <c r="E104" i="42"/>
  <c r="B104" i="42"/>
  <c r="A105" i="42"/>
  <c r="R1133" i="9"/>
  <c r="R1134" i="9"/>
  <c r="R1132" i="9"/>
  <c r="R1135" i="9"/>
  <c r="R1136" i="9"/>
  <c r="R1137" i="9"/>
  <c r="T1446" i="9"/>
  <c r="T1254" i="9"/>
  <c r="T1060" i="9"/>
  <c r="V869" i="9"/>
  <c r="V1447" i="9"/>
  <c r="V1255" i="9"/>
  <c r="G29" i="8"/>
  <c r="O1131" i="9"/>
  <c r="P1123" i="9"/>
  <c r="P1125" i="9"/>
  <c r="Q1117" i="9"/>
  <c r="O1127" i="9"/>
  <c r="Q1118" i="9"/>
  <c r="Q1119" i="9"/>
  <c r="O1129" i="9"/>
  <c r="Q1114" i="9"/>
  <c r="O1130" i="9"/>
  <c r="P1121" i="9"/>
  <c r="P1122" i="9"/>
  <c r="O1128" i="9"/>
  <c r="P1124" i="9"/>
  <c r="Q1115" i="9"/>
  <c r="P1120" i="9"/>
  <c r="Q1116" i="9"/>
  <c r="O1126" i="9"/>
  <c r="F103" i="42" l="1"/>
  <c r="D104" i="42"/>
  <c r="C104" i="42"/>
  <c r="E105" i="42"/>
  <c r="A106" i="42"/>
  <c r="B105" i="42"/>
  <c r="R1129" i="9"/>
  <c r="R1130" i="9"/>
  <c r="R1131" i="9"/>
  <c r="R1127" i="9"/>
  <c r="R1128" i="9"/>
  <c r="R1126" i="9"/>
  <c r="T1447" i="9"/>
  <c r="T1255" i="9"/>
  <c r="T1061" i="9"/>
  <c r="V870" i="9"/>
  <c r="V1448" i="9"/>
  <c r="V1256" i="9"/>
  <c r="G28" i="8"/>
  <c r="Q1111" i="9"/>
  <c r="Q1113" i="9"/>
  <c r="P1117" i="9"/>
  <c r="Q1108" i="9"/>
  <c r="P1116" i="9"/>
  <c r="P1115" i="9"/>
  <c r="P1118" i="9"/>
  <c r="Q1110" i="9"/>
  <c r="O1121" i="9"/>
  <c r="P1119" i="9"/>
  <c r="O1122" i="9"/>
  <c r="Q1112" i="9"/>
  <c r="O1124" i="9"/>
  <c r="P1114" i="9"/>
  <c r="O1123" i="9"/>
  <c r="O1125" i="9"/>
  <c r="O1120" i="9"/>
  <c r="Q1109" i="9"/>
  <c r="F104" i="42" l="1"/>
  <c r="E106" i="42"/>
  <c r="B106" i="42"/>
  <c r="A107" i="42"/>
  <c r="D105" i="42"/>
  <c r="C105" i="42"/>
  <c r="R1120" i="9"/>
  <c r="R1124" i="9"/>
  <c r="R1123" i="9"/>
  <c r="R1121" i="9"/>
  <c r="R1122" i="9"/>
  <c r="R1125" i="9"/>
  <c r="T1062" i="9"/>
  <c r="T1448" i="9"/>
  <c r="T1256" i="9"/>
  <c r="V871" i="9"/>
  <c r="V1449" i="9"/>
  <c r="V1257" i="9"/>
  <c r="G27" i="8"/>
  <c r="O1115" i="9"/>
  <c r="Q1104" i="9"/>
  <c r="Q1105" i="9"/>
  <c r="O1117" i="9"/>
  <c r="Q1106" i="9"/>
  <c r="P1111" i="9"/>
  <c r="P1113" i="9"/>
  <c r="O1118" i="9"/>
  <c r="P1108" i="9"/>
  <c r="Q1102" i="9"/>
  <c r="P1110" i="9"/>
  <c r="O1119" i="9"/>
  <c r="O1114" i="9"/>
  <c r="Q1107" i="9"/>
  <c r="P1112" i="9"/>
  <c r="P1109" i="9"/>
  <c r="O1116" i="9"/>
  <c r="Q1103" i="9"/>
  <c r="F105" i="42" l="1"/>
  <c r="E107" i="42"/>
  <c r="A108" i="42"/>
  <c r="B107" i="42"/>
  <c r="D106" i="42"/>
  <c r="C106" i="42"/>
  <c r="R1114" i="9"/>
  <c r="R1117" i="9"/>
  <c r="R1115" i="9"/>
  <c r="R1118" i="9"/>
  <c r="R1116" i="9"/>
  <c r="R1119" i="9"/>
  <c r="T1257" i="9"/>
  <c r="T1449" i="9"/>
  <c r="T1063" i="9"/>
  <c r="V872" i="9"/>
  <c r="V1450" i="9"/>
  <c r="V1258" i="9"/>
  <c r="G26" i="8"/>
  <c r="Q1100" i="9"/>
  <c r="P1105" i="9"/>
  <c r="P1102" i="9"/>
  <c r="O1112" i="9"/>
  <c r="Q1097" i="9"/>
  <c r="P1103" i="9"/>
  <c r="O1110" i="9"/>
  <c r="O1108" i="9"/>
  <c r="O1113" i="9"/>
  <c r="P1107" i="9"/>
  <c r="O1111" i="9"/>
  <c r="Q1098" i="9"/>
  <c r="Q1099" i="9"/>
  <c r="Q1101" i="9"/>
  <c r="Q1096" i="9"/>
  <c r="P1104" i="9"/>
  <c r="O1109" i="9"/>
  <c r="P1106" i="9"/>
  <c r="F106" i="42" l="1"/>
  <c r="D107" i="42"/>
  <c r="C107" i="42"/>
  <c r="E108" i="42"/>
  <c r="A109" i="42"/>
  <c r="B108" i="42"/>
  <c r="R1113" i="9"/>
  <c r="R1108" i="9"/>
  <c r="R1111" i="9"/>
  <c r="R1112" i="9"/>
  <c r="R1110" i="9"/>
  <c r="R1109" i="9"/>
  <c r="T1064" i="9"/>
  <c r="T1450" i="9"/>
  <c r="T1258" i="9"/>
  <c r="V873" i="9"/>
  <c r="V1451" i="9"/>
  <c r="V1259" i="9"/>
  <c r="G25" i="8"/>
  <c r="Q1094" i="9"/>
  <c r="O1106" i="9"/>
  <c r="Q1090" i="9"/>
  <c r="P1101" i="9"/>
  <c r="O1107" i="9"/>
  <c r="Q1095" i="9"/>
  <c r="O1104" i="9"/>
  <c r="P1098" i="9"/>
  <c r="O1105" i="9"/>
  <c r="O1102" i="9"/>
  <c r="P1100" i="9"/>
  <c r="P1097" i="9"/>
  <c r="O1103" i="9"/>
  <c r="P1099" i="9"/>
  <c r="Q1092" i="9"/>
  <c r="Q1091" i="9"/>
  <c r="Q1093" i="9"/>
  <c r="P1096" i="9"/>
  <c r="F107" i="42" l="1"/>
  <c r="E109" i="42"/>
  <c r="A110" i="42"/>
  <c r="B109" i="42"/>
  <c r="D108" i="42"/>
  <c r="C108" i="42"/>
  <c r="R1107" i="9"/>
  <c r="R1103" i="9"/>
  <c r="R1104" i="9"/>
  <c r="R1105" i="9"/>
  <c r="R1106" i="9"/>
  <c r="R1102" i="9"/>
  <c r="T1451" i="9"/>
  <c r="T1065" i="9"/>
  <c r="T1259" i="9"/>
  <c r="V874" i="9"/>
  <c r="V1452" i="9"/>
  <c r="V1260" i="9"/>
  <c r="G24" i="8"/>
  <c r="P1090" i="9"/>
  <c r="Q1089" i="9"/>
  <c r="Q1085" i="9"/>
  <c r="P1091" i="9"/>
  <c r="O1096" i="9"/>
  <c r="O1099" i="9"/>
  <c r="P1093" i="9"/>
  <c r="O1101" i="9"/>
  <c r="Q1087" i="9"/>
  <c r="P1095" i="9"/>
  <c r="Q1084" i="9"/>
  <c r="O1097" i="9"/>
  <c r="Q1086" i="9"/>
  <c r="Q1088" i="9"/>
  <c r="O1100" i="9"/>
  <c r="P1094" i="9"/>
  <c r="P1092" i="9"/>
  <c r="O1098" i="9"/>
  <c r="F108" i="42" l="1"/>
  <c r="D109" i="42"/>
  <c r="C109" i="42"/>
  <c r="E110" i="42"/>
  <c r="A111" i="42"/>
  <c r="B110" i="42"/>
  <c r="R1097" i="9"/>
  <c r="R1098" i="9"/>
  <c r="R1101" i="9"/>
  <c r="R1100" i="9"/>
  <c r="R1096" i="9"/>
  <c r="R1099" i="9"/>
  <c r="T1452" i="9"/>
  <c r="T1066" i="9"/>
  <c r="T1260" i="9"/>
  <c r="V875" i="9"/>
  <c r="V1453" i="9"/>
  <c r="V1261" i="9"/>
  <c r="G23" i="8"/>
  <c r="Q1080" i="9"/>
  <c r="P1088" i="9"/>
  <c r="P1087" i="9"/>
  <c r="Q1078" i="9"/>
  <c r="P1084" i="9"/>
  <c r="Q1079" i="9"/>
  <c r="O1093" i="9"/>
  <c r="Q1082" i="9"/>
  <c r="O1090" i="9"/>
  <c r="O1095" i="9"/>
  <c r="O1092" i="9"/>
  <c r="O1091" i="9"/>
  <c r="Q1083" i="9"/>
  <c r="P1085" i="9"/>
  <c r="P1089" i="9"/>
  <c r="P1086" i="9"/>
  <c r="O1094" i="9"/>
  <c r="Q1081" i="9"/>
  <c r="F109" i="42" l="1"/>
  <c r="E111" i="42"/>
  <c r="A112" i="42"/>
  <c r="B111" i="42"/>
  <c r="D110" i="42"/>
  <c r="C110" i="42"/>
  <c r="R1091" i="9"/>
  <c r="R1092" i="9"/>
  <c r="R1095" i="9"/>
  <c r="R1094" i="9"/>
  <c r="R1090" i="9"/>
  <c r="R1093" i="9"/>
  <c r="T1067" i="9"/>
  <c r="T1453" i="9"/>
  <c r="T1261" i="9"/>
  <c r="V876" i="9"/>
  <c r="V1454" i="9"/>
  <c r="V1262" i="9"/>
  <c r="G22" i="8"/>
  <c r="P1083" i="9"/>
  <c r="Q1072" i="9"/>
  <c r="Q1075" i="9"/>
  <c r="O1084" i="9"/>
  <c r="P1079" i="9"/>
  <c r="Q1074" i="9"/>
  <c r="O1088" i="9"/>
  <c r="Q1076" i="9"/>
  <c r="P1080" i="9"/>
  <c r="P1082" i="9"/>
  <c r="O1087" i="9"/>
  <c r="O1089" i="9"/>
  <c r="P1078" i="9"/>
  <c r="P1081" i="9"/>
  <c r="O1086" i="9"/>
  <c r="O1085" i="9"/>
  <c r="Q1073" i="9"/>
  <c r="Q1077" i="9"/>
  <c r="F110" i="42" l="1"/>
  <c r="D111" i="42"/>
  <c r="C111" i="42"/>
  <c r="E112" i="42"/>
  <c r="A113" i="42"/>
  <c r="B112" i="42"/>
  <c r="R1085" i="9"/>
  <c r="R1084" i="9"/>
  <c r="R1087" i="9"/>
  <c r="R1086" i="9"/>
  <c r="R1088" i="9"/>
  <c r="R1089" i="9"/>
  <c r="T1068" i="9"/>
  <c r="T1454" i="9"/>
  <c r="T1262" i="9"/>
  <c r="V877" i="9"/>
  <c r="V1455" i="9"/>
  <c r="V1263" i="9"/>
  <c r="G21" i="8"/>
  <c r="Q1067" i="9"/>
  <c r="Q1071" i="9"/>
  <c r="Q1069" i="9"/>
  <c r="O1083" i="9"/>
  <c r="Q1068" i="9"/>
  <c r="O1081" i="9"/>
  <c r="Q1070" i="9"/>
  <c r="P1073" i="9"/>
  <c r="O1078" i="9"/>
  <c r="Q1066" i="9"/>
  <c r="P1074" i="9"/>
  <c r="P1075" i="9"/>
  <c r="O1082" i="9"/>
  <c r="P1076" i="9"/>
  <c r="P1072" i="9"/>
  <c r="P1077" i="9"/>
  <c r="O1079" i="9"/>
  <c r="O1080" i="9"/>
  <c r="F111" i="42" l="1"/>
  <c r="E113" i="42"/>
  <c r="A114" i="42"/>
  <c r="B113" i="42"/>
  <c r="D112" i="42"/>
  <c r="C112" i="42"/>
  <c r="R1081" i="9"/>
  <c r="R1082" i="9"/>
  <c r="R1083" i="9"/>
  <c r="R1079" i="9"/>
  <c r="R1080" i="9"/>
  <c r="R1078" i="9"/>
  <c r="T1455" i="9"/>
  <c r="T1069" i="9"/>
  <c r="T1263" i="9"/>
  <c r="V878" i="9"/>
  <c r="V1456" i="9"/>
  <c r="V1264" i="9"/>
  <c r="G20" i="8"/>
  <c r="O1076" i="9"/>
  <c r="P1067" i="9"/>
  <c r="P1068" i="9"/>
  <c r="P1069" i="9"/>
  <c r="Q1060" i="9"/>
  <c r="Q1062" i="9"/>
  <c r="Q1065" i="9"/>
  <c r="O1074" i="9"/>
  <c r="O1072" i="9"/>
  <c r="P1070" i="9"/>
  <c r="P1066" i="9"/>
  <c r="O1075" i="9"/>
  <c r="Q1064" i="9"/>
  <c r="P1071" i="9"/>
  <c r="O1073" i="9"/>
  <c r="Q1061" i="9"/>
  <c r="O1077" i="9"/>
  <c r="Q1063" i="9"/>
  <c r="F112" i="42" l="1"/>
  <c r="D113" i="42"/>
  <c r="C113" i="42"/>
  <c r="E114" i="42"/>
  <c r="A115" i="42"/>
  <c r="B114" i="42"/>
  <c r="R1072" i="9"/>
  <c r="R1076" i="9"/>
  <c r="R1073" i="9"/>
  <c r="R1074" i="9"/>
  <c r="R1077" i="9"/>
  <c r="R1075" i="9"/>
  <c r="T1456" i="9"/>
  <c r="T1264" i="9"/>
  <c r="T1070" i="9"/>
  <c r="V879" i="9"/>
  <c r="V1457" i="9"/>
  <c r="V1265" i="9"/>
  <c r="G19" i="8"/>
  <c r="Q1054" i="9"/>
  <c r="Q1059" i="9"/>
  <c r="P1062" i="9"/>
  <c r="O1071" i="9"/>
  <c r="O1069" i="9"/>
  <c r="Q1055" i="9"/>
  <c r="O1067" i="9"/>
  <c r="O1068" i="9"/>
  <c r="O1070" i="9"/>
  <c r="P1064" i="9"/>
  <c r="P1061" i="9"/>
  <c r="P1063" i="9"/>
  <c r="Q1057" i="9"/>
  <c r="P1065" i="9"/>
  <c r="P1060" i="9"/>
  <c r="Q1058" i="9"/>
  <c r="O1066" i="9"/>
  <c r="Q1056" i="9"/>
  <c r="F113" i="42" l="1"/>
  <c r="E115" i="42"/>
  <c r="A116" i="42"/>
  <c r="B115" i="42"/>
  <c r="D114" i="42"/>
  <c r="C114" i="42"/>
  <c r="R1066" i="9"/>
  <c r="V1066" i="9" s="1"/>
  <c r="R1069" i="9"/>
  <c r="V1069" i="9" s="1"/>
  <c r="R1067" i="9"/>
  <c r="V1067" i="9" s="1"/>
  <c r="R1070" i="9"/>
  <c r="V1070" i="9" s="1"/>
  <c r="R1068" i="9"/>
  <c r="V1068" i="9" s="1"/>
  <c r="R1071" i="9"/>
  <c r="V1071" i="9" s="1"/>
  <c r="T1071" i="9"/>
  <c r="T1265" i="9"/>
  <c r="T1457" i="9"/>
  <c r="V880" i="9"/>
  <c r="V1458" i="9"/>
  <c r="V1266" i="9"/>
  <c r="V1072" i="9"/>
  <c r="G18" i="8"/>
  <c r="O1065" i="9"/>
  <c r="O1062" i="9"/>
  <c r="P1057" i="9"/>
  <c r="P1058" i="9"/>
  <c r="Q1049" i="9"/>
  <c r="P1054" i="9"/>
  <c r="O1061" i="9"/>
  <c r="P1056" i="9"/>
  <c r="Q1051" i="9"/>
  <c r="Q1050" i="9"/>
  <c r="O1063" i="9"/>
  <c r="Q1052" i="9"/>
  <c r="Q1048" i="9"/>
  <c r="P1059" i="9"/>
  <c r="O1060" i="9"/>
  <c r="O1064" i="9"/>
  <c r="Q1053" i="9"/>
  <c r="P1055" i="9"/>
  <c r="F114" i="42" l="1"/>
  <c r="E116" i="42"/>
  <c r="A117" i="42"/>
  <c r="B116" i="42"/>
  <c r="D115" i="42"/>
  <c r="C115" i="42"/>
  <c r="R1065" i="9"/>
  <c r="V1065" i="9" s="1"/>
  <c r="R1060" i="9"/>
  <c r="V1060" i="9" s="1"/>
  <c r="R1063" i="9"/>
  <c r="V1063" i="9" s="1"/>
  <c r="R1064" i="9"/>
  <c r="V1064" i="9" s="1"/>
  <c r="R1061" i="9"/>
  <c r="V1061" i="9" s="1"/>
  <c r="R1062" i="9"/>
  <c r="V1062" i="9" s="1"/>
  <c r="T1072" i="9"/>
  <c r="T1458" i="9"/>
  <c r="T1266" i="9"/>
  <c r="V881" i="9"/>
  <c r="V1459" i="9"/>
  <c r="V1267" i="9"/>
  <c r="V1073" i="9"/>
  <c r="G17" i="8"/>
  <c r="O1058" i="9"/>
  <c r="P1053" i="9"/>
  <c r="O1054" i="9"/>
  <c r="P1052" i="9"/>
  <c r="Q1042" i="9"/>
  <c r="Q1046" i="9"/>
  <c r="Q1045" i="9"/>
  <c r="O1057" i="9"/>
  <c r="P1050" i="9"/>
  <c r="P1048" i="9"/>
  <c r="P1051" i="9"/>
  <c r="O1055" i="9"/>
  <c r="Q1047" i="9"/>
  <c r="O1059" i="9"/>
  <c r="Q1043" i="9"/>
  <c r="P1049" i="9"/>
  <c r="O1056" i="9"/>
  <c r="Q1044" i="9"/>
  <c r="F115" i="42" l="1"/>
  <c r="D116" i="42"/>
  <c r="C116" i="42"/>
  <c r="E117" i="42"/>
  <c r="A118" i="42"/>
  <c r="B117" i="42"/>
  <c r="R1055" i="9"/>
  <c r="V1055" i="9" s="1"/>
  <c r="R1056" i="9"/>
  <c r="V1056" i="9" s="1"/>
  <c r="R1054" i="9"/>
  <c r="V1054" i="9" s="1"/>
  <c r="R1059" i="9"/>
  <c r="V1059" i="9" s="1"/>
  <c r="R1057" i="9"/>
  <c r="V1057" i="9" s="1"/>
  <c r="R1058" i="9"/>
  <c r="V1058" i="9" s="1"/>
  <c r="T1459" i="9"/>
  <c r="T1267" i="9"/>
  <c r="T1073" i="9"/>
  <c r="V882" i="9"/>
  <c r="V1460" i="9"/>
  <c r="V1268" i="9"/>
  <c r="V1074" i="9"/>
  <c r="G16" i="8"/>
  <c r="P1043" i="9"/>
  <c r="O1051" i="9"/>
  <c r="Q1038" i="9"/>
  <c r="O1049" i="9"/>
  <c r="P1044" i="9"/>
  <c r="Q1037" i="9"/>
  <c r="O1050" i="9"/>
  <c r="Q1036" i="9"/>
  <c r="P1042" i="9"/>
  <c r="Q1039" i="9"/>
  <c r="O1052" i="9"/>
  <c r="O1053" i="9"/>
  <c r="P1046" i="9"/>
  <c r="Q1041" i="9"/>
  <c r="Q1040" i="9"/>
  <c r="P1045" i="9"/>
  <c r="O1048" i="9"/>
  <c r="P1047" i="9"/>
  <c r="F116" i="42" l="1"/>
  <c r="E118" i="42"/>
  <c r="A119" i="42"/>
  <c r="B118" i="42"/>
  <c r="D117" i="42"/>
  <c r="C117" i="42"/>
  <c r="R1049" i="9"/>
  <c r="V1049" i="9" s="1"/>
  <c r="R1050" i="9"/>
  <c r="V1050" i="9" s="1"/>
  <c r="R1053" i="9"/>
  <c r="V1053" i="9" s="1"/>
  <c r="R1051" i="9"/>
  <c r="V1051" i="9" s="1"/>
  <c r="R1052" i="9"/>
  <c r="V1052" i="9" s="1"/>
  <c r="R1048" i="9"/>
  <c r="V1048" i="9" s="1"/>
  <c r="T1460" i="9"/>
  <c r="T1268" i="9"/>
  <c r="T1074" i="9"/>
  <c r="V883" i="9"/>
  <c r="V1269" i="9"/>
  <c r="V1075" i="9"/>
  <c r="V1461" i="9"/>
  <c r="G15" i="8"/>
  <c r="Q1031" i="9"/>
  <c r="O1046" i="9"/>
  <c r="O1045" i="9"/>
  <c r="O1043" i="9"/>
  <c r="O1042" i="9"/>
  <c r="Q1035" i="9"/>
  <c r="P1041" i="9"/>
  <c r="Q1032" i="9"/>
  <c r="O1044" i="9"/>
  <c r="P1038" i="9"/>
  <c r="P1040" i="9"/>
  <c r="P1037" i="9"/>
  <c r="Q1033" i="9"/>
  <c r="O1047" i="9"/>
  <c r="Q1034" i="9"/>
  <c r="P1036" i="9"/>
  <c r="Q1030" i="9"/>
  <c r="P1039" i="9"/>
  <c r="F117" i="42" l="1"/>
  <c r="D118" i="42"/>
  <c r="C118" i="42"/>
  <c r="E119" i="42"/>
  <c r="A120" i="42"/>
  <c r="B119" i="42"/>
  <c r="R1043" i="9"/>
  <c r="V1043" i="9" s="1"/>
  <c r="R1044" i="9"/>
  <c r="V1044" i="9" s="1"/>
  <c r="R1047" i="9"/>
  <c r="V1047" i="9" s="1"/>
  <c r="R1046" i="9"/>
  <c r="V1046" i="9" s="1"/>
  <c r="R1042" i="9"/>
  <c r="V1042" i="9" s="1"/>
  <c r="R1045" i="9"/>
  <c r="V1045" i="9" s="1"/>
  <c r="T1461" i="9"/>
  <c r="T1269" i="9"/>
  <c r="T1075" i="9"/>
  <c r="V884" i="9"/>
  <c r="V1076" i="9"/>
  <c r="V1462" i="9"/>
  <c r="V1270" i="9"/>
  <c r="G14" i="8"/>
  <c r="Q1024" i="9"/>
  <c r="P1031" i="9"/>
  <c r="Q1025" i="9"/>
  <c r="O1036" i="9"/>
  <c r="P1034" i="9"/>
  <c r="P1033" i="9"/>
  <c r="P1032" i="9"/>
  <c r="Q1026" i="9"/>
  <c r="O1041" i="9"/>
  <c r="O1039" i="9"/>
  <c r="Q1029" i="9"/>
  <c r="O1038" i="9"/>
  <c r="Q1027" i="9"/>
  <c r="P1035" i="9"/>
  <c r="O1037" i="9"/>
  <c r="Q1028" i="9"/>
  <c r="O1040" i="9"/>
  <c r="P1030" i="9"/>
  <c r="F118" i="42" l="1"/>
  <c r="E120" i="42"/>
  <c r="A121" i="42"/>
  <c r="B120" i="42"/>
  <c r="D119" i="42"/>
  <c r="C119" i="42"/>
  <c r="R1037" i="9"/>
  <c r="V1037" i="9" s="1"/>
  <c r="R1036" i="9"/>
  <c r="V1036" i="9" s="1"/>
  <c r="R1039" i="9"/>
  <c r="V1039" i="9" s="1"/>
  <c r="R1040" i="9"/>
  <c r="V1040" i="9" s="1"/>
  <c r="R1041" i="9"/>
  <c r="V1041" i="9" s="1"/>
  <c r="R1038" i="9"/>
  <c r="V1038" i="9" s="1"/>
  <c r="T1076" i="9"/>
  <c r="T1462" i="9"/>
  <c r="T1270" i="9"/>
  <c r="V885" i="9"/>
  <c r="V1463" i="9"/>
  <c r="V1271" i="9"/>
  <c r="V1077" i="9"/>
  <c r="G13" i="8"/>
  <c r="Q1019" i="9"/>
  <c r="Q1023" i="9"/>
  <c r="P1026" i="9"/>
  <c r="P1025" i="9"/>
  <c r="Q1022" i="9"/>
  <c r="O1035" i="9"/>
  <c r="O1033" i="9"/>
  <c r="P1028" i="9"/>
  <c r="O1032" i="9"/>
  <c r="O1031" i="9"/>
  <c r="P1024" i="9"/>
  <c r="O1034" i="9"/>
  <c r="P1029" i="9"/>
  <c r="Q1018" i="9"/>
  <c r="P1027" i="9"/>
  <c r="Q1020" i="9"/>
  <c r="O1030" i="9"/>
  <c r="Q1021" i="9"/>
  <c r="F119" i="42" l="1"/>
  <c r="D120" i="42"/>
  <c r="C120" i="42"/>
  <c r="E121" i="42"/>
  <c r="A122" i="42"/>
  <c r="B121" i="42"/>
  <c r="R1033" i="9"/>
  <c r="V1033" i="9" s="1"/>
  <c r="R1034" i="9"/>
  <c r="V1034" i="9" s="1"/>
  <c r="R1030" i="9"/>
  <c r="V1030" i="9" s="1"/>
  <c r="R1031" i="9"/>
  <c r="V1031" i="9" s="1"/>
  <c r="R1032" i="9"/>
  <c r="V1032" i="9" s="1"/>
  <c r="R1035" i="9"/>
  <c r="V1035" i="9" s="1"/>
  <c r="T1463" i="9"/>
  <c r="T1077" i="9"/>
  <c r="T1271" i="9"/>
  <c r="V886" i="9"/>
  <c r="V1078" i="9"/>
  <c r="V1464" i="9"/>
  <c r="V1272" i="9"/>
  <c r="G12" i="8"/>
  <c r="Q1012" i="9"/>
  <c r="O1025" i="9"/>
  <c r="O1027" i="9"/>
  <c r="P1020" i="9"/>
  <c r="O1029" i="9"/>
  <c r="P1018" i="9"/>
  <c r="P1019" i="9"/>
  <c r="Q1014" i="9"/>
  <c r="O1028" i="9"/>
  <c r="O1026" i="9"/>
  <c r="Q1013" i="9"/>
  <c r="P1021" i="9"/>
  <c r="P1022" i="9"/>
  <c r="Q1017" i="9"/>
  <c r="P1023" i="9"/>
  <c r="O1024" i="9"/>
  <c r="Q1016" i="9"/>
  <c r="Q1015" i="9"/>
  <c r="F120" i="42" l="1"/>
  <c r="E122" i="42"/>
  <c r="A123" i="42"/>
  <c r="B122" i="42"/>
  <c r="D121" i="42"/>
  <c r="C121" i="42"/>
  <c r="R1025" i="9"/>
  <c r="V1025" i="9" s="1"/>
  <c r="R1028" i="9"/>
  <c r="V1028" i="9" s="1"/>
  <c r="R1024" i="9"/>
  <c r="V1024" i="9" s="1"/>
  <c r="R1027" i="9"/>
  <c r="V1027" i="9" s="1"/>
  <c r="R1026" i="9"/>
  <c r="V1026" i="9" s="1"/>
  <c r="R1029" i="9"/>
  <c r="V1029" i="9" s="1"/>
  <c r="T1078" i="9"/>
  <c r="T1464" i="9"/>
  <c r="T1272" i="9"/>
  <c r="V887" i="9"/>
  <c r="V1465" i="9"/>
  <c r="V1273" i="9"/>
  <c r="V1079" i="9"/>
  <c r="G11" i="8"/>
  <c r="O1022" i="9"/>
  <c r="Q1010" i="9"/>
  <c r="O1018" i="9"/>
  <c r="O1020" i="9"/>
  <c r="Q1006" i="9"/>
  <c r="Q1007" i="9"/>
  <c r="P1016" i="9"/>
  <c r="P1017" i="9"/>
  <c r="O1019" i="9"/>
  <c r="O1023" i="9"/>
  <c r="P1015" i="9"/>
  <c r="P1012" i="9"/>
  <c r="P1013" i="9"/>
  <c r="P1014" i="9"/>
  <c r="Q1008" i="9"/>
  <c r="Q1009" i="9"/>
  <c r="Q1011" i="9"/>
  <c r="O1021" i="9"/>
  <c r="F121" i="42" l="1"/>
  <c r="D122" i="42"/>
  <c r="C122" i="42"/>
  <c r="E123" i="42"/>
  <c r="A124" i="42"/>
  <c r="B123" i="42"/>
  <c r="R1018" i="9"/>
  <c r="V1018" i="9" s="1"/>
  <c r="R1021" i="9"/>
  <c r="V1021" i="9" s="1"/>
  <c r="R1020" i="9"/>
  <c r="V1020" i="9" s="1"/>
  <c r="R1022" i="9"/>
  <c r="V1022" i="9" s="1"/>
  <c r="R1019" i="9"/>
  <c r="V1019" i="9" s="1"/>
  <c r="R1023" i="9"/>
  <c r="V1023" i="9" s="1"/>
  <c r="T1079" i="9"/>
  <c r="T1465" i="9"/>
  <c r="T1273" i="9"/>
  <c r="V888" i="9"/>
  <c r="V1080" i="9"/>
  <c r="V1466" i="9"/>
  <c r="V1274" i="9"/>
  <c r="G10" i="8"/>
  <c r="P1006" i="9"/>
  <c r="O1012" i="9"/>
  <c r="P1008" i="9"/>
  <c r="P1009" i="9"/>
  <c r="Q1004" i="9"/>
  <c r="Q1002" i="9"/>
  <c r="Q1001" i="9"/>
  <c r="O1014" i="9"/>
  <c r="O1017" i="9"/>
  <c r="P1011" i="9"/>
  <c r="Q1000" i="9"/>
  <c r="Q1003" i="9"/>
  <c r="P1007" i="9"/>
  <c r="O1015" i="9"/>
  <c r="O1013" i="9"/>
  <c r="Q1005" i="9"/>
  <c r="O1016" i="9"/>
  <c r="P1010" i="9"/>
  <c r="F122" i="42" l="1"/>
  <c r="E124" i="42"/>
  <c r="A125" i="42"/>
  <c r="B124" i="42"/>
  <c r="D123" i="42"/>
  <c r="C123" i="42"/>
  <c r="R1017" i="9"/>
  <c r="V1017" i="9" s="1"/>
  <c r="R1014" i="9"/>
  <c r="V1014" i="9" s="1"/>
  <c r="R1012" i="9"/>
  <c r="V1012" i="9" s="1"/>
  <c r="R1015" i="9"/>
  <c r="V1015" i="9" s="1"/>
  <c r="R1016" i="9"/>
  <c r="V1016" i="9" s="1"/>
  <c r="R1013" i="9"/>
  <c r="V1013" i="9" s="1"/>
  <c r="T1080" i="9"/>
  <c r="T1466" i="9"/>
  <c r="T1274" i="9"/>
  <c r="V889" i="9"/>
  <c r="V1467" i="9"/>
  <c r="V1275" i="9"/>
  <c r="V1081" i="9"/>
  <c r="G9" i="8"/>
  <c r="Q995" i="9"/>
  <c r="O1010" i="9"/>
  <c r="Q997" i="9"/>
  <c r="O1007" i="9"/>
  <c r="P1001" i="9"/>
  <c r="O1009" i="9"/>
  <c r="Q996" i="9"/>
  <c r="O1006" i="9"/>
  <c r="Q999" i="9"/>
  <c r="Q994" i="9"/>
  <c r="P1005" i="9"/>
  <c r="O1011" i="9"/>
  <c r="P1000" i="9"/>
  <c r="P1002" i="9"/>
  <c r="O1008" i="9"/>
  <c r="P1003" i="9"/>
  <c r="Q998" i="9"/>
  <c r="P1004" i="9"/>
  <c r="F123" i="42" l="1"/>
  <c r="D124" i="42"/>
  <c r="C124" i="42"/>
  <c r="E125" i="42"/>
  <c r="A126" i="42"/>
  <c r="B125" i="42"/>
  <c r="R1006" i="9"/>
  <c r="V1006" i="9" s="1"/>
  <c r="R1007" i="9"/>
  <c r="V1007" i="9" s="1"/>
  <c r="R1008" i="9"/>
  <c r="V1008" i="9" s="1"/>
  <c r="R1009" i="9"/>
  <c r="V1009" i="9" s="1"/>
  <c r="R1010" i="9"/>
  <c r="V1010" i="9" s="1"/>
  <c r="R1011" i="9"/>
  <c r="V1011" i="9" s="1"/>
  <c r="T1467" i="9"/>
  <c r="T1081" i="9"/>
  <c r="T1275" i="9"/>
  <c r="V890" i="9"/>
  <c r="V1082" i="9"/>
  <c r="V1468" i="9"/>
  <c r="V1276" i="9"/>
  <c r="G8" i="8"/>
  <c r="Q989" i="9"/>
  <c r="O1004" i="9"/>
  <c r="P996" i="9"/>
  <c r="P998" i="9"/>
  <c r="Q993" i="9"/>
  <c r="Q990" i="9"/>
  <c r="O1000" i="9"/>
  <c r="Q992" i="9"/>
  <c r="P997" i="9"/>
  <c r="O1003" i="9"/>
  <c r="Q991" i="9"/>
  <c r="P994" i="9"/>
  <c r="Q988" i="9"/>
  <c r="O1002" i="9"/>
  <c r="O1001" i="9"/>
  <c r="P995" i="9"/>
  <c r="O1005" i="9"/>
  <c r="P999" i="9"/>
  <c r="F124" i="42" l="1"/>
  <c r="E126" i="42"/>
  <c r="A127" i="42"/>
  <c r="B126" i="42"/>
  <c r="D125" i="42"/>
  <c r="C125" i="42"/>
  <c r="R1001" i="9"/>
  <c r="V1001" i="9" s="1"/>
  <c r="R1002" i="9"/>
  <c r="V1002" i="9" s="1"/>
  <c r="R1005" i="9"/>
  <c r="V1005" i="9" s="1"/>
  <c r="R1003" i="9"/>
  <c r="V1003" i="9" s="1"/>
  <c r="R1004" i="9"/>
  <c r="V1004" i="9" s="1"/>
  <c r="R1000" i="9"/>
  <c r="V1000" i="9" s="1"/>
  <c r="T1082" i="9"/>
  <c r="T1468" i="9"/>
  <c r="T1276" i="9"/>
  <c r="V891" i="9"/>
  <c r="V1469" i="9"/>
  <c r="V1277" i="9"/>
  <c r="V1083" i="9"/>
  <c r="G7" i="8"/>
  <c r="O997" i="9"/>
  <c r="Q983" i="9"/>
  <c r="Q987" i="9"/>
  <c r="Q985" i="9"/>
  <c r="O994" i="9"/>
  <c r="P988" i="9"/>
  <c r="P993" i="9"/>
  <c r="O999" i="9"/>
  <c r="O996" i="9"/>
  <c r="O998" i="9"/>
  <c r="P990" i="9"/>
  <c r="P991" i="9"/>
  <c r="Q984" i="9"/>
  <c r="Q982" i="9"/>
  <c r="P989" i="9"/>
  <c r="P992" i="9"/>
  <c r="Q986" i="9"/>
  <c r="O995" i="9"/>
  <c r="F125" i="42" l="1"/>
  <c r="D126" i="42"/>
  <c r="C126" i="42"/>
  <c r="E127" i="42"/>
  <c r="A128" i="42"/>
  <c r="B127" i="42"/>
  <c r="R998" i="9"/>
  <c r="V998" i="9" s="1"/>
  <c r="R996" i="9"/>
  <c r="V996" i="9" s="1"/>
  <c r="R999" i="9"/>
  <c r="V999" i="9" s="1"/>
  <c r="R995" i="9"/>
  <c r="V995" i="9" s="1"/>
  <c r="R994" i="9"/>
  <c r="V994" i="9" s="1"/>
  <c r="R997" i="9"/>
  <c r="V997" i="9" s="1"/>
  <c r="T1083" i="9"/>
  <c r="T1469" i="9"/>
  <c r="T1277" i="9"/>
  <c r="V892" i="9"/>
  <c r="V1084" i="9"/>
  <c r="V1470" i="9"/>
  <c r="V1278" i="9"/>
  <c r="G6" i="8"/>
  <c r="O989" i="9"/>
  <c r="Q976" i="9"/>
  <c r="Q979" i="9"/>
  <c r="P984" i="9"/>
  <c r="O988" i="9"/>
  <c r="O992" i="9"/>
  <c r="P983" i="9"/>
  <c r="Q980" i="9"/>
  <c r="P982" i="9"/>
  <c r="P987" i="9"/>
  <c r="Q978" i="9"/>
  <c r="Q977" i="9"/>
  <c r="Q981" i="9"/>
  <c r="O993" i="9"/>
  <c r="O990" i="9"/>
  <c r="P985" i="9"/>
  <c r="O991" i="9"/>
  <c r="P986" i="9"/>
  <c r="F126" i="42" l="1"/>
  <c r="E128" i="42"/>
  <c r="A129" i="42"/>
  <c r="B128" i="42"/>
  <c r="D127" i="42"/>
  <c r="C127" i="42"/>
  <c r="R979" i="9"/>
  <c r="V979" i="9" s="1"/>
  <c r="R980" i="9"/>
  <c r="V980" i="9" s="1"/>
  <c r="R976" i="9"/>
  <c r="V976" i="9" s="1"/>
  <c r="R977" i="9"/>
  <c r="V977" i="9" s="1"/>
  <c r="R978" i="9"/>
  <c r="V978" i="9" s="1"/>
  <c r="R981" i="9"/>
  <c r="V981" i="9" s="1"/>
  <c r="R985" i="9"/>
  <c r="V985" i="9" s="1"/>
  <c r="R986" i="9"/>
  <c r="V986" i="9" s="1"/>
  <c r="R989" i="9"/>
  <c r="V989" i="9" s="1"/>
  <c r="R991" i="9"/>
  <c r="V991" i="9" s="1"/>
  <c r="R992" i="9"/>
  <c r="V992" i="9" s="1"/>
  <c r="R983" i="9"/>
  <c r="V983" i="9" s="1"/>
  <c r="R984" i="9"/>
  <c r="V984" i="9" s="1"/>
  <c r="R982" i="9"/>
  <c r="V982" i="9" s="1"/>
  <c r="R988" i="9"/>
  <c r="V988" i="9" s="1"/>
  <c r="R990" i="9"/>
  <c r="V990" i="9" s="1"/>
  <c r="R993" i="9"/>
  <c r="V993" i="9" s="1"/>
  <c r="R987" i="9"/>
  <c r="V987" i="9" s="1"/>
  <c r="T1084" i="9"/>
  <c r="T1470" i="9"/>
  <c r="T1278" i="9"/>
  <c r="V893" i="9"/>
  <c r="V1471" i="9"/>
  <c r="V1279" i="9"/>
  <c r="V1085" i="9"/>
  <c r="F127" i="42" l="1"/>
  <c r="D128" i="42"/>
  <c r="C128" i="42"/>
  <c r="E129" i="42"/>
  <c r="A130" i="42"/>
  <c r="B129" i="42"/>
  <c r="T1471" i="9"/>
  <c r="T1085" i="9"/>
  <c r="T1279" i="9"/>
  <c r="V894" i="9"/>
  <c r="V1086" i="9"/>
  <c r="V1472" i="9"/>
  <c r="V1280" i="9"/>
  <c r="F128" i="42" l="1"/>
  <c r="E130" i="42"/>
  <c r="A131" i="42"/>
  <c r="B130" i="42"/>
  <c r="D129" i="42"/>
  <c r="C129" i="42"/>
  <c r="T1086" i="9"/>
  <c r="T1472" i="9"/>
  <c r="T1280" i="9"/>
  <c r="V895" i="9"/>
  <c r="V1473" i="9"/>
  <c r="V1281" i="9"/>
  <c r="V1087" i="9"/>
  <c r="F129" i="42" l="1"/>
  <c r="D130" i="42"/>
  <c r="C130" i="42"/>
  <c r="E131" i="42"/>
  <c r="A132" i="42"/>
  <c r="B131" i="42"/>
  <c r="T1087" i="9"/>
  <c r="T1473" i="9"/>
  <c r="T1281" i="9"/>
  <c r="V896" i="9"/>
  <c r="V1474" i="9"/>
  <c r="V1088" i="9"/>
  <c r="V1282" i="9"/>
  <c r="F130" i="42" l="1"/>
  <c r="E132" i="42"/>
  <c r="A133" i="42"/>
  <c r="B132" i="42"/>
  <c r="D131" i="42"/>
  <c r="C131" i="42"/>
  <c r="T1088" i="9"/>
  <c r="T1474" i="9"/>
  <c r="T1282" i="9"/>
  <c r="V897" i="9"/>
  <c r="V1089" i="9"/>
  <c r="V1475" i="9"/>
  <c r="V1283" i="9"/>
  <c r="F131" i="42" l="1"/>
  <c r="D132" i="42"/>
  <c r="C132" i="42"/>
  <c r="E133" i="42"/>
  <c r="A134" i="42"/>
  <c r="B133" i="42"/>
  <c r="T1089" i="9"/>
  <c r="T1475" i="9"/>
  <c r="T1283" i="9"/>
  <c r="V898" i="9"/>
  <c r="V1476" i="9"/>
  <c r="V1284" i="9"/>
  <c r="V1090" i="9"/>
  <c r="F132" i="42" l="1"/>
  <c r="E134" i="42"/>
  <c r="A135" i="42"/>
  <c r="B134" i="42"/>
  <c r="D133" i="42"/>
  <c r="C133" i="42"/>
  <c r="T1476" i="9"/>
  <c r="T1090" i="9"/>
  <c r="T1284" i="9"/>
  <c r="V899" i="9"/>
  <c r="V1091" i="9"/>
  <c r="V1477" i="9"/>
  <c r="V1285" i="9"/>
  <c r="F133" i="42" l="1"/>
  <c r="E135" i="42"/>
  <c r="A136" i="42"/>
  <c r="B135" i="42"/>
  <c r="D134" i="42"/>
  <c r="C134" i="42"/>
  <c r="T1091" i="9"/>
  <c r="T1477" i="9"/>
  <c r="T1285" i="9"/>
  <c r="V900" i="9"/>
  <c r="V1478" i="9"/>
  <c r="V1286" i="9"/>
  <c r="V1092" i="9"/>
  <c r="F134" i="42" l="1"/>
  <c r="D135" i="42"/>
  <c r="C135" i="42"/>
  <c r="E136" i="42"/>
  <c r="A137" i="42"/>
  <c r="B136" i="42"/>
  <c r="T1092" i="9"/>
  <c r="T1478" i="9"/>
  <c r="T1286" i="9"/>
  <c r="V901" i="9"/>
  <c r="V1093" i="9"/>
  <c r="V1479" i="9"/>
  <c r="V1287" i="9"/>
  <c r="F135" i="42" l="1"/>
  <c r="E137" i="42"/>
  <c r="A138" i="42"/>
  <c r="B137" i="42"/>
  <c r="D136" i="42"/>
  <c r="C136" i="42"/>
  <c r="T1093" i="9"/>
  <c r="T1479" i="9"/>
  <c r="T1287" i="9"/>
  <c r="V902" i="9"/>
  <c r="V1480" i="9"/>
  <c r="V1288" i="9"/>
  <c r="V1094" i="9"/>
  <c r="F136" i="42" l="1"/>
  <c r="D137" i="42"/>
  <c r="C137" i="42"/>
  <c r="E138" i="42"/>
  <c r="A139" i="42"/>
  <c r="B138" i="42"/>
  <c r="T1480" i="9"/>
  <c r="T1094" i="9"/>
  <c r="T1288" i="9"/>
  <c r="V903" i="9"/>
  <c r="V1095" i="9"/>
  <c r="V1481" i="9"/>
  <c r="V1289" i="9"/>
  <c r="F137" i="42" l="1"/>
  <c r="E139" i="42"/>
  <c r="A140" i="42"/>
  <c r="B139" i="42"/>
  <c r="D138" i="42"/>
  <c r="C138" i="42"/>
  <c r="T1095" i="9"/>
  <c r="T1289" i="9"/>
  <c r="T1481" i="9"/>
  <c r="V904" i="9"/>
  <c r="V1096" i="9"/>
  <c r="V1482" i="9"/>
  <c r="V1290" i="9"/>
  <c r="F138" i="42" l="1"/>
  <c r="D139" i="42"/>
  <c r="C139" i="42"/>
  <c r="E140" i="42"/>
  <c r="A141" i="42"/>
  <c r="B140" i="42"/>
  <c r="T1096" i="9"/>
  <c r="T1290" i="9"/>
  <c r="T1482" i="9"/>
  <c r="V905" i="9"/>
  <c r="V1097" i="9"/>
  <c r="V1483" i="9"/>
  <c r="V1291" i="9"/>
  <c r="F139" i="42" l="1"/>
  <c r="E141" i="42"/>
  <c r="A142" i="42"/>
  <c r="B141" i="42"/>
  <c r="D140" i="42"/>
  <c r="C140" i="42"/>
  <c r="T1097" i="9"/>
  <c r="T1483" i="9"/>
  <c r="T1291" i="9"/>
  <c r="V906" i="9"/>
  <c r="V1292" i="9"/>
  <c r="V1098" i="9"/>
  <c r="V1484" i="9"/>
  <c r="F140" i="42" l="1"/>
  <c r="D141" i="42"/>
  <c r="C141" i="42"/>
  <c r="E142" i="42"/>
  <c r="A143" i="42"/>
  <c r="B142" i="42"/>
  <c r="T1484" i="9"/>
  <c r="T1292" i="9"/>
  <c r="T1098" i="9"/>
  <c r="V907" i="9"/>
  <c r="V1099" i="9"/>
  <c r="V1485" i="9"/>
  <c r="V1293" i="9"/>
  <c r="F141" i="42" l="1"/>
  <c r="E143" i="42"/>
  <c r="A144" i="42"/>
  <c r="B143" i="42"/>
  <c r="D142" i="42"/>
  <c r="C142" i="42"/>
  <c r="T1099" i="9"/>
  <c r="T1293" i="9"/>
  <c r="T1485" i="9"/>
  <c r="V908" i="9"/>
  <c r="V1294" i="9"/>
  <c r="V1100" i="9"/>
  <c r="V1486" i="9"/>
  <c r="F142" i="42" l="1"/>
  <c r="D143" i="42"/>
  <c r="C143" i="42"/>
  <c r="E144" i="42"/>
  <c r="A145" i="42"/>
  <c r="B144" i="42"/>
  <c r="T1486" i="9"/>
  <c r="T1294" i="9"/>
  <c r="T1100" i="9"/>
  <c r="V909" i="9"/>
  <c r="V1487" i="9"/>
  <c r="V1295" i="9"/>
  <c r="V1101" i="9"/>
  <c r="F143" i="42" l="1"/>
  <c r="E145" i="42"/>
  <c r="A146" i="42"/>
  <c r="B145" i="42"/>
  <c r="D144" i="42"/>
  <c r="C144" i="42"/>
  <c r="T1487" i="9"/>
  <c r="T1295" i="9"/>
  <c r="T1101" i="9"/>
  <c r="V910" i="9"/>
  <c r="V1102" i="9"/>
  <c r="V1488" i="9"/>
  <c r="V1296" i="9"/>
  <c r="F144" i="42" l="1"/>
  <c r="D145" i="42"/>
  <c r="C145" i="42"/>
  <c r="E146" i="42"/>
  <c r="A147" i="42"/>
  <c r="B146" i="42"/>
  <c r="T1296" i="9"/>
  <c r="T1102" i="9"/>
  <c r="T1488" i="9"/>
  <c r="V911" i="9"/>
  <c r="V1489" i="9"/>
  <c r="V1297" i="9"/>
  <c r="V1103" i="9"/>
  <c r="F145" i="42" l="1"/>
  <c r="E147" i="42"/>
  <c r="A148" i="42"/>
  <c r="B147" i="42"/>
  <c r="D146" i="42"/>
  <c r="C146" i="42"/>
  <c r="T1103" i="9"/>
  <c r="T1297" i="9"/>
  <c r="T1489" i="9"/>
  <c r="V912" i="9"/>
  <c r="V1104" i="9"/>
  <c r="V1490" i="9"/>
  <c r="V1298" i="9"/>
  <c r="F146" i="42" l="1"/>
  <c r="D147" i="42"/>
  <c r="C147" i="42"/>
  <c r="E148" i="42"/>
  <c r="A149" i="42"/>
  <c r="B148" i="42"/>
  <c r="T1104" i="9"/>
  <c r="T1490" i="9"/>
  <c r="T1298" i="9"/>
  <c r="V913" i="9"/>
  <c r="V1491" i="9"/>
  <c r="V1299" i="9"/>
  <c r="V1105" i="9"/>
  <c r="F147" i="42" l="1"/>
  <c r="E149" i="42"/>
  <c r="A150" i="42"/>
  <c r="B149" i="42"/>
  <c r="D148" i="42"/>
  <c r="C148" i="42"/>
  <c r="T1491" i="9"/>
  <c r="T1105" i="9"/>
  <c r="T1299" i="9"/>
  <c r="V914" i="9"/>
  <c r="V1106" i="9"/>
  <c r="V1492" i="9"/>
  <c r="V1300" i="9"/>
  <c r="F148" i="42" l="1"/>
  <c r="D149" i="42"/>
  <c r="C149" i="42"/>
  <c r="E150" i="42"/>
  <c r="A151" i="42"/>
  <c r="B150" i="42"/>
  <c r="T1106" i="9"/>
  <c r="T1492" i="9"/>
  <c r="T1300" i="9"/>
  <c r="V915" i="9"/>
  <c r="V1493" i="9"/>
  <c r="V1301" i="9"/>
  <c r="V1107" i="9"/>
  <c r="F149" i="42" l="1"/>
  <c r="E151" i="42"/>
  <c r="A152" i="42"/>
  <c r="B151" i="42"/>
  <c r="D150" i="42"/>
  <c r="C150" i="42"/>
  <c r="T1107" i="9"/>
  <c r="T1493" i="9"/>
  <c r="T1301" i="9"/>
  <c r="V916" i="9"/>
  <c r="V1108" i="9"/>
  <c r="V1494" i="9"/>
  <c r="V1302" i="9"/>
  <c r="F150" i="42" l="1"/>
  <c r="D151" i="42"/>
  <c r="C151" i="42"/>
  <c r="E152" i="42"/>
  <c r="A153" i="42"/>
  <c r="B152" i="42"/>
  <c r="T1108" i="9"/>
  <c r="T1494" i="9"/>
  <c r="T1302" i="9"/>
  <c r="V917" i="9"/>
  <c r="V1495" i="9"/>
  <c r="V1303" i="9"/>
  <c r="V1109" i="9"/>
  <c r="F151" i="42" l="1"/>
  <c r="E153" i="42"/>
  <c r="A154" i="42"/>
  <c r="B153" i="42"/>
  <c r="D152" i="42"/>
  <c r="C152" i="42"/>
  <c r="T1495" i="9"/>
  <c r="T1109" i="9"/>
  <c r="T1303" i="9"/>
  <c r="V918" i="9"/>
  <c r="V1110" i="9"/>
  <c r="V1496" i="9"/>
  <c r="V1304" i="9"/>
  <c r="F152" i="42" l="1"/>
  <c r="D153" i="42"/>
  <c r="C153" i="42"/>
  <c r="E154" i="42"/>
  <c r="A155" i="42"/>
  <c r="B154" i="42"/>
  <c r="T1110" i="9"/>
  <c r="T1496" i="9"/>
  <c r="T1304" i="9"/>
  <c r="V919" i="9"/>
  <c r="V1497" i="9"/>
  <c r="V1305" i="9"/>
  <c r="V1111" i="9"/>
  <c r="F153" i="42" l="1"/>
  <c r="E155" i="42"/>
  <c r="A156" i="42"/>
  <c r="B155" i="42"/>
  <c r="D154" i="42"/>
  <c r="C154" i="42"/>
  <c r="T1111" i="9"/>
  <c r="T1497" i="9"/>
  <c r="T1305" i="9"/>
  <c r="V920" i="9"/>
  <c r="V1112" i="9"/>
  <c r="V1498" i="9"/>
  <c r="V1306" i="9"/>
  <c r="F154" i="42" l="1"/>
  <c r="D155" i="42"/>
  <c r="C155" i="42"/>
  <c r="E156" i="42"/>
  <c r="B156" i="42"/>
  <c r="A157" i="42"/>
  <c r="T1112" i="9"/>
  <c r="T1498" i="9"/>
  <c r="T1306" i="9"/>
  <c r="V921" i="9"/>
  <c r="V1499" i="9"/>
  <c r="V1307" i="9"/>
  <c r="V1113" i="9"/>
  <c r="F155" i="42" l="1"/>
  <c r="D156" i="42"/>
  <c r="C156" i="42"/>
  <c r="E157" i="42"/>
  <c r="A158" i="42"/>
  <c r="B157" i="42"/>
  <c r="T1499" i="9"/>
  <c r="T1113" i="9"/>
  <c r="T1307" i="9"/>
  <c r="V922" i="9"/>
  <c r="V1114" i="9"/>
  <c r="V1500" i="9"/>
  <c r="V1308" i="9"/>
  <c r="F156" i="42" l="1"/>
  <c r="E158" i="42"/>
  <c r="A159" i="42"/>
  <c r="B158" i="42"/>
  <c r="D157" i="42"/>
  <c r="C157" i="42"/>
  <c r="T1114" i="9"/>
  <c r="T1500" i="9"/>
  <c r="T1308" i="9"/>
  <c r="V923" i="9"/>
  <c r="V1309" i="9"/>
  <c r="V1115" i="9"/>
  <c r="V1501" i="9"/>
  <c r="F157" i="42" l="1"/>
  <c r="D158" i="42"/>
  <c r="C158" i="42"/>
  <c r="E159" i="42"/>
  <c r="A160" i="42"/>
  <c r="B159" i="42"/>
  <c r="T1501" i="9"/>
  <c r="T1309" i="9"/>
  <c r="T1115" i="9"/>
  <c r="V924" i="9"/>
  <c r="V1502" i="9"/>
  <c r="V1116" i="9"/>
  <c r="V1310" i="9"/>
  <c r="E160" i="42" l="1"/>
  <c r="A161" i="42"/>
  <c r="B160" i="42"/>
  <c r="F158" i="42"/>
  <c r="D159" i="42"/>
  <c r="C159" i="42"/>
  <c r="T1116" i="9"/>
  <c r="T1502" i="9"/>
  <c r="T1310" i="9"/>
  <c r="V925" i="9"/>
  <c r="V1311" i="9"/>
  <c r="V1117" i="9"/>
  <c r="V1503" i="9"/>
  <c r="D160" i="42" l="1"/>
  <c r="C160" i="42"/>
  <c r="F159" i="42"/>
  <c r="E161" i="42"/>
  <c r="A162" i="42"/>
  <c r="B161" i="42"/>
  <c r="T1503" i="9"/>
  <c r="T1311" i="9"/>
  <c r="T1117" i="9"/>
  <c r="V926" i="9"/>
  <c r="V1118" i="9"/>
  <c r="V1312" i="9"/>
  <c r="V1504" i="9"/>
  <c r="F160" i="42" l="1"/>
  <c r="D161" i="42"/>
  <c r="C161" i="42"/>
  <c r="E162" i="42"/>
  <c r="B162" i="42"/>
  <c r="A163" i="42"/>
  <c r="T1504" i="9"/>
  <c r="T1118" i="9"/>
  <c r="T1312" i="9"/>
  <c r="V927" i="9"/>
  <c r="V1119" i="9"/>
  <c r="V1505" i="9"/>
  <c r="V1313" i="9"/>
  <c r="F161" i="42" l="1"/>
  <c r="D162" i="42"/>
  <c r="C162" i="42"/>
  <c r="E163" i="42"/>
  <c r="A164" i="42"/>
  <c r="B163" i="42"/>
  <c r="T1119" i="9"/>
  <c r="T1313" i="9"/>
  <c r="T1505" i="9"/>
  <c r="V928" i="9"/>
  <c r="V1506" i="9"/>
  <c r="V1314" i="9"/>
  <c r="V1120" i="9"/>
  <c r="F162" i="42" l="1"/>
  <c r="E164" i="42"/>
  <c r="A165" i="42"/>
  <c r="B164" i="42"/>
  <c r="D163" i="42"/>
  <c r="C163" i="42"/>
  <c r="T1120" i="9"/>
  <c r="T1506" i="9"/>
  <c r="T1314" i="9"/>
  <c r="V929" i="9"/>
  <c r="V1315" i="9"/>
  <c r="V1121" i="9"/>
  <c r="V1507" i="9"/>
  <c r="F163" i="42" l="1"/>
  <c r="D164" i="42"/>
  <c r="C164" i="42"/>
  <c r="E165" i="42"/>
  <c r="A166" i="42"/>
  <c r="B165" i="42"/>
  <c r="T1507" i="9"/>
  <c r="T1315" i="9"/>
  <c r="T1121" i="9"/>
  <c r="V930" i="9"/>
  <c r="V1122" i="9"/>
  <c r="V1508" i="9"/>
  <c r="V1316" i="9"/>
  <c r="F164" i="42" l="1"/>
  <c r="E166" i="42"/>
  <c r="A167" i="42"/>
  <c r="B166" i="42"/>
  <c r="D165" i="42"/>
  <c r="C165" i="42"/>
  <c r="T1122" i="9"/>
  <c r="T1508" i="9"/>
  <c r="T1316" i="9"/>
  <c r="V931" i="9"/>
  <c r="V1123" i="9"/>
  <c r="V1509" i="9"/>
  <c r="V1317" i="9"/>
  <c r="F165" i="42" l="1"/>
  <c r="D166" i="42"/>
  <c r="C166" i="42"/>
  <c r="E167" i="42"/>
  <c r="A168" i="42"/>
  <c r="B167" i="42"/>
  <c r="T1123" i="9"/>
  <c r="T1317" i="9"/>
  <c r="T1509" i="9"/>
  <c r="V932" i="9"/>
  <c r="V1124" i="9"/>
  <c r="V1510" i="9"/>
  <c r="V1318" i="9"/>
  <c r="F166" i="42" l="1"/>
  <c r="E168" i="42"/>
  <c r="A169" i="42"/>
  <c r="B168" i="42"/>
  <c r="D167" i="42"/>
  <c r="C167" i="42"/>
  <c r="T1124" i="9"/>
  <c r="T1510" i="9"/>
  <c r="T1318" i="9"/>
  <c r="V933" i="9"/>
  <c r="V1319" i="9"/>
  <c r="V1125" i="9"/>
  <c r="V1511" i="9"/>
  <c r="F167" i="42" l="1"/>
  <c r="D168" i="42"/>
  <c r="C168" i="42"/>
  <c r="E169" i="42"/>
  <c r="A170" i="42"/>
  <c r="B169" i="42"/>
  <c r="T1511" i="9"/>
  <c r="T1319" i="9"/>
  <c r="T1125" i="9"/>
  <c r="V934" i="9"/>
  <c r="V1126" i="9"/>
  <c r="V1512" i="9"/>
  <c r="V1320" i="9"/>
  <c r="F168" i="42" l="1"/>
  <c r="E170" i="42"/>
  <c r="A171" i="42"/>
  <c r="B170" i="42"/>
  <c r="D169" i="42"/>
  <c r="C169" i="42"/>
  <c r="T1126" i="9"/>
  <c r="T1512" i="9"/>
  <c r="T1320" i="9"/>
  <c r="V935" i="9"/>
  <c r="V1513" i="9"/>
  <c r="V1321" i="9"/>
  <c r="V1127" i="9"/>
  <c r="F169" i="42" l="1"/>
  <c r="D170" i="42"/>
  <c r="C170" i="42"/>
  <c r="E171" i="42"/>
  <c r="A172" i="42"/>
  <c r="B171" i="42"/>
  <c r="T1127" i="9"/>
  <c r="T1513" i="9"/>
  <c r="T1321" i="9"/>
  <c r="V936" i="9"/>
  <c r="V1128" i="9"/>
  <c r="V1514" i="9"/>
  <c r="V1322" i="9"/>
  <c r="F170" i="42" l="1"/>
  <c r="E172" i="42"/>
  <c r="A173" i="42"/>
  <c r="B172" i="42"/>
  <c r="D171" i="42"/>
  <c r="C171" i="42"/>
  <c r="T1128" i="9"/>
  <c r="T1514" i="9"/>
  <c r="T1322" i="9"/>
  <c r="V937" i="9"/>
  <c r="V1515" i="9"/>
  <c r="V1323" i="9"/>
  <c r="V1129" i="9"/>
  <c r="F171" i="42" l="1"/>
  <c r="D172" i="42"/>
  <c r="C172" i="42"/>
  <c r="E173" i="42"/>
  <c r="A174" i="42"/>
  <c r="B173" i="42"/>
  <c r="T1515" i="9"/>
  <c r="T1129" i="9"/>
  <c r="T1323" i="9"/>
  <c r="V938" i="9"/>
  <c r="V1324" i="9"/>
  <c r="V1130" i="9"/>
  <c r="V1516" i="9"/>
  <c r="F172" i="42" l="1"/>
  <c r="E174" i="42"/>
  <c r="A175" i="42"/>
  <c r="B174" i="42"/>
  <c r="D173" i="42"/>
  <c r="C173" i="42"/>
  <c r="T1516" i="9"/>
  <c r="T1324" i="9"/>
  <c r="T1130" i="9"/>
  <c r="V939" i="9"/>
  <c r="V1325" i="9"/>
  <c r="V1131" i="9"/>
  <c r="V1517" i="9"/>
  <c r="F173" i="42" l="1"/>
  <c r="D174" i="42"/>
  <c r="C174" i="42"/>
  <c r="E175" i="42"/>
  <c r="A176" i="42"/>
  <c r="B175" i="42"/>
  <c r="T1517" i="9"/>
  <c r="T1325" i="9"/>
  <c r="T1131" i="9"/>
  <c r="V940" i="9"/>
  <c r="V1518" i="9"/>
  <c r="V1326" i="9"/>
  <c r="V1132" i="9"/>
  <c r="F174" i="42" l="1"/>
  <c r="E176" i="42"/>
  <c r="A177" i="42"/>
  <c r="B176" i="42"/>
  <c r="D175" i="42"/>
  <c r="C175" i="42"/>
  <c r="T1518" i="9"/>
  <c r="T1326" i="9"/>
  <c r="T1132" i="9"/>
  <c r="V941" i="9"/>
  <c r="V1133" i="9"/>
  <c r="V1519" i="9"/>
  <c r="V1327" i="9"/>
  <c r="F175" i="42" l="1"/>
  <c r="D176" i="42"/>
  <c r="C176" i="42"/>
  <c r="E177" i="42"/>
  <c r="A178" i="42"/>
  <c r="B177" i="42"/>
  <c r="T1133" i="9"/>
  <c r="T1519" i="9"/>
  <c r="T1327" i="9"/>
  <c r="V942" i="9"/>
  <c r="V1520" i="9"/>
  <c r="V1328" i="9"/>
  <c r="V1134" i="9"/>
  <c r="F176" i="42" l="1"/>
  <c r="E178" i="42"/>
  <c r="A179" i="42"/>
  <c r="B178" i="42"/>
  <c r="D177" i="42"/>
  <c r="C177" i="42"/>
  <c r="T1520" i="9"/>
  <c r="T1134" i="9"/>
  <c r="T1328" i="9"/>
  <c r="V943" i="9"/>
  <c r="V1135" i="9"/>
  <c r="V1521" i="9"/>
  <c r="V1329" i="9"/>
  <c r="F177" i="42" l="1"/>
  <c r="D178" i="42"/>
  <c r="C178" i="42"/>
  <c r="E179" i="42"/>
  <c r="A180" i="42"/>
  <c r="B179" i="42"/>
  <c r="T1135" i="9"/>
  <c r="T1329" i="9"/>
  <c r="T1521" i="9"/>
  <c r="V944" i="9"/>
  <c r="V1136" i="9"/>
  <c r="V1522" i="9"/>
  <c r="V1330" i="9"/>
  <c r="F178" i="42" l="1"/>
  <c r="E180" i="42"/>
  <c r="A181" i="42"/>
  <c r="B180" i="42"/>
  <c r="D179" i="42"/>
  <c r="C179" i="42"/>
  <c r="T1330" i="9"/>
  <c r="T1136" i="9"/>
  <c r="T1522" i="9"/>
  <c r="V945" i="9"/>
  <c r="V1523" i="9"/>
  <c r="V1137" i="9"/>
  <c r="V1331" i="9"/>
  <c r="F179" i="42" l="1"/>
  <c r="D180" i="42"/>
  <c r="C180" i="42"/>
  <c r="E181" i="42"/>
  <c r="A182" i="42"/>
  <c r="B181" i="42"/>
  <c r="T1523" i="9"/>
  <c r="T1137" i="9"/>
  <c r="T1331" i="9"/>
  <c r="V946" i="9"/>
  <c r="V1524" i="9"/>
  <c r="V1332" i="9"/>
  <c r="V1138" i="9"/>
  <c r="F180" i="42" l="1"/>
  <c r="E182" i="42"/>
  <c r="A183" i="42"/>
  <c r="B182" i="42"/>
  <c r="D181" i="42"/>
  <c r="C181" i="42"/>
  <c r="T1524" i="9"/>
  <c r="T1332" i="9"/>
  <c r="T1138" i="9"/>
  <c r="V947" i="9"/>
  <c r="V1139" i="9"/>
  <c r="V1525" i="9"/>
  <c r="V1333" i="9"/>
  <c r="F181" i="42" l="1"/>
  <c r="D182" i="42"/>
  <c r="C182" i="42"/>
  <c r="E183" i="42"/>
  <c r="A184" i="42"/>
  <c r="B183" i="42"/>
  <c r="T1139" i="9"/>
  <c r="T1525" i="9"/>
  <c r="T1333" i="9"/>
  <c r="V948" i="9"/>
  <c r="V1526" i="9"/>
  <c r="V1334" i="9"/>
  <c r="V1140" i="9"/>
  <c r="F182" i="42" l="1"/>
  <c r="E184" i="42"/>
  <c r="A185" i="42"/>
  <c r="B184" i="42"/>
  <c r="D183" i="42"/>
  <c r="C183" i="42"/>
  <c r="T1140" i="9"/>
  <c r="T1526" i="9"/>
  <c r="T1334" i="9"/>
  <c r="V949" i="9"/>
  <c r="V1527" i="9"/>
  <c r="V1335" i="9"/>
  <c r="V1141" i="9"/>
  <c r="F183" i="42" l="1"/>
  <c r="D184" i="42"/>
  <c r="C184" i="42"/>
  <c r="E185" i="42"/>
  <c r="A186" i="42"/>
  <c r="B185" i="42"/>
  <c r="T1527" i="9"/>
  <c r="T1335" i="9"/>
  <c r="T1141" i="9"/>
  <c r="V950" i="9"/>
  <c r="V1528" i="9"/>
  <c r="V1142" i="9"/>
  <c r="V1336" i="9"/>
  <c r="F184" i="42" l="1"/>
  <c r="E186" i="42"/>
  <c r="A187" i="42"/>
  <c r="B186" i="42"/>
  <c r="D185" i="42"/>
  <c r="C185" i="42"/>
  <c r="T1528" i="9"/>
  <c r="T1142" i="9"/>
  <c r="T1336" i="9"/>
  <c r="V951" i="9"/>
  <c r="V1529" i="9"/>
  <c r="V1143" i="9"/>
  <c r="V1337" i="9"/>
  <c r="F185" i="42" l="1"/>
  <c r="D186" i="42"/>
  <c r="C186" i="42"/>
  <c r="E187" i="42"/>
  <c r="A188" i="42"/>
  <c r="B187" i="42"/>
  <c r="T1337" i="9"/>
  <c r="T1143" i="9"/>
  <c r="T1529" i="9"/>
  <c r="V952" i="9"/>
  <c r="V1530" i="9"/>
  <c r="V1338" i="9"/>
  <c r="V1144" i="9"/>
  <c r="F186" i="42" l="1"/>
  <c r="E188" i="42"/>
  <c r="A189" i="42"/>
  <c r="B188" i="42"/>
  <c r="D187" i="42"/>
  <c r="C187" i="42"/>
  <c r="T1144" i="9"/>
  <c r="T1530" i="9"/>
  <c r="T1338" i="9"/>
  <c r="V953" i="9"/>
  <c r="V1531" i="9"/>
  <c r="V1339" i="9"/>
  <c r="V1145" i="9"/>
  <c r="F187" i="42" l="1"/>
  <c r="D188" i="42"/>
  <c r="C188" i="42"/>
  <c r="E189" i="42"/>
  <c r="A190" i="42"/>
  <c r="B189" i="42"/>
  <c r="T1531" i="9"/>
  <c r="T1339" i="9"/>
  <c r="T1145" i="9"/>
  <c r="V954" i="9"/>
  <c r="V1532" i="9"/>
  <c r="V1340" i="9"/>
  <c r="V1146" i="9"/>
  <c r="F188" i="42" l="1"/>
  <c r="E190" i="42"/>
  <c r="A191" i="42"/>
  <c r="B190" i="42"/>
  <c r="D189" i="42"/>
  <c r="C189" i="42"/>
  <c r="T1532" i="9"/>
  <c r="T1340" i="9"/>
  <c r="T1146" i="9"/>
  <c r="V955" i="9"/>
  <c r="V1533" i="9"/>
  <c r="V1341" i="9"/>
  <c r="V1147" i="9"/>
  <c r="F189" i="42" l="1"/>
  <c r="D190" i="42"/>
  <c r="C190" i="42"/>
  <c r="E191" i="42"/>
  <c r="A192" i="42"/>
  <c r="B191" i="42"/>
  <c r="T1533" i="9"/>
  <c r="T1341" i="9"/>
  <c r="T1147" i="9"/>
  <c r="V956" i="9"/>
  <c r="V1534" i="9"/>
  <c r="V1148" i="9"/>
  <c r="V1342" i="9"/>
  <c r="F190" i="42" l="1"/>
  <c r="E192" i="42"/>
  <c r="A193" i="42"/>
  <c r="B192" i="42"/>
  <c r="D191" i="42"/>
  <c r="C191" i="42"/>
  <c r="T1148" i="9"/>
  <c r="T1534" i="9"/>
  <c r="T1342" i="9"/>
  <c r="V957" i="9"/>
  <c r="V1535" i="9"/>
  <c r="V1343" i="9"/>
  <c r="V1149" i="9"/>
  <c r="F191" i="42" l="1"/>
  <c r="D192" i="42"/>
  <c r="C192" i="42"/>
  <c r="E193" i="42"/>
  <c r="A194" i="42"/>
  <c r="B193" i="42"/>
  <c r="T1343" i="9"/>
  <c r="T1535" i="9"/>
  <c r="T1149" i="9"/>
  <c r="V958" i="9"/>
  <c r="V1536" i="9"/>
  <c r="V1344" i="9"/>
  <c r="V1150" i="9"/>
  <c r="F192" i="42" l="1"/>
  <c r="E194" i="42"/>
  <c r="A195" i="42"/>
  <c r="B194" i="42"/>
  <c r="D193" i="42"/>
  <c r="C193" i="42"/>
  <c r="T1536" i="9"/>
  <c r="T1344" i="9"/>
  <c r="T1150" i="9"/>
  <c r="V959" i="9"/>
  <c r="V1537" i="9"/>
  <c r="V1345" i="9"/>
  <c r="V1151" i="9"/>
  <c r="F193" i="42" l="1"/>
  <c r="D194" i="42"/>
  <c r="C194" i="42"/>
  <c r="E195" i="42"/>
  <c r="A196" i="42"/>
  <c r="B195" i="42"/>
  <c r="T1345" i="9"/>
  <c r="T1537" i="9"/>
  <c r="T1151" i="9"/>
  <c r="V960" i="9"/>
  <c r="V1538" i="9"/>
  <c r="V1346" i="9"/>
  <c r="V1152" i="9"/>
  <c r="F194" i="42" l="1"/>
  <c r="E196" i="42"/>
  <c r="A197" i="42"/>
  <c r="B196" i="42"/>
  <c r="D195" i="42"/>
  <c r="C195" i="42"/>
  <c r="T1152" i="9"/>
  <c r="T1538" i="9"/>
  <c r="T1346" i="9"/>
  <c r="V961" i="9"/>
  <c r="V1539" i="9"/>
  <c r="V1347" i="9"/>
  <c r="V1153" i="9"/>
  <c r="F195" i="42" l="1"/>
  <c r="D196" i="42"/>
  <c r="C196" i="42"/>
  <c r="E197" i="42"/>
  <c r="A198" i="42"/>
  <c r="B197" i="42"/>
  <c r="T1539" i="9"/>
  <c r="T1347" i="9"/>
  <c r="T1153" i="9"/>
  <c r="V962" i="9"/>
  <c r="V1540" i="9"/>
  <c r="V1348" i="9"/>
  <c r="V1154" i="9"/>
  <c r="F196" i="42" l="1"/>
  <c r="E198" i="42"/>
  <c r="A199" i="42"/>
  <c r="B198" i="42"/>
  <c r="D197" i="42"/>
  <c r="C197" i="42"/>
  <c r="T1540" i="9"/>
  <c r="T1348" i="9"/>
  <c r="T1154" i="9"/>
  <c r="V963" i="9"/>
  <c r="V1541" i="9"/>
  <c r="V1349" i="9"/>
  <c r="V1155" i="9"/>
  <c r="F197" i="42" l="1"/>
  <c r="D198" i="42"/>
  <c r="C198" i="42"/>
  <c r="E199" i="42"/>
  <c r="A200" i="42"/>
  <c r="B199" i="42"/>
  <c r="T1155" i="9"/>
  <c r="T1541" i="9"/>
  <c r="T1349" i="9"/>
  <c r="V964" i="9"/>
  <c r="V1542" i="9"/>
  <c r="V1350" i="9"/>
  <c r="V1156" i="9"/>
  <c r="F198" i="42" l="1"/>
  <c r="E200" i="42"/>
  <c r="A201" i="42"/>
  <c r="B200" i="42"/>
  <c r="D199" i="42"/>
  <c r="C199" i="42"/>
  <c r="T1156" i="9"/>
  <c r="T1542" i="9"/>
  <c r="T1350" i="9"/>
  <c r="V965" i="9"/>
  <c r="V1543" i="9"/>
  <c r="V1351" i="9"/>
  <c r="V1157" i="9"/>
  <c r="F199" i="42" l="1"/>
  <c r="D200" i="42"/>
  <c r="C200" i="42"/>
  <c r="E201" i="42"/>
  <c r="A202" i="42"/>
  <c r="B201" i="42"/>
  <c r="T1543" i="9"/>
  <c r="T1351" i="9"/>
  <c r="T1157" i="9"/>
  <c r="V966" i="9"/>
  <c r="V1544" i="9"/>
  <c r="V1352" i="9"/>
  <c r="V1158" i="9"/>
  <c r="F200" i="42" l="1"/>
  <c r="E202" i="42"/>
  <c r="A203" i="42"/>
  <c r="B202" i="42"/>
  <c r="D201" i="42"/>
  <c r="C201" i="42"/>
  <c r="T1544" i="9"/>
  <c r="T1352" i="9"/>
  <c r="T1158" i="9"/>
  <c r="V967" i="9"/>
  <c r="V1159" i="9"/>
  <c r="F201" i="42" l="1"/>
  <c r="D202" i="42"/>
  <c r="C202" i="42"/>
  <c r="E203" i="42"/>
  <c r="A204" i="42"/>
  <c r="B203" i="42"/>
  <c r="T1159" i="9"/>
  <c r="V968" i="9"/>
  <c r="V1160" i="9"/>
  <c r="F202" i="42" l="1"/>
  <c r="E204" i="42"/>
  <c r="A205" i="42"/>
  <c r="B204" i="42"/>
  <c r="D203" i="42"/>
  <c r="C203" i="42"/>
  <c r="T1160" i="9"/>
  <c r="F203" i="42" l="1"/>
  <c r="D204" i="42"/>
  <c r="C204" i="42"/>
  <c r="E205" i="42"/>
  <c r="A206" i="42"/>
  <c r="B205" i="42"/>
  <c r="T797" i="9"/>
  <c r="T778" i="9"/>
  <c r="T784" i="9"/>
  <c r="T782" i="9"/>
  <c r="T777" i="9"/>
  <c r="T783" i="9"/>
  <c r="T780" i="9"/>
  <c r="T953" i="9"/>
  <c r="T789" i="9"/>
  <c r="T813" i="9"/>
  <c r="T790" i="9"/>
  <c r="T794" i="9"/>
  <c r="T801" i="9"/>
  <c r="T802" i="9"/>
  <c r="T807" i="9"/>
  <c r="T809" i="9"/>
  <c r="T814" i="9"/>
  <c r="T819" i="9"/>
  <c r="T821" i="9"/>
  <c r="T823" i="9"/>
  <c r="T825" i="9"/>
  <c r="T829" i="9"/>
  <c r="T833" i="9"/>
  <c r="T835" i="9"/>
  <c r="T839" i="9"/>
  <c r="T792" i="9"/>
  <c r="T804" i="9"/>
  <c r="T810" i="9"/>
  <c r="T822" i="9"/>
  <c r="T826" i="9"/>
  <c r="T845" i="9"/>
  <c r="T853" i="9"/>
  <c r="T855" i="9"/>
  <c r="T859" i="9"/>
  <c r="T865" i="9"/>
  <c r="T796" i="9"/>
  <c r="T812" i="9"/>
  <c r="T831" i="9"/>
  <c r="T834" i="9"/>
  <c r="T800" i="9"/>
  <c r="T816" i="9"/>
  <c r="T848" i="9"/>
  <c r="T854" i="9"/>
  <c r="T856" i="9"/>
  <c r="T858" i="9"/>
  <c r="T864" i="9"/>
  <c r="T870" i="9"/>
  <c r="T876" i="9"/>
  <c r="T808" i="9"/>
  <c r="T880" i="9"/>
  <c r="T888" i="9"/>
  <c r="T890" i="9"/>
  <c r="T894" i="9"/>
  <c r="T896" i="9"/>
  <c r="T904" i="9"/>
  <c r="T906" i="9"/>
  <c r="T811" i="9"/>
  <c r="T871" i="9"/>
  <c r="T830" i="9"/>
  <c r="T877" i="9"/>
  <c r="T881" i="9"/>
  <c r="T883" i="9"/>
  <c r="T885" i="9"/>
  <c r="T889" i="9"/>
  <c r="T893" i="9"/>
  <c r="T895" i="9"/>
  <c r="T897" i="9"/>
  <c r="T873" i="9"/>
  <c r="T907" i="9"/>
  <c r="T913" i="9"/>
  <c r="T920" i="9"/>
  <c r="T922" i="9"/>
  <c r="T928" i="9"/>
  <c r="T934" i="9"/>
  <c r="T938" i="9"/>
  <c r="T942" i="9"/>
  <c r="T946" i="9"/>
  <c r="T952" i="9"/>
  <c r="T960" i="9"/>
  <c r="T962" i="9"/>
  <c r="T964" i="9"/>
  <c r="T967" i="9"/>
  <c r="T806" i="9"/>
  <c r="T949" i="9"/>
  <c r="T899" i="9"/>
  <c r="T901" i="9"/>
  <c r="T909" i="9"/>
  <c r="T915" i="9"/>
  <c r="T917" i="9"/>
  <c r="T919" i="9"/>
  <c r="T925" i="9"/>
  <c r="T927" i="9"/>
  <c r="T933" i="9"/>
  <c r="T935" i="9"/>
  <c r="T941" i="9"/>
  <c r="T943" i="9"/>
  <c r="T950" i="9"/>
  <c r="T961" i="9"/>
  <c r="T963" i="9"/>
  <c r="T911" i="9"/>
  <c r="T905" i="9"/>
  <c r="T791" i="9"/>
  <c r="T795" i="9"/>
  <c r="T817" i="9"/>
  <c r="T827" i="9"/>
  <c r="T843" i="9"/>
  <c r="T849" i="9"/>
  <c r="T861" i="9"/>
  <c r="T788" i="9"/>
  <c r="T832" i="9"/>
  <c r="T828" i="9"/>
  <c r="T846" i="9"/>
  <c r="T852" i="9"/>
  <c r="T866" i="9"/>
  <c r="T872" i="9"/>
  <c r="T798" i="9"/>
  <c r="T863" i="9"/>
  <c r="T869" i="9"/>
  <c r="T875" i="9"/>
  <c r="T882" i="9"/>
  <c r="T900" i="9"/>
  <c r="T910" i="9"/>
  <c r="T840" i="9"/>
  <c r="T887" i="9"/>
  <c r="T844" i="9"/>
  <c r="T916" i="9"/>
  <c r="T926" i="9"/>
  <c r="T932" i="9"/>
  <c r="T956" i="9"/>
  <c r="T966" i="9"/>
  <c r="T886" i="9"/>
  <c r="T903" i="9"/>
  <c r="T923" i="9"/>
  <c r="T929" i="9"/>
  <c r="T939" i="9"/>
  <c r="T945" i="9"/>
  <c r="T955" i="9"/>
  <c r="T954" i="9"/>
  <c r="T936" i="9"/>
  <c r="T805" i="9"/>
  <c r="T857" i="9"/>
  <c r="T836" i="9"/>
  <c r="T818" i="9"/>
  <c r="T862" i="9"/>
  <c r="T867" i="9"/>
  <c r="T892" i="9"/>
  <c r="T912" i="9"/>
  <c r="T824" i="9"/>
  <c r="T891" i="9"/>
  <c r="T914" i="9"/>
  <c r="T958" i="9"/>
  <c r="T838" i="9"/>
  <c r="T921" i="9"/>
  <c r="T965" i="9"/>
  <c r="T944" i="9"/>
  <c r="T815" i="9"/>
  <c r="T803" i="9"/>
  <c r="T841" i="9"/>
  <c r="T842" i="9"/>
  <c r="T868" i="9"/>
  <c r="T898" i="9"/>
  <c r="T918" i="9"/>
  <c r="T940" i="9"/>
  <c r="T947" i="9"/>
  <c r="T793" i="9"/>
  <c r="T837" i="9"/>
  <c r="T847" i="9"/>
  <c r="T799" i="9"/>
  <c r="T860" i="9"/>
  <c r="T850" i="9"/>
  <c r="T874" i="9"/>
  <c r="T878" i="9"/>
  <c r="T902" i="9"/>
  <c r="T879" i="9"/>
  <c r="T924" i="9"/>
  <c r="T948" i="9"/>
  <c r="T968" i="9"/>
  <c r="T957" i="9"/>
  <c r="T931" i="9"/>
  <c r="T951" i="9"/>
  <c r="T884" i="9"/>
  <c r="T937" i="9"/>
  <c r="T908" i="9"/>
  <c r="T930" i="9"/>
  <c r="T959" i="9"/>
  <c r="T820" i="9"/>
  <c r="T786" i="9"/>
  <c r="T785" i="9"/>
  <c r="T787" i="9"/>
  <c r="T781" i="9"/>
  <c r="T779" i="9"/>
  <c r="T851" i="9"/>
  <c r="F204" i="42" l="1"/>
  <c r="E206" i="42"/>
  <c r="B206" i="42"/>
  <c r="A207" i="42"/>
  <c r="D205" i="42"/>
  <c r="C205" i="42"/>
  <c r="E3" i="2"/>
  <c r="B2" i="2"/>
  <c r="H484" i="9" a="1"/>
  <c r="H560" i="9" a="1"/>
  <c r="H477" i="9" a="1"/>
  <c r="H577" i="9" a="1"/>
  <c r="H463" i="9" a="1"/>
  <c r="H502" i="9" a="1"/>
  <c r="H541" i="9" a="1"/>
  <c r="H515" i="9" a="1"/>
  <c r="H527" i="9" a="1"/>
  <c r="H485" i="9" a="1"/>
  <c r="H563" i="9" a="1"/>
  <c r="H455" i="9" a="1"/>
  <c r="H545" i="9" a="1"/>
  <c r="H422" i="9" a="1"/>
  <c r="H584" i="9" a="1"/>
  <c r="H449" i="9" a="1"/>
  <c r="H415" i="9" a="1"/>
  <c r="H543" i="9" a="1"/>
  <c r="H397" i="9" a="1"/>
  <c r="H488" i="9" a="1"/>
  <c r="H552" i="9" a="1"/>
  <c r="H511" i="9" a="1"/>
  <c r="H394" i="9" a="1"/>
  <c r="H398" i="9" a="1"/>
  <c r="H411" i="9" a="1"/>
  <c r="H482" i="9" a="1"/>
  <c r="H576" i="9" a="1"/>
  <c r="H564" i="9" a="1"/>
  <c r="H402" i="9" a="1"/>
  <c r="H517" i="9" a="1"/>
  <c r="H565" i="9" a="1"/>
  <c r="H424" i="9" a="1"/>
  <c r="H493" i="9" a="1"/>
  <c r="H436" i="9" a="1"/>
  <c r="H396" i="9" a="1"/>
  <c r="H491" i="9" a="1"/>
  <c r="H492" i="9" a="1"/>
  <c r="H416" i="9" a="1"/>
  <c r="H404" i="9" a="1"/>
  <c r="H549" i="9" a="1"/>
  <c r="H432" i="9" a="1"/>
  <c r="H445" i="9" a="1"/>
  <c r="H400" i="9" a="1"/>
  <c r="H468" i="9" a="1"/>
  <c r="H469" i="9" a="1"/>
  <c r="H461" i="9" a="1"/>
  <c r="H440" i="9" a="1"/>
  <c r="H583" i="9" a="1"/>
  <c r="H417" i="9" a="1"/>
  <c r="H467" i="9" a="1"/>
  <c r="H495" i="9" a="1"/>
  <c r="H409" i="9" a="1"/>
  <c r="H547" i="9" a="1"/>
  <c r="H453" i="9" a="1"/>
  <c r="H454" i="9" a="1"/>
  <c r="H518" i="9" a="1"/>
  <c r="H478" i="9" a="1"/>
  <c r="H566" i="9" a="1"/>
  <c r="H507" i="9" a="1"/>
  <c r="H505" i="9" a="1"/>
  <c r="H497" i="9" a="1"/>
  <c r="H480" i="9" a="1"/>
  <c r="H429" i="9" a="1"/>
  <c r="H483" i="9" a="1"/>
  <c r="H571" i="9" a="1"/>
  <c r="H407" i="9" a="1"/>
  <c r="H544" i="9" a="1"/>
  <c r="H419" i="9" a="1"/>
  <c r="H405" i="9" a="1"/>
  <c r="H513" i="9" a="1"/>
  <c r="H456" i="9" a="1"/>
  <c r="H459" i="9" a="1"/>
  <c r="H465" i="9" a="1"/>
  <c r="H498" i="9" a="1"/>
  <c r="H508" i="9" a="1"/>
  <c r="H521" i="9" a="1"/>
  <c r="H420" i="9" a="1"/>
  <c r="H523" i="9" a="1"/>
  <c r="H570" i="9" a="1"/>
  <c r="H546" i="9" a="1"/>
  <c r="H408" i="9" a="1"/>
  <c r="H558" i="9" a="1"/>
  <c r="H574" i="9" a="1"/>
  <c r="H520" i="9" a="1"/>
  <c r="H504" i="9" a="1"/>
  <c r="H536" i="9" a="1"/>
  <c r="H470" i="9" a="1"/>
  <c r="H410" i="9" a="1"/>
  <c r="H418" i="9" a="1"/>
  <c r="H474" i="9" a="1"/>
  <c r="H496" i="9" a="1"/>
  <c r="H437" i="9" a="1"/>
  <c r="H501" i="9" a="1"/>
  <c r="H522" i="9" a="1"/>
  <c r="H464" i="9" a="1"/>
  <c r="H506" i="9" a="1"/>
  <c r="H447" i="9" a="1"/>
  <c r="H458" i="9" a="1"/>
  <c r="H444" i="9" a="1"/>
  <c r="H553" i="9" a="1"/>
  <c r="H443" i="9" a="1"/>
  <c r="H567" i="9" a="1"/>
  <c r="H503" i="9" a="1"/>
  <c r="H554" i="9" a="1"/>
  <c r="H538" i="9" a="1"/>
  <c r="H473" i="9" a="1"/>
  <c r="H575" i="9" a="1"/>
  <c r="H490" i="9" a="1"/>
  <c r="H460" i="9" a="1"/>
  <c r="H582" i="9" a="1"/>
  <c r="H512" i="9" a="1"/>
  <c r="H542" i="9" a="1"/>
  <c r="H509" i="9" a="1"/>
  <c r="H431" i="9" a="1"/>
  <c r="H479" i="9" a="1"/>
  <c r="H535" i="9" a="1"/>
  <c r="H510" i="9" a="1"/>
  <c r="H406" i="9" a="1"/>
  <c r="H539" i="9" a="1"/>
  <c r="H475" i="9" a="1"/>
  <c r="H446" i="9" a="1"/>
  <c r="H476" i="9" a="1"/>
  <c r="H438" i="9" a="1"/>
  <c r="H537" i="9" a="1"/>
  <c r="H426" i="9" a="1"/>
  <c r="H427" i="9" a="1"/>
  <c r="H530" i="9" a="1"/>
  <c r="H533" i="9" a="1"/>
  <c r="H581" i="9" a="1"/>
  <c r="H524" i="9" a="1"/>
  <c r="H414" i="9" a="1"/>
  <c r="H500" i="9" a="1"/>
  <c r="H519" i="9" a="1"/>
  <c r="H401" i="9" a="1"/>
  <c r="H514" i="9" a="1"/>
  <c r="H489" i="9" a="1"/>
  <c r="H452" i="9" a="1"/>
  <c r="H569" i="9" a="1"/>
  <c r="H395" i="9" a="1"/>
  <c r="H580" i="9" a="1"/>
  <c r="H559" i="9" a="1"/>
  <c r="H528" i="9" a="1"/>
  <c r="H462" i="9" a="1"/>
  <c r="H487" i="9" a="1"/>
  <c r="H439" i="9" a="1"/>
  <c r="H448" i="9" a="1"/>
  <c r="H573" i="9" a="1"/>
  <c r="H525" i="9" a="1"/>
  <c r="H555" i="9" a="1"/>
  <c r="H572" i="9" a="1"/>
  <c r="H451" i="9" a="1"/>
  <c r="H561" i="9" a="1"/>
  <c r="H457" i="9" a="1"/>
  <c r="H578" i="9" a="1"/>
  <c r="H412" i="9" a="1"/>
  <c r="H434" i="9" a="1"/>
  <c r="H466" i="9" a="1"/>
  <c r="H486" i="9" a="1"/>
  <c r="H556" i="9" a="1"/>
  <c r="H481" i="9" a="1"/>
  <c r="H413" i="9" a="1"/>
  <c r="H471" i="9" a="1"/>
  <c r="H534" i="9" a="1"/>
  <c r="H433" i="9" a="1"/>
  <c r="H472" i="9" a="1"/>
  <c r="H421" i="9" a="1"/>
  <c r="H403" i="9" a="1"/>
  <c r="H435" i="9" a="1"/>
  <c r="H442" i="9" a="1"/>
  <c r="H557" i="9" a="1"/>
  <c r="H393" i="9" a="1"/>
  <c r="H562" i="9" a="1"/>
  <c r="H516" i="9" a="1"/>
  <c r="H425" i="9" a="1"/>
  <c r="H532" i="9" a="1"/>
  <c r="H399" i="9" a="1"/>
  <c r="H430" i="9" a="1"/>
  <c r="H579" i="9" a="1"/>
  <c r="H526" i="9" a="1"/>
  <c r="H540" i="9" a="1"/>
  <c r="H428" i="9" a="1"/>
  <c r="H550" i="9" a="1"/>
  <c r="H568" i="9" a="1"/>
  <c r="H531" i="9" a="1"/>
  <c r="H548" i="9" a="1"/>
  <c r="H529" i="9" a="1"/>
  <c r="H499" i="9" a="1"/>
  <c r="H450" i="9" a="1"/>
  <c r="H441" i="9" a="1"/>
  <c r="H494" i="9" a="1"/>
  <c r="H551" i="9" a="1"/>
  <c r="H423" i="9" a="1"/>
  <c r="F205" i="42" l="1"/>
  <c r="E207" i="42"/>
  <c r="A208" i="42"/>
  <c r="B207" i="42"/>
  <c r="D206" i="42"/>
  <c r="C206" i="42"/>
  <c r="H393" i="9"/>
  <c r="H396" i="9"/>
  <c r="H401" i="9"/>
  <c r="H404" i="9"/>
  <c r="H409" i="9"/>
  <c r="H412" i="9"/>
  <c r="H417" i="9"/>
  <c r="H420" i="9"/>
  <c r="H425" i="9"/>
  <c r="H394" i="9"/>
  <c r="H399" i="9"/>
  <c r="H402" i="9"/>
  <c r="H397" i="9"/>
  <c r="H400" i="9"/>
  <c r="H405" i="9"/>
  <c r="H408" i="9"/>
  <c r="H413" i="9"/>
  <c r="H416" i="9"/>
  <c r="H421" i="9"/>
  <c r="H424" i="9"/>
  <c r="H398" i="9"/>
  <c r="H406" i="9"/>
  <c r="H411" i="9"/>
  <c r="H422" i="9"/>
  <c r="H427" i="9"/>
  <c r="H431" i="9"/>
  <c r="H435" i="9"/>
  <c r="H438" i="9"/>
  <c r="H443" i="9"/>
  <c r="H446" i="9"/>
  <c r="H451" i="9"/>
  <c r="H454" i="9"/>
  <c r="H407" i="9"/>
  <c r="H418" i="9"/>
  <c r="H423" i="9"/>
  <c r="H428" i="9"/>
  <c r="H432" i="9"/>
  <c r="H436" i="9"/>
  <c r="H441" i="9"/>
  <c r="H444" i="9"/>
  <c r="H449" i="9"/>
  <c r="H452" i="9"/>
  <c r="H457" i="9"/>
  <c r="H403" i="9"/>
  <c r="H414" i="9"/>
  <c r="H419" i="9"/>
  <c r="H429" i="9"/>
  <c r="H433" i="9"/>
  <c r="H439" i="9"/>
  <c r="H442" i="9"/>
  <c r="H447" i="9"/>
  <c r="H450" i="9"/>
  <c r="H455" i="9"/>
  <c r="H410" i="9"/>
  <c r="H430" i="9"/>
  <c r="H453" i="9"/>
  <c r="H460" i="9"/>
  <c r="H463" i="9"/>
  <c r="H466" i="9"/>
  <c r="H471" i="9"/>
  <c r="H474" i="9"/>
  <c r="H479" i="9"/>
  <c r="H482" i="9"/>
  <c r="H487" i="9"/>
  <c r="H490" i="9"/>
  <c r="H495" i="9"/>
  <c r="H498" i="9"/>
  <c r="H503" i="9"/>
  <c r="H506" i="9"/>
  <c r="H511" i="9"/>
  <c r="H514" i="9"/>
  <c r="H519" i="9"/>
  <c r="H522" i="9"/>
  <c r="H527" i="9"/>
  <c r="H530" i="9"/>
  <c r="H535" i="9"/>
  <c r="H538" i="9"/>
  <c r="H543" i="9"/>
  <c r="H546" i="9"/>
  <c r="H551" i="9"/>
  <c r="H554" i="9"/>
  <c r="H559" i="9"/>
  <c r="H562" i="9"/>
  <c r="H567" i="9"/>
  <c r="H570" i="9"/>
  <c r="H415" i="9"/>
  <c r="H434" i="9"/>
  <c r="H445" i="9"/>
  <c r="H456" i="9"/>
  <c r="H461" i="9"/>
  <c r="H464" i="9"/>
  <c r="H469" i="9"/>
  <c r="H472" i="9"/>
  <c r="H477" i="9"/>
  <c r="H480" i="9"/>
  <c r="H485" i="9"/>
  <c r="H488" i="9"/>
  <c r="H493" i="9"/>
  <c r="H496" i="9"/>
  <c r="H501" i="9"/>
  <c r="H504" i="9"/>
  <c r="H509" i="9"/>
  <c r="H512" i="9"/>
  <c r="H517" i="9"/>
  <c r="H520" i="9"/>
  <c r="H525" i="9"/>
  <c r="H528" i="9"/>
  <c r="H533" i="9"/>
  <c r="H536" i="9"/>
  <c r="H541" i="9"/>
  <c r="H544" i="9"/>
  <c r="H549" i="9"/>
  <c r="H552" i="9"/>
  <c r="H557" i="9"/>
  <c r="H560" i="9"/>
  <c r="H565" i="9"/>
  <c r="H568" i="9"/>
  <c r="H573" i="9"/>
  <c r="H575" i="9"/>
  <c r="H577" i="9"/>
  <c r="H579" i="9"/>
  <c r="H581" i="9"/>
  <c r="H583" i="9"/>
  <c r="H395" i="9"/>
  <c r="H437" i="9"/>
  <c r="H448" i="9"/>
  <c r="H458" i="9"/>
  <c r="H462" i="9"/>
  <c r="H467" i="9"/>
  <c r="H470" i="9"/>
  <c r="H475" i="9"/>
  <c r="H478" i="9"/>
  <c r="H483" i="9"/>
  <c r="H486" i="9"/>
  <c r="H491" i="9"/>
  <c r="H494" i="9"/>
  <c r="H499" i="9"/>
  <c r="H502" i="9"/>
  <c r="H507" i="9"/>
  <c r="H510" i="9"/>
  <c r="H515" i="9"/>
  <c r="H518" i="9"/>
  <c r="H523" i="9"/>
  <c r="H526" i="9"/>
  <c r="H531" i="9"/>
  <c r="H534" i="9"/>
  <c r="H539" i="9"/>
  <c r="H542" i="9"/>
  <c r="H547" i="9"/>
  <c r="H550" i="9"/>
  <c r="H555" i="9"/>
  <c r="H558" i="9"/>
  <c r="H563" i="9"/>
  <c r="H566" i="9"/>
  <c r="H571" i="9"/>
  <c r="H459" i="9"/>
  <c r="H481" i="9"/>
  <c r="H492" i="9"/>
  <c r="H513" i="9"/>
  <c r="H524" i="9"/>
  <c r="H545" i="9"/>
  <c r="H556" i="9"/>
  <c r="H576" i="9"/>
  <c r="H584" i="9"/>
  <c r="H440" i="9"/>
  <c r="H468" i="9"/>
  <c r="H484" i="9"/>
  <c r="H497" i="9"/>
  <c r="H540" i="9"/>
  <c r="H553" i="9"/>
  <c r="H569" i="9"/>
  <c r="H580" i="9"/>
  <c r="H473" i="9"/>
  <c r="H500" i="9"/>
  <c r="H516" i="9"/>
  <c r="H529" i="9"/>
  <c r="H572" i="9"/>
  <c r="H582" i="9"/>
  <c r="H476" i="9"/>
  <c r="H489" i="9"/>
  <c r="H505" i="9"/>
  <c r="H532" i="9"/>
  <c r="H548" i="9"/>
  <c r="H561" i="9"/>
  <c r="H574" i="9"/>
  <c r="H426" i="9"/>
  <c r="H508" i="9"/>
  <c r="H564" i="9"/>
  <c r="H465" i="9"/>
  <c r="H521" i="9"/>
  <c r="H578" i="9"/>
  <c r="H537" i="9"/>
  <c r="E2" i="2"/>
  <c r="G3" i="2"/>
  <c r="F3" i="2"/>
  <c r="F206" i="42" l="1"/>
  <c r="D207" i="42"/>
  <c r="C207" i="42"/>
  <c r="E208" i="42"/>
  <c r="A209" i="42"/>
  <c r="B208" i="42"/>
  <c r="F3" i="1"/>
  <c r="B2" i="1"/>
  <c r="F207" i="42" l="1"/>
  <c r="D208" i="42"/>
  <c r="C208" i="42"/>
  <c r="E209" i="42"/>
  <c r="A210" i="42"/>
  <c r="B209" i="42"/>
  <c r="A2" i="1"/>
  <c r="G3" i="1"/>
  <c r="F208" i="42" l="1"/>
  <c r="E210" i="42"/>
  <c r="A211" i="42"/>
  <c r="B210" i="42"/>
  <c r="D209" i="42"/>
  <c r="C209" i="42"/>
  <c r="E3" i="3"/>
  <c r="B2" i="3"/>
  <c r="F209" i="42" l="1"/>
  <c r="D210" i="42"/>
  <c r="C210" i="42"/>
  <c r="E211" i="42"/>
  <c r="A212" i="42"/>
  <c r="B211" i="42"/>
  <c r="E2" i="3"/>
  <c r="F3" i="3"/>
  <c r="G3" i="3"/>
  <c r="F210" i="42" l="1"/>
  <c r="E212" i="42"/>
  <c r="A213" i="42"/>
  <c r="B212" i="42"/>
  <c r="D211" i="42"/>
  <c r="C211" i="42"/>
  <c r="F2" i="3"/>
  <c r="G2" i="3"/>
  <c r="F211" i="42" l="1"/>
  <c r="D212" i="42"/>
  <c r="C212" i="42"/>
  <c r="E213" i="42"/>
  <c r="A214" i="42"/>
  <c r="B213" i="42"/>
  <c r="V10" i="9"/>
  <c r="V12" i="9"/>
  <c r="V13" i="9"/>
  <c r="V11" i="9"/>
  <c r="F212" i="42" l="1"/>
  <c r="E214" i="42"/>
  <c r="A215" i="42"/>
  <c r="B214" i="42"/>
  <c r="D213" i="42"/>
  <c r="C213" i="42"/>
  <c r="T12" i="9"/>
  <c r="T11" i="9"/>
  <c r="V14" i="9"/>
  <c r="T10" i="9"/>
  <c r="T13" i="9"/>
  <c r="F213" i="42" l="1"/>
  <c r="D214" i="42"/>
  <c r="C214" i="42"/>
  <c r="E215" i="42"/>
  <c r="A216" i="42"/>
  <c r="B215" i="42"/>
  <c r="T14" i="9"/>
  <c r="V15" i="9"/>
  <c r="F214" i="42" l="1"/>
  <c r="E216" i="42"/>
  <c r="A217" i="42"/>
  <c r="B216" i="42"/>
  <c r="D215" i="42"/>
  <c r="C215" i="42"/>
  <c r="V16" i="9"/>
  <c r="T15" i="9"/>
  <c r="F215" i="42" l="1"/>
  <c r="D216" i="42"/>
  <c r="C216" i="42"/>
  <c r="E217" i="42"/>
  <c r="A218" i="42"/>
  <c r="B217" i="42"/>
  <c r="T16" i="9"/>
  <c r="V17" i="9"/>
  <c r="F216" i="42" l="1"/>
  <c r="E218" i="42"/>
  <c r="A219" i="42"/>
  <c r="B218" i="42"/>
  <c r="D217" i="42"/>
  <c r="C217" i="42"/>
  <c r="T17" i="9"/>
  <c r="V18" i="9"/>
  <c r="F217" i="42" l="1"/>
  <c r="D218" i="42"/>
  <c r="C218" i="42"/>
  <c r="E219" i="42"/>
  <c r="A220" i="42"/>
  <c r="B219" i="42"/>
  <c r="V19" i="9"/>
  <c r="T18" i="9"/>
  <c r="F218" i="42" l="1"/>
  <c r="E220" i="42"/>
  <c r="A221" i="42"/>
  <c r="B220" i="42"/>
  <c r="D219" i="42"/>
  <c r="C219" i="42"/>
  <c r="V20" i="9"/>
  <c r="T19" i="9"/>
  <c r="F219" i="42" l="1"/>
  <c r="D220" i="42"/>
  <c r="C220" i="42"/>
  <c r="E221" i="42"/>
  <c r="A222" i="42"/>
  <c r="B221" i="42"/>
  <c r="V21" i="9"/>
  <c r="T20" i="9"/>
  <c r="F220" i="42" l="1"/>
  <c r="E222" i="42"/>
  <c r="A223" i="42"/>
  <c r="B222" i="42"/>
  <c r="D221" i="42"/>
  <c r="C221" i="42"/>
  <c r="V22" i="9"/>
  <c r="T21" i="9"/>
  <c r="D222" i="42" l="1"/>
  <c r="C222" i="42"/>
  <c r="E223" i="42"/>
  <c r="A224" i="42"/>
  <c r="B223" i="42"/>
  <c r="F221" i="42"/>
  <c r="T22" i="9"/>
  <c r="V23" i="9"/>
  <c r="F222" i="42" l="1"/>
  <c r="E224" i="42"/>
  <c r="B224" i="42"/>
  <c r="A225" i="42"/>
  <c r="D223" i="42"/>
  <c r="C223" i="42"/>
  <c r="V24" i="9"/>
  <c r="T23" i="9"/>
  <c r="H330" i="9" a="1"/>
  <c r="H676" i="9" a="1"/>
  <c r="H684" i="9" a="1"/>
  <c r="H624" i="9" a="1"/>
  <c r="H592" i="9" a="1"/>
  <c r="J473" i="9"/>
  <c r="H619" i="9" a="1"/>
  <c r="H651" i="9" a="1"/>
  <c r="H286" i="9" a="1"/>
  <c r="H661" i="9" a="1"/>
  <c r="H263" i="9" a="1"/>
  <c r="J485" i="9"/>
  <c r="J564" i="9"/>
  <c r="H761" i="9" a="1"/>
  <c r="J463" i="9"/>
  <c r="H688" i="9" a="1"/>
  <c r="H772" i="9" a="1"/>
  <c r="H391" i="9" a="1"/>
  <c r="J572" i="9"/>
  <c r="J504" i="9"/>
  <c r="H732" i="9" a="1"/>
  <c r="J518" i="9"/>
  <c r="H369" i="9" a="1"/>
  <c r="H276" i="9" a="1"/>
  <c r="J397" i="9"/>
  <c r="H705" i="9" a="1"/>
  <c r="H357" i="9" a="1"/>
  <c r="H329" i="9" a="1"/>
  <c r="I463" i="9"/>
  <c r="H706" i="9" a="1"/>
  <c r="H339" i="9" a="1"/>
  <c r="H664" i="9" a="1"/>
  <c r="H602" i="9" a="1"/>
  <c r="J465" i="9"/>
  <c r="H589" i="9" a="1"/>
  <c r="H360" i="9" a="1"/>
  <c r="J584" i="9"/>
  <c r="H284" i="9" a="1"/>
  <c r="H713" i="9" a="1"/>
  <c r="H758" i="9" a="1"/>
  <c r="H715" i="9" a="1"/>
  <c r="H640" i="9" a="1"/>
  <c r="H605" i="9" a="1"/>
  <c r="H743" i="9" a="1"/>
  <c r="H232" i="9" a="1"/>
  <c r="J500" i="9"/>
  <c r="J451" i="9"/>
  <c r="J413" i="9"/>
  <c r="J503" i="9"/>
  <c r="H262" i="9" a="1"/>
  <c r="J507" i="9"/>
  <c r="H205" i="9" a="1"/>
  <c r="J460" i="9"/>
  <c r="H773" i="9" a="1"/>
  <c r="H390" i="9" a="1"/>
  <c r="H774" i="9" a="1"/>
  <c r="J475" i="9"/>
  <c r="J450" i="9"/>
  <c r="J428" i="9"/>
  <c r="H368" i="9" a="1"/>
  <c r="J476" i="9"/>
  <c r="J492" i="9"/>
  <c r="H213" i="9" a="1"/>
  <c r="H247" i="9" a="1"/>
  <c r="J521" i="9"/>
  <c r="H308" i="9" a="1"/>
  <c r="J488" i="9"/>
  <c r="H597" i="9" a="1"/>
  <c r="H601" i="9" a="1"/>
  <c r="H234" i="9" a="1"/>
  <c r="H719" i="9" a="1"/>
  <c r="H630" i="9" a="1"/>
  <c r="H655" i="9" a="1"/>
  <c r="H270" i="9" a="1"/>
  <c r="H731" i="9" a="1"/>
  <c r="J497" i="9"/>
  <c r="J532" i="9"/>
  <c r="H745" i="9" a="1"/>
  <c r="J557" i="9"/>
  <c r="H654" i="9" a="1"/>
  <c r="J562" i="9"/>
  <c r="J533" i="9"/>
  <c r="I533" i="9"/>
  <c r="H220" i="9" a="1"/>
  <c r="H659" i="9" a="1"/>
  <c r="H212" i="9" a="1"/>
  <c r="H274" i="9" a="1"/>
  <c r="H384" i="9" a="1"/>
  <c r="J459" i="9"/>
  <c r="J432" i="9"/>
  <c r="H345" i="9" a="1"/>
  <c r="H243" i="9" a="1"/>
  <c r="Q432" i="9"/>
  <c r="H377" i="9" a="1"/>
  <c r="J427" i="9"/>
  <c r="H649" i="9" a="1"/>
  <c r="H371" i="9" a="1"/>
  <c r="H697" i="9" a="1"/>
  <c r="H269" i="9" a="1"/>
  <c r="J545" i="9"/>
  <c r="J425" i="9"/>
  <c r="I428" i="9"/>
  <c r="H712" i="9" a="1"/>
  <c r="H747" i="9" a="1"/>
  <c r="H354" i="9" a="1"/>
  <c r="J530" i="9"/>
  <c r="H763" i="9" a="1"/>
  <c r="J411" i="9"/>
  <c r="J423" i="9"/>
  <c r="J516" i="9"/>
  <c r="J529" i="9"/>
  <c r="H356" i="9" a="1"/>
  <c r="H717" i="9" a="1"/>
  <c r="H237" i="9" a="1"/>
  <c r="J519" i="9"/>
  <c r="J559" i="9"/>
  <c r="J407" i="9"/>
  <c r="J575" i="9"/>
  <c r="J571" i="9"/>
  <c r="H294" i="9" a="1"/>
  <c r="J561" i="9"/>
  <c r="J420" i="9"/>
  <c r="H249" i="9" a="1"/>
  <c r="H207" i="9" a="1"/>
  <c r="J426" i="9"/>
  <c r="H233" i="9" a="1"/>
  <c r="H588" i="9" a="1"/>
  <c r="I559" i="9"/>
  <c r="H304" i="9" a="1"/>
  <c r="H365" i="9" a="1"/>
  <c r="J486" i="9"/>
  <c r="H221" i="9" a="1"/>
  <c r="H327" i="9" a="1"/>
  <c r="H228" i="9" a="1"/>
  <c r="H674" i="9" a="1"/>
  <c r="H298" i="9" a="1"/>
  <c r="J527" i="9"/>
  <c r="H735" i="9" a="1"/>
  <c r="H696" i="9" a="1"/>
  <c r="H682" i="9" a="1"/>
  <c r="J566" i="9"/>
  <c r="H725" i="9" a="1"/>
  <c r="M423" i="9"/>
  <c r="H603" i="9" a="1"/>
  <c r="J453" i="9"/>
  <c r="H331" i="9" a="1"/>
  <c r="J438" i="9"/>
  <c r="Q559" i="9"/>
  <c r="M432" i="9"/>
  <c r="J457" i="9"/>
  <c r="H620" i="9" a="1"/>
  <c r="H254" i="9" a="1"/>
  <c r="H776" i="9" a="1"/>
  <c r="K533" i="9"/>
  <c r="P533" i="9"/>
  <c r="Q545" i="9"/>
  <c r="L428" i="9"/>
  <c r="I407" i="9"/>
  <c r="M575" i="9"/>
  <c r="M561" i="9"/>
  <c r="I486" i="9"/>
  <c r="Q457" i="9"/>
  <c r="H265" i="9" a="1"/>
  <c r="H257" i="9" a="1"/>
  <c r="H742" i="9" a="1"/>
  <c r="H255" i="9" a="1"/>
  <c r="I451" i="9"/>
  <c r="O451" i="9" s="1"/>
  <c r="O533" i="9"/>
  <c r="O428" i="9"/>
  <c r="Q423" i="9"/>
  <c r="Q575" i="9"/>
  <c r="I561" i="9"/>
  <c r="I420" i="9"/>
  <c r="M426" i="9"/>
  <c r="Q527" i="9"/>
  <c r="I438" i="9"/>
  <c r="I457" i="9"/>
  <c r="H352" i="9" a="1"/>
  <c r="H319" i="9" a="1"/>
  <c r="H373" i="9" a="1"/>
  <c r="H241" i="9" a="1"/>
  <c r="H328" i="9" a="1"/>
  <c r="H370" i="9" a="1"/>
  <c r="J412" i="9"/>
  <c r="M518" i="9"/>
  <c r="H202" i="9" a="1"/>
  <c r="H222" i="9" a="1"/>
  <c r="J541" i="9"/>
  <c r="J493" i="9"/>
  <c r="I584" i="9"/>
  <c r="M584" i="9"/>
  <c r="H746" i="9" a="1"/>
  <c r="H595" i="9" a="1"/>
  <c r="H637" i="9" a="1"/>
  <c r="H203" i="9" a="1"/>
  <c r="H738" i="9" a="1"/>
  <c r="J538" i="9"/>
  <c r="H268" i="9" a="1"/>
  <c r="H609" i="9" a="1"/>
  <c r="H235" i="9" a="1"/>
  <c r="J535" i="9"/>
  <c r="I535" i="9" s="1"/>
  <c r="H739" i="9" a="1"/>
  <c r="H639" i="9" a="1"/>
  <c r="H348" i="9" a="1"/>
  <c r="H253" i="9" a="1"/>
  <c r="H285" i="9" a="1"/>
  <c r="J410" i="9"/>
  <c r="H623" i="9" a="1"/>
  <c r="H300" i="9" a="1"/>
  <c r="H663" i="9" a="1"/>
  <c r="J443" i="9"/>
  <c r="I443" i="9" s="1"/>
  <c r="H272" i="9" a="1"/>
  <c r="I541" i="9"/>
  <c r="H612" i="9" a="1"/>
  <c r="H333" i="9" a="1"/>
  <c r="H699" i="9" a="1"/>
  <c r="H753" i="9" a="1"/>
  <c r="H617" i="9" a="1"/>
  <c r="H631" i="9" a="1"/>
  <c r="H587" i="9" a="1"/>
  <c r="J509" i="9"/>
  <c r="H278" i="9" a="1"/>
  <c r="J577" i="9"/>
  <c r="H729" i="9" a="1"/>
  <c r="H317" i="9" a="1"/>
  <c r="H343" i="9" a="1"/>
  <c r="J515" i="9"/>
  <c r="H350" i="9" a="1"/>
  <c r="H598" i="9" a="1"/>
  <c r="H648" i="9" a="1"/>
  <c r="H721" i="9" a="1"/>
  <c r="H299" i="9" a="1"/>
  <c r="J549" i="9"/>
  <c r="H281" i="9" a="1"/>
  <c r="J429" i="9"/>
  <c r="I519" i="9"/>
  <c r="J462" i="9"/>
  <c r="J431" i="9"/>
  <c r="Q518" i="9"/>
  <c r="J402" i="9"/>
  <c r="K559" i="9"/>
  <c r="P584" i="9"/>
  <c r="H223" i="9" a="1"/>
  <c r="J442" i="9"/>
  <c r="I427" i="9"/>
  <c r="P428" i="9"/>
  <c r="M519" i="9"/>
  <c r="I575" i="9"/>
  <c r="K438" i="9"/>
  <c r="H590" i="9" a="1"/>
  <c r="J405" i="9"/>
  <c r="H670" i="9" a="1"/>
  <c r="H307" i="9" a="1"/>
  <c r="J552" i="9"/>
  <c r="M552" i="9" s="1"/>
  <c r="J550" i="9"/>
  <c r="J403" i="9"/>
  <c r="H730" i="9" a="1"/>
  <c r="H703" i="9" a="1"/>
  <c r="J471" i="9"/>
  <c r="H374" i="9" a="1"/>
  <c r="J548" i="9"/>
  <c r="H759" i="9" a="1"/>
  <c r="H692" i="9" a="1"/>
  <c r="H378" i="9" a="1"/>
  <c r="J446" i="9"/>
  <c r="H279" i="9" a="1"/>
  <c r="H608" i="9" a="1"/>
  <c r="H238" i="9" a="1"/>
  <c r="H344" i="9" a="1"/>
  <c r="J441" i="9"/>
  <c r="M441" i="9" s="1"/>
  <c r="H224" i="9" a="1"/>
  <c r="H642" i="9" a="1"/>
  <c r="H231" i="9" a="1"/>
  <c r="J458" i="9"/>
  <c r="H634" i="9" a="1"/>
  <c r="J454" i="9"/>
  <c r="H686" i="9" a="1"/>
  <c r="J480" i="9"/>
  <c r="I454" i="9"/>
  <c r="P454" i="9" s="1"/>
  <c r="H689" i="9" a="1"/>
  <c r="H668" i="9" a="1"/>
  <c r="H219" i="9" a="1"/>
  <c r="J491" i="9"/>
  <c r="H775" i="9" a="1"/>
  <c r="H711" i="9" a="1"/>
  <c r="J468" i="9"/>
  <c r="J502" i="9"/>
  <c r="H290" i="9" a="1"/>
  <c r="Q463" i="9"/>
  <c r="L584" i="9"/>
  <c r="H765" i="9" a="1"/>
  <c r="I480" i="9"/>
  <c r="H341" i="9" a="1"/>
  <c r="H666" i="9" a="1"/>
  <c r="H230" i="9" a="1"/>
  <c r="M541" i="9"/>
  <c r="H239" i="9" a="1"/>
  <c r="H292" i="9" a="1"/>
  <c r="H275" i="9" a="1"/>
  <c r="J583" i="9"/>
  <c r="Q583" i="9" s="1"/>
  <c r="H388" i="9" a="1"/>
  <c r="H379" i="9" a="1"/>
  <c r="J505" i="9"/>
  <c r="M505" i="9" s="1"/>
  <c r="H669" i="9" a="1"/>
  <c r="H266" i="9" a="1"/>
  <c r="J510" i="9"/>
  <c r="Q510" i="9" s="1"/>
  <c r="H293" i="9" a="1"/>
  <c r="H381" i="9" a="1"/>
  <c r="H716" i="9" a="1"/>
  <c r="H766" i="9" a="1"/>
  <c r="H737" i="9" a="1"/>
  <c r="J513" i="9"/>
  <c r="H256" i="9" a="1"/>
  <c r="J524" i="9"/>
  <c r="H599" i="9" a="1"/>
  <c r="H201" i="9" a="1"/>
  <c r="J449" i="9"/>
  <c r="Q449" i="9" s="1"/>
  <c r="H678" i="9" a="1"/>
  <c r="Q500" i="9"/>
  <c r="H324" i="9" a="1"/>
  <c r="H596" i="9" a="1"/>
  <c r="H604" i="9" a="1"/>
  <c r="H593" i="9" a="1"/>
  <c r="J408" i="9"/>
  <c r="I513" i="9"/>
  <c r="H258" i="9" a="1"/>
  <c r="H264" i="9" a="1"/>
  <c r="H305" i="9" a="1"/>
  <c r="J452" i="9"/>
  <c r="J520" i="9"/>
  <c r="H312" i="9" a="1"/>
  <c r="H342" i="9" a="1"/>
  <c r="J563" i="9"/>
  <c r="Q502" i="9"/>
  <c r="H680" i="9" a="1"/>
  <c r="Q452" i="9"/>
  <c r="H710" i="9" a="1"/>
  <c r="J578" i="9"/>
  <c r="I578" i="9" s="1"/>
  <c r="H362" i="9" a="1"/>
  <c r="J546" i="9"/>
  <c r="Q497" i="9"/>
  <c r="L480" i="9"/>
  <c r="H671" i="9" a="1"/>
  <c r="H635" i="9" a="1"/>
  <c r="H667" i="9" a="1"/>
  <c r="H297" i="9" a="1"/>
  <c r="H336" i="9" a="1"/>
  <c r="H288" i="9" a="1"/>
  <c r="H614" i="9" a="1"/>
  <c r="J511" i="9"/>
  <c r="I432" i="9"/>
  <c r="O432" i="9"/>
  <c r="J531" i="9"/>
  <c r="J422" i="9"/>
  <c r="H633" i="9" a="1"/>
  <c r="H622" i="9" a="1"/>
  <c r="H226" i="9" a="1"/>
  <c r="H636" i="9" a="1"/>
  <c r="H656" i="9" a="1"/>
  <c r="H376" i="9" a="1"/>
  <c r="H244" i="9" a="1"/>
  <c r="H392" i="9" a="1"/>
  <c r="J499" i="9"/>
  <c r="H685" i="9" a="1"/>
  <c r="J417" i="9"/>
  <c r="J470" i="9"/>
  <c r="H323" i="9" a="1"/>
  <c r="J565" i="9"/>
  <c r="J469" i="9"/>
  <c r="H311" i="9" a="1"/>
  <c r="J461" i="9"/>
  <c r="H629" i="9" a="1"/>
  <c r="J472" i="9"/>
  <c r="H211" i="9" a="1"/>
  <c r="M472" i="9"/>
  <c r="H306" i="9" a="1"/>
  <c r="H606" i="9" a="1"/>
  <c r="I472" i="9"/>
  <c r="J537" i="9"/>
  <c r="M537" i="9" s="1"/>
  <c r="J393" i="9"/>
  <c r="I393" i="9" s="1"/>
  <c r="H690" i="9" a="1"/>
  <c r="J570" i="9"/>
  <c r="J415" i="9"/>
  <c r="H744" i="9" a="1"/>
  <c r="H741" i="9" a="1"/>
  <c r="H364" i="9" a="1"/>
  <c r="H359" i="9" a="1"/>
  <c r="H287" i="9" a="1"/>
  <c r="H615" i="9" a="1"/>
  <c r="H652" i="9" a="1"/>
  <c r="J523" i="9"/>
  <c r="I523" i="9" s="1"/>
  <c r="Q427" i="9"/>
  <c r="H326" i="9" a="1"/>
  <c r="H626" i="9" a="1"/>
  <c r="J547" i="9"/>
  <c r="J484" i="9"/>
  <c r="M530" i="9"/>
  <c r="H644" i="9" a="1"/>
  <c r="J419" i="9"/>
  <c r="H752" i="9" a="1"/>
  <c r="J489" i="9"/>
  <c r="J544" i="9"/>
  <c r="H681" i="9" a="1"/>
  <c r="H366" i="9" a="1"/>
  <c r="J467" i="9"/>
  <c r="J501" i="9"/>
  <c r="I460" i="9"/>
  <c r="M486" i="9"/>
  <c r="H714" i="9" a="1"/>
  <c r="I475" i="9"/>
  <c r="L475" i="9" s="1"/>
  <c r="Q521" i="9"/>
  <c r="Q520" i="9"/>
  <c r="I453" i="9"/>
  <c r="M502" i="9"/>
  <c r="Q557" i="9"/>
  <c r="H683" i="9" a="1"/>
  <c r="J416" i="9"/>
  <c r="M393" i="9"/>
  <c r="J404" i="9"/>
  <c r="Q404" i="9" s="1"/>
  <c r="I452" i="9"/>
  <c r="Q472" i="9"/>
  <c r="M428" i="9"/>
  <c r="M452" i="9"/>
  <c r="K584" i="9"/>
  <c r="M451" i="9"/>
  <c r="M510" i="9"/>
  <c r="Q410" i="9"/>
  <c r="M563" i="9"/>
  <c r="Q562" i="9"/>
  <c r="M533" i="9"/>
  <c r="Q531" i="9"/>
  <c r="I425" i="9"/>
  <c r="M499" i="9"/>
  <c r="I461" i="9"/>
  <c r="I515" i="9"/>
  <c r="P519" i="9"/>
  <c r="M407" i="9"/>
  <c r="I537" i="9"/>
  <c r="O393" i="9"/>
  <c r="L561" i="9"/>
  <c r="M570" i="9"/>
  <c r="Q523" i="9"/>
  <c r="M527" i="9"/>
  <c r="M453" i="9"/>
  <c r="M457" i="9"/>
  <c r="M404" i="9"/>
  <c r="K451" i="9"/>
  <c r="M458" i="9"/>
  <c r="Q475" i="9"/>
  <c r="H723" i="9" a="1"/>
  <c r="H591" i="9" a="1"/>
  <c r="J534" i="9"/>
  <c r="H353" i="9" a="1"/>
  <c r="J396" i="9"/>
  <c r="H653" i="9" a="1"/>
  <c r="H218" i="9" a="1"/>
  <c r="H242" i="9" a="1"/>
  <c r="J560" i="9"/>
  <c r="H309" i="9" a="1"/>
  <c r="H291" i="9" a="1"/>
  <c r="H332" i="9" a="1"/>
  <c r="H749" i="9" a="1"/>
  <c r="H662" i="9" a="1"/>
  <c r="I410" i="9"/>
  <c r="H707" i="9" a="1"/>
  <c r="I493" i="9"/>
  <c r="H691" i="9" a="1"/>
  <c r="J439" i="9"/>
  <c r="H616" i="9" a="1"/>
  <c r="H322" i="9" a="1"/>
  <c r="H698" i="9" a="1"/>
  <c r="H751" i="9" a="1"/>
  <c r="H240" i="9" a="1"/>
  <c r="H217" i="9" a="1"/>
  <c r="J435" i="9"/>
  <c r="H335" i="9" a="1"/>
  <c r="H252" i="9" a="1"/>
  <c r="H687" i="9" a="1"/>
  <c r="H708" i="9" a="1"/>
  <c r="J430" i="9"/>
  <c r="H303" i="9" a="1"/>
  <c r="H769" i="9" a="1"/>
  <c r="Q552" i="9"/>
  <c r="H658" i="9" a="1"/>
  <c r="H271" i="9" a="1"/>
  <c r="M503" i="9"/>
  <c r="Q430" i="9"/>
  <c r="Q501" i="9"/>
  <c r="H660" i="9" a="1"/>
  <c r="I469" i="9"/>
  <c r="I518" i="9"/>
  <c r="K472" i="9"/>
  <c r="M534" i="9"/>
  <c r="M562" i="9"/>
  <c r="I545" i="9"/>
  <c r="I565" i="9"/>
  <c r="L565" i="9" s="1"/>
  <c r="P472" i="9"/>
  <c r="Q519" i="9"/>
  <c r="Q561" i="9"/>
  <c r="I462" i="9"/>
  <c r="I404" i="9"/>
  <c r="L451" i="9"/>
  <c r="J474" i="9"/>
  <c r="H277" i="9" a="1"/>
  <c r="H295" i="9" a="1"/>
  <c r="H204" i="9" a="1"/>
  <c r="H229" i="9" a="1"/>
  <c r="H245" i="9" a="1"/>
  <c r="H302" i="9" a="1"/>
  <c r="J399" i="9"/>
  <c r="H215" i="9" a="1"/>
  <c r="J581" i="9"/>
  <c r="I581" i="9" s="1"/>
  <c r="J496" i="9"/>
  <c r="J512" i="9"/>
  <c r="I564" i="9"/>
  <c r="J498" i="9"/>
  <c r="H386" i="9" a="1"/>
  <c r="H372" i="9" a="1"/>
  <c r="J455" i="9"/>
  <c r="H246" i="9" a="1"/>
  <c r="J401" i="9"/>
  <c r="M401" i="9" s="1"/>
  <c r="H702" i="9" a="1"/>
  <c r="H380" i="9" a="1"/>
  <c r="H349" i="9" a="1"/>
  <c r="H267" i="9" a="1"/>
  <c r="H756" i="9" a="1"/>
  <c r="H760" i="9" a="1"/>
  <c r="H757" i="9" a="1"/>
  <c r="H650" i="9" a="1"/>
  <c r="J540" i="9"/>
  <c r="H700" i="9" a="1"/>
  <c r="H338" i="9" a="1"/>
  <c r="J421" i="9"/>
  <c r="H206" i="9" a="1"/>
  <c r="J539" i="9"/>
  <c r="H740" i="9" a="1"/>
  <c r="J395" i="9"/>
  <c r="H367" i="9" a="1"/>
  <c r="J517" i="9"/>
  <c r="J406" i="9"/>
  <c r="H355" i="9" a="1"/>
  <c r="I412" i="9"/>
  <c r="K412" i="9"/>
  <c r="J573" i="9"/>
  <c r="H318" i="9" a="1"/>
  <c r="H594" i="9" a="1"/>
  <c r="J479" i="9"/>
  <c r="I517" i="9"/>
  <c r="H733" i="9" a="1"/>
  <c r="H313" i="9" a="1"/>
  <c r="H334" i="9" a="1"/>
  <c r="H337" i="9" a="1"/>
  <c r="H750" i="9" a="1"/>
  <c r="H694" i="9" a="1"/>
  <c r="H625" i="9" a="1"/>
  <c r="H718" i="9" a="1"/>
  <c r="J400" i="9"/>
  <c r="Q400" i="9" s="1"/>
  <c r="H316" i="9" a="1"/>
  <c r="J553" i="9"/>
  <c r="H613" i="9" a="1"/>
  <c r="H325" i="9" a="1"/>
  <c r="J409" i="9"/>
  <c r="Q498" i="9"/>
  <c r="H695" i="9" a="1"/>
  <c r="J551" i="9"/>
  <c r="Q451" i="9"/>
  <c r="H214" i="9" a="1"/>
  <c r="H283" i="9" a="1"/>
  <c r="J433" i="9"/>
  <c r="J483" i="9"/>
  <c r="H621" i="9" a="1"/>
  <c r="H645" i="9" a="1"/>
  <c r="H310" i="9" a="1"/>
  <c r="H387" i="9" a="1"/>
  <c r="H611" i="9" a="1"/>
  <c r="Q507" i="9"/>
  <c r="J554" i="9"/>
  <c r="M554" i="9" s="1"/>
  <c r="J543" i="9"/>
  <c r="J556" i="9"/>
  <c r="H282" i="9" a="1"/>
  <c r="H638" i="9" a="1"/>
  <c r="I409" i="9"/>
  <c r="J490" i="9"/>
  <c r="H643" i="9" a="1"/>
  <c r="H363" i="9" a="1"/>
  <c r="Q433" i="9"/>
  <c r="H768" i="9" a="1"/>
  <c r="M463" i="9"/>
  <c r="M520" i="9"/>
  <c r="H208" i="9" a="1"/>
  <c r="H675" i="9" a="1"/>
  <c r="H673" i="9" a="1"/>
  <c r="H260" i="9" a="1"/>
  <c r="H315" i="9" a="1"/>
  <c r="H296" i="9" a="1"/>
  <c r="H771" i="9" a="1"/>
  <c r="H693" i="9" a="1"/>
  <c r="J437" i="9"/>
  <c r="J477" i="9"/>
  <c r="H385" i="9" a="1"/>
  <c r="H248" i="9" a="1"/>
  <c r="H657" i="9" a="1"/>
  <c r="J440" i="9"/>
  <c r="H610" i="9" a="1"/>
  <c r="H748" i="9" a="1"/>
  <c r="H375" i="9" a="1"/>
  <c r="J528" i="9"/>
  <c r="H701" i="9" a="1"/>
  <c r="M509" i="9"/>
  <c r="H209" i="9" a="1"/>
  <c r="J434" i="9"/>
  <c r="J508" i="9"/>
  <c r="J582" i="9"/>
  <c r="H301" i="9" a="1"/>
  <c r="H585" i="9" a="1"/>
  <c r="J447" i="9"/>
  <c r="J398" i="9"/>
  <c r="Q553" i="9"/>
  <c r="J456" i="9"/>
  <c r="I560" i="9"/>
  <c r="I552" i="9"/>
  <c r="O552" i="9" s="1"/>
  <c r="H259" i="9" a="1"/>
  <c r="H726" i="9" a="1"/>
  <c r="J580" i="9"/>
  <c r="H210" i="9" a="1"/>
  <c r="H646" i="9" a="1"/>
  <c r="J464" i="9"/>
  <c r="H722" i="9" a="1"/>
  <c r="H273" i="9" a="1"/>
  <c r="H314" i="9" a="1"/>
  <c r="Q534" i="9"/>
  <c r="J478" i="9"/>
  <c r="H709" i="9" a="1"/>
  <c r="H679" i="9" a="1"/>
  <c r="H358" i="9" a="1"/>
  <c r="H600" i="9" a="1"/>
  <c r="I437" i="9"/>
  <c r="H340" i="9" a="1"/>
  <c r="J394" i="9"/>
  <c r="I423" i="9"/>
  <c r="K423" i="9" s="1"/>
  <c r="H677" i="9" a="1"/>
  <c r="I473" i="9"/>
  <c r="H347" i="9" a="1"/>
  <c r="H672" i="9" a="1"/>
  <c r="H320" i="9" a="1"/>
  <c r="M523" i="9"/>
  <c r="M549" i="9"/>
  <c r="J414" i="9"/>
  <c r="J495" i="9"/>
  <c r="H720" i="9" a="1"/>
  <c r="J536" i="9"/>
  <c r="H383" i="9" a="1"/>
  <c r="H607" i="9" a="1"/>
  <c r="Q484" i="9"/>
  <c r="J574" i="9"/>
  <c r="I504" i="9"/>
  <c r="H321" i="9" a="1"/>
  <c r="H647" i="9" a="1"/>
  <c r="H361" i="9" a="1"/>
  <c r="H289" i="9" a="1"/>
  <c r="J482" i="9"/>
  <c r="J481" i="9"/>
  <c r="H618" i="9" a="1"/>
  <c r="I426" i="9"/>
  <c r="M501" i="9"/>
  <c r="J569" i="9"/>
  <c r="M415" i="9"/>
  <c r="L423" i="9"/>
  <c r="K541" i="9"/>
  <c r="M449" i="9"/>
  <c r="I408" i="9"/>
  <c r="L408" i="9" s="1"/>
  <c r="Q467" i="9"/>
  <c r="I562" i="9"/>
  <c r="Q438" i="9"/>
  <c r="K408" i="9"/>
  <c r="K562" i="9"/>
  <c r="K410" i="9"/>
  <c r="J568" i="9"/>
  <c r="Q441" i="9"/>
  <c r="H280" i="9" a="1"/>
  <c r="J525" i="9"/>
  <c r="J522" i="9"/>
  <c r="J445" i="9"/>
  <c r="M445" i="9" s="1"/>
  <c r="H236" i="9" a="1"/>
  <c r="Q541" i="9"/>
  <c r="J526" i="9"/>
  <c r="J506" i="9"/>
  <c r="J542" i="9"/>
  <c r="I542" i="9" s="1"/>
  <c r="J494" i="9"/>
  <c r="H767" i="9" a="1"/>
  <c r="H727" i="9" a="1"/>
  <c r="H225" i="9" a="1"/>
  <c r="I503" i="9"/>
  <c r="K503" i="9" s="1"/>
  <c r="J436" i="9"/>
  <c r="H728" i="9" a="1"/>
  <c r="J558" i="9"/>
  <c r="H628" i="9" a="1"/>
  <c r="J418" i="9"/>
  <c r="H389" i="9" a="1"/>
  <c r="H762" i="9" a="1"/>
  <c r="K432" i="9"/>
  <c r="J448" i="9"/>
  <c r="I580" i="9"/>
  <c r="H632" i="9" a="1"/>
  <c r="Q425" i="9"/>
  <c r="H227" i="9" a="1"/>
  <c r="H724" i="9" a="1"/>
  <c r="J424" i="9"/>
  <c r="H261" i="9" a="1"/>
  <c r="M535" i="9"/>
  <c r="M517" i="9"/>
  <c r="L533" i="9"/>
  <c r="I527" i="9"/>
  <c r="P469" i="9"/>
  <c r="M468" i="9"/>
  <c r="P475" i="9"/>
  <c r="Q533" i="9"/>
  <c r="M515" i="9"/>
  <c r="I571" i="9"/>
  <c r="Q415" i="9"/>
  <c r="I414" i="9"/>
  <c r="K469" i="9"/>
  <c r="P414" i="9"/>
  <c r="H755" i="9" a="1"/>
  <c r="H754" i="9" a="1"/>
  <c r="H641" i="9" a="1"/>
  <c r="J487" i="9"/>
  <c r="H736" i="9" a="1"/>
  <c r="H665" i="9" a="1"/>
  <c r="H251" i="9" a="1"/>
  <c r="J579" i="9"/>
  <c r="H216" i="9" a="1"/>
  <c r="J514" i="9"/>
  <c r="H627" i="9" a="1"/>
  <c r="H250" i="9" a="1"/>
  <c r="H764" i="9" a="1"/>
  <c r="J576" i="9"/>
  <c r="H346" i="9" a="1"/>
  <c r="J444" i="9"/>
  <c r="H734" i="9" a="1"/>
  <c r="J466" i="9"/>
  <c r="H586" i="9" a="1"/>
  <c r="J555" i="9"/>
  <c r="I555" i="9" s="1"/>
  <c r="H704" i="9" a="1"/>
  <c r="H351" i="9" a="1"/>
  <c r="H382" i="9" a="1"/>
  <c r="J567" i="9"/>
  <c r="H770" i="9" a="1"/>
  <c r="P541" i="9"/>
  <c r="O541" i="9"/>
  <c r="Q493" i="9"/>
  <c r="P493" i="9"/>
  <c r="M493" i="9"/>
  <c r="L515" i="9"/>
  <c r="Q515" i="9"/>
  <c r="O515" i="9"/>
  <c r="K519" i="9"/>
  <c r="L519" i="9"/>
  <c r="L462" i="9"/>
  <c r="K462" i="9"/>
  <c r="M462" i="9"/>
  <c r="Q550" i="9"/>
  <c r="I550" i="9"/>
  <c r="Q446" i="9"/>
  <c r="I446" i="9"/>
  <c r="I458" i="9"/>
  <c r="K458" i="9" s="1"/>
  <c r="O458" i="9"/>
  <c r="L458" i="9"/>
  <c r="Q458" i="9"/>
  <c r="M480" i="9"/>
  <c r="P480" i="9"/>
  <c r="Q468" i="9"/>
  <c r="I468" i="9"/>
  <c r="I502" i="9"/>
  <c r="Q408" i="9"/>
  <c r="P408" i="9"/>
  <c r="M408" i="9"/>
  <c r="I520" i="9"/>
  <c r="I511" i="9"/>
  <c r="Q511" i="9"/>
  <c r="M511" i="9"/>
  <c r="I531" i="9"/>
  <c r="K531" i="9" s="1"/>
  <c r="M531" i="9"/>
  <c r="I417" i="9"/>
  <c r="I470" i="9"/>
  <c r="M565" i="9"/>
  <c r="K565" i="9"/>
  <c r="Q565" i="9"/>
  <c r="Q469" i="9"/>
  <c r="L469" i="9"/>
  <c r="K461" i="9"/>
  <c r="Q461" i="9"/>
  <c r="P461" i="9"/>
  <c r="L461" i="9"/>
  <c r="M461" i="9"/>
  <c r="L472" i="9"/>
  <c r="O472" i="9"/>
  <c r="I570" i="9"/>
  <c r="K570" i="9"/>
  <c r="O570" i="9"/>
  <c r="Q570" i="9"/>
  <c r="I415" i="9"/>
  <c r="M484" i="9"/>
  <c r="I484" i="9"/>
  <c r="I467" i="9"/>
  <c r="M467" i="9"/>
  <c r="O453" i="9"/>
  <c r="P453" i="9"/>
  <c r="K453" i="9"/>
  <c r="I534" i="9"/>
  <c r="K560" i="9"/>
  <c r="M560" i="9"/>
  <c r="Q560" i="9"/>
  <c r="O410" i="9"/>
  <c r="L410" i="9"/>
  <c r="P410" i="9"/>
  <c r="K493" i="9"/>
  <c r="M435" i="9"/>
  <c r="I435" i="9"/>
  <c r="O435" i="9" s="1"/>
  <c r="L435" i="9"/>
  <c r="Q435" i="9"/>
  <c r="I430" i="9"/>
  <c r="M430" i="9"/>
  <c r="P518" i="9"/>
  <c r="K518" i="9"/>
  <c r="L518" i="9"/>
  <c r="O518" i="9"/>
  <c r="M496" i="9"/>
  <c r="I496" i="9"/>
  <c r="I512" i="9"/>
  <c r="M512" i="9"/>
  <c r="I540" i="9"/>
  <c r="L540" i="9" s="1"/>
  <c r="K540" i="9"/>
  <c r="O540" i="9"/>
  <c r="M540" i="9"/>
  <c r="P540" i="9"/>
  <c r="Q540" i="9"/>
  <c r="O412" i="9"/>
  <c r="L412" i="9"/>
  <c r="M553" i="9"/>
  <c r="I553" i="9"/>
  <c r="M433" i="9"/>
  <c r="I433" i="9"/>
  <c r="K433" i="9" s="1"/>
  <c r="I440" i="9"/>
  <c r="M440" i="9"/>
  <c r="M528" i="9"/>
  <c r="I528" i="9"/>
  <c r="I434" i="9"/>
  <c r="M508" i="9"/>
  <c r="I508" i="9"/>
  <c r="P508" i="9" s="1"/>
  <c r="K508" i="9"/>
  <c r="M398" i="9"/>
  <c r="I398" i="9"/>
  <c r="Q580" i="9"/>
  <c r="M580" i="9"/>
  <c r="O414" i="9"/>
  <c r="L414" i="9"/>
  <c r="K414" i="9"/>
  <c r="Q414" i="9"/>
  <c r="I536" i="9"/>
  <c r="M574" i="9"/>
  <c r="I574" i="9"/>
  <c r="Q481" i="9"/>
  <c r="I481" i="9"/>
  <c r="K481" i="9"/>
  <c r="K426" i="9"/>
  <c r="O426" i="9"/>
  <c r="L562" i="9"/>
  <c r="O562" i="9"/>
  <c r="P562" i="9"/>
  <c r="M506" i="9"/>
  <c r="I506" i="9"/>
  <c r="I436" i="9"/>
  <c r="M436" i="9"/>
  <c r="M448" i="9"/>
  <c r="I448" i="9"/>
  <c r="L527" i="9"/>
  <c r="M579" i="9"/>
  <c r="Q579" i="9"/>
  <c r="I579" i="9"/>
  <c r="I514" i="9"/>
  <c r="Q514" i="9"/>
  <c r="I444" i="9"/>
  <c r="Q444" i="9"/>
  <c r="P444" i="9"/>
  <c r="L444" i="9"/>
  <c r="K444" i="9"/>
  <c r="K550" i="9"/>
  <c r="L550" i="9"/>
  <c r="P446" i="9"/>
  <c r="K446" i="9"/>
  <c r="L446" i="9"/>
  <c r="L468" i="9"/>
  <c r="P468" i="9"/>
  <c r="O468" i="9"/>
  <c r="P502" i="9"/>
  <c r="L502" i="9"/>
  <c r="P520" i="9"/>
  <c r="K520" i="9"/>
  <c r="O520" i="9"/>
  <c r="L511" i="9"/>
  <c r="L570" i="9"/>
  <c r="P570" i="9"/>
  <c r="K415" i="9"/>
  <c r="O415" i="9"/>
  <c r="P415" i="9"/>
  <c r="L467" i="9"/>
  <c r="O534" i="9"/>
  <c r="L534" i="9"/>
  <c r="K534" i="9"/>
  <c r="O528" i="9"/>
  <c r="L528" i="9"/>
  <c r="P528" i="9"/>
  <c r="K528" i="9"/>
  <c r="L434" i="9"/>
  <c r="K434" i="9"/>
  <c r="P398" i="9"/>
  <c r="P574" i="9"/>
  <c r="L574" i="9"/>
  <c r="N540" i="9" l="1"/>
  <c r="U540" i="9" s="1"/>
  <c r="N461" i="9"/>
  <c r="S461" i="9" s="1"/>
  <c r="N570" i="9"/>
  <c r="S570" i="9" s="1"/>
  <c r="T570" i="9" s="1"/>
  <c r="R540" i="9"/>
  <c r="R541" i="9"/>
  <c r="H676" i="9"/>
  <c r="H288" i="9"/>
  <c r="H219" i="9"/>
  <c r="H670" i="9"/>
  <c r="H740" i="9"/>
  <c r="H733" i="9"/>
  <c r="H287" i="9"/>
  <c r="H322" i="9"/>
  <c r="H683" i="9"/>
  <c r="H706" i="9"/>
  <c r="H592" i="9"/>
  <c r="H293" i="9"/>
  <c r="H323" i="9"/>
  <c r="H212" i="9"/>
  <c r="H319" i="9"/>
  <c r="H347" i="9"/>
  <c r="H739" i="9"/>
  <c r="H380" i="9"/>
  <c r="H776" i="9"/>
  <c r="H274" i="9"/>
  <c r="H341" i="9"/>
  <c r="H727" i="9"/>
  <c r="H355" i="9"/>
  <c r="H303" i="9"/>
  <c r="H272" i="9"/>
  <c r="H378" i="9"/>
  <c r="H603" i="9"/>
  <c r="H730" i="9"/>
  <c r="H246" i="9"/>
  <c r="H280" i="9"/>
  <c r="H261" i="9"/>
  <c r="H673" i="9"/>
  <c r="H724" i="9"/>
  <c r="H623" i="9"/>
  <c r="H618" i="9"/>
  <c r="H639" i="9"/>
  <c r="H335" i="9"/>
  <c r="H638" i="9"/>
  <c r="H625" i="9"/>
  <c r="H326" i="9"/>
  <c r="H613" i="9"/>
  <c r="H206" i="9"/>
  <c r="H686" i="9"/>
  <c r="H743" i="9"/>
  <c r="H765" i="9"/>
  <c r="H376" i="9"/>
  <c r="H385" i="9"/>
  <c r="H386" i="9"/>
  <c r="H317" i="9"/>
  <c r="H345" i="9"/>
  <c r="H629" i="9"/>
  <c r="H235" i="9"/>
  <c r="H254" i="9"/>
  <c r="H207" i="9"/>
  <c r="H611" i="9"/>
  <c r="H601" i="9"/>
  <c r="H278" i="9"/>
  <c r="H651" i="9"/>
  <c r="H329" i="9"/>
  <c r="H241" i="9"/>
  <c r="H328" i="9"/>
  <c r="H248" i="9"/>
  <c r="H598" i="9"/>
  <c r="H681" i="9"/>
  <c r="H301" i="9"/>
  <c r="H612" i="9"/>
  <c r="H271" i="9"/>
  <c r="H692" i="9"/>
  <c r="H352" i="9"/>
  <c r="H677" i="9"/>
  <c r="H387" i="9"/>
  <c r="H620" i="9"/>
  <c r="H702" i="9"/>
  <c r="H641" i="9"/>
  <c r="H774" i="9"/>
  <c r="H350" i="9"/>
  <c r="H251" i="9"/>
  <c r="H602" i="9"/>
  <c r="H725" i="9"/>
  <c r="H729" i="9"/>
  <c r="H360" i="9"/>
  <c r="H371" i="9"/>
  <c r="H351" i="9"/>
  <c r="H645" i="9"/>
  <c r="H775" i="9"/>
  <c r="H766" i="9"/>
  <c r="H637" i="9"/>
  <c r="H722" i="9"/>
  <c r="H220" i="9"/>
  <c r="H721" i="9"/>
  <c r="H720" i="9"/>
  <c r="H726" i="9"/>
  <c r="H759" i="9"/>
  <c r="H744" i="9"/>
  <c r="H632" i="9"/>
  <c r="H381" i="9"/>
  <c r="H619" i="9"/>
  <c r="H300" i="9"/>
  <c r="H746" i="9"/>
  <c r="H732" i="9"/>
  <c r="H770" i="9"/>
  <c r="H211" i="9"/>
  <c r="H307" i="9"/>
  <c r="H741" i="9"/>
  <c r="H338" i="9"/>
  <c r="H757" i="9"/>
  <c r="H615" i="9"/>
  <c r="H306" i="9"/>
  <c r="H609" i="9"/>
  <c r="H244" i="9"/>
  <c r="H604" i="9"/>
  <c r="H292" i="9"/>
  <c r="H282" i="9"/>
  <c r="H349" i="9"/>
  <c r="H734" i="9"/>
  <c r="H216" i="9"/>
  <c r="H640" i="9"/>
  <c r="H714" i="9"/>
  <c r="H771" i="9"/>
  <c r="H368" i="9"/>
  <c r="H324" i="9"/>
  <c r="H313" i="9"/>
  <c r="H627" i="9"/>
  <c r="H696" i="9"/>
  <c r="H202" i="9"/>
  <c r="H334" i="9"/>
  <c r="H370" i="9"/>
  <c r="H358" i="9"/>
  <c r="H222" i="9"/>
  <c r="H649" i="9"/>
  <c r="H339" i="9"/>
  <c r="H260" i="9"/>
  <c r="H682" i="9"/>
  <c r="H228" i="9"/>
  <c r="H286" i="9"/>
  <c r="H772" i="9"/>
  <c r="H391" i="9"/>
  <c r="H361" i="9"/>
  <c r="H209" i="9"/>
  <c r="H340" i="9"/>
  <c r="H646" i="9"/>
  <c r="H689" i="9"/>
  <c r="H318" i="9"/>
  <c r="H749" i="9"/>
  <c r="H635" i="9"/>
  <c r="H647" i="9"/>
  <c r="H606" i="9"/>
  <c r="H390" i="9"/>
  <c r="H392" i="9"/>
  <c r="H366" i="9"/>
  <c r="H320" i="9"/>
  <c r="H353" i="9"/>
  <c r="H201" i="9"/>
  <c r="H374" i="9"/>
  <c r="H312" i="9"/>
  <c r="H208" i="9"/>
  <c r="H694" i="9"/>
  <c r="H384" i="9"/>
  <c r="H337" i="9"/>
  <c r="H276" i="9"/>
  <c r="H229" i="9"/>
  <c r="H662" i="9"/>
  <c r="H644" i="9"/>
  <c r="H719" i="9"/>
  <c r="H750" i="9"/>
  <c r="H354" i="9"/>
  <c r="H708" i="9"/>
  <c r="H273" i="9"/>
  <c r="H698" i="9"/>
  <c r="H586" i="9"/>
  <c r="H233" i="9"/>
  <c r="H691" i="9"/>
  <c r="H245" i="9"/>
  <c r="H711" i="9"/>
  <c r="H304" i="9"/>
  <c r="H267" i="9"/>
  <c r="H607" i="9"/>
  <c r="H256" i="9"/>
  <c r="H259" i="9"/>
  <c r="H225" i="9"/>
  <c r="H768" i="9"/>
  <c r="H268" i="9"/>
  <c r="H679" i="9"/>
  <c r="H761" i="9"/>
  <c r="H658" i="9"/>
  <c r="H255" i="9"/>
  <c r="N458" i="9"/>
  <c r="U458" i="9" s="1"/>
  <c r="H295" i="9"/>
  <c r="H660" i="9"/>
  <c r="H283" i="9"/>
  <c r="H377" i="9"/>
  <c r="H705" i="9"/>
  <c r="H265" i="9"/>
  <c r="H333" i="9"/>
  <c r="H621" i="9"/>
  <c r="H690" i="9"/>
  <c r="H718" i="9"/>
  <c r="H737" i="9"/>
  <c r="H302" i="9"/>
  <c r="H252" i="9"/>
  <c r="H685" i="9"/>
  <c r="H214" i="9"/>
  <c r="H314" i="9"/>
  <c r="H596" i="9"/>
  <c r="H369" i="9"/>
  <c r="H231" i="9"/>
  <c r="H593" i="9"/>
  <c r="H745" i="9"/>
  <c r="H634" i="9"/>
  <c r="H716" i="9"/>
  <c r="H715" i="9"/>
  <c r="H372" i="9"/>
  <c r="H221" i="9"/>
  <c r="H693" i="9"/>
  <c r="H321" i="9"/>
  <c r="H710" i="9"/>
  <c r="H279" i="9"/>
  <c r="H758" i="9"/>
  <c r="H712" i="9"/>
  <c r="H655" i="9"/>
  <c r="H263" i="9"/>
  <c r="H591" i="9"/>
  <c r="H289" i="9"/>
  <c r="H669" i="9"/>
  <c r="H652" i="9"/>
  <c r="H269" i="9"/>
  <c r="H367" i="9"/>
  <c r="H687" i="9"/>
  <c r="H754" i="9"/>
  <c r="H587" i="9"/>
  <c r="H344" i="9"/>
  <c r="H363" i="9"/>
  <c r="H764" i="9"/>
  <c r="H769" i="9"/>
  <c r="H213" i="9"/>
  <c r="H701" i="9"/>
  <c r="H709" i="9"/>
  <c r="H678" i="9"/>
  <c r="H310" i="9"/>
  <c r="H630" i="9"/>
  <c r="H275" i="9"/>
  <c r="H668" i="9"/>
  <c r="H699" i="9"/>
  <c r="H389" i="9"/>
  <c r="H666" i="9"/>
  <c r="H664" i="9"/>
  <c r="H594" i="9"/>
  <c r="H633" i="9"/>
  <c r="H700" i="9"/>
  <c r="H299" i="9"/>
  <c r="H234" i="9"/>
  <c r="H585" i="9"/>
  <c r="H227" i="9"/>
  <c r="H763" i="9"/>
  <c r="H364" i="9"/>
  <c r="H728" i="9"/>
  <c r="H294" i="9"/>
  <c r="H656" i="9"/>
  <c r="H643" i="9"/>
  <c r="H648" i="9"/>
  <c r="H346" i="9"/>
  <c r="H253" i="9"/>
  <c r="H315" i="9"/>
  <c r="H373" i="9"/>
  <c r="H642" i="9"/>
  <c r="H296" i="9"/>
  <c r="H239" i="9"/>
  <c r="H762" i="9"/>
  <c r="H717" i="9"/>
  <c r="H247" i="9"/>
  <c r="H291" i="9"/>
  <c r="H671" i="9"/>
  <c r="H753" i="9"/>
  <c r="H237" i="9"/>
  <c r="H657" i="9"/>
  <c r="H653" i="9"/>
  <c r="H588" i="9"/>
  <c r="H204" i="9"/>
  <c r="H707" i="9"/>
  <c r="H636" i="9"/>
  <c r="H266" i="9"/>
  <c r="H331" i="9"/>
  <c r="H362" i="9"/>
  <c r="H610" i="9"/>
  <c r="H747" i="9"/>
  <c r="H375" i="9"/>
  <c r="H628" i="9"/>
  <c r="H257" i="9"/>
  <c r="H608" i="9"/>
  <c r="H736" i="9"/>
  <c r="H264" i="9"/>
  <c r="H659" i="9"/>
  <c r="H215" i="9"/>
  <c r="H667" i="9"/>
  <c r="H590" i="9"/>
  <c r="H243" i="9"/>
  <c r="H665" i="9"/>
  <c r="H365" i="9"/>
  <c r="H663" i="9"/>
  <c r="H751" i="9"/>
  <c r="H738" i="9"/>
  <c r="H755" i="9"/>
  <c r="H735" i="9"/>
  <c r="H597" i="9"/>
  <c r="H650" i="9"/>
  <c r="H654" i="9"/>
  <c r="H748" i="9"/>
  <c r="H342" i="9"/>
  <c r="H631" i="9"/>
  <c r="H236" i="9"/>
  <c r="H226" i="9"/>
  <c r="H388" i="9"/>
  <c r="H270" i="9"/>
  <c r="H616" i="9"/>
  <c r="H309" i="9"/>
  <c r="H617" i="9"/>
  <c r="H773" i="9"/>
  <c r="H688" i="9"/>
  <c r="H311" i="9"/>
  <c r="H752" i="9"/>
  <c r="H674" i="9"/>
  <c r="H223" i="9"/>
  <c r="H595" i="9"/>
  <c r="H332" i="9"/>
  <c r="H262" i="9"/>
  <c r="H760" i="9"/>
  <c r="H203" i="9"/>
  <c r="H308" i="9"/>
  <c r="H357" i="9"/>
  <c r="H217" i="9"/>
  <c r="H290" i="9"/>
  <c r="H605" i="9"/>
  <c r="H624" i="9"/>
  <c r="H379" i="9"/>
  <c r="H614" i="9"/>
  <c r="H703" i="9"/>
  <c r="H589" i="9"/>
  <c r="H218" i="9"/>
  <c r="H704" i="9"/>
  <c r="H626" i="9"/>
  <c r="H343" i="9"/>
  <c r="H672" i="9"/>
  <c r="H697" i="9"/>
  <c r="H723" i="9"/>
  <c r="H356" i="9"/>
  <c r="H767" i="9"/>
  <c r="H731" i="9"/>
  <c r="H224" i="9"/>
  <c r="H359" i="9"/>
  <c r="H285" i="9"/>
  <c r="H297" i="9"/>
  <c r="H742" i="9"/>
  <c r="H348" i="9"/>
  <c r="H205" i="9"/>
  <c r="H277" i="9"/>
  <c r="H680" i="9"/>
  <c r="H316" i="9"/>
  <c r="H600" i="9"/>
  <c r="H258" i="9"/>
  <c r="H284" i="9"/>
  <c r="H622" i="9"/>
  <c r="H325" i="9"/>
  <c r="H281" i="9"/>
  <c r="H713" i="9"/>
  <c r="H232" i="9"/>
  <c r="H240" i="9"/>
  <c r="H230" i="9"/>
  <c r="H249" i="9"/>
  <c r="H238" i="9"/>
  <c r="H210" i="9"/>
  <c r="H327" i="9"/>
  <c r="H298" i="9"/>
  <c r="H675" i="9"/>
  <c r="H756" i="9"/>
  <c r="H661" i="9"/>
  <c r="H382" i="9"/>
  <c r="H336" i="9"/>
  <c r="H695" i="9"/>
  <c r="H383" i="9"/>
  <c r="H684" i="9"/>
  <c r="H242" i="9"/>
  <c r="H599" i="9"/>
  <c r="H305" i="9"/>
  <c r="H250" i="9"/>
  <c r="H330" i="9"/>
  <c r="R570" i="9"/>
  <c r="N518" i="9"/>
  <c r="U518" i="9" s="1"/>
  <c r="R415" i="9"/>
  <c r="N584" i="9"/>
  <c r="U584" i="9" s="1"/>
  <c r="R468" i="9"/>
  <c r="R533" i="9"/>
  <c r="N565" i="9"/>
  <c r="N519" i="9"/>
  <c r="U519" i="9" s="1"/>
  <c r="N472" i="9"/>
  <c r="U472" i="9" s="1"/>
  <c r="N451" i="9"/>
  <c r="U451" i="9" s="1"/>
  <c r="N423" i="9"/>
  <c r="N462" i="9"/>
  <c r="N528" i="9"/>
  <c r="N562" i="9"/>
  <c r="U562" i="9" s="1"/>
  <c r="N533" i="9"/>
  <c r="U533" i="9" s="1"/>
  <c r="N534" i="9"/>
  <c r="N408" i="9"/>
  <c r="U408" i="9" s="1"/>
  <c r="R414" i="9"/>
  <c r="R472" i="9"/>
  <c r="R520" i="9"/>
  <c r="R410" i="9"/>
  <c r="R562" i="9"/>
  <c r="R518" i="9"/>
  <c r="E225" i="42"/>
  <c r="A226" i="42"/>
  <c r="B225" i="42"/>
  <c r="D224" i="42"/>
  <c r="C224" i="42"/>
  <c r="F223" i="42"/>
  <c r="T24" i="9"/>
  <c r="V25" i="9"/>
  <c r="K436" i="9"/>
  <c r="K484" i="9"/>
  <c r="Q494" i="9"/>
  <c r="M464" i="9"/>
  <c r="L452" i="9"/>
  <c r="M417" i="9"/>
  <c r="Q431" i="9"/>
  <c r="I521" i="9"/>
  <c r="M566" i="9"/>
  <c r="I522" i="9"/>
  <c r="L438" i="9"/>
  <c r="O438" i="9"/>
  <c r="I516" i="9"/>
  <c r="I548" i="9"/>
  <c r="K443" i="9"/>
  <c r="P427" i="9"/>
  <c r="M538" i="9"/>
  <c r="I466" i="9"/>
  <c r="I474" i="9"/>
  <c r="J233" i="9"/>
  <c r="L493" i="9"/>
  <c r="I539" i="9"/>
  <c r="P531" i="9"/>
  <c r="P578" i="9"/>
  <c r="K502" i="9"/>
  <c r="P443" i="9"/>
  <c r="Q464" i="9"/>
  <c r="J284" i="9"/>
  <c r="J710" i="9"/>
  <c r="Q411" i="9"/>
  <c r="K474" i="9"/>
  <c r="I397" i="9"/>
  <c r="I505" i="9"/>
  <c r="O539" i="9"/>
  <c r="L553" i="9"/>
  <c r="O506" i="9"/>
  <c r="I490" i="9"/>
  <c r="K467" i="9"/>
  <c r="J605" i="9"/>
  <c r="Q395" i="9"/>
  <c r="P560" i="9"/>
  <c r="L571" i="9"/>
  <c r="P462" i="9"/>
  <c r="O519" i="9"/>
  <c r="J597" i="9"/>
  <c r="L580" i="9"/>
  <c r="M578" i="9"/>
  <c r="Q447" i="9"/>
  <c r="J723" i="9"/>
  <c r="J342" i="9"/>
  <c r="L536" i="9"/>
  <c r="K448" i="9"/>
  <c r="J615" i="9"/>
  <c r="O417" i="9"/>
  <c r="O561" i="9"/>
  <c r="Q536" i="9"/>
  <c r="O537" i="9"/>
  <c r="K505" i="9"/>
  <c r="J774" i="9"/>
  <c r="I543" i="9"/>
  <c r="J332" i="9"/>
  <c r="L514" i="9"/>
  <c r="I489" i="9"/>
  <c r="K561" i="9"/>
  <c r="Q456" i="9"/>
  <c r="I567" i="9"/>
  <c r="O521" i="9"/>
  <c r="M497" i="9"/>
  <c r="M555" i="9"/>
  <c r="J388" i="9"/>
  <c r="Q490" i="9"/>
  <c r="J741" i="9"/>
  <c r="M490" i="9"/>
  <c r="P496" i="9"/>
  <c r="I491" i="9"/>
  <c r="J670" i="9"/>
  <c r="M422" i="9"/>
  <c r="P536" i="9"/>
  <c r="J680" i="9"/>
  <c r="K513" i="9"/>
  <c r="L484" i="9"/>
  <c r="J311" i="9"/>
  <c r="J705" i="9"/>
  <c r="I406" i="9"/>
  <c r="K545" i="9"/>
  <c r="J762" i="9"/>
  <c r="I485" i="9"/>
  <c r="M559" i="9"/>
  <c r="Q482" i="9"/>
  <c r="Q471" i="9"/>
  <c r="J302" i="9"/>
  <c r="M492" i="9"/>
  <c r="M494" i="9"/>
  <c r="I421" i="9"/>
  <c r="P542" i="9"/>
  <c r="J321" i="9"/>
  <c r="J224" i="9"/>
  <c r="M416" i="9"/>
  <c r="O481" i="9"/>
  <c r="K398" i="9"/>
  <c r="O503" i="9"/>
  <c r="Q397" i="9"/>
  <c r="J347" i="9"/>
  <c r="M446" i="9"/>
  <c r="K425" i="9"/>
  <c r="M583" i="9"/>
  <c r="P430" i="9"/>
  <c r="O571" i="9"/>
  <c r="I439" i="9"/>
  <c r="O454" i="9"/>
  <c r="M548" i="9"/>
  <c r="L552" i="9"/>
  <c r="O430" i="9"/>
  <c r="K463" i="9"/>
  <c r="I577" i="9"/>
  <c r="K553" i="9"/>
  <c r="J277" i="9"/>
  <c r="L578" i="9"/>
  <c r="I403" i="9"/>
  <c r="M498" i="9"/>
  <c r="Q416" i="9"/>
  <c r="L575" i="9"/>
  <c r="Q499" i="9"/>
  <c r="Q555" i="9"/>
  <c r="P580" i="9"/>
  <c r="P420" i="9"/>
  <c r="J696" i="9"/>
  <c r="P522" i="9"/>
  <c r="J344" i="9"/>
  <c r="I429" i="9"/>
  <c r="J298" i="9"/>
  <c r="J314" i="9"/>
  <c r="P561" i="9"/>
  <c r="J326" i="9"/>
  <c r="I530" i="9"/>
  <c r="K460" i="9"/>
  <c r="L542" i="9"/>
  <c r="O484" i="9"/>
  <c r="Q483" i="9"/>
  <c r="M500" i="9"/>
  <c r="P579" i="9"/>
  <c r="I394" i="9"/>
  <c r="M405" i="9"/>
  <c r="J636" i="9"/>
  <c r="M460" i="9"/>
  <c r="O527" i="9"/>
  <c r="J364" i="9"/>
  <c r="L415" i="9"/>
  <c r="Q437" i="9"/>
  <c r="J382" i="9"/>
  <c r="Q453" i="9"/>
  <c r="I456" i="9"/>
  <c r="Q524" i="9"/>
  <c r="Q558" i="9"/>
  <c r="O404" i="9"/>
  <c r="J657" i="9"/>
  <c r="J745" i="9"/>
  <c r="M568" i="9"/>
  <c r="J276" i="9"/>
  <c r="Q409" i="9"/>
  <c r="J226" i="9"/>
  <c r="M475" i="9"/>
  <c r="M406" i="9"/>
  <c r="J686" i="9"/>
  <c r="J259" i="9"/>
  <c r="Q485" i="9"/>
  <c r="J596" i="9"/>
  <c r="P484" i="9"/>
  <c r="J230" i="9"/>
  <c r="M443" i="9"/>
  <c r="K456" i="9"/>
  <c r="Q487" i="9"/>
  <c r="P429" i="9"/>
  <c r="O403" i="9"/>
  <c r="Q224" i="9"/>
  <c r="P565" i="9"/>
  <c r="M425" i="9"/>
  <c r="I401" i="9"/>
  <c r="Q448" i="9"/>
  <c r="J707" i="9"/>
  <c r="J274" i="9"/>
  <c r="M504" i="9"/>
  <c r="M491" i="9"/>
  <c r="O446" i="9"/>
  <c r="M522" i="9"/>
  <c r="L531" i="9"/>
  <c r="O567" i="9"/>
  <c r="P448" i="9"/>
  <c r="J637" i="9"/>
  <c r="Q517" i="9"/>
  <c r="J731" i="9"/>
  <c r="Q680" i="9"/>
  <c r="I441" i="9"/>
  <c r="J639" i="9"/>
  <c r="I274" i="9"/>
  <c r="J772" i="9"/>
  <c r="J617" i="9"/>
  <c r="Q480" i="9"/>
  <c r="J329" i="9"/>
  <c r="J322" i="9"/>
  <c r="O516" i="9"/>
  <c r="P432" i="9"/>
  <c r="Q532" i="9"/>
  <c r="I431" i="9"/>
  <c r="P521" i="9"/>
  <c r="P436" i="9"/>
  <c r="Q477" i="9"/>
  <c r="Q274" i="9"/>
  <c r="M230" i="9"/>
  <c r="L489" i="9"/>
  <c r="O406" i="9"/>
  <c r="K577" i="9"/>
  <c r="O429" i="9"/>
  <c r="K530" i="9"/>
  <c r="P394" i="9"/>
  <c r="M226" i="9"/>
  <c r="K401" i="9"/>
  <c r="I731" i="9"/>
  <c r="O441" i="9"/>
  <c r="Q639" i="9"/>
  <c r="K473" i="9"/>
  <c r="J275" i="9"/>
  <c r="Q429" i="9"/>
  <c r="L430" i="9"/>
  <c r="L545" i="9"/>
  <c r="J585" i="9"/>
  <c r="K454" i="9"/>
  <c r="L548" i="9"/>
  <c r="J644" i="9"/>
  <c r="Q508" i="9"/>
  <c r="O513" i="9"/>
  <c r="K574" i="9"/>
  <c r="I499" i="9"/>
  <c r="P555" i="9"/>
  <c r="M311" i="9"/>
  <c r="M481" i="9"/>
  <c r="M550" i="9"/>
  <c r="Q455" i="9"/>
  <c r="O398" i="9"/>
  <c r="P537" i="9"/>
  <c r="L433" i="9"/>
  <c r="J590" i="9"/>
  <c r="J372" i="9"/>
  <c r="Q372" i="9" s="1"/>
  <c r="L491" i="9"/>
  <c r="J310" i="9"/>
  <c r="I310" i="9" s="1"/>
  <c r="J773" i="9"/>
  <c r="L448" i="9"/>
  <c r="Q554" i="9"/>
  <c r="O448" i="9"/>
  <c r="I546" i="9"/>
  <c r="L546" i="9" s="1"/>
  <c r="Q460" i="9"/>
  <c r="J620" i="9"/>
  <c r="M620" i="9" s="1"/>
  <c r="M529" i="9"/>
  <c r="P438" i="9"/>
  <c r="L404" i="9"/>
  <c r="P470" i="9"/>
  <c r="J604" i="9"/>
  <c r="M604" i="9" s="1"/>
  <c r="P473" i="9"/>
  <c r="O491" i="9"/>
  <c r="K403" i="9"/>
  <c r="J328" i="9"/>
  <c r="L506" i="9"/>
  <c r="L470" i="9"/>
  <c r="Q548" i="9"/>
  <c r="O523" i="9"/>
  <c r="I259" i="9"/>
  <c r="P259" i="9" s="1"/>
  <c r="I230" i="9"/>
  <c r="P577" i="9"/>
  <c r="Q398" i="9"/>
  <c r="I495" i="9"/>
  <c r="O495" i="9" s="1"/>
  <c r="M556" i="9"/>
  <c r="O535" i="9"/>
  <c r="J692" i="9"/>
  <c r="Q528" i="9"/>
  <c r="I494" i="9"/>
  <c r="I617" i="9"/>
  <c r="M525" i="9"/>
  <c r="O444" i="9"/>
  <c r="Q563" i="9"/>
  <c r="J595" i="9"/>
  <c r="I595" i="9" s="1"/>
  <c r="P581" i="9"/>
  <c r="M657" i="9"/>
  <c r="J391" i="9"/>
  <c r="I391" i="9" s="1"/>
  <c r="J642" i="9"/>
  <c r="J775" i="9"/>
  <c r="J698" i="9"/>
  <c r="J650" i="9"/>
  <c r="J330" i="9"/>
  <c r="I224" i="9"/>
  <c r="P401" i="9"/>
  <c r="K731" i="9"/>
  <c r="I642" i="9"/>
  <c r="O467" i="9"/>
  <c r="M396" i="9"/>
  <c r="O480" i="9"/>
  <c r="O581" i="9"/>
  <c r="O461" i="9"/>
  <c r="O584" i="9"/>
  <c r="I455" i="9"/>
  <c r="J209" i="9"/>
  <c r="J656" i="9"/>
  <c r="M409" i="9"/>
  <c r="Q479" i="9"/>
  <c r="P466" i="9"/>
  <c r="M514" i="9"/>
  <c r="M394" i="9"/>
  <c r="M397" i="9"/>
  <c r="J629" i="9"/>
  <c r="I551" i="9"/>
  <c r="O551" i="9" s="1"/>
  <c r="I525" i="9"/>
  <c r="P525" i="9" s="1"/>
  <c r="J663" i="9"/>
  <c r="J228" i="9"/>
  <c r="O559" i="9"/>
  <c r="J243" i="9"/>
  <c r="I243" i="9" s="1"/>
  <c r="I400" i="9"/>
  <c r="P393" i="9"/>
  <c r="J225" i="9"/>
  <c r="K427" i="9"/>
  <c r="M488" i="9"/>
  <c r="I413" i="9"/>
  <c r="J756" i="9"/>
  <c r="Q442" i="9"/>
  <c r="K470" i="9"/>
  <c r="I476" i="9"/>
  <c r="J690" i="9"/>
  <c r="P412" i="9"/>
  <c r="J614" i="9"/>
  <c r="J246" i="9"/>
  <c r="I471" i="9"/>
  <c r="L471" i="9" s="1"/>
  <c r="Q513" i="9"/>
  <c r="I690" i="9"/>
  <c r="J295" i="9"/>
  <c r="J261" i="9"/>
  <c r="P553" i="9"/>
  <c r="J647" i="9"/>
  <c r="Q465" i="9"/>
  <c r="P451" i="9"/>
  <c r="K506" i="9"/>
  <c r="K515" i="9"/>
  <c r="M439" i="9"/>
  <c r="I492" i="9"/>
  <c r="Q412" i="9"/>
  <c r="L440" i="9"/>
  <c r="Q571" i="9"/>
  <c r="M670" i="9"/>
  <c r="M402" i="9"/>
  <c r="O508" i="9"/>
  <c r="J641" i="9"/>
  <c r="Q641" i="9" s="1"/>
  <c r="J725" i="9"/>
  <c r="O427" i="9"/>
  <c r="K457" i="9"/>
  <c r="K514" i="9"/>
  <c r="K504" i="9"/>
  <c r="K393" i="9"/>
  <c r="M418" i="9"/>
  <c r="J689" i="9"/>
  <c r="Q439" i="9"/>
  <c r="J287" i="9"/>
  <c r="I544" i="9"/>
  <c r="I554" i="9"/>
  <c r="K554" i="9" s="1"/>
  <c r="J247" i="9"/>
  <c r="M558" i="9"/>
  <c r="L496" i="9"/>
  <c r="J736" i="9"/>
  <c r="M736" i="9" s="1"/>
  <c r="O457" i="9"/>
  <c r="J257" i="9"/>
  <c r="Q459" i="9"/>
  <c r="J390" i="9"/>
  <c r="J704" i="9"/>
  <c r="J241" i="9"/>
  <c r="I615" i="9"/>
  <c r="J258" i="9"/>
  <c r="M573" i="9"/>
  <c r="I478" i="9"/>
  <c r="O478" i="9" s="1"/>
  <c r="P503" i="9"/>
  <c r="Q436" i="9"/>
  <c r="I418" i="9"/>
  <c r="K418" i="9" s="1"/>
  <c r="M539" i="9"/>
  <c r="K486" i="9"/>
  <c r="Q539" i="9"/>
  <c r="J351" i="9"/>
  <c r="I351" i="9" s="1"/>
  <c r="I445" i="9"/>
  <c r="J387" i="9"/>
  <c r="Q569" i="9"/>
  <c r="Q564" i="9"/>
  <c r="K564" i="9"/>
  <c r="I556" i="9"/>
  <c r="J645" i="9"/>
  <c r="L522" i="9"/>
  <c r="Q420" i="9"/>
  <c r="M516" i="9"/>
  <c r="L521" i="9"/>
  <c r="J296" i="9"/>
  <c r="I296" i="9" s="1"/>
  <c r="L456" i="9"/>
  <c r="I226" i="9"/>
  <c r="O502" i="9"/>
  <c r="J769" i="9"/>
  <c r="J305" i="9"/>
  <c r="I745" i="9"/>
  <c r="P543" i="9"/>
  <c r="O439" i="9"/>
  <c r="L463" i="9"/>
  <c r="P504" i="9"/>
  <c r="K521" i="9"/>
  <c r="Q512" i="9"/>
  <c r="J389" i="9"/>
  <c r="P534" i="9"/>
  <c r="L409" i="9"/>
  <c r="I233" i="9"/>
  <c r="K233" i="9" s="1"/>
  <c r="K546" i="9"/>
  <c r="J669" i="9"/>
  <c r="O565" i="9"/>
  <c r="J730" i="9"/>
  <c r="J673" i="9"/>
  <c r="I673" i="9" s="1"/>
  <c r="O418" i="9"/>
  <c r="Q428" i="9"/>
  <c r="O420" i="9"/>
  <c r="I477" i="9"/>
  <c r="Q393" i="9"/>
  <c r="P418" i="9"/>
  <c r="Q551" i="9"/>
  <c r="J315" i="9"/>
  <c r="M414" i="9"/>
  <c r="Q311" i="9"/>
  <c r="I680" i="9"/>
  <c r="K680" i="9" s="1"/>
  <c r="M224" i="9"/>
  <c r="J265" i="9"/>
  <c r="J270" i="9"/>
  <c r="J282" i="9"/>
  <c r="J279" i="9"/>
  <c r="J288" i="9"/>
  <c r="M288" i="9" s="1"/>
  <c r="J376" i="9"/>
  <c r="Q376" i="9" s="1"/>
  <c r="J356" i="9"/>
  <c r="K492" i="9"/>
  <c r="I372" i="9"/>
  <c r="K372" i="9" s="1"/>
  <c r="L478" i="9"/>
  <c r="Q620" i="9"/>
  <c r="Q296" i="9"/>
  <c r="O731" i="9"/>
  <c r="K494" i="9"/>
  <c r="I356" i="9"/>
  <c r="O224" i="9"/>
  <c r="L372" i="9"/>
  <c r="L481" i="9"/>
  <c r="P511" i="9"/>
  <c r="O542" i="9"/>
  <c r="M477" i="9"/>
  <c r="I501" i="9"/>
  <c r="Q422" i="9"/>
  <c r="P559" i="9"/>
  <c r="M420" i="9"/>
  <c r="L517" i="9"/>
  <c r="P434" i="9"/>
  <c r="O470" i="9"/>
  <c r="J239" i="9"/>
  <c r="M551" i="9"/>
  <c r="K428" i="9"/>
  <c r="O560" i="9"/>
  <c r="Q413" i="9"/>
  <c r="Q549" i="9"/>
  <c r="Q525" i="9"/>
  <c r="L513" i="9"/>
  <c r="L457" i="9"/>
  <c r="J712" i="9"/>
  <c r="I712" i="9" s="1"/>
  <c r="I419" i="9"/>
  <c r="J751" i="9"/>
  <c r="Q751" i="9" s="1"/>
  <c r="J734" i="9"/>
  <c r="Q476" i="9"/>
  <c r="O462" i="9"/>
  <c r="M410" i="9"/>
  <c r="Q529" i="9"/>
  <c r="O460" i="9"/>
  <c r="Q505" i="9"/>
  <c r="J776" i="9"/>
  <c r="O517" i="9"/>
  <c r="J748" i="9"/>
  <c r="J292" i="9"/>
  <c r="P712" i="9"/>
  <c r="K578" i="9"/>
  <c r="L486" i="9"/>
  <c r="M567" i="9"/>
  <c r="J679" i="9"/>
  <c r="Q679" i="9" s="1"/>
  <c r="J722" i="9"/>
  <c r="J603" i="9"/>
  <c r="J327" i="9"/>
  <c r="P460" i="9"/>
  <c r="J628" i="9"/>
  <c r="Q547" i="9"/>
  <c r="Q628" i="9"/>
  <c r="J208" i="9"/>
  <c r="M455" i="9"/>
  <c r="P481" i="9"/>
  <c r="I488" i="9"/>
  <c r="K488" i="9" s="1"/>
  <c r="M521" i="9"/>
  <c r="P516" i="9"/>
  <c r="J719" i="9"/>
  <c r="M487" i="9"/>
  <c r="K512" i="9"/>
  <c r="J720" i="9"/>
  <c r="I679" i="9"/>
  <c r="J337" i="9"/>
  <c r="P564" i="9"/>
  <c r="O473" i="9"/>
  <c r="I402" i="9"/>
  <c r="P402" i="9" s="1"/>
  <c r="O402" i="9"/>
  <c r="P400" i="9"/>
  <c r="M233" i="9"/>
  <c r="J286" i="9"/>
  <c r="P463" i="9"/>
  <c r="I558" i="9"/>
  <c r="Q572" i="9"/>
  <c r="M489" i="9"/>
  <c r="I748" i="9"/>
  <c r="I722" i="9"/>
  <c r="I424" i="9"/>
  <c r="M427" i="9"/>
  <c r="P407" i="9"/>
  <c r="M542" i="9"/>
  <c r="J618" i="9"/>
  <c r="I532" i="9"/>
  <c r="Q388" i="9"/>
  <c r="L453" i="9"/>
  <c r="Q546" i="9"/>
  <c r="J363" i="9"/>
  <c r="P571" i="9"/>
  <c r="J304" i="9"/>
  <c r="J312" i="9"/>
  <c r="J386" i="9"/>
  <c r="M386" i="9" s="1"/>
  <c r="O511" i="9"/>
  <c r="Q556" i="9"/>
  <c r="M544" i="9"/>
  <c r="O452" i="9"/>
  <c r="M479" i="9"/>
  <c r="L420" i="9"/>
  <c r="M399" i="9"/>
  <c r="J367" i="9"/>
  <c r="J732" i="9"/>
  <c r="J601" i="9"/>
  <c r="L503" i="9"/>
  <c r="P551" i="9"/>
  <c r="K404" i="9"/>
  <c r="Q478" i="9"/>
  <c r="J273" i="9"/>
  <c r="O504" i="9"/>
  <c r="Q543" i="9"/>
  <c r="J713" i="9"/>
  <c r="O443" i="9"/>
  <c r="J340" i="9"/>
  <c r="J627" i="9"/>
  <c r="L490" i="9"/>
  <c r="M545" i="9"/>
  <c r="Q396" i="9"/>
  <c r="J318" i="9"/>
  <c r="P513" i="9"/>
  <c r="P527" i="9"/>
  <c r="K420" i="9"/>
  <c r="P437" i="9"/>
  <c r="K535" i="9"/>
  <c r="I405" i="9"/>
  <c r="L405" i="9" s="1"/>
  <c r="I529" i="9"/>
  <c r="L473" i="9"/>
  <c r="K558" i="9"/>
  <c r="I573" i="9"/>
  <c r="P499" i="9"/>
  <c r="J632" i="9"/>
  <c r="I547" i="9"/>
  <c r="J743" i="9"/>
  <c r="M743" i="9" s="1"/>
  <c r="K501" i="9"/>
  <c r="Q578" i="9"/>
  <c r="Q470" i="9"/>
  <c r="I459" i="9"/>
  <c r="K459" i="9" s="1"/>
  <c r="Q419" i="9"/>
  <c r="O580" i="9"/>
  <c r="Q424" i="9"/>
  <c r="I487" i="9"/>
  <c r="M412" i="9"/>
  <c r="P512" i="9"/>
  <c r="J368" i="9"/>
  <c r="J648" i="9"/>
  <c r="Q233" i="9"/>
  <c r="Q535" i="9"/>
  <c r="P514" i="9"/>
  <c r="K542" i="9"/>
  <c r="P506" i="9"/>
  <c r="Q443" i="9"/>
  <c r="Q462" i="9"/>
  <c r="J362" i="9"/>
  <c r="M362" i="9" s="1"/>
  <c r="P567" i="9"/>
  <c r="J213" i="9"/>
  <c r="K406" i="9"/>
  <c r="J293" i="9"/>
  <c r="P517" i="9"/>
  <c r="P409" i="9"/>
  <c r="O474" i="9"/>
  <c r="M466" i="9"/>
  <c r="M712" i="9"/>
  <c r="M513" i="9"/>
  <c r="J234" i="9"/>
  <c r="K475" i="9"/>
  <c r="J691" i="9"/>
  <c r="M476" i="9"/>
  <c r="P419" i="9"/>
  <c r="J320" i="9"/>
  <c r="J308" i="9"/>
  <c r="O512" i="9"/>
  <c r="Q466" i="9"/>
  <c r="O553" i="9"/>
  <c r="M576" i="9"/>
  <c r="J726" i="9"/>
  <c r="M605" i="9"/>
  <c r="J687" i="9"/>
  <c r="I368" i="9"/>
  <c r="Q445" i="9"/>
  <c r="Q584" i="9"/>
  <c r="J611" i="9"/>
  <c r="J219" i="9"/>
  <c r="Q405" i="9"/>
  <c r="M444" i="9"/>
  <c r="K536" i="9"/>
  <c r="Q611" i="9"/>
  <c r="O531" i="9"/>
  <c r="Q474" i="9"/>
  <c r="I641" i="9"/>
  <c r="P641" i="9" s="1"/>
  <c r="M719" i="9"/>
  <c r="Q568" i="9"/>
  <c r="P575" i="9"/>
  <c r="P679" i="9"/>
  <c r="O425" i="9"/>
  <c r="L559" i="9"/>
  <c r="Q382" i="9"/>
  <c r="P478" i="9"/>
  <c r="I318" i="9"/>
  <c r="I257" i="9"/>
  <c r="L558" i="9"/>
  <c r="I258" i="9"/>
  <c r="O722" i="9"/>
  <c r="K259" i="9"/>
  <c r="P535" i="9"/>
  <c r="I563" i="9"/>
  <c r="M482" i="9"/>
  <c r="K581" i="9"/>
  <c r="Q577" i="9"/>
  <c r="Q516" i="9"/>
  <c r="Q509" i="9"/>
  <c r="K455" i="9"/>
  <c r="L512" i="9"/>
  <c r="J381" i="9"/>
  <c r="K440" i="9"/>
  <c r="K517" i="9"/>
  <c r="Q488" i="9"/>
  <c r="J306" i="9"/>
  <c r="M306" i="9" s="1"/>
  <c r="I707" i="9"/>
  <c r="Q399" i="9"/>
  <c r="I399" i="9"/>
  <c r="J307" i="9"/>
  <c r="M307" i="9" s="1"/>
  <c r="I566" i="9"/>
  <c r="J592" i="9"/>
  <c r="P441" i="9"/>
  <c r="J621" i="9"/>
  <c r="J203" i="9"/>
  <c r="J297" i="9"/>
  <c r="L579" i="9"/>
  <c r="J735" i="9"/>
  <c r="J383" i="9"/>
  <c r="I507" i="9"/>
  <c r="L507" i="9" s="1"/>
  <c r="M403" i="9"/>
  <c r="M532" i="9"/>
  <c r="J610" i="9"/>
  <c r="Q406" i="9"/>
  <c r="O466" i="9"/>
  <c r="O433" i="9"/>
  <c r="Q567" i="9"/>
  <c r="K575" i="9"/>
  <c r="J626" i="9"/>
  <c r="M478" i="9"/>
  <c r="J267" i="9"/>
  <c r="K409" i="9"/>
  <c r="K547" i="9"/>
  <c r="L454" i="9"/>
  <c r="M437" i="9"/>
  <c r="P458" i="9"/>
  <c r="L439" i="9"/>
  <c r="L537" i="9"/>
  <c r="Q604" i="9"/>
  <c r="I482" i="9"/>
  <c r="Q538" i="9"/>
  <c r="I692" i="9"/>
  <c r="P530" i="9"/>
  <c r="O400" i="9"/>
  <c r="L529" i="9"/>
  <c r="O310" i="9"/>
  <c r="M295" i="9"/>
  <c r="O532" i="9"/>
  <c r="L492" i="9"/>
  <c r="M680" i="9"/>
  <c r="L406" i="9"/>
  <c r="I627" i="9"/>
  <c r="M390" i="9"/>
  <c r="K529" i="9"/>
  <c r="L258" i="9"/>
  <c r="O577" i="9"/>
  <c r="L418" i="9"/>
  <c r="M696" i="9"/>
  <c r="Q351" i="9"/>
  <c r="L445" i="9"/>
  <c r="L429" i="9"/>
  <c r="P546" i="9"/>
  <c r="L530" i="9"/>
  <c r="L556" i="9"/>
  <c r="I636" i="9"/>
  <c r="L636" i="9" s="1"/>
  <c r="M382" i="9"/>
  <c r="I691" i="9"/>
  <c r="M296" i="9"/>
  <c r="L226" i="9"/>
  <c r="O259" i="9"/>
  <c r="O257" i="9"/>
  <c r="O563" i="9"/>
  <c r="P495" i="9"/>
  <c r="I306" i="9"/>
  <c r="M731" i="9"/>
  <c r="O399" i="9"/>
  <c r="I639" i="9"/>
  <c r="Q692" i="9"/>
  <c r="O566" i="9"/>
  <c r="Q592" i="9"/>
  <c r="M735" i="9"/>
  <c r="O494" i="9"/>
  <c r="O477" i="9"/>
  <c r="M610" i="9"/>
  <c r="K431" i="9"/>
  <c r="L595" i="9"/>
  <c r="M391" i="9"/>
  <c r="M279" i="9"/>
  <c r="I376" i="9"/>
  <c r="L627" i="9"/>
  <c r="P372" i="9"/>
  <c r="K636" i="9"/>
  <c r="M572" i="9"/>
  <c r="Q576" i="9"/>
  <c r="Q421" i="9"/>
  <c r="O574" i="9"/>
  <c r="O579" i="9"/>
  <c r="L393" i="9"/>
  <c r="J749" i="9"/>
  <c r="P515" i="9"/>
  <c r="P423" i="9"/>
  <c r="J358" i="9"/>
  <c r="I302" i="9"/>
  <c r="K537" i="9"/>
  <c r="I239" i="9"/>
  <c r="J606" i="9"/>
  <c r="J701" i="9"/>
  <c r="Q712" i="9"/>
  <c r="Q544" i="9"/>
  <c r="L437" i="9"/>
  <c r="J301" i="9"/>
  <c r="L508" i="9"/>
  <c r="L564" i="9"/>
  <c r="J264" i="9"/>
  <c r="M473" i="9"/>
  <c r="M465" i="9"/>
  <c r="L474" i="9"/>
  <c r="I582" i="9"/>
  <c r="I321" i="9"/>
  <c r="J250" i="9"/>
  <c r="M250" i="9" s="1"/>
  <c r="L535" i="9"/>
  <c r="Q582" i="9"/>
  <c r="M636" i="9"/>
  <c r="J303" i="9"/>
  <c r="O421" i="9"/>
  <c r="I510" i="9"/>
  <c r="Q492" i="9"/>
  <c r="I557" i="9"/>
  <c r="M526" i="9"/>
  <c r="M450" i="9"/>
  <c r="K712" i="9"/>
  <c r="O407" i="9"/>
  <c r="L541" i="9"/>
  <c r="J353" i="9"/>
  <c r="Q417" i="9"/>
  <c r="J653" i="9"/>
  <c r="L554" i="9"/>
  <c r="I411" i="9"/>
  <c r="K480" i="9"/>
  <c r="I305" i="9"/>
  <c r="J652" i="9"/>
  <c r="J232" i="9"/>
  <c r="J222" i="9"/>
  <c r="J346" i="9"/>
  <c r="J624" i="9"/>
  <c r="O492" i="9"/>
  <c r="O627" i="9"/>
  <c r="O529" i="9"/>
  <c r="K478" i="9"/>
  <c r="O445" i="9"/>
  <c r="I648" i="9"/>
  <c r="O510" i="9"/>
  <c r="L495" i="9"/>
  <c r="O233" i="9"/>
  <c r="P494" i="9"/>
  <c r="Q595" i="9"/>
  <c r="P391" i="9"/>
  <c r="M232" i="9"/>
  <c r="I775" i="9"/>
  <c r="L648" i="9"/>
  <c r="I776" i="9"/>
  <c r="K776" i="9" s="1"/>
  <c r="P435" i="9"/>
  <c r="J237" i="9"/>
  <c r="I264" i="9"/>
  <c r="O264" i="9" s="1"/>
  <c r="O545" i="9"/>
  <c r="L436" i="9"/>
  <c r="I422" i="9"/>
  <c r="P452" i="9"/>
  <c r="M454" i="9"/>
  <c r="I620" i="9"/>
  <c r="M456" i="9"/>
  <c r="P421" i="9"/>
  <c r="M442" i="9"/>
  <c r="I382" i="9"/>
  <c r="K382" i="9" s="1"/>
  <c r="L499" i="9"/>
  <c r="L581" i="9"/>
  <c r="I450" i="9"/>
  <c r="L460" i="9"/>
  <c r="O463" i="9"/>
  <c r="J218" i="9"/>
  <c r="M585" i="9"/>
  <c r="K573" i="9"/>
  <c r="M327" i="9"/>
  <c r="I337" i="9"/>
  <c r="M507" i="9"/>
  <c r="I395" i="9"/>
  <c r="L395" i="9" s="1"/>
  <c r="O496" i="9"/>
  <c r="M431" i="9"/>
  <c r="J599" i="9"/>
  <c r="I599" i="9" s="1"/>
  <c r="L566" i="9"/>
  <c r="J260" i="9"/>
  <c r="Q573" i="9"/>
  <c r="M582" i="9"/>
  <c r="M419" i="9"/>
  <c r="K430" i="9"/>
  <c r="Q489" i="9"/>
  <c r="K445" i="9"/>
  <c r="Q648" i="9"/>
  <c r="J643" i="9"/>
  <c r="I497" i="9"/>
  <c r="P545" i="9"/>
  <c r="M424" i="9"/>
  <c r="M483" i="9"/>
  <c r="Q394" i="9"/>
  <c r="J334" i="9"/>
  <c r="Q334" i="9" s="1"/>
  <c r="O437" i="9"/>
  <c r="O536" i="9"/>
  <c r="L505" i="9"/>
  <c r="L543" i="9"/>
  <c r="I241" i="9"/>
  <c r="L241" i="9" s="1"/>
  <c r="J635" i="9"/>
  <c r="J753" i="9"/>
  <c r="J220" i="9"/>
  <c r="J768" i="9"/>
  <c r="J674" i="9"/>
  <c r="J248" i="9"/>
  <c r="P532" i="9"/>
  <c r="O554" i="9"/>
  <c r="K405" i="9"/>
  <c r="K258" i="9"/>
  <c r="P445" i="9"/>
  <c r="O530" i="9"/>
  <c r="L394" i="9"/>
  <c r="Q226" i="9"/>
  <c r="K305" i="9"/>
  <c r="K563" i="9"/>
  <c r="O395" i="9"/>
  <c r="L233" i="9"/>
  <c r="L441" i="9"/>
  <c r="M599" i="9"/>
  <c r="P692" i="9"/>
  <c r="P477" i="9"/>
  <c r="L497" i="9"/>
  <c r="O595" i="9"/>
  <c r="K241" i="9"/>
  <c r="M346" i="9"/>
  <c r="I288" i="9"/>
  <c r="O648" i="9"/>
  <c r="L398" i="9"/>
  <c r="K468" i="9"/>
  <c r="Q506" i="9"/>
  <c r="O493" i="9"/>
  <c r="L523" i="9"/>
  <c r="L432" i="9"/>
  <c r="Q530" i="9"/>
  <c r="P457" i="9"/>
  <c r="K552" i="9"/>
  <c r="Q454" i="9"/>
  <c r="M524" i="9"/>
  <c r="Q522" i="9"/>
  <c r="I479" i="9"/>
  <c r="L479" i="9" s="1"/>
  <c r="J699" i="9"/>
  <c r="I576" i="9"/>
  <c r="K511" i="9"/>
  <c r="J216" i="9"/>
  <c r="I447" i="9"/>
  <c r="K447" i="9" s="1"/>
  <c r="I524" i="9"/>
  <c r="M495" i="9"/>
  <c r="J761" i="9"/>
  <c r="K522" i="9"/>
  <c r="P433" i="9"/>
  <c r="I500" i="9"/>
  <c r="K437" i="9"/>
  <c r="I509" i="9"/>
  <c r="P509" i="9" s="1"/>
  <c r="P467" i="9"/>
  <c r="Q495" i="9"/>
  <c r="K539" i="9"/>
  <c r="J659" i="9"/>
  <c r="J272" i="9"/>
  <c r="Q503" i="9"/>
  <c r="Q526" i="9"/>
  <c r="J235" i="9"/>
  <c r="M474" i="9"/>
  <c r="K571" i="9"/>
  <c r="Q491" i="9"/>
  <c r="M459" i="9"/>
  <c r="Q418" i="9"/>
  <c r="L427" i="9"/>
  <c r="J715" i="9"/>
  <c r="P486" i="9"/>
  <c r="K496" i="9"/>
  <c r="P550" i="9"/>
  <c r="I465" i="9"/>
  <c r="K417" i="9"/>
  <c r="Q574" i="9"/>
  <c r="P474" i="9"/>
  <c r="O408" i="9"/>
  <c r="J249" i="9"/>
  <c r="I751" i="9"/>
  <c r="L751" i="9" s="1"/>
  <c r="M469" i="9"/>
  <c r="K580" i="9"/>
  <c r="I498" i="9"/>
  <c r="O498" i="9" s="1"/>
  <c r="L488" i="9"/>
  <c r="M421" i="9"/>
  <c r="O564" i="9"/>
  <c r="P490" i="9"/>
  <c r="L417" i="9"/>
  <c r="M239" i="9"/>
  <c r="J377" i="9"/>
  <c r="Q377" i="9" s="1"/>
  <c r="O505" i="9"/>
  <c r="P488" i="9"/>
  <c r="K690" i="9"/>
  <c r="Q581" i="9"/>
  <c r="I396" i="9"/>
  <c r="L525" i="9"/>
  <c r="M577" i="9"/>
  <c r="K555" i="9"/>
  <c r="Q407" i="9"/>
  <c r="J740" i="9"/>
  <c r="I740" i="9" s="1"/>
  <c r="M429" i="9"/>
  <c r="O543" i="9"/>
  <c r="K402" i="9"/>
  <c r="M543" i="9"/>
  <c r="I442" i="9"/>
  <c r="O442" i="9" s="1"/>
  <c r="Q566" i="9"/>
  <c r="O423" i="9"/>
  <c r="J708" i="9"/>
  <c r="J339" i="9"/>
  <c r="L466" i="9"/>
  <c r="M434" i="9"/>
  <c r="P552" i="9"/>
  <c r="L443" i="9"/>
  <c r="K407" i="9"/>
  <c r="O469" i="9"/>
  <c r="K452" i="9"/>
  <c r="J771" i="9"/>
  <c r="Q771" i="9" s="1"/>
  <c r="L504" i="9"/>
  <c r="J290" i="9"/>
  <c r="I618" i="9"/>
  <c r="P498" i="9"/>
  <c r="O409" i="9"/>
  <c r="Q434" i="9"/>
  <c r="J281" i="9"/>
  <c r="J703" i="9"/>
  <c r="Q486" i="9"/>
  <c r="M485" i="9"/>
  <c r="L555" i="9"/>
  <c r="J655" i="9"/>
  <c r="Q644" i="9"/>
  <c r="O436" i="9"/>
  <c r="P440" i="9"/>
  <c r="K424" i="9"/>
  <c r="K435" i="9"/>
  <c r="Q473" i="9"/>
  <c r="M569" i="9"/>
  <c r="J319" i="9"/>
  <c r="L442" i="9"/>
  <c r="L425" i="9"/>
  <c r="O475" i="9"/>
  <c r="M564" i="9"/>
  <c r="I449" i="9"/>
  <c r="J728" i="9"/>
  <c r="L407" i="9"/>
  <c r="I311" i="9"/>
  <c r="J671" i="9"/>
  <c r="P417" i="9"/>
  <c r="J752" i="9"/>
  <c r="O302" i="9"/>
  <c r="I773" i="9"/>
  <c r="P449" i="9"/>
  <c r="I720" i="9"/>
  <c r="L720" i="9" s="1"/>
  <c r="P773" i="9"/>
  <c r="I549" i="9"/>
  <c r="J350" i="9"/>
  <c r="P425" i="9"/>
  <c r="M447" i="9"/>
  <c r="J355" i="9"/>
  <c r="I656" i="9"/>
  <c r="J661" i="9"/>
  <c r="O486" i="9"/>
  <c r="M581" i="9"/>
  <c r="K395" i="9"/>
  <c r="O274" i="9"/>
  <c r="J263" i="9"/>
  <c r="K509" i="9"/>
  <c r="K499" i="9"/>
  <c r="I569" i="9"/>
  <c r="O459" i="9"/>
  <c r="L274" i="9"/>
  <c r="Q403" i="9"/>
  <c r="J341" i="9"/>
  <c r="Q341" i="9" s="1"/>
  <c r="M319" i="9"/>
  <c r="K441" i="9"/>
  <c r="Q743" i="9"/>
  <c r="P690" i="9"/>
  <c r="J658" i="9"/>
  <c r="J738" i="9"/>
  <c r="J338" i="9"/>
  <c r="J634" i="9"/>
  <c r="M634" i="9" s="1"/>
  <c r="J675" i="9"/>
  <c r="L532" i="9"/>
  <c r="O641" i="9"/>
  <c r="P554" i="9"/>
  <c r="I390" i="9"/>
  <c r="M258" i="9"/>
  <c r="Q696" i="9"/>
  <c r="P422" i="9"/>
  <c r="P226" i="9"/>
  <c r="M259" i="9"/>
  <c r="K310" i="9"/>
  <c r="P557" i="9"/>
  <c r="L656" i="9"/>
  <c r="I307" i="9"/>
  <c r="K566" i="9"/>
  <c r="Q383" i="9"/>
  <c r="P431" i="9"/>
  <c r="M334" i="9"/>
  <c r="Q346" i="9"/>
  <c r="I624" i="9"/>
  <c r="L224" i="9"/>
  <c r="L624" i="9"/>
  <c r="K527" i="9"/>
  <c r="M536" i="9"/>
  <c r="M470" i="9"/>
  <c r="M557" i="9"/>
  <c r="Q402" i="9"/>
  <c r="Q496" i="9"/>
  <c r="Q401" i="9"/>
  <c r="M411" i="9"/>
  <c r="J630" i="9"/>
  <c r="J385" i="9"/>
  <c r="Q426" i="9"/>
  <c r="O440" i="9"/>
  <c r="J598" i="9"/>
  <c r="M598" i="9" s="1"/>
  <c r="J625" i="9"/>
  <c r="O524" i="9"/>
  <c r="J594" i="9"/>
  <c r="J684" i="9"/>
  <c r="J746" i="9"/>
  <c r="K576" i="9"/>
  <c r="I416" i="9"/>
  <c r="K523" i="9"/>
  <c r="J252" i="9"/>
  <c r="J681" i="9"/>
  <c r="Q681" i="9" s="1"/>
  <c r="P523" i="9"/>
  <c r="Q615" i="9"/>
  <c r="J600" i="9"/>
  <c r="K400" i="9"/>
  <c r="O500" i="9"/>
  <c r="J593" i="9"/>
  <c r="J300" i="9"/>
  <c r="Q542" i="9"/>
  <c r="L426" i="9"/>
  <c r="I681" i="9"/>
  <c r="M571" i="9"/>
  <c r="J742" i="9"/>
  <c r="O550" i="9"/>
  <c r="P501" i="9"/>
  <c r="I483" i="9"/>
  <c r="J309" i="9"/>
  <c r="Q304" i="9"/>
  <c r="P426" i="9"/>
  <c r="J729" i="9"/>
  <c r="M395" i="9"/>
  <c r="O522" i="9"/>
  <c r="I464" i="9"/>
  <c r="I304" i="9"/>
  <c r="L500" i="9"/>
  <c r="L520" i="9"/>
  <c r="I568" i="9"/>
  <c r="K567" i="9"/>
  <c r="Q450" i="9"/>
  <c r="J697" i="9"/>
  <c r="L560" i="9"/>
  <c r="K579" i="9"/>
  <c r="Q504" i="9"/>
  <c r="O434" i="9"/>
  <c r="K544" i="9"/>
  <c r="O558" i="9"/>
  <c r="O555" i="9"/>
  <c r="L498" i="9"/>
  <c r="K466" i="9"/>
  <c r="O575" i="9"/>
  <c r="Q287" i="9"/>
  <c r="J375" i="9"/>
  <c r="J608" i="9"/>
  <c r="J370" i="9"/>
  <c r="J633" i="9"/>
  <c r="I572" i="9"/>
  <c r="Q440" i="9"/>
  <c r="J373" i="9"/>
  <c r="I583" i="9"/>
  <c r="M546" i="9"/>
  <c r="O514" i="9"/>
  <c r="O578" i="9"/>
  <c r="I538" i="9"/>
  <c r="K538" i="9" s="1"/>
  <c r="L397" i="9"/>
  <c r="J289" i="9"/>
  <c r="J587" i="9"/>
  <c r="M413" i="9"/>
  <c r="M326" i="9"/>
  <c r="M400" i="9"/>
  <c r="M547" i="9"/>
  <c r="I526" i="9"/>
  <c r="M438" i="9"/>
  <c r="P505" i="9"/>
  <c r="M720" i="9"/>
  <c r="Q537" i="9"/>
  <c r="O401" i="9"/>
  <c r="J357" i="9"/>
  <c r="J271" i="9"/>
  <c r="M471" i="9"/>
  <c r="J291" i="9"/>
  <c r="P404" i="9"/>
  <c r="J709" i="9"/>
  <c r="J242" i="9"/>
  <c r="J682" i="9"/>
  <c r="J717" i="9"/>
  <c r="J280" i="9"/>
  <c r="I295" i="9"/>
  <c r="L618" i="9"/>
  <c r="L641" i="9"/>
  <c r="Q241" i="9"/>
  <c r="P459" i="9"/>
  <c r="O546" i="9"/>
  <c r="I362" i="9"/>
  <c r="O382" i="9"/>
  <c r="M303" i="9"/>
  <c r="P450" i="9"/>
  <c r="L549" i="9"/>
  <c r="L401" i="9"/>
  <c r="Q306" i="9"/>
  <c r="Q307" i="9"/>
  <c r="M592" i="9"/>
  <c r="P507" i="9"/>
  <c r="L431" i="9"/>
  <c r="I341" i="9"/>
  <c r="M642" i="9"/>
  <c r="I242" i="9"/>
  <c r="P775" i="9"/>
  <c r="J254" i="9"/>
  <c r="I254" i="9" s="1"/>
  <c r="J360" i="9"/>
  <c r="J619" i="9"/>
  <c r="J609" i="9"/>
  <c r="J324" i="9"/>
  <c r="J646" i="9"/>
  <c r="J201" i="9"/>
  <c r="J229" i="9"/>
  <c r="J607" i="9"/>
  <c r="J718" i="9"/>
  <c r="M718" i="9" s="1"/>
  <c r="J369" i="9"/>
  <c r="J754" i="9"/>
  <c r="J666" i="9"/>
  <c r="J227" i="9"/>
  <c r="J588" i="9"/>
  <c r="J747" i="9"/>
  <c r="J665" i="9"/>
  <c r="J262" i="9"/>
  <c r="J343" i="9"/>
  <c r="J348" i="9"/>
  <c r="J622" i="9"/>
  <c r="J238" i="9"/>
  <c r="J733" i="9"/>
  <c r="J380" i="9"/>
  <c r="J378" i="9"/>
  <c r="J638" i="9"/>
  <c r="J345" i="9"/>
  <c r="J651" i="9"/>
  <c r="J677" i="9"/>
  <c r="J371" i="9"/>
  <c r="J721" i="9"/>
  <c r="J211" i="9"/>
  <c r="J244" i="9"/>
  <c r="J714" i="9"/>
  <c r="J649" i="9"/>
  <c r="J366" i="9"/>
  <c r="J384" i="9"/>
  <c r="J354" i="9"/>
  <c r="J711" i="9"/>
  <c r="J268" i="9"/>
  <c r="J283" i="9"/>
  <c r="J737" i="9"/>
  <c r="J231" i="9"/>
  <c r="J693" i="9"/>
  <c r="J591" i="9"/>
  <c r="J678" i="9"/>
  <c r="J664" i="9"/>
  <c r="J763" i="9"/>
  <c r="J331" i="9"/>
  <c r="J365" i="9"/>
  <c r="J755" i="9"/>
  <c r="J616" i="9"/>
  <c r="J223" i="9"/>
  <c r="J217" i="9"/>
  <c r="J672" i="9"/>
  <c r="J285" i="9"/>
  <c r="J325" i="9"/>
  <c r="J210" i="9"/>
  <c r="J676" i="9"/>
  <c r="J683" i="9"/>
  <c r="J323" i="9"/>
  <c r="Q323" i="9" s="1"/>
  <c r="J739" i="9"/>
  <c r="J724" i="9"/>
  <c r="J335" i="9"/>
  <c r="J613" i="9"/>
  <c r="J765" i="9"/>
  <c r="J317" i="9"/>
  <c r="J278" i="9"/>
  <c r="J352" i="9"/>
  <c r="J702" i="9"/>
  <c r="Q702" i="9" s="1"/>
  <c r="J251" i="9"/>
  <c r="J759" i="9"/>
  <c r="J770" i="9"/>
  <c r="J640" i="9"/>
  <c r="J202" i="9"/>
  <c r="J392" i="9"/>
  <c r="J694" i="9"/>
  <c r="J750" i="9"/>
  <c r="J245" i="9"/>
  <c r="J660" i="9"/>
  <c r="J685" i="9"/>
  <c r="J221" i="9"/>
  <c r="J764" i="9"/>
  <c r="J700" i="9"/>
  <c r="J294" i="9"/>
  <c r="J266" i="9"/>
  <c r="J215" i="9"/>
  <c r="J631" i="9"/>
  <c r="J589" i="9"/>
  <c r="J359" i="9"/>
  <c r="J316" i="9"/>
  <c r="I316" i="9" s="1"/>
  <c r="J336" i="9"/>
  <c r="J706" i="9"/>
  <c r="J212" i="9"/>
  <c r="J727" i="9"/>
  <c r="J623" i="9"/>
  <c r="J206" i="9"/>
  <c r="J207" i="9"/>
  <c r="J612" i="9"/>
  <c r="J602" i="9"/>
  <c r="J766" i="9"/>
  <c r="J744" i="9"/>
  <c r="J757" i="9"/>
  <c r="J349" i="9"/>
  <c r="J313" i="9"/>
  <c r="J361" i="9"/>
  <c r="J374" i="9"/>
  <c r="J662" i="9"/>
  <c r="J586" i="9"/>
  <c r="J256" i="9"/>
  <c r="J255" i="9"/>
  <c r="J333" i="9"/>
  <c r="J214" i="9"/>
  <c r="J716" i="9"/>
  <c r="J758" i="9"/>
  <c r="J269" i="9"/>
  <c r="J668" i="9"/>
  <c r="J299" i="9"/>
  <c r="J253" i="9"/>
  <c r="J204" i="9"/>
  <c r="J667" i="9"/>
  <c r="J654" i="9"/>
  <c r="I654" i="9" s="1"/>
  <c r="J236" i="9"/>
  <c r="J688" i="9"/>
  <c r="J760" i="9"/>
  <c r="J379" i="9"/>
  <c r="J767" i="9"/>
  <c r="J205" i="9"/>
  <c r="J240" i="9"/>
  <c r="J695" i="9"/>
  <c r="I585" i="9"/>
  <c r="Q585" i="9"/>
  <c r="M692" i="9"/>
  <c r="K692" i="9"/>
  <c r="P656" i="9"/>
  <c r="Q656" i="9"/>
  <c r="P295" i="9"/>
  <c r="Q295" i="9"/>
  <c r="Q261" i="9"/>
  <c r="P257" i="9"/>
  <c r="K257" i="9"/>
  <c r="O390" i="9"/>
  <c r="Q390" i="9"/>
  <c r="O615" i="9"/>
  <c r="L615" i="9"/>
  <c r="K556" i="9"/>
  <c r="P556" i="9"/>
  <c r="K477" i="9"/>
  <c r="L477" i="9"/>
  <c r="L356" i="9"/>
  <c r="L501" i="9"/>
  <c r="O501" i="9"/>
  <c r="O419" i="9"/>
  <c r="L419" i="9"/>
  <c r="I292" i="9"/>
  <c r="M722" i="9"/>
  <c r="P722" i="9"/>
  <c r="K720" i="9"/>
  <c r="Q720" i="9"/>
  <c r="P720" i="9"/>
  <c r="O720" i="9"/>
  <c r="L424" i="9"/>
  <c r="P424" i="9"/>
  <c r="K618" i="9"/>
  <c r="O618" i="9"/>
  <c r="P627" i="9"/>
  <c r="M627" i="9"/>
  <c r="P547" i="9"/>
  <c r="K487" i="9"/>
  <c r="L487" i="9"/>
  <c r="M648" i="9"/>
  <c r="P648" i="9"/>
  <c r="K691" i="9"/>
  <c r="P691" i="9"/>
  <c r="O691" i="9"/>
  <c r="M691" i="9"/>
  <c r="L318" i="9"/>
  <c r="P563" i="9"/>
  <c r="L563" i="9"/>
  <c r="P399" i="9"/>
  <c r="K399" i="9"/>
  <c r="I592" i="9"/>
  <c r="M203" i="9"/>
  <c r="I203" i="9"/>
  <c r="I383" i="9"/>
  <c r="P383" i="9" s="1"/>
  <c r="K383" i="9"/>
  <c r="O383" i="9"/>
  <c r="Q610" i="9"/>
  <c r="I610" i="9"/>
  <c r="O692" i="9"/>
  <c r="L692" i="9"/>
  <c r="Q303" i="9"/>
  <c r="I303" i="9"/>
  <c r="L510" i="9"/>
  <c r="P510" i="9"/>
  <c r="K510" i="9"/>
  <c r="O557" i="9"/>
  <c r="K557" i="9"/>
  <c r="O411" i="9"/>
  <c r="P411" i="9"/>
  <c r="O305" i="9"/>
  <c r="Q652" i="9"/>
  <c r="M652" i="9"/>
  <c r="I652" i="9"/>
  <c r="Q232" i="9"/>
  <c r="I232" i="9"/>
  <c r="Q624" i="9"/>
  <c r="O624" i="9"/>
  <c r="M624" i="9"/>
  <c r="L775" i="9"/>
  <c r="O775" i="9"/>
  <c r="O422" i="9"/>
  <c r="K422" i="9"/>
  <c r="L422" i="9"/>
  <c r="O450" i="9"/>
  <c r="K450" i="9"/>
  <c r="L450" i="9"/>
  <c r="K497" i="9"/>
  <c r="O497" i="9"/>
  <c r="I635" i="9"/>
  <c r="M635" i="9"/>
  <c r="Q635" i="9"/>
  <c r="P576" i="9"/>
  <c r="O576" i="9"/>
  <c r="L576" i="9"/>
  <c r="I216" i="9"/>
  <c r="M216" i="9"/>
  <c r="P524" i="9"/>
  <c r="L524" i="9"/>
  <c r="P500" i="9"/>
  <c r="K500" i="9"/>
  <c r="I659" i="9"/>
  <c r="Q659" i="9"/>
  <c r="K465" i="9"/>
  <c r="L465" i="9"/>
  <c r="P465" i="9"/>
  <c r="L396" i="9"/>
  <c r="K396" i="9"/>
  <c r="O396" i="9"/>
  <c r="P396" i="9"/>
  <c r="I290" i="9"/>
  <c r="M655" i="9"/>
  <c r="Q655" i="9"/>
  <c r="I655" i="9"/>
  <c r="Q319" i="9"/>
  <c r="I319" i="9"/>
  <c r="L449" i="9"/>
  <c r="O449" i="9"/>
  <c r="K449" i="9"/>
  <c r="Q728" i="9"/>
  <c r="I728" i="9"/>
  <c r="L728" i="9"/>
  <c r="M728" i="9"/>
  <c r="K311" i="9"/>
  <c r="O311" i="9"/>
  <c r="P311" i="9"/>
  <c r="O549" i="9"/>
  <c r="K549" i="9"/>
  <c r="P549" i="9"/>
  <c r="M355" i="9"/>
  <c r="I355" i="9"/>
  <c r="K355" i="9"/>
  <c r="Q355" i="9"/>
  <c r="O656" i="9"/>
  <c r="K656" i="9"/>
  <c r="Q661" i="9"/>
  <c r="M661" i="9"/>
  <c r="M338" i="9"/>
  <c r="Q338" i="9"/>
  <c r="I338" i="9"/>
  <c r="O338" i="9"/>
  <c r="L390" i="9"/>
  <c r="P390" i="9"/>
  <c r="O307" i="9"/>
  <c r="P307" i="9"/>
  <c r="M625" i="9"/>
  <c r="I625" i="9"/>
  <c r="O416" i="9"/>
  <c r="L416" i="9"/>
  <c r="K416" i="9"/>
  <c r="P416" i="9"/>
  <c r="I252" i="9"/>
  <c r="I300" i="9"/>
  <c r="I742" i="9"/>
  <c r="Q742" i="9"/>
  <c r="K483" i="9"/>
  <c r="O483" i="9"/>
  <c r="P483" i="9"/>
  <c r="K464" i="9"/>
  <c r="P464" i="9"/>
  <c r="O464" i="9"/>
  <c r="K304" i="9"/>
  <c r="P304" i="9"/>
  <c r="P568" i="9"/>
  <c r="L568" i="9"/>
  <c r="K568" i="9"/>
  <c r="O568" i="9"/>
  <c r="M633" i="9"/>
  <c r="I633" i="9"/>
  <c r="P572" i="9"/>
  <c r="K572" i="9"/>
  <c r="K583" i="9"/>
  <c r="O583" i="9"/>
  <c r="Q357" i="9"/>
  <c r="I357" i="9"/>
  <c r="I271" i="9"/>
  <c r="O271" i="9"/>
  <c r="Q271" i="9"/>
  <c r="Q709" i="9"/>
  <c r="M709" i="9"/>
  <c r="I709" i="9"/>
  <c r="K242" i="9"/>
  <c r="L242" i="9"/>
  <c r="M242" i="9"/>
  <c r="Q242" i="9"/>
  <c r="P242" i="9"/>
  <c r="M717" i="9"/>
  <c r="I717" i="9"/>
  <c r="I360" i="9"/>
  <c r="M360" i="9"/>
  <c r="I609" i="9"/>
  <c r="P609" i="9"/>
  <c r="L609" i="9"/>
  <c r="M609" i="9"/>
  <c r="I324" i="9"/>
  <c r="M324" i="9"/>
  <c r="M369" i="9"/>
  <c r="Q369" i="9"/>
  <c r="I369" i="9"/>
  <c r="I227" i="9"/>
  <c r="O227" i="9" s="1"/>
  <c r="M588" i="9"/>
  <c r="Q588" i="9"/>
  <c r="I588" i="9"/>
  <c r="I665" i="9"/>
  <c r="Q665" i="9"/>
  <c r="I343" i="9"/>
  <c r="P343" i="9" s="1"/>
  <c r="L343" i="9"/>
  <c r="K343" i="9"/>
  <c r="I348" i="9"/>
  <c r="P348" i="9"/>
  <c r="K348" i="9"/>
  <c r="Q622" i="9"/>
  <c r="M622" i="9"/>
  <c r="I378" i="9"/>
  <c r="L378" i="9"/>
  <c r="O378" i="9"/>
  <c r="M638" i="9"/>
  <c r="I638" i="9"/>
  <c r="K638" i="9" s="1"/>
  <c r="P638" i="9"/>
  <c r="O638" i="9"/>
  <c r="L638" i="9"/>
  <c r="M651" i="9"/>
  <c r="Q651" i="9"/>
  <c r="I651" i="9"/>
  <c r="M721" i="9"/>
  <c r="I721" i="9"/>
  <c r="M211" i="9"/>
  <c r="I211" i="9"/>
  <c r="O211" i="9"/>
  <c r="I714" i="9"/>
  <c r="Q714" i="9"/>
  <c r="I649" i="9"/>
  <c r="O649" i="9" s="1"/>
  <c r="I384" i="9"/>
  <c r="O384" i="9" s="1"/>
  <c r="M384" i="9"/>
  <c r="P384" i="9"/>
  <c r="I354" i="9"/>
  <c r="Q354" i="9"/>
  <c r="I283" i="9"/>
  <c r="O283" i="9" s="1"/>
  <c r="M693" i="9"/>
  <c r="Q693" i="9"/>
  <c r="I591" i="9"/>
  <c r="Q591" i="9"/>
  <c r="O591" i="9"/>
  <c r="L591" i="9"/>
  <c r="K591" i="9"/>
  <c r="Q678" i="9"/>
  <c r="M678" i="9"/>
  <c r="I331" i="9"/>
  <c r="O331" i="9"/>
  <c r="Q331" i="9"/>
  <c r="M331" i="9"/>
  <c r="I365" i="9"/>
  <c r="L365" i="9"/>
  <c r="P365" i="9"/>
  <c r="Q365" i="9"/>
  <c r="M365" i="9"/>
  <c r="K365" i="9"/>
  <c r="Q676" i="9"/>
  <c r="I676" i="9"/>
  <c r="L676" i="9"/>
  <c r="M683" i="9"/>
  <c r="I683" i="9"/>
  <c r="Q739" i="9"/>
  <c r="M739" i="9"/>
  <c r="I724" i="9"/>
  <c r="I613" i="9"/>
  <c r="O613" i="9" s="1"/>
  <c r="P613" i="9"/>
  <c r="M613" i="9"/>
  <c r="I765" i="9"/>
  <c r="I278" i="9"/>
  <c r="L278" i="9"/>
  <c r="M278" i="9"/>
  <c r="Q352" i="9"/>
  <c r="M352" i="9"/>
  <c r="I352" i="9"/>
  <c r="Q640" i="9"/>
  <c r="M640" i="9"/>
  <c r="I640" i="9"/>
  <c r="Q750" i="9"/>
  <c r="I750" i="9"/>
  <c r="K750" i="9" s="1"/>
  <c r="M750" i="9"/>
  <c r="M660" i="9"/>
  <c r="I660" i="9"/>
  <c r="Q660" i="9"/>
  <c r="I700" i="9"/>
  <c r="M700" i="9"/>
  <c r="P700" i="9"/>
  <c r="I294" i="9"/>
  <c r="M294" i="9"/>
  <c r="L294" i="9"/>
  <c r="Q294" i="9"/>
  <c r="I215" i="9"/>
  <c r="L215" i="9" s="1"/>
  <c r="Q215" i="9"/>
  <c r="P215" i="9"/>
  <c r="M215" i="9"/>
  <c r="I631" i="9"/>
  <c r="Q631" i="9"/>
  <c r="Q359" i="9"/>
  <c r="I359" i="9"/>
  <c r="M359" i="9"/>
  <c r="L359" i="9"/>
  <c r="O359" i="9"/>
  <c r="M336" i="9"/>
  <c r="Q336" i="9"/>
  <c r="I336" i="9"/>
  <c r="I706" i="9"/>
  <c r="K706" i="9"/>
  <c r="Q706" i="9"/>
  <c r="O706" i="9"/>
  <c r="P706" i="9"/>
  <c r="I212" i="9"/>
  <c r="L212" i="9" s="1"/>
  <c r="M212" i="9"/>
  <c r="P212" i="9"/>
  <c r="O212" i="9"/>
  <c r="Q727" i="9"/>
  <c r="I727" i="9"/>
  <c r="I207" i="9"/>
  <c r="O207" i="9" s="1"/>
  <c r="Q207" i="9"/>
  <c r="Q612" i="9"/>
  <c r="I612" i="9"/>
  <c r="I313" i="9"/>
  <c r="P313" i="9"/>
  <c r="M313" i="9"/>
  <c r="K313" i="9"/>
  <c r="Q374" i="9"/>
  <c r="I374" i="9"/>
  <c r="K374" i="9" s="1"/>
  <c r="I662" i="9"/>
  <c r="P662" i="9"/>
  <c r="M256" i="9"/>
  <c r="I256" i="9"/>
  <c r="K256" i="9" s="1"/>
  <c r="L256" i="9"/>
  <c r="O256" i="9"/>
  <c r="Q256" i="9"/>
  <c r="I214" i="9"/>
  <c r="Q214" i="9"/>
  <c r="Q758" i="9"/>
  <c r="I758" i="9"/>
  <c r="L758" i="9"/>
  <c r="P758" i="9"/>
  <c r="I269" i="9"/>
  <c r="L269" i="9"/>
  <c r="P269" i="9"/>
  <c r="I299" i="9"/>
  <c r="O299" i="9"/>
  <c r="Q299" i="9"/>
  <c r="K299" i="9"/>
  <c r="I767" i="9"/>
  <c r="O767" i="9"/>
  <c r="P767" i="9"/>
  <c r="L767" i="9"/>
  <c r="K767" i="9"/>
  <c r="M205" i="9"/>
  <c r="Q240" i="9"/>
  <c r="P585" i="9"/>
  <c r="O585" i="9"/>
  <c r="L292" i="9"/>
  <c r="P292" i="9"/>
  <c r="K592" i="9"/>
  <c r="L592" i="9"/>
  <c r="O592" i="9"/>
  <c r="O610" i="9"/>
  <c r="P610" i="9"/>
  <c r="L610" i="9"/>
  <c r="K290" i="9"/>
  <c r="L290" i="9"/>
  <c r="P355" i="9"/>
  <c r="O355" i="9"/>
  <c r="P625" i="9"/>
  <c r="L625" i="9"/>
  <c r="L252" i="9"/>
  <c r="O252" i="9"/>
  <c r="O300" i="9"/>
  <c r="L300" i="9"/>
  <c r="P300" i="9"/>
  <c r="K300" i="9"/>
  <c r="P633" i="9"/>
  <c r="L633" i="9"/>
  <c r="K633" i="9"/>
  <c r="P709" i="9"/>
  <c r="O709" i="9"/>
  <c r="P360" i="9"/>
  <c r="O360" i="9"/>
  <c r="K360" i="9"/>
  <c r="P324" i="9"/>
  <c r="L369" i="9"/>
  <c r="K369" i="9"/>
  <c r="O588" i="9"/>
  <c r="K588" i="9"/>
  <c r="O348" i="9"/>
  <c r="L348" i="9"/>
  <c r="O714" i="9"/>
  <c r="L714" i="9"/>
  <c r="P676" i="9"/>
  <c r="O676" i="9"/>
  <c r="P278" i="9"/>
  <c r="O278" i="9"/>
  <c r="K278" i="9"/>
  <c r="P640" i="9"/>
  <c r="K640" i="9"/>
  <c r="O640" i="9"/>
  <c r="L640" i="9"/>
  <c r="L660" i="9"/>
  <c r="P359" i="9"/>
  <c r="K359" i="9"/>
  <c r="K336" i="9"/>
  <c r="P336" i="9"/>
  <c r="L727" i="9"/>
  <c r="P727" i="9"/>
  <c r="O727" i="9"/>
  <c r="O758" i="9"/>
  <c r="K758" i="9"/>
  <c r="N527" i="9" l="1"/>
  <c r="U527" i="9" s="1"/>
  <c r="N432" i="9"/>
  <c r="U432" i="9" s="1"/>
  <c r="R493" i="9"/>
  <c r="V493" i="9" s="1"/>
  <c r="N468" i="9"/>
  <c r="U468" i="9" s="1"/>
  <c r="N510" i="9"/>
  <c r="U510" i="9" s="1"/>
  <c r="N561" i="9"/>
  <c r="U561" i="9" s="1"/>
  <c r="N449" i="9"/>
  <c r="S449" i="9" s="1"/>
  <c r="T449" i="9" s="1"/>
  <c r="N441" i="9"/>
  <c r="U441" i="9" s="1"/>
  <c r="N446" i="9"/>
  <c r="U446" i="9" s="1"/>
  <c r="R519" i="9"/>
  <c r="N523" i="9"/>
  <c r="S523" i="9" s="1"/>
  <c r="T523" i="9" s="1"/>
  <c r="R559" i="9"/>
  <c r="N415" i="9"/>
  <c r="U415" i="9" s="1"/>
  <c r="R515" i="9"/>
  <c r="R511" i="9"/>
  <c r="N484" i="9"/>
  <c r="U484" i="9" s="1"/>
  <c r="N493" i="9"/>
  <c r="S493" i="9" s="1"/>
  <c r="T493" i="9" s="1"/>
  <c r="R461" i="9"/>
  <c r="V461" i="9" s="1"/>
  <c r="R451" i="9"/>
  <c r="R398" i="9"/>
  <c r="R428" i="9"/>
  <c r="N481" i="9"/>
  <c r="U481" i="9" s="1"/>
  <c r="N467" i="9"/>
  <c r="U467" i="9" s="1"/>
  <c r="R453" i="9"/>
  <c r="R508" i="9"/>
  <c r="R535" i="9"/>
  <c r="R408" i="9"/>
  <c r="R422" i="9"/>
  <c r="N431" i="9"/>
  <c r="S431" i="9" s="1"/>
  <c r="T431" i="9" s="1"/>
  <c r="N496" i="9"/>
  <c r="U496" i="9" s="1"/>
  <c r="N435" i="9"/>
  <c r="S435" i="9" s="1"/>
  <c r="T435" i="9" s="1"/>
  <c r="R475" i="9"/>
  <c r="N393" i="9"/>
  <c r="S393" i="9" s="1"/>
  <c r="T393" i="9" s="1"/>
  <c r="N552" i="9"/>
  <c r="S552" i="9" s="1"/>
  <c r="T552" i="9" s="1"/>
  <c r="R441" i="9"/>
  <c r="R510" i="9"/>
  <c r="N412" i="9"/>
  <c r="S412" i="9" s="1"/>
  <c r="T412" i="9" s="1"/>
  <c r="N541" i="9"/>
  <c r="U541" i="9" s="1"/>
  <c r="R432" i="9"/>
  <c r="N444" i="9"/>
  <c r="U444" i="9" s="1"/>
  <c r="N506" i="9"/>
  <c r="U506" i="9" s="1"/>
  <c r="R446" i="9"/>
  <c r="N531" i="9"/>
  <c r="S531" i="9" s="1"/>
  <c r="T531" i="9" s="1"/>
  <c r="N436" i="9"/>
  <c r="S436" i="9" s="1"/>
  <c r="T436" i="9" s="1"/>
  <c r="R426" i="9"/>
  <c r="N427" i="9"/>
  <c r="S427" i="9" s="1"/>
  <c r="T427" i="9" s="1"/>
  <c r="R435" i="9"/>
  <c r="R409" i="9"/>
  <c r="R534" i="9"/>
  <c r="N398" i="9"/>
  <c r="U398" i="9" s="1"/>
  <c r="R552" i="9"/>
  <c r="R523" i="9"/>
  <c r="R503" i="9"/>
  <c r="R463" i="9"/>
  <c r="N452" i="9"/>
  <c r="S452" i="9" s="1"/>
  <c r="N508" i="9"/>
  <c r="U508" i="9" s="1"/>
  <c r="N457" i="9"/>
  <c r="S457" i="9" s="1"/>
  <c r="R500" i="9"/>
  <c r="N434" i="9"/>
  <c r="S434" i="9" s="1"/>
  <c r="R458" i="9"/>
  <c r="R502" i="9"/>
  <c r="N499" i="9"/>
  <c r="U499" i="9" s="1"/>
  <c r="N497" i="9"/>
  <c r="U497" i="9" s="1"/>
  <c r="R430" i="9"/>
  <c r="R560" i="9"/>
  <c r="R584" i="9"/>
  <c r="R581" i="9"/>
  <c r="N537" i="9"/>
  <c r="U537" i="9" s="1"/>
  <c r="R464" i="9"/>
  <c r="N453" i="9"/>
  <c r="S453" i="9" s="1"/>
  <c r="T453" i="9" s="1"/>
  <c r="R480" i="9"/>
  <c r="R436" i="9"/>
  <c r="R433" i="9"/>
  <c r="N542" i="9"/>
  <c r="U542" i="9" s="1"/>
  <c r="N486" i="9"/>
  <c r="U486" i="9" s="1"/>
  <c r="N463" i="9"/>
  <c r="S463" i="9" s="1"/>
  <c r="T463" i="9" s="1"/>
  <c r="R417" i="9"/>
  <c r="R527" i="9"/>
  <c r="N401" i="9"/>
  <c r="S401" i="9" s="1"/>
  <c r="T401" i="9" s="1"/>
  <c r="N514" i="9"/>
  <c r="S514" i="9" s="1"/>
  <c r="T514" i="9" s="1"/>
  <c r="N549" i="9"/>
  <c r="U549" i="9" s="1"/>
  <c r="N574" i="9"/>
  <c r="U574" i="9" s="1"/>
  <c r="R517" i="9"/>
  <c r="N477" i="9"/>
  <c r="S477" i="9" s="1"/>
  <c r="R454" i="9"/>
  <c r="R563" i="9"/>
  <c r="N555" i="9"/>
  <c r="S555" i="9" s="1"/>
  <c r="T555" i="9" s="1"/>
  <c r="R565" i="9"/>
  <c r="R501" i="9"/>
  <c r="N511" i="9"/>
  <c r="U511" i="9" s="1"/>
  <c r="R396" i="9"/>
  <c r="N502" i="9"/>
  <c r="U502" i="9" s="1"/>
  <c r="R571" i="9"/>
  <c r="N575" i="9"/>
  <c r="S575" i="9" s="1"/>
  <c r="T575" i="9" s="1"/>
  <c r="N513" i="9"/>
  <c r="S513" i="9" s="1"/>
  <c r="T513" i="9" s="1"/>
  <c r="N433" i="9"/>
  <c r="U433" i="9" s="1"/>
  <c r="R404" i="9"/>
  <c r="N553" i="9"/>
  <c r="U553" i="9" s="1"/>
  <c r="R579" i="9"/>
  <c r="N564" i="9"/>
  <c r="U564" i="9" s="1"/>
  <c r="R494" i="9"/>
  <c r="N470" i="9"/>
  <c r="S470" i="9" s="1"/>
  <c r="T470" i="9" s="1"/>
  <c r="R423" i="9"/>
  <c r="R546" i="9"/>
  <c r="N417" i="9"/>
  <c r="S417" i="9" s="1"/>
  <c r="T417" i="9" s="1"/>
  <c r="R434" i="9"/>
  <c r="R420" i="9"/>
  <c r="R537" i="9"/>
  <c r="R545" i="9"/>
  <c r="R551" i="9"/>
  <c r="R580" i="9"/>
  <c r="N520" i="9"/>
  <c r="S520" i="9" s="1"/>
  <c r="R407" i="9"/>
  <c r="R444" i="9"/>
  <c r="N424" i="9"/>
  <c r="U424" i="9" s="1"/>
  <c r="R577" i="9"/>
  <c r="R401" i="9"/>
  <c r="R425" i="9"/>
  <c r="R483" i="9"/>
  <c r="N505" i="9"/>
  <c r="S505" i="9" s="1"/>
  <c r="T505" i="9" s="1"/>
  <c r="R474" i="9"/>
  <c r="R574" i="9"/>
  <c r="R578" i="9"/>
  <c r="N563" i="9"/>
  <c r="S563" i="9" s="1"/>
  <c r="R452" i="9"/>
  <c r="R516" i="9"/>
  <c r="N517" i="9"/>
  <c r="S517" i="9" s="1"/>
  <c r="R522" i="9"/>
  <c r="N536" i="9"/>
  <c r="S536" i="9" s="1"/>
  <c r="T536" i="9" s="1"/>
  <c r="N579" i="9"/>
  <c r="U579" i="9" s="1"/>
  <c r="N418" i="9"/>
  <c r="U418" i="9" s="1"/>
  <c r="R477" i="9"/>
  <c r="N465" i="9"/>
  <c r="S465" i="9" s="1"/>
  <c r="T465" i="9" s="1"/>
  <c r="R506" i="9"/>
  <c r="N404" i="9"/>
  <c r="U404" i="9" s="1"/>
  <c r="N521" i="9"/>
  <c r="U521" i="9" s="1"/>
  <c r="N469" i="9"/>
  <c r="S469" i="9" s="1"/>
  <c r="T469" i="9" s="1"/>
  <c r="N443" i="9"/>
  <c r="U443" i="9" s="1"/>
  <c r="N460" i="9"/>
  <c r="S460" i="9" s="1"/>
  <c r="T460" i="9" s="1"/>
  <c r="R505" i="9"/>
  <c r="R555" i="9"/>
  <c r="R575" i="9"/>
  <c r="R429" i="9"/>
  <c r="R549" i="9"/>
  <c r="R553" i="9"/>
  <c r="N425" i="9"/>
  <c r="U425" i="9" s="1"/>
  <c r="R462" i="9"/>
  <c r="N545" i="9"/>
  <c r="U545" i="9" s="1"/>
  <c r="N426" i="9"/>
  <c r="S426" i="9" s="1"/>
  <c r="T426" i="9" s="1"/>
  <c r="N566" i="9"/>
  <c r="U566" i="9" s="1"/>
  <c r="N414" i="9"/>
  <c r="U414" i="9" s="1"/>
  <c r="N512" i="9"/>
  <c r="U512" i="9" s="1"/>
  <c r="R524" i="9"/>
  <c r="N437" i="9"/>
  <c r="U437" i="9" s="1"/>
  <c r="N430" i="9"/>
  <c r="U430" i="9" s="1"/>
  <c r="N487" i="9"/>
  <c r="U487" i="9" s="1"/>
  <c r="R400" i="9"/>
  <c r="R576" i="9"/>
  <c r="N576" i="9"/>
  <c r="S576" i="9" s="1"/>
  <c r="T576" i="9" s="1"/>
  <c r="N454" i="9"/>
  <c r="S454" i="9" s="1"/>
  <c r="T454" i="9" s="1"/>
  <c r="R412" i="9"/>
  <c r="R399" i="9"/>
  <c r="N504" i="9"/>
  <c r="S504" i="9" s="1"/>
  <c r="T504" i="9" s="1"/>
  <c r="R484" i="9"/>
  <c r="R416" i="9"/>
  <c r="N535" i="9"/>
  <c r="U535" i="9" s="1"/>
  <c r="R427" i="9"/>
  <c r="N422" i="9"/>
  <c r="U422" i="9" s="1"/>
  <c r="N581" i="9"/>
  <c r="U581" i="9" s="1"/>
  <c r="N550" i="9"/>
  <c r="U550" i="9" s="1"/>
  <c r="N522" i="9"/>
  <c r="S522" i="9" s="1"/>
  <c r="T522" i="9" s="1"/>
  <c r="N475" i="9"/>
  <c r="U475" i="9" s="1"/>
  <c r="R443" i="9"/>
  <c r="R504" i="9"/>
  <c r="N558" i="9"/>
  <c r="S558" i="9" s="1"/>
  <c r="T558" i="9" s="1"/>
  <c r="R513" i="9"/>
  <c r="R528" i="9"/>
  <c r="R393" i="9"/>
  <c r="R550" i="9"/>
  <c r="R486" i="9"/>
  <c r="R457" i="9"/>
  <c r="N407" i="9"/>
  <c r="U407" i="9" s="1"/>
  <c r="R450" i="9"/>
  <c r="R564" i="9"/>
  <c r="N530" i="9"/>
  <c r="S530" i="9" s="1"/>
  <c r="N571" i="9"/>
  <c r="S571" i="9" s="1"/>
  <c r="T571" i="9" s="1"/>
  <c r="R567" i="9"/>
  <c r="S574" i="9"/>
  <c r="T574" i="9" s="1"/>
  <c r="S415" i="9"/>
  <c r="T415" i="9" s="1"/>
  <c r="U570" i="9"/>
  <c r="S561" i="9"/>
  <c r="T561" i="9" s="1"/>
  <c r="S540" i="9"/>
  <c r="T540" i="9" s="1"/>
  <c r="S458" i="9"/>
  <c r="T458" i="9" s="1"/>
  <c r="S518" i="9"/>
  <c r="T518" i="9" s="1"/>
  <c r="R706" i="9"/>
  <c r="R411" i="9"/>
  <c r="N405" i="9"/>
  <c r="S405" i="9" s="1"/>
  <c r="T405" i="9" s="1"/>
  <c r="R355" i="9"/>
  <c r="N242" i="9"/>
  <c r="U242" i="9" s="1"/>
  <c r="R460" i="9"/>
  <c r="R418" i="9"/>
  <c r="N480" i="9"/>
  <c r="S480" i="9" s="1"/>
  <c r="R470" i="9"/>
  <c r="N501" i="9"/>
  <c r="U501" i="9" s="1"/>
  <c r="R536" i="9"/>
  <c r="R532" i="9"/>
  <c r="R437" i="9"/>
  <c r="N515" i="9"/>
  <c r="N546" i="9"/>
  <c r="S546" i="9" s="1"/>
  <c r="T546" i="9" s="1"/>
  <c r="R481" i="9"/>
  <c r="N409" i="9"/>
  <c r="S409" i="9" s="1"/>
  <c r="T409" i="9" s="1"/>
  <c r="N529" i="9"/>
  <c r="U529" i="9" s="1"/>
  <c r="N503" i="9"/>
  <c r="S503" i="9" s="1"/>
  <c r="T503" i="9" s="1"/>
  <c r="R449" i="9"/>
  <c r="R514" i="9"/>
  <c r="N410" i="9"/>
  <c r="S410" i="9" s="1"/>
  <c r="R419" i="9"/>
  <c r="N438" i="9"/>
  <c r="S438" i="9" s="1"/>
  <c r="T438" i="9" s="1"/>
  <c r="R542" i="9"/>
  <c r="N559" i="9"/>
  <c r="U559" i="9" s="1"/>
  <c r="R557" i="9"/>
  <c r="R496" i="9"/>
  <c r="R531" i="9"/>
  <c r="N428" i="9"/>
  <c r="U428" i="9" s="1"/>
  <c r="N560" i="9"/>
  <c r="U560" i="9" s="1"/>
  <c r="N396" i="9"/>
  <c r="N554" i="9"/>
  <c r="U554" i="9" s="1"/>
  <c r="N492" i="9"/>
  <c r="U492" i="9" s="1"/>
  <c r="R561" i="9"/>
  <c r="R512" i="9"/>
  <c r="U461" i="9"/>
  <c r="S510" i="9"/>
  <c r="S584" i="9"/>
  <c r="T584" i="9" s="1"/>
  <c r="N633" i="9"/>
  <c r="U633" i="9" s="1"/>
  <c r="R610" i="9"/>
  <c r="R568" i="9"/>
  <c r="R530" i="9"/>
  <c r="N578" i="9"/>
  <c r="S578" i="9" s="1"/>
  <c r="R438" i="9"/>
  <c r="N420" i="9"/>
  <c r="U420" i="9" s="1"/>
  <c r="R448" i="9"/>
  <c r="N580" i="9"/>
  <c r="S580" i="9" s="1"/>
  <c r="T580" i="9" s="1"/>
  <c r="R521" i="9"/>
  <c r="N445" i="9"/>
  <c r="S445" i="9" s="1"/>
  <c r="N466" i="9"/>
  <c r="U466" i="9" s="1"/>
  <c r="N456" i="9"/>
  <c r="U456" i="9" s="1"/>
  <c r="R307" i="9"/>
  <c r="S549" i="9"/>
  <c r="T549" i="9" s="1"/>
  <c r="R402" i="9"/>
  <c r="R440" i="9"/>
  <c r="N568" i="9"/>
  <c r="S568" i="9" s="1"/>
  <c r="T568" i="9" s="1"/>
  <c r="R473" i="9"/>
  <c r="N450" i="9"/>
  <c r="S450" i="9" s="1"/>
  <c r="T450" i="9" s="1"/>
  <c r="R676" i="9"/>
  <c r="R421" i="9"/>
  <c r="R543" i="9"/>
  <c r="R495" i="9"/>
  <c r="R466" i="9"/>
  <c r="N278" i="9"/>
  <c r="U278" i="9" s="1"/>
  <c r="R498" i="9"/>
  <c r="N500" i="9"/>
  <c r="U500" i="9" s="1"/>
  <c r="N692" i="9"/>
  <c r="S692" i="9" s="1"/>
  <c r="N474" i="9"/>
  <c r="S474" i="9" s="1"/>
  <c r="T474" i="9" s="1"/>
  <c r="N256" i="9"/>
  <c r="S256" i="9" s="1"/>
  <c r="T256" i="9" s="1"/>
  <c r="N406" i="9"/>
  <c r="U406" i="9" s="1"/>
  <c r="N440" i="9"/>
  <c r="S440" i="9" s="1"/>
  <c r="N448" i="9"/>
  <c r="S448" i="9" s="1"/>
  <c r="T448" i="9" s="1"/>
  <c r="R390" i="9"/>
  <c r="R709" i="9"/>
  <c r="N369" i="9"/>
  <c r="S369" i="9" s="1"/>
  <c r="T369" i="9" s="1"/>
  <c r="N636" i="9"/>
  <c r="U636" i="9" s="1"/>
  <c r="R445" i="9"/>
  <c r="N478" i="9"/>
  <c r="S478" i="9" s="1"/>
  <c r="R554" i="9"/>
  <c r="R727" i="9"/>
  <c r="R469" i="9"/>
  <c r="N359" i="9"/>
  <c r="S359" i="9" s="1"/>
  <c r="T359" i="9" s="1"/>
  <c r="N592" i="9"/>
  <c r="S592" i="9" s="1"/>
  <c r="T592" i="9" s="1"/>
  <c r="N720" i="9"/>
  <c r="S720" i="9" s="1"/>
  <c r="N416" i="9"/>
  <c r="U416" i="9" s="1"/>
  <c r="N258" i="9"/>
  <c r="S258" i="9" s="1"/>
  <c r="T258" i="9" s="1"/>
  <c r="N640" i="9"/>
  <c r="N395" i="9"/>
  <c r="S395" i="9" s="1"/>
  <c r="N233" i="9"/>
  <c r="N488" i="9"/>
  <c r="U488" i="9" s="1"/>
  <c r="N638" i="9"/>
  <c r="N365" i="9"/>
  <c r="S365" i="9" s="1"/>
  <c r="T365" i="9" s="1"/>
  <c r="N556" i="9"/>
  <c r="U556" i="9" s="1"/>
  <c r="N473" i="9"/>
  <c r="S473" i="9" s="1"/>
  <c r="T473" i="9" s="1"/>
  <c r="U552" i="9"/>
  <c r="U523" i="9"/>
  <c r="S472" i="9"/>
  <c r="T472" i="9" s="1"/>
  <c r="R467" i="9"/>
  <c r="S506" i="9"/>
  <c r="T506" i="9" s="1"/>
  <c r="S468" i="9"/>
  <c r="V468" i="9" s="1"/>
  <c r="R720" i="9"/>
  <c r="R478" i="9"/>
  <c r="S541" i="9"/>
  <c r="T541" i="9" s="1"/>
  <c r="S562" i="9"/>
  <c r="T562" i="9" s="1"/>
  <c r="S519" i="9"/>
  <c r="T519" i="9" s="1"/>
  <c r="R459" i="9"/>
  <c r="R640" i="9"/>
  <c r="S408" i="9"/>
  <c r="R648" i="9"/>
  <c r="R758" i="9"/>
  <c r="R585" i="9"/>
  <c r="R383" i="9"/>
  <c r="S533" i="9"/>
  <c r="V533" i="9" s="1"/>
  <c r="S451" i="9"/>
  <c r="V451" i="9" s="1"/>
  <c r="U457" i="9"/>
  <c r="R692" i="9"/>
  <c r="U534" i="9"/>
  <c r="S534" i="9"/>
  <c r="R311" i="9"/>
  <c r="R359" i="9"/>
  <c r="R656" i="9"/>
  <c r="R641" i="9"/>
  <c r="U423" i="9"/>
  <c r="S423" i="9"/>
  <c r="S565" i="9"/>
  <c r="U565" i="9"/>
  <c r="U462" i="9"/>
  <c r="S462" i="9"/>
  <c r="T457" i="9"/>
  <c r="S414" i="9"/>
  <c r="T461" i="9"/>
  <c r="V570" i="9"/>
  <c r="S467" i="9"/>
  <c r="U528" i="9"/>
  <c r="S528" i="9"/>
  <c r="D225" i="42"/>
  <c r="C225" i="42"/>
  <c r="E226" i="42"/>
  <c r="A227" i="42"/>
  <c r="B226" i="42"/>
  <c r="F224" i="42"/>
  <c r="V26" i="9"/>
  <c r="T25" i="9"/>
  <c r="K662" i="9"/>
  <c r="K660" i="9"/>
  <c r="L588" i="9"/>
  <c r="P728" i="9"/>
  <c r="Q205" i="9"/>
  <c r="M204" i="9"/>
  <c r="Q589" i="9"/>
  <c r="Q755" i="9"/>
  <c r="I733" i="9"/>
  <c r="I289" i="9"/>
  <c r="L483" i="9"/>
  <c r="M263" i="9"/>
  <c r="M290" i="9"/>
  <c r="L582" i="9"/>
  <c r="M621" i="9"/>
  <c r="I732" i="9"/>
  <c r="L748" i="9"/>
  <c r="Q645" i="9"/>
  <c r="M707" i="9"/>
  <c r="M321" i="9"/>
  <c r="K352" i="9"/>
  <c r="I279" i="9"/>
  <c r="L399" i="9"/>
  <c r="L573" i="9"/>
  <c r="K489" i="9"/>
  <c r="L509" i="9"/>
  <c r="M733" i="9"/>
  <c r="K227" i="9"/>
  <c r="M305" i="9"/>
  <c r="M274" i="9"/>
  <c r="M392" i="9"/>
  <c r="L374" i="9"/>
  <c r="M249" i="9"/>
  <c r="M281" i="9"/>
  <c r="K655" i="9"/>
  <c r="L613" i="9"/>
  <c r="I244" i="9"/>
  <c r="O296" i="9"/>
  <c r="O717" i="9"/>
  <c r="L360" i="9"/>
  <c r="M615" i="9"/>
  <c r="I253" i="9"/>
  <c r="L376" i="9"/>
  <c r="L732" i="9"/>
  <c r="I342" i="9"/>
  <c r="M628" i="9"/>
  <c r="Q286" i="9"/>
  <c r="I623" i="9"/>
  <c r="P529" i="9"/>
  <c r="O659" i="9"/>
  <c r="M666" i="9"/>
  <c r="I725" i="9"/>
  <c r="Q730" i="9"/>
  <c r="P447" i="9"/>
  <c r="M221" i="9"/>
  <c r="O203" i="9"/>
  <c r="I602" i="9"/>
  <c r="Q381" i="9"/>
  <c r="O544" i="9"/>
  <c r="O489" i="9"/>
  <c r="P748" i="9"/>
  <c r="P455" i="9"/>
  <c r="M376" i="9"/>
  <c r="Q759" i="9"/>
  <c r="L384" i="9"/>
  <c r="M637" i="9"/>
  <c r="I293" i="9"/>
  <c r="Q672" i="9"/>
  <c r="M298" i="9"/>
  <c r="Q594" i="9"/>
  <c r="K610" i="9"/>
  <c r="M667" i="9"/>
  <c r="I202" i="9"/>
  <c r="K673" i="9"/>
  <c r="M662" i="9"/>
  <c r="M715" i="9"/>
  <c r="L700" i="9"/>
  <c r="M361" i="9"/>
  <c r="Q657" i="9"/>
  <c r="K378" i="9"/>
  <c r="K635" i="9"/>
  <c r="M632" i="9"/>
  <c r="M677" i="9"/>
  <c r="P378" i="9"/>
  <c r="M725" i="9"/>
  <c r="I757" i="9"/>
  <c r="Q726" i="9"/>
  <c r="Q257" i="9"/>
  <c r="Q284" i="9"/>
  <c r="M643" i="9"/>
  <c r="K709" i="9"/>
  <c r="Q763" i="9"/>
  <c r="M387" i="9"/>
  <c r="P369" i="9"/>
  <c r="Q368" i="9"/>
  <c r="L740" i="9"/>
  <c r="I653" i="9"/>
  <c r="P591" i="9"/>
  <c r="L455" i="9"/>
  <c r="Q211" i="9"/>
  <c r="I696" i="9"/>
  <c r="K207" i="9"/>
  <c r="O354" i="9"/>
  <c r="M383" i="9"/>
  <c r="M375" i="9"/>
  <c r="I702" i="9"/>
  <c r="Q734" i="9"/>
  <c r="O431" i="9"/>
  <c r="Q221" i="9"/>
  <c r="O652" i="9"/>
  <c r="I312" i="9"/>
  <c r="Q293" i="9"/>
  <c r="M612" i="9"/>
  <c r="Q722" i="9"/>
  <c r="O316" i="9"/>
  <c r="M649" i="9"/>
  <c r="P299" i="9"/>
  <c r="Q687" i="9"/>
  <c r="L382" i="9"/>
  <c r="I704" i="9"/>
  <c r="Q300" i="9"/>
  <c r="K642" i="9"/>
  <c r="L652" i="9"/>
  <c r="P395" i="9"/>
  <c r="O617" i="9"/>
  <c r="K727" i="9"/>
  <c r="O342" i="9"/>
  <c r="M322" i="9"/>
  <c r="M702" i="9"/>
  <c r="L254" i="9"/>
  <c r="K485" i="9"/>
  <c r="Q773" i="9"/>
  <c r="I276" i="9"/>
  <c r="Q305" i="9"/>
  <c r="M241" i="9"/>
  <c r="P442" i="9"/>
  <c r="M589" i="9"/>
  <c r="I375" i="9"/>
  <c r="I208" i="9"/>
  <c r="Q752" i="9"/>
  <c r="K490" i="9"/>
  <c r="I687" i="9"/>
  <c r="Q392" i="9"/>
  <c r="O635" i="9"/>
  <c r="O215" i="9"/>
  <c r="K525" i="9"/>
  <c r="I754" i="9"/>
  <c r="K569" i="9"/>
  <c r="M273" i="9"/>
  <c r="K648" i="9"/>
  <c r="M704" i="9"/>
  <c r="Q225" i="9"/>
  <c r="K609" i="9"/>
  <c r="Q757" i="9"/>
  <c r="I350" i="9"/>
  <c r="L538" i="9"/>
  <c r="Q668" i="9"/>
  <c r="M749" i="9"/>
  <c r="Q222" i="9"/>
  <c r="P302" i="9"/>
  <c r="Q216" i="9"/>
  <c r="K543" i="9"/>
  <c r="K341" i="9"/>
  <c r="Q273" i="9"/>
  <c r="O208" i="9"/>
  <c r="I236" i="9"/>
  <c r="L572" i="9"/>
  <c r="Q749" i="9"/>
  <c r="K279" i="9"/>
  <c r="I349" i="9"/>
  <c r="Q275" i="9"/>
  <c r="Q234" i="9"/>
  <c r="L276" i="9"/>
  <c r="P211" i="9"/>
  <c r="L547" i="9"/>
  <c r="Q597" i="9"/>
  <c r="P751" i="9"/>
  <c r="K350" i="9"/>
  <c r="Q315" i="9"/>
  <c r="O232" i="9"/>
  <c r="M301" i="9"/>
  <c r="Q590" i="9"/>
  <c r="M238" i="9"/>
  <c r="P757" i="9"/>
  <c r="L203" i="9"/>
  <c r="Q643" i="9"/>
  <c r="P583" i="9"/>
  <c r="I678" i="9"/>
  <c r="K751" i="9"/>
  <c r="I334" i="9"/>
  <c r="P750" i="9"/>
  <c r="I685" i="9"/>
  <c r="Q251" i="9"/>
  <c r="P612" i="9"/>
  <c r="L526" i="9"/>
  <c r="K649" i="9"/>
  <c r="M277" i="9"/>
  <c r="K765" i="9"/>
  <c r="I634" i="9"/>
  <c r="Q212" i="9"/>
  <c r="M262" i="9"/>
  <c r="M706" i="9"/>
  <c r="Q746" i="9"/>
  <c r="P582" i="9"/>
  <c r="L310" i="9"/>
  <c r="O636" i="9"/>
  <c r="O599" i="9"/>
  <c r="L264" i="9"/>
  <c r="L654" i="9"/>
  <c r="Q283" i="9"/>
  <c r="M341" i="9"/>
  <c r="Q320" i="9"/>
  <c r="Q737" i="9"/>
  <c r="Q379" i="9"/>
  <c r="M774" i="9"/>
  <c r="L295" i="9"/>
  <c r="P642" i="9"/>
  <c r="O745" i="9"/>
  <c r="I260" i="9"/>
  <c r="K641" i="9"/>
  <c r="Q353" i="9"/>
  <c r="Q317" i="9"/>
  <c r="O732" i="9"/>
  <c r="I231" i="9"/>
  <c r="K721" i="9"/>
  <c r="Q258" i="9"/>
  <c r="I770" i="9"/>
  <c r="P260" i="9"/>
  <c r="O456" i="9"/>
  <c r="K413" i="9"/>
  <c r="I285" i="9"/>
  <c r="K745" i="9"/>
  <c r="I768" i="9"/>
  <c r="M745" i="9"/>
  <c r="M623" i="9"/>
  <c r="P673" i="9"/>
  <c r="Q738" i="9"/>
  <c r="O455" i="9"/>
  <c r="Q733" i="9"/>
  <c r="M726" i="9"/>
  <c r="Q721" i="9"/>
  <c r="M228" i="9"/>
  <c r="K253" i="9"/>
  <c r="M773" i="9"/>
  <c r="Q608" i="9"/>
  <c r="Q262" i="9"/>
  <c r="Q732" i="9"/>
  <c r="O725" i="9"/>
  <c r="M348" i="9"/>
  <c r="I329" i="9"/>
  <c r="P283" i="9"/>
  <c r="O757" i="9"/>
  <c r="P352" i="9"/>
  <c r="M300" i="9"/>
  <c r="Q208" i="9"/>
  <c r="M740" i="9"/>
  <c r="O202" i="9"/>
  <c r="M647" i="9"/>
  <c r="Q600" i="9"/>
  <c r="Q289" i="9"/>
  <c r="P618" i="9"/>
  <c r="O696" i="9"/>
  <c r="K599" i="9"/>
  <c r="I380" i="9"/>
  <c r="Q636" i="9"/>
  <c r="M760" i="9"/>
  <c r="I719" i="9"/>
  <c r="O655" i="9"/>
  <c r="K665" i="9"/>
  <c r="P216" i="9"/>
  <c r="M682" i="9"/>
  <c r="I340" i="9"/>
  <c r="M729" i="9"/>
  <c r="K719" i="9"/>
  <c r="Q281" i="9"/>
  <c r="Q237" i="9"/>
  <c r="Q325" i="9"/>
  <c r="Q373" i="9"/>
  <c r="M357" i="9"/>
  <c r="P318" i="9"/>
  <c r="K685" i="9"/>
  <c r="Q292" i="9"/>
  <c r="M245" i="9"/>
  <c r="Q677" i="9"/>
  <c r="P319" i="9"/>
  <c r="K717" i="9"/>
  <c r="Q654" i="9"/>
  <c r="K639" i="9"/>
  <c r="Q619" i="9"/>
  <c r="Q229" i="9"/>
  <c r="Q607" i="9"/>
  <c r="P224" i="9"/>
  <c r="M669" i="9"/>
  <c r="Q586" i="9"/>
  <c r="P717" i="9"/>
  <c r="O479" i="9"/>
  <c r="M681" i="9"/>
  <c r="Q340" i="9"/>
  <c r="L239" i="9"/>
  <c r="I600" i="9"/>
  <c r="M703" i="9"/>
  <c r="O582" i="9"/>
  <c r="Q342" i="9"/>
  <c r="Q695" i="9"/>
  <c r="M701" i="9"/>
  <c r="K239" i="9"/>
  <c r="P754" i="9"/>
  <c r="P374" i="9"/>
  <c r="M267" i="9"/>
  <c r="K495" i="9"/>
  <c r="M600" i="9"/>
  <c r="P620" i="9"/>
  <c r="P239" i="9"/>
  <c r="Q718" i="9"/>
  <c r="I218" i="9"/>
  <c r="Q264" i="9"/>
  <c r="M607" i="9"/>
  <c r="M283" i="9"/>
  <c r="L383" i="9"/>
  <c r="I674" i="9"/>
  <c r="O218" i="9"/>
  <c r="O660" i="9"/>
  <c r="L338" i="9"/>
  <c r="Q670" i="9"/>
  <c r="P397" i="9"/>
  <c r="Q358" i="9"/>
  <c r="K724" i="9"/>
  <c r="M240" i="9"/>
  <c r="I628" i="9"/>
  <c r="K337" i="9"/>
  <c r="K748" i="9"/>
  <c r="Q378" i="9"/>
  <c r="I741" i="9"/>
  <c r="I345" i="9"/>
  <c r="I205" i="9"/>
  <c r="O391" i="9"/>
  <c r="M293" i="9"/>
  <c r="Q691" i="9"/>
  <c r="L296" i="9"/>
  <c r="L685" i="9"/>
  <c r="M675" i="9"/>
  <c r="Q204" i="9"/>
  <c r="I381" i="9"/>
  <c r="P696" i="9"/>
  <c r="P768" i="9"/>
  <c r="L236" i="9"/>
  <c r="L381" i="9"/>
  <c r="L678" i="9"/>
  <c r="L260" i="9"/>
  <c r="L329" i="9"/>
  <c r="K380" i="9"/>
  <c r="O340" i="9"/>
  <c r="P600" i="9"/>
  <c r="K218" i="9"/>
  <c r="L741" i="9"/>
  <c r="K345" i="9"/>
  <c r="K205" i="9"/>
  <c r="Q688" i="9"/>
  <c r="M372" i="9"/>
  <c r="L230" i="9"/>
  <c r="L214" i="9"/>
  <c r="M261" i="9"/>
  <c r="I322" i="9"/>
  <c r="Q664" i="9"/>
  <c r="O465" i="9"/>
  <c r="M380" i="9"/>
  <c r="I629" i="9"/>
  <c r="O629" i="9" s="1"/>
  <c r="I677" i="9"/>
  <c r="L677" i="9" s="1"/>
  <c r="M389" i="9"/>
  <c r="I611" i="9"/>
  <c r="O683" i="9"/>
  <c r="Q768" i="9"/>
  <c r="Q314" i="9"/>
  <c r="L634" i="9"/>
  <c r="M234" i="9"/>
  <c r="P623" i="9"/>
  <c r="P628" i="9"/>
  <c r="K312" i="9"/>
  <c r="O678" i="9"/>
  <c r="L628" i="9"/>
  <c r="K676" i="9"/>
  <c r="P742" i="9"/>
  <c r="Q236" i="9"/>
  <c r="M765" i="9"/>
  <c r="L304" i="9"/>
  <c r="K775" i="9"/>
  <c r="O306" i="9"/>
  <c r="M368" i="9"/>
  <c r="O424" i="9"/>
  <c r="P356" i="9"/>
  <c r="I261" i="9"/>
  <c r="I326" i="9"/>
  <c r="L567" i="9"/>
  <c r="L331" i="9"/>
  <c r="P497" i="9"/>
  <c r="P264" i="9"/>
  <c r="M217" i="9"/>
  <c r="M723" i="9"/>
  <c r="L341" i="9"/>
  <c r="M645" i="9"/>
  <c r="M310" i="9"/>
  <c r="I695" i="9"/>
  <c r="K324" i="9"/>
  <c r="L742" i="9"/>
  <c r="I734" i="9"/>
  <c r="Q231" i="9"/>
  <c r="Q322" i="9"/>
  <c r="I647" i="9"/>
  <c r="I743" i="9"/>
  <c r="M377" i="9"/>
  <c r="M252" i="9"/>
  <c r="I769" i="9"/>
  <c r="Q364" i="9"/>
  <c r="M711" i="9"/>
  <c r="I371" i="9"/>
  <c r="Q707" i="9"/>
  <c r="K264" i="9"/>
  <c r="K224" i="9"/>
  <c r="O394" i="9"/>
  <c r="M286" i="9"/>
  <c r="K476" i="9"/>
  <c r="O304" i="9"/>
  <c r="M218" i="9"/>
  <c r="I282" i="9"/>
  <c r="M708" i="9"/>
  <c r="Q279" i="9"/>
  <c r="I339" i="9"/>
  <c r="P544" i="9"/>
  <c r="Q268" i="9"/>
  <c r="I308" i="9"/>
  <c r="M272" i="9"/>
  <c r="M641" i="9"/>
  <c r="L773" i="9"/>
  <c r="M766" i="9"/>
  <c r="P665" i="9"/>
  <c r="Q327" i="9"/>
  <c r="M342" i="9"/>
  <c r="K212" i="9"/>
  <c r="Q339" i="9"/>
  <c r="Q627" i="9"/>
  <c r="M210" i="9"/>
  <c r="M244" i="9"/>
  <c r="I698" i="9"/>
  <c r="K654" i="9"/>
  <c r="Q344" i="9"/>
  <c r="M631" i="9"/>
  <c r="M594" i="9"/>
  <c r="Q621" i="9"/>
  <c r="M671" i="9"/>
  <c r="L319" i="9"/>
  <c r="K356" i="9"/>
  <c r="Q775" i="9"/>
  <c r="M354" i="9"/>
  <c r="O602" i="9"/>
  <c r="Q740" i="9"/>
  <c r="M282" i="9"/>
  <c r="K331" i="9"/>
  <c r="I607" i="9"/>
  <c r="O289" i="9"/>
  <c r="I379" i="9"/>
  <c r="L569" i="9"/>
  <c r="I614" i="9"/>
  <c r="K614" i="9" s="1"/>
  <c r="L352" i="9"/>
  <c r="I601" i="9"/>
  <c r="O601" i="9" s="1"/>
  <c r="I606" i="9"/>
  <c r="O606" i="9" s="1"/>
  <c r="M705" i="9"/>
  <c r="Q715" i="9"/>
  <c r="L612" i="9"/>
  <c r="O336" i="9"/>
  <c r="I301" i="9"/>
  <c r="L301" i="9" s="1"/>
  <c r="K302" i="9"/>
  <c r="P489" i="9"/>
  <c r="Q701" i="9"/>
  <c r="M254" i="9"/>
  <c r="P601" i="9"/>
  <c r="L623" i="9"/>
  <c r="K379" i="9"/>
  <c r="O301" i="9"/>
  <c r="O609" i="9"/>
  <c r="O241" i="9"/>
  <c r="Q587" i="9"/>
  <c r="Q736" i="9"/>
  <c r="L476" i="9"/>
  <c r="L324" i="9"/>
  <c r="I747" i="9"/>
  <c r="M223" i="9"/>
  <c r="P765" i="9"/>
  <c r="Q658" i="9"/>
  <c r="O702" i="9"/>
  <c r="P232" i="9"/>
  <c r="M317" i="9"/>
  <c r="O662" i="9"/>
  <c r="Q291" i="9"/>
  <c r="M246" i="9"/>
  <c r="Q599" i="9"/>
  <c r="K526" i="9"/>
  <c r="O357" i="9"/>
  <c r="L257" i="9"/>
  <c r="K214" i="9"/>
  <c r="Q609" i="9"/>
  <c r="M658" i="9"/>
  <c r="Q729" i="9"/>
  <c r="K429" i="9"/>
  <c r="I756" i="9"/>
  <c r="K756" i="9" s="1"/>
  <c r="M713" i="9"/>
  <c r="P288" i="9"/>
  <c r="K294" i="9"/>
  <c r="Q384" i="9"/>
  <c r="O295" i="9"/>
  <c r="L721" i="9"/>
  <c r="P659" i="9"/>
  <c r="L707" i="9"/>
  <c r="Q630" i="9"/>
  <c r="O490" i="9"/>
  <c r="L743" i="9"/>
  <c r="M614" i="9"/>
  <c r="M654" i="9"/>
  <c r="I772" i="9"/>
  <c r="K772" i="9" s="1"/>
  <c r="M275" i="9"/>
  <c r="O647" i="9"/>
  <c r="Q276" i="9"/>
  <c r="M332" i="9"/>
  <c r="Q367" i="9"/>
  <c r="L299" i="9"/>
  <c r="I297" i="9"/>
  <c r="O773" i="9"/>
  <c r="K391" i="9"/>
  <c r="K296" i="9"/>
  <c r="M644" i="9"/>
  <c r="K289" i="9"/>
  <c r="M329" i="9"/>
  <c r="Q764" i="9"/>
  <c r="I265" i="9"/>
  <c r="M763" i="9"/>
  <c r="K316" i="9"/>
  <c r="K742" i="9"/>
  <c r="Q217" i="9"/>
  <c r="O721" i="9"/>
  <c r="L776" i="9"/>
  <c r="K303" i="9"/>
  <c r="I597" i="9"/>
  <c r="M255" i="9"/>
  <c r="M617" i="9"/>
  <c r="M727" i="9"/>
  <c r="P721" i="9"/>
  <c r="K696" i="9"/>
  <c r="K376" i="9"/>
  <c r="P310" i="9"/>
  <c r="M316" i="9"/>
  <c r="Q228" i="9"/>
  <c r="I726" i="9"/>
  <c r="K397" i="9"/>
  <c r="Q278" i="9"/>
  <c r="M771" i="9"/>
  <c r="P776" i="9"/>
  <c r="M602" i="9"/>
  <c r="P704" i="9"/>
  <c r="Q606" i="9"/>
  <c r="P636" i="9"/>
  <c r="L734" i="9"/>
  <c r="Q389" i="9"/>
  <c r="P321" i="9"/>
  <c r="Q731" i="9"/>
  <c r="M618" i="9"/>
  <c r="I206" i="9"/>
  <c r="I766" i="9"/>
  <c r="Q321" i="9"/>
  <c r="I598" i="9"/>
  <c r="L725" i="9"/>
  <c r="O743" i="9"/>
  <c r="P487" i="9"/>
  <c r="I330" i="9"/>
  <c r="L635" i="9"/>
  <c r="Q674" i="9"/>
  <c r="K232" i="9"/>
  <c r="M343" i="9"/>
  <c r="M388" i="9"/>
  <c r="Q235" i="9"/>
  <c r="L709" i="9"/>
  <c r="Q312" i="9"/>
  <c r="P279" i="9"/>
  <c r="M247" i="9"/>
  <c r="I353" i="9"/>
  <c r="L665" i="9"/>
  <c r="Q596" i="9"/>
  <c r="Q629" i="9"/>
  <c r="K652" i="9"/>
  <c r="O488" i="9"/>
  <c r="Q613" i="9"/>
  <c r="L288" i="9"/>
  <c r="P602" i="9"/>
  <c r="P334" i="9"/>
  <c r="L265" i="9"/>
  <c r="Q717" i="9"/>
  <c r="Q277" i="9"/>
  <c r="M659" i="9"/>
  <c r="O507" i="9"/>
  <c r="M650" i="9"/>
  <c r="L354" i="9"/>
  <c r="M695" i="9"/>
  <c r="P654" i="9"/>
  <c r="I335" i="9"/>
  <c r="I317" i="9"/>
  <c r="P317" i="9"/>
  <c r="M595" i="9"/>
  <c r="K390" i="9"/>
  <c r="I298" i="9"/>
  <c r="P635" i="9"/>
  <c r="L402" i="9"/>
  <c r="P592" i="9"/>
  <c r="K215" i="9"/>
  <c r="L659" i="9"/>
  <c r="Q667" i="9"/>
  <c r="M333" i="9"/>
  <c r="L362" i="9"/>
  <c r="O742" i="9"/>
  <c r="P734" i="9"/>
  <c r="I755" i="9"/>
  <c r="O755" i="9" s="1"/>
  <c r="K421" i="9"/>
  <c r="M593" i="9"/>
  <c r="M318" i="9"/>
  <c r="M276" i="9"/>
  <c r="Q329" i="9"/>
  <c r="I229" i="9"/>
  <c r="M268" i="9"/>
  <c r="I682" i="9"/>
  <c r="K230" i="9"/>
  <c r="I220" i="9"/>
  <c r="I346" i="9"/>
  <c r="O573" i="9"/>
  <c r="O334" i="9"/>
  <c r="Q201" i="9"/>
  <c r="M356" i="9"/>
  <c r="L411" i="9"/>
  <c r="P376" i="9"/>
  <c r="M608" i="9"/>
  <c r="M676" i="9"/>
  <c r="K243" i="9"/>
  <c r="O665" i="9"/>
  <c r="P651" i="9"/>
  <c r="M748" i="9"/>
  <c r="Q387" i="9"/>
  <c r="O313" i="9"/>
  <c r="Q298" i="9"/>
  <c r="Q230" i="9"/>
  <c r="Q683" i="9"/>
  <c r="Q203" i="9"/>
  <c r="I272" i="9"/>
  <c r="K384" i="9"/>
  <c r="Q363" i="9"/>
  <c r="K734" i="9"/>
  <c r="Q380" i="9"/>
  <c r="I644" i="9"/>
  <c r="K226" i="9"/>
  <c r="M639" i="9"/>
  <c r="M764" i="9"/>
  <c r="Q266" i="9"/>
  <c r="L316" i="9"/>
  <c r="L712" i="9"/>
  <c r="L342" i="9"/>
  <c r="Q626" i="9"/>
  <c r="M374" i="9"/>
  <c r="L485" i="9"/>
  <c r="L303" i="9"/>
  <c r="M381" i="9"/>
  <c r="M378" i="9"/>
  <c r="I315" i="9"/>
  <c r="P315" i="9" s="1"/>
  <c r="Q244" i="9"/>
  <c r="I221" i="9"/>
  <c r="L283" i="9"/>
  <c r="I669" i="9"/>
  <c r="K669" i="9" s="1"/>
  <c r="Q756" i="9"/>
  <c r="M284" i="9"/>
  <c r="P243" i="9"/>
  <c r="Q267" i="9"/>
  <c r="I715" i="9"/>
  <c r="Q290" i="9"/>
  <c r="L279" i="9"/>
  <c r="Q662" i="9"/>
  <c r="K602" i="9"/>
  <c r="L601" i="9"/>
  <c r="L606" i="9"/>
  <c r="Q333" i="9"/>
  <c r="I771" i="9"/>
  <c r="L771" i="9" s="1"/>
  <c r="I593" i="9"/>
  <c r="Q337" i="9"/>
  <c r="M363" i="9"/>
  <c r="Q260" i="9"/>
  <c r="Q603" i="9"/>
  <c r="Q724" i="9"/>
  <c r="Q614" i="9"/>
  <c r="O254" i="9"/>
  <c r="I245" i="9"/>
  <c r="I667" i="9"/>
  <c r="L244" i="9"/>
  <c r="K714" i="9"/>
  <c r="M746" i="9"/>
  <c r="L673" i="9"/>
  <c r="P724" i="9"/>
  <c r="Q247" i="9"/>
  <c r="M744" i="9"/>
  <c r="L400" i="9"/>
  <c r="M308" i="9"/>
  <c r="K687" i="9"/>
  <c r="Q682" i="9"/>
  <c r="I670" i="9"/>
  <c r="P670" i="9" s="1"/>
  <c r="P296" i="9"/>
  <c r="M619" i="9"/>
  <c r="M694" i="9"/>
  <c r="Q349" i="9"/>
  <c r="I738" i="9"/>
  <c r="K738" i="9" s="1"/>
  <c r="I235" i="9"/>
  <c r="L738" i="9"/>
  <c r="P290" i="9"/>
  <c r="Q308" i="9"/>
  <c r="I201" i="9"/>
  <c r="P201" i="9"/>
  <c r="P403" i="9"/>
  <c r="M616" i="9"/>
  <c r="L756" i="9"/>
  <c r="Q760" i="9"/>
  <c r="Q741" i="9"/>
  <c r="M209" i="9"/>
  <c r="P256" i="9"/>
  <c r="O776" i="9"/>
  <c r="Q642" i="9"/>
  <c r="M679" i="9"/>
  <c r="O485" i="9"/>
  <c r="K612" i="9"/>
  <c r="O261" i="9"/>
  <c r="Q269" i="9"/>
  <c r="M289" i="9"/>
  <c r="O751" i="9"/>
  <c r="I367" i="9"/>
  <c r="M689" i="9"/>
  <c r="M732" i="9"/>
  <c r="Q598" i="9"/>
  <c r="M747" i="9"/>
  <c r="P685" i="9"/>
  <c r="L642" i="9"/>
  <c r="M220" i="9"/>
  <c r="O766" i="9"/>
  <c r="P593" i="9"/>
  <c r="O631" i="9"/>
  <c r="O690" i="9"/>
  <c r="M690" i="9"/>
  <c r="Q356" i="9"/>
  <c r="M236" i="9"/>
  <c r="Q650" i="9"/>
  <c r="Q270" i="9"/>
  <c r="O698" i="9"/>
  <c r="M206" i="9"/>
  <c r="Q202" i="9"/>
  <c r="I699" i="9"/>
  <c r="P699" i="9" s="1"/>
  <c r="I228" i="9"/>
  <c r="I385" i="9"/>
  <c r="L617" i="9"/>
  <c r="O726" i="9"/>
  <c r="L583" i="9"/>
  <c r="Q265" i="9"/>
  <c r="P350" i="9"/>
  <c r="I327" i="9"/>
  <c r="L687" i="9"/>
  <c r="P342" i="9"/>
  <c r="L391" i="9"/>
  <c r="P368" i="9"/>
  <c r="I377" i="9"/>
  <c r="P539" i="9"/>
  <c r="K620" i="9"/>
  <c r="P492" i="9"/>
  <c r="K254" i="9"/>
  <c r="P406" i="9"/>
  <c r="L380" i="9"/>
  <c r="Q302" i="9"/>
  <c r="I273" i="9"/>
  <c r="O733" i="9"/>
  <c r="Q698" i="9"/>
  <c r="P491" i="9"/>
  <c r="Q309" i="9"/>
  <c r="L639" i="9"/>
  <c r="L681" i="9"/>
  <c r="I325" i="9"/>
  <c r="I762" i="9"/>
  <c r="M596" i="9"/>
  <c r="Q218" i="9"/>
  <c r="O253" i="9"/>
  <c r="P303" i="9"/>
  <c r="O769" i="9"/>
  <c r="L557" i="9"/>
  <c r="M251" i="9"/>
  <c r="Q623" i="9"/>
  <c r="M385" i="9"/>
  <c r="I237" i="9"/>
  <c r="L289" i="9"/>
  <c r="I686" i="9"/>
  <c r="K625" i="9"/>
  <c r="M260" i="9"/>
  <c r="O413" i="9"/>
  <c r="K307" i="9"/>
  <c r="Q669" i="9"/>
  <c r="K362" i="9"/>
  <c r="K330" i="9"/>
  <c r="I749" i="9"/>
  <c r="I389" i="9"/>
  <c r="P389" i="9" s="1"/>
  <c r="O292" i="9"/>
  <c r="M328" i="9"/>
  <c r="L690" i="9"/>
  <c r="Q280" i="9"/>
  <c r="O290" i="9"/>
  <c r="L349" i="9"/>
  <c r="Q206" i="9"/>
  <c r="I663" i="9"/>
  <c r="L754" i="9"/>
  <c r="M207" i="9"/>
  <c r="I280" i="9"/>
  <c r="K628" i="9"/>
  <c r="L218" i="9"/>
  <c r="L602" i="9"/>
  <c r="L670" i="9"/>
  <c r="L607" i="9"/>
  <c r="K677" i="9"/>
  <c r="K747" i="9"/>
  <c r="P686" i="9"/>
  <c r="L322" i="9"/>
  <c r="O346" i="9"/>
  <c r="L389" i="9"/>
  <c r="L205" i="9"/>
  <c r="O381" i="9"/>
  <c r="L336" i="9"/>
  <c r="L683" i="9"/>
  <c r="O324" i="9"/>
  <c r="L655" i="9"/>
  <c r="M379" i="9"/>
  <c r="M299" i="9"/>
  <c r="M202" i="9"/>
  <c r="M591" i="9"/>
  <c r="Q747" i="9"/>
  <c r="O572" i="9"/>
  <c r="M742" i="9"/>
  <c r="Q350" i="9"/>
  <c r="Q708" i="9"/>
  <c r="O337" i="9"/>
  <c r="P639" i="9"/>
  <c r="O318" i="9"/>
  <c r="M312" i="9"/>
  <c r="P558" i="9"/>
  <c r="I387" i="9"/>
  <c r="P456" i="9"/>
  <c r="L421" i="9"/>
  <c r="K211" i="9"/>
  <c r="I266" i="9"/>
  <c r="Q745" i="9"/>
  <c r="M590" i="9"/>
  <c r="I246" i="9"/>
  <c r="K419" i="9"/>
  <c r="I225" i="9"/>
  <c r="K354" i="9"/>
  <c r="I637" i="9"/>
  <c r="P732" i="9"/>
  <c r="K728" i="9"/>
  <c r="O681" i="9"/>
  <c r="M271" i="9"/>
  <c r="Q686" i="9"/>
  <c r="K216" i="9"/>
  <c r="Q385" i="9"/>
  <c r="I309" i="9"/>
  <c r="L516" i="9"/>
  <c r="L691" i="9"/>
  <c r="P338" i="9"/>
  <c r="O633" i="9"/>
  <c r="M264" i="9"/>
  <c r="M656" i="9"/>
  <c r="I277" i="9"/>
  <c r="K277" i="9" s="1"/>
  <c r="Q253" i="9"/>
  <c r="K244" i="9"/>
  <c r="M754" i="9"/>
  <c r="K582" i="9"/>
  <c r="K617" i="9"/>
  <c r="P354" i="9"/>
  <c r="L577" i="9"/>
  <c r="O625" i="9"/>
  <c r="I737" i="9"/>
  <c r="P737" i="9" s="1"/>
  <c r="O724" i="9"/>
  <c r="Q646" i="9"/>
  <c r="K442" i="9"/>
  <c r="K548" i="9"/>
  <c r="Q647" i="9"/>
  <c r="P655" i="9"/>
  <c r="I373" i="9"/>
  <c r="L305" i="9"/>
  <c r="K326" i="9"/>
  <c r="M741" i="9"/>
  <c r="L232" i="9"/>
  <c r="K373" i="9"/>
  <c r="I392" i="9"/>
  <c r="L392" i="9" s="1"/>
  <c r="L337" i="9"/>
  <c r="M349" i="9"/>
  <c r="K321" i="9"/>
  <c r="P681" i="9"/>
  <c r="K387" i="9"/>
  <c r="L207" i="9"/>
  <c r="M266" i="9"/>
  <c r="Q703" i="9"/>
  <c r="O569" i="9"/>
  <c r="P482" i="9"/>
  <c r="Q697" i="9"/>
  <c r="I764" i="9"/>
  <c r="K764" i="9" s="1"/>
  <c r="M371" i="9"/>
  <c r="M287" i="9"/>
  <c r="I603" i="9"/>
  <c r="I763" i="9"/>
  <c r="O356" i="9"/>
  <c r="K698" i="9"/>
  <c r="O748" i="9"/>
  <c r="Q238" i="9"/>
  <c r="I645" i="9"/>
  <c r="I671" i="9"/>
  <c r="K671" i="9" s="1"/>
  <c r="M213" i="9"/>
  <c r="Q767" i="9"/>
  <c r="K532" i="9"/>
  <c r="L717" i="9"/>
  <c r="M686" i="9"/>
  <c r="M280" i="9"/>
  <c r="P671" i="9"/>
  <c r="Q366" i="9"/>
  <c r="O487" i="9"/>
  <c r="I723" i="9"/>
  <c r="Q690" i="9"/>
  <c r="L765" i="9"/>
  <c r="Q335" i="9"/>
  <c r="M730" i="9"/>
  <c r="K679" i="9"/>
  <c r="P373" i="9"/>
  <c r="M685" i="9"/>
  <c r="L221" i="9"/>
  <c r="L757" i="9"/>
  <c r="K715" i="9"/>
  <c r="K606" i="9"/>
  <c r="O294" i="9"/>
  <c r="Q634" i="9"/>
  <c r="P258" i="9"/>
  <c r="P615" i="9"/>
  <c r="M253" i="9"/>
  <c r="K613" i="9"/>
  <c r="L551" i="9"/>
  <c r="L651" i="9"/>
  <c r="Q593" i="9"/>
  <c r="Q602" i="9"/>
  <c r="K357" i="9"/>
  <c r="L211" i="9"/>
  <c r="Q332" i="9"/>
  <c r="Q328" i="9"/>
  <c r="I746" i="9"/>
  <c r="M755" i="9"/>
  <c r="Q685" i="9"/>
  <c r="Q371" i="9"/>
  <c r="I247" i="9"/>
  <c r="K247" i="9" s="1"/>
  <c r="M775" i="9"/>
  <c r="I386" i="9"/>
  <c r="L386" i="9" s="1"/>
  <c r="Q700" i="9"/>
  <c r="Q684" i="9"/>
  <c r="M320" i="9"/>
  <c r="K740" i="9"/>
  <c r="P745" i="9"/>
  <c r="I688" i="9"/>
  <c r="K394" i="9"/>
  <c r="Q666" i="9"/>
  <c r="I222" i="9"/>
  <c r="K306" i="9"/>
  <c r="Q210" i="9"/>
  <c r="Q209" i="9"/>
  <c r="M664" i="9"/>
  <c r="M265" i="9"/>
  <c r="I268" i="9"/>
  <c r="K288" i="9"/>
  <c r="M237" i="9"/>
  <c r="I711" i="9"/>
  <c r="P711" i="9" s="1"/>
  <c r="Q316" i="9"/>
  <c r="L306" i="9"/>
  <c r="P471" i="9"/>
  <c r="Q345" i="9"/>
  <c r="I752" i="9"/>
  <c r="P752" i="9" s="1"/>
  <c r="O756" i="9"/>
  <c r="Q675" i="9"/>
  <c r="K524" i="9"/>
  <c r="Q219" i="9"/>
  <c r="K491" i="9"/>
  <c r="L745" i="9"/>
  <c r="O700" i="9"/>
  <c r="O369" i="9"/>
  <c r="K203" i="9"/>
  <c r="O639" i="9"/>
  <c r="M325" i="9"/>
  <c r="Q313" i="9"/>
  <c r="I605" i="9"/>
  <c r="M672" i="9"/>
  <c r="Q673" i="9"/>
  <c r="L459" i="9"/>
  <c r="L746" i="9"/>
  <c r="P306" i="9"/>
  <c r="L620" i="9"/>
  <c r="Q705" i="9"/>
  <c r="L216" i="9"/>
  <c r="I284" i="9"/>
  <c r="L284" i="9" s="1"/>
  <c r="P277" i="9"/>
  <c r="Q605" i="9"/>
  <c r="P624" i="9"/>
  <c r="O712" i="9"/>
  <c r="Q250" i="9"/>
  <c r="P439" i="9"/>
  <c r="M710" i="9"/>
  <c r="P233" i="9"/>
  <c r="Q249" i="9"/>
  <c r="I703" i="9"/>
  <c r="M257" i="9"/>
  <c r="M674" i="9"/>
  <c r="I210" i="9"/>
  <c r="O210" i="9" s="1"/>
  <c r="M330" i="9"/>
  <c r="K368" i="9"/>
  <c r="M222" i="9"/>
  <c r="I586" i="9"/>
  <c r="K586" i="9" s="1"/>
  <c r="M269" i="9"/>
  <c r="I320" i="9"/>
  <c r="P320" i="9" s="1"/>
  <c r="K210" i="9"/>
  <c r="L704" i="9"/>
  <c r="K392" i="9"/>
  <c r="P265" i="9"/>
  <c r="O236" i="9"/>
  <c r="L671" i="9"/>
  <c r="K597" i="9"/>
  <c r="O586" i="9"/>
  <c r="P703" i="9"/>
  <c r="L715" i="9"/>
  <c r="Q248" i="9"/>
  <c r="Q735" i="9"/>
  <c r="L403" i="9"/>
  <c r="P252" i="9"/>
  <c r="Q776" i="9"/>
  <c r="P588" i="9"/>
  <c r="Q694" i="9"/>
  <c r="I616" i="9"/>
  <c r="K266" i="9"/>
  <c r="M227" i="9"/>
  <c r="M297" i="9"/>
  <c r="M229" i="9"/>
  <c r="K624" i="9"/>
  <c r="Q617" i="9"/>
  <c r="I251" i="9"/>
  <c r="K733" i="9"/>
  <c r="Q618" i="9"/>
  <c r="I287" i="9"/>
  <c r="P287" i="9" s="1"/>
  <c r="P351" i="9"/>
  <c r="P526" i="9"/>
  <c r="P695" i="9"/>
  <c r="Q625" i="9"/>
  <c r="I760" i="9"/>
  <c r="I643" i="9"/>
  <c r="P309" i="9"/>
  <c r="L251" i="9"/>
  <c r="P595" i="9"/>
  <c r="L355" i="9"/>
  <c r="M770" i="9"/>
  <c r="I735" i="9"/>
  <c r="K735" i="9" s="1"/>
  <c r="O526" i="9"/>
  <c r="M370" i="9"/>
  <c r="Q637" i="9"/>
  <c r="Q375" i="9"/>
  <c r="K681" i="9"/>
  <c r="P548" i="9"/>
  <c r="M351" i="9"/>
  <c r="Q770" i="9"/>
  <c r="Q347" i="9"/>
  <c r="I594" i="9"/>
  <c r="M315" i="9"/>
  <c r="Q227" i="9"/>
  <c r="O771" i="9"/>
  <c r="Q716" i="9"/>
  <c r="M684" i="9"/>
  <c r="Q710" i="9"/>
  <c r="P214" i="9"/>
  <c r="L706" i="9"/>
  <c r="M772" i="9"/>
  <c r="M757" i="9"/>
  <c r="P707" i="9"/>
  <c r="M335" i="9"/>
  <c r="O242" i="9"/>
  <c r="Q243" i="9"/>
  <c r="M345" i="9"/>
  <c r="O376" i="9"/>
  <c r="O707" i="9"/>
  <c r="K683" i="9"/>
  <c r="I333" i="9"/>
  <c r="M769" i="9"/>
  <c r="K293" i="9"/>
  <c r="O258" i="9"/>
  <c r="P241" i="9"/>
  <c r="I589" i="9"/>
  <c r="O288" i="9"/>
  <c r="I705" i="9"/>
  <c r="Q343" i="9"/>
  <c r="O231" i="9"/>
  <c r="K667" i="9"/>
  <c r="M738" i="9"/>
  <c r="Q754" i="9"/>
  <c r="L750" i="9"/>
  <c r="M603" i="9"/>
  <c r="I701" i="9"/>
  <c r="K701" i="9" s="1"/>
  <c r="K615" i="9"/>
  <c r="I672" i="9"/>
  <c r="O672" i="9" s="1"/>
  <c r="Q723" i="9"/>
  <c r="K319" i="9"/>
  <c r="M304" i="9"/>
  <c r="O368" i="9"/>
  <c r="O737" i="9"/>
  <c r="Q772" i="9"/>
  <c r="Q259" i="9"/>
  <c r="M231" i="9"/>
  <c r="P202" i="9"/>
  <c r="O379" i="9"/>
  <c r="O293" i="9"/>
  <c r="I774" i="9"/>
  <c r="L774" i="9" s="1"/>
  <c r="M587" i="9"/>
  <c r="M302" i="9"/>
  <c r="P586" i="9"/>
  <c r="O320" i="9"/>
  <c r="P276" i="9"/>
  <c r="O235" i="9"/>
  <c r="K236" i="9"/>
  <c r="O327" i="9"/>
  <c r="L649" i="9"/>
  <c r="L494" i="9"/>
  <c r="P326" i="9"/>
  <c r="O499" i="9"/>
  <c r="M292" i="9"/>
  <c r="L302" i="9"/>
  <c r="K516" i="9"/>
  <c r="M214" i="9"/>
  <c r="P274" i="9"/>
  <c r="M597" i="9"/>
  <c r="I249" i="9"/>
  <c r="P479" i="9"/>
  <c r="I716" i="9"/>
  <c r="M309" i="9"/>
  <c r="Q360" i="9"/>
  <c r="K659" i="9"/>
  <c r="P731" i="9"/>
  <c r="M611" i="9"/>
  <c r="P746" i="9"/>
  <c r="I248" i="9"/>
  <c r="O248" i="9" s="1"/>
  <c r="M759" i="9"/>
  <c r="M758" i="9"/>
  <c r="Q288" i="9"/>
  <c r="O509" i="9"/>
  <c r="M337" i="9"/>
  <c r="L371" i="9"/>
  <c r="I250" i="9"/>
  <c r="O688" i="9"/>
  <c r="I270" i="9"/>
  <c r="K270" i="9" s="1"/>
  <c r="O612" i="9"/>
  <c r="Q255" i="9"/>
  <c r="Q774" i="9"/>
  <c r="Q239" i="9"/>
  <c r="Q391" i="9"/>
  <c r="Q769" i="9"/>
  <c r="K274" i="9"/>
  <c r="L644" i="9"/>
  <c r="I668" i="9"/>
  <c r="Q649" i="9"/>
  <c r="O525" i="9"/>
  <c r="Q301" i="9"/>
  <c r="I736" i="9"/>
  <c r="P736" i="9" s="1"/>
  <c r="O548" i="9"/>
  <c r="L271" i="9"/>
  <c r="K627" i="9"/>
  <c r="O734" i="9"/>
  <c r="O752" i="9"/>
  <c r="P660" i="9"/>
  <c r="L755" i="9"/>
  <c r="M208" i="9"/>
  <c r="I658" i="9"/>
  <c r="K658" i="9" s="1"/>
  <c r="Q761" i="9"/>
  <c r="K351" i="9"/>
  <c r="L413" i="9"/>
  <c r="M243" i="9"/>
  <c r="Q719" i="9"/>
  <c r="M225" i="9"/>
  <c r="P733" i="9"/>
  <c r="L231" i="9"/>
  <c r="Q725" i="9"/>
  <c r="I729" i="9"/>
  <c r="P769" i="9"/>
  <c r="O352" i="9"/>
  <c r="Q223" i="9"/>
  <c r="K271" i="9"/>
  <c r="Q699" i="9"/>
  <c r="I217" i="9"/>
  <c r="P380" i="9"/>
  <c r="I223" i="9"/>
  <c r="K283" i="9"/>
  <c r="K479" i="9"/>
  <c r="O392" i="9"/>
  <c r="K629" i="9"/>
  <c r="L345" i="9"/>
  <c r="P386" i="9"/>
  <c r="L586" i="9"/>
  <c r="K287" i="9"/>
  <c r="O735" i="9"/>
  <c r="K766" i="9"/>
  <c r="O589" i="9"/>
  <c r="K228" i="9"/>
  <c r="K672" i="9"/>
  <c r="P329" i="9"/>
  <c r="O774" i="9"/>
  <c r="O719" i="9"/>
  <c r="P340" i="9"/>
  <c r="O600" i="9"/>
  <c r="L629" i="9"/>
  <c r="O345" i="9"/>
  <c r="O223" i="9"/>
  <c r="P631" i="9"/>
  <c r="O303" i="9"/>
  <c r="Q766" i="9"/>
  <c r="M737" i="9"/>
  <c r="M646" i="9"/>
  <c r="K773" i="9"/>
  <c r="I328" i="9"/>
  <c r="P392" i="9"/>
  <c r="K771" i="9"/>
  <c r="K342" i="9"/>
  <c r="P538" i="9"/>
  <c r="I664" i="9"/>
  <c r="I608" i="9"/>
  <c r="Q361" i="9"/>
  <c r="I666" i="9"/>
  <c r="I759" i="9"/>
  <c r="M350" i="9"/>
  <c r="O244" i="9"/>
  <c r="M626" i="9"/>
  <c r="P207" i="9"/>
  <c r="P253" i="9"/>
  <c r="K670" i="9"/>
  <c r="P606" i="9"/>
  <c r="K601" i="9"/>
  <c r="I694" i="9"/>
  <c r="M606" i="9"/>
  <c r="M751" i="9"/>
  <c r="I619" i="9"/>
  <c r="L619" i="9" s="1"/>
  <c r="O694" i="9"/>
  <c r="I267" i="9"/>
  <c r="Q370" i="9"/>
  <c r="K631" i="9"/>
  <c r="L585" i="9"/>
  <c r="K707" i="9"/>
  <c r="P382" i="9"/>
  <c r="I364" i="9"/>
  <c r="Q638" i="9"/>
  <c r="L544" i="9"/>
  <c r="M734" i="9"/>
  <c r="P619" i="9"/>
  <c r="M716" i="9"/>
  <c r="K252" i="9"/>
  <c r="P312" i="9"/>
  <c r="L368" i="9"/>
  <c r="K634" i="9"/>
  <c r="O556" i="9"/>
  <c r="M776" i="9"/>
  <c r="O620" i="9"/>
  <c r="M768" i="9"/>
  <c r="I689" i="9"/>
  <c r="M344" i="9"/>
  <c r="I347" i="9"/>
  <c r="M756" i="9"/>
  <c r="M586" i="9"/>
  <c r="Q744" i="9"/>
  <c r="O711" i="9"/>
  <c r="I684" i="9"/>
  <c r="O230" i="9"/>
  <c r="K743" i="9"/>
  <c r="K411" i="9"/>
  <c r="Q326" i="9"/>
  <c r="O319" i="9"/>
  <c r="L701" i="9"/>
  <c r="M761" i="9"/>
  <c r="P485" i="9"/>
  <c r="M714" i="9"/>
  <c r="K585" i="9"/>
  <c r="M339" i="9"/>
  <c r="P743" i="9"/>
  <c r="K202" i="9"/>
  <c r="P327" i="9"/>
  <c r="O770" i="9"/>
  <c r="L315" i="9"/>
  <c r="O343" i="9"/>
  <c r="I718" i="9"/>
  <c r="I275" i="9"/>
  <c r="Q713" i="9"/>
  <c r="I587" i="9"/>
  <c r="L599" i="9"/>
  <c r="M219" i="9"/>
  <c r="Q246" i="9"/>
  <c r="L724" i="9"/>
  <c r="I219" i="9"/>
  <c r="I361" i="9"/>
  <c r="P617" i="9"/>
  <c r="P599" i="9"/>
  <c r="O277" i="9"/>
  <c r="L313" i="9"/>
  <c r="O266" i="9"/>
  <c r="P294" i="9"/>
  <c r="L733" i="9"/>
  <c r="I234" i="9"/>
  <c r="I323" i="9"/>
  <c r="O323" i="9" s="1"/>
  <c r="O247" i="9"/>
  <c r="M698" i="9"/>
  <c r="I744" i="9"/>
  <c r="L668" i="9"/>
  <c r="P357" i="9"/>
  <c r="P740" i="9"/>
  <c r="P341" i="9"/>
  <c r="M364" i="9"/>
  <c r="Q330" i="9"/>
  <c r="L679" i="9"/>
  <c r="M323" i="9"/>
  <c r="K292" i="9"/>
  <c r="I590" i="9"/>
  <c r="O705" i="9"/>
  <c r="I204" i="9"/>
  <c r="O362" i="9"/>
  <c r="P747" i="9"/>
  <c r="K551" i="9"/>
  <c r="K689" i="9"/>
  <c r="P702" i="9"/>
  <c r="P325" i="9"/>
  <c r="M367" i="9"/>
  <c r="O680" i="9"/>
  <c r="P268" i="9"/>
  <c r="I710" i="9"/>
  <c r="L653" i="9"/>
  <c r="O373" i="9"/>
  <c r="L350" i="9"/>
  <c r="P223" i="9"/>
  <c r="L772" i="9"/>
  <c r="K334" i="9"/>
  <c r="O282" i="9"/>
  <c r="L689" i="9"/>
  <c r="O684" i="9"/>
  <c r="P204" i="9"/>
  <c r="O701" i="9"/>
  <c r="L672" i="9"/>
  <c r="O205" i="9"/>
  <c r="P771" i="9"/>
  <c r="O312" i="9"/>
  <c r="K386" i="9"/>
  <c r="K711" i="9"/>
  <c r="P694" i="9"/>
  <c r="K678" i="9"/>
  <c r="K619" i="9"/>
  <c r="L267" i="9"/>
  <c r="P251" i="9"/>
  <c r="L287" i="9"/>
  <c r="P735" i="9"/>
  <c r="O260" i="9"/>
  <c r="P766" i="9"/>
  <c r="O768" i="9"/>
  <c r="L684" i="9"/>
  <c r="L699" i="9"/>
  <c r="P228" i="9"/>
  <c r="K385" i="9"/>
  <c r="O353" i="9"/>
  <c r="L327" i="9"/>
  <c r="K774" i="9"/>
  <c r="O718" i="9"/>
  <c r="O377" i="9"/>
  <c r="P719" i="9"/>
  <c r="L587" i="9"/>
  <c r="L340" i="9"/>
  <c r="K248" i="9"/>
  <c r="K298" i="9"/>
  <c r="K762" i="9"/>
  <c r="P323" i="9"/>
  <c r="L736" i="9"/>
  <c r="K755" i="9"/>
  <c r="P229" i="9"/>
  <c r="P322" i="9"/>
  <c r="O590" i="9"/>
  <c r="K204" i="9"/>
  <c r="L346" i="9"/>
  <c r="P677" i="9"/>
  <c r="O628" i="9"/>
  <c r="K389" i="9"/>
  <c r="K217" i="9"/>
  <c r="P205" i="9"/>
  <c r="K223" i="9"/>
  <c r="O710" i="9"/>
  <c r="K381" i="9"/>
  <c r="O280" i="9"/>
  <c r="K700" i="9"/>
  <c r="K338" i="9"/>
  <c r="I240" i="9"/>
  <c r="O654" i="9"/>
  <c r="P316" i="9"/>
  <c r="M724" i="9"/>
  <c r="Q711" i="9"/>
  <c r="K295" i="9"/>
  <c r="L464" i="9"/>
  <c r="L307" i="9"/>
  <c r="Q671" i="9"/>
  <c r="P305" i="9"/>
  <c r="O482" i="9"/>
  <c r="O547" i="9"/>
  <c r="K722" i="9"/>
  <c r="Q282" i="9"/>
  <c r="L731" i="9"/>
  <c r="K439" i="9"/>
  <c r="O374" i="9"/>
  <c r="K507" i="9"/>
  <c r="M762" i="9"/>
  <c r="L482" i="9"/>
  <c r="O679" i="9"/>
  <c r="Q245" i="9"/>
  <c r="Q616" i="9"/>
  <c r="M767" i="9"/>
  <c r="M699" i="9"/>
  <c r="O372" i="9"/>
  <c r="P413" i="9"/>
  <c r="O214" i="9"/>
  <c r="Q689" i="9"/>
  <c r="O471" i="9"/>
  <c r="L447" i="9"/>
  <c r="L662" i="9"/>
  <c r="K471" i="9"/>
  <c r="Q213" i="9"/>
  <c r="Q663" i="9"/>
  <c r="M629" i="9"/>
  <c r="Q704" i="9"/>
  <c r="I286" i="9"/>
  <c r="P227" i="9"/>
  <c r="M663" i="9"/>
  <c r="Q263" i="9"/>
  <c r="M235" i="9"/>
  <c r="K482" i="9"/>
  <c r="K318" i="9"/>
  <c r="M373" i="9"/>
  <c r="O673" i="9"/>
  <c r="I370" i="9"/>
  <c r="L680" i="9"/>
  <c r="I713" i="9"/>
  <c r="M630" i="9"/>
  <c r="L373" i="9"/>
  <c r="I657" i="9"/>
  <c r="L243" i="9"/>
  <c r="O321" i="9"/>
  <c r="Q254" i="9"/>
  <c r="I761" i="9"/>
  <c r="I622" i="9"/>
  <c r="K269" i="9"/>
  <c r="L723" i="9"/>
  <c r="L309" i="9"/>
  <c r="I255" i="9"/>
  <c r="P371" i="9"/>
  <c r="O671" i="9"/>
  <c r="L696" i="9"/>
  <c r="P271" i="9"/>
  <c r="Q362" i="9"/>
  <c r="O397" i="9"/>
  <c r="O243" i="9"/>
  <c r="L722" i="9"/>
  <c r="P203" i="9"/>
  <c r="P230" i="9"/>
  <c r="I363" i="9"/>
  <c r="K732" i="9"/>
  <c r="Q348" i="9"/>
  <c r="K651" i="9"/>
  <c r="L539" i="9"/>
  <c r="I604" i="9"/>
  <c r="O476" i="9"/>
  <c r="O279" i="9"/>
  <c r="M687" i="9"/>
  <c r="I388" i="9"/>
  <c r="O341" i="9"/>
  <c r="M347" i="9"/>
  <c r="L631" i="9"/>
  <c r="O326" i="9"/>
  <c r="P683" i="9"/>
  <c r="Q753" i="9"/>
  <c r="Q220" i="9"/>
  <c r="Q386" i="9"/>
  <c r="M366" i="9"/>
  <c r="I650" i="9"/>
  <c r="I209" i="9"/>
  <c r="L259" i="9"/>
  <c r="O388" i="9"/>
  <c r="O651" i="9"/>
  <c r="I358" i="9"/>
  <c r="M353" i="9"/>
  <c r="P337" i="9"/>
  <c r="P339" i="9"/>
  <c r="P566" i="9"/>
  <c r="I263" i="9"/>
  <c r="O405" i="9"/>
  <c r="M673" i="9"/>
  <c r="Q252" i="9"/>
  <c r="Q633" i="9"/>
  <c r="I697" i="9"/>
  <c r="P697" i="9" s="1"/>
  <c r="O642" i="9"/>
  <c r="M314" i="9"/>
  <c r="O637" i="9"/>
  <c r="K746" i="9"/>
  <c r="O623" i="9"/>
  <c r="K315" i="9"/>
  <c r="K757" i="9"/>
  <c r="L263" i="9"/>
  <c r="L227" i="9"/>
  <c r="L321" i="9"/>
  <c r="K498" i="9"/>
  <c r="O365" i="9"/>
  <c r="P569" i="9"/>
  <c r="I314" i="9"/>
  <c r="I708" i="9"/>
  <c r="L311" i="9"/>
  <c r="P649" i="9"/>
  <c r="L357" i="9"/>
  <c r="I213" i="9"/>
  <c r="I281" i="9"/>
  <c r="O765" i="9"/>
  <c r="Q318" i="9"/>
  <c r="L253" i="9"/>
  <c r="I238" i="9"/>
  <c r="L726" i="9"/>
  <c r="P680" i="9"/>
  <c r="Q632" i="9"/>
  <c r="M665" i="9"/>
  <c r="P647" i="9"/>
  <c r="O728" i="9"/>
  <c r="O740" i="9"/>
  <c r="Q765" i="9"/>
  <c r="O538" i="9"/>
  <c r="K702" i="9"/>
  <c r="K208" i="9"/>
  <c r="Q748" i="9"/>
  <c r="M601" i="9"/>
  <c r="Q297" i="9"/>
  <c r="I630" i="9"/>
  <c r="M688" i="9"/>
  <c r="M201" i="9"/>
  <c r="I632" i="9"/>
  <c r="P632" i="9" s="1"/>
  <c r="O216" i="9"/>
  <c r="M697" i="9"/>
  <c r="I621" i="9"/>
  <c r="M668" i="9"/>
  <c r="P308" i="9"/>
  <c r="M340" i="9"/>
  <c r="O351" i="9"/>
  <c r="M752" i="9"/>
  <c r="L351" i="9"/>
  <c r="I626" i="9"/>
  <c r="K246" i="9"/>
  <c r="P573" i="9"/>
  <c r="I366" i="9"/>
  <c r="I730" i="9"/>
  <c r="O447" i="9"/>
  <c r="P328" i="9"/>
  <c r="M270" i="9"/>
  <c r="P715" i="9"/>
  <c r="O225" i="9"/>
  <c r="P684" i="9"/>
  <c r="L201" i="9"/>
  <c r="L597" i="9"/>
  <c r="Q324" i="9"/>
  <c r="O239" i="9"/>
  <c r="Q601" i="9"/>
  <c r="K595" i="9"/>
  <c r="O750" i="9"/>
  <c r="M753" i="9"/>
  <c r="M653" i="9"/>
  <c r="P362" i="9"/>
  <c r="P714" i="9"/>
  <c r="Q310" i="9"/>
  <c r="M291" i="9"/>
  <c r="P476" i="9"/>
  <c r="I332" i="9"/>
  <c r="Q285" i="9"/>
  <c r="P652" i="9"/>
  <c r="M248" i="9"/>
  <c r="I344" i="9"/>
  <c r="I596" i="9"/>
  <c r="I675" i="9"/>
  <c r="O675" i="9" s="1"/>
  <c r="I291" i="9"/>
  <c r="O269" i="9"/>
  <c r="L325" i="9"/>
  <c r="M358" i="9"/>
  <c r="K275" i="9"/>
  <c r="L598" i="9"/>
  <c r="I739" i="9"/>
  <c r="O226" i="9"/>
  <c r="L688" i="9"/>
  <c r="I753" i="9"/>
  <c r="I693" i="9"/>
  <c r="M285" i="9"/>
  <c r="P331" i="9"/>
  <c r="P335" i="9"/>
  <c r="O630" i="9"/>
  <c r="I661" i="9"/>
  <c r="P289" i="9"/>
  <c r="I262" i="9"/>
  <c r="P262" i="9" s="1"/>
  <c r="I646" i="9"/>
  <c r="Q272" i="9"/>
  <c r="P405" i="9"/>
  <c r="Q762" i="9"/>
  <c r="P254" i="9"/>
  <c r="Q653" i="9"/>
  <c r="L326" i="9"/>
  <c r="O699" i="9"/>
  <c r="P301" i="9"/>
  <c r="L312" i="9"/>
  <c r="L752" i="9"/>
  <c r="P678" i="9"/>
  <c r="P267" i="9"/>
  <c r="L213" i="9"/>
  <c r="L735" i="9"/>
  <c r="K260" i="9"/>
  <c r="O598" i="9"/>
  <c r="L768" i="9"/>
  <c r="K684" i="9"/>
  <c r="K699" i="9"/>
  <c r="P701" i="9"/>
  <c r="L385" i="9"/>
  <c r="P353" i="9"/>
  <c r="O329" i="9"/>
  <c r="L366" i="9"/>
  <c r="K327" i="9"/>
  <c r="O380" i="9"/>
  <c r="K718" i="9"/>
  <c r="P377" i="9"/>
  <c r="L719" i="9"/>
  <c r="P587" i="9"/>
  <c r="K340" i="9"/>
  <c r="P248" i="9"/>
  <c r="P250" i="9"/>
  <c r="P270" i="9"/>
  <c r="O344" i="9"/>
  <c r="P675" i="9"/>
  <c r="P668" i="9"/>
  <c r="K323" i="9"/>
  <c r="L600" i="9"/>
  <c r="O736" i="9"/>
  <c r="P755" i="9"/>
  <c r="O693" i="9"/>
  <c r="O682" i="9"/>
  <c r="P220" i="9"/>
  <c r="P646" i="9"/>
  <c r="O677" i="9"/>
  <c r="P741" i="9"/>
  <c r="L217" i="9"/>
  <c r="L223" i="9"/>
  <c r="P710" i="9"/>
  <c r="L280" i="9"/>
  <c r="L261" i="9"/>
  <c r="K261" i="9"/>
  <c r="P261" i="9"/>
  <c r="O339" i="9"/>
  <c r="K339" i="9"/>
  <c r="O607" i="9"/>
  <c r="P607" i="9"/>
  <c r="P379" i="9"/>
  <c r="L379" i="9"/>
  <c r="L747" i="9"/>
  <c r="O747" i="9"/>
  <c r="P726" i="9"/>
  <c r="L206" i="9"/>
  <c r="O206" i="9"/>
  <c r="K206" i="9"/>
  <c r="P598" i="9"/>
  <c r="K598" i="9"/>
  <c r="K353" i="9"/>
  <c r="L353" i="9"/>
  <c r="O317" i="9"/>
  <c r="L229" i="9"/>
  <c r="O229" i="9"/>
  <c r="K229" i="9"/>
  <c r="P682" i="9"/>
  <c r="K682" i="9"/>
  <c r="L682" i="9"/>
  <c r="L220" i="9"/>
  <c r="O220" i="9"/>
  <c r="K346" i="9"/>
  <c r="P346" i="9"/>
  <c r="O272" i="9"/>
  <c r="P272" i="9"/>
  <c r="P644" i="9"/>
  <c r="O644" i="9"/>
  <c r="O221" i="9"/>
  <c r="K221" i="9"/>
  <c r="P221" i="9"/>
  <c r="K593" i="9"/>
  <c r="L593" i="9"/>
  <c r="O593" i="9"/>
  <c r="L245" i="9"/>
  <c r="O245" i="9"/>
  <c r="L667" i="9"/>
  <c r="K235" i="9"/>
  <c r="P235" i="9"/>
  <c r="L235" i="9"/>
  <c r="O201" i="9"/>
  <c r="K201" i="9"/>
  <c r="P385" i="9"/>
  <c r="O385" i="9"/>
  <c r="K377" i="9"/>
  <c r="L377" i="9"/>
  <c r="L762" i="9"/>
  <c r="O762" i="9"/>
  <c r="K686" i="9"/>
  <c r="O686" i="9"/>
  <c r="L663" i="9"/>
  <c r="O663" i="9"/>
  <c r="K280" i="9"/>
  <c r="P280" i="9"/>
  <c r="P387" i="9"/>
  <c r="L387" i="9"/>
  <c r="O387" i="9"/>
  <c r="L266" i="9"/>
  <c r="P266" i="9"/>
  <c r="O246" i="9"/>
  <c r="P246" i="9"/>
  <c r="L246" i="9"/>
  <c r="L225" i="9"/>
  <c r="P225" i="9"/>
  <c r="K225" i="9"/>
  <c r="P637" i="9"/>
  <c r="L637" i="9"/>
  <c r="K309" i="9"/>
  <c r="O309" i="9"/>
  <c r="L603" i="9"/>
  <c r="K603" i="9"/>
  <c r="O763" i="9"/>
  <c r="L763" i="9"/>
  <c r="L645" i="9"/>
  <c r="O645" i="9"/>
  <c r="P645" i="9"/>
  <c r="P723" i="9"/>
  <c r="O723" i="9"/>
  <c r="K723" i="9"/>
  <c r="K688" i="9"/>
  <c r="P688" i="9"/>
  <c r="L268" i="9"/>
  <c r="O268" i="9"/>
  <c r="K605" i="9"/>
  <c r="O605" i="9"/>
  <c r="O703" i="9"/>
  <c r="K703" i="9"/>
  <c r="K616" i="9"/>
  <c r="L616" i="9"/>
  <c r="P616" i="9"/>
  <c r="O616" i="9"/>
  <c r="O251" i="9"/>
  <c r="K251" i="9"/>
  <c r="L760" i="9"/>
  <c r="O760" i="9"/>
  <c r="K760" i="9"/>
  <c r="O333" i="9"/>
  <c r="P333" i="9"/>
  <c r="L333" i="9"/>
  <c r="K589" i="9"/>
  <c r="L589" i="9"/>
  <c r="L705" i="9"/>
  <c r="L249" i="9"/>
  <c r="P716" i="9"/>
  <c r="K716" i="9"/>
  <c r="K250" i="9"/>
  <c r="L250" i="9"/>
  <c r="O250" i="9"/>
  <c r="O668" i="9"/>
  <c r="K668" i="9"/>
  <c r="O729" i="9"/>
  <c r="P217" i="9"/>
  <c r="O217" i="9"/>
  <c r="L664" i="9"/>
  <c r="P664" i="9"/>
  <c r="P666" i="9"/>
  <c r="O666" i="9"/>
  <c r="O759" i="9"/>
  <c r="K694" i="9"/>
  <c r="L694" i="9"/>
  <c r="O267" i="9"/>
  <c r="K267" i="9"/>
  <c r="L364" i="9"/>
  <c r="K347" i="9"/>
  <c r="O347" i="9"/>
  <c r="P718" i="9"/>
  <c r="L718" i="9"/>
  <c r="L275" i="9"/>
  <c r="O275" i="9"/>
  <c r="P275" i="9"/>
  <c r="O587" i="9"/>
  <c r="K587" i="9"/>
  <c r="K219" i="9"/>
  <c r="L219" i="9"/>
  <c r="K234" i="9"/>
  <c r="L234" i="9"/>
  <c r="O234" i="9"/>
  <c r="P590" i="9"/>
  <c r="L590" i="9"/>
  <c r="O204" i="9"/>
  <c r="L204" i="9"/>
  <c r="K710" i="9"/>
  <c r="L710" i="9"/>
  <c r="L240" i="9"/>
  <c r="P240" i="9"/>
  <c r="O240" i="9"/>
  <c r="K240" i="9"/>
  <c r="O286" i="9"/>
  <c r="L286" i="9"/>
  <c r="K286" i="9"/>
  <c r="P370" i="9"/>
  <c r="K370" i="9"/>
  <c r="K713" i="9"/>
  <c r="L713" i="9"/>
  <c r="O713" i="9"/>
  <c r="P713" i="9"/>
  <c r="L657" i="9"/>
  <c r="K657" i="9"/>
  <c r="P657" i="9"/>
  <c r="O657" i="9"/>
  <c r="K622" i="9"/>
  <c r="O622" i="9"/>
  <c r="L622" i="9"/>
  <c r="P622" i="9"/>
  <c r="O363" i="9"/>
  <c r="K363" i="9"/>
  <c r="P604" i="9"/>
  <c r="O604" i="9"/>
  <c r="L604" i="9"/>
  <c r="K604" i="9"/>
  <c r="K650" i="9"/>
  <c r="P650" i="9"/>
  <c r="L650" i="9"/>
  <c r="P209" i="9"/>
  <c r="O358" i="9"/>
  <c r="L358" i="9"/>
  <c r="K358" i="9"/>
  <c r="K263" i="9"/>
  <c r="O263" i="9"/>
  <c r="P708" i="9"/>
  <c r="K708" i="9"/>
  <c r="O213" i="9"/>
  <c r="P213" i="9"/>
  <c r="K281" i="9"/>
  <c r="O281" i="9"/>
  <c r="L238" i="9"/>
  <c r="K238" i="9"/>
  <c r="K630" i="9"/>
  <c r="L630" i="9"/>
  <c r="O621" i="9"/>
  <c r="K621" i="9"/>
  <c r="O626" i="9"/>
  <c r="L626" i="9"/>
  <c r="K626" i="9"/>
  <c r="O366" i="9"/>
  <c r="K366" i="9"/>
  <c r="P366" i="9"/>
  <c r="O332" i="9"/>
  <c r="L332" i="9"/>
  <c r="P332" i="9"/>
  <c r="L344" i="9"/>
  <c r="P344" i="9"/>
  <c r="K344" i="9"/>
  <c r="P596" i="9"/>
  <c r="O596" i="9"/>
  <c r="L291" i="9"/>
  <c r="K291" i="9"/>
  <c r="P291" i="9"/>
  <c r="O291" i="9"/>
  <c r="K739" i="9"/>
  <c r="O739" i="9"/>
  <c r="L739" i="9"/>
  <c r="P739" i="9"/>
  <c r="P753" i="9"/>
  <c r="O753" i="9"/>
  <c r="L753" i="9"/>
  <c r="K753" i="9"/>
  <c r="P693" i="9"/>
  <c r="L693" i="9"/>
  <c r="K693" i="9"/>
  <c r="P661" i="9"/>
  <c r="K661" i="9"/>
  <c r="O661" i="9"/>
  <c r="L661" i="9"/>
  <c r="L646" i="9"/>
  <c r="O646" i="9"/>
  <c r="K646" i="9"/>
  <c r="N439" i="9" l="1"/>
  <c r="U439" i="9" s="1"/>
  <c r="N731" i="9"/>
  <c r="S731" i="9" s="1"/>
  <c r="T731" i="9" s="1"/>
  <c r="R547" i="9"/>
  <c r="N464" i="9"/>
  <c r="U464" i="9" s="1"/>
  <c r="R558" i="9"/>
  <c r="R572" i="9"/>
  <c r="N591" i="9"/>
  <c r="U591" i="9" s="1"/>
  <c r="N336" i="9"/>
  <c r="S336" i="9" s="1"/>
  <c r="N567" i="9"/>
  <c r="R424" i="9"/>
  <c r="N290" i="9"/>
  <c r="S290" i="9" s="1"/>
  <c r="T290" i="9" s="1"/>
  <c r="N483" i="9"/>
  <c r="U483" i="9" s="1"/>
  <c r="N588" i="9"/>
  <c r="U588" i="9" s="1"/>
  <c r="N660" i="9"/>
  <c r="U660" i="9" s="1"/>
  <c r="S527" i="9"/>
  <c r="T527" i="9" s="1"/>
  <c r="S446" i="9"/>
  <c r="V446" i="9" s="1"/>
  <c r="S444" i="9"/>
  <c r="T444" i="9" s="1"/>
  <c r="U431" i="9"/>
  <c r="U563" i="9"/>
  <c r="S432" i="9"/>
  <c r="T432" i="9" s="1"/>
  <c r="U393" i="9"/>
  <c r="U493" i="9"/>
  <c r="V449" i="9"/>
  <c r="V575" i="9"/>
  <c r="U576" i="9"/>
  <c r="S398" i="9"/>
  <c r="T398" i="9" s="1"/>
  <c r="U469" i="9"/>
  <c r="U427" i="9"/>
  <c r="U435" i="9"/>
  <c r="V457" i="9"/>
  <c r="V393" i="9"/>
  <c r="V412" i="9"/>
  <c r="U412" i="9"/>
  <c r="S511" i="9"/>
  <c r="T511" i="9" s="1"/>
  <c r="U449" i="9"/>
  <c r="V426" i="9"/>
  <c r="S542" i="9"/>
  <c r="T542" i="9" s="1"/>
  <c r="U426" i="9"/>
  <c r="U453" i="9"/>
  <c r="U452" i="9"/>
  <c r="S443" i="9"/>
  <c r="V443" i="9" s="1"/>
  <c r="V510" i="9"/>
  <c r="V435" i="9"/>
  <c r="V453" i="9"/>
  <c r="S550" i="9"/>
  <c r="V550" i="9" s="1"/>
  <c r="S579" i="9"/>
  <c r="V579" i="9" s="1"/>
  <c r="S484" i="9"/>
  <c r="T484" i="9" s="1"/>
  <c r="U575" i="9"/>
  <c r="U531" i="9"/>
  <c r="U465" i="9"/>
  <c r="S499" i="9"/>
  <c r="T499" i="9" s="1"/>
  <c r="V401" i="9"/>
  <c r="U434" i="9"/>
  <c r="S553" i="9"/>
  <c r="V553" i="9" s="1"/>
  <c r="S535" i="9"/>
  <c r="V535" i="9" s="1"/>
  <c r="V531" i="9"/>
  <c r="S441" i="9"/>
  <c r="T441" i="9" s="1"/>
  <c r="V427" i="9"/>
  <c r="V523" i="9"/>
  <c r="R539" i="9"/>
  <c r="R499" i="9"/>
  <c r="N494" i="9"/>
  <c r="S494" i="9" s="1"/>
  <c r="R324" i="9"/>
  <c r="N751" i="9"/>
  <c r="S751" i="9" s="1"/>
  <c r="T751" i="9" s="1"/>
  <c r="N498" i="9"/>
  <c r="S498" i="9" s="1"/>
  <c r="T498" i="9" s="1"/>
  <c r="N403" i="9"/>
  <c r="R583" i="9"/>
  <c r="R256" i="9"/>
  <c r="V256" i="9" s="1"/>
  <c r="R615" i="9"/>
  <c r="R271" i="9"/>
  <c r="N419" i="9"/>
  <c r="S419" i="9" s="1"/>
  <c r="T419" i="9" s="1"/>
  <c r="N509" i="9"/>
  <c r="S509" i="9" s="1"/>
  <c r="N489" i="9"/>
  <c r="S489" i="9" s="1"/>
  <c r="T489" i="9" s="1"/>
  <c r="N573" i="9"/>
  <c r="U573" i="9" s="1"/>
  <c r="N399" i="9"/>
  <c r="S399" i="9" s="1"/>
  <c r="T399" i="9" s="1"/>
  <c r="N507" i="9"/>
  <c r="U507" i="9" s="1"/>
  <c r="R497" i="9"/>
  <c r="S508" i="9"/>
  <c r="T508" i="9" s="1"/>
  <c r="U436" i="9"/>
  <c r="V552" i="9"/>
  <c r="S433" i="9"/>
  <c r="T433" i="9" s="1"/>
  <c r="V571" i="9"/>
  <c r="S481" i="9"/>
  <c r="T481" i="9" s="1"/>
  <c r="U460" i="9"/>
  <c r="S404" i="9"/>
  <c r="T404" i="9" s="1"/>
  <c r="U571" i="9"/>
  <c r="S496" i="9"/>
  <c r="T496" i="9" s="1"/>
  <c r="R739" i="9"/>
  <c r="N572" i="9"/>
  <c r="R566" i="9"/>
  <c r="R465" i="9"/>
  <c r="V465" i="9" s="1"/>
  <c r="N338" i="9"/>
  <c r="S338" i="9" s="1"/>
  <c r="T338" i="9" s="1"/>
  <c r="N307" i="9"/>
  <c r="U307" i="9" s="1"/>
  <c r="N557" i="9"/>
  <c r="N524" i="9"/>
  <c r="S524" i="9" s="1"/>
  <c r="T524" i="9" s="1"/>
  <c r="N525" i="9"/>
  <c r="U525" i="9" s="1"/>
  <c r="R456" i="9"/>
  <c r="R631" i="9"/>
  <c r="R215" i="9"/>
  <c r="N429" i="9"/>
  <c r="U429" i="9" s="1"/>
  <c r="N447" i="9"/>
  <c r="S447" i="9" s="1"/>
  <c r="T447" i="9" s="1"/>
  <c r="R491" i="9"/>
  <c r="R394" i="9"/>
  <c r="N313" i="9"/>
  <c r="S313" i="9" s="1"/>
  <c r="T313" i="9" s="1"/>
  <c r="N544" i="9"/>
  <c r="U544" i="9" s="1"/>
  <c r="R595" i="9"/>
  <c r="N224" i="9"/>
  <c r="U224" i="9" s="1"/>
  <c r="N390" i="9"/>
  <c r="U390" i="9" s="1"/>
  <c r="R431" i="9"/>
  <c r="V431" i="9" s="1"/>
  <c r="R588" i="9"/>
  <c r="R365" i="9"/>
  <c r="V365" i="9" s="1"/>
  <c r="V436" i="9"/>
  <c r="U417" i="9"/>
  <c r="S502" i="9"/>
  <c r="T502" i="9" s="1"/>
  <c r="V578" i="9"/>
  <c r="U470" i="9"/>
  <c r="U505" i="9"/>
  <c r="U463" i="9"/>
  <c r="S581" i="9"/>
  <c r="T581" i="9" s="1"/>
  <c r="U530" i="9"/>
  <c r="S537" i="9"/>
  <c r="T537" i="9" s="1"/>
  <c r="N205" i="9"/>
  <c r="U205" i="9" s="1"/>
  <c r="R346" i="9"/>
  <c r="R556" i="9"/>
  <c r="R382" i="9"/>
  <c r="R241" i="9"/>
  <c r="R771" i="9"/>
  <c r="N548" i="9"/>
  <c r="N259" i="9"/>
  <c r="S259" i="9" s="1"/>
  <c r="T259" i="9" s="1"/>
  <c r="N547" i="9"/>
  <c r="S547" i="9" s="1"/>
  <c r="T547" i="9" s="1"/>
  <c r="R331" i="9"/>
  <c r="R776" i="9"/>
  <c r="N495" i="9"/>
  <c r="S495" i="9" s="1"/>
  <c r="V495" i="9" s="1"/>
  <c r="N226" i="9"/>
  <c r="U226" i="9" s="1"/>
  <c r="R257" i="9"/>
  <c r="R334" i="9"/>
  <c r="N294" i="9"/>
  <c r="S294" i="9" s="1"/>
  <c r="N402" i="9"/>
  <c r="S402" i="9" s="1"/>
  <c r="V402" i="9" s="1"/>
  <c r="N582" i="9"/>
  <c r="S582" i="9" s="1"/>
  <c r="T582" i="9" s="1"/>
  <c r="R507" i="9"/>
  <c r="R624" i="9"/>
  <c r="N355" i="9"/>
  <c r="S355" i="9" s="1"/>
  <c r="V355" i="9" s="1"/>
  <c r="V558" i="9"/>
  <c r="R327" i="9"/>
  <c r="N327" i="9"/>
  <c r="U327" i="9" s="1"/>
  <c r="N459" i="9"/>
  <c r="U459" i="9" s="1"/>
  <c r="R442" i="9"/>
  <c r="N613" i="9"/>
  <c r="U613" i="9" s="1"/>
  <c r="R509" i="9"/>
  <c r="N397" i="9"/>
  <c r="S397" i="9" s="1"/>
  <c r="T397" i="9" s="1"/>
  <c r="R525" i="9"/>
  <c r="R654" i="9"/>
  <c r="R242" i="9"/>
  <c r="R378" i="9"/>
  <c r="N476" i="9"/>
  <c r="U476" i="9" s="1"/>
  <c r="R492" i="9"/>
  <c r="N343" i="9"/>
  <c r="S343" i="9" s="1"/>
  <c r="T343" i="9" s="1"/>
  <c r="R742" i="9"/>
  <c r="N656" i="9"/>
  <c r="U656" i="9" s="1"/>
  <c r="N706" i="9"/>
  <c r="U706" i="9" s="1"/>
  <c r="R678" i="9"/>
  <c r="R538" i="9"/>
  <c r="N657" i="9"/>
  <c r="S657" i="9" s="1"/>
  <c r="T657" i="9" s="1"/>
  <c r="N400" i="9"/>
  <c r="S400" i="9" s="1"/>
  <c r="T400" i="9" s="1"/>
  <c r="N583" i="9"/>
  <c r="U583" i="9" s="1"/>
  <c r="R482" i="9"/>
  <c r="R488" i="9"/>
  <c r="N250" i="9"/>
  <c r="U250" i="9" s="1"/>
  <c r="N211" i="9"/>
  <c r="S211" i="9" s="1"/>
  <c r="T211" i="9" s="1"/>
  <c r="R233" i="9"/>
  <c r="R587" i="9"/>
  <c r="R323" i="9"/>
  <c r="R601" i="9"/>
  <c r="R489" i="9"/>
  <c r="N755" i="9"/>
  <c r="S755" i="9" s="1"/>
  <c r="T755" i="9" s="1"/>
  <c r="N712" i="9"/>
  <c r="U712" i="9" s="1"/>
  <c r="R651" i="9"/>
  <c r="N609" i="9"/>
  <c r="U609" i="9" s="1"/>
  <c r="R439" i="9"/>
  <c r="R302" i="9"/>
  <c r="N551" i="9"/>
  <c r="U551" i="9" s="1"/>
  <c r="N203" i="9"/>
  <c r="S203" i="9" s="1"/>
  <c r="T203" i="9" s="1"/>
  <c r="N539" i="9"/>
  <c r="S539" i="9" s="1"/>
  <c r="T539" i="9" s="1"/>
  <c r="R403" i="9"/>
  <c r="R294" i="9"/>
  <c r="N225" i="9"/>
  <c r="S225" i="9" s="1"/>
  <c r="T225" i="9" s="1"/>
  <c r="N543" i="9"/>
  <c r="S543" i="9" s="1"/>
  <c r="T543" i="9" s="1"/>
  <c r="R750" i="9"/>
  <c r="R277" i="9"/>
  <c r="R628" i="9"/>
  <c r="N628" i="9"/>
  <c r="U628" i="9" s="1"/>
  <c r="R644" i="9"/>
  <c r="N670" i="9"/>
  <c r="S670" i="9" s="1"/>
  <c r="T670" i="9" s="1"/>
  <c r="R447" i="9"/>
  <c r="N649" i="9"/>
  <c r="S649" i="9" s="1"/>
  <c r="T649" i="9" s="1"/>
  <c r="N622" i="9"/>
  <c r="U622" i="9" s="1"/>
  <c r="R773" i="9"/>
  <c r="R305" i="9"/>
  <c r="N319" i="9"/>
  <c r="U319" i="9" s="1"/>
  <c r="N337" i="9"/>
  <c r="U337" i="9" s="1"/>
  <c r="N773" i="9"/>
  <c r="S773" i="9" s="1"/>
  <c r="R303" i="9"/>
  <c r="N577" i="9"/>
  <c r="U577" i="9" s="1"/>
  <c r="R714" i="9"/>
  <c r="N421" i="9"/>
  <c r="S421" i="9" s="1"/>
  <c r="T421" i="9" s="1"/>
  <c r="R246" i="9"/>
  <c r="R544" i="9"/>
  <c r="R348" i="9"/>
  <c r="R490" i="9"/>
  <c r="N569" i="9"/>
  <c r="U569" i="9" s="1"/>
  <c r="R212" i="9"/>
  <c r="N775" i="9"/>
  <c r="U775" i="9" s="1"/>
  <c r="N532" i="9"/>
  <c r="U532" i="9" s="1"/>
  <c r="N646" i="9"/>
  <c r="U646" i="9" s="1"/>
  <c r="N311" i="9"/>
  <c r="U311" i="9" s="1"/>
  <c r="N765" i="9"/>
  <c r="U765" i="9" s="1"/>
  <c r="N585" i="9"/>
  <c r="U585" i="9" s="1"/>
  <c r="N491" i="9"/>
  <c r="U491" i="9" s="1"/>
  <c r="N735" i="9"/>
  <c r="S735" i="9" s="1"/>
  <c r="R592" i="9"/>
  <c r="V592" i="9" s="1"/>
  <c r="R316" i="9"/>
  <c r="R471" i="9"/>
  <c r="R300" i="9"/>
  <c r="N295" i="9"/>
  <c r="U295" i="9" s="1"/>
  <c r="R333" i="9"/>
  <c r="N455" i="9"/>
  <c r="S455" i="9" s="1"/>
  <c r="T455" i="9" s="1"/>
  <c r="N680" i="9"/>
  <c r="S680" i="9" s="1"/>
  <c r="T680" i="9" s="1"/>
  <c r="R660" i="9"/>
  <c r="N299" i="9"/>
  <c r="U299" i="9" s="1"/>
  <c r="U517" i="9"/>
  <c r="S486" i="9"/>
  <c r="T486" i="9" s="1"/>
  <c r="V470" i="9"/>
  <c r="S425" i="9"/>
  <c r="T425" i="9" s="1"/>
  <c r="U513" i="9"/>
  <c r="V513" i="9"/>
  <c r="V540" i="9"/>
  <c r="S487" i="9"/>
  <c r="T487" i="9" s="1"/>
  <c r="S497" i="9"/>
  <c r="T497" i="9" s="1"/>
  <c r="U401" i="9"/>
  <c r="N772" i="9"/>
  <c r="S772" i="9" s="1"/>
  <c r="T772" i="9" s="1"/>
  <c r="R205" i="9"/>
  <c r="N610" i="9"/>
  <c r="U610" i="9" s="1"/>
  <c r="N283" i="9"/>
  <c r="N324" i="9"/>
  <c r="U324" i="9" s="1"/>
  <c r="N732" i="9"/>
  <c r="S732" i="9" s="1"/>
  <c r="R728" i="9"/>
  <c r="R395" i="9"/>
  <c r="V395" i="9" s="1"/>
  <c r="N411" i="9"/>
  <c r="S411" i="9" s="1"/>
  <c r="T411" i="9" s="1"/>
  <c r="N310" i="9"/>
  <c r="U310" i="9" s="1"/>
  <c r="R226" i="9"/>
  <c r="N665" i="9"/>
  <c r="S665" i="9" s="1"/>
  <c r="N707" i="9"/>
  <c r="U707" i="9" s="1"/>
  <c r="N306" i="9"/>
  <c r="U306" i="9" s="1"/>
  <c r="R591" i="9"/>
  <c r="R224" i="9"/>
  <c r="N648" i="9"/>
  <c r="S648" i="9" s="1"/>
  <c r="T648" i="9" s="1"/>
  <c r="N516" i="9"/>
  <c r="U516" i="9" s="1"/>
  <c r="U520" i="9"/>
  <c r="S418" i="9"/>
  <c r="T418" i="9" s="1"/>
  <c r="S430" i="9"/>
  <c r="T430" i="9" s="1"/>
  <c r="V463" i="9"/>
  <c r="V460" i="9"/>
  <c r="V505" i="9"/>
  <c r="U514" i="9"/>
  <c r="U454" i="9"/>
  <c r="S545" i="9"/>
  <c r="T545" i="9" s="1"/>
  <c r="U558" i="9"/>
  <c r="V438" i="9"/>
  <c r="V574" i="9"/>
  <c r="V417" i="9"/>
  <c r="U477" i="9"/>
  <c r="S564" i="9"/>
  <c r="V564" i="9" s="1"/>
  <c r="U555" i="9"/>
  <c r="U504" i="9"/>
  <c r="U536" i="9"/>
  <c r="U522" i="9"/>
  <c r="V454" i="9"/>
  <c r="S521" i="9"/>
  <c r="T521" i="9" s="1"/>
  <c r="V504" i="9"/>
  <c r="S424" i="9"/>
  <c r="T424" i="9" s="1"/>
  <c r="V522" i="9"/>
  <c r="V514" i="9"/>
  <c r="S512" i="9"/>
  <c r="T512" i="9" s="1"/>
  <c r="V555" i="9"/>
  <c r="V536" i="9"/>
  <c r="N340" i="9"/>
  <c r="U340" i="9" s="1"/>
  <c r="R671" i="9"/>
  <c r="N671" i="9"/>
  <c r="S671" i="9" s="1"/>
  <c r="T671" i="9" s="1"/>
  <c r="N217" i="9"/>
  <c r="U217" i="9" s="1"/>
  <c r="R455" i="9"/>
  <c r="R652" i="9"/>
  <c r="R665" i="9"/>
  <c r="N655" i="9"/>
  <c r="S655" i="9" s="1"/>
  <c r="T655" i="9" s="1"/>
  <c r="R590" i="9"/>
  <c r="N673" i="9"/>
  <c r="U673" i="9" s="1"/>
  <c r="R620" i="9"/>
  <c r="N471" i="9"/>
  <c r="U471" i="9" s="1"/>
  <c r="N627" i="9"/>
  <c r="U627" i="9" s="1"/>
  <c r="N212" i="9"/>
  <c r="S212" i="9" s="1"/>
  <c r="T212" i="9" s="1"/>
  <c r="N618" i="9"/>
  <c r="U618" i="9" s="1"/>
  <c r="R269" i="9"/>
  <c r="R338" i="9"/>
  <c r="N326" i="9"/>
  <c r="S326" i="9" s="1"/>
  <c r="T326" i="9" s="1"/>
  <c r="R662" i="9"/>
  <c r="N606" i="9"/>
  <c r="U606" i="9" s="1"/>
  <c r="N482" i="9"/>
  <c r="S482" i="9" s="1"/>
  <c r="T482" i="9" s="1"/>
  <c r="N360" i="9"/>
  <c r="U360" i="9" s="1"/>
  <c r="R485" i="9"/>
  <c r="N348" i="9"/>
  <c r="S348" i="9" s="1"/>
  <c r="T348" i="9" s="1"/>
  <c r="N331" i="9"/>
  <c r="S331" i="9" s="1"/>
  <c r="T331" i="9" s="1"/>
  <c r="N232" i="9"/>
  <c r="S232" i="9" s="1"/>
  <c r="R376" i="9"/>
  <c r="N681" i="9"/>
  <c r="S681" i="9" s="1"/>
  <c r="N748" i="9"/>
  <c r="S748" i="9" s="1"/>
  <c r="T748" i="9" s="1"/>
  <c r="R203" i="9"/>
  <c r="N687" i="9"/>
  <c r="U687" i="9" s="1"/>
  <c r="R645" i="9"/>
  <c r="N693" i="9"/>
  <c r="S693" i="9" s="1"/>
  <c r="T693" i="9" s="1"/>
  <c r="N760" i="9"/>
  <c r="S760" i="9" s="1"/>
  <c r="T760" i="9" s="1"/>
  <c r="R701" i="9"/>
  <c r="R332" i="9"/>
  <c r="N378" i="9"/>
  <c r="U378" i="9" s="1"/>
  <c r="R573" i="9"/>
  <c r="R225" i="9"/>
  <c r="R548" i="9"/>
  <c r="N758" i="9"/>
  <c r="U758" i="9" s="1"/>
  <c r="N727" i="9"/>
  <c r="U727" i="9" s="1"/>
  <c r="R487" i="9"/>
  <c r="N538" i="9"/>
  <c r="U538" i="9" s="1"/>
  <c r="R217" i="9"/>
  <c r="N356" i="9"/>
  <c r="U356" i="9" s="1"/>
  <c r="N271" i="9"/>
  <c r="U271" i="9" s="1"/>
  <c r="N391" i="9"/>
  <c r="S391" i="9" s="1"/>
  <c r="T391" i="9" s="1"/>
  <c r="R713" i="9"/>
  <c r="N321" i="9"/>
  <c r="S321" i="9" s="1"/>
  <c r="T321" i="9" s="1"/>
  <c r="N413" i="9"/>
  <c r="U413" i="9" s="1"/>
  <c r="R609" i="9"/>
  <c r="N204" i="9"/>
  <c r="U204" i="9" s="1"/>
  <c r="N381" i="9"/>
  <c r="S381" i="9" s="1"/>
  <c r="T381" i="9" s="1"/>
  <c r="R278" i="9"/>
  <c r="R718" i="9"/>
  <c r="N776" i="9"/>
  <c r="U776" i="9" s="1"/>
  <c r="R767" i="9"/>
  <c r="N479" i="9"/>
  <c r="U479" i="9" s="1"/>
  <c r="R304" i="9"/>
  <c r="R712" i="9"/>
  <c r="R239" i="9"/>
  <c r="N300" i="9"/>
  <c r="S300" i="9" s="1"/>
  <c r="N619" i="9"/>
  <c r="S619" i="9" s="1"/>
  <c r="T619" i="9" s="1"/>
  <c r="N227" i="9"/>
  <c r="S227" i="9" s="1"/>
  <c r="T227" i="9" s="1"/>
  <c r="N354" i="9"/>
  <c r="S354" i="9" s="1"/>
  <c r="T354" i="9" s="1"/>
  <c r="R336" i="9"/>
  <c r="V336" i="9" s="1"/>
  <c r="R351" i="9"/>
  <c r="R384" i="9"/>
  <c r="N676" i="9"/>
  <c r="S676" i="9" s="1"/>
  <c r="T676" i="9" s="1"/>
  <c r="N750" i="9"/>
  <c r="U750" i="9" s="1"/>
  <c r="N722" i="9"/>
  <c r="U722" i="9" s="1"/>
  <c r="R207" i="9"/>
  <c r="R339" i="9"/>
  <c r="N756" i="9"/>
  <c r="S756" i="9" s="1"/>
  <c r="T756" i="9" s="1"/>
  <c r="R677" i="9"/>
  <c r="N677" i="9"/>
  <c r="S677" i="9" s="1"/>
  <c r="T677" i="9" s="1"/>
  <c r="N379" i="9"/>
  <c r="S379" i="9" s="1"/>
  <c r="T379" i="9" s="1"/>
  <c r="N373" i="9"/>
  <c r="S373" i="9" s="1"/>
  <c r="N280" i="9"/>
  <c r="S280" i="9" s="1"/>
  <c r="T280" i="9" s="1"/>
  <c r="N526" i="9"/>
  <c r="S526" i="9" s="1"/>
  <c r="T526" i="9" s="1"/>
  <c r="R613" i="9"/>
  <c r="N302" i="9"/>
  <c r="U302" i="9" s="1"/>
  <c r="N263" i="9"/>
  <c r="U263" i="9" s="1"/>
  <c r="R201" i="9"/>
  <c r="R681" i="9"/>
  <c r="N244" i="9"/>
  <c r="S244" i="9" s="1"/>
  <c r="T244" i="9" s="1"/>
  <c r="R341" i="9"/>
  <c r="N604" i="9"/>
  <c r="U604" i="9" s="1"/>
  <c r="N312" i="9"/>
  <c r="S312" i="9" s="1"/>
  <c r="T312" i="9" s="1"/>
  <c r="R680" i="9"/>
  <c r="N599" i="9"/>
  <c r="S599" i="9" s="1"/>
  <c r="T599" i="9" s="1"/>
  <c r="N699" i="9"/>
  <c r="S699" i="9" s="1"/>
  <c r="R582" i="9"/>
  <c r="N389" i="9"/>
  <c r="S389" i="9" s="1"/>
  <c r="T389" i="9" s="1"/>
  <c r="N728" i="9"/>
  <c r="S728" i="9" s="1"/>
  <c r="T728" i="9" s="1"/>
  <c r="R264" i="9"/>
  <c r="R397" i="9"/>
  <c r="N296" i="9"/>
  <c r="U296" i="9" s="1"/>
  <c r="N641" i="9"/>
  <c r="U641" i="9" s="1"/>
  <c r="R342" i="9"/>
  <c r="R745" i="9"/>
  <c r="R337" i="9"/>
  <c r="R751" i="9"/>
  <c r="R267" i="9"/>
  <c r="N287" i="9"/>
  <c r="S287" i="9" s="1"/>
  <c r="R406" i="9"/>
  <c r="R529" i="9"/>
  <c r="N201" i="9"/>
  <c r="U201" i="9" s="1"/>
  <c r="N353" i="9"/>
  <c r="U353" i="9" s="1"/>
  <c r="R292" i="9"/>
  <c r="N625" i="9"/>
  <c r="U625" i="9" s="1"/>
  <c r="N442" i="9"/>
  <c r="N661" i="9"/>
  <c r="U661" i="9" s="1"/>
  <c r="N691" i="9"/>
  <c r="S691" i="9" s="1"/>
  <c r="T691" i="9" s="1"/>
  <c r="N304" i="9"/>
  <c r="U304" i="9" s="1"/>
  <c r="N601" i="9"/>
  <c r="U601" i="9" s="1"/>
  <c r="R691" i="9"/>
  <c r="R211" i="9"/>
  <c r="N269" i="9"/>
  <c r="S269" i="9" s="1"/>
  <c r="R743" i="9"/>
  <c r="R694" i="9"/>
  <c r="R372" i="9"/>
  <c r="N639" i="9"/>
  <c r="S639" i="9" s="1"/>
  <c r="T639" i="9" s="1"/>
  <c r="N394" i="9"/>
  <c r="R379" i="9"/>
  <c r="N368" i="9"/>
  <c r="S368" i="9" s="1"/>
  <c r="T368" i="9" s="1"/>
  <c r="N490" i="9"/>
  <c r="U490" i="9" s="1"/>
  <c r="N651" i="9"/>
  <c r="U651" i="9" s="1"/>
  <c r="N700" i="9"/>
  <c r="S700" i="9" s="1"/>
  <c r="T700" i="9" s="1"/>
  <c r="N235" i="9"/>
  <c r="U235" i="9" s="1"/>
  <c r="R711" i="9"/>
  <c r="R479" i="9"/>
  <c r="N279" i="9"/>
  <c r="S279" i="9" s="1"/>
  <c r="T279" i="9" s="1"/>
  <c r="N383" i="9"/>
  <c r="S383" i="9" s="1"/>
  <c r="T383" i="9" s="1"/>
  <c r="R655" i="9"/>
  <c r="R360" i="9"/>
  <c r="R646" i="9"/>
  <c r="N316" i="9"/>
  <c r="S316" i="9" s="1"/>
  <c r="T316" i="9" s="1"/>
  <c r="R290" i="9"/>
  <c r="R354" i="9"/>
  <c r="V354" i="9" s="1"/>
  <c r="V576" i="9"/>
  <c r="R769" i="9"/>
  <c r="N257" i="9"/>
  <c r="U257" i="9" s="1"/>
  <c r="R731" i="9"/>
  <c r="R636" i="9"/>
  <c r="N679" i="9"/>
  <c r="S679" i="9" s="1"/>
  <c r="T679" i="9" s="1"/>
  <c r="N742" i="9"/>
  <c r="U742" i="9" s="1"/>
  <c r="N734" i="9"/>
  <c r="U734" i="9" s="1"/>
  <c r="R343" i="9"/>
  <c r="R600" i="9"/>
  <c r="R526" i="9"/>
  <c r="R204" i="9"/>
  <c r="N739" i="9"/>
  <c r="U739" i="9" s="1"/>
  <c r="N620" i="9"/>
  <c r="S620" i="9" s="1"/>
  <c r="T620" i="9" s="1"/>
  <c r="N380" i="9"/>
  <c r="S380" i="9" s="1"/>
  <c r="N274" i="9"/>
  <c r="U274" i="9" s="1"/>
  <c r="N218" i="9"/>
  <c r="U218" i="9" s="1"/>
  <c r="R216" i="9"/>
  <c r="R252" i="9"/>
  <c r="N630" i="9"/>
  <c r="S630" i="9" s="1"/>
  <c r="T630" i="9" s="1"/>
  <c r="N615" i="9"/>
  <c r="U615" i="9" s="1"/>
  <c r="R693" i="9"/>
  <c r="N652" i="9"/>
  <c r="U652" i="9" s="1"/>
  <c r="R220" i="9"/>
  <c r="R413" i="9"/>
  <c r="R313" i="9"/>
  <c r="R768" i="9"/>
  <c r="R319" i="9"/>
  <c r="N724" i="9"/>
  <c r="U724" i="9" s="1"/>
  <c r="N771" i="9"/>
  <c r="S771" i="9" s="1"/>
  <c r="R602" i="9"/>
  <c r="R310" i="9"/>
  <c r="R321" i="9"/>
  <c r="R258" i="9"/>
  <c r="V258" i="9" s="1"/>
  <c r="R227" i="9"/>
  <c r="N342" i="9"/>
  <c r="U342" i="9" s="1"/>
  <c r="R717" i="9"/>
  <c r="R682" i="9"/>
  <c r="N624" i="9"/>
  <c r="U624" i="9" s="1"/>
  <c r="N352" i="9"/>
  <c r="U352" i="9" s="1"/>
  <c r="R266" i="9"/>
  <c r="R344" i="9"/>
  <c r="N654" i="9"/>
  <c r="U654" i="9" s="1"/>
  <c r="N719" i="9"/>
  <c r="U719" i="9" s="1"/>
  <c r="R633" i="9"/>
  <c r="R659" i="9"/>
  <c r="N701" i="9"/>
  <c r="U701" i="9" s="1"/>
  <c r="R232" i="9"/>
  <c r="N264" i="9"/>
  <c r="U264" i="9" s="1"/>
  <c r="R747" i="9"/>
  <c r="R377" i="9"/>
  <c r="S437" i="9"/>
  <c r="T437" i="9" s="1"/>
  <c r="S475" i="9"/>
  <c r="T475" i="9" s="1"/>
  <c r="S566" i="9"/>
  <c r="T566" i="9" s="1"/>
  <c r="R766" i="9"/>
  <c r="R260" i="9"/>
  <c r="N260" i="9"/>
  <c r="U260" i="9" s="1"/>
  <c r="N616" i="9"/>
  <c r="U616" i="9" s="1"/>
  <c r="R616" i="9"/>
  <c r="N603" i="9"/>
  <c r="S603" i="9" s="1"/>
  <c r="N238" i="9"/>
  <c r="U238" i="9" s="1"/>
  <c r="R737" i="9"/>
  <c r="R675" i="9"/>
  <c r="N221" i="9"/>
  <c r="U221" i="9" s="1"/>
  <c r="R320" i="9"/>
  <c r="R340" i="9"/>
  <c r="R622" i="9"/>
  <c r="N241" i="9"/>
  <c r="S241" i="9" s="1"/>
  <c r="T241" i="9" s="1"/>
  <c r="R612" i="9"/>
  <c r="N662" i="9"/>
  <c r="U662" i="9" s="1"/>
  <c r="N715" i="9"/>
  <c r="S715" i="9" s="1"/>
  <c r="T715" i="9" s="1"/>
  <c r="R627" i="9"/>
  <c r="N341" i="9"/>
  <c r="S341" i="9" s="1"/>
  <c r="R312" i="9"/>
  <c r="R369" i="9"/>
  <c r="V369" i="9" s="1"/>
  <c r="R259" i="9"/>
  <c r="R356" i="9"/>
  <c r="N713" i="9"/>
  <c r="U713" i="9" s="1"/>
  <c r="R368" i="9"/>
  <c r="N485" i="9"/>
  <c r="U485" i="9" s="1"/>
  <c r="R476" i="9"/>
  <c r="N350" i="9"/>
  <c r="U350" i="9" s="1"/>
  <c r="N723" i="9"/>
  <c r="U723" i="9" s="1"/>
  <c r="N595" i="9"/>
  <c r="U595" i="9" s="1"/>
  <c r="N678" i="9"/>
  <c r="U678" i="9" s="1"/>
  <c r="N709" i="9"/>
  <c r="U709" i="9" s="1"/>
  <c r="R703" i="9"/>
  <c r="N753" i="9"/>
  <c r="S753" i="9" s="1"/>
  <c r="N743" i="9"/>
  <c r="S743" i="9" s="1"/>
  <c r="T743" i="9" s="1"/>
  <c r="N718" i="9"/>
  <c r="S718" i="9" s="1"/>
  <c r="N351" i="9"/>
  <c r="U351" i="9" s="1"/>
  <c r="N243" i="9"/>
  <c r="S243" i="9" s="1"/>
  <c r="T243" i="9" s="1"/>
  <c r="R391" i="9"/>
  <c r="R251" i="9"/>
  <c r="R405" i="9"/>
  <c r="V405" i="9" s="1"/>
  <c r="R306" i="9"/>
  <c r="N629" i="9"/>
  <c r="U629" i="9" s="1"/>
  <c r="N626" i="9"/>
  <c r="U626" i="9" s="1"/>
  <c r="R569" i="9"/>
  <c r="R625" i="9"/>
  <c r="R374" i="9"/>
  <c r="R657" i="9"/>
  <c r="N346" i="9"/>
  <c r="U346" i="9" s="1"/>
  <c r="R775" i="9"/>
  <c r="R254" i="9"/>
  <c r="R295" i="9"/>
  <c r="N303" i="9"/>
  <c r="U303" i="9" s="1"/>
  <c r="R353" i="9"/>
  <c r="R700" i="9"/>
  <c r="R299" i="9"/>
  <c r="N740" i="9"/>
  <c r="U740" i="9" s="1"/>
  <c r="R722" i="9"/>
  <c r="R752" i="9"/>
  <c r="N685" i="9"/>
  <c r="U685" i="9" s="1"/>
  <c r="R268" i="9"/>
  <c r="R280" i="9"/>
  <c r="N682" i="9"/>
  <c r="U682" i="9" s="1"/>
  <c r="R683" i="9"/>
  <c r="N587" i="9"/>
  <c r="S587" i="9" s="1"/>
  <c r="T587" i="9" s="1"/>
  <c r="R248" i="9"/>
  <c r="R318" i="9"/>
  <c r="N382" i="9"/>
  <c r="U382" i="9" s="1"/>
  <c r="N366" i="9"/>
  <c r="U366" i="9" s="1"/>
  <c r="R289" i="9"/>
  <c r="R639" i="9"/>
  <c r="R635" i="9"/>
  <c r="S407" i="9"/>
  <c r="T407" i="9" s="1"/>
  <c r="S422" i="9"/>
  <c r="T422" i="9" s="1"/>
  <c r="N234" i="9"/>
  <c r="S234" i="9" s="1"/>
  <c r="T234" i="9" s="1"/>
  <c r="R366" i="9"/>
  <c r="N288" i="9"/>
  <c r="U288" i="9" s="1"/>
  <c r="R649" i="9"/>
  <c r="N252" i="9"/>
  <c r="U252" i="9" s="1"/>
  <c r="N236" i="9"/>
  <c r="U236" i="9" s="1"/>
  <c r="R699" i="9"/>
  <c r="N345" i="9"/>
  <c r="S345" i="9" s="1"/>
  <c r="T345" i="9" s="1"/>
  <c r="N261" i="9"/>
  <c r="U261" i="9" s="1"/>
  <c r="N617" i="9"/>
  <c r="S617" i="9" s="1"/>
  <c r="T617" i="9" s="1"/>
  <c r="N358" i="9"/>
  <c r="S358" i="9" s="1"/>
  <c r="T358" i="9" s="1"/>
  <c r="R283" i="9"/>
  <c r="R387" i="9"/>
  <c r="R357" i="9"/>
  <c r="N717" i="9"/>
  <c r="S717" i="9" s="1"/>
  <c r="T717" i="9" s="1"/>
  <c r="N767" i="9"/>
  <c r="U767" i="9" s="1"/>
  <c r="R684" i="9"/>
  <c r="N714" i="9"/>
  <c r="U714" i="9" s="1"/>
  <c r="N344" i="9"/>
  <c r="S344" i="9" s="1"/>
  <c r="T344" i="9" s="1"/>
  <c r="R688" i="9"/>
  <c r="N239" i="9"/>
  <c r="U239" i="9" s="1"/>
  <c r="V458" i="9"/>
  <c r="V561" i="9"/>
  <c r="U503" i="9"/>
  <c r="V415" i="9"/>
  <c r="S501" i="9"/>
  <c r="T501" i="9" s="1"/>
  <c r="U546" i="9"/>
  <c r="U405" i="9"/>
  <c r="U409" i="9"/>
  <c r="V542" i="9"/>
  <c r="V546" i="9"/>
  <c r="V518" i="9"/>
  <c r="V409" i="9"/>
  <c r="S492" i="9"/>
  <c r="T492" i="9" s="1"/>
  <c r="U410" i="9"/>
  <c r="S242" i="9"/>
  <c r="T242" i="9" s="1"/>
  <c r="S633" i="9"/>
  <c r="S428" i="9"/>
  <c r="V428" i="9" s="1"/>
  <c r="V503" i="9"/>
  <c r="S560" i="9"/>
  <c r="T560" i="9" s="1"/>
  <c r="S559" i="9"/>
  <c r="T559" i="9" s="1"/>
  <c r="R213" i="9"/>
  <c r="R329" i="9"/>
  <c r="R623" i="9"/>
  <c r="N219" i="9"/>
  <c r="S219" i="9" s="1"/>
  <c r="T219" i="9" s="1"/>
  <c r="R696" i="9"/>
  <c r="N696" i="9"/>
  <c r="U696" i="9" s="1"/>
  <c r="N667" i="9"/>
  <c r="U667" i="9" s="1"/>
  <c r="R317" i="9"/>
  <c r="N757" i="9"/>
  <c r="U757" i="9" s="1"/>
  <c r="N733" i="9"/>
  <c r="S733" i="9" s="1"/>
  <c r="R221" i="9"/>
  <c r="N384" i="9"/>
  <c r="S384" i="9" s="1"/>
  <c r="T384" i="9" s="1"/>
  <c r="N738" i="9"/>
  <c r="N635" i="9"/>
  <c r="S635" i="9" s="1"/>
  <c r="T635" i="9" s="1"/>
  <c r="N745" i="9"/>
  <c r="U745" i="9" s="1"/>
  <c r="N318" i="9"/>
  <c r="U318" i="9" s="1"/>
  <c r="N597" i="9"/>
  <c r="S597" i="9" s="1"/>
  <c r="T597" i="9" s="1"/>
  <c r="R638" i="9"/>
  <c r="N387" i="9"/>
  <c r="S387" i="9" s="1"/>
  <c r="R250" i="9"/>
  <c r="N254" i="9"/>
  <c r="S254" i="9" s="1"/>
  <c r="T254" i="9" s="1"/>
  <c r="R723" i="9"/>
  <c r="R740" i="9"/>
  <c r="R666" i="9"/>
  <c r="R373" i="9"/>
  <c r="N223" i="9"/>
  <c r="U223" i="9" s="1"/>
  <c r="R719" i="9"/>
  <c r="R392" i="9"/>
  <c r="R618" i="9"/>
  <c r="N747" i="9"/>
  <c r="S747" i="9" s="1"/>
  <c r="T747" i="9" s="1"/>
  <c r="R765" i="9"/>
  <c r="N362" i="9"/>
  <c r="U362" i="9" s="1"/>
  <c r="R243" i="9"/>
  <c r="N684" i="9"/>
  <c r="S684" i="9" s="1"/>
  <c r="R599" i="9"/>
  <c r="N710" i="9"/>
  <c r="S710" i="9" s="1"/>
  <c r="T710" i="9" s="1"/>
  <c r="N631" i="9"/>
  <c r="U631" i="9" s="1"/>
  <c r="R668" i="9"/>
  <c r="N374" i="9"/>
  <c r="U374" i="9" s="1"/>
  <c r="R326" i="9"/>
  <c r="R604" i="9"/>
  <c r="N593" i="9"/>
  <c r="S593" i="9" s="1"/>
  <c r="T593" i="9" s="1"/>
  <c r="R274" i="9"/>
  <c r="N251" i="9"/>
  <c r="U251" i="9" s="1"/>
  <c r="R707" i="9"/>
  <c r="N305" i="9"/>
  <c r="U305" i="9" s="1"/>
  <c r="R755" i="9"/>
  <c r="R637" i="9"/>
  <c r="N774" i="9"/>
  <c r="N659" i="9"/>
  <c r="S659" i="9" s="1"/>
  <c r="N683" i="9"/>
  <c r="U683" i="9" s="1"/>
  <c r="N376" i="9"/>
  <c r="S376" i="9" s="1"/>
  <c r="T376" i="9" s="1"/>
  <c r="R593" i="9"/>
  <c r="N216" i="9"/>
  <c r="R679" i="9"/>
  <c r="N289" i="9"/>
  <c r="U289" i="9" s="1"/>
  <c r="N266" i="9"/>
  <c r="S266" i="9" s="1"/>
  <c r="T266" i="9" s="1"/>
  <c r="R673" i="9"/>
  <c r="N372" i="9"/>
  <c r="S372" i="9" s="1"/>
  <c r="T372" i="9" s="1"/>
  <c r="N267" i="9"/>
  <c r="S267" i="9" s="1"/>
  <c r="T267" i="9" s="1"/>
  <c r="R606" i="9"/>
  <c r="N598" i="9"/>
  <c r="S598" i="9" s="1"/>
  <c r="T598" i="9" s="1"/>
  <c r="R202" i="9"/>
  <c r="N207" i="9"/>
  <c r="S207" i="9" s="1"/>
  <c r="T207" i="9" s="1"/>
  <c r="N377" i="9"/>
  <c r="S377" i="9" s="1"/>
  <c r="T377" i="9" s="1"/>
  <c r="R735" i="9"/>
  <c r="N215" i="9"/>
  <c r="N246" i="9"/>
  <c r="S246" i="9" s="1"/>
  <c r="T246" i="9" s="1"/>
  <c r="N286" i="9"/>
  <c r="S286" i="9" s="1"/>
  <c r="T286" i="9" s="1"/>
  <c r="N650" i="9"/>
  <c r="U650" i="9" s="1"/>
  <c r="S396" i="9"/>
  <c r="U396" i="9"/>
  <c r="U515" i="9"/>
  <c r="S515" i="9"/>
  <c r="U480" i="9"/>
  <c r="U692" i="9"/>
  <c r="S529" i="9"/>
  <c r="T529" i="9" s="1"/>
  <c r="S554" i="9"/>
  <c r="T554" i="9" s="1"/>
  <c r="U438" i="9"/>
  <c r="V549" i="9"/>
  <c r="S420" i="9"/>
  <c r="T420" i="9" s="1"/>
  <c r="S466" i="9"/>
  <c r="T466" i="9" s="1"/>
  <c r="T510" i="9"/>
  <c r="V444" i="9"/>
  <c r="S406" i="9"/>
  <c r="T406" i="9" s="1"/>
  <c r="U580" i="9"/>
  <c r="S500" i="9"/>
  <c r="T500" i="9" s="1"/>
  <c r="U578" i="9"/>
  <c r="U450" i="9"/>
  <c r="V584" i="9"/>
  <c r="U256" i="9"/>
  <c r="U445" i="9"/>
  <c r="T578" i="9"/>
  <c r="V537" i="9"/>
  <c r="V568" i="9"/>
  <c r="V580" i="9"/>
  <c r="U568" i="9"/>
  <c r="R710" i="9"/>
  <c r="R617" i="9"/>
  <c r="R279" i="9"/>
  <c r="R261" i="9"/>
  <c r="N690" i="9"/>
  <c r="R607" i="9"/>
  <c r="N386" i="9"/>
  <c r="U386" i="9" s="1"/>
  <c r="N309" i="9"/>
  <c r="S309" i="9" s="1"/>
  <c r="T309" i="9" s="1"/>
  <c r="N240" i="9"/>
  <c r="S240" i="9" s="1"/>
  <c r="R275" i="9"/>
  <c r="R753" i="9"/>
  <c r="R596" i="9"/>
  <c r="S456" i="9"/>
  <c r="T456" i="9" s="1"/>
  <c r="U440" i="9"/>
  <c r="N253" i="9"/>
  <c r="S253" i="9" s="1"/>
  <c r="R362" i="9"/>
  <c r="R661" i="9"/>
  <c r="R223" i="9"/>
  <c r="R748" i="9"/>
  <c r="N688" i="9"/>
  <c r="S688" i="9" s="1"/>
  <c r="R288" i="9"/>
  <c r="N206" i="9"/>
  <c r="U206" i="9" s="1"/>
  <c r="N672" i="9"/>
  <c r="U672" i="9" s="1"/>
  <c r="R598" i="9"/>
  <c r="V440" i="9"/>
  <c r="N292" i="9"/>
  <c r="S292" i="9" s="1"/>
  <c r="N668" i="9"/>
  <c r="S668" i="9" s="1"/>
  <c r="T668" i="9" s="1"/>
  <c r="R734" i="9"/>
  <c r="N291" i="9"/>
  <c r="U291" i="9" s="1"/>
  <c r="N634" i="9"/>
  <c r="U634" i="9" s="1"/>
  <c r="R690" i="9"/>
  <c r="R733" i="9"/>
  <c r="R736" i="9"/>
  <c r="N689" i="9"/>
  <c r="U689" i="9" s="1"/>
  <c r="T440" i="9"/>
  <c r="S278" i="9"/>
  <c r="T278" i="9" s="1"/>
  <c r="U448" i="9"/>
  <c r="U474" i="9"/>
  <c r="V474" i="9"/>
  <c r="V448" i="9"/>
  <c r="N694" i="9"/>
  <c r="U694" i="9" s="1"/>
  <c r="R647" i="9"/>
  <c r="N230" i="9"/>
  <c r="S230" i="9" s="1"/>
  <c r="T230" i="9" s="1"/>
  <c r="R309" i="9"/>
  <c r="R240" i="9"/>
  <c r="R732" i="9"/>
  <c r="N357" i="9"/>
  <c r="U357" i="9" s="1"/>
  <c r="R686" i="9"/>
  <c r="R586" i="9"/>
  <c r="R721" i="9"/>
  <c r="R757" i="9"/>
  <c r="N589" i="9"/>
  <c r="U589" i="9" s="1"/>
  <c r="R235" i="9"/>
  <c r="N612" i="9"/>
  <c r="S612" i="9" s="1"/>
  <c r="T612" i="9" s="1"/>
  <c r="N275" i="9"/>
  <c r="U275" i="9" s="1"/>
  <c r="N642" i="9"/>
  <c r="S642" i="9" s="1"/>
  <c r="R380" i="9"/>
  <c r="R291" i="9"/>
  <c r="R253" i="9"/>
  <c r="R229" i="9"/>
  <c r="N602" i="9"/>
  <c r="U602" i="9" s="1"/>
  <c r="N746" i="9"/>
  <c r="S746" i="9" s="1"/>
  <c r="T746" i="9" s="1"/>
  <c r="R702" i="9"/>
  <c r="U478" i="9"/>
  <c r="S636" i="9"/>
  <c r="U369" i="9"/>
  <c r="R385" i="9"/>
  <c r="R272" i="9"/>
  <c r="R724" i="9"/>
  <c r="R214" i="9"/>
  <c r="N385" i="9"/>
  <c r="U385" i="9" s="1"/>
  <c r="N229" i="9"/>
  <c r="U229" i="9" s="1"/>
  <c r="N762" i="9"/>
  <c r="S762" i="9" s="1"/>
  <c r="T762" i="9" s="1"/>
  <c r="N315" i="9"/>
  <c r="S315" i="9" s="1"/>
  <c r="T315" i="9" s="1"/>
  <c r="N392" i="9"/>
  <c r="U392" i="9" s="1"/>
  <c r="N721" i="9"/>
  <c r="S721" i="9" s="1"/>
  <c r="N214" i="9"/>
  <c r="N586" i="9"/>
  <c r="U586" i="9" s="1"/>
  <c r="V472" i="9"/>
  <c r="T468" i="9"/>
  <c r="V506" i="9"/>
  <c r="U359" i="9"/>
  <c r="V359" i="9"/>
  <c r="R296" i="9"/>
  <c r="U336" i="9"/>
  <c r="U473" i="9"/>
  <c r="V720" i="9"/>
  <c r="V541" i="9"/>
  <c r="S556" i="9"/>
  <c r="T556" i="9" s="1"/>
  <c r="V562" i="9"/>
  <c r="T720" i="9"/>
  <c r="U258" i="9"/>
  <c r="S416" i="9"/>
  <c r="T416" i="9" s="1"/>
  <c r="U720" i="9"/>
  <c r="V508" i="9"/>
  <c r="R642" i="9"/>
  <c r="R352" i="9"/>
  <c r="V519" i="9"/>
  <c r="U395" i="9"/>
  <c r="S488" i="9"/>
  <c r="T488" i="9" s="1"/>
  <c r="U365" i="9"/>
  <c r="R726" i="9"/>
  <c r="V408" i="9"/>
  <c r="T408" i="9"/>
  <c r="R301" i="9"/>
  <c r="R230" i="9"/>
  <c r="U592" i="9"/>
  <c r="S588" i="9"/>
  <c r="T588" i="9" s="1"/>
  <c r="V530" i="9"/>
  <c r="T530" i="9"/>
  <c r="T533" i="9"/>
  <c r="T451" i="9"/>
  <c r="V473" i="9"/>
  <c r="U751" i="9"/>
  <c r="T534" i="9"/>
  <c r="V534" i="9"/>
  <c r="V469" i="9"/>
  <c r="V450" i="9"/>
  <c r="S235" i="9"/>
  <c r="T563" i="9"/>
  <c r="V563" i="9"/>
  <c r="T423" i="9"/>
  <c r="V423" i="9"/>
  <c r="T565" i="9"/>
  <c r="V565" i="9"/>
  <c r="U269" i="9"/>
  <c r="U233" i="9"/>
  <c r="S233" i="9"/>
  <c r="T462" i="9"/>
  <c r="V462" i="9"/>
  <c r="S660" i="9"/>
  <c r="U640" i="9"/>
  <c r="S640" i="9"/>
  <c r="T528" i="9"/>
  <c r="V528" i="9"/>
  <c r="V445" i="9"/>
  <c r="T445" i="9"/>
  <c r="T452" i="9"/>
  <c r="V452" i="9"/>
  <c r="V477" i="9"/>
  <c r="T477" i="9"/>
  <c r="U638" i="9"/>
  <c r="S638" i="9"/>
  <c r="T336" i="9"/>
  <c r="T517" i="9"/>
  <c r="V517" i="9"/>
  <c r="V467" i="9"/>
  <c r="T467" i="9"/>
  <c r="T520" i="9"/>
  <c r="V520" i="9"/>
  <c r="T480" i="9"/>
  <c r="V480" i="9"/>
  <c r="T232" i="9"/>
  <c r="T410" i="9"/>
  <c r="V410" i="9"/>
  <c r="T478" i="9"/>
  <c r="V478" i="9"/>
  <c r="T395" i="9"/>
  <c r="T692" i="9"/>
  <c r="V692" i="9"/>
  <c r="T434" i="9"/>
  <c r="V434" i="9"/>
  <c r="V527" i="9"/>
  <c r="T414" i="9"/>
  <c r="V414" i="9"/>
  <c r="F225" i="42"/>
  <c r="E227" i="42"/>
  <c r="A228" i="42"/>
  <c r="B227" i="42"/>
  <c r="D226" i="42"/>
  <c r="C226" i="42"/>
  <c r="V27" i="9"/>
  <c r="T26" i="9"/>
  <c r="L621" i="9"/>
  <c r="K209" i="9"/>
  <c r="L347" i="9"/>
  <c r="L666" i="9"/>
  <c r="K249" i="9"/>
  <c r="O746" i="9"/>
  <c r="L367" i="9"/>
  <c r="O597" i="9"/>
  <c r="L770" i="9"/>
  <c r="L375" i="9"/>
  <c r="L596" i="9"/>
  <c r="O297" i="9"/>
  <c r="O749" i="9"/>
  <c r="O285" i="9"/>
  <c r="O669" i="9"/>
  <c r="L730" i="9"/>
  <c r="L647" i="9"/>
  <c r="L643" i="9"/>
  <c r="O708" i="9"/>
  <c r="O704" i="9"/>
  <c r="K361" i="9"/>
  <c r="K725" i="9"/>
  <c r="L237" i="9"/>
  <c r="P749" i="9"/>
  <c r="K237" i="9"/>
  <c r="P219" i="9"/>
  <c r="P381" i="9"/>
  <c r="K322" i="9"/>
  <c r="P222" i="9"/>
  <c r="O314" i="9"/>
  <c r="P237" i="9"/>
  <c r="L210" i="9"/>
  <c r="O608" i="9"/>
  <c r="O255" i="9"/>
  <c r="P234" i="9"/>
  <c r="P603" i="9"/>
  <c r="L228" i="9"/>
  <c r="K332" i="9"/>
  <c r="O222" i="9"/>
  <c r="L339" i="9"/>
  <c r="O371" i="9"/>
  <c r="P589" i="9"/>
  <c r="K752" i="9"/>
  <c r="P293" i="9"/>
  <c r="L594" i="9"/>
  <c r="P208" i="9"/>
  <c r="K222" i="9"/>
  <c r="P273" i="9"/>
  <c r="K314" i="9"/>
  <c r="P349" i="9"/>
  <c r="K297" i="9"/>
  <c r="K704" i="9"/>
  <c r="P231" i="9"/>
  <c r="L320" i="9"/>
  <c r="L669" i="9"/>
  <c r="K594" i="9"/>
  <c r="P249" i="9"/>
  <c r="P629" i="9"/>
  <c r="K317" i="9"/>
  <c r="K769" i="9"/>
  <c r="P643" i="9"/>
  <c r="L605" i="9"/>
  <c r="P653" i="9"/>
  <c r="L697" i="9"/>
  <c r="P630" i="9"/>
  <c r="P364" i="9"/>
  <c r="O315" i="9"/>
  <c r="L262" i="9"/>
  <c r="L703" i="9"/>
  <c r="K262" i="9"/>
  <c r="L766" i="9"/>
  <c r="P756" i="9"/>
  <c r="P770" i="9"/>
  <c r="K749" i="9"/>
  <c r="K744" i="9"/>
  <c r="K705" i="9"/>
  <c r="P298" i="9"/>
  <c r="L708" i="9"/>
  <c r="P363" i="9"/>
  <c r="O689" i="9"/>
  <c r="K328" i="9"/>
  <c r="P705" i="9"/>
  <c r="O237" i="9"/>
  <c r="P667" i="9"/>
  <c r="O634" i="9"/>
  <c r="L702" i="9"/>
  <c r="P663" i="9"/>
  <c r="K333" i="9"/>
  <c r="O687" i="9"/>
  <c r="K590" i="9"/>
  <c r="P284" i="9"/>
  <c r="P698" i="9"/>
  <c r="P774" i="9"/>
  <c r="O328" i="9"/>
  <c r="P245" i="9"/>
  <c r="K729" i="9"/>
  <c r="O761" i="9"/>
  <c r="L328" i="9"/>
  <c r="K666" i="9"/>
  <c r="K245" i="9"/>
  <c r="O674" i="9"/>
  <c r="L281" i="9"/>
  <c r="L247" i="9"/>
  <c r="L273" i="9"/>
  <c r="L749" i="9"/>
  <c r="P594" i="9"/>
  <c r="K647" i="9"/>
  <c r="K596" i="9"/>
  <c r="P347" i="9"/>
  <c r="K388" i="9"/>
  <c r="K231" i="9"/>
  <c r="P760" i="9"/>
  <c r="P361" i="9"/>
  <c r="K308" i="9"/>
  <c r="P345" i="9"/>
  <c r="L614" i="9"/>
  <c r="L675" i="9"/>
  <c r="O611" i="9"/>
  <c r="L330" i="9"/>
  <c r="L388" i="9"/>
  <c r="K301" i="9"/>
  <c r="K644" i="9"/>
  <c r="L270" i="9"/>
  <c r="L361" i="9"/>
  <c r="L314" i="9"/>
  <c r="K255" i="9"/>
  <c r="O209" i="9"/>
  <c r="P744" i="9"/>
  <c r="P614" i="9"/>
  <c r="O375" i="9"/>
  <c r="K607" i="9"/>
  <c r="O349" i="9"/>
  <c r="O389" i="9"/>
  <c r="L282" i="9"/>
  <c r="O276" i="9"/>
  <c r="L370" i="9"/>
  <c r="K265" i="9"/>
  <c r="K663" i="9"/>
  <c r="O335" i="9"/>
  <c r="P244" i="9"/>
  <c r="L293" i="9"/>
  <c r="P330" i="9"/>
  <c r="K768" i="9"/>
  <c r="L272" i="9"/>
  <c r="P297" i="9"/>
  <c r="K611" i="9"/>
  <c r="P210" i="9"/>
  <c r="P761" i="9"/>
  <c r="O228" i="9"/>
  <c r="P247" i="9"/>
  <c r="L632" i="9"/>
  <c r="L363" i="9"/>
  <c r="K329" i="9"/>
  <c r="P263" i="9"/>
  <c r="L744" i="9"/>
  <c r="O364" i="9"/>
  <c r="L729" i="9"/>
  <c r="O643" i="9"/>
  <c r="K325" i="9"/>
  <c r="L317" i="9"/>
  <c r="L334" i="9"/>
  <c r="O614" i="9"/>
  <c r="P375" i="9"/>
  <c r="K320" i="9"/>
  <c r="L335" i="9"/>
  <c r="O325" i="9"/>
  <c r="K371" i="9"/>
  <c r="L202" i="9"/>
  <c r="K637" i="9"/>
  <c r="O262" i="9"/>
  <c r="L759" i="9"/>
  <c r="O664" i="9"/>
  <c r="O284" i="9"/>
  <c r="P764" i="9"/>
  <c r="O744" i="9"/>
  <c r="O650" i="9"/>
  <c r="O367" i="9"/>
  <c r="K285" i="9"/>
  <c r="P358" i="9"/>
  <c r="O361" i="9"/>
  <c r="K759" i="9"/>
  <c r="O716" i="9"/>
  <c r="P605" i="9"/>
  <c r="P218" i="9"/>
  <c r="K608" i="9"/>
  <c r="O370" i="9"/>
  <c r="L298" i="9"/>
  <c r="L711" i="9"/>
  <c r="O249" i="9"/>
  <c r="O238" i="9"/>
  <c r="K770" i="9"/>
  <c r="K737" i="9"/>
  <c r="L285" i="9"/>
  <c r="O287" i="9"/>
  <c r="O653" i="9"/>
  <c r="P282" i="9"/>
  <c r="K213" i="9"/>
  <c r="P634" i="9"/>
  <c r="L248" i="9"/>
  <c r="P608" i="9"/>
  <c r="P367" i="9"/>
  <c r="L308" i="9"/>
  <c r="K268" i="9"/>
  <c r="K736" i="9"/>
  <c r="P763" i="9"/>
  <c r="L698" i="9"/>
  <c r="L323" i="9"/>
  <c r="L277" i="9"/>
  <c r="O670" i="9"/>
  <c r="L761" i="9"/>
  <c r="K273" i="9"/>
  <c r="P658" i="9"/>
  <c r="K664" i="9"/>
  <c r="O738" i="9"/>
  <c r="O730" i="9"/>
  <c r="K763" i="9"/>
  <c r="L208" i="9"/>
  <c r="L611" i="9"/>
  <c r="O632" i="9"/>
  <c r="P725" i="9"/>
  <c r="L769" i="9"/>
  <c r="L686" i="9"/>
  <c r="K220" i="9"/>
  <c r="P238" i="9"/>
  <c r="O658" i="9"/>
  <c r="K754" i="9"/>
  <c r="O594" i="9"/>
  <c r="K367" i="9"/>
  <c r="O685" i="9"/>
  <c r="K697" i="9"/>
  <c r="O219" i="9"/>
  <c r="L222" i="9"/>
  <c r="P762" i="9"/>
  <c r="O330" i="9"/>
  <c r="O308" i="9"/>
  <c r="K375" i="9"/>
  <c r="O265" i="9"/>
  <c r="P626" i="9"/>
  <c r="O298" i="9"/>
  <c r="O764" i="9"/>
  <c r="P669" i="9"/>
  <c r="O667" i="9"/>
  <c r="L297" i="9"/>
  <c r="P759" i="9"/>
  <c r="K653" i="9"/>
  <c r="P388" i="9"/>
  <c r="K272" i="9"/>
  <c r="P281" i="9"/>
  <c r="K643" i="9"/>
  <c r="K761" i="9"/>
  <c r="O754" i="9"/>
  <c r="O322" i="9"/>
  <c r="L255" i="9"/>
  <c r="K675" i="9"/>
  <c r="K741" i="9"/>
  <c r="P729" i="9"/>
  <c r="L674" i="9"/>
  <c r="K645" i="9"/>
  <c r="P672" i="9"/>
  <c r="O270" i="9"/>
  <c r="K284" i="9"/>
  <c r="K623" i="9"/>
  <c r="P597" i="9"/>
  <c r="O695" i="9"/>
  <c r="K730" i="9"/>
  <c r="K674" i="9"/>
  <c r="L764" i="9"/>
  <c r="O741" i="9"/>
  <c r="K600" i="9"/>
  <c r="O603" i="9"/>
  <c r="K695" i="9"/>
  <c r="O772" i="9"/>
  <c r="O273" i="9"/>
  <c r="K726" i="9"/>
  <c r="P674" i="9"/>
  <c r="P236" i="9"/>
  <c r="O715" i="9"/>
  <c r="O619" i="9"/>
  <c r="L716" i="9"/>
  <c r="K335" i="9"/>
  <c r="K364" i="9"/>
  <c r="P738" i="9"/>
  <c r="P689" i="9"/>
  <c r="K282" i="9"/>
  <c r="P730" i="9"/>
  <c r="P621" i="9"/>
  <c r="P255" i="9"/>
  <c r="O350" i="9"/>
  <c r="P687" i="9"/>
  <c r="K276" i="9"/>
  <c r="P286" i="9"/>
  <c r="K632" i="9"/>
  <c r="K349" i="9"/>
  <c r="O386" i="9"/>
  <c r="L608" i="9"/>
  <c r="P206" i="9"/>
  <c r="O697" i="9"/>
  <c r="P314" i="9"/>
  <c r="L737" i="9"/>
  <c r="L209" i="9"/>
  <c r="P285" i="9"/>
  <c r="P772" i="9"/>
  <c r="P611" i="9"/>
  <c r="L695" i="9"/>
  <c r="L658" i="9"/>
  <c r="R236" i="9" l="1"/>
  <c r="N726" i="9"/>
  <c r="U726" i="9" s="1"/>
  <c r="R605" i="9"/>
  <c r="R716" i="9"/>
  <c r="R358" i="9"/>
  <c r="N334" i="9"/>
  <c r="U334" i="9" s="1"/>
  <c r="N325" i="9"/>
  <c r="U325" i="9" s="1"/>
  <c r="R263" i="9"/>
  <c r="N702" i="9"/>
  <c r="S702" i="9" s="1"/>
  <c r="R705" i="9"/>
  <c r="R363" i="9"/>
  <c r="N708" i="9"/>
  <c r="S708" i="9" s="1"/>
  <c r="T708" i="9" s="1"/>
  <c r="R746" i="9"/>
  <c r="N249" i="9"/>
  <c r="S249" i="9" s="1"/>
  <c r="T249" i="9" s="1"/>
  <c r="N347" i="9"/>
  <c r="S347" i="9" s="1"/>
  <c r="N621" i="9"/>
  <c r="S621" i="9" s="1"/>
  <c r="T621" i="9" s="1"/>
  <c r="U755" i="9"/>
  <c r="T446" i="9"/>
  <c r="U290" i="9"/>
  <c r="V432" i="9"/>
  <c r="U731" i="9"/>
  <c r="V731" i="9"/>
  <c r="S439" i="9"/>
  <c r="T439" i="9" s="1"/>
  <c r="U567" i="9"/>
  <c r="S567" i="9"/>
  <c r="V545" i="9"/>
  <c r="T443" i="9"/>
  <c r="S483" i="9"/>
  <c r="T483" i="9" s="1"/>
  <c r="S591" i="9"/>
  <c r="V290" i="9"/>
  <c r="S464" i="9"/>
  <c r="T464" i="9" s="1"/>
  <c r="U715" i="9"/>
  <c r="T564" i="9"/>
  <c r="S337" i="9"/>
  <c r="U760" i="9"/>
  <c r="U509" i="9"/>
  <c r="T579" i="9"/>
  <c r="V439" i="9"/>
  <c r="S353" i="9"/>
  <c r="V353" i="9" s="1"/>
  <c r="V398" i="9"/>
  <c r="S205" i="9"/>
  <c r="T205" i="9" s="1"/>
  <c r="S226" i="9"/>
  <c r="S618" i="9"/>
  <c r="T618" i="9" s="1"/>
  <c r="S306" i="9"/>
  <c r="T306" i="9" s="1"/>
  <c r="U225" i="9"/>
  <c r="U203" i="9"/>
  <c r="V581" i="9"/>
  <c r="S334" i="9"/>
  <c r="T334" i="9" s="1"/>
  <c r="S525" i="9"/>
  <c r="T525" i="9" s="1"/>
  <c r="U582" i="9"/>
  <c r="S569" i="9"/>
  <c r="T569" i="9" s="1"/>
  <c r="U539" i="9"/>
  <c r="U313" i="9"/>
  <c r="V226" i="9"/>
  <c r="S573" i="9"/>
  <c r="T573" i="9" s="1"/>
  <c r="S390" i="9"/>
  <c r="V390" i="9" s="1"/>
  <c r="S656" i="9"/>
  <c r="T656" i="9" s="1"/>
  <c r="U657" i="9"/>
  <c r="S476" i="9"/>
  <c r="T476" i="9" s="1"/>
  <c r="S646" i="9"/>
  <c r="T646" i="9" s="1"/>
  <c r="U338" i="9"/>
  <c r="V203" i="9"/>
  <c r="U771" i="9"/>
  <c r="V657" i="9"/>
  <c r="S307" i="9"/>
  <c r="T307" i="9" s="1"/>
  <c r="V481" i="9"/>
  <c r="V496" i="9"/>
  <c r="V464" i="9"/>
  <c r="U447" i="9"/>
  <c r="T535" i="9"/>
  <c r="V649" i="9"/>
  <c r="U227" i="9"/>
  <c r="U665" i="9"/>
  <c r="V447" i="9"/>
  <c r="U639" i="9"/>
  <c r="S544" i="9"/>
  <c r="T544" i="9" s="1"/>
  <c r="U279" i="9"/>
  <c r="V539" i="9"/>
  <c r="S360" i="9"/>
  <c r="T360" i="9" s="1"/>
  <c r="V211" i="9"/>
  <c r="T550" i="9"/>
  <c r="S758" i="9"/>
  <c r="T758" i="9" s="1"/>
  <c r="U773" i="9"/>
  <c r="V421" i="9"/>
  <c r="S366" i="9"/>
  <c r="T366" i="9" s="1"/>
  <c r="S324" i="9"/>
  <c r="T324" i="9" s="1"/>
  <c r="U326" i="9"/>
  <c r="S583" i="9"/>
  <c r="T583" i="9" s="1"/>
  <c r="S654" i="9"/>
  <c r="T654" i="9" s="1"/>
  <c r="S616" i="9"/>
  <c r="T616" i="9" s="1"/>
  <c r="S224" i="9"/>
  <c r="T224" i="9" s="1"/>
  <c r="U411" i="9"/>
  <c r="U728" i="9"/>
  <c r="U234" i="9"/>
  <c r="S295" i="9"/>
  <c r="T295" i="9" s="1"/>
  <c r="V404" i="9"/>
  <c r="V486" i="9"/>
  <c r="U526" i="9"/>
  <c r="V521" i="9"/>
  <c r="V524" i="9"/>
  <c r="V259" i="9"/>
  <c r="S625" i="9"/>
  <c r="T625" i="9" s="1"/>
  <c r="V411" i="9"/>
  <c r="V433" i="9"/>
  <c r="S325" i="9"/>
  <c r="T325" i="9" s="1"/>
  <c r="S304" i="9"/>
  <c r="V304" i="9" s="1"/>
  <c r="U599" i="9"/>
  <c r="V511" i="9"/>
  <c r="V648" i="9"/>
  <c r="V599" i="9"/>
  <c r="U498" i="9"/>
  <c r="S701" i="9"/>
  <c r="T701" i="9" s="1"/>
  <c r="V326" i="9"/>
  <c r="V338" i="9"/>
  <c r="V321" i="9"/>
  <c r="U212" i="9"/>
  <c r="U232" i="9"/>
  <c r="V313" i="9"/>
  <c r="S201" i="9"/>
  <c r="T201" i="9" s="1"/>
  <c r="U421" i="9"/>
  <c r="V487" i="9"/>
  <c r="V225" i="9"/>
  <c r="S507" i="9"/>
  <c r="T507" i="9" s="1"/>
  <c r="U294" i="9"/>
  <c r="U699" i="9"/>
  <c r="S296" i="9"/>
  <c r="T296" i="9" s="1"/>
  <c r="S622" i="9"/>
  <c r="T622" i="9" s="1"/>
  <c r="S775" i="9"/>
  <c r="T775" i="9" s="1"/>
  <c r="U368" i="9"/>
  <c r="U331" i="9"/>
  <c r="S378" i="9"/>
  <c r="T378" i="9" s="1"/>
  <c r="V484" i="9"/>
  <c r="V430" i="9"/>
  <c r="U648" i="9"/>
  <c r="V243" i="9"/>
  <c r="T495" i="9"/>
  <c r="S707" i="9"/>
  <c r="V707" i="9" s="1"/>
  <c r="S204" i="9"/>
  <c r="T204" i="9" s="1"/>
  <c r="S765" i="9"/>
  <c r="T765" i="9" s="1"/>
  <c r="U383" i="9"/>
  <c r="S604" i="9"/>
  <c r="T604" i="9" s="1"/>
  <c r="U772" i="9"/>
  <c r="T553" i="9"/>
  <c r="U316" i="9"/>
  <c r="U524" i="9"/>
  <c r="U620" i="9"/>
  <c r="S577" i="9"/>
  <c r="V577" i="9" s="1"/>
  <c r="S264" i="9"/>
  <c r="T264" i="9" s="1"/>
  <c r="U494" i="9"/>
  <c r="S239" i="9"/>
  <c r="T239" i="9" s="1"/>
  <c r="V489" i="9"/>
  <c r="V582" i="9"/>
  <c r="V497" i="9"/>
  <c r="V316" i="9"/>
  <c r="V677" i="9"/>
  <c r="S352" i="9"/>
  <c r="T352" i="9" s="1"/>
  <c r="S687" i="9"/>
  <c r="T687" i="9" s="1"/>
  <c r="S585" i="9"/>
  <c r="T585" i="9" s="1"/>
  <c r="U691" i="9"/>
  <c r="S459" i="9"/>
  <c r="T459" i="9" s="1"/>
  <c r="S532" i="9"/>
  <c r="V532" i="9" s="1"/>
  <c r="V425" i="9"/>
  <c r="V498" i="9"/>
  <c r="V397" i="9"/>
  <c r="S429" i="9"/>
  <c r="U732" i="9"/>
  <c r="S299" i="9"/>
  <c r="T299" i="9" s="1"/>
  <c r="U670" i="9"/>
  <c r="U379" i="9"/>
  <c r="S595" i="9"/>
  <c r="V595" i="9" s="1"/>
  <c r="V383" i="9"/>
  <c r="S609" i="9"/>
  <c r="V609" i="9" s="1"/>
  <c r="V441" i="9"/>
  <c r="V368" i="9"/>
  <c r="U489" i="9"/>
  <c r="U397" i="9"/>
  <c r="V665" i="9"/>
  <c r="V499" i="9"/>
  <c r="U399" i="9"/>
  <c r="T665" i="9"/>
  <c r="V348" i="9"/>
  <c r="U373" i="9"/>
  <c r="U287" i="9"/>
  <c r="U619" i="9"/>
  <c r="S302" i="9"/>
  <c r="V302" i="9" s="1"/>
  <c r="V418" i="9"/>
  <c r="U756" i="9"/>
  <c r="V279" i="9"/>
  <c r="S538" i="9"/>
  <c r="V538" i="9" s="1"/>
  <c r="V437" i="9"/>
  <c r="S734" i="9"/>
  <c r="V734" i="9" s="1"/>
  <c r="U358" i="9"/>
  <c r="U680" i="9"/>
  <c r="S250" i="9"/>
  <c r="T250" i="9" s="1"/>
  <c r="U655" i="9"/>
  <c r="V587" i="9"/>
  <c r="U391" i="9"/>
  <c r="S342" i="9"/>
  <c r="V342" i="9" s="1"/>
  <c r="V688" i="9"/>
  <c r="U243" i="9"/>
  <c r="S722" i="9"/>
  <c r="V722" i="9" s="1"/>
  <c r="S706" i="9"/>
  <c r="V706" i="9" s="1"/>
  <c r="S613" i="9"/>
  <c r="T613" i="9" s="1"/>
  <c r="V591" i="9"/>
  <c r="U400" i="9"/>
  <c r="V680" i="9"/>
  <c r="V399" i="9"/>
  <c r="U419" i="9"/>
  <c r="R725" i="9"/>
  <c r="R756" i="9"/>
  <c r="V756" i="9" s="1"/>
  <c r="R650" i="9"/>
  <c r="R210" i="9"/>
  <c r="N766" i="9"/>
  <c r="U766" i="9" s="1"/>
  <c r="R632" i="9"/>
  <c r="N600" i="9"/>
  <c r="U600" i="9" s="1"/>
  <c r="N686" i="9"/>
  <c r="U686" i="9" s="1"/>
  <c r="R293" i="9"/>
  <c r="R763" i="9"/>
  <c r="N752" i="9"/>
  <c r="S752" i="9" s="1"/>
  <c r="T752" i="9" s="1"/>
  <c r="R350" i="9"/>
  <c r="N330" i="9"/>
  <c r="U330" i="9" s="1"/>
  <c r="R589" i="9"/>
  <c r="N736" i="9"/>
  <c r="S736" i="9" s="1"/>
  <c r="T736" i="9" s="1"/>
  <c r="R322" i="9"/>
  <c r="R698" i="9"/>
  <c r="N711" i="9"/>
  <c r="U711" i="9" s="1"/>
  <c r="N754" i="9"/>
  <c r="U754" i="9" s="1"/>
  <c r="N298" i="9"/>
  <c r="U298" i="9" s="1"/>
  <c r="N590" i="9"/>
  <c r="R370" i="9"/>
  <c r="N333" i="9"/>
  <c r="U333" i="9" s="1"/>
  <c r="R218" i="9"/>
  <c r="N220" i="9"/>
  <c r="U220" i="9" s="1"/>
  <c r="R663" i="9"/>
  <c r="V419" i="9"/>
  <c r="S403" i="9"/>
  <c r="T403" i="9" s="1"/>
  <c r="U403" i="9"/>
  <c r="T494" i="9"/>
  <c r="V494" i="9"/>
  <c r="R244" i="9"/>
  <c r="V244" i="9" s="1"/>
  <c r="R386" i="9"/>
  <c r="R282" i="9"/>
  <c r="N268" i="9"/>
  <c r="U268" i="9" s="1"/>
  <c r="N231" i="9"/>
  <c r="U231" i="9" s="1"/>
  <c r="N202" i="9"/>
  <c r="S202" i="9" s="1"/>
  <c r="T202" i="9" s="1"/>
  <c r="R265" i="9"/>
  <c r="R741" i="9"/>
  <c r="R619" i="9"/>
  <c r="V619" i="9" s="1"/>
  <c r="R643" i="9"/>
  <c r="R325" i="9"/>
  <c r="R762" i="9"/>
  <c r="V762" i="9" s="1"/>
  <c r="N744" i="9"/>
  <c r="U744" i="9" s="1"/>
  <c r="R347" i="9"/>
  <c r="V347" i="9" s="1"/>
  <c r="R209" i="9"/>
  <c r="N328" i="9"/>
  <c r="S328" i="9" s="1"/>
  <c r="T328" i="9" s="1"/>
  <c r="R345" i="9"/>
  <c r="V345" i="9" s="1"/>
  <c r="R708" i="9"/>
  <c r="R247" i="9"/>
  <c r="R206" i="9"/>
  <c r="N323" i="9"/>
  <c r="N770" i="9"/>
  <c r="N768" i="9"/>
  <c r="R237" i="9"/>
  <c r="R361" i="9"/>
  <c r="R276" i="9"/>
  <c r="R630" i="9"/>
  <c r="V630" i="9" s="1"/>
  <c r="N301" i="9"/>
  <c r="S301" i="9" s="1"/>
  <c r="T301" i="9" s="1"/>
  <c r="U557" i="9"/>
  <c r="S557" i="9"/>
  <c r="U572" i="9"/>
  <c r="S572" i="9"/>
  <c r="V728" i="9"/>
  <c r="S257" i="9"/>
  <c r="T257" i="9" s="1"/>
  <c r="S712" i="9"/>
  <c r="T712" i="9" s="1"/>
  <c r="U402" i="9"/>
  <c r="S610" i="9"/>
  <c r="T610" i="9" s="1"/>
  <c r="V502" i="9"/>
  <c r="U389" i="9"/>
  <c r="V547" i="9"/>
  <c r="V343" i="9"/>
  <c r="T355" i="9"/>
  <c r="S606" i="9"/>
  <c r="V606" i="9" s="1"/>
  <c r="U681" i="9"/>
  <c r="T402" i="9"/>
  <c r="S327" i="9"/>
  <c r="V327" i="9" s="1"/>
  <c r="S217" i="9"/>
  <c r="T217" i="9" s="1"/>
  <c r="U735" i="9"/>
  <c r="S750" i="9"/>
  <c r="T750" i="9" s="1"/>
  <c r="U630" i="9"/>
  <c r="U211" i="9"/>
  <c r="S218" i="9"/>
  <c r="T218" i="9" s="1"/>
  <c r="S319" i="9"/>
  <c r="V319" i="9" s="1"/>
  <c r="U259" i="9"/>
  <c r="U679" i="9"/>
  <c r="S661" i="9"/>
  <c r="T661" i="9" s="1"/>
  <c r="V424" i="9"/>
  <c r="V679" i="9"/>
  <c r="U280" i="9"/>
  <c r="V280" i="9"/>
  <c r="V400" i="9"/>
  <c r="U495" i="9"/>
  <c r="S382" i="9"/>
  <c r="V382" i="9" s="1"/>
  <c r="S624" i="9"/>
  <c r="T624" i="9" s="1"/>
  <c r="U348" i="9"/>
  <c r="U649" i="9"/>
  <c r="S413" i="9"/>
  <c r="T413" i="9" s="1"/>
  <c r="U547" i="9"/>
  <c r="U343" i="9"/>
  <c r="S627" i="9"/>
  <c r="V627" i="9" s="1"/>
  <c r="S340" i="9"/>
  <c r="T340" i="9" s="1"/>
  <c r="S628" i="9"/>
  <c r="T628" i="9" s="1"/>
  <c r="S739" i="9"/>
  <c r="T739" i="9" s="1"/>
  <c r="V512" i="9"/>
  <c r="S311" i="9"/>
  <c r="T311" i="9" s="1"/>
  <c r="S615" i="9"/>
  <c r="T615" i="9" s="1"/>
  <c r="U543" i="9"/>
  <c r="V755" i="9"/>
  <c r="V543" i="9"/>
  <c r="U355" i="9"/>
  <c r="V212" i="9"/>
  <c r="N607" i="9"/>
  <c r="S607" i="9" s="1"/>
  <c r="T607" i="9" s="1"/>
  <c r="R285" i="9"/>
  <c r="N716" i="9"/>
  <c r="U716" i="9" s="1"/>
  <c r="N375" i="9"/>
  <c r="U375" i="9" s="1"/>
  <c r="N705" i="9"/>
  <c r="S705" i="9" s="1"/>
  <c r="T705" i="9" s="1"/>
  <c r="N228" i="9"/>
  <c r="U228" i="9" s="1"/>
  <c r="R658" i="9"/>
  <c r="N388" i="9"/>
  <c r="S388" i="9" s="1"/>
  <c r="T388" i="9" s="1"/>
  <c r="N210" i="9"/>
  <c r="N370" i="9"/>
  <c r="S370" i="9" s="1"/>
  <c r="T370" i="9" s="1"/>
  <c r="N213" i="9"/>
  <c r="S213" i="9" s="1"/>
  <c r="T213" i="9" s="1"/>
  <c r="N371" i="9"/>
  <c r="S371" i="9" s="1"/>
  <c r="T371" i="9" s="1"/>
  <c r="N277" i="9"/>
  <c r="S277" i="9" s="1"/>
  <c r="T277" i="9" s="1"/>
  <c r="R729" i="9"/>
  <c r="R670" i="9"/>
  <c r="V670" i="9" s="1"/>
  <c r="N698" i="9"/>
  <c r="N703" i="9"/>
  <c r="S703" i="9" s="1"/>
  <c r="T703" i="9" s="1"/>
  <c r="R287" i="9"/>
  <c r="V287" i="9" s="1"/>
  <c r="R704" i="9"/>
  <c r="R715" i="9"/>
  <c r="V715" i="9" s="1"/>
  <c r="N763" i="9"/>
  <c r="R621" i="9"/>
  <c r="N669" i="9"/>
  <c r="U669" i="9" s="1"/>
  <c r="N596" i="9"/>
  <c r="U596" i="9" s="1"/>
  <c r="R634" i="9"/>
  <c r="R273" i="9"/>
  <c r="R687" i="9"/>
  <c r="R772" i="9"/>
  <c r="V772" i="9" s="1"/>
  <c r="U548" i="9"/>
  <c r="S548" i="9"/>
  <c r="V691" i="9"/>
  <c r="V639" i="9"/>
  <c r="U743" i="9"/>
  <c r="S471" i="9"/>
  <c r="T471" i="9" s="1"/>
  <c r="V655" i="9"/>
  <c r="U617" i="9"/>
  <c r="S310" i="9"/>
  <c r="V310" i="9" s="1"/>
  <c r="V455" i="9"/>
  <c r="S516" i="9"/>
  <c r="T516" i="9" s="1"/>
  <c r="V227" i="9"/>
  <c r="S346" i="9"/>
  <c r="V346" i="9" s="1"/>
  <c r="S678" i="9"/>
  <c r="T678" i="9" s="1"/>
  <c r="U455" i="9"/>
  <c r="S491" i="9"/>
  <c r="T491" i="9" s="1"/>
  <c r="S551" i="9"/>
  <c r="T551" i="9" s="1"/>
  <c r="V718" i="9"/>
  <c r="V391" i="9"/>
  <c r="V232" i="9"/>
  <c r="V379" i="9"/>
  <c r="V526" i="9"/>
  <c r="R664" i="9"/>
  <c r="R364" i="9"/>
  <c r="N209" i="9"/>
  <c r="U209" i="9" s="1"/>
  <c r="N644" i="9"/>
  <c r="S644" i="9" s="1"/>
  <c r="N265" i="9"/>
  <c r="U265" i="9" s="1"/>
  <c r="N332" i="9"/>
  <c r="N339" i="9"/>
  <c r="R685" i="9"/>
  <c r="R749" i="9"/>
  <c r="N208" i="9"/>
  <c r="S208" i="9" s="1"/>
  <c r="T208" i="9" s="1"/>
  <c r="N666" i="9"/>
  <c r="N363" i="9"/>
  <c r="U363" i="9" s="1"/>
  <c r="R389" i="9"/>
  <c r="V389" i="9" s="1"/>
  <c r="R672" i="9"/>
  <c r="N322" i="9"/>
  <c r="U322" i="9" s="1"/>
  <c r="R761" i="9"/>
  <c r="N247" i="9"/>
  <c r="U247" i="9" s="1"/>
  <c r="N349" i="9"/>
  <c r="U349" i="9" s="1"/>
  <c r="N653" i="9"/>
  <c r="S653" i="9" s="1"/>
  <c r="T653" i="9" s="1"/>
  <c r="N637" i="9"/>
  <c r="U637" i="9" s="1"/>
  <c r="N317" i="9"/>
  <c r="N329" i="9"/>
  <c r="U329" i="9" s="1"/>
  <c r="R381" i="9"/>
  <c r="V381" i="9" s="1"/>
  <c r="R281" i="9"/>
  <c r="N725" i="9"/>
  <c r="R759" i="9"/>
  <c r="R234" i="9"/>
  <c r="N270" i="9"/>
  <c r="S270" i="9" s="1"/>
  <c r="T270" i="9" s="1"/>
  <c r="N741" i="9"/>
  <c r="U741" i="9" s="1"/>
  <c r="N704" i="9"/>
  <c r="S704" i="9" s="1"/>
  <c r="T704" i="9" s="1"/>
  <c r="N614" i="9"/>
  <c r="S614" i="9" s="1"/>
  <c r="T614" i="9" s="1"/>
  <c r="N308" i="9"/>
  <c r="S308" i="9" s="1"/>
  <c r="T308" i="9" s="1"/>
  <c r="R367" i="9"/>
  <c r="R315" i="9"/>
  <c r="V315" i="9" s="1"/>
  <c r="R626" i="9"/>
  <c r="R231" i="9"/>
  <c r="R286" i="9"/>
  <c r="V286" i="9" s="1"/>
  <c r="N675" i="9"/>
  <c r="U675" i="9" s="1"/>
  <c r="R328" i="9"/>
  <c r="R388" i="9"/>
  <c r="R770" i="9"/>
  <c r="R228" i="9"/>
  <c r="N697" i="9"/>
  <c r="U697" i="9" s="1"/>
  <c r="N658" i="9"/>
  <c r="S658" i="9" s="1"/>
  <c r="T658" i="9" s="1"/>
  <c r="R262" i="9"/>
  <c r="R371" i="9"/>
  <c r="N729" i="9"/>
  <c r="S729" i="9" s="1"/>
  <c r="T729" i="9" s="1"/>
  <c r="R744" i="9"/>
  <c r="R208" i="9"/>
  <c r="N248" i="9"/>
  <c r="N645" i="9"/>
  <c r="U645" i="9" s="1"/>
  <c r="N276" i="9"/>
  <c r="R608" i="9"/>
  <c r="N320" i="9"/>
  <c r="S320" i="9" s="1"/>
  <c r="T320" i="9" s="1"/>
  <c r="R754" i="9"/>
  <c r="N272" i="9"/>
  <c r="S272" i="9" s="1"/>
  <c r="T272" i="9" s="1"/>
  <c r="R245" i="9"/>
  <c r="R330" i="9"/>
  <c r="N293" i="9"/>
  <c r="U293" i="9" s="1"/>
  <c r="R611" i="9"/>
  <c r="R774" i="9"/>
  <c r="R308" i="9"/>
  <c r="N284" i="9"/>
  <c r="U284" i="9" s="1"/>
  <c r="N664" i="9"/>
  <c r="U664" i="9" s="1"/>
  <c r="R695" i="9"/>
  <c r="N262" i="9"/>
  <c r="S262" i="9" s="1"/>
  <c r="T262" i="9" s="1"/>
  <c r="N764" i="9"/>
  <c r="S764" i="9" s="1"/>
  <c r="T764" i="9" s="1"/>
  <c r="R219" i="9"/>
  <c r="V219" i="9" s="1"/>
  <c r="R760" i="9"/>
  <c r="V760" i="9" s="1"/>
  <c r="N335" i="9"/>
  <c r="S335" i="9" s="1"/>
  <c r="T335" i="9" s="1"/>
  <c r="N632" i="9"/>
  <c r="N594" i="9"/>
  <c r="S594" i="9" s="1"/>
  <c r="T594" i="9" s="1"/>
  <c r="N314" i="9"/>
  <c r="N282" i="9"/>
  <c r="S282" i="9" s="1"/>
  <c r="T282" i="9" s="1"/>
  <c r="N769" i="9"/>
  <c r="U769" i="9" s="1"/>
  <c r="R738" i="9"/>
  <c r="N737" i="9"/>
  <c r="U737" i="9" s="1"/>
  <c r="N281" i="9"/>
  <c r="U281" i="9" s="1"/>
  <c r="N273" i="9"/>
  <c r="N297" i="9"/>
  <c r="U297" i="9" s="1"/>
  <c r="S283" i="9"/>
  <c r="T283" i="9" s="1"/>
  <c r="U283" i="9"/>
  <c r="V234" i="9"/>
  <c r="S713" i="9"/>
  <c r="T713" i="9" s="1"/>
  <c r="S303" i="9"/>
  <c r="T303" i="9" s="1"/>
  <c r="U241" i="9"/>
  <c r="T718" i="9"/>
  <c r="V241" i="9"/>
  <c r="U718" i="9"/>
  <c r="S685" i="9"/>
  <c r="T685" i="9" s="1"/>
  <c r="S350" i="9"/>
  <c r="T350" i="9" s="1"/>
  <c r="S490" i="9"/>
  <c r="T490" i="9" s="1"/>
  <c r="V344" i="9"/>
  <c r="V671" i="9"/>
  <c r="S727" i="9"/>
  <c r="T727" i="9" s="1"/>
  <c r="U603" i="9"/>
  <c r="V331" i="9"/>
  <c r="U748" i="9"/>
  <c r="V676" i="9"/>
  <c r="U677" i="9"/>
  <c r="S673" i="9"/>
  <c r="V673" i="9" s="1"/>
  <c r="V566" i="9"/>
  <c r="U321" i="9"/>
  <c r="U676" i="9"/>
  <c r="V748" i="9"/>
  <c r="S356" i="9"/>
  <c r="T356" i="9" s="1"/>
  <c r="U700" i="9"/>
  <c r="V482" i="9"/>
  <c r="U482" i="9"/>
  <c r="U354" i="9"/>
  <c r="S724" i="9"/>
  <c r="T724" i="9" s="1"/>
  <c r="S274" i="9"/>
  <c r="V274" i="9" s="1"/>
  <c r="U381" i="9"/>
  <c r="U344" i="9"/>
  <c r="U671" i="9"/>
  <c r="V700" i="9"/>
  <c r="R238" i="9"/>
  <c r="N608" i="9"/>
  <c r="S608" i="9" s="1"/>
  <c r="T608" i="9" s="1"/>
  <c r="R249" i="9"/>
  <c r="V249" i="9" s="1"/>
  <c r="R629" i="9"/>
  <c r="N367" i="9"/>
  <c r="S367" i="9" s="1"/>
  <c r="T367" i="9" s="1"/>
  <c r="N361" i="9"/>
  <c r="S361" i="9" s="1"/>
  <c r="T361" i="9" s="1"/>
  <c r="N674" i="9"/>
  <c r="N623" i="9"/>
  <c r="U623" i="9" s="1"/>
  <c r="N663" i="9"/>
  <c r="S663" i="9" s="1"/>
  <c r="T663" i="9" s="1"/>
  <c r="N255" i="9"/>
  <c r="U255" i="9" s="1"/>
  <c r="N237" i="9"/>
  <c r="U237" i="9" s="1"/>
  <c r="N759" i="9"/>
  <c r="S759" i="9" s="1"/>
  <c r="T759" i="9" s="1"/>
  <c r="R270" i="9"/>
  <c r="R653" i="9"/>
  <c r="V743" i="9"/>
  <c r="V717" i="9"/>
  <c r="V693" i="9"/>
  <c r="U380" i="9"/>
  <c r="S601" i="9"/>
  <c r="T601" i="9" s="1"/>
  <c r="V616" i="9"/>
  <c r="U693" i="9"/>
  <c r="S271" i="9"/>
  <c r="T271" i="9" s="1"/>
  <c r="U244" i="9"/>
  <c r="U300" i="9"/>
  <c r="V636" i="9"/>
  <c r="S238" i="9"/>
  <c r="T238" i="9" s="1"/>
  <c r="U312" i="9"/>
  <c r="S652" i="9"/>
  <c r="T652" i="9" s="1"/>
  <c r="S651" i="9"/>
  <c r="T651" i="9" s="1"/>
  <c r="V633" i="9"/>
  <c r="S479" i="9"/>
  <c r="T479" i="9" s="1"/>
  <c r="R314" i="9"/>
  <c r="R764" i="9"/>
  <c r="R284" i="9"/>
  <c r="R297" i="9"/>
  <c r="R597" i="9"/>
  <c r="V597" i="9" s="1"/>
  <c r="R689" i="9"/>
  <c r="R222" i="9"/>
  <c r="R669" i="9"/>
  <c r="S263" i="9"/>
  <c r="S333" i="9"/>
  <c r="T333" i="9" s="1"/>
  <c r="S776" i="9"/>
  <c r="V776" i="9" s="1"/>
  <c r="S626" i="9"/>
  <c r="T626" i="9" s="1"/>
  <c r="V475" i="9"/>
  <c r="V752" i="9"/>
  <c r="S641" i="9"/>
  <c r="V641" i="9" s="1"/>
  <c r="U753" i="9"/>
  <c r="S719" i="9"/>
  <c r="T719" i="9" s="1"/>
  <c r="U717" i="9"/>
  <c r="S742" i="9"/>
  <c r="T742" i="9" s="1"/>
  <c r="V620" i="9"/>
  <c r="S714" i="9"/>
  <c r="T714" i="9" s="1"/>
  <c r="U587" i="9"/>
  <c r="V312" i="9"/>
  <c r="N647" i="9"/>
  <c r="S647" i="9" s="1"/>
  <c r="T647" i="9" s="1"/>
  <c r="R603" i="9"/>
  <c r="V603" i="9" s="1"/>
  <c r="N605" i="9"/>
  <c r="U605" i="9" s="1"/>
  <c r="N245" i="9"/>
  <c r="U245" i="9" s="1"/>
  <c r="R255" i="9"/>
  <c r="R594" i="9"/>
  <c r="R349" i="9"/>
  <c r="R674" i="9"/>
  <c r="N222" i="9"/>
  <c r="U222" i="9" s="1"/>
  <c r="R730" i="9"/>
  <c r="R375" i="9"/>
  <c r="N285" i="9"/>
  <c r="N695" i="9"/>
  <c r="R335" i="9"/>
  <c r="S442" i="9"/>
  <c r="U442" i="9"/>
  <c r="U394" i="9"/>
  <c r="S394" i="9"/>
  <c r="N643" i="9"/>
  <c r="R298" i="9"/>
  <c r="R614" i="9"/>
  <c r="N611" i="9"/>
  <c r="S485" i="9"/>
  <c r="T485" i="9" s="1"/>
  <c r="S662" i="9"/>
  <c r="T662" i="9" s="1"/>
  <c r="S318" i="9"/>
  <c r="T318" i="9" s="1"/>
  <c r="V617" i="9"/>
  <c r="S288" i="9"/>
  <c r="T288" i="9" s="1"/>
  <c r="U345" i="9"/>
  <c r="V358" i="9"/>
  <c r="U341" i="9"/>
  <c r="S740" i="9"/>
  <c r="T740" i="9" s="1"/>
  <c r="S221" i="9"/>
  <c r="T221" i="9" s="1"/>
  <c r="S629" i="9"/>
  <c r="T629" i="9" s="1"/>
  <c r="S236" i="9"/>
  <c r="T236" i="9" s="1"/>
  <c r="S767" i="9"/>
  <c r="T767" i="9" s="1"/>
  <c r="S261" i="9"/>
  <c r="T261" i="9" s="1"/>
  <c r="S723" i="9"/>
  <c r="T723" i="9" s="1"/>
  <c r="S260" i="9"/>
  <c r="T260" i="9" s="1"/>
  <c r="S709" i="9"/>
  <c r="T709" i="9" s="1"/>
  <c r="V407" i="9"/>
  <c r="V422" i="9"/>
  <c r="S252" i="9"/>
  <c r="T252" i="9" s="1"/>
  <c r="R667" i="9"/>
  <c r="R697" i="9"/>
  <c r="N761" i="9"/>
  <c r="U761" i="9" s="1"/>
  <c r="N364" i="9"/>
  <c r="S364" i="9" s="1"/>
  <c r="T364" i="9" s="1"/>
  <c r="N749" i="9"/>
  <c r="S749" i="9" s="1"/>
  <c r="T749" i="9" s="1"/>
  <c r="N730" i="9"/>
  <c r="S730" i="9" s="1"/>
  <c r="V202" i="9"/>
  <c r="S351" i="9"/>
  <c r="S682" i="9"/>
  <c r="T682" i="9" s="1"/>
  <c r="V593" i="9"/>
  <c r="V501" i="9"/>
  <c r="V376" i="9"/>
  <c r="U246" i="9"/>
  <c r="T591" i="9"/>
  <c r="S251" i="9"/>
  <c r="T251" i="9" s="1"/>
  <c r="U372" i="9"/>
  <c r="V598" i="9"/>
  <c r="S696" i="9"/>
  <c r="V696" i="9" s="1"/>
  <c r="U621" i="9"/>
  <c r="U684" i="9"/>
  <c r="U387" i="9"/>
  <c r="T633" i="9"/>
  <c r="S289" i="9"/>
  <c r="T289" i="9" s="1"/>
  <c r="U747" i="9"/>
  <c r="V747" i="9"/>
  <c r="V406" i="9"/>
  <c r="T428" i="9"/>
  <c r="U266" i="9"/>
  <c r="S223" i="9"/>
  <c r="V223" i="9" s="1"/>
  <c r="S305" i="9"/>
  <c r="T305" i="9" s="1"/>
  <c r="S667" i="9"/>
  <c r="T667" i="9" s="1"/>
  <c r="U710" i="9"/>
  <c r="V384" i="9"/>
  <c r="U376" i="9"/>
  <c r="V377" i="9"/>
  <c r="U377" i="9"/>
  <c r="V492" i="9"/>
  <c r="V266" i="9"/>
  <c r="V710" i="9"/>
  <c r="U597" i="9"/>
  <c r="S683" i="9"/>
  <c r="T683" i="9" s="1"/>
  <c r="U384" i="9"/>
  <c r="V242" i="9"/>
  <c r="U659" i="9"/>
  <c r="V529" i="9"/>
  <c r="V309" i="9"/>
  <c r="V635" i="9"/>
  <c r="U593" i="9"/>
  <c r="V246" i="9"/>
  <c r="U733" i="9"/>
  <c r="V267" i="9"/>
  <c r="V372" i="9"/>
  <c r="U598" i="9"/>
  <c r="V554" i="9"/>
  <c r="V466" i="9"/>
  <c r="U254" i="9"/>
  <c r="V560" i="9"/>
  <c r="V559" i="9"/>
  <c r="S631" i="9"/>
  <c r="T631" i="9" s="1"/>
  <c r="S745" i="9"/>
  <c r="T745" i="9" s="1"/>
  <c r="T509" i="9"/>
  <c r="V509" i="9"/>
  <c r="S650" i="9"/>
  <c r="U267" i="9"/>
  <c r="V207" i="9"/>
  <c r="U207" i="9"/>
  <c r="S362" i="9"/>
  <c r="T362" i="9" s="1"/>
  <c r="U286" i="9"/>
  <c r="T396" i="9"/>
  <c r="V396" i="9"/>
  <c r="U774" i="9"/>
  <c r="S774" i="9"/>
  <c r="S738" i="9"/>
  <c r="U738" i="9"/>
  <c r="S757" i="9"/>
  <c r="T757" i="9" s="1"/>
  <c r="S374" i="9"/>
  <c r="V374" i="9" s="1"/>
  <c r="V254" i="9"/>
  <c r="U219" i="9"/>
  <c r="U635" i="9"/>
  <c r="T515" i="9"/>
  <c r="V515" i="9"/>
  <c r="S215" i="9"/>
  <c r="U215" i="9"/>
  <c r="U216" i="9"/>
  <c r="S216" i="9"/>
  <c r="S634" i="9"/>
  <c r="T634" i="9" s="1"/>
  <c r="V456" i="9"/>
  <c r="V420" i="9"/>
  <c r="S672" i="9"/>
  <c r="T672" i="9" s="1"/>
  <c r="S291" i="9"/>
  <c r="T291" i="9" s="1"/>
  <c r="S275" i="9"/>
  <c r="T275" i="9" s="1"/>
  <c r="T688" i="9"/>
  <c r="S386" i="9"/>
  <c r="T386" i="9" s="1"/>
  <c r="V278" i="9"/>
  <c r="U292" i="9"/>
  <c r="V656" i="9"/>
  <c r="U240" i="9"/>
  <c r="S602" i="9"/>
  <c r="T602" i="9" s="1"/>
  <c r="S589" i="9"/>
  <c r="T589" i="9" s="1"/>
  <c r="U708" i="9"/>
  <c r="U309" i="9"/>
  <c r="V500" i="9"/>
  <c r="U253" i="9"/>
  <c r="U688" i="9"/>
  <c r="U668" i="9"/>
  <c r="V668" i="9"/>
  <c r="U690" i="9"/>
  <c r="S690" i="9"/>
  <c r="T690" i="9" s="1"/>
  <c r="S206" i="9"/>
  <c r="U746" i="9"/>
  <c r="U702" i="9"/>
  <c r="S689" i="9"/>
  <c r="T689" i="9" s="1"/>
  <c r="S357" i="9"/>
  <c r="T357" i="9" s="1"/>
  <c r="V583" i="9"/>
  <c r="S694" i="9"/>
  <c r="T694" i="9" s="1"/>
  <c r="U230" i="9"/>
  <c r="U642" i="9"/>
  <c r="U612" i="9"/>
  <c r="T636" i="9"/>
  <c r="S385" i="9"/>
  <c r="V385" i="9" s="1"/>
  <c r="S586" i="9"/>
  <c r="V586" i="9" s="1"/>
  <c r="S726" i="9"/>
  <c r="T726" i="9" s="1"/>
  <c r="V483" i="9"/>
  <c r="U762" i="9"/>
  <c r="V556" i="9"/>
  <c r="V525" i="9"/>
  <c r="V307" i="9"/>
  <c r="U721" i="9"/>
  <c r="U347" i="9"/>
  <c r="V488" i="9"/>
  <c r="V416" i="9"/>
  <c r="S229" i="9"/>
  <c r="T229" i="9" s="1"/>
  <c r="S392" i="9"/>
  <c r="V392" i="9" s="1"/>
  <c r="T226" i="9"/>
  <c r="U249" i="9"/>
  <c r="U214" i="9"/>
  <c r="S214" i="9"/>
  <c r="U315" i="9"/>
  <c r="V588" i="9"/>
  <c r="V205" i="9"/>
  <c r="V325" i="9"/>
  <c r="V612" i="9"/>
  <c r="V296" i="9"/>
  <c r="T337" i="9"/>
  <c r="V337" i="9"/>
  <c r="T684" i="9"/>
  <c r="V684" i="9"/>
  <c r="T387" i="9"/>
  <c r="V387" i="9"/>
  <c r="T659" i="9"/>
  <c r="V659" i="9"/>
  <c r="V751" i="9"/>
  <c r="T240" i="9"/>
  <c r="V240" i="9"/>
  <c r="V235" i="9"/>
  <c r="T235" i="9"/>
  <c r="T603" i="9"/>
  <c r="T287" i="9"/>
  <c r="T300" i="9"/>
  <c r="V300" i="9"/>
  <c r="T327" i="9"/>
  <c r="T733" i="9"/>
  <c r="V733" i="9"/>
  <c r="T292" i="9"/>
  <c r="V292" i="9"/>
  <c r="T341" i="9"/>
  <c r="V341" i="9"/>
  <c r="T735" i="9"/>
  <c r="V735" i="9"/>
  <c r="V230" i="9"/>
  <c r="V721" i="9"/>
  <c r="T721" i="9"/>
  <c r="T699" i="9"/>
  <c r="V699" i="9"/>
  <c r="T347" i="9"/>
  <c r="V746" i="9"/>
  <c r="T681" i="9"/>
  <c r="V681" i="9"/>
  <c r="T771" i="9"/>
  <c r="V771" i="9"/>
  <c r="T269" i="9"/>
  <c r="V269" i="9"/>
  <c r="T702" i="9"/>
  <c r="V702" i="9"/>
  <c r="T753" i="9"/>
  <c r="V753" i="9"/>
  <c r="V640" i="9"/>
  <c r="T640" i="9"/>
  <c r="T373" i="9"/>
  <c r="V373" i="9"/>
  <c r="T642" i="9"/>
  <c r="V642" i="9"/>
  <c r="T660" i="9"/>
  <c r="V660" i="9"/>
  <c r="T732" i="9"/>
  <c r="V732" i="9"/>
  <c r="T233" i="9"/>
  <c r="V233" i="9"/>
  <c r="V253" i="9"/>
  <c r="T253" i="9"/>
  <c r="V257" i="9"/>
  <c r="T380" i="9"/>
  <c r="V380" i="9"/>
  <c r="T638" i="9"/>
  <c r="V638" i="9"/>
  <c r="T294" i="9"/>
  <c r="V294" i="9"/>
  <c r="T773" i="9"/>
  <c r="V773" i="9"/>
  <c r="V625" i="9"/>
  <c r="F226" i="42"/>
  <c r="E228" i="42"/>
  <c r="A229" i="42"/>
  <c r="B228" i="42"/>
  <c r="D227" i="42"/>
  <c r="C227" i="42"/>
  <c r="V28" i="9"/>
  <c r="T27" i="9"/>
  <c r="V263" i="9" l="1"/>
  <c r="V621" i="9"/>
  <c r="V708" i="9"/>
  <c r="T567" i="9"/>
  <c r="V567" i="9"/>
  <c r="T353" i="9"/>
  <c r="V295" i="9"/>
  <c r="V618" i="9"/>
  <c r="U328" i="9"/>
  <c r="U736" i="9"/>
  <c r="T722" i="9"/>
  <c r="V306" i="9"/>
  <c r="T390" i="9"/>
  <c r="V334" i="9"/>
  <c r="V646" i="9"/>
  <c r="V352" i="9"/>
  <c r="V370" i="9"/>
  <c r="V758" i="9"/>
  <c r="T304" i="9"/>
  <c r="V204" i="9"/>
  <c r="V324" i="9"/>
  <c r="V250" i="9"/>
  <c r="T595" i="9"/>
  <c r="V239" i="9"/>
  <c r="T342" i="9"/>
  <c r="S711" i="9"/>
  <c r="T711" i="9" s="1"/>
  <c r="V585" i="9"/>
  <c r="S228" i="9"/>
  <c r="T228" i="9" s="1"/>
  <c r="T706" i="9"/>
  <c r="S754" i="9"/>
  <c r="V624" i="9"/>
  <c r="V736" i="9"/>
  <c r="V201" i="9"/>
  <c r="V765" i="9"/>
  <c r="U301" i="9"/>
  <c r="V476" i="9"/>
  <c r="V360" i="9"/>
  <c r="V573" i="9"/>
  <c r="V569" i="9"/>
  <c r="U752" i="9"/>
  <c r="V328" i="9"/>
  <c r="T734" i="9"/>
  <c r="V628" i="9"/>
  <c r="V224" i="9"/>
  <c r="T346" i="9"/>
  <c r="V213" i="9"/>
  <c r="S716" i="9"/>
  <c r="T716" i="9" s="1"/>
  <c r="V661" i="9"/>
  <c r="S265" i="9"/>
  <c r="T265" i="9" s="1"/>
  <c r="V615" i="9"/>
  <c r="S669" i="9"/>
  <c r="T669" i="9" s="1"/>
  <c r="U213" i="9"/>
  <c r="V544" i="9"/>
  <c r="V654" i="9"/>
  <c r="V366" i="9"/>
  <c r="V750" i="9"/>
  <c r="T707" i="9"/>
  <c r="V739" i="9"/>
  <c r="V610" i="9"/>
  <c r="S220" i="9"/>
  <c r="V220" i="9" s="1"/>
  <c r="T538" i="9"/>
  <c r="V604" i="9"/>
  <c r="S330" i="9"/>
  <c r="V330" i="9" s="1"/>
  <c r="V687" i="9"/>
  <c r="T302" i="9"/>
  <c r="T319" i="9"/>
  <c r="S766" i="9"/>
  <c r="V766" i="9" s="1"/>
  <c r="V228" i="9"/>
  <c r="T532" i="9"/>
  <c r="S247" i="9"/>
  <c r="T247" i="9" s="1"/>
  <c r="V729" i="9"/>
  <c r="V303" i="9"/>
  <c r="V361" i="9"/>
  <c r="V340" i="9"/>
  <c r="S209" i="9"/>
  <c r="T209" i="9" s="1"/>
  <c r="V764" i="9"/>
  <c r="V701" i="9"/>
  <c r="T382" i="9"/>
  <c r="V217" i="9"/>
  <c r="V311" i="9"/>
  <c r="V727" i="9"/>
  <c r="T606" i="9"/>
  <c r="U370" i="9"/>
  <c r="T310" i="9"/>
  <c r="V264" i="9"/>
  <c r="T609" i="9"/>
  <c r="S675" i="9"/>
  <c r="T675" i="9" s="1"/>
  <c r="U262" i="9"/>
  <c r="V775" i="9"/>
  <c r="V459" i="9"/>
  <c r="V413" i="9"/>
  <c r="V218" i="9"/>
  <c r="U607" i="9"/>
  <c r="U705" i="9"/>
  <c r="S298" i="9"/>
  <c r="T298" i="9" s="1"/>
  <c r="S231" i="9"/>
  <c r="T231" i="9" s="1"/>
  <c r="V516" i="9"/>
  <c r="S686" i="9"/>
  <c r="V614" i="9"/>
  <c r="S600" i="9"/>
  <c r="T600" i="9" s="1"/>
  <c r="V705" i="9"/>
  <c r="V378" i="9"/>
  <c r="V301" i="9"/>
  <c r="S293" i="9"/>
  <c r="V293" i="9" s="1"/>
  <c r="S645" i="9"/>
  <c r="V645" i="9" s="1"/>
  <c r="S268" i="9"/>
  <c r="T268" i="9" s="1"/>
  <c r="V613" i="9"/>
  <c r="V658" i="9"/>
  <c r="V622" i="9"/>
  <c r="V299" i="9"/>
  <c r="V712" i="9"/>
  <c r="U658" i="9"/>
  <c r="U361" i="9"/>
  <c r="V651" i="9"/>
  <c r="V650" i="9"/>
  <c r="U277" i="9"/>
  <c r="S255" i="9"/>
  <c r="T255" i="9" s="1"/>
  <c r="T577" i="9"/>
  <c r="T274" i="9"/>
  <c r="V270" i="9"/>
  <c r="V507" i="9"/>
  <c r="U202" i="9"/>
  <c r="V626" i="9"/>
  <c r="S322" i="9"/>
  <c r="T322" i="9" s="1"/>
  <c r="S284" i="9"/>
  <c r="T284" i="9" s="1"/>
  <c r="U614" i="9"/>
  <c r="S744" i="9"/>
  <c r="T744" i="9" s="1"/>
  <c r="V652" i="9"/>
  <c r="S697" i="9"/>
  <c r="T697" i="9" s="1"/>
  <c r="V371" i="9"/>
  <c r="V767" i="9"/>
  <c r="V653" i="9"/>
  <c r="U653" i="9"/>
  <c r="V754" i="9"/>
  <c r="U729" i="9"/>
  <c r="U764" i="9"/>
  <c r="V714" i="9"/>
  <c r="V429" i="9"/>
  <c r="T429" i="9"/>
  <c r="U594" i="9"/>
  <c r="V403" i="9"/>
  <c r="S590" i="9"/>
  <c r="U590" i="9"/>
  <c r="V491" i="9"/>
  <c r="S741" i="9"/>
  <c r="T741" i="9" s="1"/>
  <c r="T572" i="9"/>
  <c r="V572" i="9"/>
  <c r="U768" i="9"/>
  <c r="S768" i="9"/>
  <c r="V719" i="9"/>
  <c r="S737" i="9"/>
  <c r="T737" i="9" s="1"/>
  <c r="T557" i="9"/>
  <c r="V557" i="9"/>
  <c r="S770" i="9"/>
  <c r="U770" i="9"/>
  <c r="U323" i="9"/>
  <c r="S323" i="9"/>
  <c r="V713" i="9"/>
  <c r="U308" i="9"/>
  <c r="S363" i="9"/>
  <c r="V363" i="9" s="1"/>
  <c r="V272" i="9"/>
  <c r="U730" i="9"/>
  <c r="U270" i="9"/>
  <c r="S664" i="9"/>
  <c r="T664" i="9" s="1"/>
  <c r="U644" i="9"/>
  <c r="U703" i="9"/>
  <c r="V594" i="9"/>
  <c r="V308" i="9"/>
  <c r="T627" i="9"/>
  <c r="T776" i="9"/>
  <c r="V607" i="9"/>
  <c r="U272" i="9"/>
  <c r="S297" i="9"/>
  <c r="T297" i="9" s="1"/>
  <c r="V277" i="9"/>
  <c r="V703" i="9"/>
  <c r="S637" i="9"/>
  <c r="T637" i="9" s="1"/>
  <c r="U698" i="9"/>
  <c r="S698" i="9"/>
  <c r="S349" i="9"/>
  <c r="V349" i="9" s="1"/>
  <c r="U388" i="9"/>
  <c r="V388" i="9"/>
  <c r="V471" i="9"/>
  <c r="V335" i="9"/>
  <c r="U335" i="9"/>
  <c r="U208" i="9"/>
  <c r="S329" i="9"/>
  <c r="T329" i="9" s="1"/>
  <c r="S375" i="9"/>
  <c r="T375" i="9" s="1"/>
  <c r="S596" i="9"/>
  <c r="T596" i="9" s="1"/>
  <c r="V548" i="9"/>
  <c r="T548" i="9"/>
  <c r="V678" i="9"/>
  <c r="S605" i="9"/>
  <c r="T605" i="9" s="1"/>
  <c r="V288" i="9"/>
  <c r="V262" i="9"/>
  <c r="T641" i="9"/>
  <c r="S281" i="9"/>
  <c r="T281" i="9" s="1"/>
  <c r="V551" i="9"/>
  <c r="U320" i="9"/>
  <c r="V320" i="9"/>
  <c r="V704" i="9"/>
  <c r="U704" i="9"/>
  <c r="U371" i="9"/>
  <c r="U763" i="9"/>
  <c r="S763" i="9"/>
  <c r="U210" i="9"/>
  <c r="S210" i="9"/>
  <c r="V208" i="9"/>
  <c r="T644" i="9"/>
  <c r="V644" i="9"/>
  <c r="S666" i="9"/>
  <c r="U666" i="9"/>
  <c r="S339" i="9"/>
  <c r="U339" i="9"/>
  <c r="S332" i="9"/>
  <c r="U332" i="9"/>
  <c r="U317" i="9"/>
  <c r="S317" i="9"/>
  <c r="S725" i="9"/>
  <c r="U725" i="9"/>
  <c r="V282" i="9"/>
  <c r="S769" i="9"/>
  <c r="T769" i="9" s="1"/>
  <c r="U282" i="9"/>
  <c r="V608" i="9"/>
  <c r="V601" i="9"/>
  <c r="T673" i="9"/>
  <c r="V271" i="9"/>
  <c r="V367" i="9"/>
  <c r="V350" i="9"/>
  <c r="V663" i="9"/>
  <c r="U367" i="9"/>
  <c r="U663" i="9"/>
  <c r="U608" i="9"/>
  <c r="U276" i="9"/>
  <c r="S276" i="9"/>
  <c r="V490" i="9"/>
  <c r="S248" i="9"/>
  <c r="U248" i="9"/>
  <c r="S314" i="9"/>
  <c r="T314" i="9" s="1"/>
  <c r="U314" i="9"/>
  <c r="V283" i="9"/>
  <c r="S273" i="9"/>
  <c r="U273" i="9"/>
  <c r="S632" i="9"/>
  <c r="U632" i="9"/>
  <c r="T263" i="9"/>
  <c r="V740" i="9"/>
  <c r="V685" i="9"/>
  <c r="V238" i="9"/>
  <c r="V356" i="9"/>
  <c r="V260" i="9"/>
  <c r="S245" i="9"/>
  <c r="T245" i="9" s="1"/>
  <c r="V261" i="9"/>
  <c r="U647" i="9"/>
  <c r="V724" i="9"/>
  <c r="V742" i="9"/>
  <c r="V479" i="9"/>
  <c r="V647" i="9"/>
  <c r="S222" i="9"/>
  <c r="T222" i="9" s="1"/>
  <c r="V333" i="9"/>
  <c r="U759" i="9"/>
  <c r="S623" i="9"/>
  <c r="T623" i="9" s="1"/>
  <c r="V759" i="9"/>
  <c r="S237" i="9"/>
  <c r="S674" i="9"/>
  <c r="U674" i="9"/>
  <c r="U695" i="9"/>
  <c r="S695" i="9"/>
  <c r="S285" i="9"/>
  <c r="U285" i="9"/>
  <c r="T394" i="9"/>
  <c r="V394" i="9"/>
  <c r="T442" i="9"/>
  <c r="V442" i="9"/>
  <c r="U611" i="9"/>
  <c r="S611" i="9"/>
  <c r="S643" i="9"/>
  <c r="U643" i="9"/>
  <c r="V318" i="9"/>
  <c r="V662" i="9"/>
  <c r="V485" i="9"/>
  <c r="V629" i="9"/>
  <c r="V236" i="9"/>
  <c r="V682" i="9"/>
  <c r="U364" i="9"/>
  <c r="V723" i="9"/>
  <c r="V221" i="9"/>
  <c r="V709" i="9"/>
  <c r="V252" i="9"/>
  <c r="V364" i="9"/>
  <c r="U749" i="9"/>
  <c r="S761" i="9"/>
  <c r="T761" i="9" s="1"/>
  <c r="V749" i="9"/>
  <c r="V351" i="9"/>
  <c r="T351" i="9"/>
  <c r="V683" i="9"/>
  <c r="V305" i="9"/>
  <c r="V289" i="9"/>
  <c r="T696" i="9"/>
  <c r="V251" i="9"/>
  <c r="T223" i="9"/>
  <c r="T766" i="9"/>
  <c r="V291" i="9"/>
  <c r="V667" i="9"/>
  <c r="V634" i="9"/>
  <c r="T374" i="9"/>
  <c r="V386" i="9"/>
  <c r="V745" i="9"/>
  <c r="V631" i="9"/>
  <c r="V275" i="9"/>
  <c r="T738" i="9"/>
  <c r="V738" i="9"/>
  <c r="T216" i="9"/>
  <c r="V216" i="9"/>
  <c r="T730" i="9"/>
  <c r="V730" i="9"/>
  <c r="T650" i="9"/>
  <c r="V757" i="9"/>
  <c r="V362" i="9"/>
  <c r="T215" i="9"/>
  <c r="V215" i="9"/>
  <c r="T774" i="9"/>
  <c r="V774" i="9"/>
  <c r="V672" i="9"/>
  <c r="V602" i="9"/>
  <c r="V589" i="9"/>
  <c r="V690" i="9"/>
  <c r="V689" i="9"/>
  <c r="T206" i="9"/>
  <c r="V206" i="9"/>
  <c r="V357" i="9"/>
  <c r="V694" i="9"/>
  <c r="T385" i="9"/>
  <c r="T586" i="9"/>
  <c r="T392" i="9"/>
  <c r="V726" i="9"/>
  <c r="T754" i="9"/>
  <c r="V229" i="9"/>
  <c r="T214" i="9"/>
  <c r="V214" i="9"/>
  <c r="F227" i="42"/>
  <c r="E229" i="42"/>
  <c r="A230" i="42"/>
  <c r="B229" i="42"/>
  <c r="D228" i="42"/>
  <c r="C228" i="42"/>
  <c r="V29" i="9"/>
  <c r="T28" i="9"/>
  <c r="V711" i="9" l="1"/>
  <c r="V247" i="9"/>
  <c r="V716" i="9"/>
  <c r="V737" i="9"/>
  <c r="T330" i="9"/>
  <c r="T220" i="9"/>
  <c r="V265" i="9"/>
  <c r="V284" i="9"/>
  <c r="V268" i="9"/>
  <c r="V600" i="9"/>
  <c r="V298" i="9"/>
  <c r="V669" i="9"/>
  <c r="V675" i="9"/>
  <c r="V209" i="9"/>
  <c r="T645" i="9"/>
  <c r="V297" i="9"/>
  <c r="V697" i="9"/>
  <c r="V255" i="9"/>
  <c r="T349" i="9"/>
  <c r="T293" i="9"/>
  <c r="V231" i="9"/>
  <c r="V744" i="9"/>
  <c r="T686" i="9"/>
  <c r="V686" i="9"/>
  <c r="V322" i="9"/>
  <c r="V605" i="9"/>
  <c r="V281" i="9"/>
  <c r="V596" i="9"/>
  <c r="V741" i="9"/>
  <c r="T590" i="9"/>
  <c r="V590" i="9"/>
  <c r="V375" i="9"/>
  <c r="V664" i="9"/>
  <c r="V770" i="9"/>
  <c r="T770" i="9"/>
  <c r="T323" i="9"/>
  <c r="V323" i="9"/>
  <c r="T768" i="9"/>
  <c r="V768" i="9"/>
  <c r="T363" i="9"/>
  <c r="V637" i="9"/>
  <c r="T763" i="9"/>
  <c r="V763" i="9"/>
  <c r="T698" i="9"/>
  <c r="V698" i="9"/>
  <c r="T210" i="9"/>
  <c r="V210" i="9"/>
  <c r="V329" i="9"/>
  <c r="T332" i="9"/>
  <c r="V332" i="9"/>
  <c r="T666" i="9"/>
  <c r="V666" i="9"/>
  <c r="T317" i="9"/>
  <c r="V317" i="9"/>
  <c r="T339" i="9"/>
  <c r="V339" i="9"/>
  <c r="T725" i="9"/>
  <c r="V725" i="9"/>
  <c r="V769" i="9"/>
  <c r="T276" i="9"/>
  <c r="V276" i="9"/>
  <c r="T248" i="9"/>
  <c r="V248" i="9"/>
  <c r="V314" i="9"/>
  <c r="T632" i="9"/>
  <c r="V632" i="9"/>
  <c r="T273" i="9"/>
  <c r="V273" i="9"/>
  <c r="V222" i="9"/>
  <c r="V245" i="9"/>
  <c r="V623" i="9"/>
  <c r="T237" i="9"/>
  <c r="V237" i="9"/>
  <c r="T674" i="9"/>
  <c r="V674" i="9"/>
  <c r="T285" i="9"/>
  <c r="V285" i="9"/>
  <c r="V695" i="9"/>
  <c r="T695" i="9"/>
  <c r="T643" i="9"/>
  <c r="V643" i="9"/>
  <c r="V611" i="9"/>
  <c r="T611" i="9"/>
  <c r="V761" i="9"/>
  <c r="F228" i="42"/>
  <c r="E230" i="42"/>
  <c r="A231" i="42"/>
  <c r="B230" i="42"/>
  <c r="D229" i="42"/>
  <c r="C229" i="42"/>
  <c r="V30" i="9"/>
  <c r="T29" i="9"/>
  <c r="D230" i="42" l="1"/>
  <c r="C230" i="42"/>
  <c r="E231" i="42"/>
  <c r="A232" i="42"/>
  <c r="B231" i="42"/>
  <c r="F229" i="42"/>
  <c r="T30" i="9"/>
  <c r="V31" i="9"/>
  <c r="F230" i="42" l="1"/>
  <c r="E232" i="42"/>
  <c r="B232" i="42"/>
  <c r="A233" i="42"/>
  <c r="D231" i="42"/>
  <c r="C231" i="42"/>
  <c r="T31" i="9"/>
  <c r="V32" i="9"/>
  <c r="F231" i="42" l="1"/>
  <c r="D232" i="42"/>
  <c r="C232" i="42"/>
  <c r="E233" i="42"/>
  <c r="A234" i="42"/>
  <c r="B233" i="42"/>
  <c r="V33" i="9"/>
  <c r="T32" i="9"/>
  <c r="F232" i="42" l="1"/>
  <c r="E234" i="42"/>
  <c r="A235" i="42"/>
  <c r="B234" i="42"/>
  <c r="D233" i="42"/>
  <c r="C233" i="42"/>
  <c r="V34" i="9"/>
  <c r="T33" i="9"/>
  <c r="F233" i="42" l="1"/>
  <c r="E235" i="42"/>
  <c r="A236" i="42"/>
  <c r="B235" i="42"/>
  <c r="D234" i="42"/>
  <c r="C234" i="42"/>
  <c r="T34" i="9"/>
  <c r="V35" i="9"/>
  <c r="F234" i="42" l="1"/>
  <c r="E236" i="42"/>
  <c r="A237" i="42"/>
  <c r="B236" i="42"/>
  <c r="D235" i="42"/>
  <c r="C235" i="42"/>
  <c r="V36" i="9"/>
  <c r="T35" i="9"/>
  <c r="F235" i="42" l="1"/>
  <c r="E237" i="42"/>
  <c r="A238" i="42"/>
  <c r="B237" i="42"/>
  <c r="D236" i="42"/>
  <c r="C236" i="42"/>
  <c r="T36" i="9"/>
  <c r="V37" i="9"/>
  <c r="F236" i="42" l="1"/>
  <c r="E238" i="42"/>
  <c r="A239" i="42"/>
  <c r="B238" i="42"/>
  <c r="D237" i="42"/>
  <c r="C237" i="42"/>
  <c r="T37" i="9"/>
  <c r="V38" i="9"/>
  <c r="F237" i="42" l="1"/>
  <c r="E239" i="42"/>
  <c r="A240" i="42"/>
  <c r="B239" i="42"/>
  <c r="D238" i="42"/>
  <c r="C238" i="42"/>
  <c r="V39" i="9"/>
  <c r="T38" i="9"/>
  <c r="F238" i="42" l="1"/>
  <c r="E240" i="42"/>
  <c r="B240" i="42"/>
  <c r="A241" i="42"/>
  <c r="D239" i="42"/>
  <c r="C239" i="42"/>
  <c r="T39" i="9"/>
  <c r="V40" i="9"/>
  <c r="F239" i="42" l="1"/>
  <c r="D240" i="42"/>
  <c r="C240" i="42"/>
  <c r="E241" i="42"/>
  <c r="A242" i="42"/>
  <c r="B241" i="42"/>
  <c r="T40" i="9"/>
  <c r="V41" i="9"/>
  <c r="F240" i="42" l="1"/>
  <c r="E242" i="42"/>
  <c r="A243" i="42"/>
  <c r="B242" i="42"/>
  <c r="D241" i="42"/>
  <c r="C241" i="42"/>
  <c r="V42" i="9"/>
  <c r="T41" i="9"/>
  <c r="F241" i="42" l="1"/>
  <c r="E243" i="42"/>
  <c r="A244" i="42"/>
  <c r="B243" i="42"/>
  <c r="D242" i="42"/>
  <c r="C242" i="42"/>
  <c r="V43" i="9"/>
  <c r="T42" i="9"/>
  <c r="F242" i="42" l="1"/>
  <c r="E244" i="42"/>
  <c r="A245" i="42"/>
  <c r="B244" i="42"/>
  <c r="D243" i="42"/>
  <c r="C243" i="42"/>
  <c r="T43" i="9"/>
  <c r="V44" i="9"/>
  <c r="F243" i="42" l="1"/>
  <c r="E245" i="42"/>
  <c r="A246" i="42"/>
  <c r="B245" i="42"/>
  <c r="D244" i="42"/>
  <c r="C244" i="42"/>
  <c r="T44" i="9"/>
  <c r="V45" i="9"/>
  <c r="F244" i="42" l="1"/>
  <c r="E246" i="42"/>
  <c r="A247" i="42"/>
  <c r="B246" i="42"/>
  <c r="D245" i="42"/>
  <c r="C245" i="42"/>
  <c r="V46" i="9"/>
  <c r="T45" i="9"/>
  <c r="F245" i="42" l="1"/>
  <c r="E247" i="42"/>
  <c r="A248" i="42"/>
  <c r="B247" i="42"/>
  <c r="D246" i="42"/>
  <c r="C246" i="42"/>
  <c r="T46" i="9"/>
  <c r="V47" i="9"/>
  <c r="F246" i="42" l="1"/>
  <c r="E248" i="42"/>
  <c r="A249" i="42"/>
  <c r="B248" i="42"/>
  <c r="D247" i="42"/>
  <c r="C247" i="42"/>
  <c r="V48" i="9"/>
  <c r="T47" i="9"/>
  <c r="F247" i="42" l="1"/>
  <c r="E249" i="42"/>
  <c r="A250" i="42"/>
  <c r="B249" i="42"/>
  <c r="D248" i="42"/>
  <c r="C248" i="42"/>
  <c r="V49" i="9"/>
  <c r="T48" i="9"/>
  <c r="F248" i="42" l="1"/>
  <c r="E250" i="42"/>
  <c r="A251" i="42"/>
  <c r="B250" i="42"/>
  <c r="D249" i="42"/>
  <c r="C249" i="42"/>
  <c r="V50" i="9"/>
  <c r="T49" i="9"/>
  <c r="F249" i="42" l="1"/>
  <c r="E251" i="42"/>
  <c r="A252" i="42"/>
  <c r="B251" i="42"/>
  <c r="D250" i="42"/>
  <c r="C250" i="42"/>
  <c r="T50" i="9"/>
  <c r="V51" i="9"/>
  <c r="F250" i="42" l="1"/>
  <c r="E252" i="42"/>
  <c r="A253" i="42"/>
  <c r="B252" i="42"/>
  <c r="D251" i="42"/>
  <c r="C251" i="42"/>
  <c r="T51" i="9"/>
  <c r="V52" i="9"/>
  <c r="F251" i="42" l="1"/>
  <c r="E253" i="42"/>
  <c r="A254" i="42"/>
  <c r="B253" i="42"/>
  <c r="D252" i="42"/>
  <c r="C252" i="42"/>
  <c r="T52" i="9"/>
  <c r="V53" i="9"/>
  <c r="F252" i="42" l="1"/>
  <c r="E254" i="42"/>
  <c r="A255" i="42"/>
  <c r="B254" i="42"/>
  <c r="D253" i="42"/>
  <c r="C253" i="42"/>
  <c r="T53" i="9"/>
  <c r="V54" i="9"/>
  <c r="F253" i="42" l="1"/>
  <c r="E255" i="42"/>
  <c r="A256" i="42"/>
  <c r="B255" i="42"/>
  <c r="D254" i="42"/>
  <c r="C254" i="42"/>
  <c r="T54" i="9"/>
  <c r="V55" i="9"/>
  <c r="F254" i="42" l="1"/>
  <c r="E256" i="42"/>
  <c r="A257" i="42"/>
  <c r="B256" i="42"/>
  <c r="D255" i="42"/>
  <c r="C255" i="42"/>
  <c r="T55" i="9"/>
  <c r="V56" i="9"/>
  <c r="F255" i="42" l="1"/>
  <c r="E257" i="42"/>
  <c r="A258" i="42"/>
  <c r="B257" i="42"/>
  <c r="D256" i="42"/>
  <c r="C256" i="42"/>
  <c r="T56" i="9"/>
  <c r="V57" i="9"/>
  <c r="F256" i="42" l="1"/>
  <c r="D257" i="42"/>
  <c r="C257" i="42"/>
  <c r="E258" i="42"/>
  <c r="A259" i="42"/>
  <c r="B258" i="42"/>
  <c r="V58" i="9"/>
  <c r="T57" i="9"/>
  <c r="F257" i="42" l="1"/>
  <c r="E259" i="42"/>
  <c r="A260" i="42"/>
  <c r="B259" i="42"/>
  <c r="D258" i="42"/>
  <c r="C258" i="42"/>
  <c r="V59" i="9"/>
  <c r="T58" i="9"/>
  <c r="F258" i="42" l="1"/>
  <c r="D259" i="42"/>
  <c r="C259" i="42"/>
  <c r="E260" i="42"/>
  <c r="A261" i="42"/>
  <c r="B260" i="42"/>
  <c r="V60" i="9"/>
  <c r="T59" i="9"/>
  <c r="F259" i="42" l="1"/>
  <c r="E261" i="42"/>
  <c r="A262" i="42"/>
  <c r="B261" i="42"/>
  <c r="D260" i="42"/>
  <c r="C260" i="42"/>
  <c r="V61" i="9"/>
  <c r="T60" i="9"/>
  <c r="F260" i="42" l="1"/>
  <c r="E262" i="42"/>
  <c r="A263" i="42"/>
  <c r="B262" i="42"/>
  <c r="D261" i="42"/>
  <c r="C261" i="42"/>
  <c r="V62" i="9"/>
  <c r="T61" i="9"/>
  <c r="F261" i="42" l="1"/>
  <c r="D262" i="42"/>
  <c r="C262" i="42"/>
  <c r="E263" i="42"/>
  <c r="A264" i="42"/>
  <c r="B263" i="42"/>
  <c r="T62" i="9"/>
  <c r="V63" i="9"/>
  <c r="F262" i="42" l="1"/>
  <c r="E264" i="42"/>
  <c r="A265" i="42"/>
  <c r="B264" i="42"/>
  <c r="D263" i="42"/>
  <c r="C263" i="42"/>
  <c r="T63" i="9"/>
  <c r="V64" i="9"/>
  <c r="F263" i="42" l="1"/>
  <c r="D264" i="42"/>
  <c r="C264" i="42"/>
  <c r="E265" i="42"/>
  <c r="A266" i="42"/>
  <c r="B265" i="42"/>
  <c r="V65" i="9"/>
  <c r="T64" i="9"/>
  <c r="F264" i="42" l="1"/>
  <c r="E266" i="42"/>
  <c r="A267" i="42"/>
  <c r="B266" i="42"/>
  <c r="D265" i="42"/>
  <c r="C265" i="42"/>
  <c r="V66" i="9"/>
  <c r="T65" i="9"/>
  <c r="F265" i="42" l="1"/>
  <c r="D266" i="42"/>
  <c r="C266" i="42"/>
  <c r="E267" i="42"/>
  <c r="A268" i="42"/>
  <c r="B267" i="42"/>
  <c r="V67" i="9"/>
  <c r="T66" i="9"/>
  <c r="F266" i="42" l="1"/>
  <c r="E268" i="42"/>
  <c r="A269" i="42"/>
  <c r="B268" i="42"/>
  <c r="D267" i="42"/>
  <c r="C267" i="42"/>
  <c r="V68" i="9"/>
  <c r="T67" i="9"/>
  <c r="F267" i="42" l="1"/>
  <c r="D268" i="42"/>
  <c r="C268" i="42"/>
  <c r="E269" i="42"/>
  <c r="A270" i="42"/>
  <c r="B269" i="42"/>
  <c r="V69" i="9"/>
  <c r="T68" i="9"/>
  <c r="F268" i="42" l="1"/>
  <c r="E270" i="42"/>
  <c r="A271" i="42"/>
  <c r="B270" i="42"/>
  <c r="D269" i="42"/>
  <c r="C269" i="42"/>
  <c r="V70" i="9"/>
  <c r="T69" i="9"/>
  <c r="F269" i="42" l="1"/>
  <c r="D270" i="42"/>
  <c r="C270" i="42"/>
  <c r="E271" i="42"/>
  <c r="A272" i="42"/>
  <c r="B271" i="42"/>
  <c r="V71" i="9"/>
  <c r="T70" i="9"/>
  <c r="F270" i="42" l="1"/>
  <c r="E272" i="42"/>
  <c r="A273" i="42"/>
  <c r="B272" i="42"/>
  <c r="D271" i="42"/>
  <c r="C271" i="42"/>
  <c r="V72" i="9"/>
  <c r="T71" i="9"/>
  <c r="F271" i="42" l="1"/>
  <c r="D272" i="42"/>
  <c r="C272" i="42"/>
  <c r="E273" i="42"/>
  <c r="A274" i="42"/>
  <c r="B273" i="42"/>
  <c r="V73" i="9"/>
  <c r="T72" i="9"/>
  <c r="F272" i="42" l="1"/>
  <c r="E274" i="42"/>
  <c r="A275" i="42"/>
  <c r="B274" i="42"/>
  <c r="D273" i="42"/>
  <c r="C273" i="42"/>
  <c r="V74" i="9"/>
  <c r="T73" i="9"/>
  <c r="F273" i="42" l="1"/>
  <c r="D274" i="42"/>
  <c r="C274" i="42"/>
  <c r="E275" i="42"/>
  <c r="A276" i="42"/>
  <c r="B275" i="42"/>
  <c r="V75" i="9"/>
  <c r="T74" i="9"/>
  <c r="F274" i="42" l="1"/>
  <c r="E276" i="42"/>
  <c r="A277" i="42"/>
  <c r="B276" i="42"/>
  <c r="D275" i="42"/>
  <c r="C275" i="42"/>
  <c r="V76" i="9"/>
  <c r="T75" i="9"/>
  <c r="F275" i="42" l="1"/>
  <c r="D276" i="42"/>
  <c r="C276" i="42"/>
  <c r="E277" i="42"/>
  <c r="A278" i="42"/>
  <c r="B277" i="42"/>
  <c r="V77" i="9"/>
  <c r="T76" i="9"/>
  <c r="F276" i="42" l="1"/>
  <c r="E278" i="42"/>
  <c r="A279" i="42"/>
  <c r="B278" i="42"/>
  <c r="D277" i="42"/>
  <c r="C277" i="42"/>
  <c r="V78" i="9"/>
  <c r="T77" i="9"/>
  <c r="F277" i="42" l="1"/>
  <c r="D278" i="42"/>
  <c r="C278" i="42"/>
  <c r="E279" i="42"/>
  <c r="A280" i="42"/>
  <c r="B279" i="42"/>
  <c r="V79" i="9"/>
  <c r="T78" i="9"/>
  <c r="F278" i="42" l="1"/>
  <c r="E280" i="42"/>
  <c r="A281" i="42"/>
  <c r="B280" i="42"/>
  <c r="D279" i="42"/>
  <c r="C279" i="42"/>
  <c r="V80" i="9"/>
  <c r="T79" i="9"/>
  <c r="F279" i="42" l="1"/>
  <c r="D280" i="42"/>
  <c r="C280" i="42"/>
  <c r="E281" i="42"/>
  <c r="A282" i="42"/>
  <c r="B281" i="42"/>
  <c r="V81" i="9"/>
  <c r="T80" i="9"/>
  <c r="F280" i="42" l="1"/>
  <c r="E282" i="42"/>
  <c r="A283" i="42"/>
  <c r="B282" i="42"/>
  <c r="D281" i="42"/>
  <c r="C281" i="42"/>
  <c r="V82" i="9"/>
  <c r="T81" i="9"/>
  <c r="F281" i="42" l="1"/>
  <c r="D282" i="42"/>
  <c r="C282" i="42"/>
  <c r="E283" i="42"/>
  <c r="A284" i="42"/>
  <c r="B283" i="42"/>
  <c r="T82" i="9"/>
  <c r="V83" i="9"/>
  <c r="F282" i="42" l="1"/>
  <c r="E284" i="42"/>
  <c r="A285" i="42"/>
  <c r="B284" i="42"/>
  <c r="D283" i="42"/>
  <c r="C283" i="42"/>
  <c r="V84" i="9"/>
  <c r="T83" i="9"/>
  <c r="F283" i="42" l="1"/>
  <c r="D284" i="42"/>
  <c r="C284" i="42"/>
  <c r="E285" i="42"/>
  <c r="A286" i="42"/>
  <c r="B285" i="42"/>
  <c r="V85" i="9"/>
  <c r="T84" i="9"/>
  <c r="F284" i="42" l="1"/>
  <c r="E286" i="42"/>
  <c r="A287" i="42"/>
  <c r="B286" i="42"/>
  <c r="D285" i="42"/>
  <c r="C285" i="42"/>
  <c r="V86" i="9"/>
  <c r="T85" i="9"/>
  <c r="F285" i="42" l="1"/>
  <c r="D286" i="42"/>
  <c r="C286" i="42"/>
  <c r="E287" i="42"/>
  <c r="A288" i="42"/>
  <c r="B287" i="42"/>
  <c r="V87" i="9"/>
  <c r="T86" i="9"/>
  <c r="F286" i="42" l="1"/>
  <c r="E288" i="42"/>
  <c r="A289" i="42"/>
  <c r="B288" i="42"/>
  <c r="D287" i="42"/>
  <c r="C287" i="42"/>
  <c r="V88" i="9"/>
  <c r="T87" i="9"/>
  <c r="F287" i="42" l="1"/>
  <c r="D288" i="42"/>
  <c r="C288" i="42"/>
  <c r="E289" i="42"/>
  <c r="A290" i="42"/>
  <c r="B289" i="42"/>
  <c r="V89" i="9"/>
  <c r="T88" i="9"/>
  <c r="F288" i="42" l="1"/>
  <c r="D289" i="42"/>
  <c r="C289" i="42"/>
  <c r="E290" i="42"/>
  <c r="A291" i="42"/>
  <c r="B290" i="42"/>
  <c r="V90" i="9"/>
  <c r="T89" i="9"/>
  <c r="F289" i="42" l="1"/>
  <c r="E291" i="42"/>
  <c r="A292" i="42"/>
  <c r="B291" i="42"/>
  <c r="D290" i="42"/>
  <c r="C290" i="42"/>
  <c r="V91" i="9"/>
  <c r="T90" i="9"/>
  <c r="F290" i="42" l="1"/>
  <c r="D291" i="42"/>
  <c r="C291" i="42"/>
  <c r="E292" i="42"/>
  <c r="A293" i="42"/>
  <c r="B292" i="42"/>
  <c r="V92" i="9"/>
  <c r="T91" i="9"/>
  <c r="F291" i="42" l="1"/>
  <c r="E293" i="42"/>
  <c r="A294" i="42"/>
  <c r="B293" i="42"/>
  <c r="D292" i="42"/>
  <c r="C292" i="42"/>
  <c r="V93" i="9"/>
  <c r="T92" i="9"/>
  <c r="F292" i="42" l="1"/>
  <c r="D293" i="42"/>
  <c r="C293" i="42"/>
  <c r="E294" i="42"/>
  <c r="A295" i="42"/>
  <c r="B294" i="42"/>
  <c r="T93" i="9"/>
  <c r="V94" i="9"/>
  <c r="F293" i="42" l="1"/>
  <c r="E295" i="42"/>
  <c r="A296" i="42"/>
  <c r="B295" i="42"/>
  <c r="D294" i="42"/>
  <c r="C294" i="42"/>
  <c r="T94" i="9"/>
  <c r="V95" i="9"/>
  <c r="F294" i="42" l="1"/>
  <c r="D295" i="42"/>
  <c r="C295" i="42"/>
  <c r="E296" i="42"/>
  <c r="A297" i="42"/>
  <c r="B296" i="42"/>
  <c r="T95" i="9"/>
  <c r="V96" i="9"/>
  <c r="F295" i="42" l="1"/>
  <c r="E297" i="42"/>
  <c r="A298" i="42"/>
  <c r="B297" i="42"/>
  <c r="D296" i="42"/>
  <c r="C296" i="42"/>
  <c r="T96" i="9"/>
  <c r="V97" i="9"/>
  <c r="F296" i="42" l="1"/>
  <c r="D297" i="42"/>
  <c r="C297" i="42"/>
  <c r="E298" i="42"/>
  <c r="A299" i="42"/>
  <c r="B298" i="42"/>
  <c r="T97" i="9"/>
  <c r="V98" i="9"/>
  <c r="F297" i="42" l="1"/>
  <c r="E299" i="42"/>
  <c r="A300" i="42"/>
  <c r="B299" i="42"/>
  <c r="D298" i="42"/>
  <c r="C298" i="42"/>
  <c r="T98" i="9"/>
  <c r="V99" i="9"/>
  <c r="F298" i="42" l="1"/>
  <c r="D299" i="42"/>
  <c r="C299" i="42"/>
  <c r="E300" i="42"/>
  <c r="A301" i="42"/>
  <c r="B300" i="42"/>
  <c r="T99" i="9"/>
  <c r="V100" i="9"/>
  <c r="F299" i="42" l="1"/>
  <c r="E301" i="42"/>
  <c r="A302" i="42"/>
  <c r="B301" i="42"/>
  <c r="D300" i="42"/>
  <c r="C300" i="42"/>
  <c r="T100" i="9"/>
  <c r="V101" i="9"/>
  <c r="F300" i="42" l="1"/>
  <c r="D301" i="42"/>
  <c r="C301" i="42"/>
  <c r="E302" i="42"/>
  <c r="A303" i="42"/>
  <c r="B302" i="42"/>
  <c r="T101" i="9"/>
  <c r="V102" i="9"/>
  <c r="F301" i="42" l="1"/>
  <c r="E303" i="42"/>
  <c r="A304" i="42"/>
  <c r="B303" i="42"/>
  <c r="D302" i="42"/>
  <c r="C302" i="42"/>
  <c r="T102" i="9"/>
  <c r="V103" i="9"/>
  <c r="F302" i="42" l="1"/>
  <c r="D303" i="42"/>
  <c r="C303" i="42"/>
  <c r="E304" i="42"/>
  <c r="A305" i="42"/>
  <c r="B304" i="42"/>
  <c r="T103" i="9"/>
  <c r="V104" i="9"/>
  <c r="F303" i="42" l="1"/>
  <c r="E305" i="42"/>
  <c r="A306" i="42"/>
  <c r="B305" i="42"/>
  <c r="D304" i="42"/>
  <c r="C304" i="42"/>
  <c r="T104" i="9"/>
  <c r="V105" i="9"/>
  <c r="F304" i="42" l="1"/>
  <c r="D305" i="42"/>
  <c r="C305" i="42"/>
  <c r="E306" i="42"/>
  <c r="A307" i="42"/>
  <c r="B306" i="42"/>
  <c r="T105" i="9"/>
  <c r="V106" i="9"/>
  <c r="F305" i="42" l="1"/>
  <c r="E307" i="42"/>
  <c r="A308" i="42"/>
  <c r="B307" i="42"/>
  <c r="D306" i="42"/>
  <c r="C306" i="42"/>
  <c r="T106" i="9"/>
  <c r="V107" i="9"/>
  <c r="F306" i="42" l="1"/>
  <c r="D307" i="42"/>
  <c r="C307" i="42"/>
  <c r="E308" i="42"/>
  <c r="A309" i="42"/>
  <c r="B308" i="42"/>
  <c r="T107" i="9"/>
  <c r="V108" i="9"/>
  <c r="F307" i="42" l="1"/>
  <c r="E309" i="42"/>
  <c r="B309" i="42"/>
  <c r="A310" i="42"/>
  <c r="D308" i="42"/>
  <c r="C308" i="42"/>
  <c r="T108" i="9"/>
  <c r="V109" i="9"/>
  <c r="F308" i="42" l="1"/>
  <c r="E310" i="42"/>
  <c r="A311" i="42"/>
  <c r="B310" i="42"/>
  <c r="D309" i="42"/>
  <c r="C309" i="42"/>
  <c r="T109" i="9"/>
  <c r="V110" i="9"/>
  <c r="F309" i="42" l="1"/>
  <c r="D310" i="42"/>
  <c r="C310" i="42"/>
  <c r="E311" i="42"/>
  <c r="A312" i="42"/>
  <c r="B311" i="42"/>
  <c r="T110" i="9"/>
  <c r="V111" i="9"/>
  <c r="F310" i="42" l="1"/>
  <c r="E312" i="42"/>
  <c r="A313" i="42"/>
  <c r="B312" i="42"/>
  <c r="D311" i="42"/>
  <c r="C311" i="42"/>
  <c r="T111" i="9"/>
  <c r="V112" i="9"/>
  <c r="F311" i="42" l="1"/>
  <c r="D312" i="42"/>
  <c r="C312" i="42"/>
  <c r="E313" i="42"/>
  <c r="A314" i="42"/>
  <c r="B313" i="42"/>
  <c r="T112" i="9"/>
  <c r="V113" i="9"/>
  <c r="F312" i="42" l="1"/>
  <c r="E314" i="42"/>
  <c r="A315" i="42"/>
  <c r="B314" i="42"/>
  <c r="D313" i="42"/>
  <c r="C313" i="42"/>
  <c r="T113" i="9"/>
  <c r="V114" i="9"/>
  <c r="F313" i="42" l="1"/>
  <c r="D314" i="42"/>
  <c r="C314" i="42"/>
  <c r="E315" i="42"/>
  <c r="A316" i="42"/>
  <c r="B315" i="42"/>
  <c r="T114" i="9"/>
  <c r="V115" i="9"/>
  <c r="F314" i="42" l="1"/>
  <c r="E316" i="42"/>
  <c r="A317" i="42"/>
  <c r="B316" i="42"/>
  <c r="D315" i="42"/>
  <c r="C315" i="42"/>
  <c r="T115" i="9"/>
  <c r="V116" i="9"/>
  <c r="F315" i="42" l="1"/>
  <c r="D316" i="42"/>
  <c r="C316" i="42"/>
  <c r="E317" i="42"/>
  <c r="A318" i="42"/>
  <c r="B317" i="42"/>
  <c r="T116" i="9"/>
  <c r="V117" i="9"/>
  <c r="F316" i="42" l="1"/>
  <c r="E318" i="42"/>
  <c r="A319" i="42"/>
  <c r="B318" i="42"/>
  <c r="D317" i="42"/>
  <c r="C317" i="42"/>
  <c r="T117" i="9"/>
  <c r="V118" i="9"/>
  <c r="F317" i="42" l="1"/>
  <c r="E319" i="42"/>
  <c r="A320" i="42"/>
  <c r="B319" i="42"/>
  <c r="D318" i="42"/>
  <c r="C318" i="42"/>
  <c r="T118" i="9"/>
  <c r="V119" i="9"/>
  <c r="F318" i="42" l="1"/>
  <c r="D319" i="42"/>
  <c r="C319" i="42"/>
  <c r="E320" i="42"/>
  <c r="A321" i="42"/>
  <c r="B320" i="42"/>
  <c r="T119" i="9"/>
  <c r="V120" i="9"/>
  <c r="F319" i="42" l="1"/>
  <c r="E321" i="42"/>
  <c r="A322" i="42"/>
  <c r="B321" i="42"/>
  <c r="D320" i="42"/>
  <c r="C320" i="42"/>
  <c r="T120" i="9"/>
  <c r="V121" i="9"/>
  <c r="F320" i="42" l="1"/>
  <c r="D321" i="42"/>
  <c r="C321" i="42"/>
  <c r="E322" i="42"/>
  <c r="A323" i="42"/>
  <c r="B322" i="42"/>
  <c r="T121" i="9"/>
  <c r="V122" i="9"/>
  <c r="F321" i="42" l="1"/>
  <c r="E323" i="42"/>
  <c r="A324" i="42"/>
  <c r="B323" i="42"/>
  <c r="D322" i="42"/>
  <c r="C322" i="42"/>
  <c r="T122" i="9"/>
  <c r="V123" i="9"/>
  <c r="F322" i="42" l="1"/>
  <c r="D323" i="42"/>
  <c r="C323" i="42"/>
  <c r="E324" i="42"/>
  <c r="A325" i="42"/>
  <c r="B324" i="42"/>
  <c r="T123" i="9"/>
  <c r="V124" i="9"/>
  <c r="F323" i="42" l="1"/>
  <c r="E325" i="42"/>
  <c r="A326" i="42"/>
  <c r="B325" i="42"/>
  <c r="D324" i="42"/>
  <c r="C324" i="42"/>
  <c r="T124" i="9"/>
  <c r="V125" i="9"/>
  <c r="F324" i="42" l="1"/>
  <c r="D325" i="42"/>
  <c r="C325" i="42"/>
  <c r="E326" i="42"/>
  <c r="A327" i="42"/>
  <c r="B326" i="42"/>
  <c r="T125" i="9"/>
  <c r="V126" i="9"/>
  <c r="F325" i="42" l="1"/>
  <c r="E327" i="42"/>
  <c r="A328" i="42"/>
  <c r="B327" i="42"/>
  <c r="D326" i="42"/>
  <c r="C326" i="42"/>
  <c r="T126" i="9"/>
  <c r="V127" i="9"/>
  <c r="F326" i="42" l="1"/>
  <c r="D327" i="42"/>
  <c r="C327" i="42"/>
  <c r="E328" i="42"/>
  <c r="A329" i="42"/>
  <c r="B328" i="42"/>
  <c r="T127" i="9"/>
  <c r="V128" i="9"/>
  <c r="F327" i="42" l="1"/>
  <c r="E329" i="42"/>
  <c r="A330" i="42"/>
  <c r="B329" i="42"/>
  <c r="D328" i="42"/>
  <c r="C328" i="42"/>
  <c r="T128" i="9"/>
  <c r="V129" i="9"/>
  <c r="F328" i="42" l="1"/>
  <c r="D329" i="42"/>
  <c r="C329" i="42"/>
  <c r="E330" i="42"/>
  <c r="A331" i="42"/>
  <c r="B330" i="42"/>
  <c r="T129" i="9"/>
  <c r="V130" i="9"/>
  <c r="F329" i="42" l="1"/>
  <c r="E331" i="42"/>
  <c r="A332" i="42"/>
  <c r="B331" i="42"/>
  <c r="D330" i="42"/>
  <c r="C330" i="42"/>
  <c r="T130" i="9"/>
  <c r="V131" i="9"/>
  <c r="F330" i="42" l="1"/>
  <c r="D331" i="42"/>
  <c r="C331" i="42"/>
  <c r="E332" i="42"/>
  <c r="A333" i="42"/>
  <c r="B332" i="42"/>
  <c r="T131" i="9"/>
  <c r="V132" i="9"/>
  <c r="F331" i="42" l="1"/>
  <c r="E333" i="42"/>
  <c r="A334" i="42"/>
  <c r="B333" i="42"/>
  <c r="D332" i="42"/>
  <c r="C332" i="42"/>
  <c r="T132" i="9"/>
  <c r="V133" i="9"/>
  <c r="F332" i="42" l="1"/>
  <c r="D333" i="42"/>
  <c r="C333" i="42"/>
  <c r="E334" i="42"/>
  <c r="A335" i="42"/>
  <c r="B334" i="42"/>
  <c r="T133" i="9"/>
  <c r="V134" i="9"/>
  <c r="F333" i="42" l="1"/>
  <c r="E335" i="42"/>
  <c r="A336" i="42"/>
  <c r="B335" i="42"/>
  <c r="D334" i="42"/>
  <c r="C334" i="42"/>
  <c r="T134" i="9"/>
  <c r="V135" i="9"/>
  <c r="F334" i="42" l="1"/>
  <c r="D335" i="42"/>
  <c r="C335" i="42"/>
  <c r="E336" i="42"/>
  <c r="A337" i="42"/>
  <c r="B336" i="42"/>
  <c r="T135" i="9"/>
  <c r="V136" i="9"/>
  <c r="F335" i="42" l="1"/>
  <c r="E337" i="42"/>
  <c r="A338" i="42"/>
  <c r="B337" i="42"/>
  <c r="D336" i="42"/>
  <c r="C336" i="42"/>
  <c r="T136" i="9"/>
  <c r="V137" i="9"/>
  <c r="F336" i="42" l="1"/>
  <c r="D337" i="42"/>
  <c r="C337" i="42"/>
  <c r="E338" i="42"/>
  <c r="A339" i="42"/>
  <c r="B338" i="42"/>
  <c r="T137" i="9"/>
  <c r="V138" i="9"/>
  <c r="F337" i="42" l="1"/>
  <c r="E339" i="42"/>
  <c r="A340" i="42"/>
  <c r="B339" i="42"/>
  <c r="D338" i="42"/>
  <c r="C338" i="42"/>
  <c r="T138" i="9"/>
  <c r="V139" i="9"/>
  <c r="F338" i="42" l="1"/>
  <c r="D339" i="42"/>
  <c r="C339" i="42"/>
  <c r="E340" i="42"/>
  <c r="A341" i="42"/>
  <c r="B340" i="42"/>
  <c r="T139" i="9"/>
  <c r="V140" i="9"/>
  <c r="F339" i="42" l="1"/>
  <c r="E341" i="42"/>
  <c r="A342" i="42"/>
  <c r="B341" i="42"/>
  <c r="D340" i="42"/>
  <c r="C340" i="42"/>
  <c r="T140" i="9"/>
  <c r="V141" i="9"/>
  <c r="F340" i="42" l="1"/>
  <c r="D341" i="42"/>
  <c r="C341" i="42"/>
  <c r="E342" i="42"/>
  <c r="A343" i="42"/>
  <c r="B342" i="42"/>
  <c r="T141" i="9"/>
  <c r="V142" i="9"/>
  <c r="F341" i="42" l="1"/>
  <c r="E343" i="42"/>
  <c r="A344" i="42"/>
  <c r="B343" i="42"/>
  <c r="D342" i="42"/>
  <c r="C342" i="42"/>
  <c r="T142" i="9"/>
  <c r="V143" i="9"/>
  <c r="F342" i="42" l="1"/>
  <c r="D343" i="42"/>
  <c r="C343" i="42"/>
  <c r="E344" i="42"/>
  <c r="A345" i="42"/>
  <c r="B344" i="42"/>
  <c r="T143" i="9"/>
  <c r="V144" i="9"/>
  <c r="F343" i="42" l="1"/>
  <c r="E345" i="42"/>
  <c r="A346" i="42"/>
  <c r="B345" i="42"/>
  <c r="D344" i="42"/>
  <c r="C344" i="42"/>
  <c r="T144" i="9"/>
  <c r="V145" i="9"/>
  <c r="F344" i="42" l="1"/>
  <c r="D345" i="42"/>
  <c r="C345" i="42"/>
  <c r="E346" i="42"/>
  <c r="A347" i="42"/>
  <c r="B346" i="42"/>
  <c r="T145" i="9"/>
  <c r="V146" i="9"/>
  <c r="F345" i="42" l="1"/>
  <c r="E347" i="42"/>
  <c r="A348" i="42"/>
  <c r="B347" i="42"/>
  <c r="D346" i="42"/>
  <c r="C346" i="42"/>
  <c r="T146" i="9"/>
  <c r="V147" i="9"/>
  <c r="F346" i="42" l="1"/>
  <c r="D347" i="42"/>
  <c r="C347" i="42"/>
  <c r="E348" i="42"/>
  <c r="A349" i="42"/>
  <c r="B348" i="42"/>
  <c r="T147" i="9"/>
  <c r="V148" i="9"/>
  <c r="F347" i="42" l="1"/>
  <c r="E349" i="42"/>
  <c r="A350" i="42"/>
  <c r="B349" i="42"/>
  <c r="D348" i="42"/>
  <c r="C348" i="42"/>
  <c r="T148" i="9"/>
  <c r="V149" i="9"/>
  <c r="F348" i="42" l="1"/>
  <c r="D349" i="42"/>
  <c r="C349" i="42"/>
  <c r="E350" i="42"/>
  <c r="A351" i="42"/>
  <c r="B350" i="42"/>
  <c r="T149" i="9"/>
  <c r="V150" i="9"/>
  <c r="F349" i="42" l="1"/>
  <c r="D350" i="42"/>
  <c r="C350" i="42"/>
  <c r="E351" i="42"/>
  <c r="A352" i="42"/>
  <c r="B351" i="42"/>
  <c r="T150" i="9"/>
  <c r="V151" i="9"/>
  <c r="F350" i="42" l="1"/>
  <c r="E352" i="42"/>
  <c r="A353" i="42"/>
  <c r="B352" i="42"/>
  <c r="D351" i="42"/>
  <c r="C351" i="42"/>
  <c r="T151" i="9"/>
  <c r="V152" i="9"/>
  <c r="F351" i="42" l="1"/>
  <c r="D352" i="42"/>
  <c r="C352" i="42"/>
  <c r="E353" i="42"/>
  <c r="A354" i="42"/>
  <c r="B353" i="42"/>
  <c r="T152" i="9"/>
  <c r="V153" i="9"/>
  <c r="F352" i="42" l="1"/>
  <c r="E354" i="42"/>
  <c r="A355" i="42"/>
  <c r="B354" i="42"/>
  <c r="D353" i="42"/>
  <c r="C353" i="42"/>
  <c r="T153" i="9"/>
  <c r="V154" i="9"/>
  <c r="F353" i="42" l="1"/>
  <c r="D354" i="42"/>
  <c r="C354" i="42"/>
  <c r="E355" i="42"/>
  <c r="A356" i="42"/>
  <c r="B355" i="42"/>
  <c r="T154" i="9"/>
  <c r="V155" i="9"/>
  <c r="F354" i="42" l="1"/>
  <c r="E356" i="42"/>
  <c r="A357" i="42"/>
  <c r="B356" i="42"/>
  <c r="D355" i="42"/>
  <c r="C355" i="42"/>
  <c r="T155" i="9"/>
  <c r="V156" i="9"/>
  <c r="F355" i="42" l="1"/>
  <c r="D356" i="42"/>
  <c r="C356" i="42"/>
  <c r="E357" i="42"/>
  <c r="A358" i="42"/>
  <c r="B357" i="42"/>
  <c r="T156" i="9"/>
  <c r="V157" i="9"/>
  <c r="F356" i="42" l="1"/>
  <c r="E358" i="42"/>
  <c r="A359" i="42"/>
  <c r="B358" i="42"/>
  <c r="D357" i="42"/>
  <c r="C357" i="42"/>
  <c r="T157" i="9"/>
  <c r="V158" i="9"/>
  <c r="F357" i="42" l="1"/>
  <c r="D358" i="42"/>
  <c r="C358" i="42"/>
  <c r="E359" i="42"/>
  <c r="A360" i="42"/>
  <c r="B359" i="42"/>
  <c r="T158" i="9"/>
  <c r="V159" i="9"/>
  <c r="F358" i="42" l="1"/>
  <c r="E360" i="42"/>
  <c r="A361" i="42"/>
  <c r="B360" i="42"/>
  <c r="D359" i="42"/>
  <c r="C359" i="42"/>
  <c r="T159" i="9"/>
  <c r="V160" i="9"/>
  <c r="F359" i="42" l="1"/>
  <c r="D360" i="42"/>
  <c r="C360" i="42"/>
  <c r="E361" i="42"/>
  <c r="A362" i="42"/>
  <c r="B361" i="42"/>
  <c r="T160" i="9"/>
  <c r="V161" i="9"/>
  <c r="F360" i="42" l="1"/>
  <c r="E362" i="42"/>
  <c r="A363" i="42"/>
  <c r="B362" i="42"/>
  <c r="D361" i="42"/>
  <c r="C361" i="42"/>
  <c r="T161" i="9"/>
  <c r="V162" i="9"/>
  <c r="F361" i="42" l="1"/>
  <c r="D362" i="42"/>
  <c r="C362" i="42"/>
  <c r="E363" i="42"/>
  <c r="A364" i="42"/>
  <c r="B363" i="42"/>
  <c r="T162" i="9"/>
  <c r="V163" i="9"/>
  <c r="F362" i="42" l="1"/>
  <c r="E364" i="42"/>
  <c r="A365" i="42"/>
  <c r="B364" i="42"/>
  <c r="D363" i="42"/>
  <c r="C363" i="42"/>
  <c r="T163" i="9"/>
  <c r="V164" i="9"/>
  <c r="F363" i="42" l="1"/>
  <c r="D364" i="42"/>
  <c r="C364" i="42"/>
  <c r="E365" i="42"/>
  <c r="A366" i="42"/>
  <c r="B365" i="42"/>
  <c r="T164" i="9"/>
  <c r="V165" i="9"/>
  <c r="F364" i="42" l="1"/>
  <c r="E366" i="42"/>
  <c r="A367" i="42"/>
  <c r="B366" i="42"/>
  <c r="D365" i="42"/>
  <c r="C365" i="42"/>
  <c r="T165" i="9"/>
  <c r="V166" i="9"/>
  <c r="F365" i="42" l="1"/>
  <c r="D366" i="42"/>
  <c r="C366" i="42"/>
  <c r="E367" i="42"/>
  <c r="B367" i="42"/>
  <c r="A368" i="42"/>
  <c r="T166" i="9"/>
  <c r="V167" i="9"/>
  <c r="F366" i="42" l="1"/>
  <c r="D367" i="42"/>
  <c r="C367" i="42"/>
  <c r="E368" i="42"/>
  <c r="B368" i="42"/>
  <c r="A369" i="42"/>
  <c r="T167" i="9"/>
  <c r="V168" i="9"/>
  <c r="F367" i="42" l="1"/>
  <c r="D368" i="42"/>
  <c r="C368" i="42"/>
  <c r="E369" i="42"/>
  <c r="B369" i="42"/>
  <c r="V169" i="9"/>
  <c r="T168" i="9"/>
  <c r="F368" i="42" l="1"/>
  <c r="D369" i="42"/>
  <c r="C369" i="42"/>
  <c r="F369" i="42" s="1"/>
  <c r="K10" i="42" s="1"/>
  <c r="N30" i="24" s="1"/>
  <c r="N31" i="24" s="1"/>
  <c r="T169" i="9"/>
  <c r="V170" i="9"/>
  <c r="N32" i="24"/>
  <c r="T170" i="9" l="1"/>
  <c r="V171" i="9"/>
  <c r="T171" i="9" l="1"/>
  <c r="V172" i="9"/>
  <c r="T172" i="9" l="1"/>
  <c r="V173" i="9"/>
  <c r="T173" i="9" l="1"/>
  <c r="V174" i="9"/>
  <c r="V175" i="9" l="1"/>
  <c r="T174" i="9"/>
  <c r="T175" i="9" l="1"/>
  <c r="V176" i="9"/>
  <c r="V177" i="9" l="1"/>
  <c r="T176" i="9"/>
  <c r="T177" i="9" l="1"/>
  <c r="V178" i="9"/>
  <c r="V179" i="9" l="1"/>
  <c r="T178" i="9"/>
  <c r="V180" i="9" l="1"/>
  <c r="T179" i="9"/>
  <c r="V181" i="9" l="1"/>
  <c r="T180" i="9"/>
  <c r="V182" i="9" l="1"/>
  <c r="T181" i="9"/>
  <c r="V183" i="9" l="1"/>
  <c r="T182" i="9"/>
  <c r="V184" i="9" l="1"/>
  <c r="T183" i="9"/>
  <c r="V185" i="9" l="1"/>
  <c r="T184" i="9"/>
  <c r="V186" i="9" l="1"/>
  <c r="T185" i="9"/>
  <c r="T186" i="9" l="1"/>
  <c r="V187" i="9"/>
  <c r="T187" i="9" l="1"/>
  <c r="V188" i="9"/>
  <c r="T188" i="9" l="1"/>
  <c r="V189" i="9"/>
  <c r="T189" i="9" l="1"/>
  <c r="V190" i="9"/>
  <c r="T190" i="9" l="1"/>
  <c r="V191" i="9"/>
  <c r="T191" i="9" l="1"/>
  <c r="V192" i="9"/>
  <c r="T192" i="9" l="1"/>
  <c r="V193" i="9"/>
  <c r="T193" i="9" l="1"/>
  <c r="V194" i="9"/>
  <c r="T194" i="9" l="1"/>
  <c r="V195" i="9"/>
  <c r="V196" i="9" l="1"/>
  <c r="T195" i="9"/>
  <c r="V197" i="9" l="1"/>
  <c r="T196" i="9"/>
  <c r="T197" i="9" l="1"/>
  <c r="V198" i="9"/>
  <c r="T198" i="9" l="1"/>
  <c r="V199" i="9"/>
  <c r="T199" i="9" l="1"/>
  <c r="V200" i="9"/>
  <c r="T200" i="9" l="1"/>
</calcChain>
</file>

<file path=xl/comments1.xml><?xml version="1.0" encoding="utf-8"?>
<comments xmlns="http://schemas.openxmlformats.org/spreadsheetml/2006/main">
  <authors>
    <author>Fabien Rouault</author>
    <author>tc={D0FFACD2-8BE7-466C-BE6F-692B13DB66A4}</author>
    <author>FAVERAIS Laurent</author>
  </authors>
  <commentList>
    <comment ref="D7" authorId="0" shapeId="0">
      <text>
        <r>
          <rPr>
            <sz val="9"/>
            <color indexed="81"/>
            <rFont val="Tahoma"/>
            <family val="2"/>
          </rPr>
          <t xml:space="preserve">Si la surface chauffé est inconnue ou égale à la surface totale, copiez/collez les valeurs de la surface totale 
</t>
        </r>
      </text>
    </comment>
    <comment ref="E7" authorId="0" shapeId="0">
      <text>
        <r>
          <rPr>
            <sz val="9"/>
            <color indexed="81"/>
            <rFont val="Tahoma"/>
            <family val="2"/>
          </rPr>
          <t xml:space="preserve">Si la surface refroidie est inconnue ou négligeable par rapport à la surface totale du bâtiment vous pouvez laisser la colonne vide
</t>
        </r>
      </text>
    </comment>
    <comment ref="H7" authorId="0" shapeId="0">
      <text>
        <r>
          <rPr>
            <sz val="9"/>
            <color indexed="81"/>
            <rFont val="Tahoma"/>
            <family val="2"/>
          </rPr>
          <t>La valeur Cabs est l'objectif de consommation en valeur aboslue calculée par la plateforme OPERAT. Elle permet de calculer l'ajustement climatique du chauffage et du refroidissement.</t>
        </r>
      </text>
    </comment>
    <comment ref="C25" authorId="0" shapeId="0">
      <text>
        <r>
          <rPr>
            <sz val="9"/>
            <color indexed="81"/>
            <rFont val="Tahoma"/>
            <family val="2"/>
          </rPr>
          <t xml:space="preserve">Indiquez l'activité principale du site pour la comparaison avec les indicateurs régionaux </t>
        </r>
      </text>
    </comment>
    <comment ref="F25" authorId="1" shapeId="0">
      <text>
        <r>
          <rPr>
            <sz val="11"/>
            <color theme="1"/>
            <rFont val="Calibri"/>
            <family val="2"/>
            <scheme val="minor"/>
          </rPr>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La valeur Cabs est l'objectif de consommation en valeur aboslue calculée par la plateforme OPERAT. Elle permet de calculer l'ajustement climatique du chauffage et du refroidissement. La valeur par défaut si la Cabs de votre bâtiment vous est inconnue </t>
        </r>
      </text>
    </comment>
    <comment ref="C32" authorId="0" shapeId="0">
      <text>
        <r>
          <rPr>
            <sz val="9"/>
            <color indexed="81"/>
            <rFont val="Tahoma"/>
            <family val="2"/>
          </rPr>
          <t xml:space="preserve">Indiquez un nom au compteur pour le reconnaitre dans les onglets "Suvi Compteur" et "Suivi Sous_compteur"
</t>
        </r>
      </text>
    </comment>
    <comment ref="H32" authorId="0" shapeId="0">
      <text>
        <r>
          <rPr>
            <sz val="9"/>
            <color indexed="81"/>
            <rFont val="Tahoma"/>
            <family val="2"/>
          </rPr>
          <t>Pour un remplissage automatique des dates, vous pouvez indiquer la première date de lecture du compteur ou de facturation ainsi que la fréquence 
Vous pouvez également supprimer le pré-remplissage et entrer les dates en particulier pour les combustibles stockables</t>
        </r>
      </text>
    </comment>
    <comment ref="I32" authorId="2" shapeId="0">
      <text>
        <r>
          <rPr>
            <b/>
            <sz val="9"/>
            <color indexed="81"/>
            <rFont val="Tahoma"/>
            <family val="2"/>
          </rPr>
          <t>FAVERAIS Laurent:</t>
        </r>
        <r>
          <rPr>
            <sz val="9"/>
            <color indexed="81"/>
            <rFont val="Tahoma"/>
            <family val="2"/>
          </rPr>
          <t xml:space="preserve">
Saisir ici la fréquence de vos factures d'énergie :
Facturation Annuelle = 12
Facturation Mensuelle = 1</t>
        </r>
      </text>
    </comment>
    <comment ref="B42" authorId="0" shapeId="0">
      <text>
        <r>
          <rPr>
            <b/>
            <sz val="9"/>
            <color indexed="81"/>
            <rFont val="Tahoma"/>
            <family val="2"/>
          </rPr>
          <t xml:space="preserve">Indiquez la station sélectionnée sur OPERAT:
</t>
        </r>
        <r>
          <rPr>
            <sz val="9"/>
            <color indexed="81"/>
            <rFont val="Tahoma"/>
            <family val="2"/>
          </rPr>
          <t>Détermine principalement l'ajustement climatique pour le Décret Tertiaire
L'altitude modifie les valeurs prises en compte pour la valeur Cabs calculée par défaut</t>
        </r>
      </text>
    </comment>
    <comment ref="C56" authorId="0" shapeId="0">
      <text>
        <r>
          <rPr>
            <sz val="9"/>
            <color indexed="81"/>
            <rFont val="Tahoma"/>
            <family val="2"/>
          </rPr>
          <t xml:space="preserve">L'onglet Choix DEET peut vous permettre de vérifier votre choix d'année de référence en considérant l'ajustement climatique.
</t>
        </r>
      </text>
    </comment>
    <comment ref="C58" authorId="0" shapeId="0">
      <text>
        <r>
          <rPr>
            <sz val="9"/>
            <color indexed="81"/>
            <rFont val="Tahoma"/>
            <family val="2"/>
          </rPr>
          <t xml:space="preserve">Pour un calcul adéquat des indicateurs annuels, l'année doit être couverte du 1er janvier au 31 décembre </t>
        </r>
      </text>
    </comment>
    <comment ref="I59" authorId="2" shapeId="0">
      <text>
        <r>
          <rPr>
            <b/>
            <sz val="9"/>
            <color indexed="81"/>
            <rFont val="Tahoma"/>
            <family val="2"/>
          </rPr>
          <t>FAVERAIS Laurent:</t>
        </r>
        <r>
          <rPr>
            <sz val="9"/>
            <color indexed="81"/>
            <rFont val="Tahoma"/>
            <family val="2"/>
          </rPr>
          <t xml:space="preserve">
Valeur moyenne = 70% pour un EHPAD</t>
        </r>
      </text>
    </comment>
  </commentList>
</comments>
</file>

<file path=xl/comments2.xml><?xml version="1.0" encoding="utf-8"?>
<comments xmlns="http://schemas.openxmlformats.org/spreadsheetml/2006/main">
  <authors>
    <author>ANKOU Mel</author>
    <author>FAVERAIS Laurent</author>
  </authors>
  <commentList>
    <comment ref="D23" authorId="0" shapeId="0">
      <text>
        <r>
          <rPr>
            <b/>
            <sz val="9"/>
            <color indexed="81"/>
            <rFont val="Tahoma"/>
            <family val="2"/>
          </rPr>
          <t>ANKOU Mel:</t>
        </r>
        <r>
          <rPr>
            <sz val="9"/>
            <color indexed="81"/>
            <rFont val="Tahoma"/>
            <family val="2"/>
          </rPr>
          <t xml:space="preserve">
Donnée échangée avec celle de Nov</t>
        </r>
      </text>
    </comment>
    <comment ref="F30" authorId="1" shapeId="0">
      <text>
        <r>
          <rPr>
            <b/>
            <sz val="9"/>
            <color indexed="81"/>
            <rFont val="Tahoma"/>
            <family val="2"/>
          </rPr>
          <t>FAVERAIS Laurent:</t>
        </r>
        <r>
          <rPr>
            <sz val="9"/>
            <color indexed="81"/>
            <rFont val="Tahoma"/>
            <family val="2"/>
          </rPr>
          <t xml:space="preserve">
</t>
        </r>
        <r>
          <rPr>
            <sz val="11"/>
            <color indexed="81"/>
            <rFont val="Tahoma"/>
            <family val="2"/>
          </rPr>
          <t>mettre les valeurs annuelles sur la ligne 2</t>
        </r>
      </text>
    </comment>
  </commentList>
</comments>
</file>

<file path=xl/sharedStrings.xml><?xml version="1.0" encoding="utf-8"?>
<sst xmlns="http://schemas.openxmlformats.org/spreadsheetml/2006/main" count="12053" uniqueCount="502">
  <si>
    <t>Delta Jour</t>
  </si>
  <si>
    <t>MOIS</t>
  </si>
  <si>
    <t>ANNEE</t>
  </si>
  <si>
    <t>Type de combustible</t>
  </si>
  <si>
    <t>Sources d'énergie</t>
  </si>
  <si>
    <t xml:space="preserve"> Emissions
KgCO2/kWh PCI</t>
  </si>
  <si>
    <t>Rapport
PCS/PCI</t>
  </si>
  <si>
    <t>Evol. prix de l'énergie</t>
  </si>
  <si>
    <t>Bois - Plaquettes (tonnes)</t>
  </si>
  <si>
    <t>kWh par tonne</t>
  </si>
  <si>
    <t>Bois - Granulés (tonnes)</t>
  </si>
  <si>
    <t>Bois - Bûches (stères)</t>
  </si>
  <si>
    <t>kWh par stère</t>
  </si>
  <si>
    <t>Gaz naturel (kWh)</t>
  </si>
  <si>
    <t>kWh par kWh</t>
  </si>
  <si>
    <t>Gaz naturel (m3)</t>
  </si>
  <si>
    <t>kWh par m3</t>
  </si>
  <si>
    <t>Gaz propane (tonnes)</t>
  </si>
  <si>
    <t>Gaz propane (m3)</t>
  </si>
  <si>
    <t>Gaz butane (tonnes)</t>
  </si>
  <si>
    <t>Gaz butane (litres)</t>
  </si>
  <si>
    <t>kWh par litre</t>
  </si>
  <si>
    <t>Gaz butane (m3)</t>
  </si>
  <si>
    <t>Fioul domestique (litres)</t>
  </si>
  <si>
    <t>Pompe A Chaleur (kWh)</t>
  </si>
  <si>
    <t>Réseau de chaleur (kWh)</t>
  </si>
  <si>
    <t>Electricité (kWh)</t>
  </si>
  <si>
    <t>Type de combustilbe</t>
  </si>
  <si>
    <t>Fin de période</t>
  </si>
  <si>
    <t>Montant TTC</t>
  </si>
  <si>
    <t>Quantité</t>
  </si>
  <si>
    <t>Demande_jour</t>
  </si>
  <si>
    <t>Cout_jour</t>
  </si>
  <si>
    <t>Electricité</t>
  </si>
  <si>
    <t>Étiquettes de lignes</t>
  </si>
  <si>
    <t>Total général</t>
  </si>
  <si>
    <t xml:space="preserve">Sous -Comptage Chauffage </t>
  </si>
  <si>
    <t xml:space="preserve">Energie chauffage </t>
  </si>
  <si>
    <t xml:space="preserve">Sous - comptage Climatisation </t>
  </si>
  <si>
    <t>Sous-comptage Borne IRVE</t>
  </si>
  <si>
    <t>Année de référence</t>
  </si>
  <si>
    <t>Année</t>
  </si>
  <si>
    <t>Comptage DEET</t>
  </si>
  <si>
    <t>ECS_solaire</t>
  </si>
  <si>
    <t>Ajustement climatique Chauffage</t>
  </si>
  <si>
    <t>SDP Chauffé</t>
  </si>
  <si>
    <t>Ajustement Chauffage</t>
  </si>
  <si>
    <t>DJU chauffage</t>
  </si>
  <si>
    <t>DJU climatisation</t>
  </si>
  <si>
    <t>SDP Refroidi</t>
  </si>
  <si>
    <t>Ajustement Clim</t>
  </si>
  <si>
    <t>Ajustement climatique Refroidissement</t>
  </si>
  <si>
    <t>Energie Thermique</t>
  </si>
  <si>
    <t>Totale</t>
  </si>
  <si>
    <t>Totale ajustée</t>
  </si>
  <si>
    <t>Intensités surfacique</t>
  </si>
  <si>
    <t>SDP total</t>
  </si>
  <si>
    <t>Type Compteur</t>
  </si>
  <si>
    <t>Consommation</t>
  </si>
  <si>
    <t>Production</t>
  </si>
  <si>
    <t>Eau</t>
  </si>
  <si>
    <t>Borne_IRVE</t>
  </si>
  <si>
    <t>Chaleur</t>
  </si>
  <si>
    <t>Cogé_chaleur</t>
  </si>
  <si>
    <t>Elec_Général</t>
  </si>
  <si>
    <t>Type</t>
  </si>
  <si>
    <t>Detail usage</t>
  </si>
  <si>
    <t xml:space="preserve">Combustible </t>
  </si>
  <si>
    <t>ECS seule</t>
  </si>
  <si>
    <t>Chauffage seul</t>
  </si>
  <si>
    <t>ECS et Chauffage</t>
  </si>
  <si>
    <t>Combustible</t>
  </si>
  <si>
    <t>Source</t>
  </si>
  <si>
    <t>Process</t>
  </si>
  <si>
    <t>Cuisine</t>
  </si>
  <si>
    <t>Laverie</t>
  </si>
  <si>
    <t>Sous-comptage EF</t>
  </si>
  <si>
    <t>Sous-comptage ECS</t>
  </si>
  <si>
    <t>Sous-comptage Arrosage</t>
  </si>
  <si>
    <t>Sous-comptage Climatisation</t>
  </si>
  <si>
    <t>Compteur 1</t>
  </si>
  <si>
    <t>Compteur 2</t>
  </si>
  <si>
    <t>Compteur 3</t>
  </si>
  <si>
    <t>Compteur 4</t>
  </si>
  <si>
    <t>Compteur 5</t>
  </si>
  <si>
    <t>Compteur 6</t>
  </si>
  <si>
    <t>Compteur 7</t>
  </si>
  <si>
    <t>Compteur 8</t>
  </si>
  <si>
    <t>Compteur/Livraison</t>
  </si>
  <si>
    <t>Comptage energie et eau</t>
  </si>
  <si>
    <t xml:space="preserve">Données Climatiques </t>
  </si>
  <si>
    <t>Totale- m²</t>
  </si>
  <si>
    <t>Refroidie - m²</t>
  </si>
  <si>
    <t>Chauffée - m²</t>
  </si>
  <si>
    <t>annee</t>
  </si>
  <si>
    <t>mois</t>
  </si>
  <si>
    <t>DJU(chauffagiste)</t>
  </si>
  <si>
    <t>DJU(climaticien)</t>
  </si>
  <si>
    <t>Saint-Brieuc</t>
  </si>
  <si>
    <t>janv</t>
  </si>
  <si>
    <t>fev</t>
  </si>
  <si>
    <t>mars</t>
  </si>
  <si>
    <t>avr</t>
  </si>
  <si>
    <t>mai</t>
  </si>
  <si>
    <t>juin</t>
  </si>
  <si>
    <t>juil</t>
  </si>
  <si>
    <t>aout</t>
  </si>
  <si>
    <t>sept</t>
  </si>
  <si>
    <t>oct</t>
  </si>
  <si>
    <t>nov</t>
  </si>
  <si>
    <t>dec</t>
  </si>
  <si>
    <t>Brest - Guipavas</t>
  </si>
  <si>
    <t>Quimper</t>
  </si>
  <si>
    <t>Rennes - St Jacques</t>
  </si>
  <si>
    <t>Dinard</t>
  </si>
  <si>
    <t>Lorient - Lann Bihoue</t>
  </si>
  <si>
    <t>Vannes-Sene</t>
  </si>
  <si>
    <t>Somme de DJU(chauffagiste)</t>
  </si>
  <si>
    <t>Somme de DJU(climaticien)</t>
  </si>
  <si>
    <t>Début de période</t>
  </si>
  <si>
    <t>Compteur_1</t>
  </si>
  <si>
    <t>Compteur_2</t>
  </si>
  <si>
    <t>Compteur_3</t>
  </si>
  <si>
    <t>Compteur_4</t>
  </si>
  <si>
    <t>Compteur_5</t>
  </si>
  <si>
    <t>Compteur_6</t>
  </si>
  <si>
    <t>Compteur_7</t>
  </si>
  <si>
    <t>Compteur_8</t>
  </si>
  <si>
    <t>PCI</t>
  </si>
  <si>
    <t>Photovolaïque</t>
  </si>
  <si>
    <t>Cogénération</t>
  </si>
  <si>
    <t>PV_autoconsommé</t>
  </si>
  <si>
    <t>PV_revente</t>
  </si>
  <si>
    <t>Cogé_elec_autoconsomée</t>
  </si>
  <si>
    <t>Cogé_elec_revendue</t>
  </si>
  <si>
    <t>Collecteurs_solaires</t>
  </si>
  <si>
    <t>General EF</t>
  </si>
  <si>
    <t>ECS et chauffage</t>
  </si>
  <si>
    <t>Sous-comptage clim</t>
  </si>
  <si>
    <t>DJU Moyen</t>
  </si>
  <si>
    <t>chauffage</t>
  </si>
  <si>
    <t>clim</t>
  </si>
  <si>
    <t xml:space="preserve">indicateurs </t>
  </si>
  <si>
    <t>Référence</t>
  </si>
  <si>
    <t>Nantes - Bouguenais</t>
  </si>
  <si>
    <t>Angers - Beaucouzé</t>
  </si>
  <si>
    <t>Niort</t>
  </si>
  <si>
    <t>objectif -40</t>
  </si>
  <si>
    <t>objectif -50</t>
  </si>
  <si>
    <t>objectif -60</t>
  </si>
  <si>
    <t>rampe limite basse</t>
  </si>
  <si>
    <t>objectif anuel</t>
  </si>
  <si>
    <t>rampe limite haute</t>
  </si>
  <si>
    <t>Valeur référence</t>
  </si>
  <si>
    <t>INF</t>
  </si>
  <si>
    <t>selection année</t>
  </si>
  <si>
    <t>année</t>
  </si>
  <si>
    <t>SDP tot</t>
  </si>
  <si>
    <t>ajust chauf</t>
  </si>
  <si>
    <t>ajust clim</t>
  </si>
  <si>
    <t>Reduction</t>
  </si>
  <si>
    <t>intensité tot</t>
  </si>
  <si>
    <t xml:space="preserve">Station météo : </t>
  </si>
  <si>
    <t>Nom</t>
  </si>
  <si>
    <t>Compteur</t>
  </si>
  <si>
    <t>Étiquettes de colonnes</t>
  </si>
  <si>
    <t xml:space="preserve">Choix de l'année d'analyse : </t>
  </si>
  <si>
    <t xml:space="preserve">Lits </t>
  </si>
  <si>
    <t>Places de jour</t>
  </si>
  <si>
    <t>Accueil</t>
  </si>
  <si>
    <t>INDICATEURS</t>
  </si>
  <si>
    <t>CHU</t>
  </si>
  <si>
    <t>CH / CLINIQUE</t>
  </si>
  <si>
    <t>EHPAD</t>
  </si>
  <si>
    <t>ESAT</t>
  </si>
  <si>
    <t>IME - ITEP</t>
  </si>
  <si>
    <t>FAM - MAS - FDV</t>
  </si>
  <si>
    <t>AUTRES</t>
  </si>
  <si>
    <t>-</t>
  </si>
  <si>
    <t>Ratios de Consommation</t>
  </si>
  <si>
    <t>Thermique - kWh/m²</t>
  </si>
  <si>
    <t>Electrique - kWh/m²</t>
  </si>
  <si>
    <t>Totale - kWh/m²</t>
  </si>
  <si>
    <t>CHAUFFAGE - (CH/DJU/m²)x1000</t>
  </si>
  <si>
    <t>ECS - kWh/m²</t>
  </si>
  <si>
    <t>Eau - L/j/lit</t>
  </si>
  <si>
    <t>Seletio</t>
  </si>
  <si>
    <t xml:space="preserve">type </t>
  </si>
  <si>
    <t>Type d'étblissement</t>
  </si>
  <si>
    <t>Indicqteurs de performances</t>
  </si>
  <si>
    <t xml:space="preserve">Année de référence choisie : </t>
  </si>
  <si>
    <t>Date_livraison</t>
  </si>
  <si>
    <t>TCD Usage</t>
  </si>
  <si>
    <t>Combustible (Seulement Conso)</t>
  </si>
  <si>
    <t>Surface total</t>
  </si>
  <si>
    <t>Surface Chauffée</t>
  </si>
  <si>
    <t>Bâtiment et Activité</t>
  </si>
  <si>
    <t>Compteur/ Livraison</t>
  </si>
  <si>
    <t xml:space="preserve">Nom du site : </t>
  </si>
  <si>
    <t>Surface refroidie</t>
  </si>
  <si>
    <t>Places</t>
  </si>
  <si>
    <t xml:space="preserve">Année </t>
  </si>
  <si>
    <t>Total thermique</t>
  </si>
  <si>
    <t>intensité surfacique</t>
  </si>
  <si>
    <t>Thermique</t>
  </si>
  <si>
    <t>total Elec</t>
  </si>
  <si>
    <t>Total energie</t>
  </si>
  <si>
    <t>Comptage récupération</t>
  </si>
  <si>
    <t xml:space="preserve">Activité principal du site : </t>
  </si>
  <si>
    <t xml:space="preserve">Indicateur de performances </t>
  </si>
  <si>
    <t>Total</t>
  </si>
  <si>
    <t>Energie MWh</t>
  </si>
  <si>
    <t>Energie Cout</t>
  </si>
  <si>
    <t>Si toute les sources d'énergie n'apparaissent pas, vérifiez en cliquant sur le boutont "Combustible" du graphique ainsi que la période sélectionnée</t>
  </si>
  <si>
    <t>(Tous)</t>
  </si>
  <si>
    <t>Version</t>
  </si>
  <si>
    <t>Commentaires</t>
  </si>
  <si>
    <t>0.7</t>
  </si>
  <si>
    <t>Moyenne_2001_2020</t>
  </si>
  <si>
    <t>mois_numero</t>
  </si>
  <si>
    <t>DJU_Chauffage</t>
  </si>
  <si>
    <t>TCD Chauffage mensuel</t>
  </si>
  <si>
    <t xml:space="preserve">Mois </t>
  </si>
  <si>
    <t>DJU</t>
  </si>
  <si>
    <t>année 1</t>
  </si>
  <si>
    <t>année 2</t>
  </si>
  <si>
    <t xml:space="preserve">année 3 </t>
  </si>
  <si>
    <t xml:space="preserve">selection </t>
  </si>
  <si>
    <t xml:space="preserve">année </t>
  </si>
  <si>
    <t>- Correction date initiale compteur 1 
- Changement de la feuille "Données" en "Site" pour éviter la confusion avec l'onglet "Données" de la barre d'outils
- Création du tableau suivi d'eau
- Suppression de l'ajustement climatique en attente de l'arrêté valeur absolue 
- limitation des DJU chauffage aux mois d'octobre à mai et refroidissement de juin à septembre
- Création d'un tableau d'analyse chauffage vs. DJU</t>
  </si>
  <si>
    <t>Eau (m3)</t>
  </si>
  <si>
    <t>0.8</t>
  </si>
  <si>
    <t>Suivi Dispositif Eco Energie Tertiaire</t>
  </si>
  <si>
    <t>Conso annuelle :</t>
  </si>
  <si>
    <t>Cout annuel:</t>
  </si>
  <si>
    <t/>
  </si>
  <si>
    <t>Paris - Montsouris</t>
  </si>
  <si>
    <t>Marseille - Marignane</t>
  </si>
  <si>
    <t>-Ajout de l'item "Eau (m3)" dans la liste des combustible pour éviter erreur 
- Correction référence bouton de retour a l'onglet Site dans les onglets de Compteur
- Suppression de l'ajustement climatique dans le graphique "Choix DEET"+ ajout Disclaimer
- Ajout DJU Paris et Marseille (pour fondation SJD)</t>
  </si>
  <si>
    <t xml:space="preserve">Valeur Cabs : </t>
  </si>
  <si>
    <t>(par défaut)</t>
  </si>
  <si>
    <t>Cabs - kWh/m2,an</t>
  </si>
  <si>
    <t>Cabs</t>
  </si>
  <si>
    <t>Composante CVC</t>
  </si>
  <si>
    <t>Zones Géographiques</t>
  </si>
  <si>
    <t>en kWh/m²/an</t>
  </si>
  <si>
    <t>H1a</t>
  </si>
  <si>
    <t>H1b</t>
  </si>
  <si>
    <t>H1c</t>
  </si>
  <si>
    <t>H2a</t>
  </si>
  <si>
    <t>H2b</t>
  </si>
  <si>
    <t>H2c</t>
  </si>
  <si>
    <t>H2d</t>
  </si>
  <si>
    <t>H3</t>
  </si>
  <si>
    <t>Altitude &lt; 400 m</t>
  </si>
  <si>
    <t>Altitude 400 à 800 m</t>
  </si>
  <si>
    <t>Altitude 800 à 1200 m</t>
  </si>
  <si>
    <t>Altitude 1200 m -1600m</t>
  </si>
  <si>
    <t>Altitude &gt; 1600m</t>
  </si>
  <si>
    <t>Etablissements médico-sociaux – Valeur par défaut</t>
  </si>
  <si>
    <t>Zone climatique</t>
  </si>
  <si>
    <t>Altitude</t>
  </si>
  <si>
    <t>Données OPERAT</t>
  </si>
  <si>
    <t>CVC refroid</t>
  </si>
  <si>
    <t>CVC chauf</t>
  </si>
  <si>
    <t>Valeur CVC chauf</t>
  </si>
  <si>
    <t>Valeur CVC refroid</t>
  </si>
  <si>
    <t>Laval</t>
  </si>
  <si>
    <t>La Roche sur Yon</t>
  </si>
  <si>
    <t>Le Mans</t>
  </si>
  <si>
    <t xml:space="preserve">Altitude du site : </t>
  </si>
  <si>
    <t>Intensité totale ajustée</t>
  </si>
  <si>
    <t>Ajust. Chauffage</t>
  </si>
  <si>
    <t>Ajust. Refroidissement</t>
  </si>
  <si>
    <t>0.9</t>
  </si>
  <si>
    <t xml:space="preserve">Station Meteo et Zones climatiques </t>
  </si>
  <si>
    <t>Dernière année déclarée :</t>
  </si>
  <si>
    <t>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t>
  </si>
  <si>
    <t>Conso EF</t>
  </si>
  <si>
    <t>Conso EP</t>
  </si>
  <si>
    <t xml:space="preserve">Graphique Jauge </t>
  </si>
  <si>
    <t>Hebergement</t>
  </si>
  <si>
    <t xml:space="preserve">Accueil de jour </t>
  </si>
  <si>
    <t>Bâtiment à occupation continue</t>
  </si>
  <si>
    <t>Bâtiment à usage de bureau ou d'administration</t>
  </si>
  <si>
    <t>A</t>
  </si>
  <si>
    <t>B</t>
  </si>
  <si>
    <t>C</t>
  </si>
  <si>
    <t>D</t>
  </si>
  <si>
    <t>E</t>
  </si>
  <si>
    <t>DPE</t>
  </si>
  <si>
    <t>Calcul DPE</t>
  </si>
  <si>
    <t xml:space="preserve">hébergement </t>
  </si>
  <si>
    <t>Valeur indicateur</t>
  </si>
  <si>
    <t>debut aiguille</t>
  </si>
  <si>
    <t>largeur aiguille</t>
  </si>
  <si>
    <t xml:space="preserve">Reste </t>
  </si>
  <si>
    <t>Différence</t>
  </si>
  <si>
    <t xml:space="preserve">Valeur CVC chauf </t>
  </si>
  <si>
    <t xml:space="preserve">Valeur CVC refroid </t>
  </si>
  <si>
    <t>Cabs USE- kWh/m2.an</t>
  </si>
  <si>
    <t>Référence 100 m</t>
  </si>
  <si>
    <t>Référence 500 m</t>
  </si>
  <si>
    <t>Référence 900 m</t>
  </si>
  <si>
    <t>Référence 1400 m</t>
  </si>
  <si>
    <t>Référence 1700 m</t>
  </si>
  <si>
    <t>CVC Sanitaire défaut</t>
  </si>
  <si>
    <t>USE</t>
  </si>
  <si>
    <t>CVC</t>
  </si>
  <si>
    <t>1.0</t>
  </si>
  <si>
    <t>L'usage de cet onglet nécessite le renseignement des données de comptage mensuelles ou de chaque livraison pour les combustibles stockables.</t>
  </si>
  <si>
    <t>PCI_DEET</t>
  </si>
  <si>
    <t xml:space="preserve">Année de référence: </t>
  </si>
  <si>
    <t>Sous_comptage</t>
  </si>
  <si>
    <t>Sous_comptage_Chaleur</t>
  </si>
  <si>
    <t>Sous_comptage_elec</t>
  </si>
  <si>
    <t>Sous_comptage_eau</t>
  </si>
  <si>
    <t xml:space="preserve">Chauffage </t>
  </si>
  <si>
    <t>ECS</t>
  </si>
  <si>
    <t>Sous-comptage_Zone</t>
  </si>
  <si>
    <t>ECS, Chauffage et Cuisson</t>
  </si>
  <si>
    <t>Valeurs Bases mensuelles</t>
  </si>
  <si>
    <t>Valeurs Bases annuelles</t>
  </si>
  <si>
    <t>Variation DJU</t>
  </si>
  <si>
    <t>Positif</t>
  </si>
  <si>
    <t>Negatif</t>
  </si>
  <si>
    <t>- Retouches Onglets graphiques : Ajout nom de site, ajout logo Dispositif ÉTÉ, Correction pour faire réapparaitre la station météo
- Ajout "Cuisson" à "Chauffage et ECS" dans la liste "Chaleur"
- Ajout "Sous compteur" dans la liste "Type Compteur"
- Pré saisie des dates de début et fin des onglets Compteurs, sur la base d'une périodicité ajoutée dans l'onglet Site
- Remplacement des chaines de caractères "Chaleur" de la colonne M par les valeurs définies par celles de l’onglet Liste de manière à ce que les changements de noms se propagent
- Idem dans onglet Calcul DEET, colonne C
- Ajout Page de conversion des données compteurs depuis l'ancien fichier</t>
  </si>
  <si>
    <t>- Ajout des DJU des villes de Le Mans, Laval et la Roche-sur-Yon pour couvrir les Pays de la Loire 
- Ajout d'une colonne Cabs dans l'onglet "Sites" nécessaires pour le calcul de l'ajustement climatique
- Ajout d'une liste déroulante dans l'onglet "Sites" pour la sélection de l'altitude nécessaire pour le calcul de l'ajustement
- Ajout de l'ajustement climatique chauffage et refroidissement dans les onglets "Choix DEET" et "Suivi DEET" + courbe de l'intensité totale ajustée 
- Ajout d'un graphique Etiquette énergétique type DPE
- Ajout de la valeur Cabs sur le graphique de "Suivi DEET"
- Correction erreur intensité énergétique graphique "Suivi DEET"
- Correction erreur DJU moyen
- Différenciation des facteurs de conversion DEET et réels (DEET : RC = 0,77)</t>
  </si>
  <si>
    <t>Régime TVA</t>
  </si>
  <si>
    <t>Regime TVA</t>
  </si>
  <si>
    <t>HT</t>
  </si>
  <si>
    <t>TTC</t>
  </si>
  <si>
    <t>Début mois</t>
  </si>
  <si>
    <t>Colonne1</t>
  </si>
  <si>
    <t>fin mois</t>
  </si>
  <si>
    <t>Ratio_jour_avant_livr</t>
  </si>
  <si>
    <t>Ratio_jour_après_livr</t>
  </si>
  <si>
    <t>index_date_livraison</t>
  </si>
  <si>
    <t xml:space="preserve">Conso_mois_U </t>
  </si>
  <si>
    <t>Conso_mois_kWh</t>
  </si>
  <si>
    <t>Conso_mois_kWhEP</t>
  </si>
  <si>
    <t>Conso_mois_kWhDEET</t>
  </si>
  <si>
    <t xml:space="preserve">Somme de Conso_mois_U </t>
  </si>
  <si>
    <t>Somme de Conso_mois_U  Consommation</t>
  </si>
  <si>
    <t>Somme de Conso_mois_kWh Consommation</t>
  </si>
  <si>
    <t xml:space="preserve">Total Somme de Conso_mois_U </t>
  </si>
  <si>
    <t>Total Somme de Conso_mois_kWh</t>
  </si>
  <si>
    <t>Somme de Conso_mois_kWh</t>
  </si>
  <si>
    <t>Somme de Conso_mois_kWhEP Consommation</t>
  </si>
  <si>
    <t>Total Somme de Conso_mois_kWhEP</t>
  </si>
  <si>
    <t>Somme de Conso_mois_kWhEP</t>
  </si>
  <si>
    <t>Somme de Conso_mois_kWhDEET Consommation</t>
  </si>
  <si>
    <t>Total Somme de Conso_mois_kWhDEET</t>
  </si>
  <si>
    <t>Somme de Conso_mois_kWhDEET</t>
  </si>
  <si>
    <t>Début periode livraison</t>
  </si>
  <si>
    <t>ratio_avant_debut</t>
  </si>
  <si>
    <t>Cout_mois</t>
  </si>
  <si>
    <t>Ratio_Cout_avant_debut</t>
  </si>
  <si>
    <t>Ratio_Cout_après_livr</t>
  </si>
  <si>
    <t>Ratio_Cout_avant_livr</t>
  </si>
  <si>
    <t>Somme de Cout_mois</t>
  </si>
  <si>
    <t>Conso annuelle EAU :</t>
  </si>
  <si>
    <t>Indicateur eau</t>
  </si>
  <si>
    <t>Evénements dans la vie du site</t>
  </si>
  <si>
    <t xml:space="preserve"> </t>
  </si>
  <si>
    <t>TCD Compteur</t>
  </si>
  <si>
    <t>Somme de Conso/DJU</t>
  </si>
  <si>
    <t xml:space="preserve">Somme de Conso_mois_U  </t>
  </si>
  <si>
    <t xml:space="preserve">Somme de Conso_mois_kWh </t>
  </si>
  <si>
    <t xml:space="preserve">Somme de Conso_mois_kWhEP </t>
  </si>
  <si>
    <t xml:space="preserve">Somme de Conso_mois_kWhDEET </t>
  </si>
  <si>
    <t>Information compteur :</t>
  </si>
  <si>
    <t>Somme de Cout Unitaire</t>
  </si>
  <si>
    <t>Cout_unitaie</t>
  </si>
  <si>
    <t>Information sous-compteur :</t>
  </si>
  <si>
    <t>Somme de Conso_mois_U  Sous_comptage</t>
  </si>
  <si>
    <t>Somme de Conso_mois_kWh Sous_comptage</t>
  </si>
  <si>
    <t>Somme de Conso_mois_kWhEP Sous_comptage</t>
  </si>
  <si>
    <t>Somme de Conso_mois_kWhDEET Sous_comptage</t>
  </si>
  <si>
    <t>(vide)</t>
  </si>
  <si>
    <t xml:space="preserve">Njour année </t>
  </si>
  <si>
    <t>Une fois les données de comptage remplies, veuillez les actualiser en faisant Ctrl+Alt+F5 ou en cliquant sur le bouton "Actualiser tout" dans l'onglet "Données" de la barre d'Outils Excel</t>
  </si>
  <si>
    <t>Mise en forme pour fichier PENSEE</t>
  </si>
  <si>
    <t>Année de référence choisie</t>
  </si>
  <si>
    <t>Surface année de référence</t>
  </si>
  <si>
    <t>Consommation thermique - kWh</t>
  </si>
  <si>
    <t>Consommation électrique - kWh</t>
  </si>
  <si>
    <t>Consommation eau froide - m3</t>
  </si>
  <si>
    <t>kWh(DJU) / m²</t>
  </si>
  <si>
    <t>kWh(ECS) / m²</t>
  </si>
  <si>
    <t>kWh thermique / m²</t>
  </si>
  <si>
    <t>kWh électrique / m²</t>
  </si>
  <si>
    <t>L eau / jour / lit</t>
  </si>
  <si>
    <t>Surface année 2021</t>
  </si>
  <si>
    <t>Surface année 2022</t>
  </si>
  <si>
    <t>Attention le calcul imposé par le décret applique une part de DJU sur l'élec</t>
  </si>
  <si>
    <t xml:space="preserve">Table de conversion </t>
  </si>
  <si>
    <t>1.1</t>
  </si>
  <si>
    <t>DJU moyen</t>
  </si>
  <si>
    <t>DJU année</t>
  </si>
  <si>
    <t>Nombre de places de parking :</t>
  </si>
  <si>
    <t xml:space="preserve">Crédit Flaticon : </t>
  </si>
  <si>
    <t>Freepik</t>
  </si>
  <si>
    <t xml:space="preserve">Ouverture </t>
  </si>
  <si>
    <t xml:space="preserve">Jours ouvrés </t>
  </si>
  <si>
    <t xml:space="preserve">Ouverture du site </t>
  </si>
  <si>
    <t>Continu</t>
  </si>
  <si>
    <t>Ouverture</t>
  </si>
  <si>
    <t>Jours</t>
  </si>
  <si>
    <t>Samedi</t>
  </si>
  <si>
    <t xml:space="preserve">Dimanche </t>
  </si>
  <si>
    <t>Jour ouvrés moins petites vacances scolaires</t>
  </si>
  <si>
    <t>Jours ouvrés + samedi</t>
  </si>
  <si>
    <t>Jour ouvrés moins toutes vacances scolaires</t>
  </si>
  <si>
    <t xml:space="preserve">Jour semaine </t>
  </si>
  <si>
    <t>Fériés</t>
  </si>
  <si>
    <t>date</t>
  </si>
  <si>
    <t>zone</t>
  </si>
  <si>
    <t>nom_jour_ferie</t>
  </si>
  <si>
    <t>MÃ©tropole</t>
  </si>
  <si>
    <t>1er janvier</t>
  </si>
  <si>
    <t>Lundi de PÃ¢ques</t>
  </si>
  <si>
    <t>1er mai</t>
  </si>
  <si>
    <t>Ascension</t>
  </si>
  <si>
    <t>Lundi de PentecÃ´te</t>
  </si>
  <si>
    <t>Assomption</t>
  </si>
  <si>
    <t>Toussaint</t>
  </si>
  <si>
    <t>Jour de NoÃ«l</t>
  </si>
  <si>
    <t>Jours Fériés</t>
  </si>
  <si>
    <t>Fermé</t>
  </si>
  <si>
    <t>Nombre de jours fermés</t>
  </si>
  <si>
    <t>Fermeture</t>
  </si>
  <si>
    <t xml:space="preserve">Fonctionnement du site : </t>
  </si>
  <si>
    <t xml:space="preserve">Version : </t>
  </si>
  <si>
    <t>Station</t>
  </si>
  <si>
    <t xml:space="preserve">Date fin de période du premier comptage </t>
  </si>
  <si>
    <t>logo parking</t>
  </si>
  <si>
    <t>Créateur : Fabien Rouault (CTEES Groupement BRE123)
Contributeurs : Allan Fontaine (Econome de flux, ALE du Pays de Fougère), Laurent Faverais (CME49, MAPES Pays de la Loire)</t>
  </si>
  <si>
    <t>Alençon</t>
  </si>
  <si>
    <t>Total Moyenne de Conso_mois_kWh</t>
  </si>
  <si>
    <t>Moyenne de Conso_mois_kWh</t>
  </si>
  <si>
    <t>Total Moyenne de Conso_mois_kWhDEET</t>
  </si>
  <si>
    <t>Moyenne de Conso_mois_kWhDEET</t>
  </si>
  <si>
    <t>(Plusieurs éléments)</t>
  </si>
  <si>
    <t>Consommation estimée ECS</t>
  </si>
  <si>
    <t>DEET</t>
  </si>
  <si>
    <t>Total ECS</t>
  </si>
  <si>
    <t>Chauffage</t>
  </si>
  <si>
    <t>ECS seul</t>
  </si>
  <si>
    <t>Camembert Usage</t>
  </si>
  <si>
    <t xml:space="preserve">Electricité </t>
  </si>
  <si>
    <t>Bornes IRVE</t>
  </si>
  <si>
    <t>Cuisson</t>
  </si>
  <si>
    <t>- Mises à jour graphiques
- Onglet Synthèse : afficher les ratios thermiques en kWh EF PCI corrigés du DJU
-Tous Onglets : Ajout  EP/EF, PCS/PCI, Corrigé DJU ou non pour éviter confusion
- Onglet Site et Synthèse : Ajout nb places de parking pour suivi des obligations de solarisation
-Ajout fonctionnement site pour corriger la consommation journalière d'eau
- Fautes d'orthographe : "Sation" au lieu de Station sur onglet site, Manque un "v" à niveau sur onglet DEET
- Onglet Site, remplacer "Date du premier comptage" par "Date de fin de consommation de la première facture"
- Onglet Suivi Compteur : Graphique dynamique avec modification du pas de temps (mensuel, trimestriel, annuel)
- Mise en forme des donnée en Monétaire pour la colonne Cout de chaque compteur
- Ajout estimation ECS dans onglets Suivi DEET et Choix DEET
- Ajout d'un graphique en secteur des usages avec ECS estimée</t>
  </si>
  <si>
    <t>1.2</t>
  </si>
  <si>
    <t xml:space="preserve">Quantité </t>
  </si>
  <si>
    <t>Oui/Non</t>
  </si>
  <si>
    <t>Oui</t>
  </si>
  <si>
    <t>Non</t>
  </si>
  <si>
    <t>Compteurs Différents</t>
  </si>
  <si>
    <t>Séparation chauffage</t>
  </si>
  <si>
    <t xml:space="preserve">Si oui indiquez % chauffage : </t>
  </si>
  <si>
    <t>Forcer la part chauffage ?</t>
  </si>
  <si>
    <t xml:space="preserve">Forçage Chauffage </t>
  </si>
  <si>
    <t>Valeur du forçage</t>
  </si>
  <si>
    <t xml:space="preserve"> (ECS et Cuisson)</t>
  </si>
  <si>
    <t xml:space="preserve">Total conso </t>
  </si>
  <si>
    <t>Bilan Synthèse</t>
  </si>
  <si>
    <t>%</t>
  </si>
  <si>
    <t xml:space="preserve">index </t>
  </si>
  <si>
    <t>régime TVA appliqué :</t>
  </si>
  <si>
    <t>Indiquez un nombre entre 1 et 100 seulement si vous souhaitez forcer la part chauffage</t>
  </si>
  <si>
    <t xml:space="preserve">Pour communiquer les resultats, les différents onglets sont imprimables en orientation paysage. Pour la planète, Préférez une impression au format numérique .pdf. Les onglets des tableaux de bord correspondent aux 10 premières pages </t>
  </si>
  <si>
    <t>Surfaces</t>
  </si>
  <si>
    <t xml:space="preserve">Usages de l'énergie thermique </t>
  </si>
  <si>
    <t>Consommation unitaire</t>
  </si>
  <si>
    <t>Sélectionnez l'année à déclarer</t>
  </si>
  <si>
    <t>Si et seulement si les données saisies sont bien celles de vos factures, 
vous pouvez utiliser ce tableau pour la saisie OPERAT :</t>
  </si>
  <si>
    <t>https://operat.ademe.fr/#/public/signin</t>
  </si>
  <si>
    <t>Sélectionnez l'année dans le tableau de droite et reportez vos consommations :</t>
  </si>
  <si>
    <t>Cette table de conversion permet de passer de l'ancien au nouveau fichier de Suivi Energie</t>
  </si>
  <si>
    <t>Si vous n'avez des données annuelles, les saisir sur la première ligne</t>
  </si>
  <si>
    <t>Janvier ou
Données Annuelles</t>
  </si>
  <si>
    <t>Février</t>
  </si>
  <si>
    <t>Mars</t>
  </si>
  <si>
    <t>Avril</t>
  </si>
  <si>
    <t>Mai</t>
  </si>
  <si>
    <t>Juin</t>
  </si>
  <si>
    <t>Juillet</t>
  </si>
  <si>
    <t>Août</t>
  </si>
  <si>
    <t>Septembre</t>
  </si>
  <si>
    <t>Octobre</t>
  </si>
  <si>
    <t>Novembre</t>
  </si>
  <si>
    <t>Décembre</t>
  </si>
  <si>
    <t>Si vous avez des données complètes, copier/coller vos données ci-dessous</t>
  </si>
  <si>
    <t>Puis faites un Copier/Coller "Valeur" de vos données (fond vert) dans l'onglet "Compteur_X" choisi, en fonction de la périodicité souhaitée</t>
  </si>
  <si>
    <t>Attention, données corrigées du DJU</t>
  </si>
  <si>
    <t>Périodicité Facturation
[Nb mois]</t>
  </si>
  <si>
    <t xml:space="preserve">Dernière année déclarée : </t>
  </si>
  <si>
    <t>Onglet Synthèse : affiché les ratios thermiques en kWh EF PCI corrigés du DJU
Tous Onglets : bien préciser les unités (EP/EF, PCS/PCI, Corrigé DJU ou non) pour éviter les erreurs
Re créer les données liées aux estimations de consommations induites par l'ECS+Cuisson :
   - Select Box pour choisir de séparer ou non "ECS + Cuisson" du chauffage et sa la méthode d'estimation  :
   - Si non : Estimation de la conso d'ECS annuel sur la base des 4 mois d'été (moyenne des 4 mois étendu sur 12 mois)
   - Si oui : pas de possibilité de définir la conso d'ECS estivale/Chauffage, un champ "forçage %" sur l'Onglet SITE permet de forcer de la part chauffage (mettre en commentaire, valeur moyenne= 70%)
   - introduire ces données de conso ECS dans les différents graphiques : Synthèse, Choix DEET, Suivi DEET
Onglet Site et Synthèse : Ajout nb places de parking pour suivi des obligation de solarisation
Ajouter le nombre de jour ouvrés pour corriger la consommation journalière d'eau
Ajouter le numéro de version du fichier sur l'onglet Site, pour un meilleur suivi avec les utilisateurs
Ajouter Alençon dans les stations météo
Ajouter des titres et revoir la mise en place des graph sur onglets Suivi compteurs / Coût énergie
Onglet Site, remplacer "Date du premier comptage" par "Date de fin de consommation de la première facture"
Faire une passe sur les mises en forme des cellules et leur verrouillage, notament les onglets compteurs (pour les données saisies)
Remplir Release Note (1,1 et futur dev)
Onglet Suivi Compteur : remettre la possibilité de changer le pas de temps, Ex : Quelle conso par année ?
Ajout onglet "Déclaration Operat"
Reprise de mises en forme et commentaires suite relecture avec les CME
Ajout des DJU 2023</t>
  </si>
  <si>
    <t>Les chiffres sont les données brutes issues de vos saisies, 
non corrigés de la rigueur climatique</t>
  </si>
  <si>
    <t>Séparer le chauffage des autres usages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</si>
</sst>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8" formatCode="#,##0.00\ &quot;€&quot;;[Red]\-#,##0.00\ &quot;€&quot;"/>
    <numFmt numFmtId="44" formatCode="_-* #,##0.00\ &quot;€&quot;_-;\-* #,##0.00\ &quot;€&quot;_-;_-* &quot;-&quot;??\ &quot;€&quot;_-;_-@_-"/>
    <numFmt numFmtId="43" formatCode="_-* #,##0.00_-;\-* #,##0.00_-;_-* &quot;-&quot;??_-;_-@_-"/>
    <numFmt numFmtId="164" formatCode="0.000"/>
    <numFmt numFmtId="165" formatCode="_-* #,##0.0\ _€_-;\-* #,##0.0\ _€_-;_-* \-?\ _€_-;_-@_-"/>
    <numFmt numFmtId="166" formatCode="_-* #,##0.00\ _€_-;\-* #,##0.00\ _€_-;_-* \-??\ _€_-;_-@_-"/>
    <numFmt numFmtId="167" formatCode="_-* #,##0.0\ _€_-;\-* #,##0.0\ _€_-;_-* \-??\ _€_-;_-@_-"/>
    <numFmt numFmtId="168" formatCode="0.0&quot; kWh/m².an&quot;"/>
    <numFmt numFmtId="169" formatCode="_-* #,##0\ &quot;€&quot;_-;\-* #,##0\ &quot;€&quot;_-;_-* &quot;-&quot;??\ &quot;€&quot;_-;_-@_-"/>
    <numFmt numFmtId="170" formatCode="0.0&quot; l/j.lit&quot;"/>
    <numFmt numFmtId="171" formatCode="#,##0\ &quot;€&quot;"/>
    <numFmt numFmtId="172" formatCode="_-* #,##0_-;\-* #,##0_-;_-* &quot;-&quot;??_-;_-@_-"/>
    <numFmt numFmtId="173" formatCode="0.0&quot; kWhEP/m².an&quot;"/>
    <numFmt numFmtId="174" formatCode="0.00&quot; MWh [EF PCI]&quot;"/>
    <numFmt numFmtId="175" formatCode="0.0&quot; kWh [EP PCI]/m².an&quot;"/>
    <numFmt numFmtId="176" formatCode="0.0&quot; kWh [EF PCI]/m².an&quot;"/>
  </numFmts>
  <fonts count="59" x14ac:knownFonts="1">
    <font>
      <sz val="11"/>
      <color theme="1"/>
      <name val="Calibri"/>
      <family val="2"/>
      <scheme val="minor"/>
    </font>
    <font>
      <sz val="11"/>
      <color theme="1"/>
      <name val="Calibri"/>
      <family val="2"/>
      <scheme val="minor"/>
    </font>
    <font>
      <b/>
      <sz val="11"/>
      <color theme="0"/>
      <name val="Calibri"/>
      <family val="2"/>
      <scheme val="minor"/>
    </font>
    <font>
      <b/>
      <sz val="10"/>
      <color theme="1"/>
      <name val="Calibri"/>
      <family val="2"/>
      <scheme val="minor"/>
    </font>
    <font>
      <sz val="10"/>
      <color rgb="FF000000"/>
      <name val="Calibri"/>
      <family val="2"/>
    </font>
    <font>
      <b/>
      <sz val="10"/>
      <color theme="1"/>
      <name val="Arial"/>
      <family val="2"/>
    </font>
    <font>
      <sz val="10"/>
      <color theme="1"/>
      <name val="Calibri"/>
      <family val="2"/>
      <scheme val="minor"/>
    </font>
    <font>
      <sz val="10"/>
      <color rgb="FF000000"/>
      <name val="Calibri"/>
      <family val="2"/>
      <charset val="1"/>
    </font>
    <font>
      <b/>
      <sz val="11"/>
      <color theme="0"/>
      <name val="Calibri"/>
      <family val="2"/>
      <scheme val="minor"/>
    </font>
    <font>
      <b/>
      <sz val="11"/>
      <color theme="1"/>
      <name val="Calibri"/>
      <family val="2"/>
      <scheme val="minor"/>
    </font>
    <font>
      <sz val="11"/>
      <color rgb="FF000000"/>
      <name val="Calibri"/>
      <family val="2"/>
      <charset val="1"/>
    </font>
    <font>
      <b/>
      <sz val="11"/>
      <color rgb="FFFFFFFF"/>
      <name val="Calibri"/>
      <family val="2"/>
      <charset val="1"/>
    </font>
    <font>
      <b/>
      <sz val="14"/>
      <color theme="1"/>
      <name val="Calibri"/>
      <family val="2"/>
      <scheme val="minor"/>
    </font>
    <font>
      <b/>
      <sz val="10"/>
      <color rgb="FF000000"/>
      <name val="Calibri"/>
      <family val="2"/>
      <charset val="1"/>
    </font>
    <font>
      <sz val="11"/>
      <color theme="1"/>
      <name val="Calibri"/>
      <family val="2"/>
      <scheme val="minor"/>
    </font>
    <font>
      <sz val="11"/>
      <color rgb="FFFF0000"/>
      <name val="Calibri"/>
      <family val="2"/>
      <scheme val="minor"/>
    </font>
    <font>
      <b/>
      <sz val="10"/>
      <color theme="0"/>
      <name val="Calibri Light"/>
      <family val="2"/>
      <scheme val="major"/>
    </font>
    <font>
      <b/>
      <sz val="10"/>
      <color theme="1"/>
      <name val="Calibri Light"/>
      <family val="2"/>
      <scheme val="major"/>
    </font>
    <font>
      <sz val="11"/>
      <name val="Calibri"/>
      <family val="2"/>
      <scheme val="minor"/>
    </font>
    <font>
      <b/>
      <sz val="10"/>
      <color rgb="FF000000"/>
      <name val="Calibri"/>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b/>
      <sz val="10"/>
      <color theme="1"/>
      <name val="Calibri"/>
      <family val="2"/>
    </font>
    <font>
      <sz val="10"/>
      <color theme="1"/>
      <name val="Calibri"/>
      <family val="2"/>
    </font>
    <font>
      <b/>
      <sz val="9"/>
      <color theme="1"/>
      <name val="Calibri"/>
      <family val="2"/>
    </font>
    <font>
      <sz val="10"/>
      <color rgb="FF00B050"/>
      <name val="Calibri"/>
      <family val="2"/>
    </font>
    <font>
      <b/>
      <sz val="10"/>
      <color rgb="FF00B050"/>
      <name val="Calibri"/>
      <family val="2"/>
    </font>
    <font>
      <sz val="11"/>
      <color rgb="FF000000"/>
      <name val="Calibri"/>
      <family val="2"/>
    </font>
    <font>
      <sz val="10"/>
      <color rgb="FFFF0000"/>
      <name val="Calibri"/>
      <family val="2"/>
    </font>
    <font>
      <b/>
      <sz val="10"/>
      <color rgb="FFFF0000"/>
      <name val="Calibri"/>
      <family val="2"/>
    </font>
    <font>
      <sz val="10"/>
      <color rgb="FF0000FF"/>
      <name val="Calibri"/>
      <family val="2"/>
    </font>
    <font>
      <sz val="11"/>
      <color theme="1"/>
      <name val="Calibri"/>
      <family val="2"/>
      <scheme val="minor"/>
    </font>
    <font>
      <sz val="10"/>
      <color rgb="FFFF0000"/>
      <name val="Calibri"/>
      <family val="2"/>
      <scheme val="minor"/>
    </font>
    <font>
      <sz val="12"/>
      <color theme="1"/>
      <name val="Times New Roman"/>
      <family val="1"/>
    </font>
    <font>
      <sz val="8"/>
      <color rgb="FFFF0000"/>
      <name val="Calibri"/>
      <family val="2"/>
      <scheme val="minor"/>
    </font>
    <font>
      <b/>
      <sz val="9"/>
      <color theme="1"/>
      <name val="Calibri"/>
      <family val="2"/>
      <scheme val="minor"/>
    </font>
    <font>
      <sz val="9"/>
      <color theme="1"/>
      <name val="Calibri"/>
      <family val="2"/>
      <scheme val="minor"/>
    </font>
    <font>
      <b/>
      <sz val="9"/>
      <color indexed="81"/>
      <name val="Tahoma"/>
      <family val="2"/>
    </font>
    <font>
      <sz val="9"/>
      <color indexed="81"/>
      <name val="Tahoma"/>
      <family val="2"/>
    </font>
    <font>
      <sz val="11"/>
      <color indexed="81"/>
      <name val="Tahoma"/>
      <family val="2"/>
    </font>
    <font>
      <sz val="12"/>
      <color theme="1"/>
      <name val="Calibri"/>
      <family val="2"/>
      <scheme val="minor"/>
    </font>
    <font>
      <sz val="9"/>
      <color rgb="FFFF0000"/>
      <name val="Calibri"/>
      <family val="2"/>
      <scheme val="minor"/>
    </font>
    <font>
      <b/>
      <sz val="16"/>
      <color theme="1"/>
      <name val="Calibri"/>
      <family val="2"/>
      <scheme val="minor"/>
    </font>
    <font>
      <sz val="8"/>
      <name val="Calibri"/>
      <family val="2"/>
      <scheme val="minor"/>
    </font>
    <font>
      <u/>
      <sz val="11"/>
      <color theme="10"/>
      <name val="Calibri"/>
      <family val="2"/>
      <scheme val="minor"/>
    </font>
    <font>
      <sz val="11"/>
      <color rgb="FF0070C0"/>
      <name val="Calibri"/>
      <family val="2"/>
      <scheme val="minor"/>
    </font>
    <font>
      <sz val="11"/>
      <color theme="1"/>
      <name val="Calibri"/>
      <family val="2"/>
      <scheme val="minor"/>
    </font>
  </fonts>
  <fills count="60">
    <fill>
      <patternFill patternType="none"/>
    </fill>
    <fill>
      <patternFill patternType="gray125"/>
    </fill>
    <fill>
      <patternFill patternType="solid">
        <fgColor theme="4"/>
        <bgColor theme="4"/>
      </patternFill>
    </fill>
    <fill>
      <patternFill patternType="solid">
        <fgColor theme="8" tint="0.39997558519241921"/>
        <bgColor indexed="64"/>
      </patternFill>
    </fill>
    <fill>
      <patternFill patternType="solid">
        <fgColor theme="4" tint="0.59999389629810485"/>
        <bgColor rgb="FFFFFFD7"/>
      </patternFill>
    </fill>
    <fill>
      <patternFill patternType="solid">
        <fgColor theme="0" tint="-0.14999847407452621"/>
        <bgColor indexed="64"/>
      </patternFill>
    </fill>
    <fill>
      <patternFill patternType="solid">
        <fgColor theme="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5"/>
        <bgColor indexed="64"/>
      </patternFill>
    </fill>
    <fill>
      <patternFill patternType="solid">
        <fgColor rgb="FF5B9BD5"/>
        <bgColor rgb="FF4F81BD"/>
      </patternFill>
    </fill>
    <fill>
      <patternFill patternType="solid">
        <fgColor theme="0"/>
        <bgColor rgb="FFFFFFD7"/>
      </patternFill>
    </fill>
    <fill>
      <patternFill patternType="solid">
        <fgColor theme="0"/>
        <bgColor rgb="FF4F81BD"/>
      </patternFill>
    </fill>
    <fill>
      <patternFill patternType="solid">
        <fgColor theme="0"/>
        <bgColor rgb="FFFF99CC"/>
      </patternFill>
    </fill>
    <fill>
      <patternFill patternType="solid">
        <fgColor rgb="FFFFFFFF"/>
        <bgColor rgb="FFF2F2F2"/>
      </patternFill>
    </fill>
    <fill>
      <patternFill patternType="solid">
        <fgColor theme="8" tint="-0.249977111117893"/>
        <bgColor rgb="FFFFE598"/>
      </patternFill>
    </fill>
    <fill>
      <patternFill patternType="solid">
        <fgColor theme="8" tint="0.39997558519241921"/>
        <bgColor rgb="FFFFE598"/>
      </patternFill>
    </fill>
    <fill>
      <patternFill patternType="solid">
        <fgColor theme="4" tint="0.39997558519241921"/>
        <bgColor rgb="FF4F81BD"/>
      </patternFill>
    </fill>
    <fill>
      <patternFill patternType="solid">
        <fgColor theme="4" tint="0.39997558519241921"/>
        <bgColor indexed="64"/>
      </patternFill>
    </fill>
    <fill>
      <patternFill patternType="solid">
        <fgColor theme="4" tint="0.79998168889431442"/>
        <bgColor rgb="FFFFFFD7"/>
      </patternFill>
    </fill>
    <fill>
      <patternFill patternType="solid">
        <fgColor theme="2"/>
        <bgColor rgb="FFFF99CC"/>
      </patternFill>
    </fill>
    <fill>
      <patternFill patternType="solid">
        <fgColor theme="2"/>
        <bgColor indexed="64"/>
      </patternFill>
    </fill>
    <fill>
      <patternFill patternType="solid">
        <fgColor theme="4" tint="0.39997558519241921"/>
        <bgColor rgb="FFFFFFD7"/>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DD6EE"/>
        <bgColor indexed="64"/>
      </patternFill>
    </fill>
    <fill>
      <patternFill patternType="solid">
        <fgColor rgb="FFD9D9D9"/>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9"/>
        <bgColor indexed="64"/>
      </patternFill>
    </fill>
    <fill>
      <patternFill patternType="solid">
        <fgColor theme="9" tint="0.59999389629810485"/>
        <bgColor indexed="64"/>
      </patternFill>
    </fill>
  </fills>
  <borders count="96">
    <border>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1"/>
      </left>
      <right/>
      <top style="medium">
        <color theme="1"/>
      </top>
      <bottom style="medium">
        <color theme="1"/>
      </bottom>
      <diagonal/>
    </border>
    <border>
      <left style="medium">
        <color indexed="64"/>
      </left>
      <right/>
      <top style="medium">
        <color theme="1"/>
      </top>
      <bottom style="medium">
        <color theme="1"/>
      </bottom>
      <diagonal/>
    </border>
    <border>
      <left/>
      <right style="medium">
        <color indexed="64"/>
      </right>
      <top style="medium">
        <color theme="1"/>
      </top>
      <bottom style="medium">
        <color theme="1"/>
      </bottom>
      <diagonal/>
    </border>
    <border>
      <left/>
      <right style="thin">
        <color auto="1"/>
      </right>
      <top style="medium">
        <color theme="1"/>
      </top>
      <bottom style="medium">
        <color theme="1"/>
      </bottom>
      <diagonal/>
    </border>
    <border>
      <left style="thin">
        <color auto="1"/>
      </left>
      <right style="medium">
        <color indexed="64"/>
      </right>
      <top style="medium">
        <color theme="1"/>
      </top>
      <bottom style="medium">
        <color theme="1"/>
      </bottom>
      <diagonal/>
    </border>
    <border>
      <left style="thin">
        <color auto="1"/>
      </left>
      <right style="medium">
        <color theme="1"/>
      </right>
      <top style="medium">
        <color theme="1"/>
      </top>
      <bottom style="medium">
        <color theme="1"/>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auto="1"/>
      </left>
      <right style="medium">
        <color indexed="64"/>
      </right>
      <top style="thin">
        <color auto="1"/>
      </top>
      <bottom/>
      <diagonal/>
    </border>
    <border>
      <left/>
      <right style="thin">
        <color indexed="64"/>
      </right>
      <top style="thin">
        <color indexed="64"/>
      </top>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tint="0.39997558519241921"/>
      </left>
      <right style="thin">
        <color theme="4" tint="0.3999755851924192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theme="1"/>
      </left>
      <right/>
      <top style="medium">
        <color theme="1"/>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thin">
        <color theme="4" tint="0.39997558519241921"/>
      </bottom>
      <diagonal/>
    </border>
    <border>
      <left style="medium">
        <color indexed="64"/>
      </left>
      <right/>
      <top style="medium">
        <color indexed="64"/>
      </top>
      <bottom style="medium">
        <color indexed="64"/>
      </bottom>
      <diagonal/>
    </border>
    <border>
      <left/>
      <right style="thin">
        <color theme="4" tint="0.39997558519241921"/>
      </right>
      <top/>
      <bottom style="thin">
        <color theme="4" tint="0.39997558519241921"/>
      </bottom>
      <diagonal/>
    </border>
    <border>
      <left/>
      <right/>
      <top/>
      <bottom style="thin">
        <color rgb="FF9BC2E6"/>
      </bottom>
      <diagonal/>
    </border>
    <border>
      <left/>
      <right style="thin">
        <color theme="4" tint="0.39997558519241921"/>
      </right>
      <top/>
      <bottom style="thin">
        <color rgb="FF9BC2E6"/>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thick">
        <color indexed="64"/>
      </left>
      <right style="medium">
        <color indexed="64"/>
      </right>
      <top style="thick">
        <color indexed="64"/>
      </top>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thick">
        <color indexed="64"/>
      </top>
      <bottom/>
      <diagonal/>
    </border>
    <border>
      <left style="medium">
        <color indexed="64"/>
      </left>
      <right style="medium">
        <color indexed="64"/>
      </right>
      <top style="medium">
        <color indexed="64"/>
      </top>
      <bottom style="thin">
        <color indexed="64"/>
      </bottom>
      <diagonal/>
    </border>
    <border>
      <left style="thin">
        <color theme="4"/>
      </left>
      <right/>
      <top style="thin">
        <color theme="4"/>
      </top>
      <bottom style="thin">
        <color theme="4" tint="0.39997558519241921"/>
      </bottom>
      <diagonal/>
    </border>
    <border>
      <left style="thin">
        <color theme="4"/>
      </left>
      <right/>
      <top style="thin">
        <color theme="4" tint="0.39997558519241921"/>
      </top>
      <bottom style="thin">
        <color theme="4" tint="0.39997558519241921"/>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style="thick">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theme="4"/>
      </left>
      <right/>
      <top/>
      <bottom style="thin">
        <color theme="4" tint="0.3999755851924192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style="medium">
        <color indexed="64"/>
      </right>
      <top style="thin">
        <color auto="1"/>
      </top>
      <bottom style="thin">
        <color auto="1"/>
      </bottom>
      <diagonal/>
    </border>
    <border>
      <left style="thin">
        <color theme="4"/>
      </left>
      <right/>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top style="medium">
        <color indexed="64"/>
      </top>
      <bottom/>
      <diagonal/>
    </border>
  </borders>
  <cellStyleXfs count="58">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xf numFmtId="44" fontId="1" fillId="0" borderId="0" applyFont="0" applyFill="0" applyBorder="0" applyAlignment="0" applyProtection="0"/>
    <xf numFmtId="44" fontId="1" fillId="0" borderId="0" applyFont="0" applyFill="0" applyBorder="0" applyAlignment="0" applyProtection="0"/>
    <xf numFmtId="166" fontId="10" fillId="0" borderId="0" applyBorder="0" applyProtection="0"/>
    <xf numFmtId="0" fontId="21" fillId="0" borderId="0" applyNumberFormat="0" applyFill="0" applyBorder="0" applyAlignment="0" applyProtection="0"/>
    <xf numFmtId="0" fontId="22" fillId="0" borderId="52" applyNumberFormat="0" applyFill="0" applyAlignment="0" applyProtection="0"/>
    <xf numFmtId="0" fontId="23" fillId="0" borderId="53" applyNumberFormat="0" applyFill="0" applyAlignment="0" applyProtection="0"/>
    <xf numFmtId="0" fontId="24" fillId="0" borderId="54" applyNumberFormat="0" applyFill="0" applyAlignment="0" applyProtection="0"/>
    <xf numFmtId="0" fontId="24" fillId="0" borderId="0" applyNumberFormat="0" applyFill="0" applyBorder="0" applyAlignment="0" applyProtection="0"/>
    <xf numFmtId="0" fontId="25" fillId="23" borderId="0" applyNumberFormat="0" applyBorder="0" applyAlignment="0" applyProtection="0"/>
    <xf numFmtId="0" fontId="26" fillId="24" borderId="0" applyNumberFormat="0" applyBorder="0" applyAlignment="0" applyProtection="0"/>
    <xf numFmtId="0" fontId="27" fillId="25" borderId="0" applyNumberFormat="0" applyBorder="0" applyAlignment="0" applyProtection="0"/>
    <xf numFmtId="0" fontId="28" fillId="26" borderId="55" applyNumberFormat="0" applyAlignment="0" applyProtection="0"/>
    <xf numFmtId="0" fontId="29" fillId="27" borderId="56" applyNumberFormat="0" applyAlignment="0" applyProtection="0"/>
    <xf numFmtId="0" fontId="30" fillId="27" borderId="55" applyNumberFormat="0" applyAlignment="0" applyProtection="0"/>
    <xf numFmtId="0" fontId="31" fillId="0" borderId="57" applyNumberFormat="0" applyFill="0" applyAlignment="0" applyProtection="0"/>
    <xf numFmtId="0" fontId="2" fillId="28" borderId="58" applyNumberFormat="0" applyAlignment="0" applyProtection="0"/>
    <xf numFmtId="0" fontId="15" fillId="0" borderId="0" applyNumberFormat="0" applyFill="0" applyBorder="0" applyAlignment="0" applyProtection="0"/>
    <xf numFmtId="0" fontId="1" fillId="29" borderId="59" applyNumberFormat="0" applyFont="0" applyAlignment="0" applyProtection="0"/>
    <xf numFmtId="0" fontId="32" fillId="0" borderId="0" applyNumberFormat="0" applyFill="0" applyBorder="0" applyAlignment="0" applyProtection="0"/>
    <xf numFmtId="0" fontId="9" fillId="0" borderId="60" applyNumberFormat="0" applyFill="0" applyAlignment="0" applyProtection="0"/>
    <xf numFmtId="0" fontId="33"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3"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3"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3"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3"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3"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6" fillId="0" borderId="0" applyNumberFormat="0" applyFill="0" applyBorder="0" applyAlignment="0" applyProtection="0"/>
  </cellStyleXfs>
  <cellXfs count="358">
    <xf numFmtId="0" fontId="0" fillId="0" borderId="0" xfId="0"/>
    <xf numFmtId="0" fontId="2" fillId="2" borderId="2" xfId="0" applyFont="1" applyFill="1" applyBorder="1"/>
    <xf numFmtId="0" fontId="2" fillId="2" borderId="3" xfId="0" applyFont="1" applyFill="1" applyBorder="1"/>
    <xf numFmtId="14" fontId="0" fillId="0" borderId="0" xfId="0" applyNumberFormat="1"/>
    <xf numFmtId="0" fontId="3" fillId="3" borderId="4"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3" fontId="4" fillId="4" borderId="10" xfId="0" applyNumberFormat="1" applyFont="1" applyFill="1" applyBorder="1" applyAlignment="1">
      <alignment horizontal="center" vertical="center"/>
    </xf>
    <xf numFmtId="3" fontId="5" fillId="5" borderId="11" xfId="1" applyNumberFormat="1" applyFont="1" applyFill="1" applyBorder="1" applyAlignment="1" applyProtection="1">
      <alignment horizontal="center" vertical="center"/>
    </xf>
    <xf numFmtId="3" fontId="6" fillId="6" borderId="12" xfId="0" applyNumberFormat="1" applyFont="1" applyFill="1" applyBorder="1" applyAlignment="1">
      <alignment horizontal="center" vertical="center"/>
    </xf>
    <xf numFmtId="164" fontId="6" fillId="5" borderId="13" xfId="0" applyNumberFormat="1" applyFont="1" applyFill="1" applyBorder="1" applyAlignment="1">
      <alignment horizontal="center" vertical="center"/>
    </xf>
    <xf numFmtId="0" fontId="6" fillId="0" borderId="12" xfId="0" applyFont="1" applyBorder="1" applyAlignment="1">
      <alignment horizontal="center" vertical="center"/>
    </xf>
    <xf numFmtId="9" fontId="6" fillId="6" borderId="12" xfId="0" applyNumberFormat="1" applyFont="1" applyFill="1" applyBorder="1" applyAlignment="1">
      <alignment horizontal="center" vertical="center"/>
    </xf>
    <xf numFmtId="4" fontId="5" fillId="5" borderId="11" xfId="1" applyNumberFormat="1" applyFont="1" applyFill="1" applyBorder="1" applyAlignment="1" applyProtection="1">
      <alignment horizontal="center" vertical="center"/>
    </xf>
    <xf numFmtId="4" fontId="5" fillId="7" borderId="11" xfId="1" applyNumberFormat="1" applyFont="1" applyFill="1" applyBorder="1" applyAlignment="1" applyProtection="1">
      <alignment horizontal="center" vertical="center"/>
    </xf>
    <xf numFmtId="9" fontId="6" fillId="6" borderId="12" xfId="2" applyFont="1" applyFill="1" applyBorder="1" applyAlignment="1">
      <alignment horizontal="center" vertical="center"/>
    </xf>
    <xf numFmtId="0" fontId="6" fillId="8" borderId="10" xfId="0" applyFont="1" applyFill="1" applyBorder="1" applyAlignment="1">
      <alignment horizontal="center" vertical="center"/>
    </xf>
    <xf numFmtId="2" fontId="6" fillId="0" borderId="12" xfId="0" applyNumberFormat="1" applyFont="1" applyBorder="1" applyAlignment="1">
      <alignment horizontal="center" vertical="center"/>
    </xf>
    <xf numFmtId="0" fontId="6" fillId="8" borderId="14" xfId="0" applyFont="1" applyFill="1" applyBorder="1" applyAlignment="1">
      <alignment horizontal="center" vertical="center"/>
    </xf>
    <xf numFmtId="164" fontId="6" fillId="9" borderId="13" xfId="0" applyNumberFormat="1" applyFont="1" applyFill="1" applyBorder="1" applyAlignment="1">
      <alignment horizontal="center" vertical="center"/>
    </xf>
    <xf numFmtId="0" fontId="6" fillId="8" borderId="15" xfId="0" applyFont="1" applyFill="1" applyBorder="1" applyAlignment="1">
      <alignment horizontal="center" vertical="center"/>
    </xf>
    <xf numFmtId="3" fontId="5" fillId="5" borderId="16" xfId="1" applyNumberFormat="1" applyFont="1" applyFill="1" applyBorder="1" applyAlignment="1" applyProtection="1">
      <alignment horizontal="center" vertical="center"/>
    </xf>
    <xf numFmtId="3" fontId="6" fillId="6" borderId="17" xfId="0" applyNumberFormat="1" applyFont="1" applyFill="1" applyBorder="1" applyAlignment="1">
      <alignment horizontal="center" vertical="center"/>
    </xf>
    <xf numFmtId="164" fontId="6" fillId="5" borderId="18" xfId="0" applyNumberFormat="1" applyFont="1" applyFill="1" applyBorder="1" applyAlignment="1">
      <alignment horizontal="center" vertical="center"/>
    </xf>
    <xf numFmtId="2" fontId="6" fillId="0" borderId="17" xfId="0" applyNumberFormat="1" applyFont="1" applyBorder="1" applyAlignment="1">
      <alignment horizontal="center" vertical="center"/>
    </xf>
    <xf numFmtId="9" fontId="6" fillId="6" borderId="17" xfId="2" applyFont="1" applyFill="1" applyBorder="1" applyAlignment="1">
      <alignment horizontal="center" vertical="center"/>
    </xf>
    <xf numFmtId="14" fontId="7" fillId="0" borderId="19" xfId="0" applyNumberFormat="1" applyFont="1" applyBorder="1"/>
    <xf numFmtId="0" fontId="7" fillId="0" borderId="20" xfId="0" applyFont="1" applyBorder="1"/>
    <xf numFmtId="0" fontId="0" fillId="0" borderId="21" xfId="0" applyBorder="1"/>
    <xf numFmtId="0" fontId="0" fillId="0" borderId="20" xfId="0" applyBorder="1"/>
    <xf numFmtId="0" fontId="2" fillId="2" borderId="1" xfId="0" applyFont="1" applyFill="1" applyBorder="1"/>
    <xf numFmtId="0" fontId="2" fillId="2" borderId="0" xfId="0" applyFont="1" applyFill="1"/>
    <xf numFmtId="0" fontId="2" fillId="2" borderId="22" xfId="0" applyFont="1" applyFill="1" applyBorder="1"/>
    <xf numFmtId="0" fontId="8" fillId="2" borderId="22" xfId="0" applyFont="1" applyFill="1" applyBorder="1"/>
    <xf numFmtId="0" fontId="11" fillId="10" borderId="23" xfId="3" applyFont="1" applyFill="1" applyBorder="1" applyAlignment="1">
      <alignment horizontal="center"/>
    </xf>
    <xf numFmtId="0" fontId="9" fillId="0" borderId="0" xfId="0" applyFont="1"/>
    <xf numFmtId="0" fontId="3" fillId="3" borderId="25" xfId="0" applyFont="1" applyFill="1" applyBorder="1" applyAlignment="1">
      <alignment horizontal="center" vertical="center"/>
    </xf>
    <xf numFmtId="0" fontId="3" fillId="3" borderId="26" xfId="0" applyFont="1" applyFill="1" applyBorder="1" applyAlignment="1">
      <alignment horizontal="center" vertical="center"/>
    </xf>
    <xf numFmtId="0" fontId="3" fillId="3" borderId="27" xfId="0" applyFont="1" applyFill="1" applyBorder="1" applyAlignment="1">
      <alignment horizontal="center" vertical="center"/>
    </xf>
    <xf numFmtId="0" fontId="3" fillId="3" borderId="28" xfId="0" applyFont="1" applyFill="1" applyBorder="1" applyAlignment="1">
      <alignment horizontal="center" vertical="center"/>
    </xf>
    <xf numFmtId="0" fontId="4" fillId="11" borderId="0" xfId="1" applyNumberFormat="1" applyFont="1" applyFill="1" applyBorder="1" applyAlignment="1" applyProtection="1">
      <alignment horizontal="center" vertical="center"/>
    </xf>
    <xf numFmtId="0" fontId="0" fillId="6" borderId="0" xfId="0" applyFill="1"/>
    <xf numFmtId="0" fontId="13" fillId="12" borderId="0" xfId="3" applyFont="1" applyFill="1" applyAlignment="1">
      <alignment vertical="center"/>
    </xf>
    <xf numFmtId="3" fontId="0" fillId="13" borderId="0" xfId="0" applyNumberFormat="1" applyFill="1" applyAlignment="1">
      <alignment horizontal="center" vertical="center" wrapText="1"/>
    </xf>
    <xf numFmtId="0" fontId="2" fillId="2" borderId="33" xfId="0" applyFont="1" applyFill="1" applyBorder="1"/>
    <xf numFmtId="0" fontId="2" fillId="2" borderId="35" xfId="0" applyFont="1" applyFill="1" applyBorder="1"/>
    <xf numFmtId="0" fontId="2" fillId="2" borderId="36" xfId="0" applyFont="1" applyFill="1" applyBorder="1"/>
    <xf numFmtId="0" fontId="2" fillId="2" borderId="37" xfId="0" applyFont="1" applyFill="1" applyBorder="1"/>
    <xf numFmtId="3" fontId="0" fillId="0" borderId="0" xfId="0" applyNumberFormat="1"/>
    <xf numFmtId="0" fontId="3" fillId="3" borderId="0" xfId="0" applyFont="1" applyFill="1" applyAlignment="1">
      <alignment horizontal="center" vertical="center"/>
    </xf>
    <xf numFmtId="0" fontId="9" fillId="0" borderId="0" xfId="0" applyFont="1" applyAlignment="1">
      <alignment horizontal="center" wrapText="1"/>
    </xf>
    <xf numFmtId="0" fontId="2" fillId="0" borderId="0" xfId="0" applyFont="1"/>
    <xf numFmtId="0" fontId="14" fillId="0" borderId="20" xfId="0" applyFont="1" applyBorder="1"/>
    <xf numFmtId="0" fontId="14" fillId="0" borderId="0" xfId="0" applyFont="1"/>
    <xf numFmtId="165" fontId="10" fillId="14" borderId="0" xfId="3" applyNumberFormat="1" applyFill="1"/>
    <xf numFmtId="167" fontId="0" fillId="14" borderId="23" xfId="6" applyNumberFormat="1" applyFont="1" applyFill="1" applyBorder="1" applyProtection="1"/>
    <xf numFmtId="165" fontId="0" fillId="0" borderId="0" xfId="0" applyNumberFormat="1"/>
    <xf numFmtId="168" fontId="0" fillId="0" borderId="0" xfId="0" applyNumberFormat="1"/>
    <xf numFmtId="9" fontId="0" fillId="0" borderId="0" xfId="2" applyFont="1"/>
    <xf numFmtId="0" fontId="0" fillId="6" borderId="0" xfId="0" applyFill="1" applyAlignment="1">
      <alignment horizontal="right"/>
    </xf>
    <xf numFmtId="14" fontId="7" fillId="0" borderId="0" xfId="0" applyNumberFormat="1" applyFont="1"/>
    <xf numFmtId="0" fontId="7" fillId="0" borderId="0" xfId="0" applyFont="1"/>
    <xf numFmtId="0" fontId="2" fillId="2" borderId="38" xfId="0" applyFont="1" applyFill="1" applyBorder="1"/>
    <xf numFmtId="0" fontId="2" fillId="2" borderId="39" xfId="0" applyFont="1" applyFill="1" applyBorder="1"/>
    <xf numFmtId="0" fontId="2" fillId="2" borderId="40" xfId="0" applyFont="1" applyFill="1" applyBorder="1"/>
    <xf numFmtId="0" fontId="16" fillId="15" borderId="23" xfId="0" applyFont="1" applyFill="1" applyBorder="1" applyAlignment="1">
      <alignment horizontal="center" vertical="center" wrapText="1"/>
    </xf>
    <xf numFmtId="0" fontId="0" fillId="0" borderId="23" xfId="0" quotePrefix="1" applyBorder="1" applyAlignment="1">
      <alignment horizontal="center" vertical="center"/>
    </xf>
    <xf numFmtId="164" fontId="0" fillId="0" borderId="23" xfId="0" quotePrefix="1" applyNumberFormat="1" applyBorder="1" applyAlignment="1">
      <alignment horizontal="center" vertical="center"/>
    </xf>
    <xf numFmtId="0" fontId="0" fillId="5" borderId="13" xfId="0" applyFill="1" applyBorder="1" applyAlignment="1">
      <alignment horizontal="center" vertical="center"/>
    </xf>
    <xf numFmtId="1" fontId="0" fillId="0" borderId="23" xfId="0" applyNumberFormat="1" applyBorder="1" applyAlignment="1">
      <alignment horizontal="center" vertical="center"/>
    </xf>
    <xf numFmtId="0" fontId="16" fillId="15" borderId="23" xfId="0" applyFont="1" applyFill="1" applyBorder="1" applyAlignment="1">
      <alignment vertical="center" wrapText="1"/>
    </xf>
    <xf numFmtId="0" fontId="0" fillId="5" borderId="45" xfId="0" applyFill="1" applyBorder="1" applyAlignment="1">
      <alignment horizontal="center" vertical="center"/>
    </xf>
    <xf numFmtId="0" fontId="0" fillId="0" borderId="42" xfId="0" quotePrefix="1" applyBorder="1" applyAlignment="1">
      <alignment horizontal="center" vertical="center"/>
    </xf>
    <xf numFmtId="1" fontId="0" fillId="0" borderId="42" xfId="0" applyNumberFormat="1" applyBorder="1" applyAlignment="1">
      <alignment horizontal="center" vertical="center"/>
    </xf>
    <xf numFmtId="164" fontId="0" fillId="0" borderId="42" xfId="0" quotePrefix="1" applyNumberFormat="1" applyBorder="1" applyAlignment="1">
      <alignment horizontal="center" vertical="center"/>
    </xf>
    <xf numFmtId="0" fontId="0" fillId="6" borderId="0" xfId="0" applyFill="1" applyAlignment="1">
      <alignment vertical="top" wrapText="1"/>
    </xf>
    <xf numFmtId="0" fontId="13" fillId="17" borderId="16" xfId="3" applyFont="1" applyFill="1" applyBorder="1" applyAlignment="1">
      <alignment horizontal="center" vertical="center"/>
    </xf>
    <xf numFmtId="0" fontId="13" fillId="17" borderId="34" xfId="3" applyFont="1" applyFill="1" applyBorder="1" applyAlignment="1">
      <alignment vertical="center"/>
    </xf>
    <xf numFmtId="3" fontId="0" fillId="20" borderId="11" xfId="0" applyNumberFormat="1" applyFill="1" applyBorder="1" applyAlignment="1">
      <alignment horizontal="center" vertical="center" wrapText="1"/>
    </xf>
    <xf numFmtId="3" fontId="0" fillId="20" borderId="23" xfId="0" applyNumberFormat="1" applyFill="1" applyBorder="1" applyAlignment="1">
      <alignment horizontal="center" vertical="center" wrapText="1"/>
    </xf>
    <xf numFmtId="0" fontId="4" fillId="19" borderId="14" xfId="1" applyNumberFormat="1" applyFont="1" applyFill="1" applyBorder="1" applyAlignment="1" applyProtection="1">
      <alignment horizontal="center" vertical="center"/>
    </xf>
    <xf numFmtId="0" fontId="4" fillId="19" borderId="10" xfId="1" applyNumberFormat="1" applyFont="1" applyFill="1" applyBorder="1" applyAlignment="1" applyProtection="1">
      <alignment horizontal="center" vertical="center"/>
    </xf>
    <xf numFmtId="0" fontId="4" fillId="19" borderId="32" xfId="1" applyNumberFormat="1" applyFont="1" applyFill="1" applyBorder="1" applyAlignment="1" applyProtection="1">
      <alignment horizontal="center" vertical="center"/>
    </xf>
    <xf numFmtId="0" fontId="13" fillId="17" borderId="46" xfId="3" applyFont="1" applyFill="1" applyBorder="1" applyAlignment="1">
      <alignment horizontal="center" vertical="center"/>
    </xf>
    <xf numFmtId="3" fontId="0" fillId="20" borderId="31" xfId="0" applyNumberFormat="1" applyFill="1" applyBorder="1" applyAlignment="1">
      <alignment horizontal="center" vertical="center" wrapText="1"/>
    </xf>
    <xf numFmtId="0" fontId="18" fillId="6" borderId="0" xfId="0" applyFont="1" applyFill="1"/>
    <xf numFmtId="0" fontId="9" fillId="6" borderId="0" xfId="0" applyFont="1" applyFill="1"/>
    <xf numFmtId="0" fontId="12" fillId="6" borderId="0" xfId="0" applyFont="1" applyFill="1"/>
    <xf numFmtId="0" fontId="3" fillId="18" borderId="47" xfId="0" applyFont="1" applyFill="1" applyBorder="1" applyAlignment="1">
      <alignment horizontal="center" vertical="center"/>
    </xf>
    <xf numFmtId="0" fontId="9" fillId="0" borderId="0" xfId="0" applyFont="1" applyAlignment="1">
      <alignment horizontal="right"/>
    </xf>
    <xf numFmtId="169" fontId="0" fillId="0" borderId="0" xfId="4" applyNumberFormat="1" applyFont="1"/>
    <xf numFmtId="0" fontId="6" fillId="6" borderId="0" xfId="0" applyFont="1" applyFill="1"/>
    <xf numFmtId="170" fontId="0" fillId="0" borderId="0" xfId="0" applyNumberFormat="1"/>
    <xf numFmtId="2" fontId="0" fillId="0" borderId="0" xfId="0" applyNumberFormat="1"/>
    <xf numFmtId="0" fontId="0" fillId="0" borderId="0" xfId="0" quotePrefix="1" applyAlignment="1">
      <alignment wrapText="1"/>
    </xf>
    <xf numFmtId="164" fontId="6" fillId="9" borderId="18" xfId="0" applyNumberFormat="1" applyFont="1" applyFill="1" applyBorder="1" applyAlignment="1">
      <alignment horizontal="center" vertical="center"/>
    </xf>
    <xf numFmtId="0" fontId="0" fillId="0" borderId="0" xfId="0" applyAlignment="1">
      <alignment wrapText="1"/>
    </xf>
    <xf numFmtId="0" fontId="2" fillId="2" borderId="1" xfId="0" applyFont="1" applyFill="1" applyBorder="1" applyProtection="1">
      <protection locked="0"/>
    </xf>
    <xf numFmtId="0" fontId="2" fillId="2" borderId="2" xfId="0" applyFont="1" applyFill="1" applyBorder="1" applyProtection="1">
      <protection locked="0"/>
    </xf>
    <xf numFmtId="14" fontId="2" fillId="0" borderId="0" xfId="0" applyNumberFormat="1" applyFont="1" applyProtection="1">
      <protection locked="0"/>
    </xf>
    <xf numFmtId="14" fontId="0" fillId="0" borderId="0" xfId="0" applyNumberFormat="1" applyProtection="1">
      <protection locked="0"/>
    </xf>
    <xf numFmtId="0" fontId="20" fillId="0" borderId="20" xfId="0" applyFont="1" applyBorder="1"/>
    <xf numFmtId="0" fontId="20" fillId="0" borderId="0" xfId="0" applyFont="1"/>
    <xf numFmtId="0" fontId="0" fillId="0" borderId="0" xfId="0" applyAlignment="1">
      <alignment horizontal="left"/>
    </xf>
    <xf numFmtId="8" fontId="0" fillId="0" borderId="0" xfId="4" applyNumberFormat="1" applyFont="1" applyBorder="1" applyAlignment="1" applyProtection="1">
      <alignment horizontal="center"/>
    </xf>
    <xf numFmtId="172" fontId="0" fillId="0" borderId="0" xfId="1" quotePrefix="1" applyNumberFormat="1" applyFont="1" applyAlignment="1">
      <alignment horizontal="center"/>
    </xf>
    <xf numFmtId="0" fontId="34" fillId="54" borderId="62" xfId="0" applyFont="1" applyFill="1" applyBorder="1" applyAlignment="1">
      <alignment horizontal="center" vertical="center" wrapText="1"/>
    </xf>
    <xf numFmtId="0" fontId="35" fillId="54" borderId="65" xfId="0" applyFont="1" applyFill="1" applyBorder="1" applyAlignment="1">
      <alignment horizontal="center" vertical="center" wrapText="1"/>
    </xf>
    <xf numFmtId="0" fontId="36" fillId="54" borderId="0" xfId="0" applyFont="1" applyFill="1" applyAlignment="1">
      <alignment horizontal="center" vertical="center" wrapText="1"/>
    </xf>
    <xf numFmtId="0" fontId="35" fillId="0" borderId="66" xfId="0" applyFont="1" applyBorder="1" applyAlignment="1">
      <alignment horizontal="center" vertical="center" wrapText="1"/>
    </xf>
    <xf numFmtId="0" fontId="37" fillId="55" borderId="61" xfId="0" applyFont="1" applyFill="1" applyBorder="1" applyAlignment="1">
      <alignment vertical="center" wrapText="1"/>
    </xf>
    <xf numFmtId="0" fontId="38" fillId="55" borderId="61" xfId="0" applyFont="1" applyFill="1" applyBorder="1" applyAlignment="1">
      <alignment vertical="center" wrapText="1"/>
    </xf>
    <xf numFmtId="0" fontId="35" fillId="0" borderId="67" xfId="0" applyFont="1" applyBorder="1" applyAlignment="1">
      <alignment horizontal="center" vertical="center" wrapText="1"/>
    </xf>
    <xf numFmtId="0" fontId="39" fillId="0" borderId="68" xfId="0" applyFont="1" applyBorder="1" applyAlignment="1">
      <alignment vertical="center" wrapText="1"/>
    </xf>
    <xf numFmtId="0" fontId="39" fillId="0" borderId="61" xfId="0" applyFont="1" applyBorder="1" applyAlignment="1">
      <alignment vertical="center" wrapText="1"/>
    </xf>
    <xf numFmtId="0" fontId="35" fillId="0" borderId="0" xfId="0" applyFont="1" applyAlignment="1">
      <alignment horizontal="center" vertical="center" wrapText="1"/>
    </xf>
    <xf numFmtId="0" fontId="39" fillId="0" borderId="0" xfId="0" applyFont="1" applyAlignment="1">
      <alignment vertical="center" wrapText="1"/>
    </xf>
    <xf numFmtId="0" fontId="37" fillId="0" borderId="0" xfId="0" applyFont="1" applyAlignment="1">
      <alignment vertical="center" wrapText="1"/>
    </xf>
    <xf numFmtId="0" fontId="38"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40" fillId="0" borderId="0" xfId="0" applyFont="1" applyAlignment="1">
      <alignment vertical="center" wrapText="1"/>
    </xf>
    <xf numFmtId="0" fontId="41" fillId="0" borderId="0" xfId="0" applyFont="1" applyAlignment="1">
      <alignment vertical="center" wrapText="1"/>
    </xf>
    <xf numFmtId="0" fontId="42" fillId="0" borderId="0" xfId="0" applyFont="1" applyAlignment="1">
      <alignment vertical="center" wrapText="1"/>
    </xf>
    <xf numFmtId="0" fontId="0" fillId="0" borderId="0" xfId="0" applyAlignment="1">
      <alignment horizontal="center"/>
    </xf>
    <xf numFmtId="0" fontId="43" fillId="0" borderId="20" xfId="0" applyFont="1" applyBorder="1"/>
    <xf numFmtId="0" fontId="43" fillId="0" borderId="0" xfId="0" applyFont="1"/>
    <xf numFmtId="0" fontId="12" fillId="0" borderId="0" xfId="0" applyFont="1" applyAlignment="1">
      <alignment horizontal="center"/>
    </xf>
    <xf numFmtId="0" fontId="0" fillId="56" borderId="70" xfId="0" applyFill="1" applyBorder="1"/>
    <xf numFmtId="0" fontId="0" fillId="0" borderId="70" xfId="0" applyBorder="1"/>
    <xf numFmtId="0" fontId="0" fillId="56" borderId="71" xfId="0" applyFill="1" applyBorder="1"/>
    <xf numFmtId="0" fontId="0" fillId="0" borderId="71" xfId="0" applyBorder="1"/>
    <xf numFmtId="0" fontId="3" fillId="18" borderId="72" xfId="0" applyFont="1" applyFill="1" applyBorder="1" applyAlignment="1">
      <alignment horizontal="center" vertical="center"/>
    </xf>
    <xf numFmtId="0" fontId="3" fillId="18" borderId="73" xfId="0" applyFont="1" applyFill="1" applyBorder="1" applyAlignment="1">
      <alignment horizontal="center" vertical="center"/>
    </xf>
    <xf numFmtId="3" fontId="19" fillId="22" borderId="74" xfId="0" applyNumberFormat="1" applyFont="1" applyFill="1" applyBorder="1" applyAlignment="1">
      <alignment horizontal="center" vertical="center" wrapText="1"/>
    </xf>
    <xf numFmtId="173" fontId="0" fillId="0" borderId="0" xfId="0" applyNumberFormat="1"/>
    <xf numFmtId="2" fontId="0" fillId="6" borderId="0" xfId="0" applyNumberFormat="1" applyFill="1"/>
    <xf numFmtId="0" fontId="45" fillId="0" borderId="0" xfId="0" applyFont="1" applyAlignment="1">
      <alignment vertical="center" wrapText="1"/>
    </xf>
    <xf numFmtId="0" fontId="35" fillId="0" borderId="65" xfId="0" applyFont="1" applyBorder="1" applyAlignment="1">
      <alignment horizontal="center" vertical="center" wrapText="1"/>
    </xf>
    <xf numFmtId="0" fontId="35" fillId="0" borderId="76" xfId="0" applyFont="1" applyBorder="1" applyAlignment="1">
      <alignment horizontal="center" vertical="center" wrapText="1"/>
    </xf>
    <xf numFmtId="0" fontId="3" fillId="3" borderId="5" xfId="0" applyFont="1" applyFill="1" applyBorder="1" applyAlignment="1">
      <alignment vertical="center" wrapText="1"/>
    </xf>
    <xf numFmtId="0" fontId="3" fillId="3" borderId="6" xfId="0" applyFont="1" applyFill="1" applyBorder="1" applyAlignment="1">
      <alignment vertical="center" wrapText="1"/>
    </xf>
    <xf numFmtId="0" fontId="2" fillId="2" borderId="39" xfId="0" applyFont="1" applyFill="1" applyBorder="1" applyAlignment="1">
      <alignment horizontal="center"/>
    </xf>
    <xf numFmtId="14" fontId="0" fillId="0" borderId="0" xfId="0" applyNumberFormat="1" applyAlignment="1">
      <alignment horizontal="right"/>
    </xf>
    <xf numFmtId="0" fontId="3" fillId="6" borderId="0" xfId="0" applyFont="1" applyFill="1"/>
    <xf numFmtId="0" fontId="3" fillId="6" borderId="0" xfId="0" applyFont="1" applyFill="1" applyAlignment="1">
      <alignment horizontal="right"/>
    </xf>
    <xf numFmtId="0" fontId="47" fillId="6" borderId="0" xfId="0" applyFont="1" applyFill="1"/>
    <xf numFmtId="0" fontId="15" fillId="6" borderId="0" xfId="0" applyFont="1" applyFill="1" applyAlignment="1">
      <alignment vertical="top" wrapText="1"/>
    </xf>
    <xf numFmtId="0" fontId="9" fillId="6" borderId="0" xfId="0" applyFont="1" applyFill="1" applyAlignment="1">
      <alignment horizontal="right"/>
    </xf>
    <xf numFmtId="3" fontId="0" fillId="20" borderId="42" xfId="0" applyNumberFormat="1" applyFill="1" applyBorder="1" applyAlignment="1">
      <alignment horizontal="center" vertical="center" wrapText="1"/>
    </xf>
    <xf numFmtId="0" fontId="0" fillId="6" borderId="0" xfId="0" applyFill="1" applyAlignment="1">
      <alignment horizontal="left"/>
    </xf>
    <xf numFmtId="3" fontId="0" fillId="5" borderId="26" xfId="0" applyNumberFormat="1" applyFill="1" applyBorder="1" applyAlignment="1">
      <alignment horizontal="center"/>
    </xf>
    <xf numFmtId="3" fontId="0" fillId="5" borderId="27" xfId="0" applyNumberFormat="1" applyFill="1" applyBorder="1" applyAlignment="1">
      <alignment horizontal="center"/>
    </xf>
    <xf numFmtId="3" fontId="0" fillId="5" borderId="11" xfId="0" applyNumberFormat="1" applyFill="1" applyBorder="1" applyAlignment="1">
      <alignment horizontal="center"/>
    </xf>
    <xf numFmtId="3" fontId="0" fillId="5" borderId="23" xfId="0" applyNumberFormat="1" applyFill="1" applyBorder="1" applyAlignment="1">
      <alignment horizontal="center"/>
    </xf>
    <xf numFmtId="3" fontId="0" fillId="5" borderId="30" xfId="0" applyNumberFormat="1" applyFill="1" applyBorder="1" applyAlignment="1">
      <alignment horizontal="center"/>
    </xf>
    <xf numFmtId="3" fontId="0" fillId="5" borderId="0" xfId="0" applyNumberFormat="1" applyFill="1" applyAlignment="1">
      <alignment horizontal="center"/>
    </xf>
    <xf numFmtId="9" fontId="0" fillId="0" borderId="0" xfId="0" applyNumberFormat="1"/>
    <xf numFmtId="0" fontId="46" fillId="6" borderId="0" xfId="0" applyFont="1" applyFill="1" applyAlignment="1">
      <alignment vertical="center" wrapText="1"/>
    </xf>
    <xf numFmtId="0" fontId="9" fillId="6" borderId="0" xfId="0" applyFont="1" applyFill="1" applyAlignment="1">
      <alignment horizontal="left"/>
    </xf>
    <xf numFmtId="3" fontId="0" fillId="13" borderId="11" xfId="0" applyNumberFormat="1" applyFill="1" applyBorder="1" applyAlignment="1">
      <alignment horizontal="center" vertical="center" wrapText="1"/>
    </xf>
    <xf numFmtId="3" fontId="0" fillId="13" borderId="23" xfId="0" applyNumberFormat="1" applyFill="1" applyBorder="1" applyAlignment="1">
      <alignment horizontal="center" vertical="center" wrapText="1"/>
    </xf>
    <xf numFmtId="0" fontId="0" fillId="0" borderId="0" xfId="0" applyAlignment="1">
      <alignment horizontal="right"/>
    </xf>
    <xf numFmtId="1" fontId="7" fillId="0" borderId="0" xfId="0" applyNumberFormat="1" applyFont="1"/>
    <xf numFmtId="169" fontId="7" fillId="0" borderId="0" xfId="4" applyNumberFormat="1" applyFont="1" applyProtection="1"/>
    <xf numFmtId="1" fontId="0" fillId="0" borderId="0" xfId="0" applyNumberFormat="1"/>
    <xf numFmtId="3" fontId="0" fillId="20" borderId="29" xfId="0" applyNumberFormat="1" applyFill="1" applyBorder="1" applyAlignment="1">
      <alignment horizontal="center" vertical="center" wrapText="1"/>
    </xf>
    <xf numFmtId="3" fontId="0" fillId="20" borderId="30" xfId="0" applyNumberFormat="1" applyFill="1" applyBorder="1" applyAlignment="1">
      <alignment horizontal="center" vertical="center" wrapText="1"/>
    </xf>
    <xf numFmtId="3" fontId="0" fillId="20" borderId="82" xfId="0" applyNumberFormat="1" applyFill="1" applyBorder="1" applyAlignment="1">
      <alignment horizontal="center" vertical="center" wrapText="1"/>
    </xf>
    <xf numFmtId="14" fontId="0" fillId="20" borderId="29" xfId="0" applyNumberFormat="1" applyFill="1" applyBorder="1" applyAlignment="1">
      <alignment horizontal="center" vertical="center" wrapText="1"/>
    </xf>
    <xf numFmtId="3" fontId="4" fillId="19" borderId="14" xfId="0" applyNumberFormat="1" applyFont="1" applyFill="1" applyBorder="1" applyAlignment="1">
      <alignment horizontal="center" vertical="center"/>
    </xf>
    <xf numFmtId="3" fontId="4" fillId="19" borderId="10" xfId="0" applyNumberFormat="1" applyFont="1" applyFill="1" applyBorder="1" applyAlignment="1">
      <alignment horizontal="center" vertical="center"/>
    </xf>
    <xf numFmtId="3" fontId="4" fillId="19" borderId="32" xfId="0" applyNumberFormat="1" applyFont="1" applyFill="1" applyBorder="1" applyAlignment="1">
      <alignment horizontal="center" vertical="center"/>
    </xf>
    <xf numFmtId="3" fontId="0" fillId="20" borderId="83" xfId="0" applyNumberFormat="1" applyFill="1" applyBorder="1" applyAlignment="1">
      <alignment horizontal="center" vertical="center" wrapText="1"/>
    </xf>
    <xf numFmtId="3" fontId="0" fillId="20" borderId="78" xfId="0" applyNumberFormat="1" applyFill="1" applyBorder="1" applyAlignment="1">
      <alignment horizontal="center" vertical="center" wrapText="1"/>
    </xf>
    <xf numFmtId="0" fontId="15" fillId="6" borderId="0" xfId="0" applyFont="1" applyFill="1" applyAlignment="1">
      <alignment wrapText="1"/>
    </xf>
    <xf numFmtId="0" fontId="15" fillId="0" borderId="0" xfId="0" applyFont="1" applyAlignment="1">
      <alignment wrapText="1"/>
    </xf>
    <xf numFmtId="0" fontId="0" fillId="0" borderId="84" xfId="0" applyBorder="1"/>
    <xf numFmtId="44" fontId="0" fillId="0" borderId="0" xfId="4" applyFont="1"/>
    <xf numFmtId="44" fontId="0" fillId="0" borderId="0" xfId="4" applyFont="1" applyProtection="1"/>
    <xf numFmtId="44" fontId="2" fillId="2" borderId="3" xfId="4" applyFont="1" applyFill="1" applyBorder="1" applyProtection="1">
      <protection locked="0"/>
    </xf>
    <xf numFmtId="44" fontId="2" fillId="0" borderId="0" xfId="4" applyFont="1" applyProtection="1">
      <protection locked="0"/>
    </xf>
    <xf numFmtId="172" fontId="2" fillId="0" borderId="0" xfId="1" applyNumberFormat="1" applyFont="1" applyProtection="1">
      <protection locked="0"/>
    </xf>
    <xf numFmtId="172" fontId="0" fillId="0" borderId="0" xfId="1" applyNumberFormat="1" applyFont="1" applyAlignment="1" applyProtection="1">
      <alignment horizontal="right"/>
    </xf>
    <xf numFmtId="172" fontId="0" fillId="0" borderId="0" xfId="1" applyNumberFormat="1" applyFont="1"/>
    <xf numFmtId="172" fontId="2" fillId="2" borderId="39" xfId="1" applyNumberFormat="1" applyFont="1" applyFill="1" applyBorder="1"/>
    <xf numFmtId="172" fontId="0" fillId="0" borderId="0" xfId="1" applyNumberFormat="1" applyFont="1" applyAlignment="1">
      <alignment horizontal="right"/>
    </xf>
    <xf numFmtId="0" fontId="0" fillId="57" borderId="85" xfId="0" applyFill="1" applyBorder="1" applyAlignment="1">
      <alignment horizontal="center" vertical="center" wrapText="1"/>
    </xf>
    <xf numFmtId="0" fontId="0" fillId="57" borderId="34" xfId="0" applyFill="1" applyBorder="1" applyAlignment="1">
      <alignment horizontal="center" vertical="center" wrapText="1"/>
    </xf>
    <xf numFmtId="0" fontId="0" fillId="58" borderId="74" xfId="0" applyFill="1" applyBorder="1" applyAlignment="1">
      <alignment horizontal="center" vertical="center" wrapText="1"/>
    </xf>
    <xf numFmtId="0" fontId="0" fillId="58" borderId="86" xfId="0" applyFill="1" applyBorder="1" applyAlignment="1">
      <alignment horizontal="center" vertical="center" wrapText="1"/>
    </xf>
    <xf numFmtId="0" fontId="0" fillId="58" borderId="87" xfId="0" applyFill="1" applyBorder="1" applyAlignment="1">
      <alignment horizontal="center" vertical="center" wrapText="1"/>
    </xf>
    <xf numFmtId="0" fontId="0" fillId="59" borderId="74" xfId="0" applyFill="1" applyBorder="1" applyAlignment="1">
      <alignment horizontal="center" vertical="center" wrapText="1"/>
    </xf>
    <xf numFmtId="0" fontId="0" fillId="59" borderId="86" xfId="0" applyFill="1" applyBorder="1" applyAlignment="1">
      <alignment horizontal="center" vertical="center" wrapText="1"/>
    </xf>
    <xf numFmtId="0" fontId="0" fillId="59" borderId="87" xfId="0" applyFill="1" applyBorder="1" applyAlignment="1">
      <alignment horizontal="center" vertical="center" wrapText="1"/>
    </xf>
    <xf numFmtId="0" fontId="0" fillId="6" borderId="0" xfId="0" applyFill="1" applyAlignment="1">
      <alignment horizontal="center" vertical="center" wrapText="1"/>
    </xf>
    <xf numFmtId="0" fontId="0" fillId="58" borderId="88" xfId="0" applyFill="1" applyBorder="1" applyAlignment="1">
      <alignment horizontal="center" vertical="center" wrapText="1"/>
    </xf>
    <xf numFmtId="0" fontId="0" fillId="58" borderId="89" xfId="0" applyFill="1" applyBorder="1" applyAlignment="1">
      <alignment horizontal="center" vertical="center" wrapText="1"/>
    </xf>
    <xf numFmtId="0" fontId="0" fillId="58" borderId="90" xfId="0" applyFill="1" applyBorder="1" applyAlignment="1">
      <alignment horizontal="center" vertical="center" wrapText="1"/>
    </xf>
    <xf numFmtId="0" fontId="15" fillId="0" borderId="0" xfId="0" applyFont="1"/>
    <xf numFmtId="44" fontId="2" fillId="2" borderId="40" xfId="4" applyFont="1" applyFill="1" applyBorder="1"/>
    <xf numFmtId="44" fontId="0" fillId="0" borderId="0" xfId="4" applyFont="1" applyBorder="1" applyAlignment="1">
      <alignment horizontal="center"/>
    </xf>
    <xf numFmtId="44" fontId="0" fillId="0" borderId="0" xfId="4" applyFont="1" applyFill="1" applyBorder="1" applyAlignment="1">
      <alignment horizontal="center"/>
    </xf>
    <xf numFmtId="174" fontId="0" fillId="0" borderId="0" xfId="0" applyNumberFormat="1"/>
    <xf numFmtId="175" fontId="0" fillId="0" borderId="0" xfId="0" applyNumberFormat="1"/>
    <xf numFmtId="176" fontId="0" fillId="0" borderId="0" xfId="0" applyNumberFormat="1"/>
    <xf numFmtId="0" fontId="0" fillId="6" borderId="23" xfId="0" applyFill="1" applyBorder="1" applyAlignment="1">
      <alignment horizontal="center"/>
    </xf>
    <xf numFmtId="16" fontId="0" fillId="0" borderId="0" xfId="0" applyNumberFormat="1"/>
    <xf numFmtId="0" fontId="12" fillId="0" borderId="0" xfId="0" applyFont="1"/>
    <xf numFmtId="0" fontId="9" fillId="0" borderId="0" xfId="0" applyFont="1" applyAlignment="1">
      <alignment horizontal="left"/>
    </xf>
    <xf numFmtId="0" fontId="0" fillId="0" borderId="0" xfId="0" applyAlignment="1">
      <alignment vertical="center"/>
    </xf>
    <xf numFmtId="0" fontId="15" fillId="6" borderId="0" xfId="0" applyFont="1" applyFill="1" applyAlignment="1">
      <alignment vertical="top"/>
    </xf>
    <xf numFmtId="0" fontId="0" fillId="6" borderId="0" xfId="0" applyFill="1" applyAlignment="1">
      <alignment vertical="top"/>
    </xf>
    <xf numFmtId="0" fontId="54" fillId="0" borderId="0" xfId="0" applyFont="1"/>
    <xf numFmtId="0" fontId="18" fillId="6" borderId="23" xfId="0" applyFont="1" applyFill="1" applyBorder="1" applyAlignment="1">
      <alignment vertical="top" wrapText="1"/>
    </xf>
    <xf numFmtId="0" fontId="18" fillId="6" borderId="0" xfId="0" applyFont="1" applyFill="1" applyAlignment="1">
      <alignment vertical="top" wrapText="1"/>
    </xf>
    <xf numFmtId="0" fontId="55" fillId="6" borderId="0" xfId="0" applyFont="1" applyFill="1" applyAlignment="1">
      <alignment horizontal="left" vertical="top"/>
    </xf>
    <xf numFmtId="0" fontId="13" fillId="17" borderId="43" xfId="3" applyFont="1" applyFill="1" applyBorder="1" applyAlignment="1">
      <alignment horizontal="center" vertical="center"/>
    </xf>
    <xf numFmtId="0" fontId="13" fillId="17" borderId="17" xfId="3" applyFont="1" applyFill="1" applyBorder="1" applyAlignment="1">
      <alignment horizontal="center" vertical="center"/>
    </xf>
    <xf numFmtId="0" fontId="0" fillId="0" borderId="92" xfId="0" applyBorder="1"/>
    <xf numFmtId="0" fontId="0" fillId="0" borderId="0" xfId="0" applyNumberFormat="1"/>
    <xf numFmtId="3" fontId="0" fillId="20" borderId="11" xfId="0" applyNumberFormat="1" applyFill="1" applyBorder="1" applyAlignment="1">
      <alignment horizontal="center" vertical="center" wrapText="1"/>
    </xf>
    <xf numFmtId="3" fontId="0" fillId="20" borderId="12" xfId="0" applyNumberFormat="1" applyFill="1" applyBorder="1" applyAlignment="1">
      <alignment horizontal="center" vertical="center" wrapText="1"/>
    </xf>
    <xf numFmtId="3" fontId="0" fillId="20" borderId="23" xfId="0" applyNumberFormat="1" applyFill="1" applyBorder="1" applyAlignment="1">
      <alignment horizontal="center" vertical="center" wrapText="1"/>
    </xf>
    <xf numFmtId="3" fontId="0" fillId="20" borderId="42" xfId="0" applyNumberFormat="1" applyFill="1" applyBorder="1" applyAlignment="1">
      <alignment horizontal="center" vertical="center" wrapText="1"/>
    </xf>
    <xf numFmtId="14" fontId="0" fillId="20" borderId="11" xfId="0" applyNumberFormat="1" applyFill="1" applyBorder="1" applyAlignment="1">
      <alignment horizontal="center" vertical="center" wrapText="1"/>
    </xf>
    <xf numFmtId="3" fontId="0" fillId="20" borderId="83" xfId="0" applyNumberFormat="1" applyFill="1" applyBorder="1" applyAlignment="1">
      <alignment horizontal="center" vertical="center" wrapText="1"/>
    </xf>
    <xf numFmtId="0" fontId="0" fillId="21" borderId="11" xfId="0" applyFill="1" applyBorder="1"/>
    <xf numFmtId="0" fontId="0" fillId="21" borderId="23" xfId="0" applyFill="1" applyBorder="1"/>
    <xf numFmtId="0" fontId="0" fillId="21" borderId="42" xfId="0" applyFill="1" applyBorder="1"/>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171" fontId="0" fillId="0" borderId="0" xfId="0" applyNumberFormat="1"/>
    <xf numFmtId="3" fontId="0" fillId="20" borderId="26" xfId="0" applyNumberFormat="1" applyFill="1" applyBorder="1" applyAlignment="1" applyProtection="1">
      <alignment horizontal="center" vertical="center" wrapText="1"/>
    </xf>
    <xf numFmtId="3" fontId="0" fillId="20" borderId="27" xfId="0" applyNumberFormat="1" applyFill="1" applyBorder="1" applyAlignment="1" applyProtection="1">
      <alignment horizontal="center" vertical="center" wrapText="1"/>
    </xf>
    <xf numFmtId="3" fontId="0" fillId="20" borderId="28" xfId="0" applyNumberFormat="1" applyFill="1" applyBorder="1" applyAlignment="1" applyProtection="1">
      <alignment horizontal="center" vertical="center" wrapText="1"/>
    </xf>
    <xf numFmtId="3" fontId="0" fillId="20" borderId="12" xfId="0" applyNumberFormat="1" applyFill="1" applyBorder="1" applyAlignment="1" applyProtection="1">
      <alignment horizontal="center" vertical="center" wrapText="1"/>
    </xf>
    <xf numFmtId="0" fontId="0" fillId="21" borderId="12" xfId="0" applyFill="1" applyBorder="1" applyProtection="1"/>
    <xf numFmtId="3" fontId="0" fillId="20" borderId="69" xfId="0" applyNumberFormat="1" applyFill="1" applyBorder="1" applyAlignment="1" applyProtection="1">
      <alignment horizontal="center" vertical="center" wrapText="1"/>
    </xf>
    <xf numFmtId="0" fontId="0" fillId="21" borderId="91" xfId="0" applyFill="1" applyBorder="1" applyProtection="1"/>
    <xf numFmtId="172" fontId="0" fillId="0" borderId="0" xfId="1" applyNumberFormat="1" applyFont="1" applyProtection="1"/>
    <xf numFmtId="0" fontId="0" fillId="21" borderId="12" xfId="0" applyFill="1" applyBorder="1"/>
    <xf numFmtId="0" fontId="0" fillId="21" borderId="31" xfId="0" applyFill="1" applyBorder="1"/>
    <xf numFmtId="3" fontId="0" fillId="0" borderId="0" xfId="0" applyNumberFormat="1" applyFill="1" applyBorder="1" applyAlignment="1">
      <alignment wrapText="1"/>
    </xf>
    <xf numFmtId="0" fontId="13" fillId="0" borderId="0" xfId="3" applyFont="1" applyFill="1" applyBorder="1" applyAlignment="1">
      <alignment vertical="center"/>
    </xf>
    <xf numFmtId="0" fontId="0" fillId="0" borderId="0" xfId="0" applyFill="1" applyBorder="1"/>
    <xf numFmtId="3" fontId="0" fillId="0" borderId="0" xfId="0" applyNumberFormat="1" applyFill="1" applyBorder="1" applyAlignment="1">
      <alignment horizontal="center" vertical="center" wrapText="1"/>
    </xf>
    <xf numFmtId="3" fontId="0" fillId="0" borderId="0" xfId="0" applyNumberFormat="1" applyFill="1" applyBorder="1" applyAlignment="1">
      <alignment vertical="center" wrapText="1"/>
    </xf>
    <xf numFmtId="3" fontId="0" fillId="13" borderId="29" xfId="0" applyNumberFormat="1" applyFill="1" applyBorder="1" applyAlignment="1">
      <alignment horizontal="center" vertical="center" wrapText="1"/>
    </xf>
    <xf numFmtId="3" fontId="0" fillId="13" borderId="30" xfId="0" applyNumberFormat="1" applyFill="1" applyBorder="1" applyAlignment="1">
      <alignment horizontal="center" vertical="center" wrapText="1"/>
    </xf>
    <xf numFmtId="3" fontId="0" fillId="20" borderId="11" xfId="0" applyNumberFormat="1" applyFill="1" applyBorder="1" applyAlignment="1" applyProtection="1">
      <alignment horizontal="center" vertical="center" wrapText="1"/>
    </xf>
    <xf numFmtId="0" fontId="0" fillId="21" borderId="29" xfId="0" applyFill="1" applyBorder="1"/>
    <xf numFmtId="3" fontId="0" fillId="20" borderId="91" xfId="0" applyNumberFormat="1" applyFill="1" applyBorder="1" applyAlignment="1" applyProtection="1">
      <alignment horizontal="center" wrapText="1"/>
    </xf>
    <xf numFmtId="0" fontId="3" fillId="18" borderId="93" xfId="0" applyFont="1" applyFill="1" applyBorder="1" applyAlignment="1">
      <alignment horizontal="center" vertical="center" wrapText="1"/>
    </xf>
    <xf numFmtId="0" fontId="3" fillId="18" borderId="74" xfId="0" applyFont="1" applyFill="1" applyBorder="1" applyAlignment="1">
      <alignment horizontal="center" vertical="center" wrapText="1"/>
    </xf>
    <xf numFmtId="0" fontId="3" fillId="18" borderId="87" xfId="0" applyFont="1" applyFill="1" applyBorder="1" applyAlignment="1">
      <alignment horizontal="center" vertical="center" wrapText="1"/>
    </xf>
    <xf numFmtId="3" fontId="0" fillId="20" borderId="81" xfId="0" applyNumberFormat="1" applyFill="1" applyBorder="1" applyAlignment="1" applyProtection="1">
      <alignment horizontal="center" vertical="center" wrapText="1"/>
    </xf>
    <xf numFmtId="3" fontId="0" fillId="20" borderId="23" xfId="0" applyNumberFormat="1" applyFill="1" applyBorder="1" applyAlignment="1" applyProtection="1">
      <alignment horizontal="center" vertical="center" wrapText="1"/>
    </xf>
    <xf numFmtId="3" fontId="0" fillId="20" borderId="42" xfId="0" applyNumberFormat="1" applyFill="1" applyBorder="1" applyAlignment="1" applyProtection="1">
      <alignment horizontal="center" vertical="center" wrapText="1"/>
    </xf>
    <xf numFmtId="14" fontId="0" fillId="20" borderId="11" xfId="0" applyNumberFormat="1" applyFill="1" applyBorder="1" applyAlignment="1" applyProtection="1">
      <alignment horizontal="center" vertical="center" wrapText="1"/>
    </xf>
    <xf numFmtId="0" fontId="0" fillId="0" borderId="0" xfId="0" applyProtection="1"/>
    <xf numFmtId="3" fontId="0" fillId="20" borderId="94" xfId="0" applyNumberFormat="1" applyFill="1" applyBorder="1" applyAlignment="1" applyProtection="1">
      <alignment horizontal="center" vertical="center" wrapText="1"/>
    </xf>
    <xf numFmtId="3" fontId="0" fillId="20" borderId="13" xfId="0" applyNumberFormat="1" applyFill="1" applyBorder="1" applyAlignment="1" applyProtection="1">
      <alignment horizontal="center" vertical="center" wrapText="1"/>
    </xf>
    <xf numFmtId="14" fontId="0" fillId="20" borderId="26" xfId="0" applyNumberFormat="1" applyFill="1" applyBorder="1" applyAlignment="1" applyProtection="1">
      <alignment horizontal="center" vertical="center" wrapText="1"/>
    </xf>
    <xf numFmtId="0" fontId="0" fillId="6" borderId="0" xfId="0" applyFill="1" applyProtection="1"/>
    <xf numFmtId="0" fontId="56" fillId="0" borderId="0" xfId="57"/>
    <xf numFmtId="0" fontId="57" fillId="0" borderId="0" xfId="0" applyFont="1"/>
    <xf numFmtId="0" fontId="15" fillId="0" borderId="0" xfId="0" applyFont="1" applyAlignment="1"/>
    <xf numFmtId="172" fontId="0" fillId="0" borderId="0" xfId="0" applyNumberFormat="1"/>
    <xf numFmtId="0" fontId="48" fillId="0" borderId="0" xfId="0" applyFont="1" applyAlignment="1">
      <alignment wrapText="1"/>
    </xf>
    <xf numFmtId="3" fontId="0" fillId="59" borderId="0" xfId="0" applyNumberFormat="1" applyFill="1" applyAlignment="1">
      <alignment horizontal="center"/>
    </xf>
    <xf numFmtId="0" fontId="58" fillId="0" borderId="20" xfId="0" applyFont="1" applyBorder="1"/>
    <xf numFmtId="0" fontId="58" fillId="0" borderId="0" xfId="0" applyFont="1" applyBorder="1"/>
    <xf numFmtId="0" fontId="58" fillId="0" borderId="0" xfId="0" applyFont="1"/>
    <xf numFmtId="0" fontId="0" fillId="0" borderId="0" xfId="0" applyFont="1" applyBorder="1"/>
    <xf numFmtId="0" fontId="0" fillId="6" borderId="0" xfId="0" applyFill="1" applyBorder="1"/>
    <xf numFmtId="0" fontId="0" fillId="0" borderId="0" xfId="0" applyBorder="1"/>
    <xf numFmtId="0" fontId="15" fillId="0" borderId="0" xfId="0" applyFont="1" applyBorder="1" applyAlignment="1">
      <alignment wrapText="1"/>
    </xf>
    <xf numFmtId="0" fontId="15" fillId="6" borderId="0" xfId="0" applyFont="1" applyFill="1" applyBorder="1" applyAlignment="1">
      <alignment wrapText="1"/>
    </xf>
    <xf numFmtId="0" fontId="13" fillId="17" borderId="48" xfId="3" applyFont="1" applyFill="1" applyBorder="1" applyAlignment="1">
      <alignment horizontal="center" vertical="center" wrapText="1"/>
    </xf>
    <xf numFmtId="0" fontId="13" fillId="17" borderId="15" xfId="3" applyFont="1" applyFill="1" applyBorder="1" applyAlignment="1">
      <alignment horizontal="center" vertical="center"/>
    </xf>
    <xf numFmtId="3" fontId="0" fillId="20" borderId="48" xfId="0" applyNumberFormat="1" applyFill="1" applyBorder="1" applyAlignment="1" applyProtection="1">
      <alignment horizontal="center" wrapText="1"/>
    </xf>
    <xf numFmtId="3" fontId="0" fillId="20" borderId="10" xfId="0" applyNumberFormat="1" applyFill="1" applyBorder="1" applyAlignment="1" applyProtection="1">
      <alignment horizontal="center" wrapText="1"/>
    </xf>
    <xf numFmtId="0" fontId="13" fillId="0" borderId="79" xfId="3" applyFont="1" applyFill="1" applyBorder="1" applyAlignment="1">
      <alignment vertical="center"/>
    </xf>
    <xf numFmtId="3" fontId="0" fillId="0" borderId="79" xfId="0" applyNumberFormat="1" applyFill="1" applyBorder="1" applyAlignment="1">
      <alignment wrapText="1"/>
    </xf>
    <xf numFmtId="3" fontId="0" fillId="20" borderId="15" xfId="0" applyNumberFormat="1" applyFill="1" applyBorder="1" applyAlignment="1" applyProtection="1">
      <alignment horizontal="center" wrapText="1"/>
    </xf>
    <xf numFmtId="0" fontId="0" fillId="6" borderId="95" xfId="0" applyFill="1" applyBorder="1"/>
    <xf numFmtId="172" fontId="7" fillId="0" borderId="0" xfId="1" applyNumberFormat="1" applyFont="1" applyProtection="1"/>
    <xf numFmtId="172" fontId="7" fillId="0" borderId="0" xfId="1" applyNumberFormat="1" applyFont="1"/>
    <xf numFmtId="172" fontId="0" fillId="0" borderId="0" xfId="1" applyNumberFormat="1" applyFont="1" applyAlignment="1">
      <alignment horizontal="right" vertical="center"/>
    </xf>
    <xf numFmtId="44" fontId="7" fillId="0" borderId="0" xfId="4" applyFont="1" applyProtection="1"/>
    <xf numFmtId="44" fontId="0" fillId="0" borderId="0" xfId="4" applyFont="1" applyBorder="1" applyAlignment="1" applyProtection="1">
      <alignment horizontal="center"/>
    </xf>
    <xf numFmtId="0" fontId="15" fillId="6" borderId="0" xfId="0" applyFont="1" applyFill="1" applyAlignment="1">
      <alignment horizontal="left" vertical="top" wrapText="1"/>
    </xf>
    <xf numFmtId="0" fontId="15" fillId="6" borderId="0" xfId="0" applyFont="1" applyFill="1" applyAlignment="1">
      <alignment horizontal="left" vertical="center" wrapText="1"/>
    </xf>
    <xf numFmtId="168" fontId="0" fillId="6" borderId="0" xfId="0" applyNumberFormat="1" applyFill="1" applyAlignment="1">
      <alignment horizontal="center"/>
    </xf>
    <xf numFmtId="0" fontId="52" fillId="6" borderId="51" xfId="0" applyFont="1" applyFill="1" applyBorder="1" applyAlignment="1" applyProtection="1">
      <alignment horizontal="left"/>
    </xf>
    <xf numFmtId="0" fontId="13" fillId="17" borderId="48" xfId="3" applyFont="1" applyFill="1" applyBorder="1" applyAlignment="1">
      <alignment horizontal="center" vertical="center"/>
    </xf>
    <xf numFmtId="0" fontId="13" fillId="17" borderId="49" xfId="3" applyFont="1" applyFill="1" applyBorder="1" applyAlignment="1">
      <alignment horizontal="center" vertical="center"/>
    </xf>
    <xf numFmtId="0" fontId="13" fillId="17" borderId="50" xfId="3" applyFont="1" applyFill="1" applyBorder="1" applyAlignment="1">
      <alignment horizontal="center" vertical="center"/>
    </xf>
    <xf numFmtId="0" fontId="53" fillId="6" borderId="0" xfId="0" applyFont="1" applyFill="1" applyAlignment="1">
      <alignment horizontal="left" vertical="top" wrapText="1"/>
    </xf>
    <xf numFmtId="0" fontId="13" fillId="17" borderId="26" xfId="3" applyFont="1" applyFill="1" applyBorder="1" applyAlignment="1">
      <alignment horizontal="center" vertical="center"/>
    </xf>
    <xf numFmtId="0" fontId="13" fillId="17" borderId="27" xfId="3" applyFont="1" applyFill="1" applyBorder="1" applyAlignment="1">
      <alignment horizontal="center" vertical="center"/>
    </xf>
    <xf numFmtId="0" fontId="0" fillId="0" borderId="27" xfId="0" applyBorder="1" applyAlignment="1">
      <alignment vertical="center"/>
    </xf>
    <xf numFmtId="0" fontId="0" fillId="0" borderId="28" xfId="0" applyBorder="1" applyAlignment="1">
      <alignment vertical="center"/>
    </xf>
    <xf numFmtId="0" fontId="13" fillId="17" borderId="11" xfId="3" applyFont="1" applyFill="1" applyBorder="1" applyAlignment="1">
      <alignment horizontal="center" vertical="center"/>
    </xf>
    <xf numFmtId="0" fontId="13" fillId="17" borderId="23" xfId="3" applyFont="1" applyFill="1" applyBorder="1" applyAlignment="1">
      <alignment horizontal="center" vertical="center"/>
    </xf>
    <xf numFmtId="0" fontId="0" fillId="0" borderId="23" xfId="0" applyBorder="1" applyAlignment="1">
      <alignment vertical="center"/>
    </xf>
    <xf numFmtId="0" fontId="0" fillId="0" borderId="12" xfId="0" applyBorder="1" applyAlignment="1">
      <alignment vertical="center"/>
    </xf>
    <xf numFmtId="3" fontId="0" fillId="20" borderId="11" xfId="0" applyNumberFormat="1" applyFill="1" applyBorder="1" applyAlignment="1" applyProtection="1">
      <alignment horizontal="center" vertical="center"/>
    </xf>
    <xf numFmtId="3" fontId="0" fillId="20" borderId="23" xfId="0" applyNumberFormat="1" applyFill="1" applyBorder="1" applyAlignment="1" applyProtection="1">
      <alignment horizontal="center" vertical="center"/>
    </xf>
    <xf numFmtId="3" fontId="0" fillId="20" borderId="13" xfId="0" applyNumberFormat="1" applyFill="1" applyBorder="1" applyAlignment="1" applyProtection="1">
      <alignment horizontal="center" vertical="center"/>
    </xf>
    <xf numFmtId="0" fontId="0" fillId="0" borderId="42" xfId="0" applyBorder="1" applyAlignment="1">
      <alignment vertical="center"/>
    </xf>
    <xf numFmtId="3" fontId="0" fillId="20" borderId="29" xfId="0" applyNumberFormat="1" applyFill="1" applyBorder="1" applyAlignment="1" applyProtection="1">
      <alignment horizontal="center" vertical="center"/>
    </xf>
    <xf numFmtId="3" fontId="0" fillId="20" borderId="30" xfId="0" applyNumberFormat="1" applyFill="1" applyBorder="1" applyAlignment="1" applyProtection="1">
      <alignment horizontal="center" vertical="center"/>
    </xf>
    <xf numFmtId="0" fontId="0" fillId="0" borderId="30" xfId="0" applyBorder="1" applyAlignment="1">
      <alignment vertical="center"/>
    </xf>
    <xf numFmtId="0" fontId="0" fillId="0" borderId="31" xfId="0" applyBorder="1" applyAlignment="1">
      <alignment vertical="center"/>
    </xf>
    <xf numFmtId="3" fontId="0" fillId="20" borderId="11" xfId="0" applyNumberFormat="1" applyFill="1" applyBorder="1" applyAlignment="1">
      <alignment horizontal="center" vertical="center"/>
    </xf>
    <xf numFmtId="3" fontId="0" fillId="20" borderId="23" xfId="0" applyNumberFormat="1" applyFill="1" applyBorder="1" applyAlignment="1">
      <alignment horizontal="center" vertical="center"/>
    </xf>
    <xf numFmtId="3" fontId="0" fillId="20" borderId="13" xfId="0" applyNumberFormat="1" applyFill="1" applyBorder="1" applyAlignment="1">
      <alignment horizontal="center" vertical="center"/>
    </xf>
    <xf numFmtId="0" fontId="6" fillId="6" borderId="51" xfId="0" applyFont="1" applyFill="1" applyBorder="1" applyAlignment="1">
      <alignment horizontal="left"/>
    </xf>
    <xf numFmtId="0" fontId="48" fillId="6" borderId="51" xfId="0" applyFont="1" applyFill="1" applyBorder="1" applyAlignment="1">
      <alignment horizontal="left"/>
    </xf>
    <xf numFmtId="0" fontId="15" fillId="0" borderId="0" xfId="0" applyFont="1" applyAlignment="1">
      <alignment wrapText="1"/>
    </xf>
    <xf numFmtId="0" fontId="0" fillId="0" borderId="0" xfId="0" applyAlignment="1"/>
    <xf numFmtId="0" fontId="48" fillId="0" borderId="0" xfId="0" applyFont="1" applyAlignment="1">
      <alignment horizontal="left" wrapText="1"/>
    </xf>
    <xf numFmtId="0" fontId="46" fillId="6" borderId="0" xfId="0" applyFont="1" applyFill="1" applyAlignment="1">
      <alignment horizontal="center" vertical="center" wrapText="1"/>
    </xf>
    <xf numFmtId="0" fontId="48" fillId="6" borderId="51" xfId="0" applyFont="1" applyFill="1" applyBorder="1" applyAlignment="1">
      <alignment horizontal="center"/>
    </xf>
    <xf numFmtId="0" fontId="12" fillId="6" borderId="0" xfId="0" applyFont="1" applyFill="1" applyAlignment="1">
      <alignment horizontal="center" vertical="center"/>
    </xf>
    <xf numFmtId="0" fontId="12" fillId="0" borderId="0" xfId="0" applyFont="1" applyAlignment="1">
      <alignment horizontal="center"/>
    </xf>
    <xf numFmtId="0" fontId="12" fillId="0" borderId="42" xfId="0" applyFont="1" applyBorder="1" applyAlignment="1">
      <alignment horizontal="center"/>
    </xf>
    <xf numFmtId="0" fontId="12" fillId="0" borderId="45" xfId="0" applyFont="1" applyBorder="1" applyAlignment="1">
      <alignment horizontal="center"/>
    </xf>
    <xf numFmtId="0" fontId="12" fillId="0" borderId="13" xfId="0" applyFont="1" applyBorder="1" applyAlignment="1">
      <alignment horizontal="center"/>
    </xf>
    <xf numFmtId="0" fontId="0" fillId="0" borderId="23" xfId="0" applyBorder="1" applyAlignment="1">
      <alignment horizontal="center" vertical="center"/>
    </xf>
    <xf numFmtId="0" fontId="45" fillId="0" borderId="79" xfId="0" applyFont="1" applyBorder="1" applyAlignment="1">
      <alignment vertical="center" wrapText="1"/>
    </xf>
    <xf numFmtId="0" fontId="39" fillId="0" borderId="77" xfId="0" applyFont="1" applyBorder="1" applyAlignment="1">
      <alignment horizontal="center" vertical="center" wrapText="1"/>
    </xf>
    <xf numFmtId="0" fontId="39" fillId="0" borderId="78" xfId="0" applyFont="1" applyBorder="1" applyAlignment="1">
      <alignment horizontal="center" vertical="center" wrapText="1"/>
    </xf>
    <xf numFmtId="0" fontId="39" fillId="0" borderId="61" xfId="0" applyFont="1" applyBorder="1" applyAlignment="1">
      <alignment horizontal="center" vertical="center" wrapText="1"/>
    </xf>
    <xf numFmtId="0" fontId="35" fillId="55" borderId="61" xfId="0" applyFont="1" applyFill="1" applyBorder="1" applyAlignment="1">
      <alignment horizontal="center" vertical="center" wrapText="1"/>
    </xf>
    <xf numFmtId="0" fontId="35" fillId="55" borderId="78" xfId="0" applyFont="1" applyFill="1" applyBorder="1" applyAlignment="1">
      <alignment horizontal="center" vertical="center" wrapText="1"/>
    </xf>
    <xf numFmtId="0" fontId="17" fillId="16" borderId="43" xfId="0" applyFont="1" applyFill="1" applyBorder="1" applyAlignment="1">
      <alignment horizontal="center" vertical="center" wrapText="1"/>
    </xf>
    <xf numFmtId="0" fontId="17" fillId="16" borderId="41" xfId="0" applyFont="1" applyFill="1" applyBorder="1" applyAlignment="1">
      <alignment horizontal="center" vertical="center" wrapText="1"/>
    </xf>
    <xf numFmtId="0" fontId="17" fillId="16" borderId="44" xfId="0" applyFont="1" applyFill="1" applyBorder="1" applyAlignment="1">
      <alignment horizontal="center" vertical="center" wrapText="1"/>
    </xf>
    <xf numFmtId="0" fontId="34" fillId="54" borderId="63" xfId="0" applyFont="1" applyFill="1" applyBorder="1" applyAlignment="1">
      <alignment horizontal="center" vertical="center" wrapText="1"/>
    </xf>
    <xf numFmtId="0" fontId="34" fillId="54" borderId="64" xfId="0" applyFont="1" applyFill="1" applyBorder="1" applyAlignment="1">
      <alignment horizontal="center" vertical="center" wrapText="1"/>
    </xf>
    <xf numFmtId="0" fontId="34" fillId="54" borderId="75" xfId="0" applyFont="1" applyFill="1" applyBorder="1" applyAlignment="1">
      <alignment horizontal="center" vertical="center" wrapText="1"/>
    </xf>
    <xf numFmtId="0" fontId="34" fillId="55" borderId="61" xfId="0" applyFont="1" applyFill="1" applyBorder="1" applyAlignment="1">
      <alignment horizontal="center" vertical="center" wrapText="1"/>
    </xf>
    <xf numFmtId="0" fontId="34" fillId="55" borderId="78" xfId="0" applyFont="1" applyFill="1" applyBorder="1" applyAlignment="1">
      <alignment horizontal="center" vertical="center" wrapText="1"/>
    </xf>
    <xf numFmtId="0" fontId="34" fillId="55" borderId="80" xfId="0" applyFont="1" applyFill="1" applyBorder="1" applyAlignment="1">
      <alignment horizontal="center" vertical="center" wrapText="1"/>
    </xf>
    <xf numFmtId="0" fontId="35" fillId="55" borderId="80" xfId="0" applyFont="1" applyFill="1" applyBorder="1" applyAlignment="1">
      <alignment horizontal="center" vertical="center" wrapText="1"/>
    </xf>
    <xf numFmtId="0" fontId="39" fillId="0" borderId="80" xfId="0" applyFont="1" applyBorder="1" applyAlignment="1">
      <alignment horizontal="center" vertical="center" wrapText="1"/>
    </xf>
    <xf numFmtId="0" fontId="9" fillId="0" borderId="24"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center" wrapText="1"/>
    </xf>
    <xf numFmtId="0" fontId="15" fillId="6" borderId="0" xfId="0" applyFont="1" applyFill="1" applyAlignment="1">
      <alignment horizontal="center" wrapText="1"/>
    </xf>
    <xf numFmtId="0" fontId="44" fillId="6" borderId="0" xfId="0" applyFont="1" applyFill="1" applyAlignment="1">
      <alignment horizontal="center" wrapText="1"/>
    </xf>
    <xf numFmtId="0" fontId="44" fillId="6" borderId="0" xfId="0" applyFont="1" applyFill="1" applyAlignment="1">
      <alignment horizontal="center"/>
    </xf>
  </cellXfs>
  <cellStyles count="58">
    <cellStyle name="20 % - Accent1" xfId="25" builtinId="30" customBuiltin="1"/>
    <cellStyle name="20 % - Accent2" xfId="29" builtinId="34" customBuiltin="1"/>
    <cellStyle name="20 % - Accent3" xfId="33" builtinId="38" customBuiltin="1"/>
    <cellStyle name="20 % - Accent4" xfId="37" builtinId="42" customBuiltin="1"/>
    <cellStyle name="20 % - Accent5" xfId="41" builtinId="46" customBuiltin="1"/>
    <cellStyle name="20 % - Accent6" xfId="45" builtinId="50" customBuiltin="1"/>
    <cellStyle name="40 % - Accent1" xfId="26" builtinId="31" customBuiltin="1"/>
    <cellStyle name="40 % - Accent2" xfId="30" builtinId="35" customBuiltin="1"/>
    <cellStyle name="40 % - Accent3" xfId="34" builtinId="39" customBuiltin="1"/>
    <cellStyle name="40 % - Accent4" xfId="38" builtinId="43" customBuiltin="1"/>
    <cellStyle name="40 % - Accent5" xfId="42" builtinId="47" customBuiltin="1"/>
    <cellStyle name="40 % - Accent6" xfId="46" builtinId="51" customBuiltin="1"/>
    <cellStyle name="60 % - Accent1" xfId="27" builtinId="32" customBuiltin="1"/>
    <cellStyle name="60 % - Accent2" xfId="31" builtinId="36" customBuiltin="1"/>
    <cellStyle name="60 % - Accent3" xfId="35" builtinId="40" customBuiltin="1"/>
    <cellStyle name="60 % - Accent4" xfId="39" builtinId="44" customBuiltin="1"/>
    <cellStyle name="60 % - Accent5" xfId="43" builtinId="48" customBuiltin="1"/>
    <cellStyle name="60 % - Accent6" xfId="47" builtinId="52" customBuiltin="1"/>
    <cellStyle name="Accent1" xfId="24" builtinId="29" customBuiltin="1"/>
    <cellStyle name="Accent2" xfId="28" builtinId="33" customBuiltin="1"/>
    <cellStyle name="Accent3" xfId="32" builtinId="37" customBuiltin="1"/>
    <cellStyle name="Accent4" xfId="36" builtinId="41" customBuiltin="1"/>
    <cellStyle name="Accent5" xfId="40" builtinId="45" customBuiltin="1"/>
    <cellStyle name="Accent6" xfId="44" builtinId="49" customBuiltin="1"/>
    <cellStyle name="Avertissement" xfId="20" builtinId="11" customBuiltin="1"/>
    <cellStyle name="Calcul" xfId="17" builtinId="22" customBuiltin="1"/>
    <cellStyle name="Cellule liée" xfId="18" builtinId="24" customBuiltin="1"/>
    <cellStyle name="Entrée" xfId="15" builtinId="20" customBuiltin="1"/>
    <cellStyle name="Insatisfaisant" xfId="13" builtinId="27" customBuiltin="1"/>
    <cellStyle name="Lien hypertexte" xfId="57" builtinId="8"/>
    <cellStyle name="Milliers" xfId="1" builtinId="3"/>
    <cellStyle name="Milliers 2" xfId="6"/>
    <cellStyle name="Milliers 3" xfId="48"/>
    <cellStyle name="Milliers 3 2" xfId="54"/>
    <cellStyle name="Milliers 4" xfId="51"/>
    <cellStyle name="Monétaire" xfId="4" builtinId="4"/>
    <cellStyle name="Monétaire 2" xfId="5"/>
    <cellStyle name="Monétaire 2 2" xfId="50"/>
    <cellStyle name="Monétaire 2 2 2" xfId="56"/>
    <cellStyle name="Monétaire 2 3" xfId="53"/>
    <cellStyle name="Monétaire 3" xfId="49"/>
    <cellStyle name="Monétaire 3 2" xfId="55"/>
    <cellStyle name="Monétaire 4" xfId="52"/>
    <cellStyle name="Neutre" xfId="14" builtinId="28" customBuiltin="1"/>
    <cellStyle name="Normal" xfId="0" builtinId="0"/>
    <cellStyle name="Normal 2" xfId="3"/>
    <cellStyle name="Note" xfId="21" builtinId="10" customBuiltin="1"/>
    <cellStyle name="Pourcentage" xfId="2" builtinId="5"/>
    <cellStyle name="Satisfaisant" xfId="12" builtinId="26" customBuiltin="1"/>
    <cellStyle name="Sortie" xfId="16" builtinId="21" customBuiltin="1"/>
    <cellStyle name="Texte explicatif" xfId="22" builtinId="53" customBuiltin="1"/>
    <cellStyle name="Titre" xfId="7" builtinId="15" customBuiltin="1"/>
    <cellStyle name="Titre 1" xfId="8" builtinId="16" customBuiltin="1"/>
    <cellStyle name="Titre 2" xfId="9" builtinId="17" customBuiltin="1"/>
    <cellStyle name="Titre 3" xfId="10" builtinId="18" customBuiltin="1"/>
    <cellStyle name="Titre 4" xfId="11" builtinId="19" customBuiltin="1"/>
    <cellStyle name="Total" xfId="23" builtinId="25" customBuiltin="1"/>
    <cellStyle name="Vérification" xfId="19" builtinId="23" customBuiltin="1"/>
  </cellStyles>
  <dxfs count="143">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0" formatCode="General"/>
    </dxf>
    <dxf>
      <numFmt numFmtId="0" formatCode="General"/>
    </dxf>
    <dxf>
      <numFmt numFmtId="0" formatCode="General"/>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0" formatCode="General"/>
    </dxf>
    <dxf>
      <numFmt numFmtId="0" formatCode="General"/>
    </dxf>
    <dxf>
      <numFmt numFmtId="0" formatCode="General"/>
    </dxf>
    <dxf>
      <numFmt numFmtId="19" formatCode="dd/mm/yyyy"/>
    </dxf>
    <dxf>
      <border outline="0">
        <top style="thin">
          <color rgb="FF9BC2E6"/>
        </top>
      </border>
    </dxf>
    <dxf>
      <border outline="0">
        <bottom style="thin">
          <color rgb="FF9BC2E6"/>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0" formatCode="General"/>
    </dxf>
    <dxf>
      <numFmt numFmtId="0" formatCode="General"/>
    </dxf>
    <dxf>
      <numFmt numFmtId="0" formatCode="General"/>
    </dxf>
    <dxf>
      <numFmt numFmtId="19" formatCode="dd/mm/yyyy"/>
    </dxf>
    <dxf>
      <numFmt numFmtId="19" formatCode="dd/mm/yyyy"/>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0" formatCode="General"/>
    </dxf>
    <dxf>
      <numFmt numFmtId="0" formatCode="General"/>
    </dxf>
    <dxf>
      <numFmt numFmtId="35" formatCode="_-* #,##0.00_-;\-* #,##0.00_-;_-* &quot;-&quot;??_-;_-@_-"/>
    </dxf>
    <dxf>
      <numFmt numFmtId="35" formatCode="_-* #,##0.00_-;\-* #,##0.00_-;_-* &quot;-&quot;??_-;_-@_-"/>
    </dxf>
    <dxf>
      <numFmt numFmtId="19" formatCode="dd/mm/yyyy"/>
    </dxf>
    <dxf>
      <numFmt numFmtId="19" formatCode="dd/mm/yyyy"/>
    </dxf>
    <dxf>
      <numFmt numFmtId="0" formatCode="General"/>
    </dxf>
    <dxf>
      <numFmt numFmtId="0" formatCode="General"/>
    </dxf>
    <dxf>
      <numFmt numFmtId="0" formatCode="General"/>
    </dxf>
    <dxf>
      <numFmt numFmtId="35" formatCode="_-* #,##0.00_-;\-* #,##0.00_-;_-* &quot;-&quot;??_-;_-@_-"/>
    </dxf>
    <dxf>
      <numFmt numFmtId="19" formatCode="dd/mm/yyyy"/>
    </dxf>
    <dxf>
      <numFmt numFmtId="19" formatCode="dd/mm/yyyy"/>
    </dxf>
    <dxf>
      <numFmt numFmtId="0" formatCode="General"/>
    </dxf>
    <dxf>
      <numFmt numFmtId="0" formatCode="General"/>
    </dxf>
    <dxf>
      <numFmt numFmtId="0" formatCode="General"/>
    </dxf>
    <dxf>
      <numFmt numFmtId="169" formatCode="_-* #,##0\ &quot;€&quot;_-;\-* #,##0\ &quot;€&quot;_-;_-* &quot;-&quot;??\ &quot;€&quot;_-;_-@_-"/>
    </dxf>
    <dxf>
      <numFmt numFmtId="35" formatCode="_-* #,##0.00_-;\-* #,##0.00_-;_-* &quot;-&quot;??_-;_-@_-"/>
    </dxf>
    <dxf>
      <numFmt numFmtId="19" formatCode="dd/mm/yyyy"/>
    </dxf>
    <dxf>
      <numFmt numFmtId="19" formatCode="dd/mm/yyyy"/>
    </dxf>
    <dxf>
      <numFmt numFmtId="0" formatCode="General"/>
    </dxf>
    <dxf>
      <numFmt numFmtId="0" formatCode="General"/>
    </dxf>
    <dxf>
      <numFmt numFmtId="0" formatCode="General"/>
    </dxf>
    <dxf>
      <protection locked="0" hidden="0"/>
    </dxf>
    <dxf>
      <numFmt numFmtId="172" formatCode="_-* #,##0_-;\-* #,##0_-;_-* &quot;-&quot;??_-;_-@_-"/>
      <protection locked="0" hidden="0"/>
    </dxf>
    <dxf>
      <numFmt numFmtId="19" formatCode="dd/mm/yyyy"/>
      <protection locked="0" hidden="0"/>
    </dxf>
    <dxf>
      <numFmt numFmtId="19" formatCode="dd/mm/yyyy"/>
      <protection locked="0" hidden="0"/>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0" formatCode="General"/>
    </dxf>
    <dxf>
      <numFmt numFmtId="172" formatCode="_-* #,##0_-;\-* #,##0_-;_-* &quot;-&quot;??_-;_-@_-"/>
      <alignment horizontal="right" textRotation="0" wrapText="0" indent="0" justifyLastLine="0" shrinkToFit="0" readingOrder="0"/>
    </dxf>
    <dxf>
      <alignment horizontal="right" vertical="bottom" textRotation="0" wrapText="0" indent="0" justifyLastLine="0" shrinkToFit="0" readingOrder="0"/>
    </dxf>
    <dxf>
      <numFmt numFmtId="19" formatCode="dd/mm/yyyy"/>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4" tint="0.39997558519241921"/>
        </left>
        <right style="thin">
          <color theme="4" tint="0.39997558519241921"/>
        </right>
        <top/>
        <bottom/>
      </border>
    </dxf>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2" formatCode="0.00"/>
    </dxf>
    <dxf>
      <numFmt numFmtId="2" formatCode="0.00"/>
    </dxf>
    <dxf>
      <numFmt numFmtId="0" formatCode="General"/>
    </dxf>
    <dxf>
      <numFmt numFmtId="0" formatCode="General"/>
    </dxf>
    <dxf>
      <numFmt numFmtId="19" formatCode="dd/mm/yyyy"/>
    </dxf>
    <dxf>
      <numFmt numFmtId="19" formatCode="dd/mm/yyyy"/>
    </dxf>
    <dxf>
      <numFmt numFmtId="0" formatCode="General"/>
    </dxf>
    <dxf>
      <numFmt numFmtId="0" formatCode="General"/>
    </dxf>
    <dxf>
      <numFmt numFmtId="19" formatCode="dd/mm/yyyy"/>
    </dxf>
    <dxf>
      <numFmt numFmtId="19" formatCode="dd/mm/yyyy"/>
    </dxf>
    <dxf>
      <numFmt numFmtId="172" formatCode="_-* #,##0_-;\-* #,##0_-;_-* &quot;-&quot;??_-;_-@_-"/>
    </dxf>
    <dxf>
      <numFmt numFmtId="177" formatCode="_-* #,##0.0_-;\-* #,##0.0_-;_-* &quot;-&quot;??_-;_-@_-"/>
    </dxf>
    <dxf>
      <numFmt numFmtId="35" formatCode="_-* #,##0.00_-;\-* #,##0.00_-;_-* &quot;-&quot;??_-;_-@_-"/>
    </dxf>
    <dxf>
      <fill>
        <patternFill>
          <bgColor theme="0"/>
        </patternFill>
      </fill>
    </dxf>
    <dxf>
      <fill>
        <patternFill>
          <bgColor theme="2"/>
        </patternFill>
      </fill>
    </dxf>
    <dxf>
      <fill>
        <patternFill>
          <bgColor theme="0"/>
        </patternFill>
      </fill>
    </dxf>
    <dxf>
      <fill>
        <patternFill>
          <bgColor theme="2"/>
        </patternFill>
      </fill>
    </dxf>
    <dxf>
      <fill>
        <patternFill>
          <bgColor theme="2"/>
        </patternFill>
      </fill>
    </dxf>
    <dxf>
      <fill>
        <patternFill>
          <bgColor theme="0"/>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0"/>
        </patternFill>
      </fill>
    </dxf>
    <dxf>
      <fill>
        <patternFill>
          <bgColor theme="2"/>
        </patternFill>
      </fill>
    </dxf>
    <dxf>
      <fill>
        <patternFill>
          <bgColor theme="2"/>
        </patternFill>
      </fill>
    </dxf>
    <dxf>
      <fill>
        <patternFill>
          <bgColor theme="0"/>
        </patternFill>
      </fill>
    </dxf>
    <dxf>
      <fill>
        <patternFill>
          <bgColor theme="0"/>
        </patternFill>
      </fill>
    </dxf>
    <dxf>
      <fill>
        <patternFill>
          <bgColor theme="0"/>
        </patternFill>
      </fill>
    </dxf>
    <dxf>
      <fill>
        <patternFill>
          <bgColor theme="2"/>
        </patternFill>
      </fill>
    </dxf>
    <dxf>
      <fill>
        <patternFill>
          <bgColor theme="0"/>
        </patternFill>
      </fill>
    </dxf>
  </dxfs>
  <tableStyles count="0" defaultTableStyle="TableStyleMedium2" defaultPivotStyle="PivotStyleLight16"/>
  <colors>
    <mruColors>
      <color rgb="FFCC99FF"/>
      <color rgb="FFD60093"/>
      <color rgb="FFCCCCFF"/>
      <color rgb="FF9933FF"/>
      <color rgb="FFFF9933"/>
      <color rgb="FF33CC33"/>
      <color rgb="FF009900"/>
      <color rgb="FFFFCC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5.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42" Type="http://schemas.microsoft.com/office/2011/relationships/timelineCache" Target="timelineCaches/timelineCache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microsoft.com/office/2007/relationships/slicerCache" Target="slicerCaches/slicerCache3.xml"/><Relationship Id="rId40" Type="http://schemas.microsoft.com/office/2007/relationships/slicerCache" Target="slicerCaches/slicerCache6.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07/relationships/slicerCache" Target="slicerCaches/slicerCache2.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07/relationships/slicerCache" Target="slicerCaches/slicerCache1.xml"/><Relationship Id="rId43" Type="http://schemas.microsoft.com/office/2011/relationships/timelineCache" Target="timelineCaches/timelineCache2.xml"/><Relationship Id="rId48" Type="http://schemas.openxmlformats.org/officeDocument/2006/relationships/customXml" Target="../customXml/item1.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microsoft.com/office/2007/relationships/slicerCache" Target="slicerCaches/slicerCache4.xml"/><Relationship Id="rId46" Type="http://schemas.openxmlformats.org/officeDocument/2006/relationships/sharedStrings" Target="sharedStrings.xml"/><Relationship Id="rId20" Type="http://schemas.openxmlformats.org/officeDocument/2006/relationships/worksheet" Target="worksheets/sheet20.xml"/><Relationship Id="rId41" Type="http://schemas.microsoft.com/office/2007/relationships/slicerCache" Target="slicerCaches/slicerCache7.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Répartition</a:t>
            </a:r>
            <a:r>
              <a:rPr lang="en-US" baseline="0"/>
              <a:t>  des consommations</a:t>
            </a:r>
            <a:endParaRPr lang="en-US"/>
          </a:p>
        </c:rich>
      </c:tx>
      <c:layout>
        <c:manualLayout>
          <c:xMode val="edge"/>
          <c:yMode val="edge"/>
          <c:x val="0.13540175102285892"/>
          <c:y val="1.611208258182379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marker>
          <c:symbol val="none"/>
        </c:marker>
      </c:pivotFmt>
      <c:pivotFmt>
        <c:idx val="4"/>
        <c:spPr>
          <a:solidFill>
            <a:schemeClr val="accent1"/>
          </a:solidFill>
          <a:ln w="19050">
            <a:solidFill>
              <a:schemeClr val="lt1"/>
            </a:solidFill>
          </a:ln>
          <a:effectLst/>
        </c:spPr>
        <c:marker>
          <c:symbol val="none"/>
        </c:marke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s>
    <c:plotArea>
      <c:layout>
        <c:manualLayout>
          <c:layoutTarget val="inner"/>
          <c:xMode val="edge"/>
          <c:yMode val="edge"/>
          <c:x val="0.25505229448094924"/>
          <c:y val="0.14859019277409041"/>
          <c:w val="0.48989512333430291"/>
          <c:h val="0.72008576195138041"/>
        </c:manualLayout>
      </c:layout>
      <c:pieChart>
        <c:varyColors val="1"/>
        <c:dLbls>
          <c:showLegendKey val="0"/>
          <c:showVal val="1"/>
          <c:showCatName val="0"/>
          <c:showSerName val="0"/>
          <c:showPercent val="0"/>
          <c:showBubbleSize val="0"/>
          <c:showLeaderLines val="0"/>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Analyse_Chauffage!$B$3</c:f>
              <c:strCache>
                <c:ptCount val="1"/>
                <c:pt idx="0">
                  <c:v>2014</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Analyse_Chauffage!$E$3:$E$10</c:f>
              <c:numCache>
                <c:formatCode>General</c:formatCode>
                <c:ptCount val="8"/>
                <c:pt idx="0">
                  <c:v>320.5</c:v>
                </c:pt>
                <c:pt idx="1">
                  <c:v>281.3</c:v>
                </c:pt>
                <c:pt idx="2">
                  <c:v>263.89999999999998</c:v>
                </c:pt>
                <c:pt idx="3">
                  <c:v>174.2</c:v>
                </c:pt>
                <c:pt idx="4">
                  <c:v>134.5</c:v>
                </c:pt>
                <c:pt idx="5">
                  <c:v>124.2</c:v>
                </c:pt>
                <c:pt idx="6">
                  <c:v>219.5</c:v>
                </c:pt>
                <c:pt idx="7">
                  <c:v>374.8</c:v>
                </c:pt>
              </c:numCache>
            </c:numRef>
          </c:xVal>
          <c:yVal>
            <c:numRef>
              <c:f>Analyse_Chauffage!$D$3:$D$10</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0-42AF-4993-B3B7-62185B05565D}"/>
            </c:ext>
          </c:extLst>
        </c:ser>
        <c:ser>
          <c:idx val="1"/>
          <c:order val="1"/>
          <c:tx>
            <c:strRef>
              <c:f>Analyse_Chauffage!$B$11</c:f>
              <c:strCache>
                <c:ptCount val="1"/>
                <c:pt idx="0">
                  <c:v>2020</c:v>
                </c:pt>
              </c:strCache>
            </c:strRef>
          </c:tx>
          <c:spPr>
            <a:ln w="25400" cap="rnd">
              <a:no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xVal>
            <c:numRef>
              <c:f>Analyse_Chauffage!$E$11:$E$18</c:f>
              <c:numCache>
                <c:formatCode>General</c:formatCode>
                <c:ptCount val="8"/>
                <c:pt idx="0">
                  <c:v>331.5</c:v>
                </c:pt>
                <c:pt idx="1">
                  <c:v>251.6</c:v>
                </c:pt>
                <c:pt idx="2">
                  <c:v>272.60000000000002</c:v>
                </c:pt>
                <c:pt idx="3">
                  <c:v>126.3</c:v>
                </c:pt>
                <c:pt idx="4">
                  <c:v>91.8</c:v>
                </c:pt>
                <c:pt idx="5">
                  <c:v>159.30000000000001</c:v>
                </c:pt>
                <c:pt idx="6">
                  <c:v>237.3</c:v>
                </c:pt>
                <c:pt idx="7">
                  <c:v>334.4</c:v>
                </c:pt>
              </c:numCache>
            </c:numRef>
          </c:xVal>
          <c:yVal>
            <c:numRef>
              <c:f>Analyse_Chauffage!$D$11:$D$18</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1-42AF-4993-B3B7-62185B05565D}"/>
            </c:ext>
          </c:extLst>
        </c:ser>
        <c:ser>
          <c:idx val="2"/>
          <c:order val="2"/>
          <c:tx>
            <c:strRef>
              <c:f>Analyse_Chauffage!$B$19</c:f>
              <c:strCache>
                <c:ptCount val="1"/>
                <c:pt idx="0">
                  <c:v>2022</c:v>
                </c:pt>
              </c:strCache>
            </c:strRef>
          </c:tx>
          <c:spPr>
            <a:ln w="25400" cap="rnd">
              <a:noFill/>
              <a:round/>
            </a:ln>
            <a:effectLst/>
          </c:spPr>
          <c:marker>
            <c:symbol val="circle"/>
            <c:size val="5"/>
            <c:spPr>
              <a:solidFill>
                <a:schemeClr val="accent3"/>
              </a:solidFill>
              <a:ln w="9525">
                <a:solidFill>
                  <a:schemeClr val="accent3"/>
                </a:solidFill>
              </a:ln>
              <a:effectLst/>
            </c:spPr>
          </c:marker>
          <c:trendline>
            <c:spPr>
              <a:ln w="19050" cap="rnd">
                <a:solidFill>
                  <a:schemeClr val="accent3"/>
                </a:solidFill>
                <a:prstDash val="sysDot"/>
              </a:ln>
              <a:effectLst/>
            </c:spPr>
            <c:trendlineType val="linear"/>
            <c:dispRSqr val="0"/>
            <c:dispEq val="0"/>
          </c:trendline>
          <c:xVal>
            <c:numRef>
              <c:f>Analyse_Chauffage!$E$19:$E$26</c:f>
              <c:numCache>
                <c:formatCode>General</c:formatCode>
                <c:ptCount val="8"/>
                <c:pt idx="0">
                  <c:v>396.3</c:v>
                </c:pt>
                <c:pt idx="1">
                  <c:v>286.10000000000002</c:v>
                </c:pt>
                <c:pt idx="2">
                  <c:v>239.8</c:v>
                </c:pt>
                <c:pt idx="3">
                  <c:v>192.3</c:v>
                </c:pt>
                <c:pt idx="4">
                  <c:v>81.8</c:v>
                </c:pt>
                <c:pt idx="5">
                  <c:v>73</c:v>
                </c:pt>
                <c:pt idx="6">
                  <c:v>227.5</c:v>
                </c:pt>
                <c:pt idx="7">
                  <c:v>380.8</c:v>
                </c:pt>
              </c:numCache>
            </c:numRef>
          </c:xVal>
          <c:yVal>
            <c:numRef>
              <c:f>Analyse_Chauffage!$D$19:$D$26</c:f>
              <c:numCache>
                <c:formatCode>General</c:formatCode>
                <c:ptCount val="8"/>
                <c:pt idx="0">
                  <c:v>0</c:v>
                </c:pt>
                <c:pt idx="1">
                  <c:v>0</c:v>
                </c:pt>
                <c:pt idx="2">
                  <c:v>0</c:v>
                </c:pt>
                <c:pt idx="3">
                  <c:v>0</c:v>
                </c:pt>
                <c:pt idx="4">
                  <c:v>0</c:v>
                </c:pt>
                <c:pt idx="5">
                  <c:v>0</c:v>
                </c:pt>
                <c:pt idx="6">
                  <c:v>0</c:v>
                </c:pt>
                <c:pt idx="7">
                  <c:v>0</c:v>
                </c:pt>
              </c:numCache>
            </c:numRef>
          </c:yVal>
          <c:smooth val="0"/>
          <c:extLst>
            <c:ext xmlns:c16="http://schemas.microsoft.com/office/drawing/2014/chart" uri="{C3380CC4-5D6E-409C-BE32-E72D297353CC}">
              <c16:uniqueId val="{00000002-42AF-4993-B3B7-62185B05565D}"/>
            </c:ext>
          </c:extLst>
        </c:ser>
        <c:dLbls>
          <c:showLegendKey val="0"/>
          <c:showVal val="0"/>
          <c:showCatName val="0"/>
          <c:showSerName val="0"/>
          <c:showPercent val="0"/>
          <c:showBubbleSize val="0"/>
        </c:dLbls>
        <c:axId val="584934440"/>
        <c:axId val="584936080"/>
      </c:scatterChart>
      <c:valAx>
        <c:axId val="5849344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Degré jours de chauffage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4936080"/>
        <c:crosses val="autoZero"/>
        <c:crossBetween val="midCat"/>
      </c:valAx>
      <c:valAx>
        <c:axId val="584936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Consommation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849344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Analyse_Chauffage!$B$30</c:f>
              <c:strCache>
                <c:ptCount val="1"/>
                <c:pt idx="0">
                  <c:v>2014</c:v>
                </c:pt>
              </c:strCache>
            </c:strRef>
          </c:tx>
          <c:spPr>
            <a:ln w="28575" cap="rnd">
              <a:solidFill>
                <a:schemeClr val="accent1"/>
              </a:solidFill>
              <a:round/>
            </a:ln>
            <a:effectLst/>
          </c:spPr>
          <c:marker>
            <c:symbol val="none"/>
          </c:marker>
          <c:val>
            <c:numRef>
              <c:f>Analyse_Chauffage!$D$30:$D$41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E82-48F9-8A6C-18465B9EF26F}"/>
            </c:ext>
          </c:extLst>
        </c:ser>
        <c:ser>
          <c:idx val="1"/>
          <c:order val="1"/>
          <c:tx>
            <c:strRef>
              <c:f>Analyse_Chauffage!$B$42</c:f>
              <c:strCache>
                <c:ptCount val="1"/>
                <c:pt idx="0">
                  <c:v>2020</c:v>
                </c:pt>
              </c:strCache>
            </c:strRef>
          </c:tx>
          <c:spPr>
            <a:ln w="28575" cap="rnd">
              <a:solidFill>
                <a:schemeClr val="accent2"/>
              </a:solidFill>
              <a:round/>
            </a:ln>
            <a:effectLst/>
          </c:spPr>
          <c:marker>
            <c:symbol val="none"/>
          </c:marker>
          <c:val>
            <c:numRef>
              <c:f>Analyse_Chauffage!$D$42:$D$53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E82-48F9-8A6C-18465B9EF26F}"/>
            </c:ext>
          </c:extLst>
        </c:ser>
        <c:ser>
          <c:idx val="2"/>
          <c:order val="2"/>
          <c:tx>
            <c:strRef>
              <c:f>Analyse_Chauffage!$B$54</c:f>
              <c:strCache>
                <c:ptCount val="1"/>
                <c:pt idx="0">
                  <c:v>2022</c:v>
                </c:pt>
              </c:strCache>
            </c:strRef>
          </c:tx>
          <c:spPr>
            <a:ln w="28575" cap="rnd">
              <a:solidFill>
                <a:schemeClr val="accent3"/>
              </a:solidFill>
              <a:round/>
            </a:ln>
            <a:effectLst/>
          </c:spPr>
          <c:marker>
            <c:symbol val="none"/>
          </c:marker>
          <c:val>
            <c:numRef>
              <c:f>Analyse_Chauffage!$D$54:$D$65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E82-48F9-8A6C-18465B9EF26F}"/>
            </c:ext>
          </c:extLst>
        </c:ser>
        <c:dLbls>
          <c:showLegendKey val="0"/>
          <c:showVal val="0"/>
          <c:showCatName val="0"/>
          <c:showSerName val="0"/>
          <c:showPercent val="0"/>
          <c:showBubbleSize val="0"/>
        </c:dLbls>
        <c:smooth val="0"/>
        <c:axId val="1033861296"/>
        <c:axId val="1033864248"/>
      </c:lineChart>
      <c:catAx>
        <c:axId val="10338612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mois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33864248"/>
        <c:crosses val="autoZero"/>
        <c:auto val="1"/>
        <c:lblAlgn val="ctr"/>
        <c:lblOffset val="100"/>
        <c:noMultiLvlLbl val="0"/>
      </c:catAx>
      <c:valAx>
        <c:axId val="1033864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Consommation (kWh/mois)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338612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[TB_Energie_Eau_1.2.5_Vierge.xlsx]Calcul_Bilan_Energie!TCD_Chrono_Cout</c:name>
    <c:fmtId val="5"/>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solidFill>
            <a:schemeClr val="accent1"/>
          </a:solidFill>
          <a:ln w="28575" cap="rnd">
            <a:solidFill>
              <a:schemeClr val="accent1"/>
            </a:solidFill>
            <a:round/>
          </a:ln>
          <a:effectLst/>
        </c:spPr>
        <c:marker>
          <c:symbol val="none"/>
        </c:marker>
      </c:pivotFmt>
      <c:pivotFmt>
        <c:idx val="18"/>
        <c:spPr>
          <a:solidFill>
            <a:schemeClr val="accent1"/>
          </a:solidFill>
          <a:ln w="28575" cap="rnd">
            <a:solidFill>
              <a:schemeClr val="accent1"/>
            </a:solidFill>
            <a:round/>
          </a:ln>
          <a:effectLst/>
        </c:spPr>
        <c:marker>
          <c:symbol val="none"/>
        </c:marker>
      </c:pivotFmt>
      <c:pivotFmt>
        <c:idx val="19"/>
        <c:spPr>
          <a:solidFill>
            <a:schemeClr val="accent1"/>
          </a:solidFill>
          <a:ln w="28575" cap="rnd">
            <a:solidFill>
              <a:schemeClr val="accent1"/>
            </a:solidFill>
            <a:round/>
          </a:ln>
          <a:effectLst/>
        </c:spPr>
        <c:marker>
          <c:symbol val="none"/>
        </c:marker>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
        <c:idx val="23"/>
        <c:spPr>
          <a:solidFill>
            <a:schemeClr val="accent1"/>
          </a:solidFill>
          <a:ln w="28575" cap="rnd">
            <a:solidFill>
              <a:schemeClr val="accent1"/>
            </a:solidFill>
            <a:round/>
          </a:ln>
          <a:effectLst/>
        </c:spPr>
        <c:marker>
          <c:symbol val="none"/>
        </c:marker>
      </c:pivotFmt>
      <c:pivotFmt>
        <c:idx val="24"/>
        <c:spPr>
          <a:solidFill>
            <a:schemeClr val="accent1"/>
          </a:solidFill>
          <a:ln w="28575" cap="rnd">
            <a:solidFill>
              <a:schemeClr val="accent1"/>
            </a:solidFill>
            <a:round/>
          </a:ln>
          <a:effectLst/>
        </c:spPr>
        <c:marker>
          <c:symbol val="none"/>
        </c:marker>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pivotFmt>
      <c:pivotFmt>
        <c:idx val="4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pivotFmt>
      <c:pivotFmt>
        <c:idx val="46"/>
        <c:spPr>
          <a:solidFill>
            <a:schemeClr val="accent1"/>
          </a:solidFill>
          <a:ln w="28575" cap="rnd">
            <a:solidFill>
              <a:schemeClr val="accent1"/>
            </a:solidFill>
            <a:round/>
          </a:ln>
          <a:effectLst/>
        </c:spPr>
        <c:marker>
          <c:symbol val="none"/>
        </c:marker>
      </c:pivotFmt>
      <c:pivotFmt>
        <c:idx val="47"/>
        <c:spPr>
          <a:solidFill>
            <a:schemeClr val="accent1"/>
          </a:solidFill>
          <a:ln w="28575" cap="rnd">
            <a:solidFill>
              <a:schemeClr val="accent1"/>
            </a:solidFill>
            <a:round/>
          </a:ln>
          <a:effectLst/>
        </c:spPr>
        <c:marker>
          <c:symbol val="none"/>
        </c:marker>
      </c:pivotFmt>
      <c:pivotFmt>
        <c:idx val="48"/>
        <c:spPr>
          <a:solidFill>
            <a:schemeClr val="accent1"/>
          </a:solidFill>
          <a:ln w="28575" cap="rnd">
            <a:solidFill>
              <a:schemeClr val="accent1"/>
            </a:solidFill>
            <a:round/>
          </a:ln>
          <a:effectLst/>
        </c:spPr>
        <c:marker>
          <c:symbol val="none"/>
        </c:marker>
      </c:pivotFmt>
      <c:pivotFmt>
        <c:idx val="49"/>
        <c:spPr>
          <a:solidFill>
            <a:schemeClr val="accent1"/>
          </a:solidFill>
          <a:ln w="28575" cap="rnd">
            <a:solidFill>
              <a:schemeClr val="accent1"/>
            </a:solidFill>
            <a:round/>
          </a:ln>
          <a:effectLst/>
        </c:spPr>
        <c:marker>
          <c:symbol val="none"/>
        </c:marker>
      </c:pivotFmt>
      <c:pivotFmt>
        <c:idx val="50"/>
        <c:spPr>
          <a:solidFill>
            <a:schemeClr val="accent1"/>
          </a:solidFill>
          <a:ln w="28575" cap="rnd">
            <a:solidFill>
              <a:schemeClr val="accent1"/>
            </a:solidFill>
            <a:round/>
          </a:ln>
          <a:effectLst/>
        </c:spPr>
        <c:marker>
          <c:symbol val="none"/>
        </c:marker>
      </c:pivotFmt>
      <c:pivotFmt>
        <c:idx val="51"/>
        <c:spPr>
          <a:solidFill>
            <a:schemeClr val="accent1"/>
          </a:solidFill>
          <a:ln w="28575" cap="rnd">
            <a:solidFill>
              <a:schemeClr val="accent1"/>
            </a:solidFill>
            <a:round/>
          </a:ln>
          <a:effectLst/>
        </c:spPr>
        <c:marker>
          <c:symbol val="none"/>
        </c:marker>
      </c:pivotFmt>
      <c:pivotFmt>
        <c:idx val="52"/>
        <c:spPr>
          <a:solidFill>
            <a:schemeClr val="accent1"/>
          </a:solidFill>
          <a:ln w="28575" cap="rnd">
            <a:solidFill>
              <a:schemeClr val="accent1"/>
            </a:solidFill>
            <a:round/>
          </a:ln>
          <a:effectLst/>
        </c:spPr>
        <c:marker>
          <c:symbol val="none"/>
        </c:marker>
      </c:pivotFmt>
      <c:pivotFmt>
        <c:idx val="53"/>
        <c:spPr>
          <a:solidFill>
            <a:schemeClr val="accent1"/>
          </a:solidFill>
          <a:ln w="28575" cap="rnd">
            <a:solidFill>
              <a:schemeClr val="accent1"/>
            </a:solidFill>
            <a:round/>
          </a:ln>
          <a:effectLst/>
        </c:spPr>
        <c:marker>
          <c:symbol val="none"/>
        </c:marker>
      </c:pivotFmt>
      <c:pivotFmt>
        <c:idx val="54"/>
        <c:spPr>
          <a:solidFill>
            <a:schemeClr val="accent1"/>
          </a:solidFill>
          <a:ln w="28575" cap="rnd">
            <a:solidFill>
              <a:schemeClr val="accent1"/>
            </a:solidFill>
            <a:round/>
          </a:ln>
          <a:effectLst/>
        </c:spPr>
        <c:marker>
          <c:symbol val="none"/>
        </c:marker>
      </c:pivotFmt>
      <c:pivotFmt>
        <c:idx val="55"/>
        <c:spPr>
          <a:solidFill>
            <a:schemeClr val="accent1"/>
          </a:solidFill>
          <a:ln w="28575" cap="rnd">
            <a:solidFill>
              <a:schemeClr val="accent1"/>
            </a:solidFill>
            <a:round/>
          </a:ln>
          <a:effectLst/>
        </c:spPr>
        <c:marker>
          <c:symbol val="none"/>
        </c:marker>
      </c:pivotFmt>
      <c:pivotFmt>
        <c:idx val="56"/>
        <c:spPr>
          <a:solidFill>
            <a:schemeClr val="accent1"/>
          </a:solidFill>
          <a:ln w="28575" cap="rnd">
            <a:solidFill>
              <a:schemeClr val="accent1"/>
            </a:solidFill>
            <a:round/>
          </a:ln>
          <a:effectLst/>
        </c:spPr>
        <c:marker>
          <c:symbol val="none"/>
        </c:marker>
      </c:pivotFmt>
      <c:pivotFmt>
        <c:idx val="57"/>
        <c:spPr>
          <a:solidFill>
            <a:schemeClr val="accent1"/>
          </a:solidFill>
          <a:ln w="28575" cap="rnd">
            <a:solidFill>
              <a:schemeClr val="accent1"/>
            </a:solidFill>
            <a:round/>
          </a:ln>
          <a:effectLst/>
        </c:spPr>
        <c:marker>
          <c:symbol val="none"/>
        </c:marker>
      </c:pivotFmt>
      <c:pivotFmt>
        <c:idx val="58"/>
        <c:spPr>
          <a:solidFill>
            <a:schemeClr val="accent1"/>
          </a:solidFill>
          <a:ln w="28575" cap="rnd">
            <a:solidFill>
              <a:schemeClr val="accent1"/>
            </a:solidFill>
            <a:round/>
          </a:ln>
          <a:effectLst/>
        </c:spPr>
        <c:marker>
          <c:symbol val="none"/>
        </c:marker>
      </c:pivotFmt>
      <c:pivotFmt>
        <c:idx val="59"/>
        <c:spPr>
          <a:solidFill>
            <a:schemeClr val="accent1"/>
          </a:solidFill>
          <a:ln w="28575" cap="rnd">
            <a:solidFill>
              <a:schemeClr val="accent1"/>
            </a:solidFill>
            <a:round/>
          </a:ln>
          <a:effectLst/>
        </c:spPr>
        <c:marker>
          <c:symbol val="none"/>
        </c:marker>
      </c:pivotFmt>
      <c:pivotFmt>
        <c:idx val="60"/>
        <c:spPr>
          <a:solidFill>
            <a:schemeClr val="accent1"/>
          </a:solidFill>
          <a:ln w="28575" cap="rnd">
            <a:solidFill>
              <a:schemeClr val="accent1"/>
            </a:solidFill>
            <a:round/>
          </a:ln>
          <a:effectLst/>
        </c:spPr>
        <c:marker>
          <c:symbol val="none"/>
        </c:marker>
      </c:pivotFmt>
      <c:pivotFmt>
        <c:idx val="61"/>
        <c:spPr>
          <a:solidFill>
            <a:schemeClr val="accent1"/>
          </a:solidFill>
          <a:ln w="28575" cap="rnd">
            <a:solidFill>
              <a:schemeClr val="accent1"/>
            </a:solidFill>
            <a:round/>
          </a:ln>
          <a:effectLst/>
        </c:spPr>
        <c:marker>
          <c:symbol val="none"/>
        </c:marker>
      </c:pivotFmt>
      <c:pivotFmt>
        <c:idx val="62"/>
        <c:spPr>
          <a:solidFill>
            <a:schemeClr val="accent1"/>
          </a:solidFill>
          <a:ln w="28575" cap="rnd">
            <a:solidFill>
              <a:schemeClr val="accent1"/>
            </a:solidFill>
            <a:round/>
          </a:ln>
          <a:effectLst/>
        </c:spPr>
        <c:marker>
          <c:symbol val="none"/>
        </c:marker>
      </c:pivotFmt>
      <c:pivotFmt>
        <c:idx val="63"/>
        <c:spPr>
          <a:solidFill>
            <a:schemeClr val="accent1"/>
          </a:solidFill>
          <a:ln w="28575" cap="rnd">
            <a:solidFill>
              <a:schemeClr val="accent1"/>
            </a:solidFill>
            <a:round/>
          </a:ln>
          <a:effectLst/>
        </c:spPr>
        <c:marker>
          <c:symbol val="none"/>
        </c:marker>
      </c:pivotFmt>
      <c:pivotFmt>
        <c:idx val="64"/>
        <c:spPr>
          <a:solidFill>
            <a:schemeClr val="accent1"/>
          </a:solidFill>
          <a:ln w="28575" cap="rnd">
            <a:solidFill>
              <a:schemeClr val="accent1"/>
            </a:solidFill>
            <a:round/>
          </a:ln>
          <a:effectLst/>
        </c:spPr>
        <c:marker>
          <c:symbol val="none"/>
        </c:marker>
      </c:pivotFmt>
      <c:pivotFmt>
        <c:idx val="65"/>
        <c:spPr>
          <a:solidFill>
            <a:schemeClr val="accent1"/>
          </a:solidFill>
          <a:ln w="28575" cap="rnd">
            <a:solidFill>
              <a:schemeClr val="accent1"/>
            </a:solidFill>
            <a:round/>
          </a:ln>
          <a:effectLst/>
        </c:spPr>
        <c:marker>
          <c:symbol val="none"/>
        </c:marker>
      </c:pivotFmt>
      <c:pivotFmt>
        <c:idx val="66"/>
        <c:spPr>
          <a:solidFill>
            <a:schemeClr val="accent1"/>
          </a:solidFill>
          <a:ln w="28575" cap="rnd">
            <a:solidFill>
              <a:schemeClr val="accent1"/>
            </a:solidFill>
            <a:round/>
          </a:ln>
          <a:effectLst/>
        </c:spPr>
        <c:marker>
          <c:symbol val="none"/>
        </c:marker>
      </c:pivotFmt>
      <c:pivotFmt>
        <c:idx val="67"/>
        <c:spPr>
          <a:solidFill>
            <a:schemeClr val="accent1"/>
          </a:solidFill>
          <a:ln w="28575" cap="rnd">
            <a:solidFill>
              <a:schemeClr val="accent1"/>
            </a:solidFill>
            <a:round/>
          </a:ln>
          <a:effectLst/>
        </c:spPr>
        <c:marker>
          <c:symbol val="none"/>
        </c:marker>
      </c:pivotFmt>
      <c:pivotFmt>
        <c:idx val="68"/>
        <c:spPr>
          <a:solidFill>
            <a:schemeClr val="accent1"/>
          </a:solidFill>
          <a:ln w="28575" cap="rnd">
            <a:solidFill>
              <a:schemeClr val="accent1"/>
            </a:solidFill>
            <a:round/>
          </a:ln>
          <a:effectLst/>
        </c:spPr>
        <c:marker>
          <c:symbol val="none"/>
        </c:marker>
      </c:pivotFmt>
      <c:pivotFmt>
        <c:idx val="69"/>
        <c:spPr>
          <a:ln w="28575" cap="rnd">
            <a:solidFill>
              <a:schemeClr val="accent1"/>
            </a:solidFill>
            <a:round/>
          </a:ln>
          <a:effectLst/>
        </c:spPr>
        <c:marker>
          <c:symbol val="none"/>
        </c:marker>
      </c:pivotFmt>
      <c:pivotFmt>
        <c:idx val="70"/>
        <c:spPr>
          <a:solidFill>
            <a:schemeClr val="accent1"/>
          </a:solidFill>
          <a:ln w="28575" cap="rnd">
            <a:solidFill>
              <a:schemeClr val="accent1"/>
            </a:solidFill>
            <a:round/>
          </a:ln>
          <a:effectLst/>
        </c:spPr>
        <c:marker>
          <c:symbol val="none"/>
        </c:marker>
      </c:pivotFmt>
      <c:pivotFmt>
        <c:idx val="71"/>
        <c:spPr>
          <a:solidFill>
            <a:schemeClr val="accent1"/>
          </a:solidFill>
          <a:ln w="28575" cap="rnd">
            <a:solidFill>
              <a:schemeClr val="accent1"/>
            </a:solidFill>
            <a:round/>
          </a:ln>
          <a:effectLst/>
        </c:spPr>
        <c:marker>
          <c:symbol val="none"/>
        </c:marker>
      </c:pivotFmt>
      <c:pivotFmt>
        <c:idx val="72"/>
        <c:spPr>
          <a:solidFill>
            <a:schemeClr val="accent1"/>
          </a:solidFill>
          <a:ln w="28575" cap="rnd">
            <a:solidFill>
              <a:schemeClr val="accent1"/>
            </a:solidFill>
            <a:round/>
          </a:ln>
          <a:effectLst/>
        </c:spPr>
        <c:marker>
          <c:symbol val="none"/>
        </c:marker>
      </c:pivotFmt>
      <c:pivotFmt>
        <c:idx val="73"/>
        <c:spPr>
          <a:solidFill>
            <a:schemeClr val="accent1"/>
          </a:solidFill>
          <a:ln w="28575" cap="rnd">
            <a:solidFill>
              <a:schemeClr val="accent1"/>
            </a:solidFill>
            <a:round/>
          </a:ln>
          <a:effectLst/>
        </c:spPr>
        <c:marker>
          <c:symbol val="none"/>
        </c:marker>
      </c:pivotFmt>
      <c:pivotFmt>
        <c:idx val="74"/>
        <c:spPr>
          <a:solidFill>
            <a:schemeClr val="accent1"/>
          </a:solidFill>
          <a:ln w="28575" cap="rnd">
            <a:solidFill>
              <a:schemeClr val="accent1"/>
            </a:solidFill>
            <a:round/>
          </a:ln>
          <a:effectLst/>
        </c:spPr>
        <c:marker>
          <c:symbol val="none"/>
        </c:marker>
      </c:pivotFmt>
      <c:pivotFmt>
        <c:idx val="75"/>
        <c:spPr>
          <a:solidFill>
            <a:schemeClr val="accent1"/>
          </a:solidFill>
          <a:ln w="28575" cap="rnd">
            <a:solidFill>
              <a:schemeClr val="accent1"/>
            </a:solidFill>
            <a:round/>
          </a:ln>
          <a:effectLst/>
        </c:spPr>
        <c:marker>
          <c:symbol val="none"/>
        </c:marker>
      </c:pivotFmt>
      <c:pivotFmt>
        <c:idx val="76"/>
        <c:spPr>
          <a:solidFill>
            <a:schemeClr val="accent1"/>
          </a:solidFill>
          <a:ln w="28575" cap="rnd">
            <a:solidFill>
              <a:schemeClr val="accent1"/>
            </a:solidFill>
            <a:round/>
          </a:ln>
          <a:effectLst/>
        </c:spPr>
        <c:marker>
          <c:symbol val="none"/>
        </c:marker>
      </c:pivotFmt>
      <c:pivotFmt>
        <c:idx val="77"/>
        <c:spPr>
          <a:solidFill>
            <a:schemeClr val="accent1"/>
          </a:solidFill>
          <a:ln w="28575" cap="rnd">
            <a:solidFill>
              <a:schemeClr val="accent1"/>
            </a:solidFill>
            <a:round/>
          </a:ln>
          <a:effectLst/>
        </c:spPr>
        <c:marker>
          <c:symbol val="none"/>
        </c:marker>
      </c:pivotFmt>
      <c:pivotFmt>
        <c:idx val="78"/>
        <c:spPr>
          <a:solidFill>
            <a:schemeClr val="accent1"/>
          </a:solidFill>
          <a:ln w="28575" cap="rnd">
            <a:solidFill>
              <a:schemeClr val="accent1"/>
            </a:solidFill>
            <a:round/>
          </a:ln>
          <a:effectLst/>
        </c:spPr>
        <c:marker>
          <c:symbol val="none"/>
        </c:marker>
      </c:pivotFmt>
      <c:pivotFmt>
        <c:idx val="79"/>
        <c:spPr>
          <a:solidFill>
            <a:schemeClr val="accent1"/>
          </a:solidFill>
          <a:ln w="28575" cap="rnd">
            <a:solidFill>
              <a:schemeClr val="accent1"/>
            </a:solidFill>
            <a:round/>
          </a:ln>
          <a:effectLst/>
        </c:spPr>
        <c:marker>
          <c:symbol val="none"/>
        </c:marker>
      </c:pivotFmt>
      <c:pivotFmt>
        <c:idx val="80"/>
        <c:spPr>
          <a:solidFill>
            <a:schemeClr val="accent1"/>
          </a:solidFill>
          <a:ln w="28575" cap="rnd">
            <a:solidFill>
              <a:schemeClr val="accent1"/>
            </a:solidFill>
            <a:round/>
          </a:ln>
          <a:effectLst/>
        </c:spPr>
        <c:marker>
          <c:symbol val="none"/>
        </c:marker>
      </c:pivotFmt>
      <c:pivotFmt>
        <c:idx val="81"/>
        <c:spPr>
          <a:solidFill>
            <a:schemeClr val="accent1"/>
          </a:solidFill>
          <a:ln w="28575" cap="rnd">
            <a:solidFill>
              <a:schemeClr val="accent1"/>
            </a:solidFill>
            <a:round/>
          </a:ln>
          <a:effectLst/>
        </c:spPr>
        <c:marker>
          <c:symbol val="none"/>
        </c:marker>
      </c:pivotFmt>
      <c:pivotFmt>
        <c:idx val="82"/>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0.1232590636799437"/>
          <c:y val="5.0550053061305424E-2"/>
          <c:w val="0.87545618794997027"/>
          <c:h val="0.58592154082929415"/>
        </c:manualLayout>
      </c:layout>
      <c:lineChart>
        <c:grouping val="standard"/>
        <c:varyColors val="0"/>
        <c:ser>
          <c:idx val="0"/>
          <c:order val="0"/>
          <c:tx>
            <c:strRef>
              <c:f>Calcul_Bilan_Energie!$B$35:$B$36</c:f>
              <c:strCache>
                <c:ptCount val="1"/>
                <c:pt idx="0">
                  <c:v>Total général</c:v>
                </c:pt>
              </c:strCache>
            </c:strRef>
          </c:tx>
          <c:spPr>
            <a:ln w="28575" cap="rnd">
              <a:solidFill>
                <a:schemeClr val="accent1"/>
              </a:solidFill>
              <a:round/>
            </a:ln>
            <a:effectLst/>
          </c:spPr>
          <c:marker>
            <c:symbol val="none"/>
          </c:marker>
          <c:cat>
            <c:strRef>
              <c:f>Calcul_Bilan_Energie!$A$37</c:f>
              <c:strCache>
                <c:ptCount val="1"/>
                <c:pt idx="0">
                  <c:v>Total général</c:v>
                </c:pt>
              </c:strCache>
            </c:strRef>
          </c:cat>
          <c:val>
            <c:numRef>
              <c:f>Calcul_Bilan_Energie!$B$37</c:f>
              <c:numCache>
                <c:formatCode>General</c:formatCode>
                <c:ptCount val="1"/>
                <c:pt idx="0">
                  <c:v>#N/A</c:v>
                </c:pt>
              </c:numCache>
            </c:numRef>
          </c:val>
          <c:smooth val="0"/>
          <c:extLst>
            <c:ext xmlns:c16="http://schemas.microsoft.com/office/drawing/2014/chart" uri="{C3380CC4-5D6E-409C-BE32-E72D297353CC}">
              <c16:uniqueId val="{00000000-127C-490C-ADF2-4E1EC8860155}"/>
            </c:ext>
          </c:extLst>
        </c:ser>
        <c:dLbls>
          <c:showLegendKey val="0"/>
          <c:showVal val="0"/>
          <c:showCatName val="0"/>
          <c:showSerName val="0"/>
          <c:showPercent val="0"/>
          <c:showBubbleSize val="0"/>
        </c:dLbls>
        <c:smooth val="0"/>
        <c:axId val="663798768"/>
        <c:axId val="663801392"/>
      </c:lineChart>
      <c:catAx>
        <c:axId val="66379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3801392"/>
        <c:crosses val="autoZero"/>
        <c:auto val="1"/>
        <c:lblAlgn val="ctr"/>
        <c:lblOffset val="100"/>
        <c:noMultiLvlLbl val="0"/>
      </c:catAx>
      <c:valAx>
        <c:axId val="66380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Coût énergétque (€        /kWh [EF PCI])</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63798768"/>
        <c:crosses val="autoZero"/>
        <c:crossBetween val="between"/>
      </c:valAx>
      <c:spPr>
        <a:noFill/>
        <a:ln>
          <a:noFill/>
        </a:ln>
        <a:effectLst/>
      </c:spPr>
    </c:plotArea>
    <c:legend>
      <c:legendPos val="b"/>
      <c:layout>
        <c:manualLayout>
          <c:xMode val="edge"/>
          <c:yMode val="edge"/>
          <c:x val="0.27611379298998862"/>
          <c:y val="0.86579760164374253"/>
          <c:w val="0.44777241402002266"/>
          <c:h val="0.107558190491523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[TB_Energie_Eau_1.2.5_Vierge.xlsx]Calcul_Bilan_Energie!TCD_Cout_annuel</c:name>
    <c:fmtId val="9"/>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s>
    <c:plotArea>
      <c:layout/>
      <c:barChart>
        <c:barDir val="col"/>
        <c:grouping val="stacked"/>
        <c:varyColors val="0"/>
        <c:ser>
          <c:idx val="0"/>
          <c:order val="0"/>
          <c:tx>
            <c:strRef>
              <c:f>Calcul_Bilan_Energie!$M$38:$M$39</c:f>
              <c:strCache>
                <c:ptCount val="1"/>
                <c:pt idx="0">
                  <c:v>Total général</c:v>
                </c:pt>
              </c:strCache>
            </c:strRef>
          </c:tx>
          <c:spPr>
            <a:solidFill>
              <a:schemeClr val="accent1"/>
            </a:solidFill>
            <a:ln>
              <a:noFill/>
            </a:ln>
            <a:effectLst/>
          </c:spPr>
          <c:invertIfNegative val="0"/>
          <c:cat>
            <c:strRef>
              <c:f>Calcul_Bilan_Energie!$L$40</c:f>
              <c:strCache>
                <c:ptCount val="1"/>
                <c:pt idx="0">
                  <c:v>Total général</c:v>
                </c:pt>
              </c:strCache>
            </c:strRef>
          </c:cat>
          <c:val>
            <c:numRef>
              <c:f>Calcul_Bilan_Energie!$M$40</c:f>
              <c:numCache>
                <c:formatCode>#\ ##0\ "€"</c:formatCode>
                <c:ptCount val="1"/>
              </c:numCache>
            </c:numRef>
          </c:val>
          <c:extLst>
            <c:ext xmlns:c16="http://schemas.microsoft.com/office/drawing/2014/chart" uri="{C3380CC4-5D6E-409C-BE32-E72D297353CC}">
              <c16:uniqueId val="{00000000-DD4C-4B64-8059-52E7EF5D2C26}"/>
            </c:ext>
          </c:extLst>
        </c:ser>
        <c:dLbls>
          <c:showLegendKey val="0"/>
          <c:showVal val="0"/>
          <c:showCatName val="0"/>
          <c:showSerName val="0"/>
          <c:showPercent val="0"/>
          <c:showBubbleSize val="0"/>
        </c:dLbls>
        <c:gapWidth val="150"/>
        <c:overlap val="100"/>
        <c:axId val="934591608"/>
        <c:axId val="934587344"/>
      </c:barChart>
      <c:catAx>
        <c:axId val="934591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4587344"/>
        <c:crosses val="autoZero"/>
        <c:auto val="1"/>
        <c:lblAlgn val="ctr"/>
        <c:lblOffset val="100"/>
        <c:noMultiLvlLbl val="0"/>
      </c:catAx>
      <c:valAx>
        <c:axId val="934587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Coût </a:t>
                </a:r>
                <a:r>
                  <a:rPr lang="fr-FR" b="1" baseline="0"/>
                  <a:t> </a:t>
                </a:r>
                <a:r>
                  <a:rPr lang="fr-FR" sz="1000" b="1" i="0" u="none" strike="noStrike" baseline="0">
                    <a:effectLst/>
                  </a:rPr>
                  <a:t>€</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 ##0\ &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345916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[TB_Energie_Eau_1.2.5_Vierge.xlsx]TCD_compteur!TCD_Conso_DJU</c:name>
    <c:fmtId val="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6"/>
          </a:solidFill>
          <a:ln>
            <a:noFill/>
          </a:ln>
          <a:effectLst/>
        </c:spPr>
        <c:marker>
          <c:symbol val="none"/>
        </c:marker>
      </c:pivotFmt>
    </c:pivotFmts>
    <c:plotArea>
      <c:layout/>
      <c:barChart>
        <c:barDir val="col"/>
        <c:grouping val="clustered"/>
        <c:varyColors val="0"/>
        <c:ser>
          <c:idx val="0"/>
          <c:order val="0"/>
          <c:tx>
            <c:strRef>
              <c:f>TCD_compteur!$B$10</c:f>
              <c:strCache>
                <c:ptCount val="1"/>
                <c:pt idx="0">
                  <c:v>Total</c:v>
                </c:pt>
              </c:strCache>
            </c:strRef>
          </c:tx>
          <c:spPr>
            <a:solidFill>
              <a:schemeClr val="accent6"/>
            </a:solidFill>
            <a:ln>
              <a:noFill/>
            </a:ln>
            <a:effectLst/>
          </c:spPr>
          <c:invertIfNegative val="0"/>
          <c:cat>
            <c:strRef>
              <c:f>TCD_compteur!$A$11</c:f>
              <c:strCache>
                <c:ptCount val="1"/>
                <c:pt idx="0">
                  <c:v>Total général</c:v>
                </c:pt>
              </c:strCache>
            </c:strRef>
          </c:cat>
          <c:val>
            <c:numRef>
              <c:f>TCD_compteur!$B$11</c:f>
              <c:numCache>
                <c:formatCode>General</c:formatCode>
                <c:ptCount val="1"/>
                <c:pt idx="0">
                  <c:v>#N/A</c:v>
                </c:pt>
              </c:numCache>
            </c:numRef>
          </c:val>
          <c:extLst>
            <c:ext xmlns:c16="http://schemas.microsoft.com/office/drawing/2014/chart" uri="{C3380CC4-5D6E-409C-BE32-E72D297353CC}">
              <c16:uniqueId val="{00000000-E7C0-4CC4-8624-1291C060BAAD}"/>
            </c:ext>
          </c:extLst>
        </c:ser>
        <c:dLbls>
          <c:showLegendKey val="0"/>
          <c:showVal val="0"/>
          <c:showCatName val="0"/>
          <c:showSerName val="0"/>
          <c:showPercent val="0"/>
          <c:showBubbleSize val="0"/>
        </c:dLbls>
        <c:gapWidth val="219"/>
        <c:overlap val="-27"/>
        <c:axId val="386866488"/>
        <c:axId val="386864192"/>
      </c:barChart>
      <c:catAx>
        <c:axId val="386866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6864192"/>
        <c:crosses val="autoZero"/>
        <c:auto val="1"/>
        <c:lblAlgn val="ctr"/>
        <c:lblOffset val="100"/>
        <c:noMultiLvlLbl val="0"/>
      </c:catAx>
      <c:valAx>
        <c:axId val="386864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Ratio</a:t>
                </a:r>
                <a:r>
                  <a:rPr lang="fr-FR" b="1" baseline="0"/>
                  <a:t> Conso/DJU (U/DJU)</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3868664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[TB_Energie_Eau_1.2.5_Vierge.xlsx]TCD_compteur!TCD_Chrono_Conso</c:name>
    <c:fmtId val="4"/>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ln w="28575" cap="rnd">
            <a:solidFill>
              <a:schemeClr val="accent6"/>
            </a:solidFill>
            <a:round/>
          </a:ln>
          <a:effectLst/>
        </c:spPr>
        <c:marker>
          <c:symbol val="none"/>
        </c:marker>
      </c:pivotFmt>
    </c:pivotFmts>
    <c:plotArea>
      <c:layout>
        <c:manualLayout>
          <c:layoutTarget val="inner"/>
          <c:xMode val="edge"/>
          <c:yMode val="edge"/>
          <c:x val="9.9804476051272184E-2"/>
          <c:y val="3.437493840058347E-2"/>
          <c:w val="0.88008042111005846"/>
          <c:h val="0.52431698566951179"/>
        </c:manualLayout>
      </c:layout>
      <c:lineChart>
        <c:grouping val="standard"/>
        <c:varyColors val="0"/>
        <c:ser>
          <c:idx val="0"/>
          <c:order val="0"/>
          <c:tx>
            <c:strRef>
              <c:f>TCD_compteur!$F$10</c:f>
              <c:strCache>
                <c:ptCount val="1"/>
                <c:pt idx="0">
                  <c:v>Total</c:v>
                </c:pt>
              </c:strCache>
            </c:strRef>
          </c:tx>
          <c:spPr>
            <a:ln w="28575" cap="rnd">
              <a:solidFill>
                <a:schemeClr val="accent6"/>
              </a:solidFill>
              <a:round/>
            </a:ln>
            <a:effectLst/>
          </c:spPr>
          <c:marker>
            <c:symbol val="none"/>
          </c:marker>
          <c:cat>
            <c:strRef>
              <c:f>TCD_compteur!$E$11</c:f>
              <c:strCache>
                <c:ptCount val="1"/>
                <c:pt idx="0">
                  <c:v>Total général</c:v>
                </c:pt>
              </c:strCache>
            </c:strRef>
          </c:cat>
          <c:val>
            <c:numRef>
              <c:f>TCD_compteur!$F$11</c:f>
              <c:numCache>
                <c:formatCode>General</c:formatCode>
                <c:ptCount val="1"/>
              </c:numCache>
            </c:numRef>
          </c:val>
          <c:smooth val="0"/>
          <c:extLst>
            <c:ext xmlns:c16="http://schemas.microsoft.com/office/drawing/2014/chart" uri="{C3380CC4-5D6E-409C-BE32-E72D297353CC}">
              <c16:uniqueId val="{00000000-475E-42A4-A1C8-8124F08F16E4}"/>
            </c:ext>
          </c:extLst>
        </c:ser>
        <c:dLbls>
          <c:showLegendKey val="0"/>
          <c:showVal val="0"/>
          <c:showCatName val="0"/>
          <c:showSerName val="0"/>
          <c:showPercent val="0"/>
          <c:showBubbleSize val="0"/>
        </c:dLbls>
        <c:smooth val="0"/>
        <c:axId val="1251235888"/>
        <c:axId val="1251234576"/>
      </c:lineChart>
      <c:catAx>
        <c:axId val="12512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1234576"/>
        <c:crosses val="autoZero"/>
        <c:auto val="1"/>
        <c:lblAlgn val="ctr"/>
        <c:lblOffset val="100"/>
        <c:noMultiLvlLbl val="0"/>
      </c:catAx>
      <c:valAx>
        <c:axId val="1251234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Conso (U)</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51235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orientation="portrait"/>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[TB_Energie_Eau_1.2.5_Vierge.xlsx]TCD_souscompteur!TCD_Chrono_Conso</c:name>
    <c:fmtId val="10"/>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dLbls>
          <c:showLegendKey val="0"/>
          <c:showVal val="0"/>
          <c:showCatName val="0"/>
          <c:showSerName val="0"/>
          <c:showPercent val="0"/>
          <c:showBubbleSize val="0"/>
        </c:dLbls>
        <c:marker val="1"/>
        <c:smooth val="0"/>
        <c:axId val="552420800"/>
        <c:axId val="552421456"/>
      </c:lineChart>
      <c:catAx>
        <c:axId val="55242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1456"/>
        <c:crosses val="autoZero"/>
        <c:auto val="1"/>
        <c:lblAlgn val="ctr"/>
        <c:lblOffset val="100"/>
        <c:noMultiLvlLbl val="0"/>
      </c:catAx>
      <c:valAx>
        <c:axId val="552421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Conso (U)</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524208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[TB_Energie_Eau_1.2.5_Vierge.xlsx]Calcul_Bilan_Energie!Tableau croisé dynamique2</c:name>
    <c:fmtId val="5"/>
  </c:pivotSource>
  <c:chart>
    <c:autoTitleDeleted val="1"/>
    <c:pivotFmts>
      <c:pivotFmt>
        <c:idx val="0"/>
        <c:spPr>
          <a:solidFill>
            <a:schemeClr val="accent1"/>
          </a:solidFill>
          <a:ln w="19050">
            <a:solidFill>
              <a:schemeClr val="lt1"/>
            </a:solid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9"/>
        <c:spPr>
          <a:solidFill>
            <a:schemeClr val="accent1"/>
          </a:solidFill>
          <a:ln w="19050">
            <a:solidFill>
              <a:schemeClr val="lt1"/>
            </a:solidFill>
          </a:ln>
          <a:effectLst/>
        </c:spPr>
        <c:marker>
          <c:symbol val="none"/>
        </c:marker>
        <c:dLbl>
          <c:idx val="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0"/>
          <c:showSerName val="0"/>
          <c:showPercent val="1"/>
          <c:showBubbleSize val="1"/>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Lst>
        </c:dLbl>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dLblPos val="bestFit"/>
          <c:showLegendKey val="0"/>
          <c:showVal val="0"/>
          <c:showCatName val="0"/>
          <c:showSerName val="0"/>
          <c:showPercent val="1"/>
          <c:showBubbleSize val="0"/>
          <c:separator>
</c:separator>
          <c:extLst>
            <c:ext xmlns:c15="http://schemas.microsoft.com/office/drawing/2012/chart" uri="{CE6537A1-D6FC-4f65-9D91-7224C49458BB}"/>
          </c:extLst>
        </c:dLbl>
      </c:pivotFmt>
      <c:pivotFmt>
        <c:idx val="29"/>
        <c:spPr>
          <a:solidFill>
            <a:schemeClr val="accent1"/>
          </a:solidFill>
          <a:ln w="19050">
            <a:solidFill>
              <a:schemeClr val="lt1"/>
            </a:solidFill>
          </a:ln>
          <a:effectLst/>
        </c:spPr>
        <c:marker>
          <c:symbol val="none"/>
        </c:marke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5"/>
        <c:spPr>
          <a:solidFill>
            <a:schemeClr val="accent1"/>
          </a:solidFill>
          <a:ln w="19050">
            <a:solidFill>
              <a:schemeClr val="l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s>
    <c:plotArea>
      <c:layout>
        <c:manualLayout>
          <c:layoutTarget val="inner"/>
          <c:xMode val="edge"/>
          <c:yMode val="edge"/>
          <c:x val="0.15777694618821891"/>
          <c:y val="8.1597343013952037E-2"/>
          <c:w val="0.62910111841069749"/>
          <c:h val="0.67885986704155876"/>
        </c:manualLayout>
      </c:layout>
      <c:pieChart>
        <c:varyColors val="1"/>
        <c:ser>
          <c:idx val="0"/>
          <c:order val="0"/>
          <c:tx>
            <c:strRef>
              <c:f>Calcul_Bilan_Energie!$D$5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307-439D-B246-6C3BF565E367}"/>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307-439D-B246-6C3BF565E3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Calcul_Bilan_Energie!$C$6</c:f>
              <c:strCache>
                <c:ptCount val="1"/>
                <c:pt idx="0">
                  <c:v>Total général</c:v>
                </c:pt>
              </c:strCache>
            </c:strRef>
          </c:cat>
          <c:val>
            <c:numRef>
              <c:f>Calcul_Bilan_Energie!$D$6</c:f>
              <c:numCache>
                <c:formatCode>General</c:formatCode>
                <c:ptCount val="1"/>
              </c:numCache>
            </c:numRef>
          </c:val>
          <c:extLst>
            <c:ext xmlns:c16="http://schemas.microsoft.com/office/drawing/2014/chart" uri="{C3380CC4-5D6E-409C-BE32-E72D297353CC}">
              <c16:uniqueId val="{00000008-76CF-4077-8460-412EF618AEE0}"/>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3.4615384615384617E-2"/>
          <c:y val="0.81935126670068592"/>
          <c:w val="0.9"/>
          <c:h val="0.155837513470343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[TB_Energie_Eau_1.2.5_Vierge.xlsx]Calcul_Bilan_Energie!Tableau croisé dynamique3</c:name>
    <c:fmtId val="10"/>
  </c:pivotSource>
  <c:chart>
    <c:autoTitleDeleted val="1"/>
    <c:pivotFmts>
      <c:pivotFmt>
        <c:idx val="0"/>
        <c:spPr>
          <a:solidFill>
            <a:schemeClr val="accent1"/>
          </a:solidFill>
          <a:ln w="19050">
            <a:solidFill>
              <a:schemeClr val="lt1"/>
            </a:solidFill>
          </a:ln>
          <a:effectLst/>
        </c:spPr>
        <c:marker>
          <c:symbol val="none"/>
        </c:marker>
      </c:pivotFmt>
      <c:pivotFmt>
        <c:idx val="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s>
    <c:plotArea>
      <c:layout>
        <c:manualLayout>
          <c:layoutTarget val="inner"/>
          <c:xMode val="edge"/>
          <c:yMode val="edge"/>
          <c:x val="0.21769826964248365"/>
          <c:y val="0.11195898950131233"/>
          <c:w val="0.56848609738980738"/>
          <c:h val="0.65962926509186348"/>
        </c:manualLayout>
      </c:layout>
      <c:pieChart>
        <c:varyColors val="1"/>
        <c:ser>
          <c:idx val="0"/>
          <c:order val="0"/>
          <c:tx>
            <c:strRef>
              <c:f>Calcul_Bilan_Energie!$I$5</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994-4A36-A8C2-245071808D98}"/>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9994-4A36-A8C2-245071808D98}"/>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C7-4657-9742-F470244E2F48}"/>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75F2-4192-865B-94DC9E56B3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Calcul_Bilan_Energie!$H$6</c:f>
              <c:strCache>
                <c:ptCount val="1"/>
                <c:pt idx="0">
                  <c:v>Total général</c:v>
                </c:pt>
              </c:strCache>
            </c:strRef>
          </c:cat>
          <c:val>
            <c:numRef>
              <c:f>Calcul_Bilan_Energie!$I$6</c:f>
              <c:numCache>
                <c:formatCode>General</c:formatCode>
                <c:ptCount val="1"/>
              </c:numCache>
            </c:numRef>
          </c:val>
          <c:extLst>
            <c:ext xmlns:c16="http://schemas.microsoft.com/office/drawing/2014/chart" uri="{C3380CC4-5D6E-409C-BE32-E72D297353CC}">
              <c16:uniqueId val="{00000004-9994-4A36-A8C2-245071808D98}"/>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0.17467601599323018"/>
          <c:y val="0.82981076510798069"/>
          <c:w val="0.80626985368371207"/>
          <c:h val="0.1428895401327008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Categories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380169171393"/>
          <c:y val="6.033172936716244E-2"/>
          <c:w val="0.79016883415058137"/>
          <c:h val="1"/>
        </c:manualLayout>
      </c:layout>
      <c:doughnutChart>
        <c:varyColors val="1"/>
        <c:ser>
          <c:idx val="0"/>
          <c:order val="0"/>
          <c:tx>
            <c:v>Etiquettes</c:v>
          </c:tx>
          <c:spPr>
            <a:ln>
              <a:noFill/>
            </a:ln>
          </c:spPr>
          <c:dPt>
            <c:idx val="0"/>
            <c:bubble3D val="0"/>
            <c:spPr>
              <a:solidFill>
                <a:srgbClr val="009900"/>
              </a:solidFill>
              <a:ln w="19050">
                <a:noFill/>
              </a:ln>
              <a:effectLst/>
            </c:spPr>
            <c:extLst>
              <c:ext xmlns:c16="http://schemas.microsoft.com/office/drawing/2014/chart" uri="{C3380CC4-5D6E-409C-BE32-E72D297353CC}">
                <c16:uniqueId val="{00000001-7832-4EB5-A2AF-747EB7071E7F}"/>
              </c:ext>
            </c:extLst>
          </c:dPt>
          <c:dPt>
            <c:idx val="1"/>
            <c:bubble3D val="0"/>
            <c:spPr>
              <a:solidFill>
                <a:srgbClr val="33CC33"/>
              </a:solidFill>
              <a:ln w="19050">
                <a:noFill/>
              </a:ln>
              <a:effectLst/>
            </c:spPr>
            <c:extLst>
              <c:ext xmlns:c16="http://schemas.microsoft.com/office/drawing/2014/chart" uri="{C3380CC4-5D6E-409C-BE32-E72D297353CC}">
                <c16:uniqueId val="{00000003-7832-4EB5-A2AF-747EB7071E7F}"/>
              </c:ext>
            </c:extLst>
          </c:dPt>
          <c:dPt>
            <c:idx val="2"/>
            <c:bubble3D val="0"/>
            <c:spPr>
              <a:solidFill>
                <a:srgbClr val="92D050"/>
              </a:solidFill>
              <a:ln w="19050">
                <a:noFill/>
              </a:ln>
              <a:effectLst/>
            </c:spPr>
            <c:extLst>
              <c:ext xmlns:c16="http://schemas.microsoft.com/office/drawing/2014/chart" uri="{C3380CC4-5D6E-409C-BE32-E72D297353CC}">
                <c16:uniqueId val="{00000005-7832-4EB5-A2AF-747EB7071E7F}"/>
              </c:ext>
            </c:extLst>
          </c:dPt>
          <c:dPt>
            <c:idx val="3"/>
            <c:bubble3D val="0"/>
            <c:spPr>
              <a:solidFill>
                <a:schemeClr val="accent4"/>
              </a:solidFill>
              <a:ln w="19050">
                <a:noFill/>
              </a:ln>
              <a:effectLst/>
            </c:spPr>
            <c:extLst>
              <c:ext xmlns:c16="http://schemas.microsoft.com/office/drawing/2014/chart" uri="{C3380CC4-5D6E-409C-BE32-E72D297353CC}">
                <c16:uniqueId val="{00000007-7832-4EB5-A2AF-747EB7071E7F}"/>
              </c:ext>
            </c:extLst>
          </c:dPt>
          <c:dPt>
            <c:idx val="4"/>
            <c:bubble3D val="0"/>
            <c:spPr>
              <a:solidFill>
                <a:srgbClr val="FF9933"/>
              </a:solidFill>
              <a:ln w="19050">
                <a:noFill/>
              </a:ln>
              <a:effectLst/>
            </c:spPr>
            <c:extLst>
              <c:ext xmlns:c16="http://schemas.microsoft.com/office/drawing/2014/chart" uri="{C3380CC4-5D6E-409C-BE32-E72D297353CC}">
                <c16:uniqueId val="{00000009-7832-4EB5-A2AF-747EB7071E7F}"/>
              </c:ext>
            </c:extLst>
          </c:dPt>
          <c:dPt>
            <c:idx val="5"/>
            <c:bubble3D val="0"/>
            <c:spPr>
              <a:noFill/>
              <a:ln w="19050">
                <a:noFill/>
              </a:ln>
              <a:effectLst/>
            </c:spPr>
            <c:extLst>
              <c:ext xmlns:c16="http://schemas.microsoft.com/office/drawing/2014/chart" uri="{C3380CC4-5D6E-409C-BE32-E72D297353CC}">
                <c16:uniqueId val="{0000000B-7832-4EB5-A2AF-747EB7071E7F}"/>
              </c:ext>
            </c:extLst>
          </c:dPt>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Calcul_Bilan_Energie!$R$17:$R$21</c:f>
              <c:strCache>
                <c:ptCount val="5"/>
                <c:pt idx="0">
                  <c:v>A</c:v>
                </c:pt>
                <c:pt idx="1">
                  <c:v>B</c:v>
                </c:pt>
                <c:pt idx="2">
                  <c:v>C</c:v>
                </c:pt>
                <c:pt idx="3">
                  <c:v>D</c:v>
                </c:pt>
                <c:pt idx="4">
                  <c:v>E</c:v>
                </c:pt>
              </c:strCache>
            </c:strRef>
          </c:cat>
          <c:val>
            <c:numRef>
              <c:f>Calcul_Bilan_Energie!$T$17:$T$22</c:f>
              <c:numCache>
                <c:formatCode>General</c:formatCode>
                <c:ptCount val="6"/>
                <c:pt idx="0">
                  <c:v>50</c:v>
                </c:pt>
                <c:pt idx="1">
                  <c:v>60</c:v>
                </c:pt>
                <c:pt idx="2">
                  <c:v>100</c:v>
                </c:pt>
                <c:pt idx="3">
                  <c:v>140</c:v>
                </c:pt>
                <c:pt idx="4">
                  <c:v>190</c:v>
                </c:pt>
                <c:pt idx="5">
                  <c:v>540</c:v>
                </c:pt>
              </c:numCache>
            </c:numRef>
          </c:val>
          <c:extLst>
            <c:ext xmlns:c16="http://schemas.microsoft.com/office/drawing/2014/chart" uri="{C3380CC4-5D6E-409C-BE32-E72D297353CC}">
              <c16:uniqueId val="{0000000C-7832-4EB5-A2AF-747EB7071E7F}"/>
            </c:ext>
          </c:extLst>
        </c:ser>
        <c:dLbls>
          <c:showLegendKey val="0"/>
          <c:showVal val="0"/>
          <c:showCatName val="0"/>
          <c:showSerName val="0"/>
          <c:showPercent val="0"/>
          <c:showBubbleSize val="0"/>
          <c:showLeaderLines val="1"/>
        </c:dLbls>
        <c:firstSliceAng val="270"/>
        <c:holeSize val="50"/>
      </c:doughnutChart>
      <c:pieChart>
        <c:varyColors val="1"/>
        <c:ser>
          <c:idx val="1"/>
          <c:order val="1"/>
          <c:tx>
            <c:v>Aiguille</c:v>
          </c:tx>
          <c:spPr>
            <a:noFill/>
            <a:ln>
              <a:noFill/>
            </a:ln>
          </c:spPr>
          <c:dPt>
            <c:idx val="0"/>
            <c:bubble3D val="0"/>
            <c:spPr>
              <a:noFill/>
              <a:ln w="19050">
                <a:noFill/>
              </a:ln>
              <a:effectLst/>
            </c:spPr>
            <c:extLst>
              <c:ext xmlns:c16="http://schemas.microsoft.com/office/drawing/2014/chart" uri="{C3380CC4-5D6E-409C-BE32-E72D297353CC}">
                <c16:uniqueId val="{0000000E-7832-4EB5-A2AF-747EB7071E7F}"/>
              </c:ext>
            </c:extLst>
          </c:dPt>
          <c:dPt>
            <c:idx val="1"/>
            <c:bubble3D val="0"/>
            <c:spPr>
              <a:solidFill>
                <a:schemeClr val="tx1"/>
              </a:solidFill>
              <a:ln w="19050">
                <a:noFill/>
              </a:ln>
              <a:effectLst/>
            </c:spPr>
            <c:extLst>
              <c:ext xmlns:c16="http://schemas.microsoft.com/office/drawing/2014/chart" uri="{C3380CC4-5D6E-409C-BE32-E72D297353CC}">
                <c16:uniqueId val="{00000010-7832-4EB5-A2AF-747EB7071E7F}"/>
              </c:ext>
            </c:extLst>
          </c:dPt>
          <c:dPt>
            <c:idx val="2"/>
            <c:bubble3D val="0"/>
            <c:spPr>
              <a:noFill/>
              <a:ln w="19050">
                <a:noFill/>
              </a:ln>
              <a:effectLst/>
            </c:spPr>
            <c:extLst>
              <c:ext xmlns:c16="http://schemas.microsoft.com/office/drawing/2014/chart" uri="{C3380CC4-5D6E-409C-BE32-E72D297353CC}">
                <c16:uniqueId val="{00000012-7832-4EB5-A2AF-747EB7071E7F}"/>
              </c:ext>
            </c:extLst>
          </c:dPt>
          <c:val>
            <c:numRef>
              <c:f>Calcul_Bilan_Energie!$S$24:$S$26</c:f>
              <c:numCache>
                <c:formatCode>General</c:formatCode>
                <c:ptCount val="3"/>
                <c:pt idx="0">
                  <c:v>0</c:v>
                </c:pt>
                <c:pt idx="1">
                  <c:v>30</c:v>
                </c:pt>
                <c:pt idx="2">
                  <c:v>0</c:v>
                </c:pt>
              </c:numCache>
            </c:numRef>
          </c:val>
          <c:extLst>
            <c:ext xmlns:c16="http://schemas.microsoft.com/office/drawing/2014/chart" uri="{C3380CC4-5D6E-409C-BE32-E72D297353CC}">
              <c16:uniqueId val="{00000013-7832-4EB5-A2AF-747EB7071E7F}"/>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049439064460556E-2"/>
          <c:y val="0.13229042895902302"/>
          <c:w val="0.567718541167617"/>
          <c:h val="0.64934352516080929"/>
        </c:manualLayout>
      </c:layout>
      <c:pieChart>
        <c:varyColors val="1"/>
        <c:ser>
          <c:idx val="0"/>
          <c:order val="0"/>
          <c:dPt>
            <c:idx val="0"/>
            <c:bubble3D val="0"/>
            <c:spPr>
              <a:solidFill>
                <a:schemeClr val="accent3"/>
              </a:solidFill>
              <a:ln w="19050">
                <a:solidFill>
                  <a:schemeClr val="lt1"/>
                </a:solidFill>
              </a:ln>
              <a:effectLst/>
            </c:spPr>
            <c:extLst>
              <c:ext xmlns:c16="http://schemas.microsoft.com/office/drawing/2014/chart" uri="{C3380CC4-5D6E-409C-BE32-E72D297353CC}">
                <c16:uniqueId val="{00000001-C3AC-4558-B173-1149448E6C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AC-4558-B173-1149448E6C94}"/>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C3AC-4558-B173-1149448E6C94}"/>
              </c:ext>
            </c:extLst>
          </c:dPt>
          <c:dPt>
            <c:idx val="3"/>
            <c:bubble3D val="0"/>
            <c:spPr>
              <a:solidFill>
                <a:srgbClr val="CC99FF"/>
              </a:solidFill>
              <a:ln w="19050">
                <a:solidFill>
                  <a:schemeClr val="lt1"/>
                </a:solidFill>
              </a:ln>
              <a:effectLst/>
            </c:spPr>
            <c:extLst>
              <c:ext xmlns:c16="http://schemas.microsoft.com/office/drawing/2014/chart" uri="{C3380CC4-5D6E-409C-BE32-E72D297353CC}">
                <c16:uniqueId val="{00000007-C3AC-4558-B173-1149448E6C94}"/>
              </c:ext>
            </c:extLst>
          </c:dPt>
          <c:dPt>
            <c:idx val="4"/>
            <c:bubble3D val="0"/>
            <c:spPr>
              <a:solidFill>
                <a:srgbClr val="D60093"/>
              </a:solidFill>
              <a:ln w="19050">
                <a:solidFill>
                  <a:schemeClr val="lt1"/>
                </a:solidFill>
              </a:ln>
              <a:effectLst/>
            </c:spPr>
            <c:extLst>
              <c:ext xmlns:c16="http://schemas.microsoft.com/office/drawing/2014/chart" uri="{C3380CC4-5D6E-409C-BE32-E72D297353CC}">
                <c16:uniqueId val="{00000009-C3AC-4558-B173-1149448E6C9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Calcul_Bilan_Energie!$W$23:$W$27</c:f>
              <c:strCache>
                <c:ptCount val="3"/>
                <c:pt idx="0">
                  <c:v>Electricité </c:v>
                </c:pt>
                <c:pt idx="1">
                  <c:v>Bornes IRVE</c:v>
                </c:pt>
                <c:pt idx="2">
                  <c:v>Chauffage seul</c:v>
                </c:pt>
              </c:strCache>
            </c:strRef>
          </c:cat>
          <c:val>
            <c:numRef>
              <c:f>Calcul_Bilan_Energie!$X$23:$X$27</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A-C3AC-4558-B173-1149448E6C94}"/>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6920384951881E-2"/>
          <c:y val="6.5466061074859333E-2"/>
          <c:w val="0.89019685039370078"/>
          <c:h val="0.79687918864510865"/>
        </c:manualLayout>
      </c:layout>
      <c:barChart>
        <c:barDir val="col"/>
        <c:grouping val="stacked"/>
        <c:varyColors val="0"/>
        <c:ser>
          <c:idx val="6"/>
          <c:order val="0"/>
          <c:tx>
            <c:strRef>
              <c:f>'CALCUL DEET'!$C$75</c:f>
              <c:strCache>
                <c:ptCount val="1"/>
                <c:pt idx="0">
                  <c:v>Electricité</c:v>
                </c:pt>
              </c:strCache>
            </c:strRef>
          </c:tx>
          <c:spPr>
            <a:solidFill>
              <a:schemeClr val="accent3"/>
            </a:solidFill>
            <a:ln>
              <a:noFill/>
            </a:ln>
            <a:effectLst/>
          </c:spPr>
          <c:invertIfNegative val="0"/>
          <c:cat>
            <c:numRef>
              <c:f>'CALCUL DEET'!$D$53:$M$53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DEET'!$D$75:$M$75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6CE1-4F4D-9705-7373DBEFF7EA}"/>
            </c:ext>
          </c:extLst>
        </c:ser>
        <c:ser>
          <c:idx val="3"/>
          <c:order val="1"/>
          <c:tx>
            <c:strRef>
              <c:f>'CALCUL DEET'!$C$77</c:f>
              <c:strCache>
                <c:ptCount val="1"/>
                <c:pt idx="0">
                  <c:v>ECS+Cuisson estimées</c:v>
                </c:pt>
              </c:strCache>
            </c:strRef>
          </c:tx>
          <c:spPr>
            <a:solidFill>
              <a:srgbClr val="CC99FF"/>
            </a:solidFill>
            <a:ln>
              <a:noFill/>
            </a:ln>
            <a:effectLst/>
          </c:spPr>
          <c:invertIfNegative val="0"/>
          <c:val>
            <c:numRef>
              <c:f>'CALCUL DEET'!$D$77:$M$77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5F1-4206-84CF-F55AD35C7E50}"/>
            </c:ext>
          </c:extLst>
        </c:ser>
        <c:ser>
          <c:idx val="7"/>
          <c:order val="2"/>
          <c:tx>
            <c:strRef>
              <c:f>'CALCUL DEET'!$C$78</c:f>
              <c:strCache>
                <c:ptCount val="1"/>
                <c:pt idx="0">
                  <c:v>Chauffage</c:v>
                </c:pt>
              </c:strCache>
            </c:strRef>
          </c:tx>
          <c:spPr>
            <a:solidFill>
              <a:schemeClr val="accent4"/>
            </a:solidFill>
            <a:ln>
              <a:noFill/>
            </a:ln>
            <a:effectLst/>
          </c:spPr>
          <c:invertIfNegative val="0"/>
          <c:cat>
            <c:numRef>
              <c:f>'CALCUL DEET'!$D$53:$M$53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DEET'!$D$78:$M$78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CE1-4F4D-9705-7373DBEFF7EA}"/>
            </c:ext>
          </c:extLst>
        </c:ser>
        <c:ser>
          <c:idx val="0"/>
          <c:order val="3"/>
          <c:tx>
            <c:strRef>
              <c:f>'CALCUL DEET'!$C$79</c:f>
              <c:strCache>
                <c:ptCount val="1"/>
                <c:pt idx="0">
                  <c:v>Ajust. Chauffage</c:v>
                </c:pt>
              </c:strCache>
            </c:strRef>
          </c:tx>
          <c:spPr>
            <a:solidFill>
              <a:schemeClr val="accent1"/>
            </a:solidFill>
            <a:ln>
              <a:noFill/>
            </a:ln>
            <a:effectLst/>
          </c:spPr>
          <c:invertIfNegative val="0"/>
          <c:val>
            <c:numRef>
              <c:f>'CALCUL DEET'!$D$79:$M$79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35B2-44EB-8B9F-BC307877722C}"/>
            </c:ext>
          </c:extLst>
        </c:ser>
        <c:ser>
          <c:idx val="1"/>
          <c:order val="4"/>
          <c:tx>
            <c:strRef>
              <c:f>'CALCUL DEET'!$C$80</c:f>
              <c:strCache>
                <c:ptCount val="1"/>
                <c:pt idx="0">
                  <c:v>Ajust. Refroidissement</c:v>
                </c:pt>
              </c:strCache>
            </c:strRef>
          </c:tx>
          <c:spPr>
            <a:solidFill>
              <a:schemeClr val="accent2"/>
            </a:solidFill>
            <a:ln>
              <a:noFill/>
            </a:ln>
            <a:effectLst/>
          </c:spPr>
          <c:invertIfNegative val="0"/>
          <c:val>
            <c:numRef>
              <c:f>'CALCUL DEET'!$D$80:$M$80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35B2-44EB-8B9F-BC307877722C}"/>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2"/>
          <c:order val="5"/>
          <c:tx>
            <c:strRef>
              <c:f>'CALCUL DEET'!$C$81</c:f>
              <c:strCache>
                <c:ptCount val="1"/>
                <c:pt idx="0">
                  <c:v>Intensité totale ajustée</c:v>
                </c:pt>
              </c:strCache>
            </c:strRef>
          </c:tx>
          <c:spPr>
            <a:ln w="28575" cap="rnd">
              <a:solidFill>
                <a:schemeClr val="tx1">
                  <a:lumMod val="65000"/>
                  <a:lumOff val="35000"/>
                </a:schemeClr>
              </a:solidFill>
              <a:round/>
            </a:ln>
            <a:effectLst/>
          </c:spPr>
          <c:marker>
            <c:symbol val="circle"/>
            <c:size val="5"/>
            <c:spPr>
              <a:solidFill>
                <a:schemeClr val="tx1">
                  <a:lumMod val="65000"/>
                  <a:lumOff val="35000"/>
                </a:schemeClr>
              </a:solidFill>
              <a:ln w="9525">
                <a:solidFill>
                  <a:schemeClr val="accent3"/>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'CALCUL DEET'!$D$81:$M$81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35B2-44EB-8B9F-BC307877722C}"/>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solidFill>
              <a:schemeClr val="accent1"/>
            </a:solidFill>
            <a:ln>
              <a:noFill/>
            </a:ln>
            <a:effectLst/>
          </c:spPr>
          <c:invertIfNegative val="0"/>
          <c:cat>
            <c:numRef>
              <c:f>'CALCUL DEET'!$D$53:$M$53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DEET'!$D$86:$M$86</c:f>
              <c:numCache>
                <c:formatCode>0%</c:formatCode>
                <c:ptCount val="10"/>
                <c:pt idx="0">
                  <c:v>0.1882903981264637</c:v>
                </c:pt>
                <c:pt idx="1">
                  <c:v>0</c:v>
                </c:pt>
                <c:pt idx="2">
                  <c:v>4.4028103044496489E-2</c:v>
                </c:pt>
                <c:pt idx="3">
                  <c:v>0.12224824355971897</c:v>
                </c:pt>
                <c:pt idx="4">
                  <c:v>0</c:v>
                </c:pt>
                <c:pt idx="5">
                  <c:v>0</c:v>
                </c:pt>
                <c:pt idx="6">
                  <c:v>4.7775175644028105E-2</c:v>
                </c:pt>
                <c:pt idx="7">
                  <c:v>0</c:v>
                </c:pt>
                <c:pt idx="8">
                  <c:v>0</c:v>
                </c:pt>
                <c:pt idx="9">
                  <c:v>0</c:v>
                </c:pt>
              </c:numCache>
            </c:numRef>
          </c:val>
          <c:extLst>
            <c:ext xmlns:c16="http://schemas.microsoft.com/office/drawing/2014/chart" uri="{C3380CC4-5D6E-409C-BE32-E72D297353CC}">
              <c16:uniqueId val="{00000000-E1DC-4205-828F-059D750E0A01}"/>
            </c:ext>
          </c:extLst>
        </c:ser>
        <c:ser>
          <c:idx val="1"/>
          <c:order val="1"/>
          <c:tx>
            <c:v>DJU négatif</c:v>
          </c:tx>
          <c:spPr>
            <a:solidFill>
              <a:srgbClr val="FF0000"/>
            </a:solidFill>
            <a:ln>
              <a:noFill/>
            </a:ln>
            <a:effectLst/>
          </c:spPr>
          <c:invertIfNegative val="0"/>
          <c:cat>
            <c:numRef>
              <c:f>'CALCUL DEET'!$D$53:$M$53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'CALCUL DEET'!$D$87:$M$87</c:f>
              <c:numCache>
                <c:formatCode>0%</c:formatCode>
                <c:ptCount val="10"/>
                <c:pt idx="0">
                  <c:v>0</c:v>
                </c:pt>
                <c:pt idx="1">
                  <c:v>-0.13629976580796252</c:v>
                </c:pt>
                <c:pt idx="2">
                  <c:v>0</c:v>
                </c:pt>
                <c:pt idx="3">
                  <c:v>0</c:v>
                </c:pt>
                <c:pt idx="4">
                  <c:v>-0.11334894613583138</c:v>
                </c:pt>
                <c:pt idx="5">
                  <c:v>-7.2599531615925056E-2</c:v>
                </c:pt>
                <c:pt idx="6">
                  <c:v>0</c:v>
                </c:pt>
                <c:pt idx="7">
                  <c:v>-2.8571428571428571E-2</c:v>
                </c:pt>
                <c:pt idx="8">
                  <c:v>-5.2927400468384074E-2</c:v>
                </c:pt>
                <c:pt idx="9">
                  <c:v>-3.793911007025761E-2</c:v>
                </c:pt>
              </c:numCache>
            </c:numRef>
          </c:val>
          <c:extLst>
            <c:ext xmlns:c16="http://schemas.microsoft.com/office/drawing/2014/chart" uri="{C3380CC4-5D6E-409C-BE32-E72D297353CC}">
              <c16:uniqueId val="{00000001-E1DC-4205-828F-059D750E0A01}"/>
            </c:ext>
          </c:extLst>
        </c:ser>
        <c:dLbls>
          <c:showLegendKey val="0"/>
          <c:showVal val="0"/>
          <c:showCatName val="0"/>
          <c:showSerName val="0"/>
          <c:showPercent val="0"/>
          <c:showBubbleSize val="0"/>
        </c:dLbls>
        <c:gapWidth val="219"/>
        <c:overlap val="100"/>
        <c:axId val="1053368136"/>
        <c:axId val="1053368464"/>
      </c:barChart>
      <c:scatterChart>
        <c:scatterStyle val="lineMarker"/>
        <c:varyColors val="0"/>
        <c:ser>
          <c:idx val="2"/>
          <c:order val="2"/>
          <c:tx>
            <c:v>evenements</c:v>
          </c:tx>
          <c:spPr>
            <a:ln w="25400" cap="rnd">
              <a:noFill/>
              <a:round/>
            </a:ln>
            <a:effectLst/>
          </c:spPr>
          <c:marker>
            <c:symbol val="circle"/>
            <c:size val="5"/>
            <c:spPr>
              <a:solidFill>
                <a:schemeClr val="bg1">
                  <a:alpha val="0"/>
                </a:schemeClr>
              </a:solidFill>
              <a:ln w="9525">
                <a:solidFill>
                  <a:schemeClr val="accent1">
                    <a:alpha val="0"/>
                  </a:schemeClr>
                </a:solidFill>
              </a:ln>
              <a:effectLst/>
            </c:spPr>
          </c:marker>
          <c:dLbls>
            <c:dLbl>
              <c:idx val="0"/>
              <c:tx>
                <c:rich>
                  <a:bodyPr/>
                  <a:lstStyle/>
                  <a:p>
                    <a:fld id="{2372E768-2CB9-4E40-90BF-02C5A1D713A5}"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6B0B-43E6-9645-E3C95267BB19}"/>
                </c:ext>
              </c:extLst>
            </c:dLbl>
            <c:dLbl>
              <c:idx val="1"/>
              <c:tx>
                <c:rich>
                  <a:bodyPr/>
                  <a:lstStyle/>
                  <a:p>
                    <a:fld id="{749BA9BC-2F6D-4453-964C-6253BBBCF90A}"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B0B-43E6-9645-E3C95267BB19}"/>
                </c:ext>
              </c:extLst>
            </c:dLbl>
            <c:dLbl>
              <c:idx val="2"/>
              <c:tx>
                <c:rich>
                  <a:bodyPr/>
                  <a:lstStyle/>
                  <a:p>
                    <a:fld id="{8BA3CCEE-0CC3-4FA9-ADB0-E5C0D033D227}"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6B0B-43E6-9645-E3C95267BB19}"/>
                </c:ext>
              </c:extLst>
            </c:dLbl>
            <c:dLbl>
              <c:idx val="3"/>
              <c:tx>
                <c:rich>
                  <a:bodyPr/>
                  <a:lstStyle/>
                  <a:p>
                    <a:fld id="{B9CA07AD-75F9-4386-8AA9-4D0A3C3DB836}"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B0B-43E6-9645-E3C95267BB19}"/>
                </c:ext>
              </c:extLst>
            </c:dLbl>
            <c:dLbl>
              <c:idx val="4"/>
              <c:tx>
                <c:rich>
                  <a:bodyPr/>
                  <a:lstStyle/>
                  <a:p>
                    <a:fld id="{948F81FD-621D-442E-88A8-7E96BCEEEDEB}"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B0B-43E6-9645-E3C95267BB19}"/>
                </c:ext>
              </c:extLst>
            </c:dLbl>
            <c:dLbl>
              <c:idx val="5"/>
              <c:tx>
                <c:rich>
                  <a:bodyPr/>
                  <a:lstStyle/>
                  <a:p>
                    <a:fld id="{A6CD6334-0EBE-4431-8B5D-E4FEE8CA9C5E}"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B0B-43E6-9645-E3C95267BB19}"/>
                </c:ext>
              </c:extLst>
            </c:dLbl>
            <c:dLbl>
              <c:idx val="6"/>
              <c:tx>
                <c:rich>
                  <a:bodyPr/>
                  <a:lstStyle/>
                  <a:p>
                    <a:fld id="{646FCFFD-0CDB-4666-805C-1E8EECE320B6}"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B0B-43E6-9645-E3C95267BB19}"/>
                </c:ext>
              </c:extLst>
            </c:dLbl>
            <c:dLbl>
              <c:idx val="7"/>
              <c:tx>
                <c:rich>
                  <a:bodyPr/>
                  <a:lstStyle/>
                  <a:p>
                    <a:fld id="{9C4A0D5F-2AFD-490C-B7AD-1420FBBA7EA0}"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B0B-43E6-9645-E3C95267BB19}"/>
                </c:ext>
              </c:extLst>
            </c:dLbl>
            <c:dLbl>
              <c:idx val="8"/>
              <c:tx>
                <c:rich>
                  <a:bodyPr/>
                  <a:lstStyle/>
                  <a:p>
                    <a:fld id="{D10CCA9D-AA7A-4A4B-8581-720BE62580F5}"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B0B-43E6-9645-E3C95267BB19}"/>
                </c:ext>
              </c:extLst>
            </c:dLbl>
            <c:dLbl>
              <c:idx val="9"/>
              <c:tx>
                <c:rich>
                  <a:bodyPr/>
                  <a:lstStyle/>
                  <a:p>
                    <a:fld id="{53F6245F-5765-4B37-B573-0CA6EE56FF0D}"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6B0B-43E6-9645-E3C95267BB19}"/>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DEET'!$D$89:$M$89</c:f>
              <c:numCache>
                <c:formatCode>0%</c:formatCode>
                <c:ptCount val="10"/>
                <c:pt idx="0">
                  <c:v>0</c:v>
                </c:pt>
                <c:pt idx="1">
                  <c:v>0</c:v>
                </c:pt>
                <c:pt idx="2">
                  <c:v>0</c:v>
                </c:pt>
                <c:pt idx="3">
                  <c:v>0</c:v>
                </c:pt>
                <c:pt idx="4">
                  <c:v>0</c:v>
                </c:pt>
                <c:pt idx="5">
                  <c:v>0</c:v>
                </c:pt>
                <c:pt idx="6">
                  <c:v>0</c:v>
                </c:pt>
                <c:pt idx="7">
                  <c:v>0</c:v>
                </c:pt>
                <c:pt idx="8">
                  <c:v>0</c:v>
                </c:pt>
                <c:pt idx="9">
                  <c:v>0</c:v>
                </c:pt>
              </c:numCache>
            </c:numRef>
          </c:yVal>
          <c:smooth val="0"/>
          <c:extLst>
            <c:ext xmlns:c15="http://schemas.microsoft.com/office/drawing/2012/chart" uri="{02D57815-91ED-43cb-92C2-25804820EDAC}">
              <c15:datalabelsRange>
                <c15:f>'CALCUL DEET'!$D$90:$M$90</c15:f>
                <c15:dlblRangeCache>
                  <c:ptCount val="10"/>
                </c15:dlblRangeCache>
              </c15:datalabelsRange>
            </c:ext>
            <c:ext xmlns:c16="http://schemas.microsoft.com/office/drawing/2014/chart" uri="{C3380CC4-5D6E-409C-BE32-E72D297353CC}">
              <c16:uniqueId val="{00000000-6B0B-43E6-9645-E3C95267BB1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Variation</a:t>
                </a:r>
                <a:r>
                  <a:rPr lang="fr-FR" b="1" baseline="0"/>
                  <a:t> des DJU (%) </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6044115803071"/>
          <c:y val="1.9540293960198924E-2"/>
          <c:w val="0.85851648397335578"/>
          <c:h val="0.76098725789373067"/>
        </c:manualLayout>
      </c:layout>
      <c:areaChart>
        <c:grouping val="standard"/>
        <c:varyColors val="0"/>
        <c:ser>
          <c:idx val="5"/>
          <c:order val="0"/>
          <c:tx>
            <c:strRef>
              <c:f>'CALCUL DEET'!$C$46</c:f>
              <c:strCache>
                <c:ptCount val="1"/>
                <c:pt idx="0">
                  <c:v>INF</c:v>
                </c:pt>
              </c:strCache>
            </c:strRef>
          </c:tx>
          <c:spPr>
            <a:solidFill>
              <a:schemeClr val="bg1">
                <a:lumMod val="85000"/>
              </a:schemeClr>
            </a:solidFill>
            <a:ln>
              <a:noFill/>
            </a:ln>
            <a:effectLst/>
          </c:spPr>
          <c:val>
            <c:numRef>
              <c:f>'CALCUL DEET'!$D$46:$O$46</c:f>
              <c:numCache>
                <c:formatCode>General</c:formatCode>
                <c:ptCount val="12"/>
                <c:pt idx="0">
                  <c:v>50</c:v>
                </c:pt>
                <c:pt idx="1">
                  <c:v>50</c:v>
                </c:pt>
                <c:pt idx="2">
                  <c:v>50</c:v>
                </c:pt>
                <c:pt idx="3">
                  <c:v>50</c:v>
                </c:pt>
                <c:pt idx="4">
                  <c:v>50</c:v>
                </c:pt>
                <c:pt idx="5">
                  <c:v>50</c:v>
                </c:pt>
                <c:pt idx="6">
                  <c:v>50</c:v>
                </c:pt>
                <c:pt idx="7">
                  <c:v>50</c:v>
                </c:pt>
                <c:pt idx="8">
                  <c:v>50</c:v>
                </c:pt>
                <c:pt idx="9">
                  <c:v>50</c:v>
                </c:pt>
                <c:pt idx="10">
                  <c:v>50</c:v>
                </c:pt>
                <c:pt idx="11">
                  <c:v>50</c:v>
                </c:pt>
              </c:numCache>
            </c:numRef>
          </c:val>
          <c:extLst>
            <c:ext xmlns:c16="http://schemas.microsoft.com/office/drawing/2014/chart" uri="{C3380CC4-5D6E-409C-BE32-E72D297353CC}">
              <c16:uniqueId val="{00000000-1F47-40A8-BBA1-F6EE8600AB07}"/>
            </c:ext>
          </c:extLst>
        </c:ser>
        <c:ser>
          <c:idx val="4"/>
          <c:order val="1"/>
          <c:tx>
            <c:strRef>
              <c:f>'CALCUL DEET'!$C$45</c:f>
              <c:strCache>
                <c:ptCount val="1"/>
                <c:pt idx="0">
                  <c:v>Valeur référence</c:v>
                </c:pt>
              </c:strCache>
            </c:strRef>
          </c:tx>
          <c:spPr>
            <a:solidFill>
              <a:schemeClr val="accent2">
                <a:lumMod val="40000"/>
                <a:lumOff val="6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DEET'!$D$45:$O$45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F47-40A8-BBA1-F6EE8600AB07}"/>
            </c:ext>
          </c:extLst>
        </c:ser>
        <c:ser>
          <c:idx val="3"/>
          <c:order val="2"/>
          <c:tx>
            <c:strRef>
              <c:f>'CALCUL DEET'!$C$44</c:f>
              <c:strCache>
                <c:ptCount val="1"/>
                <c:pt idx="0">
                  <c:v>rampe limite haute</c:v>
                </c:pt>
              </c:strCache>
            </c:strRef>
          </c:tx>
          <c:spPr>
            <a:solidFill>
              <a:schemeClr val="accent6">
                <a:lumMod val="40000"/>
                <a:lumOff val="6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DEET'!$D$44:$O$44</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F47-40A8-BBA1-F6EE8600AB07}"/>
            </c:ext>
          </c:extLst>
        </c:ser>
        <c:ser>
          <c:idx val="2"/>
          <c:order val="3"/>
          <c:tx>
            <c:strRef>
              <c:f>'CALCUL DEET'!$C$43</c:f>
              <c:strCache>
                <c:ptCount val="1"/>
                <c:pt idx="0">
                  <c:v>objectif anuel</c:v>
                </c:pt>
              </c:strCache>
            </c:strRef>
          </c:tx>
          <c:spPr>
            <a:solidFill>
              <a:schemeClr val="accent6">
                <a:lumMod val="40000"/>
                <a:lumOff val="60000"/>
              </a:schemeClr>
            </a:solidFill>
            <a:ln>
              <a:solidFill>
                <a:schemeClr val="tx1"/>
              </a:solidFill>
              <a:prstDash val="dash"/>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DEET'!$D$43:$O$43</c:f>
              <c:numCache>
                <c:formatCode>General</c:formatCode>
                <c:ptCount val="12"/>
                <c:pt idx="0">
                  <c:v>0</c:v>
                </c:pt>
                <c:pt idx="1">
                  <c:v>0</c:v>
                </c:pt>
                <c:pt idx="2" formatCode="_-* #\ ##0.0\ _€_-;\-* #\ ##0.0\ _€_-;_-* \-??\ _€_-;_-@_-">
                  <c:v>0</c:v>
                </c:pt>
                <c:pt idx="3" formatCode="_-* #\ ##0.0\ _€_-;\-* #\ ##0.0\ _€_-;_-* \-??\ _€_-;_-@_-">
                  <c:v>0</c:v>
                </c:pt>
                <c:pt idx="4" formatCode="_-* #\ ##0.0\ _€_-;\-* #\ ##0.0\ _€_-;_-* \-??\ _€_-;_-@_-">
                  <c:v>0</c:v>
                </c:pt>
                <c:pt idx="5" formatCode="_-* #\ ##0.0\ _€_-;\-* #\ ##0.0\ _€_-;_-* \-??\ _€_-;_-@_-">
                  <c:v>0</c:v>
                </c:pt>
                <c:pt idx="6" formatCode="_-* #\ ##0.0\ _€_-;\-* #\ ##0.0\ _€_-;_-* \-??\ _€_-;_-@_-">
                  <c:v>0</c:v>
                </c:pt>
                <c:pt idx="7" formatCode="_-* #\ ##0.0\ _€_-;\-* #\ ##0.0\ _€_-;_-* \-??\ _€_-;_-@_-">
                  <c:v>0</c:v>
                </c:pt>
                <c:pt idx="8" formatCode="_-* #\ ##0.0\ _€_-;\-* #\ ##0.0\ _€_-;_-* \-??\ _€_-;_-@_-">
                  <c:v>0</c:v>
                </c:pt>
                <c:pt idx="9" formatCode="_-* #\ ##0.0\ _€_-;\-* #\ ##0.0\ _€_-;_-* \-??\ _€_-;_-@_-">
                  <c:v>0</c:v>
                </c:pt>
                <c:pt idx="10" formatCode="_-* #\ ##0.0\ _€_-;\-* #\ ##0.0\ _€_-;_-* \-??\ _€_-;_-@_-">
                  <c:v>0</c:v>
                </c:pt>
                <c:pt idx="11" formatCode="_-* #\ ##0.0\ _€_-;\-* #\ ##0.0\ _€_-;_-* \-??\ _€_-;_-@_-">
                  <c:v>0</c:v>
                </c:pt>
              </c:numCache>
            </c:numRef>
          </c:val>
          <c:extLst>
            <c:ext xmlns:c16="http://schemas.microsoft.com/office/drawing/2014/chart" uri="{C3380CC4-5D6E-409C-BE32-E72D297353CC}">
              <c16:uniqueId val="{00000003-1F47-40A8-BBA1-F6EE8600AB07}"/>
            </c:ext>
          </c:extLst>
        </c:ser>
        <c:ser>
          <c:idx val="1"/>
          <c:order val="4"/>
          <c:tx>
            <c:strRef>
              <c:f>'CALCUL DEET'!$C$42</c:f>
              <c:strCache>
                <c:ptCount val="1"/>
                <c:pt idx="0">
                  <c:v>rampe limite basse</c:v>
                </c:pt>
              </c:strCache>
            </c:strRef>
          </c:tx>
          <c:spPr>
            <a:solidFill>
              <a:schemeClr val="accent6">
                <a:lumMod val="60000"/>
                <a:lumOff val="40000"/>
              </a:schemeClr>
            </a:solidFill>
            <a:ln>
              <a:no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DEET'!$D$42:$O$42</c:f>
              <c:numCache>
                <c:formatCode>_-* #\ ##0.0\ _€_-;\-* #\ ##0.0\ _€_-;_-* \-?\ _€_-;_-@_-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1F47-40A8-BBA1-F6EE8600AB07}"/>
            </c:ext>
          </c:extLst>
        </c:ser>
        <c:ser>
          <c:idx val="0"/>
          <c:order val="5"/>
          <c:tx>
            <c:strRef>
              <c:f>'CALCUL DEET'!$C$41:$C$42</c:f>
              <c:strCache>
                <c:ptCount val="1"/>
                <c:pt idx="0">
                  <c:v>objectif -40 rampe limite basse</c:v>
                </c:pt>
              </c:strCache>
            </c:strRef>
          </c:tx>
          <c:spPr>
            <a:solidFill>
              <a:schemeClr val="accent6">
                <a:lumMod val="75000"/>
              </a:schemeClr>
            </a:solidFill>
            <a:ln>
              <a:solidFill>
                <a:schemeClr val="tx1"/>
              </a:solidFill>
            </a:ln>
            <a:effectLst/>
          </c:spPr>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DEET'!$D$41:$O$41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1F47-40A8-BBA1-F6EE8600AB07}"/>
            </c:ext>
          </c:extLst>
        </c:ser>
        <c:dLbls>
          <c:showLegendKey val="0"/>
          <c:showVal val="0"/>
          <c:showCatName val="0"/>
          <c:showSerName val="0"/>
          <c:showPercent val="0"/>
          <c:showBubbleSize val="0"/>
        </c:dLbls>
        <c:axId val="983358736"/>
        <c:axId val="983362344"/>
      </c:areaChart>
      <c:barChart>
        <c:barDir val="col"/>
        <c:grouping val="stacked"/>
        <c:varyColors val="0"/>
        <c:ser>
          <c:idx val="6"/>
          <c:order val="7"/>
          <c:tx>
            <c:strRef>
              <c:f>'CALCUL DEET'!$C$33</c:f>
              <c:strCache>
                <c:ptCount val="1"/>
                <c:pt idx="0">
                  <c:v>Electricité</c:v>
                </c:pt>
              </c:strCache>
            </c:strRef>
          </c:tx>
          <c:spPr>
            <a:solidFill>
              <a:schemeClr val="accent3"/>
            </a:solidFill>
            <a:ln w="25400">
              <a:noFill/>
            </a:ln>
            <a:effectLst/>
          </c:spPr>
          <c:invertIfNegative val="0"/>
          <c:val>
            <c:numRef>
              <c:f>'CALCUL DEET'!$D$33:$O$33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1F47-40A8-BBA1-F6EE8600AB07}"/>
            </c:ext>
          </c:extLst>
        </c:ser>
        <c:ser>
          <c:idx val="12"/>
          <c:order val="8"/>
          <c:tx>
            <c:strRef>
              <c:f>'CALCUL DEET'!$C$35</c:f>
              <c:strCache>
                <c:ptCount val="1"/>
                <c:pt idx="0">
                  <c:v>ECS+Cuisson estimées</c:v>
                </c:pt>
              </c:strCache>
            </c:strRef>
          </c:tx>
          <c:spPr>
            <a:solidFill>
              <a:srgbClr val="CC99FF"/>
            </a:solidFill>
            <a:ln>
              <a:noFill/>
            </a:ln>
            <a:effectLst/>
          </c:spPr>
          <c:invertIfNegative val="0"/>
          <c:val>
            <c:numRef>
              <c:f>'CALCUL DEET'!$D$35:$O$35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7255-4D09-89E4-C79568CC4EB8}"/>
            </c:ext>
          </c:extLst>
        </c:ser>
        <c:ser>
          <c:idx val="7"/>
          <c:order val="9"/>
          <c:tx>
            <c:strRef>
              <c:f>'CALCUL DEET'!$C$36</c:f>
              <c:strCache>
                <c:ptCount val="1"/>
                <c:pt idx="0">
                  <c:v>Chauffage</c:v>
                </c:pt>
              </c:strCache>
            </c:strRef>
          </c:tx>
          <c:spPr>
            <a:solidFill>
              <a:schemeClr val="accent4"/>
            </a:solidFill>
            <a:ln>
              <a:noFill/>
            </a:ln>
            <a:effectLst/>
          </c:spPr>
          <c:invertIfNegative val="0"/>
          <c:val>
            <c:numRef>
              <c:f>'CALCUL DEET'!$D$36:$O$36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1F47-40A8-BBA1-F6EE8600AB07}"/>
            </c:ext>
          </c:extLst>
        </c:ser>
        <c:ser>
          <c:idx val="8"/>
          <c:order val="10"/>
          <c:tx>
            <c:strRef>
              <c:f>'CALCUL DEET'!$C$37</c:f>
              <c:strCache>
                <c:ptCount val="1"/>
                <c:pt idx="0">
                  <c:v>Ajust. Chauffage</c:v>
                </c:pt>
              </c:strCache>
            </c:strRef>
          </c:tx>
          <c:spPr>
            <a:solidFill>
              <a:schemeClr val="accent1"/>
            </a:solidFill>
            <a:ln>
              <a:noFill/>
            </a:ln>
            <a:effectLst/>
          </c:spPr>
          <c:invertIfNegative val="0"/>
          <c:val>
            <c:numRef>
              <c:f>'CALCUL DEET'!$D$37:$O$37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3DA6-4B3C-B4D9-103133D1EC98}"/>
            </c:ext>
          </c:extLst>
        </c:ser>
        <c:ser>
          <c:idx val="9"/>
          <c:order val="11"/>
          <c:tx>
            <c:strRef>
              <c:f>'CALCUL DEET'!$C$38</c:f>
              <c:strCache>
                <c:ptCount val="1"/>
                <c:pt idx="0">
                  <c:v>Ajust. Refroidissement</c:v>
                </c:pt>
              </c:strCache>
            </c:strRef>
          </c:tx>
          <c:spPr>
            <a:solidFill>
              <a:schemeClr val="accent2"/>
            </a:solidFill>
            <a:ln>
              <a:noFill/>
            </a:ln>
            <a:effectLst/>
          </c:spPr>
          <c:invertIfNegative val="0"/>
          <c:val>
            <c:numRef>
              <c:f>'CALCUL DEET'!$D$38:$O$38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DA6-4B3C-B4D9-103133D1EC98}"/>
            </c:ext>
          </c:extLst>
        </c:ser>
        <c:dLbls>
          <c:showLegendKey val="0"/>
          <c:showVal val="0"/>
          <c:showCatName val="0"/>
          <c:showSerName val="0"/>
          <c:showPercent val="0"/>
          <c:showBubbleSize val="0"/>
        </c:dLbls>
        <c:gapWidth val="150"/>
        <c:overlap val="100"/>
        <c:axId val="983358736"/>
        <c:axId val="983362344"/>
      </c:barChart>
      <c:lineChart>
        <c:grouping val="standard"/>
        <c:varyColors val="0"/>
        <c:ser>
          <c:idx val="11"/>
          <c:order val="6"/>
          <c:tx>
            <c:v>Cabs</c:v>
          </c:tx>
          <c:spPr>
            <a:ln w="12700" cap="rnd">
              <a:solidFill>
                <a:srgbClr val="FF0000"/>
              </a:solidFill>
              <a:round/>
            </a:ln>
            <a:effectLst/>
          </c:spPr>
          <c:marker>
            <c:symbol val="none"/>
          </c:marker>
          <c:val>
            <c:numRef>
              <c:f>'CALCUL DEET'!$D$47:$O$47</c:f>
              <c:numCache>
                <c:formatCode>General</c:formatCode>
                <c:ptCount val="12"/>
                <c:pt idx="0">
                  <c:v>#N/A</c:v>
                </c:pt>
                <c:pt idx="1">
                  <c:v>106</c:v>
                </c:pt>
                <c:pt idx="2">
                  <c:v>106</c:v>
                </c:pt>
                <c:pt idx="3">
                  <c:v>106</c:v>
                </c:pt>
                <c:pt idx="4">
                  <c:v>106</c:v>
                </c:pt>
                <c:pt idx="5">
                  <c:v>106</c:v>
                </c:pt>
                <c:pt idx="6">
                  <c:v>106</c:v>
                </c:pt>
                <c:pt idx="7">
                  <c:v>106</c:v>
                </c:pt>
                <c:pt idx="8">
                  <c:v>106</c:v>
                </c:pt>
                <c:pt idx="9">
                  <c:v>106</c:v>
                </c:pt>
                <c:pt idx="10">
                  <c:v>106</c:v>
                </c:pt>
                <c:pt idx="11">
                  <c:v>106</c:v>
                </c:pt>
              </c:numCache>
            </c:numRef>
          </c:val>
          <c:smooth val="0"/>
          <c:extLst>
            <c:ext xmlns:c16="http://schemas.microsoft.com/office/drawing/2014/chart" uri="{C3380CC4-5D6E-409C-BE32-E72D297353CC}">
              <c16:uniqueId val="{00000000-83CF-4EB9-81B2-3880E5299E23}"/>
            </c:ext>
          </c:extLst>
        </c:ser>
        <c:ser>
          <c:idx val="10"/>
          <c:order val="12"/>
          <c:tx>
            <c:strRef>
              <c:f>'CALCUL DEET'!$C$39</c:f>
              <c:strCache>
                <c:ptCount val="1"/>
                <c:pt idx="0">
                  <c:v>Intensité totale ajustée</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'CALCUL DEET'!$D$39:$O$39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DA6-4B3C-B4D9-103133D1EC98}"/>
            </c:ext>
          </c:extLst>
        </c:ser>
        <c:dLbls>
          <c:showLegendKey val="0"/>
          <c:showVal val="0"/>
          <c:showCatName val="0"/>
          <c:showSerName val="0"/>
          <c:showPercent val="0"/>
          <c:showBubbleSize val="0"/>
        </c:dLbls>
        <c:marker val="1"/>
        <c:smooth val="0"/>
        <c:axId val="983358736"/>
        <c:axId val="983362344"/>
      </c:lineChart>
      <c:catAx>
        <c:axId val="98335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62344"/>
        <c:crosses val="autoZero"/>
        <c:auto val="1"/>
        <c:lblAlgn val="ctr"/>
        <c:lblOffset val="100"/>
        <c:noMultiLvlLbl val="0"/>
      </c:catAx>
      <c:valAx>
        <c:axId val="983362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fr-FR" b="1"/>
                  <a:t>Intensité énergétique</a:t>
                </a:r>
                <a:r>
                  <a:rPr lang="fr-FR" b="1" baseline="0"/>
                  <a:t> (kWh [EF PCI]/m².an)</a:t>
                </a:r>
                <a:endParaRPr lang="fr-FR" b="1"/>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8335873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spPr>
            <a:solidFill>
              <a:schemeClr val="accent1"/>
            </a:solidFill>
            <a:ln>
              <a:noFill/>
            </a:ln>
            <a:effectLst/>
          </c:spPr>
          <c:invertIfNegative val="0"/>
          <c:cat>
            <c:strRef>
              <c:f>'CALCUL DEET'!$D$11:$O$11</c:f>
              <c:strCache>
                <c:ptCount val="12"/>
                <c:pt idx="0">
                  <c:v>Année</c:v>
                </c:pt>
                <c:pt idx="1">
                  <c:v>2020</c:v>
                </c:pt>
                <c:pt idx="2">
                  <c:v>2021</c:v>
                </c:pt>
                <c:pt idx="3">
                  <c:v>2022</c:v>
                </c:pt>
                <c:pt idx="4">
                  <c:v>2023</c:v>
                </c:pt>
                <c:pt idx="5">
                  <c:v>2024</c:v>
                </c:pt>
                <c:pt idx="6">
                  <c:v>2025</c:v>
                </c:pt>
                <c:pt idx="7">
                  <c:v>2026</c:v>
                </c:pt>
                <c:pt idx="8">
                  <c:v>2027</c:v>
                </c:pt>
                <c:pt idx="9">
                  <c:v>2028</c:v>
                </c:pt>
                <c:pt idx="10">
                  <c:v>2029</c:v>
                </c:pt>
                <c:pt idx="11">
                  <c:v>2030</c:v>
                </c:pt>
              </c:strCache>
            </c:strRef>
          </c:cat>
          <c:val>
            <c:numRef>
              <c:f>'CALCUL DEET'!$D$50:$O$50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9CB-41E7-8B01-7A3E594CE61C}"/>
            </c:ext>
          </c:extLst>
        </c:ser>
        <c:ser>
          <c:idx val="1"/>
          <c:order val="2"/>
          <c:tx>
            <c:v>DJU négatif</c:v>
          </c:tx>
          <c:spPr>
            <a:solidFill>
              <a:srgbClr val="FF0000"/>
            </a:solidFill>
            <a:ln>
              <a:noFill/>
            </a:ln>
            <a:effectLst/>
          </c:spPr>
          <c:invertIfNegative val="0"/>
          <c:val>
            <c:numRef>
              <c:f>'CALCUL DEET'!$D$51:$O$51</c:f>
              <c:numCache>
                <c:formatCode>0%</c:formatCode>
                <c:ptCount val="12"/>
                <c:pt idx="0">
                  <c:v>0</c:v>
                </c:pt>
                <c:pt idx="1">
                  <c:v>-0.15456674473067916</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9CB-41E7-8B01-7A3E594CE61C}"/>
            </c:ext>
          </c:extLst>
        </c:ser>
        <c:dLbls>
          <c:showLegendKey val="0"/>
          <c:showVal val="0"/>
          <c:showCatName val="0"/>
          <c:showSerName val="0"/>
          <c:showPercent val="0"/>
          <c:showBubbleSize val="0"/>
        </c:dLbls>
        <c:gapWidth val="219"/>
        <c:overlap val="-27"/>
        <c:axId val="1053368136"/>
        <c:axId val="1053368464"/>
      </c:barChart>
      <c:scatterChart>
        <c:scatterStyle val="lineMarker"/>
        <c:varyColors val="0"/>
        <c:ser>
          <c:idx val="2"/>
          <c:order val="0"/>
          <c:tx>
            <c:v>evenements</c:v>
          </c:tx>
          <c:spPr>
            <a:ln w="25400" cap="rnd">
              <a:noFill/>
              <a:round/>
            </a:ln>
            <a:effectLst/>
          </c:spPr>
          <c:marker>
            <c:symbol val="circle"/>
            <c:size val="5"/>
            <c:spPr>
              <a:solidFill>
                <a:schemeClr val="accent1">
                  <a:alpha val="0"/>
                </a:schemeClr>
              </a:solidFill>
              <a:ln w="9525">
                <a:solidFill>
                  <a:schemeClr val="accent1">
                    <a:shade val="50000"/>
                    <a:alpha val="2000"/>
                  </a:schemeClr>
                </a:solidFill>
              </a:ln>
              <a:effectLst/>
            </c:spPr>
          </c:marker>
          <c:dLbls>
            <c:dLbl>
              <c:idx val="0"/>
              <c:tx>
                <c:rich>
                  <a:bodyPr/>
                  <a:lstStyle/>
                  <a:p>
                    <a:fld id="{FCE5FFB9-E544-4CB6-965E-37573A83D6A5}" type="CELLRANGE">
                      <a:rPr lang="en-US"/>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CCDD-44A1-A2A4-CEDBABA35829}"/>
                </c:ext>
              </c:extLst>
            </c:dLbl>
            <c:dLbl>
              <c:idx val="1"/>
              <c:tx>
                <c:rich>
                  <a:bodyPr/>
                  <a:lstStyle/>
                  <a:p>
                    <a:fld id="{A6BC849E-3AA8-4303-813F-224543899A20}"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CCDD-44A1-A2A4-CEDBABA35829}"/>
                </c:ext>
              </c:extLst>
            </c:dLbl>
            <c:dLbl>
              <c:idx val="2"/>
              <c:tx>
                <c:rich>
                  <a:bodyPr/>
                  <a:lstStyle/>
                  <a:p>
                    <a:fld id="{8C9D3EC4-D10F-49BE-9B65-68C77AB7F89B}"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CCDD-44A1-A2A4-CEDBABA35829}"/>
                </c:ext>
              </c:extLst>
            </c:dLbl>
            <c:dLbl>
              <c:idx val="3"/>
              <c:tx>
                <c:rich>
                  <a:bodyPr/>
                  <a:lstStyle/>
                  <a:p>
                    <a:fld id="{35A05881-81AB-43D9-99AA-99DA31116344}"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CDD-44A1-A2A4-CEDBABA35829}"/>
                </c:ext>
              </c:extLst>
            </c:dLbl>
            <c:dLbl>
              <c:idx val="4"/>
              <c:tx>
                <c:rich>
                  <a:bodyPr/>
                  <a:lstStyle/>
                  <a:p>
                    <a:fld id="{9DDE226C-1575-4549-AD49-E0DB49843A97}"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CDD-44A1-A2A4-CEDBABA35829}"/>
                </c:ext>
              </c:extLst>
            </c:dLbl>
            <c:dLbl>
              <c:idx val="5"/>
              <c:tx>
                <c:rich>
                  <a:bodyPr/>
                  <a:lstStyle/>
                  <a:p>
                    <a:fld id="{E5A148B2-3A80-4E9B-8F07-57228CE5FE4A}"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CDD-44A1-A2A4-CEDBABA35829}"/>
                </c:ext>
              </c:extLst>
            </c:dLbl>
            <c:dLbl>
              <c:idx val="6"/>
              <c:tx>
                <c:rich>
                  <a:bodyPr/>
                  <a:lstStyle/>
                  <a:p>
                    <a:fld id="{08403353-A194-430B-8336-C9CB9F0CECB2}"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CDD-44A1-A2A4-CEDBABA35829}"/>
                </c:ext>
              </c:extLst>
            </c:dLbl>
            <c:dLbl>
              <c:idx val="7"/>
              <c:tx>
                <c:rich>
                  <a:bodyPr/>
                  <a:lstStyle/>
                  <a:p>
                    <a:fld id="{08362D6F-DF3D-4003-A704-6333B96D1310}"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CDD-44A1-A2A4-CEDBABA35829}"/>
                </c:ext>
              </c:extLst>
            </c:dLbl>
            <c:dLbl>
              <c:idx val="8"/>
              <c:tx>
                <c:rich>
                  <a:bodyPr/>
                  <a:lstStyle/>
                  <a:p>
                    <a:fld id="{130E8F1C-AB35-48BA-9928-73EF9E623F27}"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CDD-44A1-A2A4-CEDBABA35829}"/>
                </c:ext>
              </c:extLst>
            </c:dLbl>
            <c:dLbl>
              <c:idx val="9"/>
              <c:tx>
                <c:rich>
                  <a:bodyPr/>
                  <a:lstStyle/>
                  <a:p>
                    <a:fld id="{E7A767DA-5BAC-4515-B743-762B6EC19FF4}"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CDD-44A1-A2A4-CEDBABA35829}"/>
                </c:ext>
              </c:extLst>
            </c:dLbl>
            <c:dLbl>
              <c:idx val="10"/>
              <c:tx>
                <c:rich>
                  <a:bodyPr/>
                  <a:lstStyle/>
                  <a:p>
                    <a:fld id="{DDA33D53-10DA-45FB-8477-20F63F24451F}"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CDD-44A1-A2A4-CEDBABA35829}"/>
                </c:ext>
              </c:extLst>
            </c:dLbl>
            <c:dLbl>
              <c:idx val="11"/>
              <c:tx>
                <c:rich>
                  <a:bodyPr/>
                  <a:lstStyle/>
                  <a:p>
                    <a:fld id="{68E68795-39A8-4ED8-89FB-47F8C3055A96}" type="CELLRANGE">
                      <a:rPr lang="fr-FR"/>
                      <a:pPr/>
                      <a:t>[PLAGECELL]</a:t>
                    </a:fld>
                    <a:endParaRPr lang="fr-FR"/>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CDD-44A1-A2A4-CEDBABA35829}"/>
                </c:ext>
              </c:extLst>
            </c:dLbl>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9525" cap="flat" cmpd="sng" algn="ctr">
                <a:solidFill>
                  <a:schemeClr val="tx1">
                    <a:lumMod val="65000"/>
                    <a:lumOff val="35000"/>
                  </a:schemeClr>
                </a:solidFill>
                <a:round/>
              </a:ln>
              <a:effectLst/>
            </c:spPr>
          </c:errBars>
          <c:yVal>
            <c:numRef>
              <c:f>'CALCUL DEET'!$D$9:$O$9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yVal>
          <c:smooth val="0"/>
          <c:extLst>
            <c:ext xmlns:c15="http://schemas.microsoft.com/office/drawing/2012/chart" uri="{02D57815-91ED-43cb-92C2-25804820EDAC}">
              <c15:datalabelsRange>
                <c15:f>'CALCUL DEET'!$D$10:$O$10</c15:f>
                <c15:dlblRangeCache>
                  <c:ptCount val="12"/>
                </c15:dlblRangeCache>
              </c15:datalabelsRange>
            </c:ext>
            <c:ext xmlns:c16="http://schemas.microsoft.com/office/drawing/2014/chart" uri="{C3380CC4-5D6E-409C-BE32-E72D297353CC}">
              <c16:uniqueId val="{00000000-CCDD-44A1-A2A4-CEDBABA35829}"/>
            </c:ext>
          </c:extLst>
        </c:ser>
        <c:dLbls>
          <c:showLegendKey val="0"/>
          <c:showVal val="0"/>
          <c:showCatName val="0"/>
          <c:showSerName val="0"/>
          <c:showPercent val="0"/>
          <c:showBubbleSize val="0"/>
        </c:dLbls>
        <c:axId val="1053368136"/>
        <c:axId val="1053368464"/>
      </c:scatterChart>
      <c:catAx>
        <c:axId val="1053368136"/>
        <c:scaling>
          <c:orientation val="minMax"/>
        </c:scaling>
        <c:delete val="0"/>
        <c:axPos val="t"/>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464"/>
        <c:crosses val="autoZero"/>
        <c:auto val="1"/>
        <c:lblAlgn val="ctr"/>
        <c:lblOffset val="100"/>
        <c:noMultiLvlLbl val="0"/>
      </c:catAx>
      <c:valAx>
        <c:axId val="1053368464"/>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Variation des DJU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fr-FR"/>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533681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CALCUL DEET'!$D$7" fmlaRange="$B$7:$B$17" noThreeD="1" sel="1" val="0"/>
</file>

<file path=xl/ctrlProps/ctrlProp10.xml><?xml version="1.0" encoding="utf-8"?>
<formControlPr xmlns="http://schemas.microsoft.com/office/spreadsheetml/2009/9/main" objectType="Drop" dropStyle="combo" dx="16" fmlaLink="Analyse_Chauffage!$H$3" fmlaRange="Site!$B$8:$B$23" noThreeD="1" sel="11" val="8"/>
</file>

<file path=xl/ctrlProps/ctrlProp11.xml><?xml version="1.0" encoding="utf-8"?>
<formControlPr xmlns="http://schemas.microsoft.com/office/spreadsheetml/2009/9/main" objectType="Drop" dropStyle="combo" dx="16" fmlaLink="Analyse_Chauffage!$H$4" fmlaRange="Site!$B$8:$B$23" noThreeD="1" sel="13" val="8"/>
</file>

<file path=xl/ctrlProps/ctrlProp2.xml><?xml version="1.0" encoding="utf-8"?>
<formControlPr xmlns="http://schemas.microsoft.com/office/spreadsheetml/2009/9/main" objectType="Drop" dropStyle="combo" dx="16" fmlaLink="Controle_des_données!$B$16" fmlaRange="Liste!$B$25:$B$33" noThreeD="1" sel="3" val="0"/>
</file>

<file path=xl/ctrlProps/ctrlProp3.xml><?xml version="1.0" encoding="utf-8"?>
<formControlPr xmlns="http://schemas.microsoft.com/office/spreadsheetml/2009/9/main" objectType="Drop" dropStyle="combo" dx="16" fmlaLink="'CALCUL DEET'!$R$13" fmlaRange="Site!$B$18:$B$23" noThreeD="1" sel="1" val="0"/>
</file>

<file path=xl/ctrlProps/ctrlProp4.xml><?xml version="1.0" encoding="utf-8"?>
<formControlPr xmlns="http://schemas.microsoft.com/office/spreadsheetml/2009/9/main" objectType="Drop" dropStyle="combo" dx="16" fmlaLink="Controle_des_données!$C$31" fmlaRange="Liste!$M$3:$M$7" noThreeD="1" sel="1" val="0"/>
</file>

<file path=xl/ctrlProps/ctrlProp5.xml><?xml version="1.0" encoding="utf-8"?>
<formControlPr xmlns="http://schemas.microsoft.com/office/spreadsheetml/2009/9/main" objectType="Drop" dropStyle="combo" dx="16" fmlaLink="Controle_des_données!$B$38" fmlaRange="Liste!$N$15:$N$17" noThreeD="1" sel="3" val="0"/>
</file>

<file path=xl/ctrlProps/ctrlProp6.xml><?xml version="1.0" encoding="utf-8"?>
<formControlPr xmlns="http://schemas.microsoft.com/office/spreadsheetml/2009/9/main" objectType="Drop" dropStyle="combo" dx="16" fmlaLink="Controle_des_données!$B$40" fmlaRange="Liste!$O$15:$O$18" noThreeD="1" sel="2" val="0"/>
</file>

<file path=xl/ctrlProps/ctrlProp7.xml><?xml version="1.0" encoding="utf-8"?>
<formControlPr xmlns="http://schemas.microsoft.com/office/spreadsheetml/2009/9/main" objectType="Drop" dropStyle="combo" dx="16" fmlaLink="Controle_des_données!$C$41" fmlaRange="Liste!$P$15:$P$18" noThreeD="1" sel="2" val="0"/>
</file>

<file path=xl/ctrlProps/ctrlProp8.xml><?xml version="1.0" encoding="utf-8"?>
<formControlPr xmlns="http://schemas.microsoft.com/office/spreadsheetml/2009/9/main" objectType="Drop" dropStyle="combo" dx="16" fmlaLink="Controle_des_données!$C$42" fmlaRange="Liste!$P$15:$P$17" noThreeD="1" sel="3" val="0"/>
</file>

<file path=xl/ctrlProps/ctrlProp9.xml><?xml version="1.0" encoding="utf-8"?>
<formControlPr xmlns="http://schemas.microsoft.com/office/spreadsheetml/2009/9/main" objectType="Drop" dropStyle="combo" dx="16" fmlaLink="Analyse_Chauffage!$H$2" fmlaRange="Site!$B$8:$B$23" noThreeD="1" sel="5" val="3"/>
</file>

<file path=xl/drawings/_rels/drawing1.xml.rels><?xml version="1.0" encoding="UTF-8" standalone="yes"?>
<Relationships xmlns="http://schemas.openxmlformats.org/package/2006/relationships"><Relationship Id="rId8" Type="http://schemas.openxmlformats.org/officeDocument/2006/relationships/hyperlink" Target="#Compteur_8!A1"/><Relationship Id="rId3" Type="http://schemas.openxmlformats.org/officeDocument/2006/relationships/hyperlink" Target="#Compteur_3!A1"/><Relationship Id="rId7" Type="http://schemas.openxmlformats.org/officeDocument/2006/relationships/hyperlink" Target="#Compteur_7!A1"/><Relationship Id="rId2" Type="http://schemas.openxmlformats.org/officeDocument/2006/relationships/hyperlink" Target="#Compteur_2!A1"/><Relationship Id="rId1" Type="http://schemas.openxmlformats.org/officeDocument/2006/relationships/hyperlink" Target="#Compteur_1!A1"/><Relationship Id="rId6" Type="http://schemas.openxmlformats.org/officeDocument/2006/relationships/hyperlink" Target="#Compteur_6!A1"/><Relationship Id="rId5" Type="http://schemas.openxmlformats.org/officeDocument/2006/relationships/hyperlink" Target="#Compteur_5!A1"/><Relationship Id="rId10" Type="http://schemas.openxmlformats.org/officeDocument/2006/relationships/image" Target="../media/image2.jpeg"/><Relationship Id="rId4" Type="http://schemas.openxmlformats.org/officeDocument/2006/relationships/hyperlink" Target="#Compteur_4!A1"/><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hyperlink" Target="#Site!A1"/></Relationships>
</file>

<file path=xl/drawings/_rels/drawing13.xml.rels><?xml version="1.0" encoding="UTF-8" standalone="yes"?>
<Relationships xmlns="http://schemas.openxmlformats.org/package/2006/relationships"><Relationship Id="rId1" Type="http://schemas.openxmlformats.org/officeDocument/2006/relationships/hyperlink" Target="#Site!A1"/></Relationships>
</file>

<file path=xl/drawings/_rels/drawing14.xml.rels><?xml version="1.0" encoding="UTF-8" standalone="yes"?>
<Relationships xmlns="http://schemas.openxmlformats.org/package/2006/relationships"><Relationship Id="rId1" Type="http://schemas.openxmlformats.org/officeDocument/2006/relationships/hyperlink" Target="#Site!A1"/></Relationships>
</file>

<file path=xl/drawings/_rels/drawing15.xml.rels><?xml version="1.0" encoding="UTF-8" standalone="yes"?>
<Relationships xmlns="http://schemas.openxmlformats.org/package/2006/relationships"><Relationship Id="rId1" Type="http://schemas.openxmlformats.org/officeDocument/2006/relationships/hyperlink" Target="#Site!A1"/></Relationships>
</file>

<file path=xl/drawings/_rels/drawing16.xml.rels><?xml version="1.0" encoding="UTF-8" standalone="yes"?>
<Relationships xmlns="http://schemas.openxmlformats.org/package/2006/relationships"><Relationship Id="rId1" Type="http://schemas.openxmlformats.org/officeDocument/2006/relationships/hyperlink" Target="#Site!A1"/></Relationships>
</file>

<file path=xl/drawings/_rels/drawing17.xml.rels><?xml version="1.0" encoding="UTF-8" standalone="yes"?>
<Relationships xmlns="http://schemas.openxmlformats.org/package/2006/relationships"><Relationship Id="rId1" Type="http://schemas.openxmlformats.org/officeDocument/2006/relationships/hyperlink" Target="#Site!A1"/></Relationships>
</file>

<file path=xl/drawings/_rels/drawing18.xml.rels><?xml version="1.0" encoding="UTF-8" standalone="yes"?>
<Relationships xmlns="http://schemas.openxmlformats.org/package/2006/relationships"><Relationship Id="rId1" Type="http://schemas.openxmlformats.org/officeDocument/2006/relationships/hyperlink" Target="#Site!A1"/></Relationships>
</file>

<file path=xl/drawings/_rels/drawing19.xml.rels><?xml version="1.0" encoding="UTF-8" standalone="yes"?>
<Relationships xmlns="http://schemas.openxmlformats.org/package/2006/relationships"><Relationship Id="rId1" Type="http://schemas.openxmlformats.org/officeDocument/2006/relationships/hyperlink" Target="#Site!A1"/></Relationships>
</file>

<file path=xl/drawings/_rels/drawing2.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chart" Target="../charts/chart1.xml"/><Relationship Id="rId7" Type="http://schemas.openxmlformats.org/officeDocument/2006/relationships/chart" Target="../charts/chart2.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2.jpeg"/><Relationship Id="rId11" Type="http://schemas.openxmlformats.org/officeDocument/2006/relationships/chart" Target="../charts/chart5.xml"/><Relationship Id="rId5" Type="http://schemas.openxmlformats.org/officeDocument/2006/relationships/image" Target="../media/image1.png"/><Relationship Id="rId10" Type="http://schemas.openxmlformats.org/officeDocument/2006/relationships/image" Target="../media/image6.png"/><Relationship Id="rId4" Type="http://schemas.openxmlformats.org/officeDocument/2006/relationships/image" Target="../media/image5.jpeg"/><Relationship Id="rId9"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6.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8.png"/><Relationship Id="rId7" Type="http://schemas.openxmlformats.org/officeDocument/2006/relationships/image" Target="../media/image1.png"/><Relationship Id="rId2" Type="http://schemas.openxmlformats.org/officeDocument/2006/relationships/image" Target="../media/image7.png"/><Relationship Id="rId1" Type="http://schemas.openxmlformats.org/officeDocument/2006/relationships/chart" Target="../charts/chart8.xml"/><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chart" Target="../charts/chart9.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285750</xdr:colOff>
          <xdr:row>55</xdr:row>
          <xdr:rowOff>9525</xdr:rowOff>
        </xdr:from>
        <xdr:to>
          <xdr:col>4</xdr:col>
          <xdr:colOff>66675</xdr:colOff>
          <xdr:row>56</xdr:row>
          <xdr:rowOff>66675</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000-00000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10</xdr:col>
      <xdr:colOff>111500</xdr:colOff>
      <xdr:row>32</xdr:row>
      <xdr:rowOff>19050</xdr:rowOff>
    </xdr:from>
    <xdr:to>
      <xdr:col>11</xdr:col>
      <xdr:colOff>611842</xdr:colOff>
      <xdr:row>32</xdr:row>
      <xdr:rowOff>317625</xdr:rowOff>
    </xdr:to>
    <xdr:sp macro="" textlink="">
      <xdr:nvSpPr>
        <xdr:cNvPr id="4" name="Rectangle à coins arrondis 3">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8459882" y="6641726"/>
          <a:ext cx="1262342"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1</a:t>
          </a:r>
        </a:p>
      </xdr:txBody>
    </xdr:sp>
    <xdr:clientData/>
  </xdr:twoCellAnchor>
  <xdr:twoCellAnchor>
    <xdr:from>
      <xdr:col>10</xdr:col>
      <xdr:colOff>101975</xdr:colOff>
      <xdr:row>33</xdr:row>
      <xdr:rowOff>28575</xdr:rowOff>
    </xdr:from>
    <xdr:to>
      <xdr:col>11</xdr:col>
      <xdr:colOff>621367</xdr:colOff>
      <xdr:row>33</xdr:row>
      <xdr:rowOff>298575</xdr:rowOff>
    </xdr:to>
    <xdr:sp macro="" textlink="">
      <xdr:nvSpPr>
        <xdr:cNvPr id="8" name="Rectangle à coins arrondis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8450357" y="6998634"/>
          <a:ext cx="128139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2</a:t>
          </a:r>
        </a:p>
      </xdr:txBody>
    </xdr:sp>
    <xdr:clientData/>
  </xdr:twoCellAnchor>
  <xdr:twoCellAnchor>
    <xdr:from>
      <xdr:col>10</xdr:col>
      <xdr:colOff>111500</xdr:colOff>
      <xdr:row>34</xdr:row>
      <xdr:rowOff>47625</xdr:rowOff>
    </xdr:from>
    <xdr:to>
      <xdr:col>11</xdr:col>
      <xdr:colOff>611842</xdr:colOff>
      <xdr:row>34</xdr:row>
      <xdr:rowOff>317625</xdr:rowOff>
    </xdr:to>
    <xdr:sp macro="" textlink="">
      <xdr:nvSpPr>
        <xdr:cNvPr id="9" name="Rectangle à coins arrondis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8459882" y="736506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3</a:t>
          </a:r>
        </a:p>
      </xdr:txBody>
    </xdr:sp>
    <xdr:clientData/>
  </xdr:twoCellAnchor>
  <xdr:twoCellAnchor>
    <xdr:from>
      <xdr:col>10</xdr:col>
      <xdr:colOff>111500</xdr:colOff>
      <xdr:row>35</xdr:row>
      <xdr:rowOff>57150</xdr:rowOff>
    </xdr:from>
    <xdr:to>
      <xdr:col>11</xdr:col>
      <xdr:colOff>611842</xdr:colOff>
      <xdr:row>35</xdr:row>
      <xdr:rowOff>327150</xdr:rowOff>
    </xdr:to>
    <xdr:sp macro="" textlink="">
      <xdr:nvSpPr>
        <xdr:cNvPr id="10" name="Rectangle à coins arrondis 9">
          <a:hlinkClick xmlns:r="http://schemas.openxmlformats.org/officeDocument/2006/relationships" r:id="rId4"/>
          <a:extLst>
            <a:ext uri="{FF2B5EF4-FFF2-40B4-BE49-F238E27FC236}">
              <a16:creationId xmlns:a16="http://schemas.microsoft.com/office/drawing/2014/main" id="{00000000-0008-0000-0000-00000A000000}"/>
            </a:ext>
          </a:extLst>
        </xdr:cNvPr>
        <xdr:cNvSpPr/>
      </xdr:nvSpPr>
      <xdr:spPr>
        <a:xfrm>
          <a:off x="8459882" y="7721974"/>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4</a:t>
          </a:r>
        </a:p>
      </xdr:txBody>
    </xdr:sp>
    <xdr:clientData/>
  </xdr:twoCellAnchor>
  <xdr:twoCellAnchor>
    <xdr:from>
      <xdr:col>10</xdr:col>
      <xdr:colOff>111500</xdr:colOff>
      <xdr:row>36</xdr:row>
      <xdr:rowOff>57150</xdr:rowOff>
    </xdr:from>
    <xdr:to>
      <xdr:col>11</xdr:col>
      <xdr:colOff>611842</xdr:colOff>
      <xdr:row>36</xdr:row>
      <xdr:rowOff>327150</xdr:rowOff>
    </xdr:to>
    <xdr:sp macro="" textlink="">
      <xdr:nvSpPr>
        <xdr:cNvPr id="11" name="Rectangle à coins arrondis 10">
          <a:hlinkClick xmlns:r="http://schemas.openxmlformats.org/officeDocument/2006/relationships" r:id="rId5"/>
          <a:extLst>
            <a:ext uri="{FF2B5EF4-FFF2-40B4-BE49-F238E27FC236}">
              <a16:creationId xmlns:a16="http://schemas.microsoft.com/office/drawing/2014/main" id="{00000000-0008-0000-0000-00000B000000}"/>
            </a:ext>
          </a:extLst>
        </xdr:cNvPr>
        <xdr:cNvSpPr/>
      </xdr:nvSpPr>
      <xdr:spPr>
        <a:xfrm>
          <a:off x="8459882" y="8069356"/>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5</a:t>
          </a:r>
        </a:p>
      </xdr:txBody>
    </xdr:sp>
    <xdr:clientData/>
  </xdr:twoCellAnchor>
  <xdr:twoCellAnchor>
    <xdr:from>
      <xdr:col>10</xdr:col>
      <xdr:colOff>111500</xdr:colOff>
      <xdr:row>37</xdr:row>
      <xdr:rowOff>66675</xdr:rowOff>
    </xdr:from>
    <xdr:to>
      <xdr:col>11</xdr:col>
      <xdr:colOff>611842</xdr:colOff>
      <xdr:row>37</xdr:row>
      <xdr:rowOff>336675</xdr:rowOff>
    </xdr:to>
    <xdr:sp macro="" textlink="">
      <xdr:nvSpPr>
        <xdr:cNvPr id="12" name="Rectangle à coins arrondis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8459882" y="8426263"/>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6</a:t>
          </a:r>
        </a:p>
      </xdr:txBody>
    </xdr:sp>
    <xdr:clientData/>
  </xdr:twoCellAnchor>
  <xdr:twoCellAnchor>
    <xdr:from>
      <xdr:col>10</xdr:col>
      <xdr:colOff>111500</xdr:colOff>
      <xdr:row>38</xdr:row>
      <xdr:rowOff>57150</xdr:rowOff>
    </xdr:from>
    <xdr:to>
      <xdr:col>11</xdr:col>
      <xdr:colOff>611842</xdr:colOff>
      <xdr:row>38</xdr:row>
      <xdr:rowOff>327150</xdr:rowOff>
    </xdr:to>
    <xdr:sp macro="" textlink="">
      <xdr:nvSpPr>
        <xdr:cNvPr id="13" name="Rectangle à coins arrondis 12">
          <a:hlinkClick xmlns:r="http://schemas.openxmlformats.org/officeDocument/2006/relationships" r:id="rId7"/>
          <a:extLst>
            <a:ext uri="{FF2B5EF4-FFF2-40B4-BE49-F238E27FC236}">
              <a16:creationId xmlns:a16="http://schemas.microsoft.com/office/drawing/2014/main" id="{00000000-0008-0000-0000-00000D000000}"/>
            </a:ext>
          </a:extLst>
        </xdr:cNvPr>
        <xdr:cNvSpPr/>
      </xdr:nvSpPr>
      <xdr:spPr>
        <a:xfrm>
          <a:off x="8459882" y="8764121"/>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7</a:t>
          </a:r>
        </a:p>
      </xdr:txBody>
    </xdr:sp>
    <xdr:clientData/>
  </xdr:twoCellAnchor>
  <xdr:twoCellAnchor>
    <xdr:from>
      <xdr:col>10</xdr:col>
      <xdr:colOff>111500</xdr:colOff>
      <xdr:row>39</xdr:row>
      <xdr:rowOff>47625</xdr:rowOff>
    </xdr:from>
    <xdr:to>
      <xdr:col>11</xdr:col>
      <xdr:colOff>611842</xdr:colOff>
      <xdr:row>39</xdr:row>
      <xdr:rowOff>317625</xdr:rowOff>
    </xdr:to>
    <xdr:sp macro="" textlink="">
      <xdr:nvSpPr>
        <xdr:cNvPr id="14" name="Rectangle à coins arrondis 13">
          <a:hlinkClick xmlns:r="http://schemas.openxmlformats.org/officeDocument/2006/relationships" r:id="rId8"/>
          <a:extLst>
            <a:ext uri="{FF2B5EF4-FFF2-40B4-BE49-F238E27FC236}">
              <a16:creationId xmlns:a16="http://schemas.microsoft.com/office/drawing/2014/main" id="{00000000-0008-0000-0000-00000E000000}"/>
            </a:ext>
          </a:extLst>
        </xdr:cNvPr>
        <xdr:cNvSpPr/>
      </xdr:nvSpPr>
      <xdr:spPr>
        <a:xfrm>
          <a:off x="8459882" y="9101978"/>
          <a:ext cx="1262342" cy="2700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fr-FR" sz="1100">
              <a:solidFill>
                <a:sysClr val="windowText" lastClr="000000"/>
              </a:solidFill>
            </a:rPr>
            <a:t>Accès compteur 8</a:t>
          </a:r>
        </a:p>
      </xdr:txBody>
    </xdr:sp>
    <xdr:clientData/>
  </xdr:twoCellAnchor>
  <xdr:twoCellAnchor editAs="oneCell">
    <xdr:from>
      <xdr:col>5</xdr:col>
      <xdr:colOff>994396</xdr:colOff>
      <xdr:row>0</xdr:row>
      <xdr:rowOff>67236</xdr:rowOff>
    </xdr:from>
    <xdr:to>
      <xdr:col>8</xdr:col>
      <xdr:colOff>246526</xdr:colOff>
      <xdr:row>2</xdr:row>
      <xdr:rowOff>10471</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val="0"/>
            </a:ext>
          </a:extLst>
        </a:blip>
        <a:stretch>
          <a:fillRect/>
        </a:stretch>
      </xdr:blipFill>
      <xdr:spPr>
        <a:xfrm>
          <a:off x="4714749" y="67236"/>
          <a:ext cx="2277718" cy="33544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76200</xdr:colOff>
          <xdr:row>23</xdr:row>
          <xdr:rowOff>171450</xdr:rowOff>
        </xdr:from>
        <xdr:to>
          <xdr:col>4</xdr:col>
          <xdr:colOff>361950</xdr:colOff>
          <xdr:row>25</xdr:row>
          <xdr:rowOff>76200</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000-00000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285750</xdr:colOff>
          <xdr:row>57</xdr:row>
          <xdr:rowOff>19050</xdr:rowOff>
        </xdr:from>
        <xdr:to>
          <xdr:col>4</xdr:col>
          <xdr:colOff>57150</xdr:colOff>
          <xdr:row>58</xdr:row>
          <xdr:rowOff>76200</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000-00000B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41</xdr:row>
          <xdr:rowOff>9525</xdr:rowOff>
        </xdr:from>
        <xdr:to>
          <xdr:col>6</xdr:col>
          <xdr:colOff>47625</xdr:colOff>
          <xdr:row>41</xdr:row>
          <xdr:rowOff>228600</xdr:rowOff>
        </xdr:to>
        <xdr:sp macro="" textlink="">
          <xdr:nvSpPr>
            <xdr:cNvPr id="9228" name="Drop Down 12" hidden="1">
              <a:extLst>
                <a:ext uri="{63B3BB69-23CF-44E3-9099-C40C66FF867C}">
                  <a14:compatExt spid="_x0000_s9228"/>
                </a:ext>
                <a:ext uri="{FF2B5EF4-FFF2-40B4-BE49-F238E27FC236}">
                  <a16:creationId xmlns:a16="http://schemas.microsoft.com/office/drawing/2014/main" id="{00000000-0008-0000-0000-00000C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331661</xdr:colOff>
      <xdr:row>0</xdr:row>
      <xdr:rowOff>0</xdr:rowOff>
    </xdr:from>
    <xdr:to>
      <xdr:col>9</xdr:col>
      <xdr:colOff>1138374</xdr:colOff>
      <xdr:row>3</xdr:row>
      <xdr:rowOff>134470</xdr:rowOff>
    </xdr:to>
    <xdr:pic>
      <xdr:nvPicPr>
        <xdr:cNvPr id="16" name="Imag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077602" y="0"/>
          <a:ext cx="1529493" cy="717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285750</xdr:colOff>
          <xdr:row>61</xdr:row>
          <xdr:rowOff>104775</xdr:rowOff>
        </xdr:from>
        <xdr:to>
          <xdr:col>4</xdr:col>
          <xdr:colOff>133350</xdr:colOff>
          <xdr:row>62</xdr:row>
          <xdr:rowOff>152400</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000-00000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26</xdr:row>
          <xdr:rowOff>123825</xdr:rowOff>
        </xdr:from>
        <xdr:to>
          <xdr:col>5</xdr:col>
          <xdr:colOff>581025</xdr:colOff>
          <xdr:row>28</xdr:row>
          <xdr:rowOff>66675</xdr:rowOff>
        </xdr:to>
        <xdr:sp macro="" textlink="">
          <xdr:nvSpPr>
            <xdr:cNvPr id="9248" name="Drop Down 32" hidden="1">
              <a:extLst>
                <a:ext uri="{63B3BB69-23CF-44E3-9099-C40C66FF867C}">
                  <a14:compatExt spid="_x0000_s9248"/>
                </a:ext>
                <a:ext uri="{FF2B5EF4-FFF2-40B4-BE49-F238E27FC236}">
                  <a16:creationId xmlns:a16="http://schemas.microsoft.com/office/drawing/2014/main" id="{00000000-0008-0000-0000-000020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33617</xdr:colOff>
      <xdr:row>42</xdr:row>
      <xdr:rowOff>33618</xdr:rowOff>
    </xdr:from>
    <xdr:to>
      <xdr:col>8</xdr:col>
      <xdr:colOff>719231</xdr:colOff>
      <xdr:row>50</xdr:row>
      <xdr:rowOff>145676</xdr:rowOff>
    </xdr:to>
    <mc:AlternateContent xmlns:mc="http://schemas.openxmlformats.org/markup-compatibility/2006" xmlns:a14="http://schemas.microsoft.com/office/drawing/2010/main">
      <mc:Choice Requires="a14">
        <xdr:graphicFrame macro="">
          <xdr:nvGraphicFramePr>
            <xdr:cNvPr id="19" name="Station">
              <a:extLst>
                <a:ext uri="{FF2B5EF4-FFF2-40B4-BE49-F238E27FC236}">
                  <a16:creationId xmlns:a16="http://schemas.microsoft.com/office/drawing/2014/main" id="{00000000-0008-0000-0000-000013000000}"/>
                </a:ext>
              </a:extLst>
            </xdr:cNvPr>
            <xdr:cNvGraphicFramePr/>
          </xdr:nvGraphicFramePr>
          <xdr:xfrm>
            <a:off x="0" y="0"/>
            <a:ext cx="0" cy="0"/>
          </xdr:xfrm>
          <a:graphic>
            <a:graphicData uri="http://schemas.microsoft.com/office/drawing/2010/slicer">
              <sle:slicer xmlns:sle="http://schemas.microsoft.com/office/drawing/2010/slicer" name="Station"/>
            </a:graphicData>
          </a:graphic>
        </xdr:graphicFrame>
      </mc:Choice>
      <mc:Fallback xmlns="">
        <xdr:sp macro="" textlink="">
          <xdr:nvSpPr>
            <xdr:cNvPr id="0" name=""/>
            <xdr:cNvSpPr>
              <a:spLocks noTextEdit="1"/>
            </xdr:cNvSpPr>
          </xdr:nvSpPr>
          <xdr:spPr>
            <a:xfrm>
              <a:off x="33617" y="10735236"/>
              <a:ext cx="7430435" cy="1636058"/>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mc:AlternateContent xmlns:mc="http://schemas.openxmlformats.org/markup-compatibility/2006">
    <mc:Choice xmlns:a14="http://schemas.microsoft.com/office/drawing/2010/main" Requires="a14">
      <xdr:twoCellAnchor editAs="oneCell">
        <xdr:from>
          <xdr:col>7</xdr:col>
          <xdr:colOff>238125</xdr:colOff>
          <xdr:row>53</xdr:row>
          <xdr:rowOff>200025</xdr:rowOff>
        </xdr:from>
        <xdr:to>
          <xdr:col>8</xdr:col>
          <xdr:colOff>638175</xdr:colOff>
          <xdr:row>55</xdr:row>
          <xdr:rowOff>38100</xdr:rowOff>
        </xdr:to>
        <xdr:sp macro="" textlink="">
          <xdr:nvSpPr>
            <xdr:cNvPr id="9249" name="Drop Down 33" hidden="1">
              <a:extLst>
                <a:ext uri="{63B3BB69-23CF-44E3-9099-C40C66FF867C}">
                  <a14:compatExt spid="_x0000_s9249"/>
                </a:ext>
                <a:ext uri="{FF2B5EF4-FFF2-40B4-BE49-F238E27FC236}">
                  <a16:creationId xmlns:a16="http://schemas.microsoft.com/office/drawing/2014/main" id="{00000000-0008-0000-0000-00002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xdr:col>
      <xdr:colOff>459442</xdr:colOff>
      <xdr:row>53</xdr:row>
      <xdr:rowOff>33617</xdr:rowOff>
    </xdr:from>
    <xdr:to>
      <xdr:col>4</xdr:col>
      <xdr:colOff>459442</xdr:colOff>
      <xdr:row>63</xdr:row>
      <xdr:rowOff>145676</xdr:rowOff>
    </xdr:to>
    <xdr:cxnSp macro="">
      <xdr:nvCxnSpPr>
        <xdr:cNvPr id="3" name="Connecteur droit 2">
          <a:extLst>
            <a:ext uri="{FF2B5EF4-FFF2-40B4-BE49-F238E27FC236}">
              <a16:creationId xmlns:a16="http://schemas.microsoft.com/office/drawing/2014/main" id="{00000000-0008-0000-0000-000003000000}"/>
            </a:ext>
          </a:extLst>
        </xdr:cNvPr>
        <xdr:cNvCxnSpPr/>
      </xdr:nvCxnSpPr>
      <xdr:spPr>
        <a:xfrm>
          <a:off x="3518648" y="12819529"/>
          <a:ext cx="0" cy="210670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7</xdr:col>
          <xdr:colOff>238125</xdr:colOff>
          <xdr:row>55</xdr:row>
          <xdr:rowOff>123825</xdr:rowOff>
        </xdr:from>
        <xdr:to>
          <xdr:col>8</xdr:col>
          <xdr:colOff>638175</xdr:colOff>
          <xdr:row>57</xdr:row>
          <xdr:rowOff>9525</xdr:rowOff>
        </xdr:to>
        <xdr:sp macro="" textlink="">
          <xdr:nvSpPr>
            <xdr:cNvPr id="9250" name="Drop Down 34" hidden="1">
              <a:extLst>
                <a:ext uri="{63B3BB69-23CF-44E3-9099-C40C66FF867C}">
                  <a14:compatExt spid="_x0000_s9250"/>
                </a:ext>
                <a:ext uri="{FF2B5EF4-FFF2-40B4-BE49-F238E27FC236}">
                  <a16:creationId xmlns:a16="http://schemas.microsoft.com/office/drawing/2014/main" id="{00000000-0008-0000-0000-00002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29308</xdr:colOff>
      <xdr:row>1</xdr:row>
      <xdr:rowOff>65942</xdr:rowOff>
    </xdr:to>
    <xdr:sp macro="" textlink="">
      <xdr:nvSpPr>
        <xdr:cNvPr id="2" name="ZoneTexte 1">
          <a:extLst>
            <a:ext uri="{FF2B5EF4-FFF2-40B4-BE49-F238E27FC236}">
              <a16:creationId xmlns:a16="http://schemas.microsoft.com/office/drawing/2014/main" id="{00000000-0008-0000-0700-000002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11" name="Imag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12" name="Imag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xdr:from>
      <xdr:col>0</xdr:col>
      <xdr:colOff>74544</xdr:colOff>
      <xdr:row>20</xdr:row>
      <xdr:rowOff>182216</xdr:rowOff>
    </xdr:from>
    <xdr:to>
      <xdr:col>7</xdr:col>
      <xdr:colOff>704022</xdr:colOff>
      <xdr:row>32</xdr:row>
      <xdr:rowOff>186771</xdr:rowOff>
    </xdr:to>
    <xdr:graphicFrame macro="">
      <xdr:nvGraphicFramePr>
        <xdr:cNvPr id="13" name="Graphique 12">
          <a:extLst>
            <a:ext uri="{FF2B5EF4-FFF2-40B4-BE49-F238E27FC236}">
              <a16:creationId xmlns:a16="http://schemas.microsoft.com/office/drawing/2014/main" id="{00000000-0008-0000-07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0</xdr:col>
      <xdr:colOff>66262</xdr:colOff>
      <xdr:row>2</xdr:row>
      <xdr:rowOff>57977</xdr:rowOff>
    </xdr:from>
    <xdr:to>
      <xdr:col>7</xdr:col>
      <xdr:colOff>687458</xdr:colOff>
      <xdr:row>7</xdr:row>
      <xdr:rowOff>149086</xdr:rowOff>
    </xdr:to>
    <mc:AlternateContent xmlns:mc="http://schemas.openxmlformats.org/markup-compatibility/2006" xmlns:tsle="http://schemas.microsoft.com/office/drawing/2012/timeslicer">
      <mc:Choice Requires="tsle">
        <xdr:graphicFrame macro="">
          <xdr:nvGraphicFramePr>
            <xdr:cNvPr id="14" name="fin mois 1">
              <a:extLst>
                <a:ext uri="{FF2B5EF4-FFF2-40B4-BE49-F238E27FC236}">
                  <a16:creationId xmlns:a16="http://schemas.microsoft.com/office/drawing/2014/main" id="{00000000-0008-0000-0700-00000E000000}"/>
                </a:ext>
              </a:extLst>
            </xdr:cNvPr>
            <xdr:cNvGraphicFramePr/>
          </xdr:nvGraphicFramePr>
          <xdr:xfrm>
            <a:off x="0" y="0"/>
            <a:ext cx="0" cy="0"/>
          </xdr:xfrm>
          <a:graphic>
            <a:graphicData uri="http://schemas.microsoft.com/office/drawing/2012/timeslicer">
              <tsle:timeslicer name="fin mois 1"/>
            </a:graphicData>
          </a:graphic>
        </xdr:graphicFrame>
      </mc:Choice>
      <mc:Fallback xmlns="">
        <xdr:sp macro="" textlink="">
          <xdr:nvSpPr>
            <xdr:cNvPr id="0" name=""/>
            <xdr:cNvSpPr>
              <a:spLocks noTextEdit="1"/>
            </xdr:cNvSpPr>
          </xdr:nvSpPr>
          <xdr:spPr>
            <a:xfrm>
              <a:off x="66262" y="438977"/>
              <a:ext cx="5955196" cy="1043609"/>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fLocksWithSheet="0"/>
  </xdr:twoCellAnchor>
  <xdr:twoCellAnchor editAs="oneCell">
    <xdr:from>
      <xdr:col>8</xdr:col>
      <xdr:colOff>198783</xdr:colOff>
      <xdr:row>3</xdr:row>
      <xdr:rowOff>124238</xdr:rowOff>
    </xdr:from>
    <xdr:to>
      <xdr:col>10</xdr:col>
      <xdr:colOff>503583</xdr:colOff>
      <xdr:row>16</xdr:row>
      <xdr:rowOff>171863</xdr:rowOff>
    </xdr:to>
    <mc:AlternateContent xmlns:mc="http://schemas.openxmlformats.org/markup-compatibility/2006" xmlns:a14="http://schemas.microsoft.com/office/drawing/2010/main">
      <mc:Choice Requires="a14">
        <xdr:graphicFrame macro="">
          <xdr:nvGraphicFramePr>
            <xdr:cNvPr id="15" name="Nom">
              <a:extLst>
                <a:ext uri="{FF2B5EF4-FFF2-40B4-BE49-F238E27FC236}">
                  <a16:creationId xmlns:a16="http://schemas.microsoft.com/office/drawing/2014/main" id="{00000000-0008-0000-0700-00000F000000}"/>
                </a:ext>
              </a:extLst>
            </xdr:cNvPr>
            <xdr:cNvGraphicFramePr/>
          </xdr:nvGraphicFramePr>
          <xdr:xfrm>
            <a:off x="0" y="0"/>
            <a:ext cx="0" cy="0"/>
          </xdr:xfrm>
          <a:graphic>
            <a:graphicData uri="http://schemas.microsoft.com/office/drawing/2010/slicer">
              <sle:slicer xmlns:sle="http://schemas.microsoft.com/office/drawing/2010/slicer" name="Nom"/>
            </a:graphicData>
          </a:graphic>
        </xdr:graphicFrame>
      </mc:Choice>
      <mc:Fallback xmlns="">
        <xdr:sp macro="" textlink="">
          <xdr:nvSpPr>
            <xdr:cNvPr id="0" name=""/>
            <xdr:cNvSpPr>
              <a:spLocks noTextEdit="1"/>
            </xdr:cNvSpPr>
          </xdr:nvSpPr>
          <xdr:spPr>
            <a:xfrm>
              <a:off x="6294783" y="695738"/>
              <a:ext cx="1828800" cy="252412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0</xdr:colOff>
      <xdr:row>10</xdr:row>
      <xdr:rowOff>41414</xdr:rowOff>
    </xdr:from>
    <xdr:to>
      <xdr:col>7</xdr:col>
      <xdr:colOff>670891</xdr:colOff>
      <xdr:row>20</xdr:row>
      <xdr:rowOff>165654</xdr:rowOff>
    </xdr:to>
    <xdr:graphicFrame macro="">
      <xdr:nvGraphicFramePr>
        <xdr:cNvPr id="16" name="Graphique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256761</xdr:colOff>
      <xdr:row>9</xdr:row>
      <xdr:rowOff>8282</xdr:rowOff>
    </xdr:from>
    <xdr:to>
      <xdr:col>7</xdr:col>
      <xdr:colOff>646043</xdr:colOff>
      <xdr:row>10</xdr:row>
      <xdr:rowOff>74224</xdr:rowOff>
    </xdr:to>
    <xdr:sp macro="" textlink="">
      <xdr:nvSpPr>
        <xdr:cNvPr id="9" name="ZoneTexte 8">
          <a:extLst>
            <a:ext uri="{FF2B5EF4-FFF2-40B4-BE49-F238E27FC236}">
              <a16:creationId xmlns:a16="http://schemas.microsoft.com/office/drawing/2014/main" id="{00000000-0008-0000-0700-000009000000}"/>
            </a:ext>
          </a:extLst>
        </xdr:cNvPr>
        <xdr:cNvSpPr txBox="1"/>
      </xdr:nvSpPr>
      <xdr:spPr>
        <a:xfrm>
          <a:off x="256761" y="1722782"/>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Evolution</a:t>
          </a:r>
          <a:r>
            <a:rPr lang="fr-FR" sz="1100" b="1" baseline="0"/>
            <a:t> des consommations unitaires du compteur</a:t>
          </a:r>
          <a:endParaRPr lang="fr-FR" sz="1100" b="1"/>
        </a:p>
      </xdr:txBody>
    </xdr:sp>
    <xdr:clientData/>
  </xdr:twoCellAnchor>
  <xdr:twoCellAnchor>
    <xdr:from>
      <xdr:col>0</xdr:col>
      <xdr:colOff>314739</xdr:colOff>
      <xdr:row>20</xdr:row>
      <xdr:rowOff>33130</xdr:rowOff>
    </xdr:from>
    <xdr:to>
      <xdr:col>7</xdr:col>
      <xdr:colOff>704021</xdr:colOff>
      <xdr:row>21</xdr:row>
      <xdr:rowOff>99072</xdr:rowOff>
    </xdr:to>
    <xdr:sp macro="" textlink="">
      <xdr:nvSpPr>
        <xdr:cNvPr id="10" name="ZoneTexte 8">
          <a:extLst>
            <a:ext uri="{FF2B5EF4-FFF2-40B4-BE49-F238E27FC236}">
              <a16:creationId xmlns:a16="http://schemas.microsoft.com/office/drawing/2014/main" id="{00000000-0008-0000-0700-00000A000000}"/>
            </a:ext>
          </a:extLst>
        </xdr:cNvPr>
        <xdr:cNvSpPr txBox="1"/>
      </xdr:nvSpPr>
      <xdr:spPr>
        <a:xfrm>
          <a:off x="314739" y="3843130"/>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fr-FR" sz="1100" b="1"/>
            <a:t>Evolution</a:t>
          </a:r>
          <a:r>
            <a:rPr lang="fr-FR" sz="1100" b="1" baseline="0"/>
            <a:t> des consommations par rapport au DJU chauffagiste</a:t>
          </a:r>
          <a:endParaRPr lang="fr-FR" sz="1100" b="1"/>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65942</xdr:rowOff>
    </xdr:to>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0" y="0"/>
          <a:ext cx="457200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a:t>
          </a:r>
          <a:r>
            <a:rPr lang="fr-FR" sz="1600" b="1" baseline="0"/>
            <a:t> détaillée des sous - compteurs</a:t>
          </a:r>
          <a:endParaRPr lang="fr-FR" sz="1600" b="1"/>
        </a:p>
      </xdr:txBody>
    </xdr:sp>
    <xdr:clientData/>
  </xdr:twoCellAnchor>
  <xdr:twoCellAnchor editAs="oneCell">
    <xdr:from>
      <xdr:col>6</xdr:col>
      <xdr:colOff>0</xdr:colOff>
      <xdr:row>0</xdr:row>
      <xdr:rowOff>11205</xdr:rowOff>
    </xdr:from>
    <xdr:to>
      <xdr:col>8</xdr:col>
      <xdr:colOff>753717</xdr:colOff>
      <xdr:row>1</xdr:row>
      <xdr:rowOff>156146</xdr:rowOff>
    </xdr:to>
    <xdr:pic>
      <xdr:nvPicPr>
        <xdr:cNvPr id="3" name="Imag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4" name="Imag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8889" y="0"/>
          <a:ext cx="1483111" cy="717176"/>
        </a:xfrm>
        <a:prstGeom prst="rect">
          <a:avLst/>
        </a:prstGeom>
      </xdr:spPr>
    </xdr:pic>
    <xdr:clientData/>
  </xdr:twoCellAnchor>
  <xdr:twoCellAnchor editAs="oneCell">
    <xdr:from>
      <xdr:col>8</xdr:col>
      <xdr:colOff>347870</xdr:colOff>
      <xdr:row>10</xdr:row>
      <xdr:rowOff>41413</xdr:rowOff>
    </xdr:from>
    <xdr:to>
      <xdr:col>10</xdr:col>
      <xdr:colOff>652670</xdr:colOff>
      <xdr:row>18</xdr:row>
      <xdr:rowOff>130452</xdr:rowOff>
    </xdr:to>
    <mc:AlternateContent xmlns:mc="http://schemas.openxmlformats.org/markup-compatibility/2006" xmlns:a14="http://schemas.microsoft.com/office/drawing/2010/main">
      <mc:Choice Requires="a14">
        <xdr:graphicFrame macro="">
          <xdr:nvGraphicFramePr>
            <xdr:cNvPr id="9" name="Nom 2">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microsoft.com/office/drawing/2010/slicer">
              <sle:slicer xmlns:sle="http://schemas.microsoft.com/office/drawing/2010/slicer" name="Nom 2"/>
            </a:graphicData>
          </a:graphic>
        </xdr:graphicFrame>
      </mc:Choice>
      <mc:Fallback xmlns="">
        <xdr:sp macro="" textlink="">
          <xdr:nvSpPr>
            <xdr:cNvPr id="0" name=""/>
            <xdr:cNvSpPr>
              <a:spLocks noTextEdit="1"/>
            </xdr:cNvSpPr>
          </xdr:nvSpPr>
          <xdr:spPr>
            <a:xfrm>
              <a:off x="6443870" y="1946413"/>
              <a:ext cx="1828800" cy="1613039"/>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0</xdr:col>
      <xdr:colOff>207066</xdr:colOff>
      <xdr:row>2</xdr:row>
      <xdr:rowOff>173934</xdr:rowOff>
    </xdr:from>
    <xdr:to>
      <xdr:col>7</xdr:col>
      <xdr:colOff>480392</xdr:colOff>
      <xdr:row>7</xdr:row>
      <xdr:rowOff>78684</xdr:rowOff>
    </xdr:to>
    <mc:AlternateContent xmlns:mc="http://schemas.openxmlformats.org/markup-compatibility/2006" xmlns:tsle="http://schemas.microsoft.com/office/drawing/2012/timeslicer">
      <mc:Choice Requires="tsle">
        <xdr:graphicFrame macro="">
          <xdr:nvGraphicFramePr>
            <xdr:cNvPr id="10" name="fin mois 2">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microsoft.com/office/drawing/2012/timeslicer">
              <tsle:timeslicer name="fin mois 2"/>
            </a:graphicData>
          </a:graphic>
        </xdr:graphicFrame>
      </mc:Choice>
      <mc:Fallback xmlns="">
        <xdr:sp macro="" textlink="">
          <xdr:nvSpPr>
            <xdr:cNvPr id="0" name=""/>
            <xdr:cNvSpPr>
              <a:spLocks noTextEdit="1"/>
            </xdr:cNvSpPr>
          </xdr:nvSpPr>
          <xdr:spPr>
            <a:xfrm>
              <a:off x="207066" y="554934"/>
              <a:ext cx="5607326" cy="857250"/>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fLocksWithSheet="0"/>
  </xdr:twoCellAnchor>
  <xdr:twoCellAnchor>
    <xdr:from>
      <xdr:col>0</xdr:col>
      <xdr:colOff>165652</xdr:colOff>
      <xdr:row>9</xdr:row>
      <xdr:rowOff>157370</xdr:rowOff>
    </xdr:from>
    <xdr:to>
      <xdr:col>7</xdr:col>
      <xdr:colOff>571500</xdr:colOff>
      <xdr:row>31</xdr:row>
      <xdr:rowOff>124239</xdr:rowOff>
    </xdr:to>
    <xdr:graphicFrame macro="">
      <xdr:nvGraphicFramePr>
        <xdr:cNvPr id="11" name="Graphique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8</xdr:col>
      <xdr:colOff>347869</xdr:colOff>
      <xdr:row>3</xdr:row>
      <xdr:rowOff>182217</xdr:rowOff>
    </xdr:from>
    <xdr:to>
      <xdr:col>10</xdr:col>
      <xdr:colOff>652669</xdr:colOff>
      <xdr:row>9</xdr:row>
      <xdr:rowOff>41413</xdr:rowOff>
    </xdr:to>
    <mc:AlternateContent xmlns:mc="http://schemas.openxmlformats.org/markup-compatibility/2006" xmlns:a14="http://schemas.microsoft.com/office/drawing/2010/main">
      <mc:Choice Requires="a14">
        <xdr:graphicFrame macro="">
          <xdr:nvGraphicFramePr>
            <xdr:cNvPr id="8" name="Source">
              <a:extLst>
                <a:ext uri="{FF2B5EF4-FFF2-40B4-BE49-F238E27FC236}">
                  <a16:creationId xmlns:a16="http://schemas.microsoft.com/office/drawing/2014/main" id="{00000000-0008-0000-0B00-000008000000}"/>
                </a:ext>
              </a:extLst>
            </xdr:cNvPr>
            <xdr:cNvGraphicFramePr/>
          </xdr:nvGraphicFramePr>
          <xdr:xfrm>
            <a:off x="0" y="0"/>
            <a:ext cx="0" cy="0"/>
          </xdr:xfrm>
          <a:graphic>
            <a:graphicData uri="http://schemas.microsoft.com/office/drawing/2010/slicer">
              <sle:slicer xmlns:sle="http://schemas.microsoft.com/office/drawing/2010/slicer" name="Source"/>
            </a:graphicData>
          </a:graphic>
        </xdr:graphicFrame>
      </mc:Choice>
      <mc:Fallback xmlns="">
        <xdr:sp macro="" textlink="">
          <xdr:nvSpPr>
            <xdr:cNvPr id="0" name=""/>
            <xdr:cNvSpPr>
              <a:spLocks noTextEdit="1"/>
            </xdr:cNvSpPr>
          </xdr:nvSpPr>
          <xdr:spPr>
            <a:xfrm>
              <a:off x="6443869" y="753717"/>
              <a:ext cx="1828800" cy="1002196"/>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207065</xdr:colOff>
      <xdr:row>8</xdr:row>
      <xdr:rowOff>91109</xdr:rowOff>
    </xdr:from>
    <xdr:to>
      <xdr:col>7</xdr:col>
      <xdr:colOff>596347</xdr:colOff>
      <xdr:row>9</xdr:row>
      <xdr:rowOff>157051</xdr:rowOff>
    </xdr:to>
    <xdr:sp macro="" textlink="">
      <xdr:nvSpPr>
        <xdr:cNvPr id="12" name="ZoneTexte 11">
          <a:extLst>
            <a:ext uri="{FF2B5EF4-FFF2-40B4-BE49-F238E27FC236}">
              <a16:creationId xmlns:a16="http://schemas.microsoft.com/office/drawing/2014/main" id="{00000000-0008-0000-0B00-00000C000000}"/>
            </a:ext>
          </a:extLst>
        </xdr:cNvPr>
        <xdr:cNvSpPr txBox="1"/>
      </xdr:nvSpPr>
      <xdr:spPr>
        <a:xfrm>
          <a:off x="207065" y="1615109"/>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Evolution</a:t>
          </a:r>
          <a:r>
            <a:rPr lang="fr-FR" sz="1100" b="1" baseline="0"/>
            <a:t> des consommations unitaires du sous- compteur</a:t>
          </a:r>
          <a:endParaRPr lang="fr-FR" sz="11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369794</xdr:colOff>
      <xdr:row>1</xdr:row>
      <xdr:rowOff>0</xdr:rowOff>
    </xdr:from>
    <xdr:to>
      <xdr:col>9</xdr:col>
      <xdr:colOff>481853</xdr:colOff>
      <xdr:row>3</xdr:row>
      <xdr:rowOff>145677</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4818529" y="190500"/>
          <a:ext cx="1636059" cy="336177"/>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304800</xdr:colOff>
      <xdr:row>2</xdr:row>
      <xdr:rowOff>38100</xdr:rowOff>
    </xdr:from>
    <xdr:to>
      <xdr:col>9</xdr:col>
      <xdr:colOff>476250</xdr:colOff>
      <xdr:row>3</xdr:row>
      <xdr:rowOff>146175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4533900" y="228600"/>
          <a:ext cx="169545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619125</xdr:colOff>
      <xdr:row>3</xdr:row>
      <xdr:rowOff>108075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4438650" y="190500"/>
          <a:ext cx="1381125"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Onglet Site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76200</xdr:colOff>
      <xdr:row>1</xdr:row>
      <xdr:rowOff>0</xdr:rowOff>
    </xdr:from>
    <xdr:to>
      <xdr:col>9</xdr:col>
      <xdr:colOff>685800</xdr:colOff>
      <xdr:row>3</xdr:row>
      <xdr:rowOff>108075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4848225" y="190500"/>
          <a:ext cx="13716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685800</xdr:colOff>
      <xdr:row>3</xdr:row>
      <xdr:rowOff>108075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4600575" y="190500"/>
          <a:ext cx="14478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628650</xdr:colOff>
      <xdr:row>3</xdr:row>
      <xdr:rowOff>108075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5753100" y="190500"/>
          <a:ext cx="139065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647700</xdr:colOff>
      <xdr:row>3</xdr:row>
      <xdr:rowOff>108075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5553075" y="190500"/>
          <a:ext cx="1409700"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581025</xdr:colOff>
      <xdr:row>3</xdr:row>
      <xdr:rowOff>108075</xdr:rowOff>
    </xdr:to>
    <xdr:sp macro="" textlink="">
      <xdr:nvSpPr>
        <xdr:cNvPr id="2" name="Rectangle à coins arrondis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5715000" y="190500"/>
          <a:ext cx="1343025" cy="298575"/>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ctr"/>
          <a:r>
            <a:rPr lang="fr-FR" sz="1100">
              <a:solidFill>
                <a:sysClr val="windowText" lastClr="000000"/>
              </a:solidFill>
            </a:rPr>
            <a:t>Retour </a:t>
          </a:r>
          <a:r>
            <a:rPr lang="fr-FR" sz="1100">
              <a:solidFill>
                <a:sysClr val="windowText" lastClr="000000"/>
              </a:solidFill>
              <a:effectLst/>
              <a:latin typeface="+mn-lt"/>
              <a:ea typeface="+mn-ea"/>
              <a:cs typeface="+mn-cs"/>
            </a:rPr>
            <a:t>Onglet Site</a:t>
          </a:r>
          <a:endParaRPr lang="fr-FR"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185308</xdr:colOff>
      <xdr:row>19</xdr:row>
      <xdr:rowOff>141178</xdr:rowOff>
    </xdr:from>
    <xdr:to>
      <xdr:col>10</xdr:col>
      <xdr:colOff>758908</xdr:colOff>
      <xdr:row>23</xdr:row>
      <xdr:rowOff>63178</xdr:rowOff>
    </xdr:to>
    <xdr:grpSp>
      <xdr:nvGrpSpPr>
        <xdr:cNvPr id="54" name="Groupe 53">
          <a:extLst>
            <a:ext uri="{FF2B5EF4-FFF2-40B4-BE49-F238E27FC236}">
              <a16:creationId xmlns:a16="http://schemas.microsoft.com/office/drawing/2014/main" id="{00000000-0008-0000-0100-000036000000}"/>
            </a:ext>
          </a:extLst>
        </xdr:cNvPr>
        <xdr:cNvGrpSpPr/>
      </xdr:nvGrpSpPr>
      <xdr:grpSpPr>
        <a:xfrm>
          <a:off x="7043308" y="3760678"/>
          <a:ext cx="1335600" cy="684000"/>
          <a:chOff x="9439275" y="295275"/>
          <a:chExt cx="2619374" cy="1228725"/>
        </a:xfrm>
      </xdr:grpSpPr>
      <xdr:sp macro="" textlink="">
        <xdr:nvSpPr>
          <xdr:cNvPr id="55" name="Rectangle à coins arrondis 54">
            <a:extLst>
              <a:ext uri="{FF2B5EF4-FFF2-40B4-BE49-F238E27FC236}">
                <a16:creationId xmlns:a16="http://schemas.microsoft.com/office/drawing/2014/main" id="{00000000-0008-0000-0100-00003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56" name="ZoneTexte 55">
            <a:extLst>
              <a:ext uri="{FF2B5EF4-FFF2-40B4-BE49-F238E27FC236}">
                <a16:creationId xmlns:a16="http://schemas.microsoft.com/office/drawing/2014/main" id="{00000000-0008-0000-0100-000038000000}"/>
              </a:ext>
            </a:extLst>
          </xdr:cNvPr>
          <xdr:cNvSpPr txBox="1"/>
        </xdr:nvSpPr>
        <xdr:spPr>
          <a:xfrm>
            <a:off x="9534523" y="304800"/>
            <a:ext cx="2524126"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Surface</a:t>
            </a:r>
            <a:r>
              <a:rPr lang="fr-FR" sz="1100" b="1" baseline="0"/>
              <a:t> totale</a:t>
            </a:r>
            <a:endParaRPr lang="fr-FR" sz="1100" b="1"/>
          </a:p>
        </xdr:txBody>
      </xdr:sp>
      <xdr:sp macro="" textlink="Calcul_Bilan_Energie!N3">
        <xdr:nvSpPr>
          <xdr:cNvPr id="57" name="ZoneTexte 56">
            <a:extLst>
              <a:ext uri="{FF2B5EF4-FFF2-40B4-BE49-F238E27FC236}">
                <a16:creationId xmlns:a16="http://schemas.microsoft.com/office/drawing/2014/main" id="{00000000-0008-0000-0100-000039000000}"/>
              </a:ext>
            </a:extLst>
          </xdr:cNvPr>
          <xdr:cNvSpPr txBox="1"/>
        </xdr:nvSpPr>
        <xdr:spPr>
          <a:xfrm>
            <a:off x="9969649" y="734607"/>
            <a:ext cx="1781763"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60ACE4-0D3C-4EC9-B977-6C7EDF60EB59}" type="TxLink">
              <a:rPr lang="en-US" sz="1200" b="0" i="0" u="none" strike="noStrike">
                <a:solidFill>
                  <a:srgbClr val="000000"/>
                </a:solidFill>
                <a:latin typeface="Calibri"/>
                <a:cs typeface="Calibri"/>
              </a:rPr>
              <a:pPr algn="ctr"/>
              <a:t>0</a:t>
            </a:fld>
            <a:endParaRPr lang="fr-FR" sz="2800" b="1"/>
          </a:p>
        </xdr:txBody>
      </xdr:sp>
      <xdr:pic>
        <xdr:nvPicPr>
          <xdr:cNvPr id="58" name="Imag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6728" y="833127"/>
            <a:ext cx="599464" cy="467760"/>
          </a:xfrm>
          <a:prstGeom prst="rect">
            <a:avLst/>
          </a:prstGeom>
        </xdr:spPr>
      </xdr:pic>
    </xdr:grpSp>
    <xdr:clientData/>
  </xdr:twoCellAnchor>
  <xdr:twoCellAnchor>
    <xdr:from>
      <xdr:col>9</xdr:col>
      <xdr:colOff>185308</xdr:colOff>
      <xdr:row>24</xdr:row>
      <xdr:rowOff>68105</xdr:rowOff>
    </xdr:from>
    <xdr:to>
      <xdr:col>10</xdr:col>
      <xdr:colOff>758908</xdr:colOff>
      <xdr:row>27</xdr:row>
      <xdr:rowOff>180605</xdr:rowOff>
    </xdr:to>
    <xdr:grpSp>
      <xdr:nvGrpSpPr>
        <xdr:cNvPr id="59" name="Groupe 58">
          <a:extLst>
            <a:ext uri="{FF2B5EF4-FFF2-40B4-BE49-F238E27FC236}">
              <a16:creationId xmlns:a16="http://schemas.microsoft.com/office/drawing/2014/main" id="{00000000-0008-0000-0100-00003B000000}"/>
            </a:ext>
          </a:extLst>
        </xdr:cNvPr>
        <xdr:cNvGrpSpPr/>
      </xdr:nvGrpSpPr>
      <xdr:grpSpPr>
        <a:xfrm>
          <a:off x="7043308" y="4640105"/>
          <a:ext cx="1335600" cy="684000"/>
          <a:chOff x="6795052" y="3239740"/>
          <a:chExt cx="2285999" cy="1228724"/>
        </a:xfrm>
      </xdr:grpSpPr>
      <xdr:grpSp>
        <xdr:nvGrpSpPr>
          <xdr:cNvPr id="60" name="Groupe 59">
            <a:extLst>
              <a:ext uri="{FF2B5EF4-FFF2-40B4-BE49-F238E27FC236}">
                <a16:creationId xmlns:a16="http://schemas.microsoft.com/office/drawing/2014/main" id="{00000000-0008-0000-0100-00003C000000}"/>
              </a:ext>
            </a:extLst>
          </xdr:cNvPr>
          <xdr:cNvGrpSpPr/>
        </xdr:nvGrpSpPr>
        <xdr:grpSpPr>
          <a:xfrm>
            <a:off x="6795052" y="3239740"/>
            <a:ext cx="2285999" cy="1228724"/>
            <a:chOff x="9439275" y="295273"/>
            <a:chExt cx="2619374" cy="1228724"/>
          </a:xfrm>
        </xdr:grpSpPr>
        <xdr:sp macro="" textlink="">
          <xdr:nvSpPr>
            <xdr:cNvPr id="62" name="Rectangle à coins arrondis 61">
              <a:extLst>
                <a:ext uri="{FF2B5EF4-FFF2-40B4-BE49-F238E27FC236}">
                  <a16:creationId xmlns:a16="http://schemas.microsoft.com/office/drawing/2014/main" id="{00000000-0008-0000-0100-00003E000000}"/>
                </a:ext>
              </a:extLst>
            </xdr:cNvPr>
            <xdr:cNvSpPr/>
          </xdr:nvSpPr>
          <xdr:spPr>
            <a:xfrm>
              <a:off x="9439275" y="295273"/>
              <a:ext cx="2562224" cy="1228724"/>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3" name="ZoneTexte 62">
              <a:extLst>
                <a:ext uri="{FF2B5EF4-FFF2-40B4-BE49-F238E27FC236}">
                  <a16:creationId xmlns:a16="http://schemas.microsoft.com/office/drawing/2014/main" id="{00000000-0008-0000-0100-00003F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lits</a:t>
              </a:r>
            </a:p>
          </xdr:txBody>
        </xdr:sp>
        <xdr:sp macro="" textlink="Calcul_Bilan_Energie!N6">
          <xdr:nvSpPr>
            <xdr:cNvPr id="64" name="ZoneTexte 63">
              <a:extLst>
                <a:ext uri="{FF2B5EF4-FFF2-40B4-BE49-F238E27FC236}">
                  <a16:creationId xmlns:a16="http://schemas.microsoft.com/office/drawing/2014/main" id="{00000000-0008-0000-0100-000040000000}"/>
                </a:ext>
              </a:extLst>
            </xdr:cNvPr>
            <xdr:cNvSpPr txBox="1"/>
          </xdr:nvSpPr>
          <xdr:spPr>
            <a:xfrm>
              <a:off x="10115550" y="657225"/>
              <a:ext cx="1781762" cy="61912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CE6445C-7ADC-4EC9-BD50-3007AB7C9BF0}" type="TxLink">
                <a:rPr lang="en-US" sz="1200" b="0" i="0" u="none" strike="noStrike">
                  <a:solidFill>
                    <a:srgbClr val="000000"/>
                  </a:solidFill>
                  <a:latin typeface="Calibri"/>
                  <a:cs typeface="Calibri"/>
                </a:rPr>
                <a:pPr algn="ctr"/>
                <a:t>0</a:t>
              </a:fld>
              <a:endParaRPr lang="fr-FR" sz="2800" b="1"/>
            </a:p>
          </xdr:txBody>
        </xdr:sp>
      </xdr:grpSp>
      <xdr:pic>
        <xdr:nvPicPr>
          <xdr:cNvPr id="61" name="Image 60">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91130" y="3650502"/>
            <a:ext cx="538368" cy="522276"/>
          </a:xfrm>
          <a:prstGeom prst="rect">
            <a:avLst/>
          </a:prstGeom>
        </xdr:spPr>
      </xdr:pic>
    </xdr:grpSp>
    <xdr:clientData/>
  </xdr:twoCellAnchor>
  <xdr:twoCellAnchor>
    <xdr:from>
      <xdr:col>0</xdr:col>
      <xdr:colOff>115128</xdr:colOff>
      <xdr:row>2</xdr:row>
      <xdr:rowOff>95249</xdr:rowOff>
    </xdr:from>
    <xdr:to>
      <xdr:col>4</xdr:col>
      <xdr:colOff>428625</xdr:colOff>
      <xdr:row>14</xdr:row>
      <xdr:rowOff>173934</xdr:rowOff>
    </xdr:to>
    <xdr:graphicFrame macro="">
      <xdr:nvGraphicFramePr>
        <xdr:cNvPr id="30" name="Graphique 29">
          <a:extLst>
            <a:ext uri="{FF2B5EF4-FFF2-40B4-BE49-F238E27FC236}">
              <a16:creationId xmlns:a16="http://schemas.microsoft.com/office/drawing/2014/main" id="{00000000-0008-0000-0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186151</xdr:colOff>
      <xdr:row>15</xdr:row>
      <xdr:rowOff>24849</xdr:rowOff>
    </xdr:from>
    <xdr:to>
      <xdr:col>10</xdr:col>
      <xdr:colOff>758066</xdr:colOff>
      <xdr:row>18</xdr:row>
      <xdr:rowOff>136251</xdr:rowOff>
    </xdr:to>
    <xdr:grpSp>
      <xdr:nvGrpSpPr>
        <xdr:cNvPr id="2" name="Groupe 1">
          <a:extLst>
            <a:ext uri="{FF2B5EF4-FFF2-40B4-BE49-F238E27FC236}">
              <a16:creationId xmlns:a16="http://schemas.microsoft.com/office/drawing/2014/main" id="{00000000-0008-0000-0100-000002000000}"/>
            </a:ext>
          </a:extLst>
        </xdr:cNvPr>
        <xdr:cNvGrpSpPr/>
      </xdr:nvGrpSpPr>
      <xdr:grpSpPr>
        <a:xfrm>
          <a:off x="7044151" y="2882349"/>
          <a:ext cx="1333915" cy="682902"/>
          <a:chOff x="6634784" y="4309856"/>
          <a:chExt cx="1623391" cy="894522"/>
        </a:xfrm>
      </xdr:grpSpPr>
      <xdr:grpSp>
        <xdr:nvGrpSpPr>
          <xdr:cNvPr id="66" name="Groupe 65">
            <a:extLst>
              <a:ext uri="{FF2B5EF4-FFF2-40B4-BE49-F238E27FC236}">
                <a16:creationId xmlns:a16="http://schemas.microsoft.com/office/drawing/2014/main" id="{00000000-0008-0000-0100-000042000000}"/>
              </a:ext>
            </a:extLst>
          </xdr:cNvPr>
          <xdr:cNvGrpSpPr/>
        </xdr:nvGrpSpPr>
        <xdr:grpSpPr>
          <a:xfrm>
            <a:off x="6634784" y="4309856"/>
            <a:ext cx="1623391" cy="894522"/>
            <a:chOff x="9439275" y="295275"/>
            <a:chExt cx="2619374" cy="1228725"/>
          </a:xfrm>
        </xdr:grpSpPr>
        <xdr:sp macro="" textlink="">
          <xdr:nvSpPr>
            <xdr:cNvPr id="68" name="Rectangle à coins arrondis 67">
              <a:extLst>
                <a:ext uri="{FF2B5EF4-FFF2-40B4-BE49-F238E27FC236}">
                  <a16:creationId xmlns:a16="http://schemas.microsoft.com/office/drawing/2014/main" id="{00000000-0008-0000-0100-000044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69" name="ZoneTexte 68">
              <a:extLst>
                <a:ext uri="{FF2B5EF4-FFF2-40B4-BE49-F238E27FC236}">
                  <a16:creationId xmlns:a16="http://schemas.microsoft.com/office/drawing/2014/main" id="{00000000-0008-0000-0100-000045000000}"/>
                </a:ext>
              </a:extLst>
            </xdr:cNvPr>
            <xdr:cNvSpPr txBox="1"/>
          </xdr:nvSpPr>
          <xdr:spPr>
            <a:xfrm>
              <a:off x="9534524" y="304799"/>
              <a:ext cx="2524125" cy="452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Nombre de places </a:t>
              </a:r>
            </a:p>
          </xdr:txBody>
        </xdr:sp>
        <xdr:sp macro="" textlink="Calcul_Bilan_Energie!N7">
          <xdr:nvSpPr>
            <xdr:cNvPr id="70" name="ZoneTexte 69">
              <a:extLst>
                <a:ext uri="{FF2B5EF4-FFF2-40B4-BE49-F238E27FC236}">
                  <a16:creationId xmlns:a16="http://schemas.microsoft.com/office/drawing/2014/main" id="{00000000-0008-0000-0100-000046000000}"/>
                </a:ext>
              </a:extLst>
            </xdr:cNvPr>
            <xdr:cNvSpPr txBox="1"/>
          </xdr:nvSpPr>
          <xdr:spPr>
            <a:xfrm>
              <a:off x="10115550" y="657225"/>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3616DF-4F93-4955-B35A-1F06AD275955}" type="TxLink">
                <a:rPr lang="en-US" sz="1400" b="0" i="0" u="none" strike="noStrike">
                  <a:solidFill>
                    <a:srgbClr val="000000"/>
                  </a:solidFill>
                  <a:latin typeface="Calibri"/>
                  <a:cs typeface="Calibri"/>
                </a:rPr>
                <a:pPr algn="ctr"/>
                <a:t>0</a:t>
              </a:fld>
              <a:endParaRPr lang="fr-FR" sz="3200" b="1"/>
            </a:p>
          </xdr:txBody>
        </xdr:sp>
      </xdr:grpSp>
      <xdr:pic>
        <xdr:nvPicPr>
          <xdr:cNvPr id="71" name="Image 70" descr="icône de personne assise 16830905 - Telecharger Vectoriel ...">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57975" y="4572993"/>
            <a:ext cx="609600" cy="56098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3</xdr:row>
      <xdr:rowOff>49694</xdr:rowOff>
    </xdr:from>
    <xdr:to>
      <xdr:col>1</xdr:col>
      <xdr:colOff>250548</xdr:colOff>
      <xdr:row>13</xdr:row>
      <xdr:rowOff>24847</xdr:rowOff>
    </xdr:to>
    <mc:AlternateContent xmlns:mc="http://schemas.openxmlformats.org/markup-compatibility/2006" xmlns:a14="http://schemas.microsoft.com/office/drawing/2010/main">
      <mc:Choice Requires="a14">
        <xdr:graphicFrame macro="">
          <xdr:nvGraphicFramePr>
            <xdr:cNvPr id="72" name="ANNEE 1">
              <a:extLst>
                <a:ext uri="{FF2B5EF4-FFF2-40B4-BE49-F238E27FC236}">
                  <a16:creationId xmlns:a16="http://schemas.microsoft.com/office/drawing/2014/main" id="{00000000-0008-0000-0100-000048000000}"/>
                </a:ext>
              </a:extLst>
            </xdr:cNvPr>
            <xdr:cNvGraphicFramePr/>
          </xdr:nvGraphicFramePr>
          <xdr:xfrm>
            <a:off x="0" y="0"/>
            <a:ext cx="0" cy="0"/>
          </xdr:xfrm>
          <a:graphic>
            <a:graphicData uri="http://schemas.microsoft.com/office/drawing/2010/slicer">
              <sle:slicer xmlns:sle="http://schemas.microsoft.com/office/drawing/2010/slicer" name="ANNEE 1"/>
            </a:graphicData>
          </a:graphic>
        </xdr:graphicFrame>
      </mc:Choice>
      <mc:Fallback xmlns="">
        <xdr:sp macro="" textlink="">
          <xdr:nvSpPr>
            <xdr:cNvPr id="0" name=""/>
            <xdr:cNvSpPr>
              <a:spLocks noTextEdit="1"/>
            </xdr:cNvSpPr>
          </xdr:nvSpPr>
          <xdr:spPr>
            <a:xfrm>
              <a:off x="0" y="621194"/>
              <a:ext cx="1012548" cy="1880153"/>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editAs="oneCell">
    <xdr:from>
      <xdr:col>5</xdr:col>
      <xdr:colOff>753718</xdr:colOff>
      <xdr:row>0</xdr:row>
      <xdr:rowOff>11205</xdr:rowOff>
    </xdr:from>
    <xdr:to>
      <xdr:col>8</xdr:col>
      <xdr:colOff>745435</xdr:colOff>
      <xdr:row>1</xdr:row>
      <xdr:rowOff>156146</xdr:rowOff>
    </xdr:to>
    <xdr:pic>
      <xdr:nvPicPr>
        <xdr:cNvPr id="81" name="Image 80" descr="Une image contenant texte, Police, ligne, typographie&#10;&#10;Description générée automatiquement">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11</xdr:col>
      <xdr:colOff>0</xdr:colOff>
      <xdr:row>3</xdr:row>
      <xdr:rowOff>145676</xdr:rowOff>
    </xdr:to>
    <xdr:pic>
      <xdr:nvPicPr>
        <xdr:cNvPr id="83" name="Image 82" descr="Une image contenant texte, Police, conception&#10;&#10;Description générée automatiquement">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0</xdr:colOff>
      <xdr:row>14</xdr:row>
      <xdr:rowOff>52591</xdr:rowOff>
    </xdr:from>
    <xdr:to>
      <xdr:col>9</xdr:col>
      <xdr:colOff>66260</xdr:colOff>
      <xdr:row>32</xdr:row>
      <xdr:rowOff>149086</xdr:rowOff>
    </xdr:to>
    <xdr:grpSp>
      <xdr:nvGrpSpPr>
        <xdr:cNvPr id="22" name="Groupe 21">
          <a:extLst>
            <a:ext uri="{FF2B5EF4-FFF2-40B4-BE49-F238E27FC236}">
              <a16:creationId xmlns:a16="http://schemas.microsoft.com/office/drawing/2014/main" id="{00000000-0008-0000-0100-000016000000}"/>
            </a:ext>
          </a:extLst>
        </xdr:cNvPr>
        <xdr:cNvGrpSpPr/>
      </xdr:nvGrpSpPr>
      <xdr:grpSpPr>
        <a:xfrm>
          <a:off x="0" y="2719591"/>
          <a:ext cx="6924260" cy="3525495"/>
          <a:chOff x="24850" y="441875"/>
          <a:chExt cx="6924260" cy="3525495"/>
        </a:xfrm>
      </xdr:grpSpPr>
      <xdr:sp macro="" textlink="">
        <xdr:nvSpPr>
          <xdr:cNvPr id="65" name="ZoneTexte 64">
            <a:extLst>
              <a:ext uri="{FF2B5EF4-FFF2-40B4-BE49-F238E27FC236}">
                <a16:creationId xmlns:a16="http://schemas.microsoft.com/office/drawing/2014/main" id="{00000000-0008-0000-0100-000041000000}"/>
              </a:ext>
            </a:extLst>
          </xdr:cNvPr>
          <xdr:cNvSpPr txBox="1"/>
        </xdr:nvSpPr>
        <xdr:spPr>
          <a:xfrm>
            <a:off x="41414" y="3818283"/>
            <a:ext cx="5971762" cy="1490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fr-FR" sz="800">
                <a:solidFill>
                  <a:srgbClr val="FF0000"/>
                </a:solidFill>
              </a:rPr>
              <a:t>Si aucun graphique n'apparaît</a:t>
            </a:r>
            <a:r>
              <a:rPr lang="fr-FR" sz="800" baseline="0">
                <a:solidFill>
                  <a:srgbClr val="FF0000"/>
                </a:solidFill>
              </a:rPr>
              <a:t> après avoir actualisé, vérifiez s'ils sont bien sélectionnés dans le filtre "Combustible" de chaque graphique</a:t>
            </a:r>
            <a:endParaRPr lang="fr-FR" sz="800">
              <a:solidFill>
                <a:srgbClr val="FF0000"/>
              </a:solidFill>
            </a:endParaRPr>
          </a:p>
        </xdr:txBody>
      </xdr:sp>
      <xdr:sp macro="" textlink="">
        <xdr:nvSpPr>
          <xdr:cNvPr id="37" name="Rectangle à coins arrondis 36">
            <a:extLst>
              <a:ext uri="{FF2B5EF4-FFF2-40B4-BE49-F238E27FC236}">
                <a16:creationId xmlns:a16="http://schemas.microsoft.com/office/drawing/2014/main" id="{00000000-0008-0000-0100-000025000000}"/>
              </a:ext>
            </a:extLst>
          </xdr:cNvPr>
          <xdr:cNvSpPr/>
        </xdr:nvSpPr>
        <xdr:spPr>
          <a:xfrm>
            <a:off x="64190" y="447262"/>
            <a:ext cx="6884920" cy="3362738"/>
          </a:xfrm>
          <a:prstGeom prst="roundRect">
            <a:avLst/>
          </a:prstGeom>
          <a:solidFill>
            <a:schemeClr val="bg1"/>
          </a:solidFill>
          <a:ln w="3175">
            <a:solidFill>
              <a:schemeClr val="bg2"/>
            </a:solid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38" name="ZoneTexte 37">
            <a:extLst>
              <a:ext uri="{FF2B5EF4-FFF2-40B4-BE49-F238E27FC236}">
                <a16:creationId xmlns:a16="http://schemas.microsoft.com/office/drawing/2014/main" id="{00000000-0008-0000-0100-000026000000}"/>
              </a:ext>
            </a:extLst>
          </xdr:cNvPr>
          <xdr:cNvSpPr txBox="1"/>
        </xdr:nvSpPr>
        <xdr:spPr>
          <a:xfrm>
            <a:off x="24850" y="441875"/>
            <a:ext cx="4282110"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baseline="0"/>
              <a:t>Distribution des consommations d'énergie : </a:t>
            </a:r>
            <a:endParaRPr lang="fr-FR" sz="1400" b="1"/>
          </a:p>
        </xdr:txBody>
      </xdr:sp>
      <xdr:sp macro="" textlink="Calcul_Bilan_Energie!M11">
        <xdr:nvSpPr>
          <xdr:cNvPr id="76" name="ZoneTexte 75">
            <a:extLst>
              <a:ext uri="{FF2B5EF4-FFF2-40B4-BE49-F238E27FC236}">
                <a16:creationId xmlns:a16="http://schemas.microsoft.com/office/drawing/2014/main" id="{00000000-0008-0000-0100-00004C000000}"/>
              </a:ext>
            </a:extLst>
          </xdr:cNvPr>
          <xdr:cNvSpPr txBox="1"/>
        </xdr:nvSpPr>
        <xdr:spPr>
          <a:xfrm>
            <a:off x="2596360" y="847312"/>
            <a:ext cx="1193168" cy="5133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18A9D30-6550-4D17-A38C-FA36157E26BE}" type="TxLink">
              <a:rPr lang="en-US" sz="1200" b="0" i="0" u="none" strike="noStrike">
                <a:solidFill>
                  <a:srgbClr val="000000"/>
                </a:solidFill>
                <a:latin typeface="Calibri"/>
                <a:cs typeface="Calibri"/>
              </a:rPr>
              <a:pPr algn="ctr"/>
              <a:t> -   € </a:t>
            </a:fld>
            <a:endParaRPr lang="fr-FR" sz="1200" b="1"/>
          </a:p>
        </xdr:txBody>
      </xdr:sp>
      <xdr:graphicFrame macro="">
        <xdr:nvGraphicFramePr>
          <xdr:cNvPr id="77" name="Graphique 76">
            <a:extLst>
              <a:ext uri="{FF2B5EF4-FFF2-40B4-BE49-F238E27FC236}">
                <a16:creationId xmlns:a16="http://schemas.microsoft.com/office/drawing/2014/main" id="{00000000-0008-0000-0100-00004D000000}"/>
              </a:ext>
            </a:extLst>
          </xdr:cNvPr>
          <xdr:cNvGraphicFramePr>
            <a:graphicFrameLocks/>
          </xdr:cNvGraphicFramePr>
        </xdr:nvGraphicFramePr>
        <xdr:xfrm>
          <a:off x="24850" y="985631"/>
          <a:ext cx="2476500" cy="2559326"/>
        </xdr:xfrm>
        <a:graphic>
          <a:graphicData uri="http://schemas.openxmlformats.org/drawingml/2006/chart">
            <c:chart xmlns:c="http://schemas.openxmlformats.org/drawingml/2006/chart" xmlns:r="http://schemas.openxmlformats.org/officeDocument/2006/relationships" r:id="rId7"/>
          </a:graphicData>
        </a:graphic>
      </xdr:graphicFrame>
      <xdr:graphicFrame macro="">
        <xdr:nvGraphicFramePr>
          <xdr:cNvPr id="78" name="Graphique 77">
            <a:extLst>
              <a:ext uri="{FF2B5EF4-FFF2-40B4-BE49-F238E27FC236}">
                <a16:creationId xmlns:a16="http://schemas.microsoft.com/office/drawing/2014/main" id="{00000000-0008-0000-0100-00004E000000}"/>
              </a:ext>
            </a:extLst>
          </xdr:cNvPr>
          <xdr:cNvGraphicFramePr>
            <a:graphicFrameLocks/>
          </xdr:cNvGraphicFramePr>
        </xdr:nvGraphicFramePr>
        <xdr:xfrm>
          <a:off x="1797328" y="803414"/>
          <a:ext cx="2774674" cy="2791240"/>
        </xdr:xfrm>
        <a:graphic>
          <a:graphicData uri="http://schemas.openxmlformats.org/drawingml/2006/chart">
            <c:chart xmlns:c="http://schemas.openxmlformats.org/drawingml/2006/chart" xmlns:r="http://schemas.openxmlformats.org/officeDocument/2006/relationships" r:id="rId8"/>
          </a:graphicData>
        </a:graphic>
      </xdr:graphicFrame>
      <xdr:grpSp>
        <xdr:nvGrpSpPr>
          <xdr:cNvPr id="17" name="Groupe 16">
            <a:extLst>
              <a:ext uri="{FF2B5EF4-FFF2-40B4-BE49-F238E27FC236}">
                <a16:creationId xmlns:a16="http://schemas.microsoft.com/office/drawing/2014/main" id="{00000000-0008-0000-0100-000011000000}"/>
              </a:ext>
            </a:extLst>
          </xdr:cNvPr>
          <xdr:cNvGrpSpPr/>
        </xdr:nvGrpSpPr>
        <xdr:grpSpPr>
          <a:xfrm>
            <a:off x="2780886" y="795133"/>
            <a:ext cx="865532" cy="240196"/>
            <a:chOff x="2898913" y="795133"/>
            <a:chExt cx="865532" cy="240196"/>
          </a:xfrm>
        </xdr:grpSpPr>
        <xdr:sp macro="" textlink="">
          <xdr:nvSpPr>
            <xdr:cNvPr id="74" name="ZoneTexte 73">
              <a:extLst>
                <a:ext uri="{FF2B5EF4-FFF2-40B4-BE49-F238E27FC236}">
                  <a16:creationId xmlns:a16="http://schemas.microsoft.com/office/drawing/2014/main" id="{00000000-0008-0000-0100-00004A000000}"/>
                </a:ext>
              </a:extLst>
            </xdr:cNvPr>
            <xdr:cNvSpPr txBox="1"/>
          </xdr:nvSpPr>
          <xdr:spPr>
            <a:xfrm>
              <a:off x="2898913" y="853109"/>
              <a:ext cx="596348" cy="182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baseline="0"/>
                <a:t>Coût</a:t>
              </a:r>
              <a:endParaRPr lang="fr-FR" sz="1200" b="1"/>
            </a:p>
          </xdr:txBody>
        </xdr:sp>
        <xdr:sp macro="" textlink="Controle_des_données!A38">
          <xdr:nvSpPr>
            <xdr:cNvPr id="8" name="ZoneTexte 7">
              <a:extLst>
                <a:ext uri="{FF2B5EF4-FFF2-40B4-BE49-F238E27FC236}">
                  <a16:creationId xmlns:a16="http://schemas.microsoft.com/office/drawing/2014/main" id="{00000000-0008-0000-0100-000008000000}"/>
                </a:ext>
              </a:extLst>
            </xdr:cNvPr>
            <xdr:cNvSpPr txBox="1"/>
          </xdr:nvSpPr>
          <xdr:spPr>
            <a:xfrm>
              <a:off x="3296478" y="795133"/>
              <a:ext cx="467967"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fld id="{DA43E666-33C1-4E45-BD87-463BCC38F753}" type="TxLink">
                <a:rPr lang="en-US" sz="1200" b="1" baseline="0">
                  <a:solidFill>
                    <a:schemeClr val="dk1"/>
                  </a:solidFill>
                  <a:latin typeface="+mn-lt"/>
                  <a:ea typeface="+mn-ea"/>
                  <a:cs typeface="+mn-cs"/>
                </a:rPr>
                <a:pPr marL="0" indent="0" algn="l"/>
                <a:t>TTC</a:t>
              </a:fld>
              <a:endParaRPr lang="fr-FR" sz="1200" b="1" baseline="0">
                <a:solidFill>
                  <a:schemeClr val="dk1"/>
                </a:solidFill>
                <a:latin typeface="+mn-lt"/>
                <a:ea typeface="+mn-ea"/>
                <a:cs typeface="+mn-cs"/>
              </a:endParaRPr>
            </a:p>
          </xdr:txBody>
        </xdr:sp>
      </xdr:grpSp>
      <xdr:sp macro="" textlink="Calcul_Bilan_Energie!M10">
        <xdr:nvSpPr>
          <xdr:cNvPr id="75" name="ZoneTexte 74">
            <a:extLst>
              <a:ext uri="{FF2B5EF4-FFF2-40B4-BE49-F238E27FC236}">
                <a16:creationId xmlns:a16="http://schemas.microsoft.com/office/drawing/2014/main" id="{00000000-0008-0000-0100-00004B000000}"/>
              </a:ext>
            </a:extLst>
          </xdr:cNvPr>
          <xdr:cNvSpPr txBox="1"/>
        </xdr:nvSpPr>
        <xdr:spPr>
          <a:xfrm>
            <a:off x="248003" y="1027045"/>
            <a:ext cx="1888912" cy="2143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67C93F0-BB11-449A-A860-74ED8E75E500}" type="TxLink">
              <a:rPr lang="en-US" sz="1200" b="0" i="0" u="none" strike="noStrike">
                <a:solidFill>
                  <a:srgbClr val="000000"/>
                </a:solidFill>
                <a:latin typeface="Calibri"/>
                <a:cs typeface="Calibri"/>
              </a:rPr>
              <a:pPr algn="ctr"/>
              <a:t>0,00 MWh [EF PCI]</a:t>
            </a:fld>
            <a:endParaRPr lang="fr-FR" sz="1200" b="1"/>
          </a:p>
        </xdr:txBody>
      </xdr:sp>
    </xdr:grpSp>
    <xdr:clientData/>
  </xdr:twoCellAnchor>
  <xdr:twoCellAnchor>
    <xdr:from>
      <xdr:col>6</xdr:col>
      <xdr:colOff>663461</xdr:colOff>
      <xdr:row>2</xdr:row>
      <xdr:rowOff>178498</xdr:rowOff>
    </xdr:from>
    <xdr:to>
      <xdr:col>11</xdr:col>
      <xdr:colOff>0</xdr:colOff>
      <xdr:row>17</xdr:row>
      <xdr:rowOff>57978</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5235461" y="559498"/>
          <a:ext cx="3146539" cy="2736980"/>
          <a:chOff x="5102799" y="2919049"/>
          <a:chExt cx="3312749" cy="2845640"/>
        </a:xfrm>
      </xdr:grpSpPr>
      <xdr:graphicFrame macro="">
        <xdr:nvGraphicFramePr>
          <xdr:cNvPr id="67" name="Graphique 66">
            <a:extLst>
              <a:ext uri="{FF2B5EF4-FFF2-40B4-BE49-F238E27FC236}">
                <a16:creationId xmlns:a16="http://schemas.microsoft.com/office/drawing/2014/main" id="{00000000-0008-0000-0100-000043000000}"/>
              </a:ext>
            </a:extLst>
          </xdr:cNvPr>
          <xdr:cNvGraphicFramePr>
            <a:graphicFrameLocks/>
          </xdr:cNvGraphicFramePr>
        </xdr:nvGraphicFramePr>
        <xdr:xfrm>
          <a:off x="5329238" y="3021489"/>
          <a:ext cx="3052762" cy="2743200"/>
        </xdr:xfrm>
        <a:graphic>
          <a:graphicData uri="http://schemas.openxmlformats.org/drawingml/2006/chart">
            <c:chart xmlns:c="http://schemas.openxmlformats.org/drawingml/2006/chart" xmlns:r="http://schemas.openxmlformats.org/officeDocument/2006/relationships" r:id="rId9"/>
          </a:graphicData>
        </a:graphic>
      </xdr:graphicFrame>
      <xdr:sp macro="" textlink="Calcul_Bilan_Energie!S16">
        <xdr:nvSpPr>
          <xdr:cNvPr id="5" name="ZoneTexte 4">
            <a:extLst>
              <a:ext uri="{FF2B5EF4-FFF2-40B4-BE49-F238E27FC236}">
                <a16:creationId xmlns:a16="http://schemas.microsoft.com/office/drawing/2014/main" id="{00000000-0008-0000-0100-000005000000}"/>
              </a:ext>
            </a:extLst>
          </xdr:cNvPr>
          <xdr:cNvSpPr txBox="1"/>
        </xdr:nvSpPr>
        <xdr:spPr>
          <a:xfrm>
            <a:off x="5654641" y="4696232"/>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0AEAA9A5-2E99-4CD5-A5C1-60B8A2DA51FF}" type="TxLink">
              <a:rPr lang="en-US" sz="1000" b="0" i="1" u="none" strike="noStrike">
                <a:solidFill>
                  <a:srgbClr val="000000"/>
                </a:solidFill>
                <a:latin typeface="Calibri"/>
                <a:cs typeface="Calibri"/>
              </a:rPr>
              <a:pPr algn="ctr"/>
              <a:t>Bâtiment à usage de bureau ou d'administration</a:t>
            </a:fld>
            <a:endParaRPr lang="fr-FR" sz="1000" i="1"/>
          </a:p>
        </xdr:txBody>
      </xdr:sp>
      <xdr:sp macro="" textlink="">
        <xdr:nvSpPr>
          <xdr:cNvPr id="6" name="ZoneTexte 5">
            <a:extLst>
              <a:ext uri="{FF2B5EF4-FFF2-40B4-BE49-F238E27FC236}">
                <a16:creationId xmlns:a16="http://schemas.microsoft.com/office/drawing/2014/main" id="{00000000-0008-0000-0100-000006000000}"/>
              </a:ext>
            </a:extLst>
          </xdr:cNvPr>
          <xdr:cNvSpPr txBox="1"/>
        </xdr:nvSpPr>
        <xdr:spPr>
          <a:xfrm>
            <a:off x="5102799" y="4837030"/>
            <a:ext cx="3312749" cy="4886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800">
                <a:solidFill>
                  <a:srgbClr val="FF0000"/>
                </a:solidFill>
              </a:rPr>
              <a:t>Indicateur</a:t>
            </a:r>
            <a:r>
              <a:rPr lang="fr-FR" sz="800" baseline="0">
                <a:solidFill>
                  <a:srgbClr val="FF0000"/>
                </a:solidFill>
              </a:rPr>
              <a:t> de type DPE à titre à indicatif (en aucun cas  a une valeur de DPE) calculé en équivalent </a:t>
            </a:r>
            <a:r>
              <a:rPr lang="fr-FR" sz="800" u="sng" baseline="0">
                <a:solidFill>
                  <a:srgbClr val="FF0000"/>
                </a:solidFill>
              </a:rPr>
              <a:t>énergie primaire </a:t>
            </a:r>
            <a:endParaRPr lang="fr-FR" sz="800">
              <a:solidFill>
                <a:srgbClr val="FF0000"/>
              </a:solidFill>
            </a:endParaRPr>
          </a:p>
        </xdr:txBody>
      </xdr:sp>
      <xdr:sp macro="" textlink="">
        <xdr:nvSpPr>
          <xdr:cNvPr id="82" name="ZoneTexte 81">
            <a:extLst>
              <a:ext uri="{FF2B5EF4-FFF2-40B4-BE49-F238E27FC236}">
                <a16:creationId xmlns:a16="http://schemas.microsoft.com/office/drawing/2014/main" id="{00000000-0008-0000-0100-000052000000}"/>
              </a:ext>
            </a:extLst>
          </xdr:cNvPr>
          <xdr:cNvSpPr txBox="1"/>
        </xdr:nvSpPr>
        <xdr:spPr>
          <a:xfrm>
            <a:off x="5797967" y="2919049"/>
            <a:ext cx="212456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400" b="1"/>
              <a:t>Etiquette énergétique</a:t>
            </a:r>
          </a:p>
        </xdr:txBody>
      </xdr:sp>
      <xdr:sp macro="" textlink="">
        <xdr:nvSpPr>
          <xdr:cNvPr id="85" name="ZoneTexte 84">
            <a:extLst>
              <a:ext uri="{FF2B5EF4-FFF2-40B4-BE49-F238E27FC236}">
                <a16:creationId xmlns:a16="http://schemas.microsoft.com/office/drawing/2014/main" id="{00000000-0008-0000-0100-000055000000}"/>
              </a:ext>
            </a:extLst>
          </xdr:cNvPr>
          <xdr:cNvSpPr txBox="1"/>
        </xdr:nvSpPr>
        <xdr:spPr>
          <a:xfrm>
            <a:off x="5654641" y="4547150"/>
            <a:ext cx="2401956"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i="0" u="none" strike="noStrike">
                <a:solidFill>
                  <a:srgbClr val="000000"/>
                </a:solidFill>
                <a:latin typeface="Calibri"/>
                <a:cs typeface="Calibri"/>
              </a:rPr>
              <a:t>corrigés</a:t>
            </a:r>
            <a:r>
              <a:rPr lang="en-US" sz="1100" b="1" i="0" u="none" strike="noStrike" baseline="0">
                <a:solidFill>
                  <a:srgbClr val="000000"/>
                </a:solidFill>
                <a:latin typeface="Calibri"/>
                <a:cs typeface="Calibri"/>
              </a:rPr>
              <a:t> DJU</a:t>
            </a:r>
            <a:endParaRPr lang="en-US" sz="1100" b="1" i="0" u="none" strike="noStrike">
              <a:solidFill>
                <a:srgbClr val="000000"/>
              </a:solidFill>
              <a:latin typeface="Calibri"/>
              <a:cs typeface="Calibri"/>
            </a:endParaRPr>
          </a:p>
        </xdr:txBody>
      </xdr:sp>
    </xdr:grpSp>
    <xdr:clientData/>
  </xdr:twoCellAnchor>
  <xdr:twoCellAnchor>
    <xdr:from>
      <xdr:col>9</xdr:col>
      <xdr:colOff>185308</xdr:colOff>
      <xdr:row>28</xdr:row>
      <xdr:rowOff>185531</xdr:rowOff>
    </xdr:from>
    <xdr:to>
      <xdr:col>10</xdr:col>
      <xdr:colOff>758908</xdr:colOff>
      <xdr:row>32</xdr:row>
      <xdr:rowOff>107531</xdr:rowOff>
    </xdr:to>
    <xdr:grpSp>
      <xdr:nvGrpSpPr>
        <xdr:cNvPr id="23" name="Groupe 22">
          <a:extLst>
            <a:ext uri="{FF2B5EF4-FFF2-40B4-BE49-F238E27FC236}">
              <a16:creationId xmlns:a16="http://schemas.microsoft.com/office/drawing/2014/main" id="{00000000-0008-0000-0100-000017000000}"/>
            </a:ext>
          </a:extLst>
        </xdr:cNvPr>
        <xdr:cNvGrpSpPr/>
      </xdr:nvGrpSpPr>
      <xdr:grpSpPr>
        <a:xfrm>
          <a:off x="7043308" y="5519531"/>
          <a:ext cx="1335600" cy="684000"/>
          <a:chOff x="7026964" y="5610640"/>
          <a:chExt cx="1242391" cy="646044"/>
        </a:xfrm>
      </xdr:grpSpPr>
      <xdr:grpSp>
        <xdr:nvGrpSpPr>
          <xdr:cNvPr id="86" name="Groupe 85">
            <a:extLst>
              <a:ext uri="{FF2B5EF4-FFF2-40B4-BE49-F238E27FC236}">
                <a16:creationId xmlns:a16="http://schemas.microsoft.com/office/drawing/2014/main" id="{00000000-0008-0000-0100-000056000000}"/>
              </a:ext>
            </a:extLst>
          </xdr:cNvPr>
          <xdr:cNvGrpSpPr/>
        </xdr:nvGrpSpPr>
        <xdr:grpSpPr>
          <a:xfrm>
            <a:off x="7026964" y="5610640"/>
            <a:ext cx="1242391" cy="646044"/>
            <a:chOff x="9439275" y="295275"/>
            <a:chExt cx="2619376" cy="1228725"/>
          </a:xfrm>
        </xdr:grpSpPr>
        <xdr:sp macro="" textlink="">
          <xdr:nvSpPr>
            <xdr:cNvPr id="87" name="Rectangle à coins arrondis 86">
              <a:extLst>
                <a:ext uri="{FF2B5EF4-FFF2-40B4-BE49-F238E27FC236}">
                  <a16:creationId xmlns:a16="http://schemas.microsoft.com/office/drawing/2014/main" id="{00000000-0008-0000-0100-000057000000}"/>
                </a:ext>
              </a:extLst>
            </xdr:cNvPr>
            <xdr:cNvSpPr/>
          </xdr:nvSpPr>
          <xdr:spPr>
            <a:xfrm>
              <a:off x="9439275" y="295275"/>
              <a:ext cx="2562225" cy="1228725"/>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88" name="ZoneTexte 87">
              <a:extLst>
                <a:ext uri="{FF2B5EF4-FFF2-40B4-BE49-F238E27FC236}">
                  <a16:creationId xmlns:a16="http://schemas.microsoft.com/office/drawing/2014/main" id="{00000000-0008-0000-0100-000058000000}"/>
                </a:ext>
              </a:extLst>
            </xdr:cNvPr>
            <xdr:cNvSpPr txBox="1"/>
          </xdr:nvSpPr>
          <xdr:spPr>
            <a:xfrm>
              <a:off x="9534524" y="304800"/>
              <a:ext cx="2524127" cy="4315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Places de parking</a:t>
              </a:r>
            </a:p>
          </xdr:txBody>
        </xdr:sp>
        <xdr:sp macro="" textlink="Site!I28">
          <xdr:nvSpPr>
            <xdr:cNvPr id="89" name="ZoneTexte 88">
              <a:extLst>
                <a:ext uri="{FF2B5EF4-FFF2-40B4-BE49-F238E27FC236}">
                  <a16:creationId xmlns:a16="http://schemas.microsoft.com/office/drawing/2014/main" id="{00000000-0008-0000-0100-000059000000}"/>
                </a:ext>
              </a:extLst>
            </xdr:cNvPr>
            <xdr:cNvSpPr txBox="1"/>
          </xdr:nvSpPr>
          <xdr:spPr>
            <a:xfrm>
              <a:off x="10249048" y="734609"/>
              <a:ext cx="1781762"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8AA7-7E60-4BEA-9543-83F280E8AF81}" type="TxLink">
                <a:rPr lang="en-US" sz="1100" b="0" i="0" u="none" strike="noStrike">
                  <a:solidFill>
                    <a:srgbClr val="000000"/>
                  </a:solidFill>
                  <a:latin typeface="Calibri"/>
                  <a:cs typeface="Calibri"/>
                </a:rPr>
                <a:pPr algn="ctr"/>
                <a:t> </a:t>
              </a:fld>
              <a:endParaRPr lang="fr-FR" sz="2800" b="1"/>
            </a:p>
          </xdr:txBody>
        </xdr:sp>
      </xdr:grpSp>
      <xdr:pic>
        <xdr:nvPicPr>
          <xdr:cNvPr id="19" name="Imag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147891" y="5822673"/>
            <a:ext cx="389283" cy="389283"/>
          </a:xfrm>
          <a:prstGeom prst="rect">
            <a:avLst/>
          </a:prstGeom>
        </xdr:spPr>
      </xdr:pic>
    </xdr:grpSp>
    <xdr:clientData/>
  </xdr:twoCellAnchor>
  <xdr:twoCellAnchor>
    <xdr:from>
      <xdr:col>0</xdr:col>
      <xdr:colOff>513523</xdr:colOff>
      <xdr:row>16</xdr:row>
      <xdr:rowOff>57568</xdr:rowOff>
    </xdr:from>
    <xdr:to>
      <xdr:col>2</xdr:col>
      <xdr:colOff>405849</xdr:colOff>
      <xdr:row>18</xdr:row>
      <xdr:rowOff>15064</xdr:rowOff>
    </xdr:to>
    <xdr:sp macro="" textlink="">
      <xdr:nvSpPr>
        <xdr:cNvPr id="73" name="ZoneTexte 72">
          <a:extLst>
            <a:ext uri="{FF2B5EF4-FFF2-40B4-BE49-F238E27FC236}">
              <a16:creationId xmlns:a16="http://schemas.microsoft.com/office/drawing/2014/main" id="{00000000-0008-0000-0100-000049000000}"/>
            </a:ext>
          </a:extLst>
        </xdr:cNvPr>
        <xdr:cNvSpPr txBox="1"/>
      </xdr:nvSpPr>
      <xdr:spPr>
        <a:xfrm>
          <a:off x="513523" y="3105568"/>
          <a:ext cx="1416326"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Consommations</a:t>
          </a:r>
          <a:endParaRPr lang="fr-FR" sz="1200" b="1"/>
        </a:p>
      </xdr:txBody>
    </xdr:sp>
    <xdr:clientData/>
  </xdr:twoCellAnchor>
  <xdr:twoCellAnchor>
    <xdr:from>
      <xdr:col>1</xdr:col>
      <xdr:colOff>377274</xdr:colOff>
      <xdr:row>3</xdr:row>
      <xdr:rowOff>7535</xdr:rowOff>
    </xdr:from>
    <xdr:to>
      <xdr:col>6</xdr:col>
      <xdr:colOff>730355</xdr:colOff>
      <xdr:row>13</xdr:row>
      <xdr:rowOff>66261</xdr:rowOff>
    </xdr:to>
    <xdr:grpSp>
      <xdr:nvGrpSpPr>
        <xdr:cNvPr id="91" name="Groupe 90">
          <a:extLst>
            <a:ext uri="{FF2B5EF4-FFF2-40B4-BE49-F238E27FC236}">
              <a16:creationId xmlns:a16="http://schemas.microsoft.com/office/drawing/2014/main" id="{00000000-0008-0000-0100-00005B000000}"/>
            </a:ext>
          </a:extLst>
        </xdr:cNvPr>
        <xdr:cNvGrpSpPr/>
      </xdr:nvGrpSpPr>
      <xdr:grpSpPr>
        <a:xfrm>
          <a:off x="1139274" y="579035"/>
          <a:ext cx="4163081" cy="1963726"/>
          <a:chOff x="124240" y="4177827"/>
          <a:chExt cx="4163081" cy="1963726"/>
        </a:xfrm>
      </xdr:grpSpPr>
      <xdr:grpSp>
        <xdr:nvGrpSpPr>
          <xdr:cNvPr id="92" name="Groupe 91">
            <a:extLst>
              <a:ext uri="{FF2B5EF4-FFF2-40B4-BE49-F238E27FC236}">
                <a16:creationId xmlns:a16="http://schemas.microsoft.com/office/drawing/2014/main" id="{00000000-0008-0000-0100-00005C000000}"/>
              </a:ext>
            </a:extLst>
          </xdr:cNvPr>
          <xdr:cNvGrpSpPr/>
        </xdr:nvGrpSpPr>
        <xdr:grpSpPr>
          <a:xfrm>
            <a:off x="124240" y="4177827"/>
            <a:ext cx="4062204" cy="1963726"/>
            <a:chOff x="124240" y="4177827"/>
            <a:chExt cx="4062204" cy="1963726"/>
          </a:xfrm>
        </xdr:grpSpPr>
        <xdr:sp macro="" textlink="">
          <xdr:nvSpPr>
            <xdr:cNvPr id="95" name="Rectangle à coins arrondis 94">
              <a:extLst>
                <a:ext uri="{FF2B5EF4-FFF2-40B4-BE49-F238E27FC236}">
                  <a16:creationId xmlns:a16="http://schemas.microsoft.com/office/drawing/2014/main" id="{00000000-0008-0000-0100-00005F000000}"/>
                </a:ext>
              </a:extLst>
            </xdr:cNvPr>
            <xdr:cNvSpPr/>
          </xdr:nvSpPr>
          <xdr:spPr>
            <a:xfrm>
              <a:off x="124240" y="4186858"/>
              <a:ext cx="4062204" cy="1909142"/>
            </a:xfrm>
            <a:prstGeom prst="roundRect">
              <a:avLst/>
            </a:prstGeom>
            <a:solidFill>
              <a:schemeClr val="bg1"/>
            </a:solidFill>
            <a:ln w="3175">
              <a:solidFill>
                <a:schemeClr val="bg2"/>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96" name="ZoneTexte 95">
              <a:extLst>
                <a:ext uri="{FF2B5EF4-FFF2-40B4-BE49-F238E27FC236}">
                  <a16:creationId xmlns:a16="http://schemas.microsoft.com/office/drawing/2014/main" id="{00000000-0008-0000-0100-000060000000}"/>
                </a:ext>
              </a:extLst>
            </xdr:cNvPr>
            <xdr:cNvSpPr txBox="1"/>
          </xdr:nvSpPr>
          <xdr:spPr>
            <a:xfrm>
              <a:off x="323023" y="4177827"/>
              <a:ext cx="3846856"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Indicateurs de performances</a:t>
              </a:r>
              <a:r>
                <a:rPr lang="fr-FR" sz="1400" b="1" baseline="0"/>
                <a:t>: </a:t>
              </a:r>
              <a:endParaRPr lang="fr-FR" sz="1400" b="1"/>
            </a:p>
          </xdr:txBody>
        </xdr:sp>
        <xdr:sp macro="" textlink="">
          <xdr:nvSpPr>
            <xdr:cNvPr id="97" name="ZoneTexte 96">
              <a:extLst>
                <a:ext uri="{FF2B5EF4-FFF2-40B4-BE49-F238E27FC236}">
                  <a16:creationId xmlns:a16="http://schemas.microsoft.com/office/drawing/2014/main" id="{00000000-0008-0000-0100-000061000000}"/>
                </a:ext>
              </a:extLst>
            </xdr:cNvPr>
            <xdr:cNvSpPr txBox="1"/>
          </xdr:nvSpPr>
          <xdr:spPr>
            <a:xfrm>
              <a:off x="889866" y="4452920"/>
              <a:ext cx="1815881"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L'établissement</a:t>
              </a:r>
            </a:p>
          </xdr:txBody>
        </xdr:sp>
        <xdr:grpSp>
          <xdr:nvGrpSpPr>
            <xdr:cNvPr id="98" name="Groupe 97">
              <a:extLst>
                <a:ext uri="{FF2B5EF4-FFF2-40B4-BE49-F238E27FC236}">
                  <a16:creationId xmlns:a16="http://schemas.microsoft.com/office/drawing/2014/main" id="{00000000-0008-0000-0100-000062000000}"/>
                </a:ext>
              </a:extLst>
            </xdr:cNvPr>
            <xdr:cNvGrpSpPr/>
          </xdr:nvGrpSpPr>
          <xdr:grpSpPr>
            <a:xfrm>
              <a:off x="209260" y="5084630"/>
              <a:ext cx="3796758" cy="303169"/>
              <a:chOff x="209260" y="5119986"/>
              <a:chExt cx="3796758" cy="303169"/>
            </a:xfrm>
          </xdr:grpSpPr>
          <xdr:sp macro="" textlink="Calcul_Bilan_Energie!N27">
            <xdr:nvSpPr>
              <xdr:cNvPr id="112" name="ZoneTexte 111">
                <a:extLst>
                  <a:ext uri="{FF2B5EF4-FFF2-40B4-BE49-F238E27FC236}">
                    <a16:creationId xmlns:a16="http://schemas.microsoft.com/office/drawing/2014/main" id="{00000000-0008-0000-0100-000070000000}"/>
                  </a:ext>
                </a:extLst>
              </xdr:cNvPr>
              <xdr:cNvSpPr txBox="1"/>
            </xdr:nvSpPr>
            <xdr:spPr>
              <a:xfrm>
                <a:off x="971670" y="5130653"/>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0EDC6A4-A895-45F9-ADFB-33162705AF34}" type="TxLink">
                  <a:rPr lang="en-US" sz="1100" b="0" i="0" u="none" strike="noStrike">
                    <a:solidFill>
                      <a:srgbClr val="000000"/>
                    </a:solidFill>
                    <a:latin typeface="Calibri"/>
                    <a:cs typeface="Calibri"/>
                  </a:rPr>
                  <a:pPr algn="ctr"/>
                  <a:t>#DIV/0!</a:t>
                </a:fld>
                <a:endParaRPr lang="fr-FR" sz="7200" b="1"/>
              </a:p>
            </xdr:txBody>
          </xdr:sp>
          <xdr:sp macro="" textlink="">
            <xdr:nvSpPr>
              <xdr:cNvPr id="113" name="ZoneTexte 112">
                <a:extLst>
                  <a:ext uri="{FF2B5EF4-FFF2-40B4-BE49-F238E27FC236}">
                    <a16:creationId xmlns:a16="http://schemas.microsoft.com/office/drawing/2014/main" id="{00000000-0008-0000-0100-000071000000}"/>
                  </a:ext>
                </a:extLst>
              </xdr:cNvPr>
              <xdr:cNvSpPr txBox="1"/>
            </xdr:nvSpPr>
            <xdr:spPr>
              <a:xfrm>
                <a:off x="209260" y="5119986"/>
                <a:ext cx="1097320"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Electricité</a:t>
                </a:r>
              </a:p>
            </xdr:txBody>
          </xdr:sp>
          <xdr:sp macro="" textlink="Controle_des_données!B19">
            <xdr:nvSpPr>
              <xdr:cNvPr id="114" name="ZoneTexte 113">
                <a:extLst>
                  <a:ext uri="{FF2B5EF4-FFF2-40B4-BE49-F238E27FC236}">
                    <a16:creationId xmlns:a16="http://schemas.microsoft.com/office/drawing/2014/main" id="{00000000-0008-0000-0100-000072000000}"/>
                  </a:ext>
                </a:extLst>
              </xdr:cNvPr>
              <xdr:cNvSpPr txBox="1"/>
            </xdr:nvSpPr>
            <xdr:spPr>
              <a:xfrm>
                <a:off x="2353745" y="5151581"/>
                <a:ext cx="1652273" cy="2399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6D9B805-14ED-447A-B37B-84C854AB57E8}" type="TxLink">
                  <a:rPr lang="en-US" sz="1100" b="0" i="0" u="none" strike="noStrike">
                    <a:solidFill>
                      <a:srgbClr val="000000"/>
                    </a:solidFill>
                    <a:latin typeface="Calibri"/>
                    <a:cs typeface="Calibri"/>
                  </a:rPr>
                  <a:pPr algn="ctr"/>
                  <a:t>53,4 kWh/m².an</a:t>
                </a:fld>
                <a:endParaRPr lang="fr-FR" sz="7200" b="1"/>
              </a:p>
            </xdr:txBody>
          </xdr:sp>
        </xdr:grpSp>
        <xdr:grpSp>
          <xdr:nvGrpSpPr>
            <xdr:cNvPr id="99" name="Groupe 98">
              <a:extLst>
                <a:ext uri="{FF2B5EF4-FFF2-40B4-BE49-F238E27FC236}">
                  <a16:creationId xmlns:a16="http://schemas.microsoft.com/office/drawing/2014/main" id="{00000000-0008-0000-0100-000063000000}"/>
                </a:ext>
              </a:extLst>
            </xdr:cNvPr>
            <xdr:cNvGrpSpPr/>
          </xdr:nvGrpSpPr>
          <xdr:grpSpPr>
            <a:xfrm>
              <a:off x="176579" y="4771519"/>
              <a:ext cx="3837913" cy="303169"/>
              <a:chOff x="176579" y="4771519"/>
              <a:chExt cx="3837913" cy="303169"/>
            </a:xfrm>
          </xdr:grpSpPr>
          <xdr:sp macro="" textlink="Calcul_Bilan_Energie!N22">
            <xdr:nvSpPr>
              <xdr:cNvPr id="109" name="ZoneTexte 108">
                <a:extLst>
                  <a:ext uri="{FF2B5EF4-FFF2-40B4-BE49-F238E27FC236}">
                    <a16:creationId xmlns:a16="http://schemas.microsoft.com/office/drawing/2014/main" id="{00000000-0008-0000-0100-00006D000000}"/>
                  </a:ext>
                </a:extLst>
              </xdr:cNvPr>
              <xdr:cNvSpPr txBox="1"/>
            </xdr:nvSpPr>
            <xdr:spPr>
              <a:xfrm>
                <a:off x="963196" y="4782186"/>
                <a:ext cx="1669221"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8754189-361C-4BD3-9C50-128B04FBFD70}" type="TxLink">
                  <a:rPr lang="en-US" sz="1100" b="0" i="0" u="none" strike="noStrike">
                    <a:solidFill>
                      <a:srgbClr val="000000"/>
                    </a:solidFill>
                    <a:latin typeface="Calibri"/>
                    <a:cs typeface="Calibri"/>
                  </a:rPr>
                  <a:pPr algn="ctr"/>
                  <a:t>#DIV/0!</a:t>
                </a:fld>
                <a:endParaRPr lang="fr-FR" sz="7200" b="1"/>
              </a:p>
            </xdr:txBody>
          </xdr:sp>
          <xdr:sp macro="" textlink="Controle_des_données!B18">
            <xdr:nvSpPr>
              <xdr:cNvPr id="110" name="ZoneTexte 109">
                <a:extLst>
                  <a:ext uri="{FF2B5EF4-FFF2-40B4-BE49-F238E27FC236}">
                    <a16:creationId xmlns:a16="http://schemas.microsoft.com/office/drawing/2014/main" id="{00000000-0008-0000-0100-00006E000000}"/>
                  </a:ext>
                </a:extLst>
              </xdr:cNvPr>
              <xdr:cNvSpPr txBox="1"/>
            </xdr:nvSpPr>
            <xdr:spPr>
              <a:xfrm>
                <a:off x="2345271" y="4782186"/>
                <a:ext cx="1669221"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9ACB5FE-0082-46E3-83C8-00D026C47735}" type="TxLink">
                  <a:rPr lang="en-US" sz="1100" b="0" i="0" u="none" strike="noStrike">
                    <a:solidFill>
                      <a:srgbClr val="000000"/>
                    </a:solidFill>
                    <a:latin typeface="Calibri"/>
                    <a:cs typeface="Calibri"/>
                  </a:rPr>
                  <a:pPr algn="ctr"/>
                  <a:t>134,4 kWh/m².an</a:t>
                </a:fld>
                <a:endParaRPr lang="fr-FR" sz="7200" b="1"/>
              </a:p>
            </xdr:txBody>
          </xdr:sp>
          <xdr:sp macro="" textlink="">
            <xdr:nvSpPr>
              <xdr:cNvPr id="111" name="ZoneTexte 110">
                <a:extLst>
                  <a:ext uri="{FF2B5EF4-FFF2-40B4-BE49-F238E27FC236}">
                    <a16:creationId xmlns:a16="http://schemas.microsoft.com/office/drawing/2014/main" id="{00000000-0008-0000-0100-00006F000000}"/>
                  </a:ext>
                </a:extLst>
              </xdr:cNvPr>
              <xdr:cNvSpPr txBox="1"/>
            </xdr:nvSpPr>
            <xdr:spPr>
              <a:xfrm>
                <a:off x="176579" y="4771519"/>
                <a:ext cx="1130001"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Thermique*</a:t>
                </a:r>
              </a:p>
            </xdr:txBody>
          </xdr:sp>
        </xdr:grpSp>
        <xdr:grpSp>
          <xdr:nvGrpSpPr>
            <xdr:cNvPr id="100" name="Groupe 99">
              <a:extLst>
                <a:ext uri="{FF2B5EF4-FFF2-40B4-BE49-F238E27FC236}">
                  <a16:creationId xmlns:a16="http://schemas.microsoft.com/office/drawing/2014/main" id="{00000000-0008-0000-0100-000064000000}"/>
                </a:ext>
              </a:extLst>
            </xdr:cNvPr>
            <xdr:cNvGrpSpPr/>
          </xdr:nvGrpSpPr>
          <xdr:grpSpPr>
            <a:xfrm>
              <a:off x="231798" y="5397741"/>
              <a:ext cx="3774220" cy="303169"/>
              <a:chOff x="231798" y="5408024"/>
              <a:chExt cx="3774220" cy="303169"/>
            </a:xfrm>
          </xdr:grpSpPr>
          <xdr:sp macro="" textlink="Calcul_Bilan_Energie!N28">
            <xdr:nvSpPr>
              <xdr:cNvPr id="106" name="ZoneTexte 105">
                <a:extLst>
                  <a:ext uri="{FF2B5EF4-FFF2-40B4-BE49-F238E27FC236}">
                    <a16:creationId xmlns:a16="http://schemas.microsoft.com/office/drawing/2014/main" id="{00000000-0008-0000-0100-00006A000000}"/>
                  </a:ext>
                </a:extLst>
              </xdr:cNvPr>
              <xdr:cNvSpPr txBox="1"/>
            </xdr:nvSpPr>
            <xdr:spPr>
              <a:xfrm>
                <a:off x="971670" y="5418691"/>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5AE0728-A897-494D-B314-75A49E40A50E}" type="TxLink">
                  <a:rPr lang="en-US" sz="1100" b="0" i="0" u="none" strike="noStrike">
                    <a:solidFill>
                      <a:srgbClr val="000000"/>
                    </a:solidFill>
                    <a:latin typeface="Calibri"/>
                    <a:cs typeface="Calibri"/>
                  </a:rPr>
                  <a:pPr algn="ctr"/>
                  <a:t>#DIV/0!</a:t>
                </a:fld>
                <a:endParaRPr lang="fr-FR" sz="7200" b="1"/>
              </a:p>
            </xdr:txBody>
          </xdr:sp>
          <xdr:sp macro="" textlink="Controle_des_données!B20">
            <xdr:nvSpPr>
              <xdr:cNvPr id="107" name="ZoneTexte 106">
                <a:extLst>
                  <a:ext uri="{FF2B5EF4-FFF2-40B4-BE49-F238E27FC236}">
                    <a16:creationId xmlns:a16="http://schemas.microsoft.com/office/drawing/2014/main" id="{00000000-0008-0000-0100-00006B000000}"/>
                  </a:ext>
                </a:extLst>
              </xdr:cNvPr>
              <xdr:cNvSpPr txBox="1"/>
            </xdr:nvSpPr>
            <xdr:spPr>
              <a:xfrm>
                <a:off x="2353745" y="5418691"/>
                <a:ext cx="1652273" cy="2818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3823111-8461-413D-9301-C9F8E5BE0381}" type="TxLink">
                  <a:rPr lang="en-US" sz="1100" b="0" i="0" u="none" strike="noStrike">
                    <a:solidFill>
                      <a:srgbClr val="000000"/>
                    </a:solidFill>
                    <a:latin typeface="Calibri"/>
                    <a:cs typeface="Calibri"/>
                  </a:rPr>
                  <a:pPr algn="ctr"/>
                  <a:t>187,8 kWh/m².an</a:t>
                </a:fld>
                <a:endParaRPr lang="fr-FR" sz="7200" b="1"/>
              </a:p>
            </xdr:txBody>
          </xdr:sp>
          <xdr:sp macro="" textlink="">
            <xdr:nvSpPr>
              <xdr:cNvPr id="108" name="ZoneTexte 107">
                <a:extLst>
                  <a:ext uri="{FF2B5EF4-FFF2-40B4-BE49-F238E27FC236}">
                    <a16:creationId xmlns:a16="http://schemas.microsoft.com/office/drawing/2014/main" id="{00000000-0008-0000-0100-00006C000000}"/>
                  </a:ext>
                </a:extLst>
              </xdr:cNvPr>
              <xdr:cNvSpPr txBox="1"/>
            </xdr:nvSpPr>
            <xdr:spPr>
              <a:xfrm>
                <a:off x="231798" y="5408024"/>
                <a:ext cx="107478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Total</a:t>
                </a:r>
              </a:p>
            </xdr:txBody>
          </xdr:sp>
        </xdr:grpSp>
        <xdr:cxnSp macro="">
          <xdr:nvCxnSpPr>
            <xdr:cNvPr id="101" name="Connecteur droit 100">
              <a:extLst>
                <a:ext uri="{FF2B5EF4-FFF2-40B4-BE49-F238E27FC236}">
                  <a16:creationId xmlns:a16="http://schemas.microsoft.com/office/drawing/2014/main" id="{00000000-0008-0000-0100-000065000000}"/>
                </a:ext>
              </a:extLst>
            </xdr:cNvPr>
            <xdr:cNvCxnSpPr/>
          </xdr:nvCxnSpPr>
          <xdr:spPr>
            <a:xfrm>
              <a:off x="2443369" y="4803915"/>
              <a:ext cx="0" cy="1217542"/>
            </a:xfrm>
            <a:prstGeom prst="line">
              <a:avLst/>
            </a:prstGeom>
            <a:ln w="12700"/>
          </xdr:spPr>
          <xdr:style>
            <a:lnRef idx="1">
              <a:schemeClr val="accent3"/>
            </a:lnRef>
            <a:fillRef idx="0">
              <a:schemeClr val="accent3"/>
            </a:fillRef>
            <a:effectRef idx="0">
              <a:schemeClr val="accent3"/>
            </a:effectRef>
            <a:fontRef idx="minor">
              <a:schemeClr val="tx1"/>
            </a:fontRef>
          </xdr:style>
        </xdr:cxnSp>
        <xdr:grpSp>
          <xdr:nvGrpSpPr>
            <xdr:cNvPr id="102" name="Groupe 101">
              <a:extLst>
                <a:ext uri="{FF2B5EF4-FFF2-40B4-BE49-F238E27FC236}">
                  <a16:creationId xmlns:a16="http://schemas.microsoft.com/office/drawing/2014/main" id="{00000000-0008-0000-0100-000066000000}"/>
                </a:ext>
              </a:extLst>
            </xdr:cNvPr>
            <xdr:cNvGrpSpPr/>
          </xdr:nvGrpSpPr>
          <xdr:grpSpPr>
            <a:xfrm>
              <a:off x="231920" y="5710853"/>
              <a:ext cx="3774220" cy="303169"/>
              <a:chOff x="231920" y="5710853"/>
              <a:chExt cx="3774220" cy="303169"/>
            </a:xfrm>
          </xdr:grpSpPr>
          <xdr:sp macro="" textlink="Calcul_Bilan_Energie!N32">
            <xdr:nvSpPr>
              <xdr:cNvPr id="103" name="ZoneTexte 102">
                <a:extLst>
                  <a:ext uri="{FF2B5EF4-FFF2-40B4-BE49-F238E27FC236}">
                    <a16:creationId xmlns:a16="http://schemas.microsoft.com/office/drawing/2014/main" id="{00000000-0008-0000-0100-000067000000}"/>
                  </a:ext>
                </a:extLst>
              </xdr:cNvPr>
              <xdr:cNvSpPr txBox="1"/>
            </xdr:nvSpPr>
            <xdr:spPr>
              <a:xfrm>
                <a:off x="971792" y="5721520"/>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AF8ECF3-F354-44F8-A0DA-0B763141314A}" type="TxLink">
                  <a:rPr lang="en-US" sz="1100" b="0" i="0" u="none" strike="noStrike">
                    <a:solidFill>
                      <a:srgbClr val="000000"/>
                    </a:solidFill>
                    <a:latin typeface="Calibri"/>
                    <a:cs typeface="Calibri"/>
                  </a:rPr>
                  <a:pPr algn="ctr"/>
                  <a:t>N/A</a:t>
                </a:fld>
                <a:endParaRPr lang="fr-FR" sz="7200" b="1"/>
              </a:p>
            </xdr:txBody>
          </xdr:sp>
          <xdr:sp macro="" textlink="Controle_des_données!B23">
            <xdr:nvSpPr>
              <xdr:cNvPr id="104" name="ZoneTexte 103">
                <a:extLst>
                  <a:ext uri="{FF2B5EF4-FFF2-40B4-BE49-F238E27FC236}">
                    <a16:creationId xmlns:a16="http://schemas.microsoft.com/office/drawing/2014/main" id="{00000000-0008-0000-0100-000068000000}"/>
                  </a:ext>
                </a:extLst>
              </xdr:cNvPr>
              <xdr:cNvSpPr txBox="1"/>
            </xdr:nvSpPr>
            <xdr:spPr>
              <a:xfrm>
                <a:off x="2353867" y="5721520"/>
                <a:ext cx="1652273" cy="281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FF40CCD-A993-441E-873B-037106EEE113}" type="TxLink">
                  <a:rPr lang="en-US" sz="1100" b="0" i="0" u="none" strike="noStrike">
                    <a:solidFill>
                      <a:srgbClr val="000000"/>
                    </a:solidFill>
                    <a:latin typeface="Calibri"/>
                    <a:cs typeface="Calibri"/>
                  </a:rPr>
                  <a:pPr algn="ctr"/>
                  <a:t>144,2 l/j.lit</a:t>
                </a:fld>
                <a:endParaRPr lang="fr-FR" sz="7200" b="1"/>
              </a:p>
            </xdr:txBody>
          </xdr:sp>
          <xdr:sp macro="" textlink="">
            <xdr:nvSpPr>
              <xdr:cNvPr id="105" name="ZoneTexte 104">
                <a:extLst>
                  <a:ext uri="{FF2B5EF4-FFF2-40B4-BE49-F238E27FC236}">
                    <a16:creationId xmlns:a16="http://schemas.microsoft.com/office/drawing/2014/main" id="{00000000-0008-0000-0100-000069000000}"/>
                  </a:ext>
                </a:extLst>
              </xdr:cNvPr>
              <xdr:cNvSpPr txBox="1"/>
            </xdr:nvSpPr>
            <xdr:spPr>
              <a:xfrm>
                <a:off x="231920" y="5710853"/>
                <a:ext cx="1074782" cy="303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r-FR" sz="1200" b="1"/>
                  <a:t>Eau</a:t>
                </a:r>
              </a:p>
            </xdr:txBody>
          </xdr:sp>
        </xdr:grpSp>
        <xdr:sp macro="" textlink="">
          <xdr:nvSpPr>
            <xdr:cNvPr id="94" name="ZoneTexte 93">
              <a:extLst>
                <a:ext uri="{FF2B5EF4-FFF2-40B4-BE49-F238E27FC236}">
                  <a16:creationId xmlns:a16="http://schemas.microsoft.com/office/drawing/2014/main" id="{00000000-0008-0000-0100-00005E000000}"/>
                </a:ext>
              </a:extLst>
            </xdr:cNvPr>
            <xdr:cNvSpPr txBox="1"/>
          </xdr:nvSpPr>
          <xdr:spPr>
            <a:xfrm>
              <a:off x="277053" y="5930347"/>
              <a:ext cx="3760304" cy="211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*kWh EF PCI corrigé au DJU  et calculé par</a:t>
              </a:r>
              <a:r>
                <a:rPr lang="fr-FR" sz="800" baseline="0"/>
                <a:t> rapport à la surface de plancher chauffée </a:t>
              </a:r>
              <a:endParaRPr lang="fr-FR" sz="800"/>
            </a:p>
          </xdr:txBody>
        </xdr:sp>
      </xdr:grpSp>
      <xdr:sp macro="" textlink="">
        <xdr:nvSpPr>
          <xdr:cNvPr id="93" name="ZoneTexte 92">
            <a:extLst>
              <a:ext uri="{FF2B5EF4-FFF2-40B4-BE49-F238E27FC236}">
                <a16:creationId xmlns:a16="http://schemas.microsoft.com/office/drawing/2014/main" id="{00000000-0008-0000-0100-00005D000000}"/>
              </a:ext>
            </a:extLst>
          </xdr:cNvPr>
          <xdr:cNvSpPr txBox="1"/>
        </xdr:nvSpPr>
        <xdr:spPr>
          <a:xfrm>
            <a:off x="2228293" y="4412865"/>
            <a:ext cx="2059028" cy="5070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a:t>Moyenne régionale</a:t>
            </a:r>
            <a:endParaRPr lang="fr-FR" sz="1200" b="0" i="0" u="none" strike="noStrike">
              <a:solidFill>
                <a:schemeClr val="dk1"/>
              </a:solidFill>
              <a:effectLst/>
              <a:latin typeface="+mn-lt"/>
              <a:ea typeface="+mn-ea"/>
              <a:cs typeface="+mn-cs"/>
            </a:endParaRPr>
          </a:p>
          <a:p>
            <a:pPr algn="ctr"/>
            <a:r>
              <a:rPr lang="fr-FR" sz="800" b="0" i="0" u="none" strike="noStrike">
                <a:solidFill>
                  <a:schemeClr val="dk1"/>
                </a:solidFill>
                <a:effectLst/>
                <a:latin typeface="+mn-lt"/>
                <a:ea typeface="+mn-ea"/>
                <a:cs typeface="+mn-cs"/>
              </a:rPr>
              <a:t>(Pays</a:t>
            </a:r>
            <a:r>
              <a:rPr lang="fr-FR" sz="800" b="0" i="0" u="none" strike="noStrike" baseline="0">
                <a:solidFill>
                  <a:schemeClr val="dk1"/>
                </a:solidFill>
                <a:effectLst/>
                <a:latin typeface="+mn-lt"/>
                <a:ea typeface="+mn-ea"/>
                <a:cs typeface="+mn-cs"/>
              </a:rPr>
              <a:t> de la Loire)</a:t>
            </a:r>
            <a:endParaRPr lang="fr-FR" sz="1000" b="1"/>
          </a:p>
        </xdr:txBody>
      </xdr:sp>
    </xdr:grpSp>
    <xdr:clientData/>
  </xdr:twoCellAnchor>
  <xdr:twoCellAnchor>
    <xdr:from>
      <xdr:col>5</xdr:col>
      <xdr:colOff>521804</xdr:colOff>
      <xdr:row>16</xdr:row>
      <xdr:rowOff>157197</xdr:rowOff>
    </xdr:from>
    <xdr:to>
      <xdr:col>9</xdr:col>
      <xdr:colOff>173936</xdr:colOff>
      <xdr:row>29</xdr:row>
      <xdr:rowOff>41412</xdr:rowOff>
    </xdr:to>
    <xdr:graphicFrame macro="">
      <xdr:nvGraphicFramePr>
        <xdr:cNvPr id="115" name="Graphique 114">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752064</xdr:colOff>
      <xdr:row>16</xdr:row>
      <xdr:rowOff>52598</xdr:rowOff>
    </xdr:from>
    <xdr:to>
      <xdr:col>8</xdr:col>
      <xdr:colOff>488674</xdr:colOff>
      <xdr:row>18</xdr:row>
      <xdr:rowOff>10094</xdr:rowOff>
    </xdr:to>
    <xdr:sp macro="" textlink="">
      <xdr:nvSpPr>
        <xdr:cNvPr id="116" name="ZoneTexte 115">
          <a:extLst>
            <a:ext uri="{FF2B5EF4-FFF2-40B4-BE49-F238E27FC236}">
              <a16:creationId xmlns:a16="http://schemas.microsoft.com/office/drawing/2014/main" id="{00000000-0008-0000-0100-000074000000}"/>
            </a:ext>
          </a:extLst>
        </xdr:cNvPr>
        <xdr:cNvSpPr txBox="1"/>
      </xdr:nvSpPr>
      <xdr:spPr>
        <a:xfrm>
          <a:off x="4562064" y="3100598"/>
          <a:ext cx="2022610" cy="3384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200" b="1" baseline="0"/>
            <a:t>Distribution des usages</a:t>
          </a:r>
          <a:endParaRPr lang="fr-FR" sz="1200" b="1"/>
        </a:p>
      </xdr:txBody>
    </xdr:sp>
    <xdr:clientData/>
  </xdr:twoCellAnchor>
</xdr:wsDr>
</file>

<file path=xl/drawings/drawing3.xml><?xml version="1.0" encoding="utf-8"?>
<c:userShapes xmlns:c="http://schemas.openxmlformats.org/drawingml/2006/chart">
  <cdr:relSizeAnchor xmlns:cdr="http://schemas.openxmlformats.org/drawingml/2006/chartDrawing">
    <cdr:from>
      <cdr:x>0.13837</cdr:x>
      <cdr:y>0.50181</cdr:y>
    </cdr:from>
    <cdr:to>
      <cdr:x>0.88991</cdr:x>
      <cdr:y>0.59541</cdr:y>
    </cdr:to>
    <cdr:sp macro="" textlink="Calcul_Bilan_Energie!$S$23">
      <cdr:nvSpPr>
        <cdr:cNvPr id="2" name="ZoneTexte 1"/>
        <cdr:cNvSpPr txBox="1"/>
      </cdr:nvSpPr>
      <cdr:spPr>
        <a:xfrm xmlns:a="http://schemas.openxmlformats.org/drawingml/2006/main">
          <a:off x="422415" y="1376570"/>
          <a:ext cx="2294283"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fld id="{FCDE4084-1D68-4A35-B15D-DA702F44FDC6}" type="TxLink">
            <a:rPr lang="en-US" sz="1100" b="1" i="0" u="none" strike="noStrike">
              <a:solidFill>
                <a:srgbClr val="000000"/>
              </a:solidFill>
              <a:latin typeface="Calibri"/>
              <a:cs typeface="Calibri"/>
            </a:rPr>
            <a:pPr algn="ctr"/>
            <a:t>#DIV/0!</a:t>
          </a:fld>
          <a:endParaRPr lang="fr-FR" sz="1100" b="1"/>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0</xdr:row>
      <xdr:rowOff>36858</xdr:rowOff>
    </xdr:from>
    <xdr:to>
      <xdr:col>6</xdr:col>
      <xdr:colOff>41413</xdr:colOff>
      <xdr:row>1</xdr:row>
      <xdr:rowOff>102800</xdr:rowOff>
    </xdr:to>
    <xdr:sp macro="" textlink="">
      <xdr:nvSpPr>
        <xdr:cNvPr id="31" name="ZoneTexte 30">
          <a:extLst>
            <a:ext uri="{FF2B5EF4-FFF2-40B4-BE49-F238E27FC236}">
              <a16:creationId xmlns:a16="http://schemas.microsoft.com/office/drawing/2014/main" id="{00000000-0008-0000-0200-00001F000000}"/>
            </a:ext>
          </a:extLst>
        </xdr:cNvPr>
        <xdr:cNvSpPr txBox="1"/>
      </xdr:nvSpPr>
      <xdr:spPr>
        <a:xfrm>
          <a:off x="0" y="36858"/>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Choix de l'année de référence </a:t>
          </a:r>
        </a:p>
      </xdr:txBody>
    </xdr:sp>
    <xdr:clientData/>
  </xdr:twoCellAnchor>
  <xdr:twoCellAnchor>
    <xdr:from>
      <xdr:col>0</xdr:col>
      <xdr:colOff>115542</xdr:colOff>
      <xdr:row>5</xdr:row>
      <xdr:rowOff>75373</xdr:rowOff>
    </xdr:from>
    <xdr:to>
      <xdr:col>10</xdr:col>
      <xdr:colOff>334617</xdr:colOff>
      <xdr:row>21</xdr:row>
      <xdr:rowOff>115957</xdr:rowOff>
    </xdr:to>
    <xdr:graphicFrame macro="">
      <xdr:nvGraphicFramePr>
        <xdr:cNvPr id="32" name="Graphique 31">
          <a:extLst>
            <a:ext uri="{FF2B5EF4-FFF2-40B4-BE49-F238E27FC236}">
              <a16:creationId xmlns:a16="http://schemas.microsoft.com/office/drawing/2014/main" id="{00000000-0008-0000-02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0</xdr:colOff>
      <xdr:row>0</xdr:row>
      <xdr:rowOff>11205</xdr:rowOff>
    </xdr:from>
    <xdr:to>
      <xdr:col>8</xdr:col>
      <xdr:colOff>753717</xdr:colOff>
      <xdr:row>1</xdr:row>
      <xdr:rowOff>156146</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0</xdr:colOff>
      <xdr:row>3</xdr:row>
      <xdr:rowOff>145676</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twoCellAnchor>
    <xdr:from>
      <xdr:col>0</xdr:col>
      <xdr:colOff>289892</xdr:colOff>
      <xdr:row>21</xdr:row>
      <xdr:rowOff>66260</xdr:rowOff>
    </xdr:from>
    <xdr:to>
      <xdr:col>10</xdr:col>
      <xdr:colOff>182217</xdr:colOff>
      <xdr:row>31</xdr:row>
      <xdr:rowOff>151985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132522</xdr:colOff>
      <xdr:row>4</xdr:row>
      <xdr:rowOff>16564</xdr:rowOff>
    </xdr:from>
    <xdr:to>
      <xdr:col>8</xdr:col>
      <xdr:colOff>49696</xdr:colOff>
      <xdr:row>22</xdr:row>
      <xdr:rowOff>16564</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82404</xdr:colOff>
      <xdr:row>17</xdr:row>
      <xdr:rowOff>28950</xdr:rowOff>
    </xdr:from>
    <xdr:to>
      <xdr:col>8</xdr:col>
      <xdr:colOff>425847</xdr:colOff>
      <xdr:row>19</xdr:row>
      <xdr:rowOff>78046</xdr:rowOff>
    </xdr:to>
    <xdr:pic>
      <xdr:nvPicPr>
        <xdr:cNvPr id="4" name="chart">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stretch>
          <a:fillRect/>
        </a:stretch>
      </xdr:blipFill>
      <xdr:spPr>
        <a:xfrm>
          <a:off x="6178404" y="3267450"/>
          <a:ext cx="343443" cy="430096"/>
        </a:xfrm>
        <a:prstGeom prst="rect">
          <a:avLst/>
        </a:prstGeom>
      </xdr:spPr>
    </xdr:pic>
    <xdr:clientData/>
  </xdr:twoCellAnchor>
  <xdr:twoCellAnchor editAs="oneCell">
    <xdr:from>
      <xdr:col>8</xdr:col>
      <xdr:colOff>8026</xdr:colOff>
      <xdr:row>22</xdr:row>
      <xdr:rowOff>157526</xdr:rowOff>
    </xdr:from>
    <xdr:to>
      <xdr:col>8</xdr:col>
      <xdr:colOff>408795</xdr:colOff>
      <xdr:row>25</xdr:row>
      <xdr:rowOff>40004</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rot="21335024">
          <a:off x="6104026" y="4348526"/>
          <a:ext cx="400769" cy="453978"/>
        </a:xfrm>
        <a:prstGeom prst="rect">
          <a:avLst/>
        </a:prstGeom>
      </xdr:spPr>
    </xdr:pic>
    <xdr:clientData/>
  </xdr:twoCellAnchor>
  <xdr:twoCellAnchor editAs="oneCell">
    <xdr:from>
      <xdr:col>8</xdr:col>
      <xdr:colOff>39305</xdr:colOff>
      <xdr:row>25</xdr:row>
      <xdr:rowOff>128210</xdr:rowOff>
    </xdr:from>
    <xdr:to>
      <xdr:col>8</xdr:col>
      <xdr:colOff>363007</xdr:colOff>
      <xdr:row>27</xdr:row>
      <xdr:rowOff>154815</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6135305" y="4890710"/>
          <a:ext cx="323702" cy="407605"/>
        </a:xfrm>
        <a:prstGeom prst="rect">
          <a:avLst/>
        </a:prstGeom>
      </xdr:spPr>
    </xdr:pic>
    <xdr:clientData/>
  </xdr:twoCellAnchor>
  <xdr:twoCellAnchor editAs="oneCell">
    <xdr:from>
      <xdr:col>8</xdr:col>
      <xdr:colOff>11627</xdr:colOff>
      <xdr:row>19</xdr:row>
      <xdr:rowOff>148673</xdr:rowOff>
    </xdr:from>
    <xdr:to>
      <xdr:col>8</xdr:col>
      <xdr:colOff>411168</xdr:colOff>
      <xdr:row>22</xdr:row>
      <xdr:rowOff>72454</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5"/>
        <a:stretch>
          <a:fillRect/>
        </a:stretch>
      </xdr:blipFill>
      <xdr:spPr>
        <a:xfrm>
          <a:off x="6107627" y="3768173"/>
          <a:ext cx="399541" cy="495281"/>
        </a:xfrm>
        <a:prstGeom prst="rect">
          <a:avLst/>
        </a:prstGeom>
      </xdr:spPr>
    </xdr:pic>
    <xdr:clientData/>
  </xdr:twoCellAnchor>
  <xdr:twoCellAnchor editAs="oneCell">
    <xdr:from>
      <xdr:col>8</xdr:col>
      <xdr:colOff>2240</xdr:colOff>
      <xdr:row>29</xdr:row>
      <xdr:rowOff>4780</xdr:rowOff>
    </xdr:from>
    <xdr:to>
      <xdr:col>8</xdr:col>
      <xdr:colOff>440935</xdr:colOff>
      <xdr:row>31</xdr:row>
      <xdr:rowOff>114684</xdr:rowOff>
    </xdr:to>
    <xdr:pic>
      <xdr:nvPicPr>
        <xdr:cNvPr id="8" name="chart">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6"/>
        <a:stretch>
          <a:fillRect/>
        </a:stretch>
      </xdr:blipFill>
      <xdr:spPr>
        <a:xfrm>
          <a:off x="6098240" y="5529280"/>
          <a:ext cx="438695" cy="490904"/>
        </a:xfrm>
        <a:prstGeom prst="rect">
          <a:avLst/>
        </a:prstGeom>
      </xdr:spPr>
    </xdr:pic>
    <xdr:clientData/>
  </xdr:twoCellAnchor>
  <xdr:twoCellAnchor>
    <xdr:from>
      <xdr:col>8</xdr:col>
      <xdr:colOff>420442</xdr:colOff>
      <xdr:row>16</xdr:row>
      <xdr:rowOff>33131</xdr:rowOff>
    </xdr:from>
    <xdr:to>
      <xdr:col>11</xdr:col>
      <xdr:colOff>0</xdr:colOff>
      <xdr:row>33</xdr:row>
      <xdr:rowOff>0</xdr:rowOff>
    </xdr:to>
    <xdr:sp macro="" textlink="">
      <xdr:nvSpPr>
        <xdr:cNvPr id="9" name="ZoneTexte 8">
          <a:extLst>
            <a:ext uri="{FF2B5EF4-FFF2-40B4-BE49-F238E27FC236}">
              <a16:creationId xmlns:a16="http://schemas.microsoft.com/office/drawing/2014/main" id="{00000000-0008-0000-0300-000009000000}"/>
            </a:ext>
          </a:extLst>
        </xdr:cNvPr>
        <xdr:cNvSpPr txBox="1"/>
      </xdr:nvSpPr>
      <xdr:spPr>
        <a:xfrm>
          <a:off x="6516442" y="3081131"/>
          <a:ext cx="1865558" cy="32053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50" b="1"/>
            <a:t>Feuille grise : </a:t>
          </a:r>
          <a:r>
            <a:rPr lang="fr-FR" sz="1050"/>
            <a:t>Le niveau de consommation énergétique est en augmentation</a:t>
          </a:r>
        </a:p>
        <a:p>
          <a:r>
            <a:rPr lang="fr-FR" sz="1050" b="1"/>
            <a:t>Feuille Orange : </a:t>
          </a:r>
          <a:r>
            <a:rPr lang="fr-FR" sz="1050"/>
            <a:t>Le niveau de consommation énergétique est en diminution mais au-dessus des objectifs annuels</a:t>
          </a:r>
        </a:p>
        <a:p>
          <a:r>
            <a:rPr lang="fr-FR" sz="1050" b="1"/>
            <a:t>1 Feuille verte : </a:t>
          </a:r>
          <a:r>
            <a:rPr lang="fr-FR" sz="1050"/>
            <a:t>Le nieau de consommation énergétique est en diminution dans le fuseau  +/- 10%</a:t>
          </a:r>
        </a:p>
        <a:p>
          <a:r>
            <a:rPr lang="fr-FR" sz="1050" b="1"/>
            <a:t>2 Feuilles vertes : </a:t>
          </a:r>
          <a:r>
            <a:rPr lang="fr-FR" sz="1050"/>
            <a:t>Le niveau de consommation énergétique est en diminution et en-dessous du fuseau +/- 10%</a:t>
          </a:r>
        </a:p>
        <a:p>
          <a:r>
            <a:rPr lang="fr-FR" sz="1050" b="1"/>
            <a:t>3 Feuilles vertes : </a:t>
          </a:r>
          <a:r>
            <a:rPr lang="fr-FR" sz="1050"/>
            <a:t>Le niveau de consommation énergétique annuelle est en dessous de l'objectif 2030</a:t>
          </a:r>
        </a:p>
      </xdr:txBody>
    </xdr:sp>
    <xdr:clientData/>
  </xdr:twoCellAnchor>
  <xdr:twoCellAnchor>
    <xdr:from>
      <xdr:col>7</xdr:col>
      <xdr:colOff>753716</xdr:colOff>
      <xdr:row>8</xdr:row>
      <xdr:rowOff>16565</xdr:rowOff>
    </xdr:from>
    <xdr:to>
      <xdr:col>10</xdr:col>
      <xdr:colOff>761999</xdr:colOff>
      <xdr:row>12</xdr:row>
      <xdr:rowOff>8282</xdr:rowOff>
    </xdr:to>
    <xdr:grpSp>
      <xdr:nvGrpSpPr>
        <xdr:cNvPr id="11" name="Groupe 10">
          <a:extLst>
            <a:ext uri="{FF2B5EF4-FFF2-40B4-BE49-F238E27FC236}">
              <a16:creationId xmlns:a16="http://schemas.microsoft.com/office/drawing/2014/main" id="{00000000-0008-0000-0300-00000B000000}"/>
            </a:ext>
          </a:extLst>
        </xdr:cNvPr>
        <xdr:cNvGrpSpPr/>
      </xdr:nvGrpSpPr>
      <xdr:grpSpPr>
        <a:xfrm>
          <a:off x="6087716" y="1540565"/>
          <a:ext cx="2294283" cy="753717"/>
          <a:chOff x="9410594" y="295275"/>
          <a:chExt cx="2648055" cy="753717"/>
        </a:xfrm>
      </xdr:grpSpPr>
      <xdr:sp macro="" textlink="">
        <xdr:nvSpPr>
          <xdr:cNvPr id="12" name="Rectangle à coins arrondis 11">
            <a:extLst>
              <a:ext uri="{FF2B5EF4-FFF2-40B4-BE49-F238E27FC236}">
                <a16:creationId xmlns:a16="http://schemas.microsoft.com/office/drawing/2014/main" id="{00000000-0008-0000-0300-00000C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3" name="ZoneTexte 12">
            <a:extLst>
              <a:ext uri="{FF2B5EF4-FFF2-40B4-BE49-F238E27FC236}">
                <a16:creationId xmlns:a16="http://schemas.microsoft.com/office/drawing/2014/main" id="{00000000-0008-0000-0300-00000D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 </a:t>
            </a:r>
            <a:r>
              <a:rPr lang="fr-FR" sz="1100" b="1" baseline="0"/>
              <a:t>de référence *</a:t>
            </a:r>
            <a:endParaRPr lang="fr-FR" sz="1100" b="1"/>
          </a:p>
        </xdr:txBody>
      </xdr:sp>
      <xdr:sp macro="" textlink="'CALCUL DEET'!R8">
        <xdr:nvSpPr>
          <xdr:cNvPr id="14" name="ZoneTexte 13">
            <a:extLst>
              <a:ext uri="{FF2B5EF4-FFF2-40B4-BE49-F238E27FC236}">
                <a16:creationId xmlns:a16="http://schemas.microsoft.com/office/drawing/2014/main" id="{00000000-0008-0000-0300-00000E000000}"/>
              </a:ext>
            </a:extLst>
          </xdr:cNvPr>
          <xdr:cNvSpPr txBox="1"/>
        </xdr:nvSpPr>
        <xdr:spPr>
          <a:xfrm>
            <a:off x="9410594" y="428210"/>
            <a:ext cx="264805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4982C15-93DB-41F5-A7E8-AB9D17F6B8CA}" type="TxLink">
              <a:rPr lang="en-US" sz="1400" b="0" i="0" u="none" strike="noStrike">
                <a:solidFill>
                  <a:srgbClr val="000000"/>
                </a:solidFill>
                <a:latin typeface="Calibri"/>
                <a:cs typeface="Calibri"/>
              </a:rPr>
              <a:pPr algn="ctr"/>
              <a:t>0,0 kWh [EF PCI]/m².an</a:t>
            </a:fld>
            <a:endParaRPr lang="fr-FR" sz="1400" b="1"/>
          </a:p>
        </xdr:txBody>
      </xdr:sp>
    </xdr:grpSp>
    <xdr:clientData/>
  </xdr:twoCellAnchor>
  <xdr:twoCellAnchor>
    <xdr:from>
      <xdr:col>8</xdr:col>
      <xdr:colOff>49694</xdr:colOff>
      <xdr:row>3</xdr:row>
      <xdr:rowOff>128795</xdr:rowOff>
    </xdr:from>
    <xdr:to>
      <xdr:col>10</xdr:col>
      <xdr:colOff>704020</xdr:colOff>
      <xdr:row>7</xdr:row>
      <xdr:rowOff>120512</xdr:rowOff>
    </xdr:to>
    <xdr:grpSp>
      <xdr:nvGrpSpPr>
        <xdr:cNvPr id="15" name="Groupe 14">
          <a:extLst>
            <a:ext uri="{FF2B5EF4-FFF2-40B4-BE49-F238E27FC236}">
              <a16:creationId xmlns:a16="http://schemas.microsoft.com/office/drawing/2014/main" id="{00000000-0008-0000-0300-00000F000000}"/>
            </a:ext>
          </a:extLst>
        </xdr:cNvPr>
        <xdr:cNvGrpSpPr/>
      </xdr:nvGrpSpPr>
      <xdr:grpSpPr>
        <a:xfrm>
          <a:off x="6145694" y="700295"/>
          <a:ext cx="2178326" cy="753717"/>
          <a:chOff x="9434831" y="295275"/>
          <a:chExt cx="2623818" cy="753717"/>
        </a:xfrm>
      </xdr:grpSpPr>
      <xdr:sp macro="" textlink="">
        <xdr:nvSpPr>
          <xdr:cNvPr id="16" name="Rectangle à coins arrondis 15">
            <a:extLst>
              <a:ext uri="{FF2B5EF4-FFF2-40B4-BE49-F238E27FC236}">
                <a16:creationId xmlns:a16="http://schemas.microsoft.com/office/drawing/2014/main" id="{00000000-0008-0000-0300-000010000000}"/>
              </a:ext>
            </a:extLst>
          </xdr:cNvPr>
          <xdr:cNvSpPr/>
        </xdr:nvSpPr>
        <xdr:spPr>
          <a:xfrm>
            <a:off x="9439275" y="295275"/>
            <a:ext cx="2562226"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000"/>
          </a:p>
        </xdr:txBody>
      </xdr:sp>
      <xdr:sp macro="" textlink="">
        <xdr:nvSpPr>
          <xdr:cNvPr id="17" name="ZoneTexte 16">
            <a:extLst>
              <a:ext uri="{FF2B5EF4-FFF2-40B4-BE49-F238E27FC236}">
                <a16:creationId xmlns:a16="http://schemas.microsoft.com/office/drawing/2014/main" id="{00000000-0008-0000-0300-000011000000}"/>
              </a:ext>
            </a:extLst>
          </xdr:cNvPr>
          <xdr:cNvSpPr txBox="1"/>
        </xdr:nvSpPr>
        <xdr:spPr>
          <a:xfrm>
            <a:off x="9534524" y="304800"/>
            <a:ext cx="2524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b="1"/>
              <a:t>Valeur</a:t>
            </a:r>
            <a:r>
              <a:rPr lang="fr-FR" sz="1100" b="1" baseline="0"/>
              <a:t> pour l'année déclarée *</a:t>
            </a:r>
            <a:endParaRPr lang="fr-FR" sz="1100" b="1"/>
          </a:p>
        </xdr:txBody>
      </xdr:sp>
      <xdr:sp macro="" textlink="'CALCUL DEET'!R20">
        <xdr:nvSpPr>
          <xdr:cNvPr id="18" name="ZoneTexte 17">
            <a:extLst>
              <a:ext uri="{FF2B5EF4-FFF2-40B4-BE49-F238E27FC236}">
                <a16:creationId xmlns:a16="http://schemas.microsoft.com/office/drawing/2014/main" id="{00000000-0008-0000-0300-000012000000}"/>
              </a:ext>
            </a:extLst>
          </xdr:cNvPr>
          <xdr:cNvSpPr txBox="1"/>
        </xdr:nvSpPr>
        <xdr:spPr>
          <a:xfrm>
            <a:off x="9434831" y="428210"/>
            <a:ext cx="2623818"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C43DB62-2E9A-4BC9-A233-128689AEF61E}" type="TxLink">
              <a:rPr lang="en-US" sz="1400" b="0" i="0" u="none" strike="noStrike">
                <a:solidFill>
                  <a:srgbClr val="000000"/>
                </a:solidFill>
                <a:latin typeface="Calibri"/>
                <a:cs typeface="Calibri"/>
              </a:rPr>
              <a:pPr algn="ctr"/>
              <a:t>#DIV/0!</a:t>
            </a:fld>
            <a:endParaRPr lang="fr-FR" sz="1400" b="1"/>
          </a:p>
        </xdr:txBody>
      </xdr:sp>
    </xdr:grpSp>
    <xdr:clientData/>
  </xdr:twoCellAnchor>
  <xdr:twoCellAnchor>
    <xdr:from>
      <xdr:col>8</xdr:col>
      <xdr:colOff>454713</xdr:colOff>
      <xdr:row>12</xdr:row>
      <xdr:rowOff>70812</xdr:rowOff>
    </xdr:from>
    <xdr:to>
      <xdr:col>10</xdr:col>
      <xdr:colOff>552449</xdr:colOff>
      <xdr:row>16</xdr:row>
      <xdr:rowOff>62529</xdr:rowOff>
    </xdr:to>
    <xdr:grpSp>
      <xdr:nvGrpSpPr>
        <xdr:cNvPr id="19" name="Groupe 18">
          <a:extLst>
            <a:ext uri="{FF2B5EF4-FFF2-40B4-BE49-F238E27FC236}">
              <a16:creationId xmlns:a16="http://schemas.microsoft.com/office/drawing/2014/main" id="{00000000-0008-0000-0300-000013000000}"/>
            </a:ext>
          </a:extLst>
        </xdr:cNvPr>
        <xdr:cNvGrpSpPr/>
      </xdr:nvGrpSpPr>
      <xdr:grpSpPr>
        <a:xfrm>
          <a:off x="6550713" y="2356812"/>
          <a:ext cx="1621736" cy="753717"/>
          <a:chOff x="9439275" y="295275"/>
          <a:chExt cx="3104559" cy="753717"/>
        </a:xfrm>
      </xdr:grpSpPr>
      <xdr:sp macro="" textlink="">
        <xdr:nvSpPr>
          <xdr:cNvPr id="20" name="Rectangle à coins arrondis 19">
            <a:extLst>
              <a:ext uri="{FF2B5EF4-FFF2-40B4-BE49-F238E27FC236}">
                <a16:creationId xmlns:a16="http://schemas.microsoft.com/office/drawing/2014/main" id="{00000000-0008-0000-0300-000014000000}"/>
              </a:ext>
            </a:extLst>
          </xdr:cNvPr>
          <xdr:cNvSpPr/>
        </xdr:nvSpPr>
        <xdr:spPr>
          <a:xfrm>
            <a:off x="9439275" y="295275"/>
            <a:ext cx="3104559" cy="753717"/>
          </a:xfrm>
          <a:prstGeom prst="roundRect">
            <a:avLst/>
          </a:prstGeom>
          <a:solidFill>
            <a:schemeClr val="bg1"/>
          </a:solidFill>
          <a:ln>
            <a:no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sp macro="" textlink="">
        <xdr:nvSpPr>
          <xdr:cNvPr id="21" name="ZoneTexte 20">
            <a:extLst>
              <a:ext uri="{FF2B5EF4-FFF2-40B4-BE49-F238E27FC236}">
                <a16:creationId xmlns:a16="http://schemas.microsoft.com/office/drawing/2014/main" id="{00000000-0008-0000-0300-000015000000}"/>
              </a:ext>
            </a:extLst>
          </xdr:cNvPr>
          <xdr:cNvSpPr txBox="1"/>
        </xdr:nvSpPr>
        <xdr:spPr>
          <a:xfrm>
            <a:off x="9534522" y="304800"/>
            <a:ext cx="3009312"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b="1"/>
              <a:t>Variation vs Ref **</a:t>
            </a:r>
          </a:p>
        </xdr:txBody>
      </xdr:sp>
      <xdr:sp macro="" textlink="'CALCUL DEET'!R21">
        <xdr:nvSpPr>
          <xdr:cNvPr id="22" name="ZoneTexte 21">
            <a:extLst>
              <a:ext uri="{FF2B5EF4-FFF2-40B4-BE49-F238E27FC236}">
                <a16:creationId xmlns:a16="http://schemas.microsoft.com/office/drawing/2014/main" id="{00000000-0008-0000-0300-000016000000}"/>
              </a:ext>
            </a:extLst>
          </xdr:cNvPr>
          <xdr:cNvSpPr txBox="1"/>
        </xdr:nvSpPr>
        <xdr:spPr>
          <a:xfrm>
            <a:off x="9855572" y="428210"/>
            <a:ext cx="1971574"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4CEAF35-E612-457E-8061-3B6736EED27C}" type="TxLink">
              <a:rPr lang="en-US" sz="1800" b="0" i="0" u="none" strike="noStrike">
                <a:solidFill>
                  <a:srgbClr val="000000"/>
                </a:solidFill>
                <a:latin typeface="Calibri"/>
                <a:cs typeface="Calibri"/>
              </a:rPr>
              <a:pPr algn="ctr"/>
              <a:t>#DIV/0!</a:t>
            </a:fld>
            <a:endParaRPr lang="fr-FR" sz="1800" b="1"/>
          </a:p>
        </xdr:txBody>
      </xdr:sp>
    </xdr:grpSp>
    <xdr:clientData/>
  </xdr:twoCellAnchor>
  <xdr:twoCellAnchor>
    <xdr:from>
      <xdr:col>0</xdr:col>
      <xdr:colOff>33130</xdr:colOff>
      <xdr:row>32</xdr:row>
      <xdr:rowOff>16565</xdr:rowOff>
    </xdr:from>
    <xdr:to>
      <xdr:col>8</xdr:col>
      <xdr:colOff>265043</xdr:colOff>
      <xdr:row>33</xdr:row>
      <xdr:rowOff>0</xdr:rowOff>
    </xdr:to>
    <xdr:sp macro="" textlink="">
      <xdr:nvSpPr>
        <xdr:cNvPr id="28" name="ZoneTexte 27">
          <a:extLst>
            <a:ext uri="{FF2B5EF4-FFF2-40B4-BE49-F238E27FC236}">
              <a16:creationId xmlns:a16="http://schemas.microsoft.com/office/drawing/2014/main" id="{00000000-0008-0000-0300-00001C000000}"/>
            </a:ext>
          </a:extLst>
        </xdr:cNvPr>
        <xdr:cNvSpPr txBox="1"/>
      </xdr:nvSpPr>
      <xdr:spPr>
        <a:xfrm>
          <a:off x="33130" y="6112565"/>
          <a:ext cx="6327913" cy="1739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800"/>
            <a:t>* Le calcul prend en compte la méthode d'ajustement d'ajustement climatique                                       ** Valeur informative,</a:t>
          </a:r>
          <a:r>
            <a:rPr lang="fr-FR" sz="800" baseline="0"/>
            <a:t> non contractuelle</a:t>
          </a:r>
          <a:endParaRPr lang="fr-FR" sz="800"/>
        </a:p>
      </xdr:txBody>
    </xdr:sp>
    <xdr:clientData/>
  </xdr:twoCellAnchor>
  <xdr:twoCellAnchor>
    <xdr:from>
      <xdr:col>0</xdr:col>
      <xdr:colOff>16565</xdr:colOff>
      <xdr:row>0</xdr:row>
      <xdr:rowOff>16566</xdr:rowOff>
    </xdr:from>
    <xdr:to>
      <xdr:col>6</xdr:col>
      <xdr:colOff>33130</xdr:colOff>
      <xdr:row>1</xdr:row>
      <xdr:rowOff>82508</xdr:rowOff>
    </xdr:to>
    <xdr:sp macro="" textlink="">
      <xdr:nvSpPr>
        <xdr:cNvPr id="32" name="ZoneTexte 31">
          <a:extLst>
            <a:ext uri="{FF2B5EF4-FFF2-40B4-BE49-F238E27FC236}">
              <a16:creationId xmlns:a16="http://schemas.microsoft.com/office/drawing/2014/main" id="{00000000-0008-0000-0300-000020000000}"/>
            </a:ext>
          </a:extLst>
        </xdr:cNvPr>
        <xdr:cNvSpPr txBox="1"/>
      </xdr:nvSpPr>
      <xdr:spPr>
        <a:xfrm>
          <a:off x="16565"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 des objectifs</a:t>
          </a:r>
          <a:r>
            <a:rPr lang="fr-FR" sz="1600" b="1" baseline="0"/>
            <a:t> du Dispositif Eco Energie Tertiaire</a:t>
          </a:r>
          <a:endParaRPr lang="fr-FR" sz="1600" b="1"/>
        </a:p>
      </xdr:txBody>
    </xdr:sp>
    <xdr:clientData/>
  </xdr:twoCellAnchor>
  <xdr:twoCellAnchor editAs="oneCell">
    <xdr:from>
      <xdr:col>5</xdr:col>
      <xdr:colOff>753718</xdr:colOff>
      <xdr:row>0</xdr:row>
      <xdr:rowOff>11205</xdr:rowOff>
    </xdr:from>
    <xdr:to>
      <xdr:col>8</xdr:col>
      <xdr:colOff>745435</xdr:colOff>
      <xdr:row>1</xdr:row>
      <xdr:rowOff>156146</xdr:rowOff>
    </xdr:to>
    <xdr:pic>
      <xdr:nvPicPr>
        <xdr:cNvPr id="29" name="Imag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4563718" y="11205"/>
          <a:ext cx="2277717" cy="335441"/>
        </a:xfrm>
        <a:prstGeom prst="rect">
          <a:avLst/>
        </a:prstGeom>
      </xdr:spPr>
    </xdr:pic>
    <xdr:clientData/>
  </xdr:twoCellAnchor>
  <xdr:twoCellAnchor editAs="oneCell">
    <xdr:from>
      <xdr:col>9</xdr:col>
      <xdr:colOff>32607</xdr:colOff>
      <xdr:row>0</xdr:row>
      <xdr:rowOff>0</xdr:rowOff>
    </xdr:from>
    <xdr:to>
      <xdr:col>11</xdr:col>
      <xdr:colOff>0</xdr:colOff>
      <xdr:row>3</xdr:row>
      <xdr:rowOff>145676</xdr:rowOff>
    </xdr:to>
    <xdr:pic>
      <xdr:nvPicPr>
        <xdr:cNvPr id="33" name="Imag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890607" y="0"/>
          <a:ext cx="1491393" cy="717176"/>
        </a:xfrm>
        <a:prstGeom prst="rect">
          <a:avLst/>
        </a:prstGeom>
      </xdr:spPr>
    </xdr:pic>
    <xdr:clientData/>
  </xdr:twoCellAnchor>
  <xdr:twoCellAnchor>
    <xdr:from>
      <xdr:col>0</xdr:col>
      <xdr:colOff>107673</xdr:colOff>
      <xdr:row>21</xdr:row>
      <xdr:rowOff>99392</xdr:rowOff>
    </xdr:from>
    <xdr:to>
      <xdr:col>7</xdr:col>
      <xdr:colOff>596348</xdr:colOff>
      <xdr:row>31</xdr:row>
      <xdr:rowOff>182217</xdr:rowOff>
    </xdr:to>
    <xdr:graphicFrame macro="">
      <xdr:nvGraphicFramePr>
        <xdr:cNvPr id="35" name="Graphique 34">
          <a:extLst>
            <a:ext uri="{FF2B5EF4-FFF2-40B4-BE49-F238E27FC236}">
              <a16:creationId xmlns:a16="http://schemas.microsoft.com/office/drawing/2014/main" id="{00000000-0008-0000-03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16566</xdr:rowOff>
    </xdr:from>
    <xdr:to>
      <xdr:col>4</xdr:col>
      <xdr:colOff>190500</xdr:colOff>
      <xdr:row>1</xdr:row>
      <xdr:rowOff>82508</xdr:rowOff>
    </xdr:to>
    <xdr:sp macro="" textlink="">
      <xdr:nvSpPr>
        <xdr:cNvPr id="26" name="ZoneTexte 25">
          <a:extLst>
            <a:ext uri="{FF2B5EF4-FFF2-40B4-BE49-F238E27FC236}">
              <a16:creationId xmlns:a16="http://schemas.microsoft.com/office/drawing/2014/main" id="{00000000-0008-0000-0300-000020000000}"/>
            </a:ext>
          </a:extLst>
        </xdr:cNvPr>
        <xdr:cNvSpPr txBox="1"/>
      </xdr:nvSpPr>
      <xdr:spPr>
        <a:xfrm>
          <a:off x="0" y="16566"/>
          <a:ext cx="4588565"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Données à déclarer sur OPERAT</a:t>
          </a:r>
        </a:p>
      </xdr:txBody>
    </xdr:sp>
    <xdr:clientData/>
  </xdr:twoCellAnchor>
  <xdr:twoCellAnchor editAs="oneCell">
    <xdr:from>
      <xdr:col>4</xdr:col>
      <xdr:colOff>33126</xdr:colOff>
      <xdr:row>0</xdr:row>
      <xdr:rowOff>11205</xdr:rowOff>
    </xdr:from>
    <xdr:to>
      <xdr:col>7</xdr:col>
      <xdr:colOff>24843</xdr:colOff>
      <xdr:row>1</xdr:row>
      <xdr:rowOff>156146</xdr:rowOff>
    </xdr:to>
    <xdr:pic>
      <xdr:nvPicPr>
        <xdr:cNvPr id="27" name="Image 26">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431191" y="11205"/>
          <a:ext cx="2277717" cy="335441"/>
        </a:xfrm>
        <a:prstGeom prst="rect">
          <a:avLst/>
        </a:prstGeom>
      </xdr:spPr>
    </xdr:pic>
    <xdr:clientData/>
  </xdr:twoCellAnchor>
  <xdr:twoCellAnchor editAs="oneCell">
    <xdr:from>
      <xdr:col>7</xdr:col>
      <xdr:colOff>24324</xdr:colOff>
      <xdr:row>0</xdr:row>
      <xdr:rowOff>0</xdr:rowOff>
    </xdr:from>
    <xdr:to>
      <xdr:col>8</xdr:col>
      <xdr:colOff>753717</xdr:colOff>
      <xdr:row>3</xdr:row>
      <xdr:rowOff>145676</xdr:rowOff>
    </xdr:to>
    <xdr:pic>
      <xdr:nvPicPr>
        <xdr:cNvPr id="28" name="Image 27">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8389" y="0"/>
          <a:ext cx="1491393" cy="717176"/>
        </a:xfrm>
        <a:prstGeom prst="rect">
          <a:avLst/>
        </a:prstGeom>
      </xdr:spPr>
    </xdr:pic>
    <xdr:clientData/>
  </xdr:twoCellAnchor>
  <xdr:twoCellAnchor editAs="oneCell">
    <xdr:from>
      <xdr:col>5</xdr:col>
      <xdr:colOff>528845</xdr:colOff>
      <xdr:row>6</xdr:row>
      <xdr:rowOff>106845</xdr:rowOff>
    </xdr:from>
    <xdr:to>
      <xdr:col>8</xdr:col>
      <xdr:colOff>71645</xdr:colOff>
      <xdr:row>28</xdr:row>
      <xdr:rowOff>82825</xdr:rowOff>
    </xdr:to>
    <mc:AlternateContent xmlns:mc="http://schemas.openxmlformats.org/markup-compatibility/2006" xmlns:a14="http://schemas.microsoft.com/office/drawing/2010/main">
      <mc:Choice Requires="a14">
        <xdr:graphicFrame macro="">
          <xdr:nvGraphicFramePr>
            <xdr:cNvPr id="29" name="ANNEE"/>
            <xdr:cNvGraphicFramePr/>
          </xdr:nvGraphicFramePr>
          <xdr:xfrm>
            <a:off x="0" y="0"/>
            <a:ext cx="0" cy="0"/>
          </xdr:xfrm>
          <a:graphic>
            <a:graphicData uri="http://schemas.microsoft.com/office/drawing/2010/slicer">
              <sle:slicer xmlns:sle="http://schemas.microsoft.com/office/drawing/2010/slicer" name="ANNEE"/>
            </a:graphicData>
          </a:graphic>
        </xdr:graphicFrame>
      </mc:Choice>
      <mc:Fallback xmlns="">
        <xdr:sp macro="" textlink="">
          <xdr:nvSpPr>
            <xdr:cNvPr id="0" name=""/>
            <xdr:cNvSpPr>
              <a:spLocks noTextEdit="1"/>
            </xdr:cNvSpPr>
          </xdr:nvSpPr>
          <xdr:spPr>
            <a:xfrm>
              <a:off x="5688910" y="1249845"/>
              <a:ext cx="1828800" cy="4564545"/>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41413</xdr:colOff>
      <xdr:row>1</xdr:row>
      <xdr:rowOff>65942</xdr:rowOff>
    </xdr:to>
    <xdr:sp macro="" textlink="">
      <xdr:nvSpPr>
        <xdr:cNvPr id="3" name="ZoneTexte 2">
          <a:extLst>
            <a:ext uri="{FF2B5EF4-FFF2-40B4-BE49-F238E27FC236}">
              <a16:creationId xmlns:a16="http://schemas.microsoft.com/office/drawing/2014/main" id="{00000000-0008-0000-0400-000003000000}"/>
            </a:ext>
          </a:extLst>
        </xdr:cNvPr>
        <xdr:cNvSpPr txBox="1"/>
      </xdr:nvSpPr>
      <xdr:spPr>
        <a:xfrm>
          <a:off x="0" y="0"/>
          <a:ext cx="4613413"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Analyse de</a:t>
          </a:r>
          <a:r>
            <a:rPr lang="fr-FR" sz="1600" b="1" baseline="0"/>
            <a:t> la rigueur climatique</a:t>
          </a:r>
          <a:endParaRPr lang="fr-FR" sz="1600" b="1"/>
        </a:p>
      </xdr:txBody>
    </xdr:sp>
    <xdr:clientData/>
  </xdr:twoCellAnchor>
  <mc:AlternateContent xmlns:mc="http://schemas.openxmlformats.org/markup-compatibility/2006">
    <mc:Choice xmlns:a14="http://schemas.microsoft.com/office/drawing/2010/main" Requires="a14">
      <xdr:twoCellAnchor editAs="oneCell">
        <xdr:from>
          <xdr:col>8</xdr:col>
          <xdr:colOff>552450</xdr:colOff>
          <xdr:row>18</xdr:row>
          <xdr:rowOff>9525</xdr:rowOff>
        </xdr:from>
        <xdr:to>
          <xdr:col>10</xdr:col>
          <xdr:colOff>276225</xdr:colOff>
          <xdr:row>19</xdr:row>
          <xdr:rowOff>57150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20</xdr:row>
          <xdr:rowOff>19050</xdr:rowOff>
        </xdr:from>
        <xdr:to>
          <xdr:col>10</xdr:col>
          <xdr:colOff>285750</xdr:colOff>
          <xdr:row>21</xdr:row>
          <xdr:rowOff>76200</xdr:rowOff>
        </xdr:to>
        <xdr:sp macro="" textlink="">
          <xdr:nvSpPr>
            <xdr:cNvPr id="32770" name="Drop Down 2" hidden="1">
              <a:extLst>
                <a:ext uri="{63B3BB69-23CF-44E3-9099-C40C66FF867C}">
                  <a14:compatExt spid="_x0000_s32770"/>
                </a:ext>
                <a:ext uri="{FF2B5EF4-FFF2-40B4-BE49-F238E27FC236}">
                  <a16:creationId xmlns:a16="http://schemas.microsoft.com/office/drawing/2014/main" id="{00000000-0008-0000-04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561975</xdr:colOff>
          <xdr:row>22</xdr:row>
          <xdr:rowOff>47625</xdr:rowOff>
        </xdr:from>
        <xdr:to>
          <xdr:col>10</xdr:col>
          <xdr:colOff>285750</xdr:colOff>
          <xdr:row>23</xdr:row>
          <xdr:rowOff>104775</xdr:rowOff>
        </xdr:to>
        <xdr:sp macro="" textlink="">
          <xdr:nvSpPr>
            <xdr:cNvPr id="32771" name="Drop Down 3" hidden="1">
              <a:extLst>
                <a:ext uri="{63B3BB69-23CF-44E3-9099-C40C66FF867C}">
                  <a14:compatExt spid="_x0000_s32771"/>
                </a:ext>
                <a:ext uri="{FF2B5EF4-FFF2-40B4-BE49-F238E27FC236}">
                  <a16:creationId xmlns:a16="http://schemas.microsoft.com/office/drawing/2014/main" id="{00000000-0008-0000-0400-000003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339587</xdr:colOff>
      <xdr:row>3</xdr:row>
      <xdr:rowOff>74547</xdr:rowOff>
    </xdr:from>
    <xdr:to>
      <xdr:col>10</xdr:col>
      <xdr:colOff>679173</xdr:colOff>
      <xdr:row>4</xdr:row>
      <xdr:rowOff>124242</xdr:rowOff>
    </xdr:to>
    <xdr:sp macro="" textlink="">
      <xdr:nvSpPr>
        <xdr:cNvPr id="4" name="ZoneTexte 3">
          <a:extLst>
            <a:ext uri="{FF2B5EF4-FFF2-40B4-BE49-F238E27FC236}">
              <a16:creationId xmlns:a16="http://schemas.microsoft.com/office/drawing/2014/main" id="{00000000-0008-0000-0400-000004000000}"/>
            </a:ext>
          </a:extLst>
        </xdr:cNvPr>
        <xdr:cNvSpPr txBox="1"/>
      </xdr:nvSpPr>
      <xdr:spPr>
        <a:xfrm>
          <a:off x="5673587" y="646047"/>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le compteur à analyser : </a:t>
          </a:r>
        </a:p>
      </xdr:txBody>
    </xdr:sp>
    <xdr:clientData/>
  </xdr:twoCellAnchor>
  <xdr:twoCellAnchor>
    <xdr:from>
      <xdr:col>7</xdr:col>
      <xdr:colOff>422414</xdr:colOff>
      <xdr:row>16</xdr:row>
      <xdr:rowOff>122999</xdr:rowOff>
    </xdr:from>
    <xdr:to>
      <xdr:col>11</xdr:col>
      <xdr:colOff>0</xdr:colOff>
      <xdr:row>17</xdr:row>
      <xdr:rowOff>172694</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5756414" y="3170999"/>
          <a:ext cx="2625586"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a:solidFill>
                <a:srgbClr val="FF0000"/>
              </a:solidFill>
            </a:rPr>
            <a:t>Sélectionnez trois années : </a:t>
          </a:r>
        </a:p>
      </xdr:txBody>
    </xdr:sp>
    <xdr:clientData/>
  </xdr:twoCellAnchor>
  <xdr:twoCellAnchor>
    <xdr:from>
      <xdr:col>0</xdr:col>
      <xdr:colOff>16565</xdr:colOff>
      <xdr:row>3</xdr:row>
      <xdr:rowOff>16566</xdr:rowOff>
    </xdr:from>
    <xdr:to>
      <xdr:col>7</xdr:col>
      <xdr:colOff>347868</xdr:colOff>
      <xdr:row>20</xdr:row>
      <xdr:rowOff>0</xdr:rowOff>
    </xdr:to>
    <xdr:graphicFrame macro="">
      <xdr:nvGraphicFramePr>
        <xdr:cNvPr id="11" name="Graphique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684143</xdr:colOff>
      <xdr:row>4</xdr:row>
      <xdr:rowOff>149087</xdr:rowOff>
    </xdr:from>
    <xdr:to>
      <xdr:col>10</xdr:col>
      <xdr:colOff>231705</xdr:colOff>
      <xdr:row>16</xdr:row>
      <xdr:rowOff>49695</xdr:rowOff>
    </xdr:to>
    <mc:AlternateContent xmlns:mc="http://schemas.openxmlformats.org/markup-compatibility/2006" xmlns:a14="http://schemas.microsoft.com/office/drawing/2010/main">
      <mc:Choice Requires="a14">
        <xdr:graphicFrame macro="">
          <xdr:nvGraphicFramePr>
            <xdr:cNvPr id="12" name="Nom 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microsoft.com/office/drawing/2010/slicer">
              <sle:slicer xmlns:sle="http://schemas.microsoft.com/office/drawing/2010/slicer" name="Nom 1"/>
            </a:graphicData>
          </a:graphic>
        </xdr:graphicFrame>
      </mc:Choice>
      <mc:Fallback xmlns="">
        <xdr:sp macro="" textlink="">
          <xdr:nvSpPr>
            <xdr:cNvPr id="0" name=""/>
            <xdr:cNvSpPr>
              <a:spLocks noTextEdit="1"/>
            </xdr:cNvSpPr>
          </xdr:nvSpPr>
          <xdr:spPr>
            <a:xfrm>
              <a:off x="6018143" y="911087"/>
              <a:ext cx="1833562" cy="2186608"/>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fLocksWithSheet="0"/>
  </xdr:twoCellAnchor>
  <xdr:twoCellAnchor>
    <xdr:from>
      <xdr:col>0</xdr:col>
      <xdr:colOff>165652</xdr:colOff>
      <xdr:row>19</xdr:row>
      <xdr:rowOff>115958</xdr:rowOff>
    </xdr:from>
    <xdr:to>
      <xdr:col>7</xdr:col>
      <xdr:colOff>356152</xdr:colOff>
      <xdr:row>33</xdr:row>
      <xdr:rowOff>0</xdr:rowOff>
    </xdr:to>
    <xdr:graphicFrame macro="">
      <xdr:nvGraphicFramePr>
        <xdr:cNvPr id="14" name="Graphique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0</xdr:colOff>
      <xdr:row>0</xdr:row>
      <xdr:rowOff>11205</xdr:rowOff>
    </xdr:from>
    <xdr:to>
      <xdr:col>8</xdr:col>
      <xdr:colOff>753717</xdr:colOff>
      <xdr:row>1</xdr:row>
      <xdr:rowOff>156146</xdr:rowOff>
    </xdr:to>
    <xdr:pic>
      <xdr:nvPicPr>
        <xdr:cNvPr id="13" name="Imag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4572000" y="11205"/>
          <a:ext cx="2277717" cy="335441"/>
        </a:xfrm>
        <a:prstGeom prst="rect">
          <a:avLst/>
        </a:prstGeom>
      </xdr:spPr>
    </xdr:pic>
    <xdr:clientData/>
  </xdr:twoCellAnchor>
  <xdr:twoCellAnchor editAs="oneCell">
    <xdr:from>
      <xdr:col>9</xdr:col>
      <xdr:colOff>40889</xdr:colOff>
      <xdr:row>0</xdr:row>
      <xdr:rowOff>0</xdr:rowOff>
    </xdr:from>
    <xdr:to>
      <xdr:col>11</xdr:col>
      <xdr:colOff>8282</xdr:colOff>
      <xdr:row>3</xdr:row>
      <xdr:rowOff>145676</xdr:rowOff>
    </xdr:to>
    <xdr:pic>
      <xdr:nvPicPr>
        <xdr:cNvPr id="15" name="Imag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98889" y="0"/>
          <a:ext cx="1491393" cy="7171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6626</xdr:colOff>
      <xdr:row>13</xdr:row>
      <xdr:rowOff>82825</xdr:rowOff>
    </xdr:from>
    <xdr:to>
      <xdr:col>7</xdr:col>
      <xdr:colOff>629478</xdr:colOff>
      <xdr:row>32</xdr:row>
      <xdr:rowOff>171448</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0</xdr:colOff>
      <xdr:row>0</xdr:row>
      <xdr:rowOff>0</xdr:rowOff>
    </xdr:from>
    <xdr:to>
      <xdr:col>6</xdr:col>
      <xdr:colOff>29308</xdr:colOff>
      <xdr:row>1</xdr:row>
      <xdr:rowOff>65942</xdr:rowOff>
    </xdr:to>
    <xdr:sp macro="" textlink="">
      <xdr:nvSpPr>
        <xdr:cNvPr id="6" name="ZoneTexte 5">
          <a:extLst>
            <a:ext uri="{FF2B5EF4-FFF2-40B4-BE49-F238E27FC236}">
              <a16:creationId xmlns:a16="http://schemas.microsoft.com/office/drawing/2014/main" id="{00000000-0008-0000-0500-000006000000}"/>
            </a:ext>
          </a:extLst>
        </xdr:cNvPr>
        <xdr:cNvSpPr txBox="1"/>
      </xdr:nvSpPr>
      <xdr:spPr>
        <a:xfrm>
          <a:off x="0" y="0"/>
          <a:ext cx="460130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des coûts de l'énergie</a:t>
          </a:r>
          <a:endParaRPr lang="fr-FR" sz="1600" b="1"/>
        </a:p>
      </xdr:txBody>
    </xdr:sp>
    <xdr:clientData/>
  </xdr:twoCellAnchor>
  <xdr:twoCellAnchor>
    <xdr:from>
      <xdr:col>7</xdr:col>
      <xdr:colOff>600489</xdr:colOff>
      <xdr:row>14</xdr:row>
      <xdr:rowOff>0</xdr:rowOff>
    </xdr:from>
    <xdr:to>
      <xdr:col>11</xdr:col>
      <xdr:colOff>0</xdr:colOff>
      <xdr:row>32</xdr:row>
      <xdr:rowOff>8902</xdr:rowOff>
    </xdr:to>
    <xdr:graphicFrame macro="">
      <xdr:nvGraphicFramePr>
        <xdr:cNvPr id="7" name="Graphique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xdr:col>
      <xdr:colOff>1243</xdr:colOff>
      <xdr:row>0</xdr:row>
      <xdr:rowOff>19488</xdr:rowOff>
    </xdr:from>
    <xdr:to>
      <xdr:col>8</xdr:col>
      <xdr:colOff>754960</xdr:colOff>
      <xdr:row>1</xdr:row>
      <xdr:rowOff>164429</xdr:rowOff>
    </xdr:to>
    <xdr:pic>
      <xdr:nvPicPr>
        <xdr:cNvPr id="8" name="Imag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4573243" y="19488"/>
          <a:ext cx="2277717" cy="335441"/>
        </a:xfrm>
        <a:prstGeom prst="rect">
          <a:avLst/>
        </a:prstGeom>
      </xdr:spPr>
    </xdr:pic>
    <xdr:clientData/>
  </xdr:twoCellAnchor>
  <xdr:twoCellAnchor editAs="oneCell">
    <xdr:from>
      <xdr:col>9</xdr:col>
      <xdr:colOff>42132</xdr:colOff>
      <xdr:row>0</xdr:row>
      <xdr:rowOff>8283</xdr:rowOff>
    </xdr:from>
    <xdr:to>
      <xdr:col>11</xdr:col>
      <xdr:colOff>0</xdr:colOff>
      <xdr:row>3</xdr:row>
      <xdr:rowOff>153959</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900132" y="8283"/>
          <a:ext cx="1481868" cy="717176"/>
        </a:xfrm>
        <a:prstGeom prst="rect">
          <a:avLst/>
        </a:prstGeom>
      </xdr:spPr>
    </xdr:pic>
    <xdr:clientData/>
  </xdr:twoCellAnchor>
  <xdr:twoCellAnchor>
    <xdr:from>
      <xdr:col>7</xdr:col>
      <xdr:colOff>712305</xdr:colOff>
      <xdr:row>17</xdr:row>
      <xdr:rowOff>157365</xdr:rowOff>
    </xdr:from>
    <xdr:to>
      <xdr:col>8</xdr:col>
      <xdr:colOff>223632</xdr:colOff>
      <xdr:row>20</xdr:row>
      <xdr:rowOff>16560</xdr:rowOff>
    </xdr:to>
    <xdr:sp macro="" textlink="Controle_des_données!A38">
      <xdr:nvSpPr>
        <xdr:cNvPr id="2" name="ZoneTexte 1">
          <a:extLst>
            <a:ext uri="{FF2B5EF4-FFF2-40B4-BE49-F238E27FC236}">
              <a16:creationId xmlns:a16="http://schemas.microsoft.com/office/drawing/2014/main" id="{00000000-0008-0000-0500-000002000000}"/>
            </a:ext>
          </a:extLst>
        </xdr:cNvPr>
        <xdr:cNvSpPr txBox="1"/>
      </xdr:nvSpPr>
      <xdr:spPr>
        <a:xfrm rot="16200000">
          <a:off x="5967621" y="3474549"/>
          <a:ext cx="430695"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xdr:from>
      <xdr:col>0</xdr:col>
      <xdr:colOff>144118</xdr:colOff>
      <xdr:row>18</xdr:row>
      <xdr:rowOff>69573</xdr:rowOff>
    </xdr:from>
    <xdr:to>
      <xdr:col>0</xdr:col>
      <xdr:colOff>417445</xdr:colOff>
      <xdr:row>20</xdr:row>
      <xdr:rowOff>119268</xdr:rowOff>
    </xdr:to>
    <xdr:sp macro="" textlink="Controle_des_données!A38">
      <xdr:nvSpPr>
        <xdr:cNvPr id="5" name="ZoneTexte 4">
          <a:extLst>
            <a:ext uri="{FF2B5EF4-FFF2-40B4-BE49-F238E27FC236}">
              <a16:creationId xmlns:a16="http://schemas.microsoft.com/office/drawing/2014/main" id="{00000000-0008-0000-0500-000005000000}"/>
            </a:ext>
          </a:extLst>
        </xdr:cNvPr>
        <xdr:cNvSpPr txBox="1"/>
      </xdr:nvSpPr>
      <xdr:spPr>
        <a:xfrm rot="16200000">
          <a:off x="65434" y="3577257"/>
          <a:ext cx="430695" cy="273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fld id="{DA43E666-33C1-4E45-BD87-463BCC38F753}" type="TxLink">
            <a:rPr lang="en-US" sz="1000" b="1" i="0" u="none" strike="noStrike" baseline="0">
              <a:solidFill>
                <a:schemeClr val="tx1">
                  <a:lumMod val="65000"/>
                  <a:lumOff val="35000"/>
                </a:schemeClr>
              </a:solidFill>
              <a:latin typeface="+mn-lt"/>
              <a:ea typeface="+mn-ea"/>
              <a:cs typeface="+mn-cs"/>
            </a:rPr>
            <a:pPr marL="0" indent="0" algn="ctr"/>
            <a:t>TTC</a:t>
          </a:fld>
          <a:endParaRPr lang="fr-FR" sz="1000" b="1" baseline="0">
            <a:solidFill>
              <a:schemeClr val="tx1">
                <a:lumMod val="65000"/>
                <a:lumOff val="35000"/>
              </a:schemeClr>
            </a:solidFill>
            <a:latin typeface="+mn-lt"/>
            <a:ea typeface="+mn-ea"/>
            <a:cs typeface="+mn-cs"/>
          </a:endParaRPr>
        </a:p>
      </xdr:txBody>
    </xdr:sp>
    <xdr:clientData/>
  </xdr:twoCellAnchor>
  <xdr:twoCellAnchor editAs="oneCell">
    <xdr:from>
      <xdr:col>0</xdr:col>
      <xdr:colOff>33130</xdr:colOff>
      <xdr:row>4</xdr:row>
      <xdr:rowOff>1</xdr:rowOff>
    </xdr:from>
    <xdr:to>
      <xdr:col>10</xdr:col>
      <xdr:colOff>654326</xdr:colOff>
      <xdr:row>12</xdr:row>
      <xdr:rowOff>24849</xdr:rowOff>
    </xdr:to>
    <mc:AlternateContent xmlns:mc="http://schemas.openxmlformats.org/markup-compatibility/2006" xmlns:tsle="http://schemas.microsoft.com/office/drawing/2012/timeslicer">
      <mc:Choice Requires="tsle">
        <xdr:graphicFrame macro="">
          <xdr:nvGraphicFramePr>
            <xdr:cNvPr id="10" name="fin mois">
              <a:extLst>
                <a:ext uri="{FF2B5EF4-FFF2-40B4-BE49-F238E27FC236}">
                  <a16:creationId xmlns:a16="http://schemas.microsoft.com/office/drawing/2014/main" id="{00000000-0008-0000-0500-00000A000000}"/>
                </a:ext>
              </a:extLst>
            </xdr:cNvPr>
            <xdr:cNvGraphicFramePr/>
          </xdr:nvGraphicFramePr>
          <xdr:xfrm>
            <a:off x="0" y="0"/>
            <a:ext cx="0" cy="0"/>
          </xdr:xfrm>
          <a:graphic>
            <a:graphicData uri="http://schemas.microsoft.com/office/drawing/2012/timeslicer">
              <tsle:timeslicer name="fin mois"/>
            </a:graphicData>
          </a:graphic>
        </xdr:graphicFrame>
      </mc:Choice>
      <mc:Fallback xmlns="">
        <xdr:sp macro="" textlink="">
          <xdr:nvSpPr>
            <xdr:cNvPr id="0" name=""/>
            <xdr:cNvSpPr>
              <a:spLocks noTextEdit="1"/>
            </xdr:cNvSpPr>
          </xdr:nvSpPr>
          <xdr:spPr>
            <a:xfrm>
              <a:off x="33130" y="762001"/>
              <a:ext cx="8241196" cy="1548848"/>
            </a:xfrm>
            <a:prstGeom prst="rect">
              <a:avLst/>
            </a:prstGeom>
            <a:solidFill>
              <a:prstClr val="white"/>
            </a:solidFill>
            <a:ln w="1">
              <a:solidFill>
                <a:prstClr val="green"/>
              </a:solidFill>
            </a:ln>
          </xdr:spPr>
          <xdr:txBody>
            <a:bodyPr vertOverflow="clip" horzOverflow="clip"/>
            <a:lstStyle/>
            <a:p>
              <a:r>
                <a:rPr lang="fr-FR" sz="1100"/>
                <a:t>Chronologie : fonctionne dans Excel ou version ultérieure. Ne pas déplacer ni redimensionner.</a:t>
              </a:r>
            </a:p>
          </xdr:txBody>
        </xdr:sp>
      </mc:Fallback>
    </mc:AlternateContent>
    <xdr:clientData/>
  </xdr:twoCellAnchor>
  <xdr:twoCellAnchor>
    <xdr:from>
      <xdr:col>0</xdr:col>
      <xdr:colOff>123411</xdr:colOff>
      <xdr:row>12</xdr:row>
      <xdr:rowOff>173935</xdr:rowOff>
    </xdr:from>
    <xdr:to>
      <xdr:col>7</xdr:col>
      <xdr:colOff>512693</xdr:colOff>
      <xdr:row>14</xdr:row>
      <xdr:rowOff>49377</xdr:rowOff>
    </xdr:to>
    <xdr:sp macro="" textlink="">
      <xdr:nvSpPr>
        <xdr:cNvPr id="11" name="ZoneTexte 10">
          <a:extLst>
            <a:ext uri="{FF2B5EF4-FFF2-40B4-BE49-F238E27FC236}">
              <a16:creationId xmlns:a16="http://schemas.microsoft.com/office/drawing/2014/main" id="{00000000-0008-0000-0500-00000B000000}"/>
            </a:ext>
          </a:extLst>
        </xdr:cNvPr>
        <xdr:cNvSpPr txBox="1"/>
      </xdr:nvSpPr>
      <xdr:spPr>
        <a:xfrm>
          <a:off x="123411" y="2459935"/>
          <a:ext cx="5723282"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Coûts unitaires de l'énergie</a:t>
          </a:r>
        </a:p>
      </xdr:txBody>
    </xdr:sp>
    <xdr:clientData/>
  </xdr:twoCellAnchor>
  <xdr:twoCellAnchor>
    <xdr:from>
      <xdr:col>7</xdr:col>
      <xdr:colOff>747505</xdr:colOff>
      <xdr:row>12</xdr:row>
      <xdr:rowOff>135835</xdr:rowOff>
    </xdr:from>
    <xdr:to>
      <xdr:col>10</xdr:col>
      <xdr:colOff>614983</xdr:colOff>
      <xdr:row>14</xdr:row>
      <xdr:rowOff>11277</xdr:rowOff>
    </xdr:to>
    <xdr:sp macro="" textlink="">
      <xdr:nvSpPr>
        <xdr:cNvPr id="12" name="ZoneTexte 11">
          <a:extLst>
            <a:ext uri="{FF2B5EF4-FFF2-40B4-BE49-F238E27FC236}">
              <a16:creationId xmlns:a16="http://schemas.microsoft.com/office/drawing/2014/main" id="{00000000-0008-0000-0500-00000C000000}"/>
            </a:ext>
          </a:extLst>
        </xdr:cNvPr>
        <xdr:cNvSpPr txBox="1"/>
      </xdr:nvSpPr>
      <xdr:spPr>
        <a:xfrm>
          <a:off x="6081505" y="2421835"/>
          <a:ext cx="2153478"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t>Coût</a:t>
          </a:r>
          <a:r>
            <a:rPr lang="fr-FR" sz="1100" b="1" baseline="0"/>
            <a:t> total annuel de l'énergie</a:t>
          </a:r>
          <a:endParaRPr lang="fr-FR" sz="1100" b="1"/>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0</xdr:colOff>
      <xdr:row>0</xdr:row>
      <xdr:rowOff>28575</xdr:rowOff>
    </xdr:from>
    <xdr:to>
      <xdr:col>10</xdr:col>
      <xdr:colOff>753717</xdr:colOff>
      <xdr:row>1</xdr:row>
      <xdr:rowOff>168754</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0" y="28575"/>
          <a:ext cx="2277717" cy="330679"/>
        </a:xfrm>
        <a:prstGeom prst="rect">
          <a:avLst/>
        </a:prstGeom>
      </xdr:spPr>
    </xdr:pic>
    <xdr:clientData/>
  </xdr:twoCellAnchor>
  <xdr:twoCellAnchor>
    <xdr:from>
      <xdr:col>0</xdr:col>
      <xdr:colOff>0</xdr:colOff>
      <xdr:row>0</xdr:row>
      <xdr:rowOff>0</xdr:rowOff>
    </xdr:from>
    <xdr:to>
      <xdr:col>8</xdr:col>
      <xdr:colOff>19050</xdr:colOff>
      <xdr:row>1</xdr:row>
      <xdr:rowOff>65942</xdr:rowOff>
    </xdr:to>
    <xdr:sp macro="" textlink="">
      <xdr:nvSpPr>
        <xdr:cNvPr id="4" name="ZoneTexte 3">
          <a:extLst>
            <a:ext uri="{FF2B5EF4-FFF2-40B4-BE49-F238E27FC236}">
              <a16:creationId xmlns:a16="http://schemas.microsoft.com/office/drawing/2014/main" id="{00000000-0008-0000-0600-000004000000}"/>
            </a:ext>
          </a:extLst>
        </xdr:cNvPr>
        <xdr:cNvSpPr txBox="1"/>
      </xdr:nvSpPr>
      <xdr:spPr>
        <a:xfrm>
          <a:off x="0" y="0"/>
          <a:ext cx="6115050" cy="256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600" b="1"/>
            <a:t>Suivi</a:t>
          </a:r>
          <a:r>
            <a:rPr lang="fr-FR" sz="1600" b="1" baseline="0"/>
            <a:t> de la production d'énergie sur site</a:t>
          </a:r>
          <a:endParaRPr lang="fr-FR" sz="16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aurent/Departement/1_EHPAD/Ehpad%20Dujari&#233;%20-%20Loir%20en%20Vall&#233;e/11%20-%20Plan%20d'action%20et%20suivi%20&#233;nerg&#233;tique/Suivi_Energie_Eau_0.9_Dujar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
      <sheetName val="Résumé Energie"/>
      <sheetName val="Suivi DEET"/>
      <sheetName val="Choix DEET"/>
      <sheetName val="Rigueur Climat."/>
      <sheetName val="Coût Energie"/>
      <sheetName val="Suivi EAU"/>
      <sheetName val="Suivi Production"/>
      <sheetName val="Liste"/>
      <sheetName val="Calcul_Bilan_Energie"/>
      <sheetName val="Controle_des_données"/>
      <sheetName val="CALCUL DEET"/>
      <sheetName val="Calculs_Consos"/>
      <sheetName val="Analyse_Chauffage"/>
      <sheetName val="TCD_eau"/>
      <sheetName val="Notes_Versions"/>
      <sheetName val="Conversion"/>
      <sheetName val="Compteur_1"/>
      <sheetName val="Compteur_2"/>
      <sheetName val="Compteur_3"/>
      <sheetName val="Compteur_4"/>
      <sheetName val="Compteur_5"/>
      <sheetName val="Compteur_6"/>
      <sheetName val="Compteur_7"/>
      <sheetName val="Compteur_8"/>
      <sheetName val="BDD_DJU"/>
    </sheetNames>
    <sheetDataSet>
      <sheetData sheetId="0"/>
      <sheetData sheetId="1"/>
      <sheetData sheetId="2"/>
      <sheetData sheetId="3"/>
      <sheetData sheetId="4"/>
      <sheetData sheetId="5"/>
      <sheetData sheetId="6"/>
      <sheetData sheetId="7"/>
      <sheetData sheetId="8">
        <row r="3">
          <cell r="N3" t="str">
            <v>Consommation</v>
          </cell>
          <cell r="T3" t="str">
            <v>Bois - Plaquettes (tonnes)</v>
          </cell>
        </row>
        <row r="4">
          <cell r="N4" t="str">
            <v>Production</v>
          </cell>
          <cell r="T4" t="str">
            <v>Bois - Granulés (tonnes)</v>
          </cell>
        </row>
        <row r="5">
          <cell r="N5" t="str">
            <v>Sous Comptage</v>
          </cell>
          <cell r="T5" t="str">
            <v>Bois - Bûches (stères)</v>
          </cell>
        </row>
        <row r="6">
          <cell r="T6" t="str">
            <v>Gaz naturel (kWh)</v>
          </cell>
        </row>
        <row r="7">
          <cell r="T7" t="str">
            <v>Gaz naturel (m3)</v>
          </cell>
        </row>
        <row r="8">
          <cell r="T8" t="str">
            <v>Gaz propane (tonnes)</v>
          </cell>
        </row>
        <row r="9">
          <cell r="T9" t="str">
            <v>Gaz propane (m3)</v>
          </cell>
        </row>
        <row r="10">
          <cell r="T10" t="str">
            <v>Gaz butane (tonnes)</v>
          </cell>
        </row>
        <row r="11">
          <cell r="T11" t="str">
            <v>Gaz butane (litres)</v>
          </cell>
        </row>
        <row r="12">
          <cell r="T12" t="str">
            <v>Gaz butane (m3)</v>
          </cell>
        </row>
        <row r="13">
          <cell r="T13" t="str">
            <v>Fioul domestique (litres)</v>
          </cell>
        </row>
        <row r="14">
          <cell r="T14" t="str">
            <v>Pompe A Chaleur (kWh)</v>
          </cell>
        </row>
        <row r="15">
          <cell r="T15" t="str">
            <v>Réseau de chaleur (kWh)</v>
          </cell>
        </row>
        <row r="16">
          <cell r="T16" t="str">
            <v>Electricité (kWh)</v>
          </cell>
        </row>
        <row r="17">
          <cell r="T17" t="str">
            <v>Eau (m3)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persons/person.xml><?xml version="1.0" encoding="utf-8"?>
<personList xmlns="http://schemas.microsoft.com/office/spreadsheetml/2018/threadedcomments" xmlns:x="http://schemas.openxmlformats.org/spreadsheetml/2006/main">
  <person displayName="Fabien ROUAULT" id="{60167206-CCD6-4093-AFD2-6704D86DD72F}" userId="S::f.rouault@fondation-sjd.fr::7585273b-4853-4e10-be7c-dfbdd39ff5f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FAVERAIS Laurent" refreshedDate="45300.616485416664" createdVersion="6" refreshedVersion="6" minRefreshableVersion="3" recordCount="4493">
  <cacheSource type="worksheet">
    <worksheetSource name="Tableau9"/>
  </cacheSource>
  <cacheFields count="7">
    <cacheField name="Station" numFmtId="0">
      <sharedItems count="17">
        <s v="Saint-Brieuc"/>
        <s v="Brest - Guipavas"/>
        <s v="Quimper"/>
        <s v="Rennes - St Jacques"/>
        <s v="Dinard"/>
        <s v="Lorient - Lann Bihoue"/>
        <s v="Vannes-Sene"/>
        <s v="Nantes - Bouguenais"/>
        <s v="Angers - Beaucouzé"/>
        <s v="Niort"/>
        <s v="Paris - Montsouris"/>
        <s v="Marseille - Marignane"/>
        <s v="Le Mans"/>
        <s v="Laval"/>
        <s v="La Roche sur Yon"/>
        <s v="Alençon"/>
        <s v="Angers - BeaucouzÃ©" u="1"/>
      </sharedItems>
    </cacheField>
    <cacheField name="annee" numFmtId="0">
      <sharedItems containsMixedTypes="1" containsNumber="1" containsInteger="1" minValue="2000" maxValue="2023" count="25">
        <n v="2000"/>
        <n v="2001"/>
        <n v="2002"/>
        <n v="2003"/>
        <n v="2004"/>
        <n v="2005"/>
        <n v="2006"/>
        <n v="2007"/>
        <n v="2008"/>
        <n v="2009"/>
        <n v="2010"/>
        <n v="2011"/>
        <n v="2012"/>
        <n v="2013"/>
        <n v="2014"/>
        <n v="2015"/>
        <n v="2016"/>
        <n v="2017"/>
        <n v="2018"/>
        <n v="2019"/>
        <n v="2020"/>
        <n v="2021"/>
        <n v="2022"/>
        <n v="2023"/>
        <s v="Moyenne_2001_2020" f="1"/>
      </sharedItems>
    </cacheField>
    <cacheField name="mois" numFmtId="0">
      <sharedItems count="12">
        <s v="janv"/>
        <s v="fev"/>
        <s v="mars"/>
        <s v="avr"/>
        <s v="mai"/>
        <s v="juin"/>
        <s v="juil"/>
        <s v="aout"/>
        <s v="sept"/>
        <s v="oct"/>
        <s v="nov"/>
        <s v="dec"/>
      </sharedItems>
    </cacheField>
    <cacheField name="mois_numero" numFmtId="0">
      <sharedItems containsSemiMixedTypes="0" containsString="0" containsNumber="1" containsInteger="1" minValue="1" maxValue="12" count="12">
        <n v="1"/>
        <n v="2"/>
        <n v="3"/>
        <n v="4"/>
        <n v="5"/>
        <n v="6"/>
        <n v="7"/>
        <n v="8"/>
        <n v="9"/>
        <n v="10"/>
        <n v="11"/>
        <n v="12"/>
      </sharedItems>
    </cacheField>
    <cacheField name="DJU(chauffagiste)" numFmtId="0">
      <sharedItems containsSemiMixedTypes="0" containsString="0" containsNumber="1" minValue="0" maxValue="537"/>
    </cacheField>
    <cacheField name="DJU(climaticien)" numFmtId="0">
      <sharedItems containsSemiMixedTypes="0" containsString="0" containsNumber="1" minValue="0" maxValue="317.3"/>
    </cacheField>
    <cacheField name="Moyenne_DJU_chauffage" numFmtId="0" formula=" AVERAGE('DJU(chauffagiste)')" databaseField="0"/>
  </cacheFields>
  <calculatedItems count="1">
    <calculatedItem formula="AVERAGE(annee['2001'],annee['2002'],annee['2003'],annee['2004'],annee['2005'],annee['2006'],annee['2007'],annee['2008'],annee['2009'],annee['2010'],annee['2011'],annee['2012'],annee['2013'],annee['2014'],annee['2015'],annee['2016'],annee['2017'],annee['2018'],annee['2019'],annee['2020'])">
      <pivotArea cacheIndex="1" outline="0" fieldPosition="0">
        <references count="1">
          <reference field="1" count="1">
            <x v="24"/>
          </reference>
        </references>
      </pivotArea>
    </calculatedItem>
  </calculatedItem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FAVERAIS Laurent" refreshedDate="45308.44136597222" createdVersion="6" refreshedVersion="6" minRefreshableVersion="3" recordCount="1542">
  <cacheSource type="worksheet">
    <worksheetSource name="Tab_Calculs"/>
  </cacheSource>
  <cacheFields count="32">
    <cacheField name="Début mois" numFmtId="14">
      <sharedItems containsNonDate="0" containsDate="1" containsString="0" containsBlank="1" minDate="2010-01-01T00:00:00" maxDate="2025-12-02T00:00:00"/>
    </cacheField>
    <cacheField name="fin mois" numFmtId="14">
      <sharedItems containsNonDate="0" containsDate="1" containsString="0" containsBlank="1" minDate="2010-01-31T00:00:00" maxDate="2026-01-01T00:00:00" count="193">
        <m/>
        <d v="2010-01-31T00:00:00"/>
        <d v="2010-02-28T00:00:00"/>
        <d v="2010-03-31T00:00:00"/>
        <d v="2010-04-30T00:00:00"/>
        <d v="2010-05-31T00:00:00"/>
        <d v="2010-06-30T00:00:00"/>
        <d v="2010-07-31T00:00:00"/>
        <d v="2010-08-31T00:00:00"/>
        <d v="2010-09-30T00:00:00"/>
        <d v="2010-10-31T00:00:00"/>
        <d v="2010-11-30T00:00:00"/>
        <d v="2010-12-31T00:00:00"/>
        <d v="2011-01-31T00:00:00"/>
        <d v="2011-02-28T00:00:00"/>
        <d v="2011-03-31T00:00:00"/>
        <d v="2011-04-30T00:00:00"/>
        <d v="2011-05-31T00:00:00"/>
        <d v="2011-06-30T00:00:00"/>
        <d v="2011-07-31T00:00:00"/>
        <d v="2011-08-31T00:00:00"/>
        <d v="2011-09-30T00:00:00"/>
        <d v="2011-10-31T00:00:00"/>
        <d v="2011-11-30T00:00:00"/>
        <d v="2011-12-31T00:00:00"/>
        <d v="2012-01-31T00:00:00"/>
        <d v="2012-02-29T00:00:00"/>
        <d v="2012-03-31T00:00:00"/>
        <d v="2012-04-30T00:00:00"/>
        <d v="2012-05-31T00:00:00"/>
        <d v="2012-06-30T00:00:00"/>
        <d v="2012-07-31T00:00:00"/>
        <d v="2012-08-31T00:00:00"/>
        <d v="2012-09-30T00:00:00"/>
        <d v="2012-10-31T00:00:00"/>
        <d v="2012-11-30T00:00:00"/>
        <d v="2012-12-31T00:00:00"/>
        <d v="2013-01-31T00:00:00"/>
        <d v="2013-02-28T00:00:00"/>
        <d v="2013-03-31T00:00:00"/>
        <d v="2013-04-30T00:00:00"/>
        <d v="2013-05-31T00:00:00"/>
        <d v="2013-06-30T00:00:00"/>
        <d v="2013-07-31T00:00:00"/>
        <d v="2013-08-31T00:00:00"/>
        <d v="2013-09-30T00:00:00"/>
        <d v="2013-10-31T00:00:00"/>
        <d v="2013-11-30T00:00:00"/>
        <d v="2013-12-31T00:00:00"/>
        <d v="2014-01-31T00:00:00"/>
        <d v="2014-02-28T00:00:00"/>
        <d v="2014-03-31T00:00:00"/>
        <d v="2014-04-30T00:00:00"/>
        <d v="2014-05-31T00:00:00"/>
        <d v="2014-06-30T00:00:00"/>
        <d v="2014-07-31T00:00:00"/>
        <d v="2014-08-31T00:00:00"/>
        <d v="2014-09-30T00:00:00"/>
        <d v="2014-10-31T00:00:00"/>
        <d v="2014-11-30T00:00:00"/>
        <d v="2014-12-31T00:00:00"/>
        <d v="2015-01-31T00:00:00"/>
        <d v="2015-02-28T00:00:00"/>
        <d v="2015-03-31T00:00:00"/>
        <d v="2015-04-30T00:00:00"/>
        <d v="2015-05-31T00:00:00"/>
        <d v="2015-06-30T00:00:00"/>
        <d v="2015-07-31T00:00:00"/>
        <d v="2015-08-31T00:00:00"/>
        <d v="2015-09-30T00:00:00"/>
        <d v="2015-10-31T00:00:00"/>
        <d v="2015-11-30T00:00:00"/>
        <d v="2015-12-31T00:00:00"/>
        <d v="2016-01-31T00:00:00"/>
        <d v="2016-02-29T00:00:00"/>
        <d v="2016-03-31T00:00:00"/>
        <d v="2016-04-30T00:00:00"/>
        <d v="2016-05-31T00:00:00"/>
        <d v="2016-06-30T00:00:00"/>
        <d v="2016-07-31T00:00:00"/>
        <d v="2016-08-31T00:00:00"/>
        <d v="2016-09-30T00:00:00"/>
        <d v="2016-10-31T00:00:00"/>
        <d v="2016-11-30T00:00:00"/>
        <d v="2016-12-31T00:00:00"/>
        <d v="2017-01-31T00:00:00"/>
        <d v="2017-02-28T00:00:00"/>
        <d v="2017-03-31T00:00:00"/>
        <d v="2017-04-30T00:00:00"/>
        <d v="2017-05-31T00:00:00"/>
        <d v="2017-06-30T00:00:00"/>
        <d v="2017-07-31T00:00:00"/>
        <d v="2017-08-31T00:00:00"/>
        <d v="2017-09-30T00:00:00"/>
        <d v="2017-10-31T00:00:00"/>
        <d v="2017-11-30T00:00:00"/>
        <d v="2017-12-31T00:00:00"/>
        <d v="2018-01-31T00:00:00"/>
        <d v="2018-02-28T00:00:00"/>
        <d v="2018-03-31T00:00:00"/>
        <d v="2018-04-30T00:00:00"/>
        <d v="2018-05-31T00:00:00"/>
        <d v="2018-06-30T00:00:00"/>
        <d v="2018-07-31T00:00:00"/>
        <d v="2018-08-31T00:00:00"/>
        <d v="2018-09-30T00:00:00"/>
        <d v="2018-10-31T00:00:00"/>
        <d v="2018-11-30T00:00:00"/>
        <d v="2018-12-31T00:00:00"/>
        <d v="2019-01-31T00:00:00"/>
        <d v="2019-02-28T00:00:00"/>
        <d v="2019-03-31T00:00:00"/>
        <d v="2019-04-30T00:00:00"/>
        <d v="2019-05-31T00:00:00"/>
        <d v="2019-06-30T00:00:00"/>
        <d v="2019-07-31T00:00:00"/>
        <d v="2019-08-31T00:00:00"/>
        <d v="2019-09-30T00:00:00"/>
        <d v="2019-10-31T00:00:00"/>
        <d v="2019-11-30T00:00:00"/>
        <d v="2019-12-31T00:00:00"/>
        <d v="2020-01-31T00:00:00"/>
        <d v="2020-02-29T00:00:00"/>
        <d v="2020-03-31T00:00:00"/>
        <d v="2020-04-30T00:00:00"/>
        <d v="2020-05-31T00:00:00"/>
        <d v="2020-06-30T00:00:00"/>
        <d v="2020-07-31T00:00:00"/>
        <d v="2020-08-31T00:00:00"/>
        <d v="2020-09-30T00:00:00"/>
        <d v="2020-10-31T00:00:00"/>
        <d v="2020-11-30T00:00:00"/>
        <d v="2020-12-31T00:00:00"/>
        <d v="2021-01-31T00:00:00"/>
        <d v="2021-02-28T00:00:00"/>
        <d v="2021-03-31T00:00:00"/>
        <d v="2021-04-30T00:00:00"/>
        <d v="2021-05-31T00:00:00"/>
        <d v="2021-06-30T00:00:00"/>
        <d v="2021-07-31T00:00:00"/>
        <d v="2021-08-31T00:00:00"/>
        <d v="2021-09-30T00:00:00"/>
        <d v="2021-10-31T00:00:00"/>
        <d v="2021-11-30T00:00:00"/>
        <d v="2021-12-31T00:00:00"/>
        <d v="2022-01-31T00:00:00"/>
        <d v="2022-02-28T00:00:00"/>
        <d v="2022-03-31T00:00:00"/>
        <d v="2022-04-30T00:00:00"/>
        <d v="2022-05-31T00:00:00"/>
        <d v="2022-06-30T00:00:00"/>
        <d v="2022-07-31T00:00:00"/>
        <d v="2022-08-31T00:00:00"/>
        <d v="2022-09-30T00:00:00"/>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d v="2025-05-31T00:00:00"/>
        <d v="2025-06-30T00:00:00"/>
        <d v="2025-07-31T00:00:00"/>
        <d v="2025-08-31T00:00:00"/>
        <d v="2025-09-30T00:00:00"/>
        <d v="2025-10-31T00:00:00"/>
        <d v="2025-11-30T00:00:00"/>
        <d v="2025-12-31T00:00:00"/>
      </sharedItems>
      <fieldGroup par="31" base="1">
        <rangePr groupBy="months" startDate="2010-01-31T00:00:00" endDate="2026-01-01T00:00:00"/>
        <groupItems count="14">
          <s v="(vide)"/>
          <s v="janv"/>
          <s v="févr"/>
          <s v="mars"/>
          <s v="avr"/>
          <s v="mai"/>
          <s v="juin"/>
          <s v="juil"/>
          <s v="août"/>
          <s v="sept"/>
          <s v="oct"/>
          <s v="nov"/>
          <s v="déc"/>
          <s v="&gt;01/01/2026"/>
        </groupItems>
      </fieldGroup>
    </cacheField>
    <cacheField name="MOIS" numFmtId="0">
      <sharedItems containsString="0" containsBlank="1" containsNumber="1" containsInteger="1" minValue="1" maxValue="12" count="13">
        <m/>
        <n v="1"/>
        <n v="2"/>
        <n v="3"/>
        <n v="4"/>
        <n v="5"/>
        <n v="6"/>
        <n v="7"/>
        <n v="8"/>
        <n v="9"/>
        <n v="10"/>
        <n v="11"/>
        <n v="12"/>
      </sharedItems>
    </cacheField>
    <cacheField name="ANNEE" numFmtId="0">
      <sharedItems containsString="0" containsBlank="1" containsNumber="1" containsInteger="1" minValue="2010" maxValue="2030" count="22">
        <m/>
        <n v="2010"/>
        <n v="2011"/>
        <n v="2012"/>
        <n v="2013"/>
        <n v="2014"/>
        <n v="2015"/>
        <n v="2016"/>
        <n v="2017"/>
        <n v="2018"/>
        <n v="2019"/>
        <n v="2020"/>
        <n v="2021"/>
        <n v="2022"/>
        <n v="2023"/>
        <n v="2024"/>
        <n v="2025"/>
        <n v="2029" u="1"/>
        <n v="2027" u="1"/>
        <n v="2030" u="1"/>
        <n v="2028" u="1"/>
        <n v="2026" u="1"/>
      </sharedItems>
    </cacheField>
    <cacheField name="Compteur" numFmtId="0">
      <sharedItems containsBlank="1"/>
    </cacheField>
    <cacheField name="Colonne1" numFmtId="0">
      <sharedItems containsBlank="1"/>
    </cacheField>
    <cacheField name="Nom" numFmtId="0">
      <sharedItems containsBlank="1" containsMixedTypes="1" containsNumber="1" containsInteger="1" minValue="0" maxValue="0" count="3">
        <m/>
        <s v=""/>
        <n v="0" u="1"/>
      </sharedItems>
    </cacheField>
    <cacheField name="Date_livraison" numFmtId="14">
      <sharedItems containsNonDate="0" containsDate="1" containsString="0" containsBlank="1" minDate="1899-12-30T00:00:00" maxDate="1899-12-31T00:00:00"/>
    </cacheField>
    <cacheField name="Début periode livraison" numFmtId="14">
      <sharedItems containsDate="1" containsBlank="1" containsMixedTypes="1" minDate="1899-12-30T00:00:00" maxDate="1899-12-31T00:00:00"/>
    </cacheField>
    <cacheField name="index_date_livraison" numFmtId="0">
      <sharedItems containsString="0" containsBlank="1" containsNumber="1" containsInteger="1" minValue="1" maxValue="1"/>
    </cacheField>
    <cacheField name="ratio_avant_debut" numFmtId="0">
      <sharedItems containsBlank="1"/>
    </cacheField>
    <cacheField name="Ratio_jour_avant_livr" numFmtId="2">
      <sharedItems containsBlank="1" containsMixedTypes="1" containsNumber="1" containsInteger="1" minValue="0" maxValue="0"/>
    </cacheField>
    <cacheField name="Ratio_jour_après_livr" numFmtId="2">
      <sharedItems containsBlank="1"/>
    </cacheField>
    <cacheField name="Conso_mois_U " numFmtId="0">
      <sharedItems containsBlank="1"/>
    </cacheField>
    <cacheField name="Ratio_Cout_avant_debut" numFmtId="0">
      <sharedItems containsBlank="1"/>
    </cacheField>
    <cacheField name="Ratio_Cout_avant_livr" numFmtId="0">
      <sharedItems containsBlank="1" containsMixedTypes="1" containsNumber="1" containsInteger="1" minValue="0" maxValue="0"/>
    </cacheField>
    <cacheField name="Ratio_Cout_après_livr" numFmtId="0">
      <sharedItems containsBlank="1"/>
    </cacheField>
    <cacheField name="Cout_mois" numFmtId="0">
      <sharedItems containsBlank="1"/>
    </cacheField>
    <cacheField name="Conso_mois_kWh" numFmtId="0">
      <sharedItems containsBlank="1"/>
    </cacheField>
    <cacheField name="Conso_mois_kWhEP" numFmtId="0">
      <sharedItems containsBlank="1"/>
    </cacheField>
    <cacheField name="Conso_mois_kWhDEET" numFmtId="0">
      <sharedItems containsBlank="1"/>
    </cacheField>
    <cacheField name="Cout_unitaie" numFmtId="0">
      <sharedItems containsString="0" containsBlank="1" containsNumber="1" containsInteger="1" minValue="0" maxValue="0"/>
    </cacheField>
    <cacheField name="Type" numFmtId="0">
      <sharedItems containsMixedTypes="1" containsNumber="1" containsInteger="1" minValue="0" maxValue="0" count="4">
        <s v="Sous_comptage"/>
        <s v="Consommation"/>
        <s v=""/>
        <n v="0" u="1"/>
      </sharedItems>
    </cacheField>
    <cacheField name="Source" numFmtId="0">
      <sharedItems containsBlank="1" containsMixedTypes="1" containsNumber="1" containsInteger="1" minValue="0" maxValue="0" count="7">
        <s v="Sous_comptage_Chaleur"/>
        <s v="Sous_comptage_elec"/>
        <s v="Sous_comptage_eau"/>
        <s v="Eau"/>
        <m/>
        <s v=""/>
        <n v="0" u="1"/>
      </sharedItems>
    </cacheField>
    <cacheField name="Detail usage" numFmtId="0">
      <sharedItems containsBlank="1" containsMixedTypes="1" containsNumber="1" containsInteger="1" minValue="0" maxValue="0" count="3">
        <m/>
        <s v=""/>
        <n v="0" u="1"/>
      </sharedItems>
    </cacheField>
    <cacheField name="Combustible " numFmtId="0">
      <sharedItems containsBlank="1" containsMixedTypes="1" containsNumber="1" containsInteger="1" minValue="0" maxValue="0" count="3">
        <m/>
        <s v=""/>
        <n v="0" u="1"/>
      </sharedItems>
    </cacheField>
    <cacheField name="DJU_Chauffage" numFmtId="0">
      <sharedItems containsString="0" containsBlank="1" containsNumber="1" minValue="0" maxValue="500.7"/>
    </cacheField>
    <cacheField name="Champ1" numFmtId="0" formula="#NAME?/#NAME?" databaseField="0"/>
    <cacheField name="Conso/DJU" numFmtId="0" formula="'Conso_mois_U '/DJU_Chauffage" databaseField="0"/>
    <cacheField name="Cout Unitaire" numFmtId="0" formula="Cout_mois/Conso_mois_kWh" databaseField="0"/>
    <cacheField name="Trimestres" numFmtId="0" databaseField="0">
      <fieldGroup base="1">
        <rangePr groupBy="quarters" startDate="2010-01-31T00:00:00" endDate="2026-01-01T00:00:00"/>
        <groupItems count="6">
          <s v="&lt;31/01/2010"/>
          <s v="Trimestre1"/>
          <s v="Trimestre2"/>
          <s v="Trimestre3"/>
          <s v="Trimestre4"/>
          <s v="&gt;01/01/2026"/>
        </groupItems>
      </fieldGroup>
    </cacheField>
    <cacheField name="Années" numFmtId="0" databaseField="0">
      <fieldGroup base="1">
        <rangePr groupBy="years" startDate="2010-01-31T00:00:00" endDate="2026-01-01T00:00:00"/>
        <groupItems count="19">
          <s v="&lt;31/01/2010"/>
          <s v="2010"/>
          <s v="2011"/>
          <s v="2012"/>
          <s v="2013"/>
          <s v="2014"/>
          <s v="2015"/>
          <s v="2016"/>
          <s v="2017"/>
          <s v="2018"/>
          <s v="2019"/>
          <s v="2020"/>
          <s v="2021"/>
          <s v="2022"/>
          <s v="2023"/>
          <s v="2024"/>
          <s v="2025"/>
          <s v="2026"/>
          <s v="&gt;01/01/2026"/>
        </groupItems>
      </fieldGroup>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4493">
  <r>
    <x v="0"/>
    <x v="0"/>
    <x v="0"/>
    <x v="0"/>
    <n v="376.6"/>
    <n v="0"/>
  </r>
  <r>
    <x v="0"/>
    <x v="0"/>
    <x v="1"/>
    <x v="1"/>
    <n v="285.3"/>
    <n v="0"/>
  </r>
  <r>
    <x v="0"/>
    <x v="0"/>
    <x v="2"/>
    <x v="2"/>
    <n v="321.10000000000002"/>
    <n v="0"/>
  </r>
  <r>
    <x v="0"/>
    <x v="0"/>
    <x v="3"/>
    <x v="3"/>
    <n v="290.2"/>
    <n v="0"/>
  </r>
  <r>
    <x v="0"/>
    <x v="0"/>
    <x v="4"/>
    <x v="4"/>
    <n v="172.5"/>
    <n v="4.5999999999999996"/>
  </r>
  <r>
    <x v="0"/>
    <x v="0"/>
    <x v="5"/>
    <x v="5"/>
    <n v="90"/>
    <n v="24.2"/>
  </r>
  <r>
    <x v="0"/>
    <x v="0"/>
    <x v="6"/>
    <x v="6"/>
    <n v="78.7"/>
    <n v="14"/>
  </r>
  <r>
    <x v="0"/>
    <x v="0"/>
    <x v="7"/>
    <x v="7"/>
    <n v="52.8"/>
    <n v="30.2"/>
  </r>
  <r>
    <x v="0"/>
    <x v="0"/>
    <x v="8"/>
    <x v="8"/>
    <n v="78"/>
    <n v="20.8"/>
  </r>
  <r>
    <x v="0"/>
    <x v="0"/>
    <x v="9"/>
    <x v="9"/>
    <n v="204.2"/>
    <n v="0"/>
  </r>
  <r>
    <x v="0"/>
    <x v="0"/>
    <x v="10"/>
    <x v="10"/>
    <n v="283.2"/>
    <n v="0"/>
  </r>
  <r>
    <x v="0"/>
    <x v="0"/>
    <x v="11"/>
    <x v="11"/>
    <n v="307.5"/>
    <n v="0"/>
  </r>
  <r>
    <x v="1"/>
    <x v="0"/>
    <x v="0"/>
    <x v="0"/>
    <n v="353.1"/>
    <n v="0"/>
  </r>
  <r>
    <x v="1"/>
    <x v="0"/>
    <x v="1"/>
    <x v="1"/>
    <n v="272.3"/>
    <n v="0"/>
  </r>
  <r>
    <x v="1"/>
    <x v="0"/>
    <x v="2"/>
    <x v="2"/>
    <n v="312.10000000000002"/>
    <n v="0"/>
  </r>
  <r>
    <x v="1"/>
    <x v="0"/>
    <x v="3"/>
    <x v="3"/>
    <n v="279.3"/>
    <n v="0.6"/>
  </r>
  <r>
    <x v="1"/>
    <x v="0"/>
    <x v="4"/>
    <x v="4"/>
    <n v="163.19999999999999"/>
    <n v="4.2"/>
  </r>
  <r>
    <x v="1"/>
    <x v="0"/>
    <x v="5"/>
    <x v="5"/>
    <n v="96.1"/>
    <n v="24.3"/>
  </r>
  <r>
    <x v="1"/>
    <x v="0"/>
    <x v="6"/>
    <x v="6"/>
    <n v="73.900000000000006"/>
    <n v="16.600000000000001"/>
  </r>
  <r>
    <x v="1"/>
    <x v="0"/>
    <x v="7"/>
    <x v="7"/>
    <n v="51.8"/>
    <n v="25.1"/>
  </r>
  <r>
    <x v="1"/>
    <x v="0"/>
    <x v="8"/>
    <x v="8"/>
    <n v="77.3"/>
    <n v="16.5"/>
  </r>
  <r>
    <x v="1"/>
    <x v="0"/>
    <x v="9"/>
    <x v="9"/>
    <n v="197.5"/>
    <n v="0"/>
  </r>
  <r>
    <x v="1"/>
    <x v="0"/>
    <x v="10"/>
    <x v="10"/>
    <n v="270.5"/>
    <n v="0"/>
  </r>
  <r>
    <x v="1"/>
    <x v="0"/>
    <x v="11"/>
    <x v="11"/>
    <n v="287.39999999999998"/>
    <n v="0"/>
  </r>
  <r>
    <x v="2"/>
    <x v="0"/>
    <x v="0"/>
    <x v="0"/>
    <n v="363"/>
    <n v="0"/>
  </r>
  <r>
    <x v="2"/>
    <x v="0"/>
    <x v="1"/>
    <x v="1"/>
    <n v="269.7"/>
    <n v="0"/>
  </r>
  <r>
    <x v="2"/>
    <x v="0"/>
    <x v="2"/>
    <x v="2"/>
    <n v="303.8"/>
    <n v="0"/>
  </r>
  <r>
    <x v="2"/>
    <x v="0"/>
    <x v="3"/>
    <x v="3"/>
    <n v="266.8"/>
    <n v="0.8"/>
  </r>
  <r>
    <x v="2"/>
    <x v="0"/>
    <x v="4"/>
    <x v="4"/>
    <n v="146.80000000000001"/>
    <n v="6.2"/>
  </r>
  <r>
    <x v="2"/>
    <x v="0"/>
    <x v="5"/>
    <x v="5"/>
    <n v="88.4"/>
    <n v="19.8"/>
  </r>
  <r>
    <x v="2"/>
    <x v="0"/>
    <x v="6"/>
    <x v="6"/>
    <n v="66.2"/>
    <n v="20"/>
  </r>
  <r>
    <x v="2"/>
    <x v="0"/>
    <x v="7"/>
    <x v="7"/>
    <n v="47.7"/>
    <n v="30.7"/>
  </r>
  <r>
    <x v="2"/>
    <x v="0"/>
    <x v="8"/>
    <x v="8"/>
    <n v="86.9"/>
    <n v="15.2"/>
  </r>
  <r>
    <x v="2"/>
    <x v="0"/>
    <x v="9"/>
    <x v="9"/>
    <n v="191.4"/>
    <n v="0"/>
  </r>
  <r>
    <x v="2"/>
    <x v="0"/>
    <x v="10"/>
    <x v="10"/>
    <n v="261.3"/>
    <n v="0"/>
  </r>
  <r>
    <x v="2"/>
    <x v="0"/>
    <x v="11"/>
    <x v="11"/>
    <n v="293.60000000000002"/>
    <n v="0"/>
  </r>
  <r>
    <x v="3"/>
    <x v="0"/>
    <x v="0"/>
    <x v="0"/>
    <n v="392.9"/>
    <n v="0"/>
  </r>
  <r>
    <x v="3"/>
    <x v="0"/>
    <x v="1"/>
    <x v="1"/>
    <n v="279.5"/>
    <n v="0"/>
  </r>
  <r>
    <x v="3"/>
    <x v="0"/>
    <x v="2"/>
    <x v="2"/>
    <n v="305.10000000000002"/>
    <n v="0"/>
  </r>
  <r>
    <x v="3"/>
    <x v="0"/>
    <x v="3"/>
    <x v="3"/>
    <n v="243.5"/>
    <n v="0.8"/>
  </r>
  <r>
    <x v="3"/>
    <x v="0"/>
    <x v="4"/>
    <x v="4"/>
    <n v="102"/>
    <n v="17.7"/>
  </r>
  <r>
    <x v="3"/>
    <x v="0"/>
    <x v="5"/>
    <x v="5"/>
    <n v="53.4"/>
    <n v="57.1"/>
  </r>
  <r>
    <x v="3"/>
    <x v="0"/>
    <x v="6"/>
    <x v="6"/>
    <n v="47.4"/>
    <n v="48"/>
  </r>
  <r>
    <x v="3"/>
    <x v="0"/>
    <x v="7"/>
    <x v="7"/>
    <n v="29.4"/>
    <n v="80.400000000000006"/>
  </r>
  <r>
    <x v="3"/>
    <x v="0"/>
    <x v="8"/>
    <x v="8"/>
    <n v="57.3"/>
    <n v="44.9"/>
  </r>
  <r>
    <x v="3"/>
    <x v="0"/>
    <x v="9"/>
    <x v="9"/>
    <n v="173.4"/>
    <n v="0.1"/>
  </r>
  <r>
    <x v="3"/>
    <x v="0"/>
    <x v="10"/>
    <x v="10"/>
    <n v="260.2"/>
    <n v="0"/>
  </r>
  <r>
    <x v="3"/>
    <x v="0"/>
    <x v="11"/>
    <x v="11"/>
    <n v="285.8"/>
    <n v="0"/>
  </r>
  <r>
    <x v="4"/>
    <x v="0"/>
    <x v="0"/>
    <x v="0"/>
    <n v="374.8"/>
    <n v="0"/>
  </r>
  <r>
    <x v="4"/>
    <x v="0"/>
    <x v="1"/>
    <x v="1"/>
    <n v="286.3"/>
    <n v="0"/>
  </r>
  <r>
    <x v="4"/>
    <x v="0"/>
    <x v="2"/>
    <x v="2"/>
    <n v="312.5"/>
    <n v="0"/>
  </r>
  <r>
    <x v="4"/>
    <x v="0"/>
    <x v="3"/>
    <x v="3"/>
    <n v="267"/>
    <n v="0.2"/>
  </r>
  <r>
    <x v="4"/>
    <x v="0"/>
    <x v="4"/>
    <x v="4"/>
    <n v="147"/>
    <n v="6.8"/>
  </r>
  <r>
    <x v="4"/>
    <x v="0"/>
    <x v="5"/>
    <x v="5"/>
    <n v="78.3"/>
    <n v="26.1"/>
  </r>
  <r>
    <x v="4"/>
    <x v="0"/>
    <x v="6"/>
    <x v="6"/>
    <n v="66.5"/>
    <n v="20.2"/>
  </r>
  <r>
    <x v="4"/>
    <x v="0"/>
    <x v="7"/>
    <x v="7"/>
    <n v="44.6"/>
    <n v="38.6"/>
  </r>
  <r>
    <x v="4"/>
    <x v="0"/>
    <x v="8"/>
    <x v="8"/>
    <n v="75.2"/>
    <n v="23.7"/>
  </r>
  <r>
    <x v="4"/>
    <x v="0"/>
    <x v="9"/>
    <x v="9"/>
    <n v="189.1"/>
    <n v="0"/>
  </r>
  <r>
    <x v="4"/>
    <x v="0"/>
    <x v="10"/>
    <x v="10"/>
    <n v="272.5"/>
    <n v="0"/>
  </r>
  <r>
    <x v="4"/>
    <x v="0"/>
    <x v="11"/>
    <x v="11"/>
    <n v="296.10000000000002"/>
    <n v="0"/>
  </r>
  <r>
    <x v="5"/>
    <x v="0"/>
    <x v="0"/>
    <x v="0"/>
    <n v="364.4"/>
    <n v="0"/>
  </r>
  <r>
    <x v="5"/>
    <x v="0"/>
    <x v="1"/>
    <x v="1"/>
    <n v="267.7"/>
    <n v="0"/>
  </r>
  <r>
    <x v="5"/>
    <x v="0"/>
    <x v="2"/>
    <x v="2"/>
    <n v="305.5"/>
    <n v="0"/>
  </r>
  <r>
    <x v="5"/>
    <x v="0"/>
    <x v="3"/>
    <x v="3"/>
    <n v="256.5"/>
    <n v="1.1000000000000001"/>
  </r>
  <r>
    <x v="5"/>
    <x v="0"/>
    <x v="4"/>
    <x v="4"/>
    <n v="133.30000000000001"/>
    <n v="8.1999999999999993"/>
  </r>
  <r>
    <x v="5"/>
    <x v="0"/>
    <x v="5"/>
    <x v="5"/>
    <n v="78.8"/>
    <n v="26"/>
  </r>
  <r>
    <x v="5"/>
    <x v="0"/>
    <x v="6"/>
    <x v="6"/>
    <n v="55.8"/>
    <n v="31.4"/>
  </r>
  <r>
    <x v="5"/>
    <x v="0"/>
    <x v="7"/>
    <x v="7"/>
    <n v="44.6"/>
    <n v="51.8"/>
  </r>
  <r>
    <x v="5"/>
    <x v="0"/>
    <x v="8"/>
    <x v="8"/>
    <n v="63.2"/>
    <n v="30.3"/>
  </r>
  <r>
    <x v="5"/>
    <x v="0"/>
    <x v="9"/>
    <x v="9"/>
    <n v="178"/>
    <n v="0.1"/>
  </r>
  <r>
    <x v="5"/>
    <x v="0"/>
    <x v="10"/>
    <x v="10"/>
    <n v="256.7"/>
    <n v="0"/>
  </r>
  <r>
    <x v="5"/>
    <x v="0"/>
    <x v="11"/>
    <x v="11"/>
    <n v="276"/>
    <n v="0"/>
  </r>
  <r>
    <x v="6"/>
    <x v="0"/>
    <x v="0"/>
    <x v="0"/>
    <n v="378.6"/>
    <n v="0"/>
  </r>
  <r>
    <x v="6"/>
    <x v="0"/>
    <x v="1"/>
    <x v="1"/>
    <n v="275.8"/>
    <n v="0"/>
  </r>
  <r>
    <x v="6"/>
    <x v="0"/>
    <x v="2"/>
    <x v="2"/>
    <n v="310.2"/>
    <n v="0"/>
  </r>
  <r>
    <x v="6"/>
    <x v="0"/>
    <x v="3"/>
    <x v="3"/>
    <n v="248.7"/>
    <n v="0.9"/>
  </r>
  <r>
    <x v="6"/>
    <x v="0"/>
    <x v="4"/>
    <x v="4"/>
    <n v="107.3"/>
    <n v="15.4"/>
  </r>
  <r>
    <x v="6"/>
    <x v="0"/>
    <x v="5"/>
    <x v="5"/>
    <n v="69.7"/>
    <n v="29.1"/>
  </r>
  <r>
    <x v="6"/>
    <x v="0"/>
    <x v="6"/>
    <x v="6"/>
    <n v="51.8"/>
    <n v="37.4"/>
  </r>
  <r>
    <x v="6"/>
    <x v="0"/>
    <x v="7"/>
    <x v="7"/>
    <n v="38.9"/>
    <n v="58.4"/>
  </r>
  <r>
    <x v="6"/>
    <x v="0"/>
    <x v="8"/>
    <x v="8"/>
    <n v="65.5"/>
    <n v="31.9"/>
  </r>
  <r>
    <x v="6"/>
    <x v="0"/>
    <x v="9"/>
    <x v="9"/>
    <n v="185.3"/>
    <n v="0"/>
  </r>
  <r>
    <x v="6"/>
    <x v="0"/>
    <x v="10"/>
    <x v="10"/>
    <n v="265.2"/>
    <n v="0"/>
  </r>
  <r>
    <x v="6"/>
    <x v="0"/>
    <x v="11"/>
    <x v="11"/>
    <n v="278.2"/>
    <n v="0"/>
  </r>
  <r>
    <x v="0"/>
    <x v="1"/>
    <x v="0"/>
    <x v="0"/>
    <n v="373.4"/>
    <n v="0"/>
  </r>
  <r>
    <x v="0"/>
    <x v="1"/>
    <x v="1"/>
    <x v="1"/>
    <n v="317.7"/>
    <n v="0"/>
  </r>
  <r>
    <x v="0"/>
    <x v="1"/>
    <x v="2"/>
    <x v="2"/>
    <n v="285.3"/>
    <n v="0"/>
  </r>
  <r>
    <x v="0"/>
    <x v="1"/>
    <x v="3"/>
    <x v="3"/>
    <n v="267.5"/>
    <n v="0"/>
  </r>
  <r>
    <x v="0"/>
    <x v="1"/>
    <x v="4"/>
    <x v="4"/>
    <n v="190.5"/>
    <n v="6.1"/>
  </r>
  <r>
    <x v="0"/>
    <x v="1"/>
    <x v="5"/>
    <x v="5"/>
    <n v="113"/>
    <n v="17.5"/>
  </r>
  <r>
    <x v="0"/>
    <x v="1"/>
    <x v="6"/>
    <x v="6"/>
    <n v="60.4"/>
    <n v="35"/>
  </r>
  <r>
    <x v="0"/>
    <x v="1"/>
    <x v="7"/>
    <x v="7"/>
    <n v="41.3"/>
    <n v="48.8"/>
  </r>
  <r>
    <x v="0"/>
    <x v="1"/>
    <x v="8"/>
    <x v="8"/>
    <n v="108.1"/>
    <n v="5"/>
  </r>
  <r>
    <x v="0"/>
    <x v="1"/>
    <x v="9"/>
    <x v="9"/>
    <n v="113.5"/>
    <n v="6.3"/>
  </r>
  <r>
    <x v="0"/>
    <x v="1"/>
    <x v="10"/>
    <x v="10"/>
    <n v="297"/>
    <n v="0"/>
  </r>
  <r>
    <x v="0"/>
    <x v="1"/>
    <x v="11"/>
    <x v="11"/>
    <n v="413.4"/>
    <n v="0"/>
  </r>
  <r>
    <x v="1"/>
    <x v="1"/>
    <x v="0"/>
    <x v="0"/>
    <n v="360.7"/>
    <n v="0"/>
  </r>
  <r>
    <x v="1"/>
    <x v="1"/>
    <x v="1"/>
    <x v="1"/>
    <n v="306.8"/>
    <n v="0"/>
  </r>
  <r>
    <x v="1"/>
    <x v="1"/>
    <x v="2"/>
    <x v="2"/>
    <n v="272.3"/>
    <n v="0"/>
  </r>
  <r>
    <x v="1"/>
    <x v="1"/>
    <x v="3"/>
    <x v="3"/>
    <n v="257.89999999999998"/>
    <n v="0"/>
  </r>
  <r>
    <x v="1"/>
    <x v="1"/>
    <x v="4"/>
    <x v="4"/>
    <n v="172.5"/>
    <n v="7.3"/>
  </r>
  <r>
    <x v="1"/>
    <x v="1"/>
    <x v="5"/>
    <x v="5"/>
    <n v="108.7"/>
    <n v="15"/>
  </r>
  <r>
    <x v="1"/>
    <x v="1"/>
    <x v="6"/>
    <x v="6"/>
    <n v="65.2"/>
    <n v="35.6"/>
  </r>
  <r>
    <x v="1"/>
    <x v="1"/>
    <x v="7"/>
    <x v="7"/>
    <n v="46.9"/>
    <n v="34.1"/>
  </r>
  <r>
    <x v="1"/>
    <x v="1"/>
    <x v="8"/>
    <x v="8"/>
    <n v="110.8"/>
    <n v="3.7"/>
  </r>
  <r>
    <x v="1"/>
    <x v="1"/>
    <x v="9"/>
    <x v="9"/>
    <n v="110.8"/>
    <n v="5"/>
  </r>
  <r>
    <x v="1"/>
    <x v="1"/>
    <x v="10"/>
    <x v="10"/>
    <n v="278.8"/>
    <n v="0"/>
  </r>
  <r>
    <x v="1"/>
    <x v="1"/>
    <x v="11"/>
    <x v="11"/>
    <n v="393.4"/>
    <n v="0"/>
  </r>
  <r>
    <x v="2"/>
    <x v="1"/>
    <x v="0"/>
    <x v="0"/>
    <n v="350"/>
    <n v="0"/>
  </r>
  <r>
    <x v="2"/>
    <x v="1"/>
    <x v="1"/>
    <x v="1"/>
    <n v="294.5"/>
    <n v="0"/>
  </r>
  <r>
    <x v="2"/>
    <x v="1"/>
    <x v="2"/>
    <x v="2"/>
    <n v="273.7"/>
    <n v="0"/>
  </r>
  <r>
    <x v="2"/>
    <x v="1"/>
    <x v="3"/>
    <x v="3"/>
    <n v="256.39999999999998"/>
    <n v="0"/>
  </r>
  <r>
    <x v="2"/>
    <x v="1"/>
    <x v="4"/>
    <x v="4"/>
    <n v="149.4"/>
    <n v="15.2"/>
  </r>
  <r>
    <x v="2"/>
    <x v="1"/>
    <x v="5"/>
    <x v="5"/>
    <n v="95.7"/>
    <n v="18.899999999999999"/>
  </r>
  <r>
    <x v="2"/>
    <x v="1"/>
    <x v="6"/>
    <x v="6"/>
    <n v="59.4"/>
    <n v="38.9"/>
  </r>
  <r>
    <x v="2"/>
    <x v="1"/>
    <x v="7"/>
    <x v="7"/>
    <n v="45"/>
    <n v="39.200000000000003"/>
  </r>
  <r>
    <x v="2"/>
    <x v="1"/>
    <x v="8"/>
    <x v="8"/>
    <n v="87.7"/>
    <n v="3.7"/>
  </r>
  <r>
    <x v="2"/>
    <x v="1"/>
    <x v="9"/>
    <x v="9"/>
    <n v="115.7"/>
    <n v="2.6"/>
  </r>
  <r>
    <x v="2"/>
    <x v="1"/>
    <x v="10"/>
    <x v="10"/>
    <n v="273.39999999999998"/>
    <n v="0"/>
  </r>
  <r>
    <x v="2"/>
    <x v="1"/>
    <x v="11"/>
    <x v="11"/>
    <n v="391.6"/>
    <n v="0"/>
  </r>
  <r>
    <x v="3"/>
    <x v="1"/>
    <x v="0"/>
    <x v="0"/>
    <n v="357.6"/>
    <n v="0"/>
  </r>
  <r>
    <x v="3"/>
    <x v="1"/>
    <x v="1"/>
    <x v="1"/>
    <n v="312.7"/>
    <n v="0"/>
  </r>
  <r>
    <x v="3"/>
    <x v="1"/>
    <x v="2"/>
    <x v="2"/>
    <n v="253.6"/>
    <n v="0"/>
  </r>
  <r>
    <x v="3"/>
    <x v="1"/>
    <x v="3"/>
    <x v="3"/>
    <n v="236.2"/>
    <n v="0.2"/>
  </r>
  <r>
    <x v="3"/>
    <x v="1"/>
    <x v="4"/>
    <x v="4"/>
    <n v="126.3"/>
    <n v="28.6"/>
  </r>
  <r>
    <x v="3"/>
    <x v="1"/>
    <x v="5"/>
    <x v="5"/>
    <n v="72.900000000000006"/>
    <n v="50.2"/>
  </r>
  <r>
    <x v="3"/>
    <x v="1"/>
    <x v="6"/>
    <x v="6"/>
    <n v="38"/>
    <n v="82.8"/>
  </r>
  <r>
    <x v="3"/>
    <x v="1"/>
    <x v="7"/>
    <x v="7"/>
    <n v="27"/>
    <n v="92.6"/>
  </r>
  <r>
    <x v="3"/>
    <x v="1"/>
    <x v="8"/>
    <x v="8"/>
    <n v="93.4"/>
    <n v="15.8"/>
  </r>
  <r>
    <x v="3"/>
    <x v="1"/>
    <x v="9"/>
    <x v="9"/>
    <n v="80.099999999999994"/>
    <n v="13.6"/>
  </r>
  <r>
    <x v="3"/>
    <x v="1"/>
    <x v="10"/>
    <x v="10"/>
    <n v="302.7"/>
    <n v="0"/>
  </r>
  <r>
    <x v="3"/>
    <x v="1"/>
    <x v="11"/>
    <x v="11"/>
    <n v="415.9"/>
    <n v="0"/>
  </r>
  <r>
    <x v="4"/>
    <x v="1"/>
    <x v="0"/>
    <x v="0"/>
    <n v="365.5"/>
    <n v="0"/>
  </r>
  <r>
    <x v="4"/>
    <x v="1"/>
    <x v="1"/>
    <x v="1"/>
    <n v="320.39999999999998"/>
    <n v="0"/>
  </r>
  <r>
    <x v="4"/>
    <x v="1"/>
    <x v="2"/>
    <x v="2"/>
    <n v="273.3"/>
    <n v="0"/>
  </r>
  <r>
    <x v="4"/>
    <x v="1"/>
    <x v="3"/>
    <x v="3"/>
    <n v="262.7"/>
    <n v="0"/>
  </r>
  <r>
    <x v="4"/>
    <x v="1"/>
    <x v="4"/>
    <x v="4"/>
    <n v="163.6"/>
    <n v="6.8"/>
  </r>
  <r>
    <x v="4"/>
    <x v="1"/>
    <x v="5"/>
    <x v="5"/>
    <n v="104"/>
    <n v="22.4"/>
  </r>
  <r>
    <x v="4"/>
    <x v="1"/>
    <x v="6"/>
    <x v="6"/>
    <n v="53.8"/>
    <n v="42.9"/>
  </r>
  <r>
    <x v="4"/>
    <x v="1"/>
    <x v="7"/>
    <x v="7"/>
    <n v="34.5"/>
    <n v="48.6"/>
  </r>
  <r>
    <x v="4"/>
    <x v="1"/>
    <x v="8"/>
    <x v="8"/>
    <n v="72.900000000000006"/>
    <n v="4.3"/>
  </r>
  <r>
    <x v="4"/>
    <x v="1"/>
    <x v="9"/>
    <x v="9"/>
    <n v="102.8"/>
    <n v="7.4"/>
  </r>
  <r>
    <x v="4"/>
    <x v="1"/>
    <x v="10"/>
    <x v="10"/>
    <n v="287.5"/>
    <n v="0"/>
  </r>
  <r>
    <x v="4"/>
    <x v="1"/>
    <x v="11"/>
    <x v="11"/>
    <n v="379"/>
    <n v="0"/>
  </r>
  <r>
    <x v="5"/>
    <x v="1"/>
    <x v="0"/>
    <x v="0"/>
    <n v="343.3"/>
    <n v="0"/>
  </r>
  <r>
    <x v="5"/>
    <x v="1"/>
    <x v="1"/>
    <x v="1"/>
    <n v="296.10000000000002"/>
    <n v="0"/>
  </r>
  <r>
    <x v="5"/>
    <x v="1"/>
    <x v="2"/>
    <x v="2"/>
    <n v="256.89999999999998"/>
    <n v="0"/>
  </r>
  <r>
    <x v="5"/>
    <x v="1"/>
    <x v="3"/>
    <x v="3"/>
    <n v="237.3"/>
    <n v="0"/>
  </r>
  <r>
    <x v="5"/>
    <x v="1"/>
    <x v="4"/>
    <x v="4"/>
    <n v="142.69999999999999"/>
    <n v="17.2"/>
  </r>
  <r>
    <x v="5"/>
    <x v="1"/>
    <x v="5"/>
    <x v="5"/>
    <n v="88.4"/>
    <n v="28"/>
  </r>
  <r>
    <x v="5"/>
    <x v="1"/>
    <x v="6"/>
    <x v="6"/>
    <n v="52.7"/>
    <n v="47.1"/>
  </r>
  <r>
    <x v="5"/>
    <x v="1"/>
    <x v="7"/>
    <x v="7"/>
    <n v="41.5"/>
    <n v="58.1"/>
  </r>
  <r>
    <x v="5"/>
    <x v="1"/>
    <x v="8"/>
    <x v="8"/>
    <n v="98.2"/>
    <n v="10.5"/>
  </r>
  <r>
    <x v="5"/>
    <x v="1"/>
    <x v="9"/>
    <x v="9"/>
    <n v="93.7"/>
    <n v="4.5"/>
  </r>
  <r>
    <x v="5"/>
    <x v="1"/>
    <x v="10"/>
    <x v="10"/>
    <n v="291.2"/>
    <n v="0"/>
  </r>
  <r>
    <x v="5"/>
    <x v="1"/>
    <x v="11"/>
    <x v="11"/>
    <n v="409.3"/>
    <n v="0"/>
  </r>
  <r>
    <x v="6"/>
    <x v="1"/>
    <x v="0"/>
    <x v="0"/>
    <n v="349.4"/>
    <n v="0"/>
  </r>
  <r>
    <x v="6"/>
    <x v="1"/>
    <x v="1"/>
    <x v="1"/>
    <n v="301.5"/>
    <n v="0"/>
  </r>
  <r>
    <x v="6"/>
    <x v="1"/>
    <x v="2"/>
    <x v="2"/>
    <n v="254.6"/>
    <n v="0"/>
  </r>
  <r>
    <x v="6"/>
    <x v="1"/>
    <x v="3"/>
    <x v="3"/>
    <n v="241.9"/>
    <n v="0"/>
  </r>
  <r>
    <x v="6"/>
    <x v="1"/>
    <x v="4"/>
    <x v="4"/>
    <n v="144"/>
    <n v="19.7"/>
  </r>
  <r>
    <x v="6"/>
    <x v="1"/>
    <x v="5"/>
    <x v="5"/>
    <n v="84.6"/>
    <n v="31"/>
  </r>
  <r>
    <x v="6"/>
    <x v="1"/>
    <x v="6"/>
    <x v="6"/>
    <n v="40.799999999999997"/>
    <n v="61.3"/>
  </r>
  <r>
    <x v="6"/>
    <x v="1"/>
    <x v="7"/>
    <x v="7"/>
    <n v="32.6"/>
    <n v="28.4"/>
  </r>
  <r>
    <x v="6"/>
    <x v="1"/>
    <x v="8"/>
    <x v="8"/>
    <n v="0"/>
    <n v="0"/>
  </r>
  <r>
    <x v="6"/>
    <x v="1"/>
    <x v="9"/>
    <x v="9"/>
    <n v="91.4"/>
    <n v="5"/>
  </r>
  <r>
    <x v="6"/>
    <x v="1"/>
    <x v="10"/>
    <x v="10"/>
    <n v="283"/>
    <n v="0"/>
  </r>
  <r>
    <x v="6"/>
    <x v="1"/>
    <x v="11"/>
    <x v="11"/>
    <n v="395.2"/>
    <n v="0"/>
  </r>
  <r>
    <x v="0"/>
    <x v="2"/>
    <x v="0"/>
    <x v="0"/>
    <n v="333.4"/>
    <n v="0"/>
  </r>
  <r>
    <x v="0"/>
    <x v="2"/>
    <x v="1"/>
    <x v="1"/>
    <n v="263.39999999999998"/>
    <n v="0"/>
  </r>
  <r>
    <x v="0"/>
    <x v="2"/>
    <x v="2"/>
    <x v="2"/>
    <n v="283.5"/>
    <n v="0"/>
  </r>
  <r>
    <x v="0"/>
    <x v="2"/>
    <x v="3"/>
    <x v="3"/>
    <n v="241.3"/>
    <n v="1.5"/>
  </r>
  <r>
    <x v="0"/>
    <x v="2"/>
    <x v="4"/>
    <x v="4"/>
    <n v="181.7"/>
    <n v="6.3"/>
  </r>
  <r>
    <x v="0"/>
    <x v="2"/>
    <x v="5"/>
    <x v="5"/>
    <n v="110.8"/>
    <n v="12.9"/>
  </r>
  <r>
    <x v="0"/>
    <x v="2"/>
    <x v="6"/>
    <x v="6"/>
    <n v="70.3"/>
    <n v="20.2"/>
  </r>
  <r>
    <x v="0"/>
    <x v="2"/>
    <x v="7"/>
    <x v="7"/>
    <n v="65"/>
    <n v="19.399999999999999"/>
  </r>
  <r>
    <x v="0"/>
    <x v="2"/>
    <x v="8"/>
    <x v="8"/>
    <n v="90.2"/>
    <n v="11"/>
  </r>
  <r>
    <x v="0"/>
    <x v="2"/>
    <x v="9"/>
    <x v="9"/>
    <n v="176.2"/>
    <n v="0.7"/>
  </r>
  <r>
    <x v="0"/>
    <x v="2"/>
    <x v="10"/>
    <x v="10"/>
    <n v="230.3"/>
    <n v="0"/>
  </r>
  <r>
    <x v="0"/>
    <x v="2"/>
    <x v="11"/>
    <x v="11"/>
    <n v="310.10000000000002"/>
    <n v="0"/>
  </r>
  <r>
    <x v="1"/>
    <x v="2"/>
    <x v="0"/>
    <x v="0"/>
    <n v="307.7"/>
    <n v="0"/>
  </r>
  <r>
    <x v="1"/>
    <x v="2"/>
    <x v="1"/>
    <x v="1"/>
    <n v="254.8"/>
    <n v="0"/>
  </r>
  <r>
    <x v="1"/>
    <x v="2"/>
    <x v="2"/>
    <x v="2"/>
    <n v="260.89999999999998"/>
    <n v="0"/>
  </r>
  <r>
    <x v="1"/>
    <x v="2"/>
    <x v="3"/>
    <x v="3"/>
    <n v="237.7"/>
    <n v="0.5"/>
  </r>
  <r>
    <x v="1"/>
    <x v="2"/>
    <x v="4"/>
    <x v="4"/>
    <n v="184.2"/>
    <n v="5.0999999999999996"/>
  </r>
  <r>
    <x v="1"/>
    <x v="2"/>
    <x v="5"/>
    <x v="5"/>
    <n v="129.6"/>
    <n v="3.7"/>
  </r>
  <r>
    <x v="1"/>
    <x v="2"/>
    <x v="6"/>
    <x v="6"/>
    <n v="80.7"/>
    <n v="11.7"/>
  </r>
  <r>
    <x v="1"/>
    <x v="2"/>
    <x v="7"/>
    <x v="7"/>
    <n v="62.8"/>
    <n v="14.6"/>
  </r>
  <r>
    <x v="1"/>
    <x v="2"/>
    <x v="8"/>
    <x v="8"/>
    <n v="87.7"/>
    <n v="21"/>
  </r>
  <r>
    <x v="1"/>
    <x v="2"/>
    <x v="9"/>
    <x v="9"/>
    <n v="163.1"/>
    <n v="0.8"/>
  </r>
  <r>
    <x v="1"/>
    <x v="2"/>
    <x v="10"/>
    <x v="10"/>
    <n v="213.7"/>
    <n v="0"/>
  </r>
  <r>
    <x v="1"/>
    <x v="2"/>
    <x v="11"/>
    <x v="11"/>
    <n v="296.3"/>
    <n v="0"/>
  </r>
  <r>
    <x v="2"/>
    <x v="2"/>
    <x v="0"/>
    <x v="0"/>
    <n v="316.3"/>
    <n v="0"/>
  </r>
  <r>
    <x v="2"/>
    <x v="2"/>
    <x v="1"/>
    <x v="1"/>
    <n v="251.4"/>
    <n v="0"/>
  </r>
  <r>
    <x v="2"/>
    <x v="2"/>
    <x v="2"/>
    <x v="2"/>
    <n v="264.7"/>
    <n v="0"/>
  </r>
  <r>
    <x v="2"/>
    <x v="2"/>
    <x v="3"/>
    <x v="3"/>
    <n v="231.1"/>
    <n v="0.8"/>
  </r>
  <r>
    <x v="2"/>
    <x v="2"/>
    <x v="4"/>
    <x v="4"/>
    <n v="172.9"/>
    <n v="3.3"/>
  </r>
  <r>
    <x v="2"/>
    <x v="2"/>
    <x v="5"/>
    <x v="5"/>
    <n v="113"/>
    <n v="4.7"/>
  </r>
  <r>
    <x v="2"/>
    <x v="2"/>
    <x v="6"/>
    <x v="6"/>
    <n v="72.8"/>
    <n v="18.600000000000001"/>
  </r>
  <r>
    <x v="2"/>
    <x v="2"/>
    <x v="7"/>
    <x v="7"/>
    <n v="53.1"/>
    <n v="27.1"/>
  </r>
  <r>
    <x v="2"/>
    <x v="2"/>
    <x v="8"/>
    <x v="8"/>
    <n v="82.1"/>
    <n v="20.6"/>
  </r>
  <r>
    <x v="2"/>
    <x v="2"/>
    <x v="9"/>
    <x v="9"/>
    <n v="163.80000000000001"/>
    <n v="0.9"/>
  </r>
  <r>
    <x v="2"/>
    <x v="2"/>
    <x v="10"/>
    <x v="10"/>
    <n v="209.8"/>
    <n v="0"/>
  </r>
  <r>
    <x v="2"/>
    <x v="2"/>
    <x v="11"/>
    <x v="11"/>
    <n v="294.2"/>
    <n v="0"/>
  </r>
  <r>
    <x v="3"/>
    <x v="2"/>
    <x v="0"/>
    <x v="0"/>
    <n v="313"/>
    <n v="0"/>
  </r>
  <r>
    <x v="3"/>
    <x v="2"/>
    <x v="1"/>
    <x v="1"/>
    <n v="245.8"/>
    <n v="0"/>
  </r>
  <r>
    <x v="3"/>
    <x v="2"/>
    <x v="2"/>
    <x v="2"/>
    <n v="248.9"/>
    <n v="0"/>
  </r>
  <r>
    <x v="3"/>
    <x v="2"/>
    <x v="3"/>
    <x v="3"/>
    <n v="205.4"/>
    <n v="2.9"/>
  </r>
  <r>
    <x v="3"/>
    <x v="2"/>
    <x v="4"/>
    <x v="4"/>
    <n v="142"/>
    <n v="14"/>
  </r>
  <r>
    <x v="3"/>
    <x v="2"/>
    <x v="5"/>
    <x v="5"/>
    <n v="67.5"/>
    <n v="36"/>
  </r>
  <r>
    <x v="3"/>
    <x v="2"/>
    <x v="6"/>
    <x v="6"/>
    <n v="44"/>
    <n v="56.8"/>
  </r>
  <r>
    <x v="3"/>
    <x v="2"/>
    <x v="7"/>
    <x v="7"/>
    <n v="39.5"/>
    <n v="57.9"/>
  </r>
  <r>
    <x v="3"/>
    <x v="2"/>
    <x v="8"/>
    <x v="8"/>
    <n v="78.3"/>
    <n v="32.6"/>
  </r>
  <r>
    <x v="3"/>
    <x v="2"/>
    <x v="9"/>
    <x v="9"/>
    <n v="149.9"/>
    <n v="2.6"/>
  </r>
  <r>
    <x v="3"/>
    <x v="2"/>
    <x v="10"/>
    <x v="10"/>
    <n v="210.7"/>
    <n v="0"/>
  </r>
  <r>
    <x v="3"/>
    <x v="2"/>
    <x v="11"/>
    <x v="11"/>
    <n v="288"/>
    <n v="0"/>
  </r>
  <r>
    <x v="4"/>
    <x v="2"/>
    <x v="0"/>
    <x v="0"/>
    <n v="321.60000000000002"/>
    <n v="0"/>
  </r>
  <r>
    <x v="4"/>
    <x v="2"/>
    <x v="1"/>
    <x v="1"/>
    <n v="251.4"/>
    <n v="0"/>
  </r>
  <r>
    <x v="4"/>
    <x v="2"/>
    <x v="2"/>
    <x v="2"/>
    <n v="273.60000000000002"/>
    <n v="0"/>
  </r>
  <r>
    <x v="4"/>
    <x v="2"/>
    <x v="3"/>
    <x v="3"/>
    <n v="228.2"/>
    <n v="1.5"/>
  </r>
  <r>
    <x v="4"/>
    <x v="2"/>
    <x v="4"/>
    <x v="4"/>
    <n v="167.3"/>
    <n v="7.4"/>
  </r>
  <r>
    <x v="4"/>
    <x v="2"/>
    <x v="5"/>
    <x v="5"/>
    <n v="87.5"/>
    <n v="18.600000000000001"/>
  </r>
  <r>
    <x v="4"/>
    <x v="2"/>
    <x v="6"/>
    <x v="6"/>
    <n v="64.5"/>
    <n v="20.8"/>
  </r>
  <r>
    <x v="4"/>
    <x v="2"/>
    <x v="7"/>
    <x v="7"/>
    <n v="52.4"/>
    <n v="25.4"/>
  </r>
  <r>
    <x v="4"/>
    <x v="2"/>
    <x v="8"/>
    <x v="8"/>
    <n v="82.1"/>
    <n v="17.8"/>
  </r>
  <r>
    <x v="4"/>
    <x v="2"/>
    <x v="9"/>
    <x v="9"/>
    <n v="164.5"/>
    <n v="1.7"/>
  </r>
  <r>
    <x v="4"/>
    <x v="2"/>
    <x v="10"/>
    <x v="10"/>
    <n v="225.6"/>
    <n v="0"/>
  </r>
  <r>
    <x v="4"/>
    <x v="2"/>
    <x v="11"/>
    <x v="11"/>
    <n v="300.3"/>
    <n v="0"/>
  </r>
  <r>
    <x v="5"/>
    <x v="2"/>
    <x v="0"/>
    <x v="0"/>
    <n v="317.8"/>
    <n v="0"/>
  </r>
  <r>
    <x v="5"/>
    <x v="2"/>
    <x v="1"/>
    <x v="1"/>
    <n v="248.4"/>
    <n v="0"/>
  </r>
  <r>
    <x v="5"/>
    <x v="2"/>
    <x v="2"/>
    <x v="2"/>
    <n v="257.10000000000002"/>
    <n v="0"/>
  </r>
  <r>
    <x v="5"/>
    <x v="2"/>
    <x v="3"/>
    <x v="3"/>
    <n v="229.1"/>
    <n v="0.8"/>
  </r>
  <r>
    <x v="5"/>
    <x v="2"/>
    <x v="4"/>
    <x v="4"/>
    <n v="159.69999999999999"/>
    <n v="5.3"/>
  </r>
  <r>
    <x v="5"/>
    <x v="2"/>
    <x v="5"/>
    <x v="5"/>
    <n v="94.5"/>
    <n v="13.8"/>
  </r>
  <r>
    <x v="5"/>
    <x v="2"/>
    <x v="6"/>
    <x v="6"/>
    <n v="64.599999999999994"/>
    <n v="31.7"/>
  </r>
  <r>
    <x v="5"/>
    <x v="2"/>
    <x v="7"/>
    <x v="7"/>
    <n v="58.6"/>
    <n v="31.1"/>
  </r>
  <r>
    <x v="5"/>
    <x v="2"/>
    <x v="8"/>
    <x v="8"/>
    <n v="76.7"/>
    <n v="29.8"/>
  </r>
  <r>
    <x v="5"/>
    <x v="2"/>
    <x v="9"/>
    <x v="9"/>
    <n v="149.19999999999999"/>
    <n v="1.6"/>
  </r>
  <r>
    <x v="5"/>
    <x v="2"/>
    <x v="10"/>
    <x v="10"/>
    <n v="199.3"/>
    <n v="0"/>
  </r>
  <r>
    <x v="5"/>
    <x v="2"/>
    <x v="11"/>
    <x v="11"/>
    <n v="287"/>
    <n v="0"/>
  </r>
  <r>
    <x v="6"/>
    <x v="2"/>
    <x v="0"/>
    <x v="0"/>
    <n v="318.39999999999998"/>
    <n v="0"/>
  </r>
  <r>
    <x v="6"/>
    <x v="2"/>
    <x v="1"/>
    <x v="1"/>
    <n v="254.6"/>
    <n v="0"/>
  </r>
  <r>
    <x v="6"/>
    <x v="2"/>
    <x v="2"/>
    <x v="2"/>
    <n v="241.6"/>
    <n v="0"/>
  </r>
  <r>
    <x v="6"/>
    <x v="2"/>
    <x v="3"/>
    <x v="3"/>
    <n v="228.1"/>
    <n v="0.8"/>
  </r>
  <r>
    <x v="6"/>
    <x v="2"/>
    <x v="4"/>
    <x v="4"/>
    <n v="154.4"/>
    <n v="7.4"/>
  </r>
  <r>
    <x v="6"/>
    <x v="2"/>
    <x v="5"/>
    <x v="5"/>
    <n v="84.1"/>
    <n v="17.3"/>
  </r>
  <r>
    <x v="6"/>
    <x v="2"/>
    <x v="6"/>
    <x v="6"/>
    <n v="56.8"/>
    <n v="36.9"/>
  </r>
  <r>
    <x v="6"/>
    <x v="2"/>
    <x v="7"/>
    <x v="7"/>
    <n v="55.5"/>
    <n v="36.5"/>
  </r>
  <r>
    <x v="6"/>
    <x v="2"/>
    <x v="8"/>
    <x v="8"/>
    <n v="79.099999999999994"/>
    <n v="29.1"/>
  </r>
  <r>
    <x v="6"/>
    <x v="2"/>
    <x v="9"/>
    <x v="9"/>
    <n v="156.5"/>
    <n v="2"/>
  </r>
  <r>
    <x v="6"/>
    <x v="2"/>
    <x v="10"/>
    <x v="10"/>
    <n v="197.7"/>
    <n v="0.5"/>
  </r>
  <r>
    <x v="6"/>
    <x v="2"/>
    <x v="11"/>
    <x v="11"/>
    <n v="295.60000000000002"/>
    <n v="0"/>
  </r>
  <r>
    <x v="0"/>
    <x v="3"/>
    <x v="0"/>
    <x v="0"/>
    <n v="394.9"/>
    <n v="0"/>
  </r>
  <r>
    <x v="0"/>
    <x v="3"/>
    <x v="1"/>
    <x v="1"/>
    <n v="349.8"/>
    <n v="0"/>
  </r>
  <r>
    <x v="0"/>
    <x v="3"/>
    <x v="2"/>
    <x v="2"/>
    <n v="275.10000000000002"/>
    <n v="0.1"/>
  </r>
  <r>
    <x v="0"/>
    <x v="3"/>
    <x v="3"/>
    <x v="3"/>
    <n v="233.7"/>
    <n v="3.6"/>
  </r>
  <r>
    <x v="0"/>
    <x v="3"/>
    <x v="4"/>
    <x v="4"/>
    <n v="179.7"/>
    <n v="5.5"/>
  </r>
  <r>
    <x v="0"/>
    <x v="3"/>
    <x v="5"/>
    <x v="5"/>
    <n v="58.7"/>
    <n v="40.9"/>
  </r>
  <r>
    <x v="0"/>
    <x v="3"/>
    <x v="6"/>
    <x v="6"/>
    <n v="46.1"/>
    <n v="48.3"/>
  </r>
  <r>
    <x v="0"/>
    <x v="3"/>
    <x v="7"/>
    <x v="7"/>
    <n v="32.200000000000003"/>
    <n v="88.6"/>
  </r>
  <r>
    <x v="0"/>
    <x v="3"/>
    <x v="8"/>
    <x v="8"/>
    <n v="87.7"/>
    <n v="28.3"/>
  </r>
  <r>
    <x v="0"/>
    <x v="3"/>
    <x v="9"/>
    <x v="9"/>
    <n v="227.4"/>
    <n v="0.7"/>
  </r>
  <r>
    <x v="0"/>
    <x v="3"/>
    <x v="10"/>
    <x v="10"/>
    <n v="241.8"/>
    <n v="0.2"/>
  </r>
  <r>
    <x v="0"/>
    <x v="3"/>
    <x v="11"/>
    <x v="11"/>
    <n v="347.1"/>
    <n v="0"/>
  </r>
  <r>
    <x v="1"/>
    <x v="3"/>
    <x v="0"/>
    <x v="0"/>
    <n v="371.9"/>
    <n v="0"/>
  </r>
  <r>
    <x v="1"/>
    <x v="3"/>
    <x v="1"/>
    <x v="1"/>
    <n v="318.10000000000002"/>
    <n v="0"/>
  </r>
  <r>
    <x v="1"/>
    <x v="3"/>
    <x v="2"/>
    <x v="2"/>
    <n v="244.8"/>
    <n v="0.9"/>
  </r>
  <r>
    <x v="1"/>
    <x v="3"/>
    <x v="3"/>
    <x v="3"/>
    <n v="211.4"/>
    <n v="5.6"/>
  </r>
  <r>
    <x v="1"/>
    <x v="3"/>
    <x v="4"/>
    <x v="4"/>
    <n v="182.2"/>
    <n v="8.6999999999999993"/>
  </r>
  <r>
    <x v="1"/>
    <x v="3"/>
    <x v="5"/>
    <x v="5"/>
    <n v="75"/>
    <n v="17.8"/>
  </r>
  <r>
    <x v="1"/>
    <x v="3"/>
    <x v="6"/>
    <x v="6"/>
    <n v="46.8"/>
    <n v="34.200000000000003"/>
  </r>
  <r>
    <x v="1"/>
    <x v="3"/>
    <x v="7"/>
    <x v="7"/>
    <n v="34.4"/>
    <n v="82.7"/>
  </r>
  <r>
    <x v="1"/>
    <x v="3"/>
    <x v="8"/>
    <x v="8"/>
    <n v="93.5"/>
    <n v="29.3"/>
  </r>
  <r>
    <x v="1"/>
    <x v="3"/>
    <x v="9"/>
    <x v="9"/>
    <n v="212.2"/>
    <n v="0.9"/>
  </r>
  <r>
    <x v="1"/>
    <x v="3"/>
    <x v="10"/>
    <x v="10"/>
    <n v="233.2"/>
    <n v="0.4"/>
  </r>
  <r>
    <x v="1"/>
    <x v="3"/>
    <x v="11"/>
    <x v="11"/>
    <n v="319.8"/>
    <n v="0"/>
  </r>
  <r>
    <x v="2"/>
    <x v="3"/>
    <x v="0"/>
    <x v="0"/>
    <n v="364.6"/>
    <n v="0"/>
  </r>
  <r>
    <x v="2"/>
    <x v="3"/>
    <x v="1"/>
    <x v="1"/>
    <n v="323.60000000000002"/>
    <n v="0"/>
  </r>
  <r>
    <x v="2"/>
    <x v="3"/>
    <x v="2"/>
    <x v="2"/>
    <n v="231.3"/>
    <n v="0.8"/>
  </r>
  <r>
    <x v="2"/>
    <x v="3"/>
    <x v="3"/>
    <x v="3"/>
    <n v="207.4"/>
    <n v="5.4"/>
  </r>
  <r>
    <x v="2"/>
    <x v="3"/>
    <x v="4"/>
    <x v="4"/>
    <n v="175.8"/>
    <n v="8.6999999999999993"/>
  </r>
  <r>
    <x v="2"/>
    <x v="3"/>
    <x v="5"/>
    <x v="5"/>
    <n v="66.599999999999994"/>
    <n v="32.6"/>
  </r>
  <r>
    <x v="2"/>
    <x v="3"/>
    <x v="6"/>
    <x v="6"/>
    <n v="42.2"/>
    <n v="45.9"/>
  </r>
  <r>
    <x v="2"/>
    <x v="3"/>
    <x v="7"/>
    <x v="7"/>
    <n v="23.9"/>
    <n v="114.5"/>
  </r>
  <r>
    <x v="2"/>
    <x v="3"/>
    <x v="8"/>
    <x v="8"/>
    <n v="81"/>
    <n v="28.4"/>
  </r>
  <r>
    <x v="2"/>
    <x v="3"/>
    <x v="9"/>
    <x v="9"/>
    <n v="204.4"/>
    <n v="0.5"/>
  </r>
  <r>
    <x v="2"/>
    <x v="3"/>
    <x v="10"/>
    <x v="10"/>
    <n v="232.2"/>
    <n v="0.1"/>
  </r>
  <r>
    <x v="2"/>
    <x v="3"/>
    <x v="11"/>
    <x v="11"/>
    <n v="323.39999999999998"/>
    <n v="0"/>
  </r>
  <r>
    <x v="3"/>
    <x v="3"/>
    <x v="0"/>
    <x v="0"/>
    <n v="412.7"/>
    <n v="0"/>
  </r>
  <r>
    <x v="3"/>
    <x v="3"/>
    <x v="1"/>
    <x v="1"/>
    <n v="346.6"/>
    <n v="0"/>
  </r>
  <r>
    <x v="3"/>
    <x v="3"/>
    <x v="2"/>
    <x v="2"/>
    <n v="217.4"/>
    <n v="2.7"/>
  </r>
  <r>
    <x v="3"/>
    <x v="3"/>
    <x v="3"/>
    <x v="3"/>
    <n v="186.9"/>
    <n v="10.5"/>
  </r>
  <r>
    <x v="3"/>
    <x v="3"/>
    <x v="4"/>
    <x v="4"/>
    <n v="133"/>
    <n v="20.9"/>
  </r>
  <r>
    <x v="3"/>
    <x v="3"/>
    <x v="5"/>
    <x v="5"/>
    <n v="28.1"/>
    <n v="87.8"/>
  </r>
  <r>
    <x v="3"/>
    <x v="3"/>
    <x v="6"/>
    <x v="6"/>
    <n v="25.6"/>
    <n v="90.7"/>
  </r>
  <r>
    <x v="3"/>
    <x v="3"/>
    <x v="7"/>
    <x v="7"/>
    <n v="15.1"/>
    <n v="171.9"/>
  </r>
  <r>
    <x v="3"/>
    <x v="3"/>
    <x v="8"/>
    <x v="8"/>
    <n v="67.599999999999994"/>
    <n v="58"/>
  </r>
  <r>
    <x v="3"/>
    <x v="3"/>
    <x v="9"/>
    <x v="9"/>
    <n v="199.7"/>
    <n v="3.7"/>
  </r>
  <r>
    <x v="3"/>
    <x v="3"/>
    <x v="10"/>
    <x v="10"/>
    <n v="233.7"/>
    <n v="0"/>
  </r>
  <r>
    <x v="3"/>
    <x v="3"/>
    <x v="11"/>
    <x v="11"/>
    <n v="351.7"/>
    <n v="0"/>
  </r>
  <r>
    <x v="4"/>
    <x v="3"/>
    <x v="0"/>
    <x v="0"/>
    <n v="397.4"/>
    <n v="0"/>
  </r>
  <r>
    <x v="4"/>
    <x v="3"/>
    <x v="1"/>
    <x v="1"/>
    <n v="343.3"/>
    <n v="0"/>
  </r>
  <r>
    <x v="4"/>
    <x v="3"/>
    <x v="2"/>
    <x v="2"/>
    <n v="251.5"/>
    <n v="0.9"/>
  </r>
  <r>
    <x v="4"/>
    <x v="3"/>
    <x v="3"/>
    <x v="3"/>
    <n v="217.4"/>
    <n v="6"/>
  </r>
  <r>
    <x v="4"/>
    <x v="3"/>
    <x v="4"/>
    <x v="4"/>
    <n v="170.1"/>
    <n v="7.7"/>
  </r>
  <r>
    <x v="4"/>
    <x v="3"/>
    <x v="5"/>
    <x v="5"/>
    <n v="58.5"/>
    <n v="43"/>
  </r>
  <r>
    <x v="4"/>
    <x v="3"/>
    <x v="6"/>
    <x v="6"/>
    <n v="41.6"/>
    <n v="57.3"/>
  </r>
  <r>
    <x v="4"/>
    <x v="3"/>
    <x v="7"/>
    <x v="7"/>
    <n v="28.1"/>
    <n v="95.4"/>
  </r>
  <r>
    <x v="4"/>
    <x v="3"/>
    <x v="8"/>
    <x v="8"/>
    <n v="86.4"/>
    <n v="34.5"/>
  </r>
  <r>
    <x v="4"/>
    <x v="3"/>
    <x v="9"/>
    <x v="9"/>
    <n v="207.5"/>
    <n v="2.2000000000000002"/>
  </r>
  <r>
    <x v="4"/>
    <x v="3"/>
    <x v="10"/>
    <x v="10"/>
    <n v="242.1"/>
    <n v="0"/>
  </r>
  <r>
    <x v="4"/>
    <x v="3"/>
    <x v="11"/>
    <x v="11"/>
    <n v="347.4"/>
    <n v="0"/>
  </r>
  <r>
    <x v="5"/>
    <x v="3"/>
    <x v="0"/>
    <x v="0"/>
    <n v="382.8"/>
    <n v="0"/>
  </r>
  <r>
    <x v="5"/>
    <x v="3"/>
    <x v="1"/>
    <x v="1"/>
    <n v="326.10000000000002"/>
    <n v="0"/>
  </r>
  <r>
    <x v="5"/>
    <x v="3"/>
    <x v="2"/>
    <x v="2"/>
    <n v="224.6"/>
    <n v="1.3"/>
  </r>
  <r>
    <x v="5"/>
    <x v="3"/>
    <x v="3"/>
    <x v="3"/>
    <n v="196.2"/>
    <n v="6.8"/>
  </r>
  <r>
    <x v="5"/>
    <x v="3"/>
    <x v="4"/>
    <x v="4"/>
    <n v="158.30000000000001"/>
    <n v="13.3"/>
  </r>
  <r>
    <x v="5"/>
    <x v="3"/>
    <x v="5"/>
    <x v="5"/>
    <n v="45.5"/>
    <n v="58.5"/>
  </r>
  <r>
    <x v="5"/>
    <x v="3"/>
    <x v="6"/>
    <x v="6"/>
    <n v="29.3"/>
    <n v="63.5"/>
  </r>
  <r>
    <x v="5"/>
    <x v="3"/>
    <x v="7"/>
    <x v="7"/>
    <n v="21.9"/>
    <n v="139.5"/>
  </r>
  <r>
    <x v="5"/>
    <x v="3"/>
    <x v="8"/>
    <x v="8"/>
    <n v="70.5"/>
    <n v="38.9"/>
  </r>
  <r>
    <x v="5"/>
    <x v="3"/>
    <x v="9"/>
    <x v="9"/>
    <n v="201.2"/>
    <n v="2.6"/>
  </r>
  <r>
    <x v="5"/>
    <x v="3"/>
    <x v="10"/>
    <x v="10"/>
    <n v="223.4"/>
    <n v="0.1"/>
  </r>
  <r>
    <x v="5"/>
    <x v="3"/>
    <x v="11"/>
    <x v="11"/>
    <n v="330.6"/>
    <n v="0"/>
  </r>
  <r>
    <x v="6"/>
    <x v="3"/>
    <x v="0"/>
    <x v="0"/>
    <n v="342.8"/>
    <n v="0"/>
  </r>
  <r>
    <x v="6"/>
    <x v="3"/>
    <x v="1"/>
    <x v="1"/>
    <n v="345.7"/>
    <n v="0"/>
  </r>
  <r>
    <x v="6"/>
    <x v="3"/>
    <x v="2"/>
    <x v="2"/>
    <n v="228.5"/>
    <n v="1.2"/>
  </r>
  <r>
    <x v="6"/>
    <x v="3"/>
    <x v="3"/>
    <x v="3"/>
    <n v="195.9"/>
    <n v="5.3"/>
  </r>
  <r>
    <x v="6"/>
    <x v="3"/>
    <x v="4"/>
    <x v="4"/>
    <n v="146.9"/>
    <n v="13.9"/>
  </r>
  <r>
    <x v="6"/>
    <x v="3"/>
    <x v="5"/>
    <x v="5"/>
    <n v="40.6"/>
    <n v="64.7"/>
  </r>
  <r>
    <x v="6"/>
    <x v="3"/>
    <x v="6"/>
    <x v="6"/>
    <n v="18.399999999999999"/>
    <n v="74.3"/>
  </r>
  <r>
    <x v="6"/>
    <x v="3"/>
    <x v="7"/>
    <x v="7"/>
    <n v="20.9"/>
    <n v="97"/>
  </r>
  <r>
    <x v="6"/>
    <x v="3"/>
    <x v="8"/>
    <x v="8"/>
    <n v="69"/>
    <n v="40.1"/>
  </r>
  <r>
    <x v="6"/>
    <x v="3"/>
    <x v="9"/>
    <x v="9"/>
    <n v="210.1"/>
    <n v="1.8"/>
  </r>
  <r>
    <x v="6"/>
    <x v="3"/>
    <x v="10"/>
    <x v="10"/>
    <n v="231.4"/>
    <n v="0"/>
  </r>
  <r>
    <x v="6"/>
    <x v="3"/>
    <x v="11"/>
    <x v="11"/>
    <n v="343"/>
    <n v="0"/>
  </r>
  <r>
    <x v="0"/>
    <x v="4"/>
    <x v="0"/>
    <x v="0"/>
    <n v="341"/>
    <n v="0"/>
  </r>
  <r>
    <x v="0"/>
    <x v="4"/>
    <x v="1"/>
    <x v="1"/>
    <n v="344.8"/>
    <n v="0.2"/>
  </r>
  <r>
    <x v="0"/>
    <x v="4"/>
    <x v="2"/>
    <x v="2"/>
    <n v="345.5"/>
    <n v="0.1"/>
  </r>
  <r>
    <x v="0"/>
    <x v="4"/>
    <x v="3"/>
    <x v="3"/>
    <n v="265.5"/>
    <n v="0"/>
  </r>
  <r>
    <x v="0"/>
    <x v="4"/>
    <x v="4"/>
    <x v="4"/>
    <n v="188.8"/>
    <n v="2.2000000000000002"/>
  </r>
  <r>
    <x v="0"/>
    <x v="4"/>
    <x v="5"/>
    <x v="5"/>
    <n v="81.099999999999994"/>
    <n v="23.9"/>
  </r>
  <r>
    <x v="0"/>
    <x v="4"/>
    <x v="6"/>
    <x v="6"/>
    <n v="75.599999999999994"/>
    <n v="18"/>
  </r>
  <r>
    <x v="0"/>
    <x v="4"/>
    <x v="7"/>
    <x v="7"/>
    <n v="43.6"/>
    <n v="41.1"/>
  </r>
  <r>
    <x v="0"/>
    <x v="4"/>
    <x v="8"/>
    <x v="8"/>
    <n v="87.3"/>
    <n v="16.2"/>
  </r>
  <r>
    <x v="0"/>
    <x v="4"/>
    <x v="9"/>
    <x v="9"/>
    <n v="174.2"/>
    <n v="0.9"/>
  </r>
  <r>
    <x v="0"/>
    <x v="4"/>
    <x v="10"/>
    <x v="10"/>
    <n v="251.9"/>
    <n v="0"/>
  </r>
  <r>
    <x v="0"/>
    <x v="4"/>
    <x v="11"/>
    <x v="11"/>
    <n v="372.7"/>
    <n v="0"/>
  </r>
  <r>
    <x v="1"/>
    <x v="4"/>
    <x v="0"/>
    <x v="0"/>
    <n v="322.60000000000002"/>
    <n v="0"/>
  </r>
  <r>
    <x v="1"/>
    <x v="4"/>
    <x v="1"/>
    <x v="1"/>
    <n v="328.5"/>
    <n v="0"/>
  </r>
  <r>
    <x v="1"/>
    <x v="4"/>
    <x v="2"/>
    <x v="2"/>
    <n v="330.8"/>
    <n v="0"/>
  </r>
  <r>
    <x v="1"/>
    <x v="4"/>
    <x v="3"/>
    <x v="3"/>
    <n v="258.8"/>
    <n v="0.9"/>
  </r>
  <r>
    <x v="1"/>
    <x v="4"/>
    <x v="4"/>
    <x v="4"/>
    <n v="177.5"/>
    <n v="6.7"/>
  </r>
  <r>
    <x v="1"/>
    <x v="4"/>
    <x v="5"/>
    <x v="5"/>
    <n v="82.6"/>
    <n v="19.899999999999999"/>
  </r>
  <r>
    <x v="1"/>
    <x v="4"/>
    <x v="6"/>
    <x v="6"/>
    <n v="80.2"/>
    <n v="17"/>
  </r>
  <r>
    <x v="1"/>
    <x v="4"/>
    <x v="7"/>
    <x v="7"/>
    <n v="44.3"/>
    <n v="31.3"/>
  </r>
  <r>
    <x v="1"/>
    <x v="4"/>
    <x v="8"/>
    <x v="8"/>
    <n v="84.4"/>
    <n v="22"/>
  </r>
  <r>
    <x v="1"/>
    <x v="4"/>
    <x v="9"/>
    <x v="9"/>
    <n v="172.8"/>
    <n v="0"/>
  </r>
  <r>
    <x v="1"/>
    <x v="4"/>
    <x v="10"/>
    <x v="10"/>
    <n v="240.3"/>
    <n v="0"/>
  </r>
  <r>
    <x v="1"/>
    <x v="4"/>
    <x v="11"/>
    <x v="11"/>
    <n v="348.7"/>
    <n v="0"/>
  </r>
  <r>
    <x v="2"/>
    <x v="4"/>
    <x v="0"/>
    <x v="0"/>
    <n v="310.89999999999998"/>
    <n v="0"/>
  </r>
  <r>
    <x v="2"/>
    <x v="4"/>
    <x v="1"/>
    <x v="1"/>
    <n v="328.2"/>
    <n v="0"/>
  </r>
  <r>
    <x v="2"/>
    <x v="4"/>
    <x v="2"/>
    <x v="2"/>
    <n v="328.8"/>
    <n v="0.3"/>
  </r>
  <r>
    <x v="2"/>
    <x v="4"/>
    <x v="3"/>
    <x v="3"/>
    <n v="245.6"/>
    <n v="1.3"/>
  </r>
  <r>
    <x v="2"/>
    <x v="4"/>
    <x v="4"/>
    <x v="4"/>
    <n v="152.69999999999999"/>
    <n v="14.3"/>
  </r>
  <r>
    <x v="2"/>
    <x v="4"/>
    <x v="5"/>
    <x v="5"/>
    <n v="72.400000000000006"/>
    <n v="27.4"/>
  </r>
  <r>
    <x v="2"/>
    <x v="4"/>
    <x v="6"/>
    <x v="6"/>
    <n v="68.8"/>
    <n v="23"/>
  </r>
  <r>
    <x v="2"/>
    <x v="4"/>
    <x v="7"/>
    <x v="7"/>
    <n v="45.7"/>
    <n v="28.9"/>
  </r>
  <r>
    <x v="2"/>
    <x v="4"/>
    <x v="8"/>
    <x v="8"/>
    <n v="78.5"/>
    <n v="30.7"/>
  </r>
  <r>
    <x v="2"/>
    <x v="4"/>
    <x v="9"/>
    <x v="9"/>
    <n v="166.8"/>
    <n v="0.3"/>
  </r>
  <r>
    <x v="2"/>
    <x v="4"/>
    <x v="10"/>
    <x v="10"/>
    <n v="240"/>
    <n v="0"/>
  </r>
  <r>
    <x v="2"/>
    <x v="4"/>
    <x v="11"/>
    <x v="11"/>
    <n v="344.5"/>
    <n v="0"/>
  </r>
  <r>
    <x v="3"/>
    <x v="4"/>
    <x v="0"/>
    <x v="0"/>
    <n v="334.5"/>
    <n v="0"/>
  </r>
  <r>
    <x v="3"/>
    <x v="4"/>
    <x v="1"/>
    <x v="1"/>
    <n v="337.9"/>
    <n v="0"/>
  </r>
  <r>
    <x v="3"/>
    <x v="4"/>
    <x v="2"/>
    <x v="2"/>
    <n v="334.1"/>
    <n v="0.7"/>
  </r>
  <r>
    <x v="3"/>
    <x v="4"/>
    <x v="3"/>
    <x v="3"/>
    <n v="225.7"/>
    <n v="1.8"/>
  </r>
  <r>
    <x v="3"/>
    <x v="4"/>
    <x v="4"/>
    <x v="4"/>
    <n v="153.19999999999999"/>
    <n v="16.7"/>
  </r>
  <r>
    <x v="3"/>
    <x v="4"/>
    <x v="5"/>
    <x v="5"/>
    <n v="60.9"/>
    <n v="53.3"/>
  </r>
  <r>
    <x v="3"/>
    <x v="4"/>
    <x v="6"/>
    <x v="6"/>
    <n v="52.4"/>
    <n v="58.8"/>
  </r>
  <r>
    <x v="3"/>
    <x v="4"/>
    <x v="7"/>
    <x v="7"/>
    <n v="31.1"/>
    <n v="76.3"/>
  </r>
  <r>
    <x v="3"/>
    <x v="4"/>
    <x v="8"/>
    <x v="8"/>
    <n v="71"/>
    <n v="51.7"/>
  </r>
  <r>
    <x v="3"/>
    <x v="4"/>
    <x v="9"/>
    <x v="9"/>
    <n v="150.19999999999999"/>
    <n v="3.4"/>
  </r>
  <r>
    <x v="3"/>
    <x v="4"/>
    <x v="10"/>
    <x v="10"/>
    <n v="264.8"/>
    <n v="0"/>
  </r>
  <r>
    <x v="3"/>
    <x v="4"/>
    <x v="11"/>
    <x v="11"/>
    <n v="389.8"/>
    <n v="0"/>
  </r>
  <r>
    <x v="4"/>
    <x v="4"/>
    <x v="0"/>
    <x v="0"/>
    <n v="329.6"/>
    <n v="0"/>
  </r>
  <r>
    <x v="4"/>
    <x v="4"/>
    <x v="1"/>
    <x v="1"/>
    <n v="343.4"/>
    <n v="0"/>
  </r>
  <r>
    <x v="4"/>
    <x v="4"/>
    <x v="2"/>
    <x v="2"/>
    <n v="338.5"/>
    <n v="0.3"/>
  </r>
  <r>
    <x v="4"/>
    <x v="4"/>
    <x v="3"/>
    <x v="3"/>
    <n v="252.5"/>
    <n v="0.3"/>
  </r>
  <r>
    <x v="4"/>
    <x v="4"/>
    <x v="4"/>
    <x v="4"/>
    <n v="178.1"/>
    <n v="4.0999999999999996"/>
  </r>
  <r>
    <x v="4"/>
    <x v="4"/>
    <x v="5"/>
    <x v="5"/>
    <n v="79.099999999999994"/>
    <n v="22.1"/>
  </r>
  <r>
    <x v="4"/>
    <x v="4"/>
    <x v="6"/>
    <x v="6"/>
    <n v="65.8"/>
    <n v="23.8"/>
  </r>
  <r>
    <x v="4"/>
    <x v="4"/>
    <x v="7"/>
    <x v="7"/>
    <n v="37"/>
    <n v="50.6"/>
  </r>
  <r>
    <x v="4"/>
    <x v="4"/>
    <x v="8"/>
    <x v="8"/>
    <n v="77.099999999999994"/>
    <n v="30.7"/>
  </r>
  <r>
    <x v="4"/>
    <x v="4"/>
    <x v="9"/>
    <x v="9"/>
    <n v="162.80000000000001"/>
    <n v="2.2999999999999998"/>
  </r>
  <r>
    <x v="4"/>
    <x v="4"/>
    <x v="10"/>
    <x v="10"/>
    <n v="239.2"/>
    <n v="0"/>
  </r>
  <r>
    <x v="4"/>
    <x v="4"/>
    <x v="11"/>
    <x v="11"/>
    <n v="366.5"/>
    <n v="0"/>
  </r>
  <r>
    <x v="5"/>
    <x v="4"/>
    <x v="0"/>
    <x v="0"/>
    <n v="318.10000000000002"/>
    <n v="0"/>
  </r>
  <r>
    <x v="5"/>
    <x v="4"/>
    <x v="1"/>
    <x v="1"/>
    <n v="322.10000000000002"/>
    <n v="0"/>
  </r>
  <r>
    <x v="5"/>
    <x v="4"/>
    <x v="2"/>
    <x v="2"/>
    <n v="323.3"/>
    <n v="0.2"/>
  </r>
  <r>
    <x v="5"/>
    <x v="4"/>
    <x v="3"/>
    <x v="3"/>
    <n v="234.9"/>
    <n v="1.6"/>
  </r>
  <r>
    <x v="5"/>
    <x v="4"/>
    <x v="4"/>
    <x v="4"/>
    <n v="142.9"/>
    <n v="17.7"/>
  </r>
  <r>
    <x v="5"/>
    <x v="4"/>
    <x v="5"/>
    <x v="5"/>
    <n v="62.5"/>
    <n v="37.299999999999997"/>
  </r>
  <r>
    <x v="5"/>
    <x v="4"/>
    <x v="6"/>
    <x v="6"/>
    <n v="63"/>
    <n v="31.2"/>
  </r>
  <r>
    <x v="5"/>
    <x v="4"/>
    <x v="7"/>
    <x v="7"/>
    <n v="30.9"/>
    <n v="44.1"/>
  </r>
  <r>
    <x v="5"/>
    <x v="4"/>
    <x v="8"/>
    <x v="8"/>
    <n v="71.400000000000006"/>
    <n v="38.4"/>
  </r>
  <r>
    <x v="5"/>
    <x v="4"/>
    <x v="9"/>
    <x v="9"/>
    <n v="149.80000000000001"/>
    <n v="1.5"/>
  </r>
  <r>
    <x v="5"/>
    <x v="4"/>
    <x v="10"/>
    <x v="10"/>
    <n v="242.1"/>
    <n v="0"/>
  </r>
  <r>
    <x v="5"/>
    <x v="4"/>
    <x v="11"/>
    <x v="11"/>
    <n v="354.4"/>
    <n v="0"/>
  </r>
  <r>
    <x v="6"/>
    <x v="4"/>
    <x v="0"/>
    <x v="0"/>
    <n v="323.39999999999998"/>
    <n v="0"/>
  </r>
  <r>
    <x v="6"/>
    <x v="4"/>
    <x v="1"/>
    <x v="1"/>
    <n v="339.1"/>
    <n v="0"/>
  </r>
  <r>
    <x v="6"/>
    <x v="4"/>
    <x v="2"/>
    <x v="2"/>
    <n v="325.89999999999998"/>
    <n v="0"/>
  </r>
  <r>
    <x v="6"/>
    <x v="4"/>
    <x v="3"/>
    <x v="3"/>
    <n v="237.3"/>
    <n v="1.5"/>
  </r>
  <r>
    <x v="6"/>
    <x v="4"/>
    <x v="4"/>
    <x v="4"/>
    <n v="139.1"/>
    <n v="18"/>
  </r>
  <r>
    <x v="6"/>
    <x v="4"/>
    <x v="5"/>
    <x v="5"/>
    <n v="61.6"/>
    <n v="39.6"/>
  </r>
  <r>
    <x v="6"/>
    <x v="4"/>
    <x v="6"/>
    <x v="6"/>
    <n v="51.9"/>
    <n v="38.299999999999997"/>
  </r>
  <r>
    <x v="6"/>
    <x v="4"/>
    <x v="7"/>
    <x v="7"/>
    <n v="33.700000000000003"/>
    <n v="54.4"/>
  </r>
  <r>
    <x v="6"/>
    <x v="4"/>
    <x v="8"/>
    <x v="8"/>
    <n v="75"/>
    <n v="46"/>
  </r>
  <r>
    <x v="6"/>
    <x v="4"/>
    <x v="9"/>
    <x v="9"/>
    <n v="146"/>
    <n v="1.2"/>
  </r>
  <r>
    <x v="6"/>
    <x v="4"/>
    <x v="10"/>
    <x v="10"/>
    <n v="252.6"/>
    <n v="0"/>
  </r>
  <r>
    <x v="6"/>
    <x v="4"/>
    <x v="11"/>
    <x v="11"/>
    <n v="371.2"/>
    <n v="0"/>
  </r>
  <r>
    <x v="0"/>
    <x v="5"/>
    <x v="0"/>
    <x v="0"/>
    <n v="324.7"/>
    <n v="0"/>
  </r>
  <r>
    <x v="0"/>
    <x v="5"/>
    <x v="1"/>
    <x v="1"/>
    <n v="376"/>
    <n v="0"/>
  </r>
  <r>
    <x v="0"/>
    <x v="5"/>
    <x v="2"/>
    <x v="2"/>
    <n v="296.10000000000002"/>
    <n v="1.7"/>
  </r>
  <r>
    <x v="0"/>
    <x v="5"/>
    <x v="3"/>
    <x v="3"/>
    <n v="248.8"/>
    <n v="1.5"/>
  </r>
  <r>
    <x v="0"/>
    <x v="5"/>
    <x v="4"/>
    <x v="4"/>
    <n v="179"/>
    <n v="9.1999999999999993"/>
  </r>
  <r>
    <x v="0"/>
    <x v="5"/>
    <x v="5"/>
    <x v="5"/>
    <n v="78.400000000000006"/>
    <n v="35.799999999999997"/>
  </r>
  <r>
    <x v="0"/>
    <x v="5"/>
    <x v="6"/>
    <x v="6"/>
    <n v="50.3"/>
    <n v="32.299999999999997"/>
  </r>
  <r>
    <x v="0"/>
    <x v="5"/>
    <x v="7"/>
    <x v="7"/>
    <n v="70.400000000000006"/>
    <n v="26.9"/>
  </r>
  <r>
    <x v="0"/>
    <x v="5"/>
    <x v="8"/>
    <x v="8"/>
    <n v="78.5"/>
    <n v="25.2"/>
  </r>
  <r>
    <x v="0"/>
    <x v="5"/>
    <x v="9"/>
    <x v="9"/>
    <n v="107.2"/>
    <n v="5.0999999999999996"/>
  </r>
  <r>
    <x v="0"/>
    <x v="5"/>
    <x v="10"/>
    <x v="10"/>
    <n v="304"/>
    <n v="0"/>
  </r>
  <r>
    <x v="0"/>
    <x v="5"/>
    <x v="11"/>
    <x v="11"/>
    <n v="395.7"/>
    <n v="0"/>
  </r>
  <r>
    <x v="1"/>
    <x v="5"/>
    <x v="0"/>
    <x v="0"/>
    <n v="305.3"/>
    <n v="0"/>
  </r>
  <r>
    <x v="1"/>
    <x v="5"/>
    <x v="1"/>
    <x v="1"/>
    <n v="354"/>
    <n v="0"/>
  </r>
  <r>
    <x v="1"/>
    <x v="5"/>
    <x v="2"/>
    <x v="2"/>
    <n v="280.89999999999998"/>
    <n v="3.9"/>
  </r>
  <r>
    <x v="1"/>
    <x v="5"/>
    <x v="3"/>
    <x v="3"/>
    <n v="238.1"/>
    <n v="2.1"/>
  </r>
  <r>
    <x v="1"/>
    <x v="5"/>
    <x v="4"/>
    <x v="4"/>
    <n v="177.4"/>
    <n v="3.2"/>
  </r>
  <r>
    <x v="1"/>
    <x v="5"/>
    <x v="5"/>
    <x v="5"/>
    <n v="74.5"/>
    <n v="26.6"/>
  </r>
  <r>
    <x v="1"/>
    <x v="5"/>
    <x v="6"/>
    <x v="6"/>
    <n v="49.8"/>
    <n v="33.4"/>
  </r>
  <r>
    <x v="1"/>
    <x v="5"/>
    <x v="7"/>
    <x v="7"/>
    <n v="66.599999999999994"/>
    <n v="27.2"/>
  </r>
  <r>
    <x v="1"/>
    <x v="5"/>
    <x v="8"/>
    <x v="8"/>
    <n v="83.9"/>
    <n v="17.5"/>
  </r>
  <r>
    <x v="1"/>
    <x v="5"/>
    <x v="9"/>
    <x v="9"/>
    <n v="110.5"/>
    <n v="5.5"/>
  </r>
  <r>
    <x v="1"/>
    <x v="5"/>
    <x v="10"/>
    <x v="10"/>
    <n v="283.2"/>
    <n v="0"/>
  </r>
  <r>
    <x v="1"/>
    <x v="5"/>
    <x v="11"/>
    <x v="11"/>
    <n v="360.8"/>
    <n v="0"/>
  </r>
  <r>
    <x v="2"/>
    <x v="5"/>
    <x v="0"/>
    <x v="0"/>
    <n v="303.89999999999998"/>
    <n v="0"/>
  </r>
  <r>
    <x v="2"/>
    <x v="5"/>
    <x v="1"/>
    <x v="1"/>
    <n v="354"/>
    <n v="0"/>
  </r>
  <r>
    <x v="2"/>
    <x v="5"/>
    <x v="2"/>
    <x v="2"/>
    <n v="282.39999999999998"/>
    <n v="2.5"/>
  </r>
  <r>
    <x v="2"/>
    <x v="5"/>
    <x v="3"/>
    <x v="3"/>
    <n v="235.5"/>
    <n v="1.6"/>
  </r>
  <r>
    <x v="2"/>
    <x v="5"/>
    <x v="4"/>
    <x v="4"/>
    <n v="162"/>
    <n v="4.5999999999999996"/>
  </r>
  <r>
    <x v="2"/>
    <x v="5"/>
    <x v="5"/>
    <x v="5"/>
    <n v="59"/>
    <n v="51"/>
  </r>
  <r>
    <x v="2"/>
    <x v="5"/>
    <x v="6"/>
    <x v="6"/>
    <n v="38.1"/>
    <n v="55.2"/>
  </r>
  <r>
    <x v="2"/>
    <x v="5"/>
    <x v="7"/>
    <x v="7"/>
    <n v="54.9"/>
    <n v="43.1"/>
  </r>
  <r>
    <x v="2"/>
    <x v="5"/>
    <x v="8"/>
    <x v="8"/>
    <n v="75.3"/>
    <n v="21.1"/>
  </r>
  <r>
    <x v="2"/>
    <x v="5"/>
    <x v="9"/>
    <x v="9"/>
    <n v="103.7"/>
    <n v="3.8"/>
  </r>
  <r>
    <x v="2"/>
    <x v="5"/>
    <x v="10"/>
    <x v="10"/>
    <n v="272.7"/>
    <n v="0"/>
  </r>
  <r>
    <x v="2"/>
    <x v="5"/>
    <x v="11"/>
    <x v="11"/>
    <n v="366.4"/>
    <n v="0"/>
  </r>
  <r>
    <x v="3"/>
    <x v="5"/>
    <x v="0"/>
    <x v="0"/>
    <n v="334.8"/>
    <n v="0"/>
  </r>
  <r>
    <x v="3"/>
    <x v="5"/>
    <x v="1"/>
    <x v="1"/>
    <n v="369.8"/>
    <n v="0"/>
  </r>
  <r>
    <x v="3"/>
    <x v="5"/>
    <x v="2"/>
    <x v="2"/>
    <n v="292.60000000000002"/>
    <n v="2.9"/>
  </r>
  <r>
    <x v="3"/>
    <x v="5"/>
    <x v="3"/>
    <x v="3"/>
    <n v="227"/>
    <n v="3.9"/>
  </r>
  <r>
    <x v="3"/>
    <x v="5"/>
    <x v="4"/>
    <x v="4"/>
    <n v="144.30000000000001"/>
    <n v="16.2"/>
  </r>
  <r>
    <x v="3"/>
    <x v="5"/>
    <x v="5"/>
    <x v="5"/>
    <n v="56.2"/>
    <n v="85.1"/>
  </r>
  <r>
    <x v="3"/>
    <x v="5"/>
    <x v="6"/>
    <x v="6"/>
    <n v="34.4"/>
    <n v="87.3"/>
  </r>
  <r>
    <x v="3"/>
    <x v="5"/>
    <x v="7"/>
    <x v="7"/>
    <n v="58.4"/>
    <n v="70.400000000000006"/>
  </r>
  <r>
    <x v="3"/>
    <x v="5"/>
    <x v="8"/>
    <x v="8"/>
    <n v="71"/>
    <n v="52.5"/>
  </r>
  <r>
    <x v="3"/>
    <x v="5"/>
    <x v="9"/>
    <x v="9"/>
    <n v="87.9"/>
    <n v="16.8"/>
  </r>
  <r>
    <x v="3"/>
    <x v="5"/>
    <x v="10"/>
    <x v="10"/>
    <n v="308.3"/>
    <n v="0"/>
  </r>
  <r>
    <x v="3"/>
    <x v="5"/>
    <x v="11"/>
    <x v="11"/>
    <n v="419.3"/>
    <n v="0"/>
  </r>
  <r>
    <x v="4"/>
    <x v="5"/>
    <x v="0"/>
    <x v="0"/>
    <n v="315.89999999999998"/>
    <n v="0"/>
  </r>
  <r>
    <x v="4"/>
    <x v="5"/>
    <x v="1"/>
    <x v="1"/>
    <n v="361.1"/>
    <n v="0"/>
  </r>
  <r>
    <x v="4"/>
    <x v="5"/>
    <x v="2"/>
    <x v="2"/>
    <n v="280.89999999999998"/>
    <n v="2.6"/>
  </r>
  <r>
    <x v="4"/>
    <x v="5"/>
    <x v="3"/>
    <x v="3"/>
    <n v="226.7"/>
    <n v="3.8"/>
  </r>
  <r>
    <x v="4"/>
    <x v="5"/>
    <x v="4"/>
    <x v="4"/>
    <n v="159.6"/>
    <n v="10.9"/>
  </r>
  <r>
    <x v="4"/>
    <x v="5"/>
    <x v="5"/>
    <x v="5"/>
    <n v="71.3"/>
    <n v="48.1"/>
  </r>
  <r>
    <x v="4"/>
    <x v="5"/>
    <x v="6"/>
    <x v="6"/>
    <n v="36.9"/>
    <n v="45.5"/>
  </r>
  <r>
    <x v="4"/>
    <x v="5"/>
    <x v="7"/>
    <x v="7"/>
    <n v="57.9"/>
    <n v="34"/>
  </r>
  <r>
    <x v="4"/>
    <x v="5"/>
    <x v="8"/>
    <x v="8"/>
    <n v="67.2"/>
    <n v="36.799999999999997"/>
  </r>
  <r>
    <x v="4"/>
    <x v="5"/>
    <x v="9"/>
    <x v="9"/>
    <n v="89"/>
    <n v="11.6"/>
  </r>
  <r>
    <x v="4"/>
    <x v="5"/>
    <x v="10"/>
    <x v="10"/>
    <n v="288.3"/>
    <n v="0"/>
  </r>
  <r>
    <x v="4"/>
    <x v="5"/>
    <x v="11"/>
    <x v="11"/>
    <n v="399.3"/>
    <n v="0"/>
  </r>
  <r>
    <x v="5"/>
    <x v="5"/>
    <x v="0"/>
    <x v="0"/>
    <n v="312"/>
    <n v="0"/>
  </r>
  <r>
    <x v="5"/>
    <x v="5"/>
    <x v="1"/>
    <x v="1"/>
    <n v="357.2"/>
    <n v="0"/>
  </r>
  <r>
    <x v="5"/>
    <x v="5"/>
    <x v="2"/>
    <x v="2"/>
    <n v="291.10000000000002"/>
    <n v="2.2000000000000002"/>
  </r>
  <r>
    <x v="5"/>
    <x v="5"/>
    <x v="3"/>
    <x v="3"/>
    <n v="227.7"/>
    <n v="1.8"/>
  </r>
  <r>
    <x v="5"/>
    <x v="5"/>
    <x v="4"/>
    <x v="4"/>
    <n v="151.19999999999999"/>
    <n v="5.5"/>
  </r>
  <r>
    <x v="5"/>
    <x v="5"/>
    <x v="5"/>
    <x v="5"/>
    <n v="55.4"/>
    <n v="61.8"/>
  </r>
  <r>
    <x v="5"/>
    <x v="5"/>
    <x v="6"/>
    <x v="6"/>
    <n v="36.700000000000003"/>
    <n v="64.5"/>
  </r>
  <r>
    <x v="5"/>
    <x v="5"/>
    <x v="7"/>
    <x v="7"/>
    <n v="61.4"/>
    <n v="50.5"/>
  </r>
  <r>
    <x v="5"/>
    <x v="5"/>
    <x v="8"/>
    <x v="8"/>
    <n v="73.099999999999994"/>
    <n v="28.9"/>
  </r>
  <r>
    <x v="5"/>
    <x v="5"/>
    <x v="9"/>
    <x v="9"/>
    <n v="94.3"/>
    <n v="5"/>
  </r>
  <r>
    <x v="5"/>
    <x v="5"/>
    <x v="10"/>
    <x v="10"/>
    <n v="281"/>
    <n v="0"/>
  </r>
  <r>
    <x v="5"/>
    <x v="5"/>
    <x v="11"/>
    <x v="11"/>
    <n v="379.3"/>
    <n v="0"/>
  </r>
  <r>
    <x v="6"/>
    <x v="5"/>
    <x v="0"/>
    <x v="0"/>
    <n v="320"/>
    <n v="0"/>
  </r>
  <r>
    <x v="6"/>
    <x v="5"/>
    <x v="1"/>
    <x v="1"/>
    <n v="376.8"/>
    <n v="0"/>
  </r>
  <r>
    <x v="6"/>
    <x v="5"/>
    <x v="2"/>
    <x v="2"/>
    <n v="285.89999999999998"/>
    <n v="3.5"/>
  </r>
  <r>
    <x v="6"/>
    <x v="5"/>
    <x v="3"/>
    <x v="3"/>
    <n v="218.4"/>
    <n v="2.7"/>
  </r>
  <r>
    <x v="6"/>
    <x v="5"/>
    <x v="4"/>
    <x v="4"/>
    <n v="138"/>
    <n v="9.5"/>
  </r>
  <r>
    <x v="6"/>
    <x v="5"/>
    <x v="5"/>
    <x v="5"/>
    <n v="48.1"/>
    <n v="80.2"/>
  </r>
  <r>
    <x v="6"/>
    <x v="5"/>
    <x v="6"/>
    <x v="6"/>
    <n v="30"/>
    <n v="84.6"/>
  </r>
  <r>
    <x v="6"/>
    <x v="5"/>
    <x v="7"/>
    <x v="7"/>
    <n v="55.6"/>
    <n v="65.2"/>
  </r>
  <r>
    <x v="6"/>
    <x v="5"/>
    <x v="8"/>
    <x v="8"/>
    <n v="71.3"/>
    <n v="39.9"/>
  </r>
  <r>
    <x v="6"/>
    <x v="5"/>
    <x v="9"/>
    <x v="9"/>
    <n v="84.6"/>
    <n v="10"/>
  </r>
  <r>
    <x v="6"/>
    <x v="5"/>
    <x v="10"/>
    <x v="10"/>
    <n v="290.39999999999998"/>
    <n v="0"/>
  </r>
  <r>
    <x v="6"/>
    <x v="5"/>
    <x v="11"/>
    <x v="11"/>
    <n v="397.6"/>
    <n v="0"/>
  </r>
  <r>
    <x v="0"/>
    <x v="6"/>
    <x v="0"/>
    <x v="0"/>
    <n v="417.5"/>
    <n v="0"/>
  </r>
  <r>
    <x v="0"/>
    <x v="6"/>
    <x v="1"/>
    <x v="1"/>
    <n v="378"/>
    <n v="0"/>
  </r>
  <r>
    <x v="0"/>
    <x v="6"/>
    <x v="2"/>
    <x v="2"/>
    <n v="346.8"/>
    <n v="0"/>
  </r>
  <r>
    <x v="0"/>
    <x v="6"/>
    <x v="3"/>
    <x v="3"/>
    <n v="261.7"/>
    <n v="0"/>
  </r>
  <r>
    <x v="0"/>
    <x v="6"/>
    <x v="4"/>
    <x v="4"/>
    <n v="158"/>
    <n v="5.3"/>
  </r>
  <r>
    <x v="0"/>
    <x v="6"/>
    <x v="5"/>
    <x v="5"/>
    <n v="85.4"/>
    <n v="21.6"/>
  </r>
  <r>
    <x v="0"/>
    <x v="6"/>
    <x v="6"/>
    <x v="6"/>
    <n v="26.8"/>
    <n v="66.900000000000006"/>
  </r>
  <r>
    <x v="0"/>
    <x v="6"/>
    <x v="7"/>
    <x v="7"/>
    <n v="60.3"/>
    <n v="20"/>
  </r>
  <r>
    <x v="0"/>
    <x v="6"/>
    <x v="8"/>
    <x v="8"/>
    <n v="45.9"/>
    <n v="39.799999999999997"/>
  </r>
  <r>
    <x v="0"/>
    <x v="6"/>
    <x v="9"/>
    <x v="9"/>
    <n v="95.5"/>
    <n v="5.4"/>
  </r>
  <r>
    <x v="0"/>
    <x v="6"/>
    <x v="10"/>
    <x v="10"/>
    <n v="234.4"/>
    <n v="0"/>
  </r>
  <r>
    <x v="0"/>
    <x v="6"/>
    <x v="11"/>
    <x v="11"/>
    <n v="343.5"/>
    <n v="0"/>
  </r>
  <r>
    <x v="1"/>
    <x v="6"/>
    <x v="0"/>
    <x v="0"/>
    <n v="384.2"/>
    <n v="0"/>
  </r>
  <r>
    <x v="1"/>
    <x v="6"/>
    <x v="1"/>
    <x v="1"/>
    <n v="357.6"/>
    <n v="0"/>
  </r>
  <r>
    <x v="1"/>
    <x v="6"/>
    <x v="2"/>
    <x v="2"/>
    <n v="325.8"/>
    <n v="0"/>
  </r>
  <r>
    <x v="1"/>
    <x v="6"/>
    <x v="3"/>
    <x v="3"/>
    <n v="254.3"/>
    <n v="0.8"/>
  </r>
  <r>
    <x v="1"/>
    <x v="6"/>
    <x v="4"/>
    <x v="4"/>
    <n v="164.2"/>
    <n v="1.8"/>
  </r>
  <r>
    <x v="1"/>
    <x v="6"/>
    <x v="5"/>
    <x v="5"/>
    <n v="83"/>
    <n v="26.1"/>
  </r>
  <r>
    <x v="1"/>
    <x v="6"/>
    <x v="6"/>
    <x v="6"/>
    <n v="28.8"/>
    <n v="70.099999999999994"/>
  </r>
  <r>
    <x v="1"/>
    <x v="6"/>
    <x v="7"/>
    <x v="7"/>
    <n v="59.1"/>
    <n v="18.399999999999999"/>
  </r>
  <r>
    <x v="1"/>
    <x v="6"/>
    <x v="8"/>
    <x v="8"/>
    <n v="45.4"/>
    <n v="30.4"/>
  </r>
  <r>
    <x v="1"/>
    <x v="6"/>
    <x v="9"/>
    <x v="9"/>
    <n v="95.5"/>
    <n v="5.0999999999999996"/>
  </r>
  <r>
    <x v="1"/>
    <x v="6"/>
    <x v="10"/>
    <x v="10"/>
    <n v="220"/>
    <n v="0"/>
  </r>
  <r>
    <x v="1"/>
    <x v="6"/>
    <x v="11"/>
    <x v="11"/>
    <n v="301.8"/>
    <n v="0"/>
  </r>
  <r>
    <x v="2"/>
    <x v="6"/>
    <x v="0"/>
    <x v="0"/>
    <n v="387.7"/>
    <n v="0"/>
  </r>
  <r>
    <x v="2"/>
    <x v="6"/>
    <x v="1"/>
    <x v="1"/>
    <n v="361.8"/>
    <n v="0"/>
  </r>
  <r>
    <x v="2"/>
    <x v="6"/>
    <x v="2"/>
    <x v="2"/>
    <n v="320.7"/>
    <n v="0"/>
  </r>
  <r>
    <x v="2"/>
    <x v="6"/>
    <x v="3"/>
    <x v="3"/>
    <n v="233.7"/>
    <n v="1.4"/>
  </r>
  <r>
    <x v="2"/>
    <x v="6"/>
    <x v="4"/>
    <x v="4"/>
    <n v="158.30000000000001"/>
    <n v="1.3"/>
  </r>
  <r>
    <x v="2"/>
    <x v="6"/>
    <x v="5"/>
    <x v="5"/>
    <n v="56.5"/>
    <n v="46.6"/>
  </r>
  <r>
    <x v="2"/>
    <x v="6"/>
    <x v="6"/>
    <x v="6"/>
    <n v="19"/>
    <n v="93"/>
  </r>
  <r>
    <x v="2"/>
    <x v="6"/>
    <x v="7"/>
    <x v="7"/>
    <n v="50.5"/>
    <n v="30.5"/>
  </r>
  <r>
    <x v="2"/>
    <x v="6"/>
    <x v="8"/>
    <x v="8"/>
    <n v="40.6"/>
    <n v="35.299999999999997"/>
  </r>
  <r>
    <x v="2"/>
    <x v="6"/>
    <x v="9"/>
    <x v="9"/>
    <n v="92.1"/>
    <n v="4.8"/>
  </r>
  <r>
    <x v="2"/>
    <x v="6"/>
    <x v="10"/>
    <x v="10"/>
    <n v="217.4"/>
    <n v="0"/>
  </r>
  <r>
    <x v="2"/>
    <x v="6"/>
    <x v="11"/>
    <x v="11"/>
    <n v="300.39999999999998"/>
    <n v="0"/>
  </r>
  <r>
    <x v="3"/>
    <x v="6"/>
    <x v="0"/>
    <x v="0"/>
    <n v="422.4"/>
    <n v="0"/>
  </r>
  <r>
    <x v="3"/>
    <x v="6"/>
    <x v="1"/>
    <x v="1"/>
    <n v="382.6"/>
    <n v="0"/>
  </r>
  <r>
    <x v="3"/>
    <x v="6"/>
    <x v="2"/>
    <x v="2"/>
    <n v="323.7"/>
    <n v="0.3"/>
  </r>
  <r>
    <x v="3"/>
    <x v="6"/>
    <x v="3"/>
    <x v="3"/>
    <n v="221.3"/>
    <n v="2.2000000000000002"/>
  </r>
  <r>
    <x v="3"/>
    <x v="6"/>
    <x v="4"/>
    <x v="4"/>
    <n v="121.9"/>
    <n v="13.2"/>
  </r>
  <r>
    <x v="3"/>
    <x v="6"/>
    <x v="5"/>
    <x v="5"/>
    <n v="50.5"/>
    <n v="75.7"/>
  </r>
  <r>
    <x v="3"/>
    <x v="6"/>
    <x v="6"/>
    <x v="6"/>
    <n v="13.7"/>
    <n v="148.9"/>
  </r>
  <r>
    <x v="3"/>
    <x v="6"/>
    <x v="7"/>
    <x v="7"/>
    <n v="45.8"/>
    <n v="54.3"/>
  </r>
  <r>
    <x v="3"/>
    <x v="6"/>
    <x v="8"/>
    <x v="8"/>
    <n v="36.299999999999997"/>
    <n v="67.8"/>
  </r>
  <r>
    <x v="3"/>
    <x v="6"/>
    <x v="9"/>
    <x v="9"/>
    <n v="88.7"/>
    <n v="8.4"/>
  </r>
  <r>
    <x v="3"/>
    <x v="6"/>
    <x v="10"/>
    <x v="10"/>
    <n v="241.8"/>
    <n v="0"/>
  </r>
  <r>
    <x v="3"/>
    <x v="6"/>
    <x v="11"/>
    <x v="11"/>
    <n v="352"/>
    <n v="0"/>
  </r>
  <r>
    <x v="4"/>
    <x v="6"/>
    <x v="0"/>
    <x v="0"/>
    <n v="417.9"/>
    <n v="0"/>
  </r>
  <r>
    <x v="4"/>
    <x v="6"/>
    <x v="1"/>
    <x v="1"/>
    <n v="374.6"/>
    <n v="0"/>
  </r>
  <r>
    <x v="4"/>
    <x v="6"/>
    <x v="2"/>
    <x v="2"/>
    <n v="325.7"/>
    <n v="0.2"/>
  </r>
  <r>
    <x v="4"/>
    <x v="6"/>
    <x v="3"/>
    <x v="3"/>
    <n v="239.7"/>
    <n v="0.8"/>
  </r>
  <r>
    <x v="4"/>
    <x v="6"/>
    <x v="4"/>
    <x v="4"/>
    <n v="129.69999999999999"/>
    <n v="11.1"/>
  </r>
  <r>
    <x v="4"/>
    <x v="6"/>
    <x v="5"/>
    <x v="5"/>
    <n v="65.2"/>
    <n v="36"/>
  </r>
  <r>
    <x v="4"/>
    <x v="6"/>
    <x v="6"/>
    <x v="6"/>
    <n v="19.8"/>
    <n v="84.7"/>
  </r>
  <r>
    <x v="4"/>
    <x v="6"/>
    <x v="7"/>
    <x v="7"/>
    <n v="41.1"/>
    <n v="30.6"/>
  </r>
  <r>
    <x v="4"/>
    <x v="6"/>
    <x v="8"/>
    <x v="8"/>
    <n v="38.299999999999997"/>
    <n v="49.5"/>
  </r>
  <r>
    <x v="4"/>
    <x v="6"/>
    <x v="9"/>
    <x v="9"/>
    <n v="81.3"/>
    <n v="9.1"/>
  </r>
  <r>
    <x v="4"/>
    <x v="6"/>
    <x v="10"/>
    <x v="10"/>
    <n v="231.2"/>
    <n v="0"/>
  </r>
  <r>
    <x v="4"/>
    <x v="6"/>
    <x v="11"/>
    <x v="11"/>
    <n v="332.8"/>
    <n v="0"/>
  </r>
  <r>
    <x v="5"/>
    <x v="6"/>
    <x v="0"/>
    <x v="0"/>
    <n v="399"/>
    <n v="0"/>
  </r>
  <r>
    <x v="5"/>
    <x v="6"/>
    <x v="1"/>
    <x v="1"/>
    <n v="363.3"/>
    <n v="0"/>
  </r>
  <r>
    <x v="5"/>
    <x v="6"/>
    <x v="2"/>
    <x v="2"/>
    <n v="323.3"/>
    <n v="0"/>
  </r>
  <r>
    <x v="5"/>
    <x v="6"/>
    <x v="3"/>
    <x v="3"/>
    <n v="234.1"/>
    <n v="1.6"/>
  </r>
  <r>
    <x v="5"/>
    <x v="6"/>
    <x v="4"/>
    <x v="4"/>
    <n v="152.19999999999999"/>
    <n v="2.2000000000000002"/>
  </r>
  <r>
    <x v="5"/>
    <x v="6"/>
    <x v="5"/>
    <x v="5"/>
    <n v="49.1"/>
    <n v="51"/>
  </r>
  <r>
    <x v="5"/>
    <x v="6"/>
    <x v="6"/>
    <x v="6"/>
    <n v="13"/>
    <n v="117"/>
  </r>
  <r>
    <x v="5"/>
    <x v="6"/>
    <x v="7"/>
    <x v="7"/>
    <n v="50.9"/>
    <n v="38.9"/>
  </r>
  <r>
    <x v="5"/>
    <x v="6"/>
    <x v="8"/>
    <x v="8"/>
    <n v="41.4"/>
    <n v="39.700000000000003"/>
  </r>
  <r>
    <x v="5"/>
    <x v="6"/>
    <x v="9"/>
    <x v="9"/>
    <n v="83"/>
    <n v="6.9"/>
  </r>
  <r>
    <x v="5"/>
    <x v="6"/>
    <x v="10"/>
    <x v="10"/>
    <n v="212"/>
    <n v="0"/>
  </r>
  <r>
    <x v="5"/>
    <x v="6"/>
    <x v="11"/>
    <x v="11"/>
    <n v="309.7"/>
    <n v="0"/>
  </r>
  <r>
    <x v="6"/>
    <x v="6"/>
    <x v="0"/>
    <x v="0"/>
    <n v="405.8"/>
    <n v="0"/>
  </r>
  <r>
    <x v="6"/>
    <x v="6"/>
    <x v="1"/>
    <x v="1"/>
    <n v="375.1"/>
    <n v="0"/>
  </r>
  <r>
    <x v="6"/>
    <x v="6"/>
    <x v="2"/>
    <x v="2"/>
    <n v="317.2"/>
    <n v="0"/>
  </r>
  <r>
    <x v="6"/>
    <x v="6"/>
    <x v="3"/>
    <x v="3"/>
    <n v="214.6"/>
    <n v="2.9"/>
  </r>
  <r>
    <x v="6"/>
    <x v="6"/>
    <x v="4"/>
    <x v="4"/>
    <n v="133.9"/>
    <n v="4.9000000000000004"/>
  </r>
  <r>
    <x v="6"/>
    <x v="6"/>
    <x v="5"/>
    <x v="5"/>
    <n v="44.1"/>
    <n v="60"/>
  </r>
  <r>
    <x v="6"/>
    <x v="6"/>
    <x v="6"/>
    <x v="6"/>
    <n v="10.7"/>
    <n v="141.5"/>
  </r>
  <r>
    <x v="6"/>
    <x v="6"/>
    <x v="7"/>
    <x v="7"/>
    <n v="48.1"/>
    <n v="47.4"/>
  </r>
  <r>
    <x v="6"/>
    <x v="6"/>
    <x v="8"/>
    <x v="8"/>
    <n v="44"/>
    <n v="50.6"/>
  </r>
  <r>
    <x v="6"/>
    <x v="6"/>
    <x v="9"/>
    <x v="9"/>
    <n v="80.3"/>
    <n v="10.5"/>
  </r>
  <r>
    <x v="6"/>
    <x v="6"/>
    <x v="10"/>
    <x v="10"/>
    <n v="209.7"/>
    <n v="0"/>
  </r>
  <r>
    <x v="6"/>
    <x v="6"/>
    <x v="11"/>
    <x v="11"/>
    <n v="328.3"/>
    <n v="0"/>
  </r>
  <r>
    <x v="0"/>
    <x v="7"/>
    <x v="0"/>
    <x v="0"/>
    <n v="304.5"/>
    <n v="0"/>
  </r>
  <r>
    <x v="0"/>
    <x v="7"/>
    <x v="1"/>
    <x v="1"/>
    <n v="263.5"/>
    <n v="0"/>
  </r>
  <r>
    <x v="0"/>
    <x v="7"/>
    <x v="2"/>
    <x v="2"/>
    <n v="321.60000000000002"/>
    <n v="0"/>
  </r>
  <r>
    <x v="0"/>
    <x v="7"/>
    <x v="3"/>
    <x v="3"/>
    <n v="201.4"/>
    <n v="3.7"/>
  </r>
  <r>
    <x v="0"/>
    <x v="7"/>
    <x v="4"/>
    <x v="4"/>
    <n v="161.19999999999999"/>
    <n v="2.1"/>
  </r>
  <r>
    <x v="0"/>
    <x v="7"/>
    <x v="5"/>
    <x v="5"/>
    <n v="92.8"/>
    <n v="9.5"/>
  </r>
  <r>
    <x v="0"/>
    <x v="7"/>
    <x v="6"/>
    <x v="6"/>
    <n v="68.5"/>
    <n v="17.600000000000001"/>
  </r>
  <r>
    <x v="0"/>
    <x v="7"/>
    <x v="7"/>
    <x v="7"/>
    <n v="75.8"/>
    <n v="15.8"/>
  </r>
  <r>
    <x v="0"/>
    <x v="7"/>
    <x v="8"/>
    <x v="8"/>
    <n v="119.9"/>
    <n v="5"/>
  </r>
  <r>
    <x v="0"/>
    <x v="7"/>
    <x v="9"/>
    <x v="9"/>
    <n v="196.9"/>
    <n v="0.7"/>
  </r>
  <r>
    <x v="0"/>
    <x v="7"/>
    <x v="10"/>
    <x v="10"/>
    <n v="277.10000000000002"/>
    <n v="0"/>
  </r>
  <r>
    <x v="0"/>
    <x v="7"/>
    <x v="11"/>
    <x v="11"/>
    <n v="373.8"/>
    <n v="0"/>
  </r>
  <r>
    <x v="1"/>
    <x v="7"/>
    <x v="0"/>
    <x v="0"/>
    <n v="290.60000000000002"/>
    <n v="0"/>
  </r>
  <r>
    <x v="1"/>
    <x v="7"/>
    <x v="1"/>
    <x v="1"/>
    <n v="248"/>
    <n v="0"/>
  </r>
  <r>
    <x v="1"/>
    <x v="7"/>
    <x v="2"/>
    <x v="2"/>
    <n v="294.10000000000002"/>
    <n v="0"/>
  </r>
  <r>
    <x v="1"/>
    <x v="7"/>
    <x v="3"/>
    <x v="3"/>
    <n v="181.4"/>
    <n v="2.4"/>
  </r>
  <r>
    <x v="1"/>
    <x v="7"/>
    <x v="4"/>
    <x v="4"/>
    <n v="163.80000000000001"/>
    <n v="0.9"/>
  </r>
  <r>
    <x v="1"/>
    <x v="7"/>
    <x v="5"/>
    <x v="5"/>
    <n v="82.1"/>
    <n v="9.8000000000000007"/>
  </r>
  <r>
    <x v="1"/>
    <x v="7"/>
    <x v="6"/>
    <x v="6"/>
    <n v="71.400000000000006"/>
    <n v="7"/>
  </r>
  <r>
    <x v="1"/>
    <x v="7"/>
    <x v="7"/>
    <x v="7"/>
    <n v="70.3"/>
    <n v="17.3"/>
  </r>
  <r>
    <x v="1"/>
    <x v="7"/>
    <x v="8"/>
    <x v="8"/>
    <n v="108.3"/>
    <n v="8"/>
  </r>
  <r>
    <x v="1"/>
    <x v="7"/>
    <x v="9"/>
    <x v="9"/>
    <n v="172.9"/>
    <n v="1.7"/>
  </r>
  <r>
    <x v="1"/>
    <x v="7"/>
    <x v="10"/>
    <x v="10"/>
    <n v="264.5"/>
    <n v="0"/>
  </r>
  <r>
    <x v="1"/>
    <x v="7"/>
    <x v="11"/>
    <x v="11"/>
    <n v="336"/>
    <n v="0"/>
  </r>
  <r>
    <x v="2"/>
    <x v="7"/>
    <x v="0"/>
    <x v="0"/>
    <n v="285.3"/>
    <n v="0"/>
  </r>
  <r>
    <x v="2"/>
    <x v="7"/>
    <x v="1"/>
    <x v="1"/>
    <n v="242.5"/>
    <n v="0"/>
  </r>
  <r>
    <x v="2"/>
    <x v="7"/>
    <x v="2"/>
    <x v="2"/>
    <n v="285.8"/>
    <n v="0"/>
  </r>
  <r>
    <x v="2"/>
    <x v="7"/>
    <x v="3"/>
    <x v="3"/>
    <n v="136.4"/>
    <n v="8.9"/>
  </r>
  <r>
    <x v="2"/>
    <x v="7"/>
    <x v="4"/>
    <x v="4"/>
    <n v="142.1"/>
    <n v="5.8"/>
  </r>
  <r>
    <x v="2"/>
    <x v="7"/>
    <x v="5"/>
    <x v="5"/>
    <n v="76.099999999999994"/>
    <n v="14.2"/>
  </r>
  <r>
    <x v="2"/>
    <x v="7"/>
    <x v="6"/>
    <x v="6"/>
    <n v="66.3"/>
    <n v="7.1"/>
  </r>
  <r>
    <x v="2"/>
    <x v="7"/>
    <x v="7"/>
    <x v="7"/>
    <n v="59.9"/>
    <n v="26"/>
  </r>
  <r>
    <x v="2"/>
    <x v="7"/>
    <x v="8"/>
    <x v="8"/>
    <n v="102.2"/>
    <n v="14.6"/>
  </r>
  <r>
    <x v="2"/>
    <x v="7"/>
    <x v="9"/>
    <x v="9"/>
    <n v="169.9"/>
    <n v="4.4000000000000004"/>
  </r>
  <r>
    <x v="2"/>
    <x v="7"/>
    <x v="10"/>
    <x v="10"/>
    <n v="258.89999999999998"/>
    <n v="0"/>
  </r>
  <r>
    <x v="2"/>
    <x v="7"/>
    <x v="11"/>
    <x v="11"/>
    <n v="341.9"/>
    <n v="0"/>
  </r>
  <r>
    <x v="3"/>
    <x v="7"/>
    <x v="0"/>
    <x v="0"/>
    <n v="300.89999999999998"/>
    <n v="0"/>
  </r>
  <r>
    <x v="3"/>
    <x v="7"/>
    <x v="1"/>
    <x v="1"/>
    <n v="249.4"/>
    <n v="0"/>
  </r>
  <r>
    <x v="3"/>
    <x v="7"/>
    <x v="2"/>
    <x v="2"/>
    <n v="304"/>
    <n v="0"/>
  </r>
  <r>
    <x v="3"/>
    <x v="7"/>
    <x v="3"/>
    <x v="3"/>
    <n v="139.30000000000001"/>
    <n v="18.3"/>
  </r>
  <r>
    <x v="3"/>
    <x v="7"/>
    <x v="4"/>
    <x v="4"/>
    <n v="118"/>
    <n v="11.4"/>
  </r>
  <r>
    <x v="3"/>
    <x v="7"/>
    <x v="5"/>
    <x v="5"/>
    <n v="61.2"/>
    <n v="29.9"/>
  </r>
  <r>
    <x v="3"/>
    <x v="7"/>
    <x v="6"/>
    <x v="6"/>
    <n v="46.9"/>
    <n v="41"/>
  </r>
  <r>
    <x v="3"/>
    <x v="7"/>
    <x v="7"/>
    <x v="7"/>
    <n v="64.400000000000006"/>
    <n v="37.6"/>
  </r>
  <r>
    <x v="3"/>
    <x v="7"/>
    <x v="8"/>
    <x v="8"/>
    <n v="112.9"/>
    <n v="19.600000000000001"/>
  </r>
  <r>
    <x v="3"/>
    <x v="7"/>
    <x v="9"/>
    <x v="9"/>
    <n v="197.2"/>
    <n v="4"/>
  </r>
  <r>
    <x v="3"/>
    <x v="7"/>
    <x v="10"/>
    <x v="10"/>
    <n v="297.7"/>
    <n v="0"/>
  </r>
  <r>
    <x v="3"/>
    <x v="7"/>
    <x v="11"/>
    <x v="11"/>
    <n v="392.9"/>
    <n v="0"/>
  </r>
  <r>
    <x v="4"/>
    <x v="7"/>
    <x v="0"/>
    <x v="0"/>
    <n v="294.89999999999998"/>
    <n v="0"/>
  </r>
  <r>
    <x v="4"/>
    <x v="7"/>
    <x v="1"/>
    <x v="1"/>
    <n v="246.1"/>
    <n v="0"/>
  </r>
  <r>
    <x v="4"/>
    <x v="7"/>
    <x v="2"/>
    <x v="2"/>
    <n v="296.7"/>
    <n v="0"/>
  </r>
  <r>
    <x v="4"/>
    <x v="7"/>
    <x v="3"/>
    <x v="3"/>
    <n v="175.3"/>
    <n v="6.9"/>
  </r>
  <r>
    <x v="4"/>
    <x v="7"/>
    <x v="4"/>
    <x v="4"/>
    <n v="132.9"/>
    <n v="4.0999999999999996"/>
  </r>
  <r>
    <x v="4"/>
    <x v="7"/>
    <x v="5"/>
    <x v="5"/>
    <n v="70.3"/>
    <n v="18.600000000000001"/>
  </r>
  <r>
    <x v="4"/>
    <x v="7"/>
    <x v="6"/>
    <x v="6"/>
    <n v="52.9"/>
    <n v="25.6"/>
  </r>
  <r>
    <x v="4"/>
    <x v="7"/>
    <x v="7"/>
    <x v="7"/>
    <n v="59.8"/>
    <n v="26.7"/>
  </r>
  <r>
    <x v="4"/>
    <x v="7"/>
    <x v="8"/>
    <x v="8"/>
    <n v="95.5"/>
    <n v="11.3"/>
  </r>
  <r>
    <x v="4"/>
    <x v="7"/>
    <x v="9"/>
    <x v="9"/>
    <n v="183.1"/>
    <n v="1.6"/>
  </r>
  <r>
    <x v="4"/>
    <x v="7"/>
    <x v="10"/>
    <x v="10"/>
    <n v="258.7"/>
    <n v="0"/>
  </r>
  <r>
    <x v="4"/>
    <x v="7"/>
    <x v="11"/>
    <x v="11"/>
    <n v="370.9"/>
    <n v="0"/>
  </r>
  <r>
    <x v="5"/>
    <x v="7"/>
    <x v="0"/>
    <x v="0"/>
    <n v="284.8"/>
    <n v="0"/>
  </r>
  <r>
    <x v="5"/>
    <x v="7"/>
    <x v="1"/>
    <x v="1"/>
    <n v="237.2"/>
    <n v="0"/>
  </r>
  <r>
    <x v="5"/>
    <x v="7"/>
    <x v="2"/>
    <x v="2"/>
    <n v="289"/>
    <n v="0"/>
  </r>
  <r>
    <x v="5"/>
    <x v="7"/>
    <x v="3"/>
    <x v="3"/>
    <n v="133.80000000000001"/>
    <n v="9.3000000000000007"/>
  </r>
  <r>
    <x v="5"/>
    <x v="7"/>
    <x v="4"/>
    <x v="4"/>
    <n v="130"/>
    <n v="10.8"/>
  </r>
  <r>
    <x v="5"/>
    <x v="7"/>
    <x v="5"/>
    <x v="5"/>
    <n v="68.099999999999994"/>
    <n v="16.5"/>
  </r>
  <r>
    <x v="5"/>
    <x v="7"/>
    <x v="6"/>
    <x v="6"/>
    <n v="54.7"/>
    <n v="14.3"/>
  </r>
  <r>
    <x v="5"/>
    <x v="7"/>
    <x v="7"/>
    <x v="7"/>
    <n v="60.4"/>
    <n v="29.7"/>
  </r>
  <r>
    <x v="5"/>
    <x v="7"/>
    <x v="8"/>
    <x v="8"/>
    <n v="103.1"/>
    <n v="19.600000000000001"/>
  </r>
  <r>
    <x v="5"/>
    <x v="7"/>
    <x v="9"/>
    <x v="9"/>
    <n v="171.2"/>
    <n v="4.7"/>
  </r>
  <r>
    <x v="5"/>
    <x v="7"/>
    <x v="10"/>
    <x v="10"/>
    <n v="271.89999999999998"/>
    <n v="0"/>
  </r>
  <r>
    <x v="5"/>
    <x v="7"/>
    <x v="11"/>
    <x v="11"/>
    <n v="354"/>
    <n v="0"/>
  </r>
  <r>
    <x v="6"/>
    <x v="7"/>
    <x v="0"/>
    <x v="0"/>
    <n v="286.60000000000002"/>
    <n v="0"/>
  </r>
  <r>
    <x v="6"/>
    <x v="7"/>
    <x v="1"/>
    <x v="1"/>
    <n v="234.6"/>
    <n v="0"/>
  </r>
  <r>
    <x v="6"/>
    <x v="7"/>
    <x v="2"/>
    <x v="2"/>
    <n v="281.5"/>
    <n v="0"/>
  </r>
  <r>
    <x v="6"/>
    <x v="7"/>
    <x v="3"/>
    <x v="3"/>
    <n v="122.3"/>
    <n v="17.3"/>
  </r>
  <r>
    <x v="6"/>
    <x v="7"/>
    <x v="4"/>
    <x v="4"/>
    <n v="114.5"/>
    <n v="12.2"/>
  </r>
  <r>
    <x v="6"/>
    <x v="7"/>
    <x v="5"/>
    <x v="5"/>
    <n v="55.9"/>
    <n v="25.3"/>
  </r>
  <r>
    <x v="6"/>
    <x v="7"/>
    <x v="6"/>
    <x v="6"/>
    <n v="43.1"/>
    <n v="25.4"/>
  </r>
  <r>
    <x v="6"/>
    <x v="7"/>
    <x v="7"/>
    <x v="7"/>
    <n v="55.3"/>
    <n v="37.1"/>
  </r>
  <r>
    <x v="6"/>
    <x v="7"/>
    <x v="8"/>
    <x v="8"/>
    <n v="112.1"/>
    <n v="23.2"/>
  </r>
  <r>
    <x v="6"/>
    <x v="7"/>
    <x v="9"/>
    <x v="9"/>
    <n v="182.5"/>
    <n v="5.4"/>
  </r>
  <r>
    <x v="6"/>
    <x v="7"/>
    <x v="10"/>
    <x v="10"/>
    <n v="298.7"/>
    <n v="0"/>
  </r>
  <r>
    <x v="6"/>
    <x v="7"/>
    <x v="11"/>
    <x v="11"/>
    <n v="367.6"/>
    <n v="0"/>
  </r>
  <r>
    <x v="0"/>
    <x v="8"/>
    <x v="0"/>
    <x v="0"/>
    <n v="313.3"/>
    <n v="0"/>
  </r>
  <r>
    <x v="0"/>
    <x v="8"/>
    <x v="1"/>
    <x v="1"/>
    <n v="308.7"/>
    <n v="0"/>
  </r>
  <r>
    <x v="0"/>
    <x v="8"/>
    <x v="2"/>
    <x v="2"/>
    <n v="319.10000000000002"/>
    <n v="0"/>
  </r>
  <r>
    <x v="0"/>
    <x v="8"/>
    <x v="3"/>
    <x v="3"/>
    <n v="263"/>
    <n v="1.1000000000000001"/>
  </r>
  <r>
    <x v="0"/>
    <x v="8"/>
    <x v="4"/>
    <x v="4"/>
    <n v="130.80000000000001"/>
    <n v="5.7"/>
  </r>
  <r>
    <x v="0"/>
    <x v="8"/>
    <x v="5"/>
    <x v="5"/>
    <n v="107.4"/>
    <n v="11.4"/>
  </r>
  <r>
    <x v="0"/>
    <x v="8"/>
    <x v="6"/>
    <x v="6"/>
    <n v="62.9"/>
    <n v="29.6"/>
  </r>
  <r>
    <x v="0"/>
    <x v="8"/>
    <x v="7"/>
    <x v="7"/>
    <n v="52.8"/>
    <n v="22.6"/>
  </r>
  <r>
    <x v="0"/>
    <x v="8"/>
    <x v="8"/>
    <x v="8"/>
    <n v="126.2"/>
    <n v="2.2000000000000002"/>
  </r>
  <r>
    <x v="0"/>
    <x v="8"/>
    <x v="9"/>
    <x v="9"/>
    <n v="201.1"/>
    <n v="2.2000000000000002"/>
  </r>
  <r>
    <x v="0"/>
    <x v="8"/>
    <x v="10"/>
    <x v="10"/>
    <n v="268.3"/>
    <n v="0"/>
  </r>
  <r>
    <x v="0"/>
    <x v="8"/>
    <x v="11"/>
    <x v="11"/>
    <n v="406.8"/>
    <n v="0"/>
  </r>
  <r>
    <x v="1"/>
    <x v="8"/>
    <x v="0"/>
    <x v="0"/>
    <n v="300.2"/>
    <n v="0"/>
  </r>
  <r>
    <x v="1"/>
    <x v="8"/>
    <x v="1"/>
    <x v="1"/>
    <n v="286.2"/>
    <n v="0"/>
  </r>
  <r>
    <x v="1"/>
    <x v="8"/>
    <x v="2"/>
    <x v="2"/>
    <n v="302"/>
    <n v="0"/>
  </r>
  <r>
    <x v="1"/>
    <x v="8"/>
    <x v="3"/>
    <x v="3"/>
    <n v="261.5"/>
    <n v="0.1"/>
  </r>
  <r>
    <x v="1"/>
    <x v="8"/>
    <x v="4"/>
    <x v="4"/>
    <n v="118.8"/>
    <n v="10.5"/>
  </r>
  <r>
    <x v="1"/>
    <x v="8"/>
    <x v="5"/>
    <x v="5"/>
    <n v="99.6"/>
    <n v="8.6999999999999993"/>
  </r>
  <r>
    <x v="1"/>
    <x v="8"/>
    <x v="6"/>
    <x v="6"/>
    <n v="66"/>
    <n v="18.2"/>
  </r>
  <r>
    <x v="1"/>
    <x v="8"/>
    <x v="7"/>
    <x v="7"/>
    <n v="58.8"/>
    <n v="10.199999999999999"/>
  </r>
  <r>
    <x v="1"/>
    <x v="8"/>
    <x v="8"/>
    <x v="8"/>
    <n v="120.4"/>
    <n v="2.2999999999999998"/>
  </r>
  <r>
    <x v="1"/>
    <x v="8"/>
    <x v="9"/>
    <x v="9"/>
    <n v="202.7"/>
    <n v="2"/>
  </r>
  <r>
    <x v="1"/>
    <x v="8"/>
    <x v="10"/>
    <x v="10"/>
    <n v="259.10000000000002"/>
    <n v="0"/>
  </r>
  <r>
    <x v="1"/>
    <x v="8"/>
    <x v="11"/>
    <x v="11"/>
    <n v="396.1"/>
    <n v="0"/>
  </r>
  <r>
    <x v="2"/>
    <x v="8"/>
    <x v="0"/>
    <x v="0"/>
    <n v="300.8"/>
    <n v="0"/>
  </r>
  <r>
    <x v="2"/>
    <x v="8"/>
    <x v="1"/>
    <x v="1"/>
    <n v="288.10000000000002"/>
    <n v="0"/>
  </r>
  <r>
    <x v="2"/>
    <x v="8"/>
    <x v="2"/>
    <x v="2"/>
    <n v="291.39999999999998"/>
    <n v="0"/>
  </r>
  <r>
    <x v="2"/>
    <x v="8"/>
    <x v="3"/>
    <x v="3"/>
    <n v="247.9"/>
    <n v="0.1"/>
  </r>
  <r>
    <x v="2"/>
    <x v="8"/>
    <x v="4"/>
    <x v="4"/>
    <n v="115.3"/>
    <n v="13.2"/>
  </r>
  <r>
    <x v="2"/>
    <x v="8"/>
    <x v="5"/>
    <x v="5"/>
    <n v="86.2"/>
    <n v="14.5"/>
  </r>
  <r>
    <x v="2"/>
    <x v="8"/>
    <x v="6"/>
    <x v="6"/>
    <n v="63.9"/>
    <n v="19.2"/>
  </r>
  <r>
    <x v="2"/>
    <x v="8"/>
    <x v="7"/>
    <x v="7"/>
    <n v="54.5"/>
    <n v="13.2"/>
  </r>
  <r>
    <x v="2"/>
    <x v="8"/>
    <x v="8"/>
    <x v="8"/>
    <n v="110.7"/>
    <n v="4"/>
  </r>
  <r>
    <x v="2"/>
    <x v="8"/>
    <x v="9"/>
    <x v="9"/>
    <n v="197.2"/>
    <n v="0.9"/>
  </r>
  <r>
    <x v="2"/>
    <x v="8"/>
    <x v="10"/>
    <x v="10"/>
    <n v="254.4"/>
    <n v="0"/>
  </r>
  <r>
    <x v="2"/>
    <x v="8"/>
    <x v="11"/>
    <x v="11"/>
    <n v="381.9"/>
    <n v="0"/>
  </r>
  <r>
    <x v="3"/>
    <x v="8"/>
    <x v="0"/>
    <x v="0"/>
    <n v="327.10000000000002"/>
    <n v="0"/>
  </r>
  <r>
    <x v="3"/>
    <x v="8"/>
    <x v="1"/>
    <x v="1"/>
    <n v="308.5"/>
    <n v="0"/>
  </r>
  <r>
    <x v="3"/>
    <x v="8"/>
    <x v="2"/>
    <x v="2"/>
    <n v="309"/>
    <n v="0"/>
  </r>
  <r>
    <x v="3"/>
    <x v="8"/>
    <x v="3"/>
    <x v="3"/>
    <n v="238.1"/>
    <n v="1.3"/>
  </r>
  <r>
    <x v="3"/>
    <x v="8"/>
    <x v="4"/>
    <x v="4"/>
    <n v="97.1"/>
    <n v="24.1"/>
  </r>
  <r>
    <x v="3"/>
    <x v="8"/>
    <x v="5"/>
    <x v="5"/>
    <n v="78.2"/>
    <n v="36.4"/>
  </r>
  <r>
    <x v="3"/>
    <x v="8"/>
    <x v="6"/>
    <x v="6"/>
    <n v="53.2"/>
    <n v="55.5"/>
  </r>
  <r>
    <x v="3"/>
    <x v="8"/>
    <x v="7"/>
    <x v="7"/>
    <n v="40.700000000000003"/>
    <n v="44.2"/>
  </r>
  <r>
    <x v="3"/>
    <x v="8"/>
    <x v="8"/>
    <x v="8"/>
    <n v="114"/>
    <n v="11.1"/>
  </r>
  <r>
    <x v="3"/>
    <x v="8"/>
    <x v="9"/>
    <x v="9"/>
    <n v="205.7"/>
    <n v="3.1"/>
  </r>
  <r>
    <x v="3"/>
    <x v="8"/>
    <x v="10"/>
    <x v="10"/>
    <n v="267.5"/>
    <n v="0"/>
  </r>
  <r>
    <x v="3"/>
    <x v="8"/>
    <x v="11"/>
    <x v="11"/>
    <n v="416.9"/>
    <n v="0"/>
  </r>
  <r>
    <x v="4"/>
    <x v="8"/>
    <x v="0"/>
    <x v="0"/>
    <n v="310.5"/>
    <n v="0"/>
  </r>
  <r>
    <x v="4"/>
    <x v="8"/>
    <x v="1"/>
    <x v="1"/>
    <n v="309.60000000000002"/>
    <n v="0"/>
  </r>
  <r>
    <x v="4"/>
    <x v="8"/>
    <x v="2"/>
    <x v="2"/>
    <n v="301.3"/>
    <n v="0"/>
  </r>
  <r>
    <x v="4"/>
    <x v="8"/>
    <x v="3"/>
    <x v="3"/>
    <n v="251.4"/>
    <n v="0.9"/>
  </r>
  <r>
    <x v="4"/>
    <x v="8"/>
    <x v="4"/>
    <x v="4"/>
    <n v="113.1"/>
    <n v="14"/>
  </r>
  <r>
    <x v="4"/>
    <x v="8"/>
    <x v="5"/>
    <x v="5"/>
    <n v="90"/>
    <n v="14.6"/>
  </r>
  <r>
    <x v="4"/>
    <x v="8"/>
    <x v="6"/>
    <x v="6"/>
    <n v="47.3"/>
    <n v="42.8"/>
  </r>
  <r>
    <x v="4"/>
    <x v="8"/>
    <x v="7"/>
    <x v="7"/>
    <n v="41.6"/>
    <n v="31.5"/>
  </r>
  <r>
    <x v="4"/>
    <x v="8"/>
    <x v="8"/>
    <x v="8"/>
    <n v="123.2"/>
    <n v="5.2"/>
  </r>
  <r>
    <x v="4"/>
    <x v="8"/>
    <x v="9"/>
    <x v="9"/>
    <n v="192.6"/>
    <n v="2.9"/>
  </r>
  <r>
    <x v="4"/>
    <x v="8"/>
    <x v="10"/>
    <x v="10"/>
    <n v="253.3"/>
    <n v="0"/>
  </r>
  <r>
    <x v="4"/>
    <x v="8"/>
    <x v="11"/>
    <x v="11"/>
    <n v="406.5"/>
    <n v="0"/>
  </r>
  <r>
    <x v="5"/>
    <x v="8"/>
    <x v="0"/>
    <x v="0"/>
    <n v="301.8"/>
    <n v="0"/>
  </r>
  <r>
    <x v="5"/>
    <x v="8"/>
    <x v="1"/>
    <x v="1"/>
    <n v="296.89999999999998"/>
    <n v="0"/>
  </r>
  <r>
    <x v="5"/>
    <x v="8"/>
    <x v="2"/>
    <x v="2"/>
    <n v="291.7"/>
    <n v="0"/>
  </r>
  <r>
    <x v="5"/>
    <x v="8"/>
    <x v="3"/>
    <x v="3"/>
    <n v="250.2"/>
    <n v="0.1"/>
  </r>
  <r>
    <x v="5"/>
    <x v="8"/>
    <x v="4"/>
    <x v="4"/>
    <n v="105.9"/>
    <n v="15.3"/>
  </r>
  <r>
    <x v="5"/>
    <x v="8"/>
    <x v="5"/>
    <x v="5"/>
    <n v="84"/>
    <n v="20"/>
  </r>
  <r>
    <x v="5"/>
    <x v="8"/>
    <x v="6"/>
    <x v="6"/>
    <n v="61.6"/>
    <n v="24.8"/>
  </r>
  <r>
    <x v="5"/>
    <x v="8"/>
    <x v="7"/>
    <x v="7"/>
    <n v="49"/>
    <n v="14.4"/>
  </r>
  <r>
    <x v="5"/>
    <x v="8"/>
    <x v="8"/>
    <x v="8"/>
    <n v="111.8"/>
    <n v="5.0999999999999996"/>
  </r>
  <r>
    <x v="5"/>
    <x v="8"/>
    <x v="9"/>
    <x v="9"/>
    <n v="196.7"/>
    <n v="0.9"/>
  </r>
  <r>
    <x v="5"/>
    <x v="8"/>
    <x v="10"/>
    <x v="10"/>
    <n v="255.9"/>
    <n v="0"/>
  </r>
  <r>
    <x v="5"/>
    <x v="8"/>
    <x v="11"/>
    <x v="11"/>
    <n v="395.1"/>
    <n v="0"/>
  </r>
  <r>
    <x v="6"/>
    <x v="8"/>
    <x v="0"/>
    <x v="0"/>
    <n v="296.39999999999998"/>
    <n v="0"/>
  </r>
  <r>
    <x v="6"/>
    <x v="8"/>
    <x v="1"/>
    <x v="1"/>
    <n v="281.2"/>
    <n v="0"/>
  </r>
  <r>
    <x v="6"/>
    <x v="8"/>
    <x v="2"/>
    <x v="2"/>
    <n v="287.8"/>
    <n v="0"/>
  </r>
  <r>
    <x v="6"/>
    <x v="8"/>
    <x v="3"/>
    <x v="3"/>
    <n v="234.5"/>
    <n v="0.8"/>
  </r>
  <r>
    <x v="6"/>
    <x v="8"/>
    <x v="4"/>
    <x v="4"/>
    <n v="88.5"/>
    <n v="24.8"/>
  </r>
  <r>
    <x v="6"/>
    <x v="8"/>
    <x v="5"/>
    <x v="5"/>
    <n v="72"/>
    <n v="32.4"/>
  </r>
  <r>
    <x v="6"/>
    <x v="8"/>
    <x v="6"/>
    <x v="6"/>
    <n v="52.2"/>
    <n v="40.700000000000003"/>
  </r>
  <r>
    <x v="6"/>
    <x v="8"/>
    <x v="7"/>
    <x v="7"/>
    <n v="38.799999999999997"/>
    <n v="35"/>
  </r>
  <r>
    <x v="6"/>
    <x v="8"/>
    <x v="8"/>
    <x v="8"/>
    <n v="104.9"/>
    <n v="9.5"/>
  </r>
  <r>
    <x v="6"/>
    <x v="8"/>
    <x v="9"/>
    <x v="9"/>
    <n v="194.2"/>
    <n v="3.3"/>
  </r>
  <r>
    <x v="6"/>
    <x v="8"/>
    <x v="10"/>
    <x v="10"/>
    <n v="254.4"/>
    <n v="0"/>
  </r>
  <r>
    <x v="6"/>
    <x v="8"/>
    <x v="11"/>
    <x v="11"/>
    <n v="400.3"/>
    <n v="0"/>
  </r>
  <r>
    <x v="0"/>
    <x v="9"/>
    <x v="0"/>
    <x v="0"/>
    <n v="423.2"/>
    <n v="0"/>
  </r>
  <r>
    <x v="0"/>
    <x v="9"/>
    <x v="1"/>
    <x v="1"/>
    <n v="356.3"/>
    <n v="0"/>
  </r>
  <r>
    <x v="0"/>
    <x v="9"/>
    <x v="2"/>
    <x v="2"/>
    <n v="330.4"/>
    <n v="0"/>
  </r>
  <r>
    <x v="0"/>
    <x v="9"/>
    <x v="3"/>
    <x v="3"/>
    <n v="245.3"/>
    <n v="0.6"/>
  </r>
  <r>
    <x v="0"/>
    <x v="9"/>
    <x v="4"/>
    <x v="4"/>
    <n v="173.2"/>
    <n v="1.9"/>
  </r>
  <r>
    <x v="0"/>
    <x v="9"/>
    <x v="5"/>
    <x v="5"/>
    <n v="94.3"/>
    <n v="15.7"/>
  </r>
  <r>
    <x v="0"/>
    <x v="9"/>
    <x v="6"/>
    <x v="6"/>
    <n v="51.4"/>
    <n v="29.2"/>
  </r>
  <r>
    <x v="0"/>
    <x v="9"/>
    <x v="7"/>
    <x v="7"/>
    <n v="56.3"/>
    <n v="29.2"/>
  </r>
  <r>
    <x v="0"/>
    <x v="9"/>
    <x v="8"/>
    <x v="8"/>
    <n v="92.3"/>
    <n v="10.199999999999999"/>
  </r>
  <r>
    <x v="0"/>
    <x v="9"/>
    <x v="9"/>
    <x v="9"/>
    <n v="143.4"/>
    <n v="4.2"/>
  </r>
  <r>
    <x v="0"/>
    <x v="9"/>
    <x v="10"/>
    <x v="10"/>
    <n v="226.5"/>
    <n v="0"/>
  </r>
  <r>
    <x v="0"/>
    <x v="9"/>
    <x v="11"/>
    <x v="11"/>
    <n v="379.6"/>
    <n v="0"/>
  </r>
  <r>
    <x v="1"/>
    <x v="9"/>
    <x v="0"/>
    <x v="0"/>
    <n v="390.1"/>
    <n v="0"/>
  </r>
  <r>
    <x v="1"/>
    <x v="9"/>
    <x v="1"/>
    <x v="1"/>
    <n v="340.6"/>
    <n v="0"/>
  </r>
  <r>
    <x v="1"/>
    <x v="9"/>
    <x v="2"/>
    <x v="2"/>
    <n v="297.7"/>
    <n v="0.8"/>
  </r>
  <r>
    <x v="1"/>
    <x v="9"/>
    <x v="3"/>
    <x v="3"/>
    <n v="242.6"/>
    <n v="0.2"/>
  </r>
  <r>
    <x v="1"/>
    <x v="9"/>
    <x v="4"/>
    <x v="4"/>
    <n v="170"/>
    <n v="5.8"/>
  </r>
  <r>
    <x v="1"/>
    <x v="9"/>
    <x v="5"/>
    <x v="5"/>
    <n v="86.1"/>
    <n v="27.1"/>
  </r>
  <r>
    <x v="1"/>
    <x v="9"/>
    <x v="6"/>
    <x v="6"/>
    <n v="51.9"/>
    <n v="15.8"/>
  </r>
  <r>
    <x v="1"/>
    <x v="9"/>
    <x v="7"/>
    <x v="7"/>
    <n v="59.1"/>
    <n v="17.8"/>
  </r>
  <r>
    <x v="1"/>
    <x v="9"/>
    <x v="8"/>
    <x v="8"/>
    <n v="97.2"/>
    <n v="6.1"/>
  </r>
  <r>
    <x v="1"/>
    <x v="9"/>
    <x v="9"/>
    <x v="9"/>
    <n v="133.5"/>
    <n v="2.2000000000000002"/>
  </r>
  <r>
    <x v="1"/>
    <x v="9"/>
    <x v="10"/>
    <x v="10"/>
    <n v="208.9"/>
    <n v="0"/>
  </r>
  <r>
    <x v="1"/>
    <x v="9"/>
    <x v="11"/>
    <x v="11"/>
    <n v="355.6"/>
    <n v="0"/>
  </r>
  <r>
    <x v="2"/>
    <x v="9"/>
    <x v="0"/>
    <x v="0"/>
    <n v="395.5"/>
    <n v="0"/>
  </r>
  <r>
    <x v="2"/>
    <x v="9"/>
    <x v="1"/>
    <x v="1"/>
    <n v="330.9"/>
    <n v="0"/>
  </r>
  <r>
    <x v="2"/>
    <x v="9"/>
    <x v="2"/>
    <x v="2"/>
    <n v="287.8"/>
    <n v="1.1000000000000001"/>
  </r>
  <r>
    <x v="2"/>
    <x v="9"/>
    <x v="3"/>
    <x v="3"/>
    <n v="235.7"/>
    <n v="0"/>
  </r>
  <r>
    <x v="2"/>
    <x v="9"/>
    <x v="4"/>
    <x v="4"/>
    <n v="152"/>
    <n v="10.199999999999999"/>
  </r>
  <r>
    <x v="2"/>
    <x v="9"/>
    <x v="5"/>
    <x v="5"/>
    <n v="72.3"/>
    <n v="32.4"/>
  </r>
  <r>
    <x v="2"/>
    <x v="9"/>
    <x v="6"/>
    <x v="6"/>
    <n v="53.9"/>
    <n v="20.7"/>
  </r>
  <r>
    <x v="2"/>
    <x v="9"/>
    <x v="7"/>
    <x v="7"/>
    <n v="59.8"/>
    <n v="19.399999999999999"/>
  </r>
  <r>
    <x v="2"/>
    <x v="9"/>
    <x v="8"/>
    <x v="8"/>
    <n v="80.599999999999994"/>
    <n v="14.7"/>
  </r>
  <r>
    <x v="2"/>
    <x v="9"/>
    <x v="9"/>
    <x v="9"/>
    <n v="135.1"/>
    <n v="2.6"/>
  </r>
  <r>
    <x v="2"/>
    <x v="9"/>
    <x v="10"/>
    <x v="10"/>
    <n v="207.9"/>
    <n v="0"/>
  </r>
  <r>
    <x v="2"/>
    <x v="9"/>
    <x v="11"/>
    <x v="11"/>
    <n v="349.2"/>
    <n v="0"/>
  </r>
  <r>
    <x v="3"/>
    <x v="9"/>
    <x v="0"/>
    <x v="0"/>
    <n v="445"/>
    <n v="0"/>
  </r>
  <r>
    <x v="3"/>
    <x v="9"/>
    <x v="1"/>
    <x v="1"/>
    <n v="361"/>
    <n v="0"/>
  </r>
  <r>
    <x v="3"/>
    <x v="9"/>
    <x v="2"/>
    <x v="2"/>
    <n v="301.8"/>
    <n v="0.3"/>
  </r>
  <r>
    <x v="3"/>
    <x v="9"/>
    <x v="3"/>
    <x v="3"/>
    <n v="212.6"/>
    <n v="1.1000000000000001"/>
  </r>
  <r>
    <x v="3"/>
    <x v="9"/>
    <x v="4"/>
    <x v="4"/>
    <n v="131.4"/>
    <n v="12.7"/>
  </r>
  <r>
    <x v="3"/>
    <x v="9"/>
    <x v="5"/>
    <x v="5"/>
    <n v="75.900000000000006"/>
    <n v="47.3"/>
  </r>
  <r>
    <x v="3"/>
    <x v="9"/>
    <x v="6"/>
    <x v="6"/>
    <n v="48.8"/>
    <n v="53.3"/>
  </r>
  <r>
    <x v="3"/>
    <x v="9"/>
    <x v="7"/>
    <x v="7"/>
    <n v="45.5"/>
    <n v="66.400000000000006"/>
  </r>
  <r>
    <x v="3"/>
    <x v="9"/>
    <x v="8"/>
    <x v="8"/>
    <n v="76.400000000000006"/>
    <n v="35.700000000000003"/>
  </r>
  <r>
    <x v="3"/>
    <x v="9"/>
    <x v="9"/>
    <x v="9"/>
    <n v="148.6"/>
    <n v="10.199999999999999"/>
  </r>
  <r>
    <x v="3"/>
    <x v="9"/>
    <x v="10"/>
    <x v="10"/>
    <n v="215"/>
    <n v="0.1"/>
  </r>
  <r>
    <x v="3"/>
    <x v="9"/>
    <x v="11"/>
    <x v="11"/>
    <n v="397.3"/>
    <n v="0"/>
  </r>
  <r>
    <x v="4"/>
    <x v="9"/>
    <x v="0"/>
    <x v="0"/>
    <n v="428.5"/>
    <n v="0"/>
  </r>
  <r>
    <x v="4"/>
    <x v="9"/>
    <x v="1"/>
    <x v="1"/>
    <n v="351.4"/>
    <n v="0"/>
  </r>
  <r>
    <x v="4"/>
    <x v="9"/>
    <x v="2"/>
    <x v="2"/>
    <n v="312.2"/>
    <n v="0"/>
  </r>
  <r>
    <x v="4"/>
    <x v="9"/>
    <x v="3"/>
    <x v="3"/>
    <n v="225.3"/>
    <n v="0.6"/>
  </r>
  <r>
    <x v="4"/>
    <x v="9"/>
    <x v="4"/>
    <x v="4"/>
    <n v="152.5"/>
    <n v="5.8"/>
  </r>
  <r>
    <x v="4"/>
    <x v="9"/>
    <x v="5"/>
    <x v="5"/>
    <n v="77.900000000000006"/>
    <n v="23.9"/>
  </r>
  <r>
    <x v="4"/>
    <x v="9"/>
    <x v="6"/>
    <x v="6"/>
    <n v="47.5"/>
    <n v="40.799999999999997"/>
  </r>
  <r>
    <x v="4"/>
    <x v="9"/>
    <x v="7"/>
    <x v="7"/>
    <n v="46.8"/>
    <n v="38.299999999999997"/>
  </r>
  <r>
    <x v="4"/>
    <x v="9"/>
    <x v="8"/>
    <x v="8"/>
    <n v="74.3"/>
    <n v="16.5"/>
  </r>
  <r>
    <x v="4"/>
    <x v="9"/>
    <x v="9"/>
    <x v="9"/>
    <n v="144.1"/>
    <n v="4"/>
  </r>
  <r>
    <x v="4"/>
    <x v="9"/>
    <x v="10"/>
    <x v="10"/>
    <n v="215.8"/>
    <n v="0.1"/>
  </r>
  <r>
    <x v="4"/>
    <x v="9"/>
    <x v="11"/>
    <x v="11"/>
    <n v="380"/>
    <n v="0"/>
  </r>
  <r>
    <x v="5"/>
    <x v="9"/>
    <x v="0"/>
    <x v="0"/>
    <n v="409.7"/>
    <n v="0"/>
  </r>
  <r>
    <x v="5"/>
    <x v="9"/>
    <x v="1"/>
    <x v="1"/>
    <n v="341.6"/>
    <n v="0"/>
  </r>
  <r>
    <x v="5"/>
    <x v="9"/>
    <x v="2"/>
    <x v="2"/>
    <n v="295"/>
    <n v="0.6"/>
  </r>
  <r>
    <x v="5"/>
    <x v="9"/>
    <x v="3"/>
    <x v="3"/>
    <n v="237.7"/>
    <n v="0.2"/>
  </r>
  <r>
    <x v="5"/>
    <x v="9"/>
    <x v="4"/>
    <x v="4"/>
    <n v="147.19999999999999"/>
    <n v="8.6"/>
  </r>
  <r>
    <x v="5"/>
    <x v="9"/>
    <x v="5"/>
    <x v="5"/>
    <n v="67.900000000000006"/>
    <n v="36.9"/>
  </r>
  <r>
    <x v="5"/>
    <x v="9"/>
    <x v="6"/>
    <x v="6"/>
    <n v="52.5"/>
    <n v="25.3"/>
  </r>
  <r>
    <x v="5"/>
    <x v="9"/>
    <x v="7"/>
    <x v="7"/>
    <n v="57.2"/>
    <n v="28.3"/>
  </r>
  <r>
    <x v="5"/>
    <x v="9"/>
    <x v="8"/>
    <x v="8"/>
    <n v="74.900000000000006"/>
    <n v="25.9"/>
  </r>
  <r>
    <x v="5"/>
    <x v="9"/>
    <x v="9"/>
    <x v="9"/>
    <n v="135.9"/>
    <n v="3.6"/>
  </r>
  <r>
    <x v="5"/>
    <x v="9"/>
    <x v="10"/>
    <x v="10"/>
    <n v="202"/>
    <n v="0"/>
  </r>
  <r>
    <x v="5"/>
    <x v="9"/>
    <x v="11"/>
    <x v="11"/>
    <n v="362.2"/>
    <n v="0"/>
  </r>
  <r>
    <x v="6"/>
    <x v="9"/>
    <x v="0"/>
    <x v="0"/>
    <n v="420.3"/>
    <n v="0"/>
  </r>
  <r>
    <x v="6"/>
    <x v="9"/>
    <x v="1"/>
    <x v="1"/>
    <n v="340"/>
    <n v="0"/>
  </r>
  <r>
    <x v="6"/>
    <x v="9"/>
    <x v="2"/>
    <x v="2"/>
    <n v="283.39999999999998"/>
    <n v="0"/>
  </r>
  <r>
    <x v="6"/>
    <x v="9"/>
    <x v="3"/>
    <x v="3"/>
    <n v="214.2"/>
    <n v="0"/>
  </r>
  <r>
    <x v="6"/>
    <x v="9"/>
    <x v="4"/>
    <x v="4"/>
    <n v="114.3"/>
    <n v="2.2000000000000002"/>
  </r>
  <r>
    <x v="6"/>
    <x v="9"/>
    <x v="5"/>
    <x v="5"/>
    <n v="39.200000000000003"/>
    <n v="30.5"/>
  </r>
  <r>
    <x v="6"/>
    <x v="9"/>
    <x v="6"/>
    <x v="6"/>
    <n v="23.4"/>
    <n v="19.100000000000001"/>
  </r>
  <r>
    <x v="6"/>
    <x v="9"/>
    <x v="7"/>
    <x v="7"/>
    <n v="22.1"/>
    <n v="27.4"/>
  </r>
  <r>
    <x v="6"/>
    <x v="9"/>
    <x v="8"/>
    <x v="8"/>
    <n v="32.4"/>
    <n v="8.1"/>
  </r>
  <r>
    <x v="6"/>
    <x v="9"/>
    <x v="9"/>
    <x v="9"/>
    <n v="132"/>
    <n v="3.7"/>
  </r>
  <r>
    <x v="6"/>
    <x v="9"/>
    <x v="10"/>
    <x v="10"/>
    <n v="192.1"/>
    <n v="0"/>
  </r>
  <r>
    <x v="6"/>
    <x v="9"/>
    <x v="11"/>
    <x v="11"/>
    <n v="375.8"/>
    <n v="0"/>
  </r>
  <r>
    <x v="0"/>
    <x v="10"/>
    <x v="0"/>
    <x v="0"/>
    <n v="445.6"/>
    <n v="0"/>
  </r>
  <r>
    <x v="0"/>
    <x v="10"/>
    <x v="1"/>
    <x v="1"/>
    <n v="351.3"/>
    <n v="0"/>
  </r>
  <r>
    <x v="0"/>
    <x v="10"/>
    <x v="2"/>
    <x v="2"/>
    <n v="328.9"/>
    <n v="0"/>
  </r>
  <r>
    <x v="0"/>
    <x v="10"/>
    <x v="3"/>
    <x v="3"/>
    <n v="255.1"/>
    <n v="3.2"/>
  </r>
  <r>
    <x v="0"/>
    <x v="10"/>
    <x v="4"/>
    <x v="4"/>
    <n v="208.8"/>
    <n v="6.4"/>
  </r>
  <r>
    <x v="0"/>
    <x v="10"/>
    <x v="5"/>
    <x v="5"/>
    <n v="104"/>
    <n v="17.2"/>
  </r>
  <r>
    <x v="0"/>
    <x v="10"/>
    <x v="6"/>
    <x v="6"/>
    <n v="41.3"/>
    <n v="44.6"/>
  </r>
  <r>
    <x v="0"/>
    <x v="10"/>
    <x v="7"/>
    <x v="7"/>
    <n v="60.3"/>
    <n v="30"/>
  </r>
  <r>
    <x v="0"/>
    <x v="10"/>
    <x v="8"/>
    <x v="8"/>
    <n v="103.7"/>
    <n v="18"/>
  </r>
  <r>
    <x v="0"/>
    <x v="10"/>
    <x v="9"/>
    <x v="9"/>
    <n v="167.7"/>
    <n v="3.4"/>
  </r>
  <r>
    <x v="0"/>
    <x v="10"/>
    <x v="10"/>
    <x v="10"/>
    <n v="296"/>
    <n v="0"/>
  </r>
  <r>
    <x v="0"/>
    <x v="10"/>
    <x v="11"/>
    <x v="11"/>
    <n v="453.4"/>
    <n v="0"/>
  </r>
  <r>
    <x v="1"/>
    <x v="10"/>
    <x v="0"/>
    <x v="0"/>
    <n v="427.4"/>
    <n v="0"/>
  </r>
  <r>
    <x v="1"/>
    <x v="10"/>
    <x v="1"/>
    <x v="1"/>
    <n v="347.3"/>
    <n v="0"/>
  </r>
  <r>
    <x v="1"/>
    <x v="10"/>
    <x v="2"/>
    <x v="2"/>
    <n v="331.2"/>
    <n v="0"/>
  </r>
  <r>
    <x v="1"/>
    <x v="10"/>
    <x v="3"/>
    <x v="3"/>
    <n v="239.9"/>
    <n v="1.4"/>
  </r>
  <r>
    <x v="1"/>
    <x v="10"/>
    <x v="4"/>
    <x v="4"/>
    <n v="195.6"/>
    <n v="9.8000000000000007"/>
  </r>
  <r>
    <x v="1"/>
    <x v="10"/>
    <x v="5"/>
    <x v="5"/>
    <n v="96.1"/>
    <n v="20.399999999999999"/>
  </r>
  <r>
    <x v="1"/>
    <x v="10"/>
    <x v="6"/>
    <x v="6"/>
    <n v="46.9"/>
    <n v="27.4"/>
  </r>
  <r>
    <x v="1"/>
    <x v="10"/>
    <x v="7"/>
    <x v="7"/>
    <n v="65.8"/>
    <n v="10.7"/>
  </r>
  <r>
    <x v="1"/>
    <x v="10"/>
    <x v="8"/>
    <x v="8"/>
    <n v="103.4"/>
    <n v="13.6"/>
  </r>
  <r>
    <x v="1"/>
    <x v="10"/>
    <x v="9"/>
    <x v="9"/>
    <n v="167"/>
    <n v="4.5999999999999996"/>
  </r>
  <r>
    <x v="1"/>
    <x v="10"/>
    <x v="10"/>
    <x v="10"/>
    <n v="291.2"/>
    <n v="0"/>
  </r>
  <r>
    <x v="1"/>
    <x v="10"/>
    <x v="11"/>
    <x v="11"/>
    <n v="436.3"/>
    <n v="0"/>
  </r>
  <r>
    <x v="2"/>
    <x v="10"/>
    <x v="0"/>
    <x v="0"/>
    <n v="428.8"/>
    <n v="0"/>
  </r>
  <r>
    <x v="2"/>
    <x v="10"/>
    <x v="1"/>
    <x v="1"/>
    <n v="345.2"/>
    <n v="0"/>
  </r>
  <r>
    <x v="2"/>
    <x v="10"/>
    <x v="2"/>
    <x v="2"/>
    <n v="325.2"/>
    <n v="0"/>
  </r>
  <r>
    <x v="2"/>
    <x v="10"/>
    <x v="3"/>
    <x v="3"/>
    <n v="209.3"/>
    <n v="1.5"/>
  </r>
  <r>
    <x v="2"/>
    <x v="10"/>
    <x v="4"/>
    <x v="4"/>
    <n v="172.3"/>
    <n v="14.4"/>
  </r>
  <r>
    <x v="2"/>
    <x v="10"/>
    <x v="5"/>
    <x v="5"/>
    <n v="70.900000000000006"/>
    <n v="34"/>
  </r>
  <r>
    <x v="2"/>
    <x v="10"/>
    <x v="6"/>
    <x v="6"/>
    <n v="42.2"/>
    <n v="38.6"/>
  </r>
  <r>
    <x v="2"/>
    <x v="10"/>
    <x v="7"/>
    <x v="7"/>
    <n v="53.9"/>
    <n v="21.4"/>
  </r>
  <r>
    <x v="2"/>
    <x v="10"/>
    <x v="8"/>
    <x v="8"/>
    <n v="104.4"/>
    <n v="13.9"/>
  </r>
  <r>
    <x v="2"/>
    <x v="10"/>
    <x v="9"/>
    <x v="9"/>
    <n v="160.4"/>
    <n v="3.9"/>
  </r>
  <r>
    <x v="2"/>
    <x v="10"/>
    <x v="10"/>
    <x v="10"/>
    <n v="285.3"/>
    <n v="0"/>
  </r>
  <r>
    <x v="2"/>
    <x v="10"/>
    <x v="11"/>
    <x v="11"/>
    <n v="431"/>
    <n v="0"/>
  </r>
  <r>
    <x v="3"/>
    <x v="10"/>
    <x v="0"/>
    <x v="0"/>
    <n v="471.2"/>
    <n v="0"/>
  </r>
  <r>
    <x v="3"/>
    <x v="10"/>
    <x v="1"/>
    <x v="1"/>
    <n v="355.5"/>
    <n v="0"/>
  </r>
  <r>
    <x v="3"/>
    <x v="10"/>
    <x v="2"/>
    <x v="2"/>
    <n v="318.89999999999998"/>
    <n v="0.1"/>
  </r>
  <r>
    <x v="3"/>
    <x v="10"/>
    <x v="3"/>
    <x v="3"/>
    <n v="211.2"/>
    <n v="6.7"/>
  </r>
  <r>
    <x v="3"/>
    <x v="10"/>
    <x v="4"/>
    <x v="4"/>
    <n v="178"/>
    <n v="17.7"/>
  </r>
  <r>
    <x v="3"/>
    <x v="10"/>
    <x v="5"/>
    <x v="5"/>
    <n v="64.599999999999994"/>
    <n v="51.1"/>
  </r>
  <r>
    <x v="3"/>
    <x v="10"/>
    <x v="6"/>
    <x v="6"/>
    <n v="32.1"/>
    <n v="99"/>
  </r>
  <r>
    <x v="3"/>
    <x v="10"/>
    <x v="7"/>
    <x v="7"/>
    <n v="56.4"/>
    <n v="50.8"/>
  </r>
  <r>
    <x v="3"/>
    <x v="10"/>
    <x v="8"/>
    <x v="8"/>
    <n v="99"/>
    <n v="35.4"/>
  </r>
  <r>
    <x v="3"/>
    <x v="10"/>
    <x v="9"/>
    <x v="9"/>
    <n v="178.6"/>
    <n v="8.1999999999999993"/>
  </r>
  <r>
    <x v="3"/>
    <x v="10"/>
    <x v="10"/>
    <x v="10"/>
    <n v="310.7"/>
    <n v="0"/>
  </r>
  <r>
    <x v="3"/>
    <x v="10"/>
    <x v="11"/>
    <x v="11"/>
    <n v="488.4"/>
    <n v="0"/>
  </r>
  <r>
    <x v="4"/>
    <x v="10"/>
    <x v="0"/>
    <x v="0"/>
    <n v="446"/>
    <n v="0"/>
  </r>
  <r>
    <x v="4"/>
    <x v="10"/>
    <x v="1"/>
    <x v="1"/>
    <n v="351.6"/>
    <n v="0"/>
  </r>
  <r>
    <x v="4"/>
    <x v="10"/>
    <x v="2"/>
    <x v="2"/>
    <n v="316.89999999999998"/>
    <n v="0.1"/>
  </r>
  <r>
    <x v="4"/>
    <x v="10"/>
    <x v="3"/>
    <x v="3"/>
    <n v="241.9"/>
    <n v="3.8"/>
  </r>
  <r>
    <x v="4"/>
    <x v="10"/>
    <x v="4"/>
    <x v="4"/>
    <n v="198.3"/>
    <n v="7.6"/>
  </r>
  <r>
    <x v="4"/>
    <x v="10"/>
    <x v="5"/>
    <x v="5"/>
    <n v="84.5"/>
    <n v="18.3"/>
  </r>
  <r>
    <x v="4"/>
    <x v="10"/>
    <x v="6"/>
    <x v="6"/>
    <n v="37.4"/>
    <n v="45.6"/>
  </r>
  <r>
    <x v="4"/>
    <x v="10"/>
    <x v="7"/>
    <x v="7"/>
    <n v="48.7"/>
    <n v="29.8"/>
  </r>
  <r>
    <x v="4"/>
    <x v="10"/>
    <x v="8"/>
    <x v="8"/>
    <n v="96"/>
    <n v="20"/>
  </r>
  <r>
    <x v="4"/>
    <x v="10"/>
    <x v="9"/>
    <x v="9"/>
    <n v="166.6"/>
    <n v="5"/>
  </r>
  <r>
    <x v="4"/>
    <x v="10"/>
    <x v="10"/>
    <x v="10"/>
    <n v="297.39999999999998"/>
    <n v="0.1"/>
  </r>
  <r>
    <x v="4"/>
    <x v="10"/>
    <x v="11"/>
    <x v="11"/>
    <n v="458.1"/>
    <n v="0"/>
  </r>
  <r>
    <x v="5"/>
    <x v="10"/>
    <x v="0"/>
    <x v="0"/>
    <n v="444.1"/>
    <n v="0"/>
  </r>
  <r>
    <x v="5"/>
    <x v="10"/>
    <x v="1"/>
    <x v="1"/>
    <n v="355.2"/>
    <n v="0"/>
  </r>
  <r>
    <x v="5"/>
    <x v="10"/>
    <x v="2"/>
    <x v="2"/>
    <n v="334.4"/>
    <n v="0"/>
  </r>
  <r>
    <x v="5"/>
    <x v="10"/>
    <x v="3"/>
    <x v="3"/>
    <n v="208.2"/>
    <n v="1.6"/>
  </r>
  <r>
    <x v="5"/>
    <x v="10"/>
    <x v="4"/>
    <x v="4"/>
    <n v="180.9"/>
    <n v="13.7"/>
  </r>
  <r>
    <x v="5"/>
    <x v="10"/>
    <x v="5"/>
    <x v="5"/>
    <n v="70.2"/>
    <n v="37"/>
  </r>
  <r>
    <x v="5"/>
    <x v="10"/>
    <x v="6"/>
    <x v="6"/>
    <n v="40.9"/>
    <n v="51.3"/>
  </r>
  <r>
    <x v="5"/>
    <x v="10"/>
    <x v="7"/>
    <x v="7"/>
    <n v="59.2"/>
    <n v="31.1"/>
  </r>
  <r>
    <x v="5"/>
    <x v="10"/>
    <x v="8"/>
    <x v="8"/>
    <n v="108.5"/>
    <n v="18.600000000000001"/>
  </r>
  <r>
    <x v="5"/>
    <x v="10"/>
    <x v="9"/>
    <x v="9"/>
    <n v="160.5"/>
    <n v="5.0999999999999996"/>
  </r>
  <r>
    <x v="5"/>
    <x v="10"/>
    <x v="10"/>
    <x v="10"/>
    <n v="287.8"/>
    <n v="0"/>
  </r>
  <r>
    <x v="5"/>
    <x v="10"/>
    <x v="11"/>
    <x v="11"/>
    <n v="449.3"/>
    <n v="0"/>
  </r>
  <r>
    <x v="6"/>
    <x v="10"/>
    <x v="0"/>
    <x v="0"/>
    <n v="455.6"/>
    <n v="0"/>
  </r>
  <r>
    <x v="6"/>
    <x v="10"/>
    <x v="1"/>
    <x v="1"/>
    <n v="353.9"/>
    <n v="0"/>
  </r>
  <r>
    <x v="6"/>
    <x v="10"/>
    <x v="2"/>
    <x v="2"/>
    <n v="327.8"/>
    <n v="0"/>
  </r>
  <r>
    <x v="6"/>
    <x v="10"/>
    <x v="3"/>
    <x v="3"/>
    <n v="188.7"/>
    <n v="0"/>
  </r>
  <r>
    <x v="6"/>
    <x v="10"/>
    <x v="4"/>
    <x v="4"/>
    <n v="160.69999999999999"/>
    <n v="9.4"/>
  </r>
  <r>
    <x v="6"/>
    <x v="10"/>
    <x v="5"/>
    <x v="5"/>
    <n v="37.9"/>
    <n v="26.7"/>
  </r>
  <r>
    <x v="6"/>
    <x v="10"/>
    <x v="6"/>
    <x v="6"/>
    <n v="4.5"/>
    <n v="52.9"/>
  </r>
  <r>
    <x v="6"/>
    <x v="10"/>
    <x v="7"/>
    <x v="7"/>
    <n v="34.200000000000003"/>
    <n v="20.100000000000001"/>
  </r>
  <r>
    <x v="6"/>
    <x v="10"/>
    <x v="8"/>
    <x v="8"/>
    <n v="91.2"/>
    <n v="8.5"/>
  </r>
  <r>
    <x v="6"/>
    <x v="10"/>
    <x v="9"/>
    <x v="9"/>
    <n v="164.8"/>
    <n v="5.5"/>
  </r>
  <r>
    <x v="6"/>
    <x v="10"/>
    <x v="10"/>
    <x v="10"/>
    <n v="295.3"/>
    <n v="0"/>
  </r>
  <r>
    <x v="6"/>
    <x v="10"/>
    <x v="11"/>
    <x v="11"/>
    <n v="463.7"/>
    <n v="0"/>
  </r>
  <r>
    <x v="0"/>
    <x v="11"/>
    <x v="0"/>
    <x v="0"/>
    <n v="365.1"/>
    <n v="0"/>
  </r>
  <r>
    <x v="0"/>
    <x v="11"/>
    <x v="1"/>
    <x v="1"/>
    <n v="268.3"/>
    <n v="0"/>
  </r>
  <r>
    <x v="0"/>
    <x v="11"/>
    <x v="2"/>
    <x v="2"/>
    <n v="315.5"/>
    <n v="0.2"/>
  </r>
  <r>
    <x v="0"/>
    <x v="11"/>
    <x v="3"/>
    <x v="3"/>
    <n v="167"/>
    <n v="7.9"/>
  </r>
  <r>
    <x v="0"/>
    <x v="11"/>
    <x v="4"/>
    <x v="4"/>
    <n v="154.80000000000001"/>
    <n v="5.0999999999999996"/>
  </r>
  <r>
    <x v="0"/>
    <x v="11"/>
    <x v="5"/>
    <x v="5"/>
    <n v="113.6"/>
    <n v="20.3"/>
  </r>
  <r>
    <x v="0"/>
    <x v="11"/>
    <x v="6"/>
    <x v="6"/>
    <n v="86.3"/>
    <n v="16.7"/>
  </r>
  <r>
    <x v="0"/>
    <x v="11"/>
    <x v="7"/>
    <x v="7"/>
    <n v="59.7"/>
    <n v="27.6"/>
  </r>
  <r>
    <x v="0"/>
    <x v="11"/>
    <x v="8"/>
    <x v="8"/>
    <n v="61"/>
    <n v="38.6"/>
  </r>
  <r>
    <x v="0"/>
    <x v="11"/>
    <x v="9"/>
    <x v="9"/>
    <n v="136.80000000000001"/>
    <n v="15.6"/>
  </r>
  <r>
    <x v="0"/>
    <x v="11"/>
    <x v="10"/>
    <x v="10"/>
    <n v="197.9"/>
    <n v="0"/>
  </r>
  <r>
    <x v="0"/>
    <x v="11"/>
    <x v="11"/>
    <x v="11"/>
    <n v="313.39999999999998"/>
    <n v="0"/>
  </r>
  <r>
    <x v="1"/>
    <x v="11"/>
    <x v="0"/>
    <x v="0"/>
    <n v="356.1"/>
    <n v="0"/>
  </r>
  <r>
    <x v="1"/>
    <x v="11"/>
    <x v="1"/>
    <x v="1"/>
    <n v="261.39999999999998"/>
    <n v="0"/>
  </r>
  <r>
    <x v="1"/>
    <x v="11"/>
    <x v="2"/>
    <x v="2"/>
    <n v="288.3"/>
    <n v="0.8"/>
  </r>
  <r>
    <x v="1"/>
    <x v="11"/>
    <x v="3"/>
    <x v="3"/>
    <n v="156.9"/>
    <n v="11.7"/>
  </r>
  <r>
    <x v="1"/>
    <x v="11"/>
    <x v="4"/>
    <x v="4"/>
    <n v="152.4"/>
    <n v="2.7"/>
  </r>
  <r>
    <x v="1"/>
    <x v="11"/>
    <x v="5"/>
    <x v="5"/>
    <n v="116.1"/>
    <n v="11.4"/>
  </r>
  <r>
    <x v="1"/>
    <x v="11"/>
    <x v="6"/>
    <x v="6"/>
    <n v="84.7"/>
    <n v="15.8"/>
  </r>
  <r>
    <x v="1"/>
    <x v="11"/>
    <x v="7"/>
    <x v="7"/>
    <n v="73.7"/>
    <n v="15.7"/>
  </r>
  <r>
    <x v="1"/>
    <x v="11"/>
    <x v="8"/>
    <x v="8"/>
    <n v="64.900000000000006"/>
    <n v="26"/>
  </r>
  <r>
    <x v="1"/>
    <x v="11"/>
    <x v="9"/>
    <x v="9"/>
    <n v="138.6"/>
    <n v="10.4"/>
  </r>
  <r>
    <x v="1"/>
    <x v="11"/>
    <x v="10"/>
    <x v="10"/>
    <n v="182.8"/>
    <n v="0"/>
  </r>
  <r>
    <x v="1"/>
    <x v="11"/>
    <x v="11"/>
    <x v="11"/>
    <n v="287.3"/>
    <n v="0"/>
  </r>
  <r>
    <x v="2"/>
    <x v="11"/>
    <x v="0"/>
    <x v="0"/>
    <n v="349.7"/>
    <n v="0"/>
  </r>
  <r>
    <x v="2"/>
    <x v="11"/>
    <x v="1"/>
    <x v="1"/>
    <n v="256.8"/>
    <n v="0"/>
  </r>
  <r>
    <x v="2"/>
    <x v="11"/>
    <x v="2"/>
    <x v="2"/>
    <n v="273.5"/>
    <n v="0.4"/>
  </r>
  <r>
    <x v="2"/>
    <x v="11"/>
    <x v="3"/>
    <x v="3"/>
    <n v="143"/>
    <n v="16"/>
  </r>
  <r>
    <x v="2"/>
    <x v="11"/>
    <x v="4"/>
    <x v="4"/>
    <n v="143.1"/>
    <n v="2.7"/>
  </r>
  <r>
    <x v="2"/>
    <x v="11"/>
    <x v="5"/>
    <x v="5"/>
    <n v="102.1"/>
    <n v="18.7"/>
  </r>
  <r>
    <x v="2"/>
    <x v="11"/>
    <x v="6"/>
    <x v="6"/>
    <n v="79"/>
    <n v="21.8"/>
  </r>
  <r>
    <x v="2"/>
    <x v="11"/>
    <x v="7"/>
    <x v="7"/>
    <n v="61.4"/>
    <n v="24.6"/>
  </r>
  <r>
    <x v="2"/>
    <x v="11"/>
    <x v="8"/>
    <x v="8"/>
    <n v="62"/>
    <n v="20.100000000000001"/>
  </r>
  <r>
    <x v="2"/>
    <x v="11"/>
    <x v="9"/>
    <x v="9"/>
    <n v="134.1"/>
    <n v="7.6"/>
  </r>
  <r>
    <x v="2"/>
    <x v="11"/>
    <x v="10"/>
    <x v="10"/>
    <n v="181.3"/>
    <n v="0"/>
  </r>
  <r>
    <x v="2"/>
    <x v="11"/>
    <x v="11"/>
    <x v="11"/>
    <n v="281.8"/>
    <n v="0"/>
  </r>
  <r>
    <x v="3"/>
    <x v="11"/>
    <x v="0"/>
    <x v="0"/>
    <n v="389.8"/>
    <n v="0"/>
  </r>
  <r>
    <x v="3"/>
    <x v="11"/>
    <x v="1"/>
    <x v="1"/>
    <n v="267.5"/>
    <n v="0"/>
  </r>
  <r>
    <x v="3"/>
    <x v="11"/>
    <x v="2"/>
    <x v="2"/>
    <n v="275.89999999999998"/>
    <n v="0.8"/>
  </r>
  <r>
    <x v="3"/>
    <x v="11"/>
    <x v="3"/>
    <x v="3"/>
    <n v="144.69999999999999"/>
    <n v="21.7"/>
  </r>
  <r>
    <x v="3"/>
    <x v="11"/>
    <x v="4"/>
    <x v="4"/>
    <n v="122.6"/>
    <n v="19.100000000000001"/>
  </r>
  <r>
    <x v="3"/>
    <x v="11"/>
    <x v="5"/>
    <x v="5"/>
    <n v="84.1"/>
    <n v="39.299999999999997"/>
  </r>
  <r>
    <x v="3"/>
    <x v="11"/>
    <x v="6"/>
    <x v="6"/>
    <n v="66.599999999999994"/>
    <n v="43.3"/>
  </r>
  <r>
    <x v="3"/>
    <x v="11"/>
    <x v="7"/>
    <x v="7"/>
    <n v="49"/>
    <n v="56"/>
  </r>
  <r>
    <x v="3"/>
    <x v="11"/>
    <x v="8"/>
    <x v="8"/>
    <n v="59.2"/>
    <n v="46.7"/>
  </r>
  <r>
    <x v="3"/>
    <x v="11"/>
    <x v="9"/>
    <x v="9"/>
    <n v="139.5"/>
    <n v="15.3"/>
  </r>
  <r>
    <x v="3"/>
    <x v="11"/>
    <x v="10"/>
    <x v="10"/>
    <n v="193.5"/>
    <n v="0"/>
  </r>
  <r>
    <x v="3"/>
    <x v="11"/>
    <x v="11"/>
    <x v="11"/>
    <n v="303.39999999999998"/>
    <n v="0"/>
  </r>
  <r>
    <x v="4"/>
    <x v="11"/>
    <x v="0"/>
    <x v="0"/>
    <n v="375.1"/>
    <n v="0"/>
  </r>
  <r>
    <x v="4"/>
    <x v="11"/>
    <x v="1"/>
    <x v="1"/>
    <n v="262.39999999999998"/>
    <n v="0"/>
  </r>
  <r>
    <x v="4"/>
    <x v="11"/>
    <x v="2"/>
    <x v="2"/>
    <n v="298.8"/>
    <n v="0.5"/>
  </r>
  <r>
    <x v="4"/>
    <x v="11"/>
    <x v="3"/>
    <x v="3"/>
    <n v="165.9"/>
    <n v="11.2"/>
  </r>
  <r>
    <x v="4"/>
    <x v="11"/>
    <x v="4"/>
    <x v="4"/>
    <n v="140.30000000000001"/>
    <n v="8.6"/>
  </r>
  <r>
    <x v="4"/>
    <x v="11"/>
    <x v="5"/>
    <x v="5"/>
    <n v="100.3"/>
    <n v="22.2"/>
  </r>
  <r>
    <x v="4"/>
    <x v="11"/>
    <x v="6"/>
    <x v="6"/>
    <n v="74.599999999999994"/>
    <n v="20.9"/>
  </r>
  <r>
    <x v="4"/>
    <x v="11"/>
    <x v="7"/>
    <x v="7"/>
    <n v="54"/>
    <n v="33.200000000000003"/>
  </r>
  <r>
    <x v="4"/>
    <x v="11"/>
    <x v="8"/>
    <x v="8"/>
    <n v="62.9"/>
    <n v="37.6"/>
  </r>
  <r>
    <x v="4"/>
    <x v="11"/>
    <x v="9"/>
    <x v="9"/>
    <n v="127.4"/>
    <n v="15"/>
  </r>
  <r>
    <x v="4"/>
    <x v="11"/>
    <x v="10"/>
    <x v="10"/>
    <n v="192.4"/>
    <n v="0.1"/>
  </r>
  <r>
    <x v="4"/>
    <x v="11"/>
    <x v="11"/>
    <x v="11"/>
    <n v="296"/>
    <n v="0"/>
  </r>
  <r>
    <x v="5"/>
    <x v="11"/>
    <x v="0"/>
    <x v="0"/>
    <n v="359.4"/>
    <n v="0"/>
  </r>
  <r>
    <x v="5"/>
    <x v="11"/>
    <x v="1"/>
    <x v="1"/>
    <n v="265.2"/>
    <n v="0"/>
  </r>
  <r>
    <x v="5"/>
    <x v="11"/>
    <x v="2"/>
    <x v="2"/>
    <n v="273.89999999999998"/>
    <n v="0.3"/>
  </r>
  <r>
    <x v="5"/>
    <x v="11"/>
    <x v="3"/>
    <x v="3"/>
    <n v="145.6"/>
    <n v="14.6"/>
  </r>
  <r>
    <x v="5"/>
    <x v="11"/>
    <x v="4"/>
    <x v="4"/>
    <n v="142.6"/>
    <n v="4.3"/>
  </r>
  <r>
    <x v="5"/>
    <x v="11"/>
    <x v="5"/>
    <x v="5"/>
    <n v="97.6"/>
    <n v="22"/>
  </r>
  <r>
    <x v="5"/>
    <x v="11"/>
    <x v="6"/>
    <x v="6"/>
    <n v="78.3"/>
    <n v="25"/>
  </r>
  <r>
    <x v="5"/>
    <x v="11"/>
    <x v="7"/>
    <x v="7"/>
    <n v="60.7"/>
    <n v="26.7"/>
  </r>
  <r>
    <x v="5"/>
    <x v="11"/>
    <x v="8"/>
    <x v="8"/>
    <n v="62.4"/>
    <n v="21.4"/>
  </r>
  <r>
    <x v="5"/>
    <x v="11"/>
    <x v="9"/>
    <x v="9"/>
    <n v="135"/>
    <n v="7.6"/>
  </r>
  <r>
    <x v="5"/>
    <x v="11"/>
    <x v="10"/>
    <x v="10"/>
    <n v="172.5"/>
    <n v="0.1"/>
  </r>
  <r>
    <x v="5"/>
    <x v="11"/>
    <x v="11"/>
    <x v="11"/>
    <n v="296.89999999999998"/>
    <n v="0"/>
  </r>
  <r>
    <x v="6"/>
    <x v="11"/>
    <x v="0"/>
    <x v="0"/>
    <n v="367.3"/>
    <n v="0"/>
  </r>
  <r>
    <x v="6"/>
    <x v="11"/>
    <x v="1"/>
    <x v="1"/>
    <n v="266.10000000000002"/>
    <n v="0"/>
  </r>
  <r>
    <x v="6"/>
    <x v="11"/>
    <x v="2"/>
    <x v="2"/>
    <n v="257.5"/>
    <n v="0"/>
  </r>
  <r>
    <x v="6"/>
    <x v="11"/>
    <x v="3"/>
    <x v="3"/>
    <n v="112.8"/>
    <n v="0"/>
  </r>
  <r>
    <x v="6"/>
    <x v="11"/>
    <x v="4"/>
    <x v="4"/>
    <n v="111"/>
    <n v="0"/>
  </r>
  <r>
    <x v="6"/>
    <x v="11"/>
    <x v="5"/>
    <x v="5"/>
    <n v="70"/>
    <n v="20.7"/>
  </r>
  <r>
    <x v="6"/>
    <x v="11"/>
    <x v="6"/>
    <x v="6"/>
    <n v="41.4"/>
    <n v="11.8"/>
  </r>
  <r>
    <x v="6"/>
    <x v="11"/>
    <x v="7"/>
    <x v="7"/>
    <n v="30.6"/>
    <n v="26.5"/>
  </r>
  <r>
    <x v="6"/>
    <x v="11"/>
    <x v="8"/>
    <x v="8"/>
    <n v="36.9"/>
    <n v="18.100000000000001"/>
  </r>
  <r>
    <x v="6"/>
    <x v="11"/>
    <x v="9"/>
    <x v="9"/>
    <n v="119.5"/>
    <n v="5.8"/>
  </r>
  <r>
    <x v="6"/>
    <x v="11"/>
    <x v="10"/>
    <x v="10"/>
    <n v="174.7"/>
    <n v="0"/>
  </r>
  <r>
    <x v="6"/>
    <x v="11"/>
    <x v="11"/>
    <x v="11"/>
    <n v="288.2"/>
    <n v="0"/>
  </r>
  <r>
    <x v="0"/>
    <x v="12"/>
    <x v="0"/>
    <x v="0"/>
    <n v="329.3"/>
    <n v="0"/>
  </r>
  <r>
    <x v="0"/>
    <x v="12"/>
    <x v="1"/>
    <x v="1"/>
    <n v="376.7"/>
    <n v="0"/>
  </r>
  <r>
    <x v="0"/>
    <x v="12"/>
    <x v="2"/>
    <x v="2"/>
    <n v="291.3"/>
    <n v="0.7"/>
  </r>
  <r>
    <x v="0"/>
    <x v="12"/>
    <x v="3"/>
    <x v="3"/>
    <n v="287.39999999999998"/>
    <n v="0"/>
  </r>
  <r>
    <x v="0"/>
    <x v="12"/>
    <x v="4"/>
    <x v="4"/>
    <n v="179.1"/>
    <n v="4.9000000000000004"/>
  </r>
  <r>
    <x v="0"/>
    <x v="12"/>
    <x v="5"/>
    <x v="5"/>
    <n v="97.5"/>
    <n v="12.7"/>
  </r>
  <r>
    <x v="0"/>
    <x v="12"/>
    <x v="6"/>
    <x v="6"/>
    <n v="73.5"/>
    <n v="21.5"/>
  </r>
  <r>
    <x v="0"/>
    <x v="12"/>
    <x v="7"/>
    <x v="7"/>
    <n v="44.9"/>
    <n v="44.6"/>
  </r>
  <r>
    <x v="0"/>
    <x v="12"/>
    <x v="8"/>
    <x v="8"/>
    <n v="113.5"/>
    <n v="8.5"/>
  </r>
  <r>
    <x v="0"/>
    <x v="12"/>
    <x v="9"/>
    <x v="9"/>
    <n v="172.9"/>
    <n v="1.1000000000000001"/>
  </r>
  <r>
    <x v="0"/>
    <x v="12"/>
    <x v="10"/>
    <x v="10"/>
    <n v="287"/>
    <n v="0"/>
  </r>
  <r>
    <x v="0"/>
    <x v="12"/>
    <x v="11"/>
    <x v="11"/>
    <n v="317"/>
    <n v="0"/>
  </r>
  <r>
    <x v="1"/>
    <x v="12"/>
    <x v="0"/>
    <x v="0"/>
    <n v="304.39999999999998"/>
    <n v="0"/>
  </r>
  <r>
    <x v="1"/>
    <x v="12"/>
    <x v="1"/>
    <x v="1"/>
    <n v="351.2"/>
    <n v="0"/>
  </r>
  <r>
    <x v="1"/>
    <x v="12"/>
    <x v="2"/>
    <x v="2"/>
    <n v="246.3"/>
    <n v="4.7"/>
  </r>
  <r>
    <x v="1"/>
    <x v="12"/>
    <x v="3"/>
    <x v="3"/>
    <n v="276.7"/>
    <n v="0"/>
  </r>
  <r>
    <x v="1"/>
    <x v="12"/>
    <x v="4"/>
    <x v="4"/>
    <n v="159.69999999999999"/>
    <n v="10.6"/>
  </r>
  <r>
    <x v="1"/>
    <x v="12"/>
    <x v="5"/>
    <x v="5"/>
    <n v="98.6"/>
    <n v="9.1999999999999993"/>
  </r>
  <r>
    <x v="1"/>
    <x v="12"/>
    <x v="6"/>
    <x v="6"/>
    <n v="74.3"/>
    <n v="17.7"/>
  </r>
  <r>
    <x v="1"/>
    <x v="12"/>
    <x v="7"/>
    <x v="7"/>
    <n v="41.8"/>
    <n v="35"/>
  </r>
  <r>
    <x v="1"/>
    <x v="12"/>
    <x v="8"/>
    <x v="8"/>
    <n v="119.7"/>
    <n v="7.1"/>
  </r>
  <r>
    <x v="1"/>
    <x v="12"/>
    <x v="9"/>
    <x v="9"/>
    <n v="173.5"/>
    <n v="0.5"/>
  </r>
  <r>
    <x v="1"/>
    <x v="12"/>
    <x v="10"/>
    <x v="10"/>
    <n v="278.8"/>
    <n v="0"/>
  </r>
  <r>
    <x v="1"/>
    <x v="12"/>
    <x v="11"/>
    <x v="11"/>
    <n v="301.10000000000002"/>
    <n v="0"/>
  </r>
  <r>
    <x v="2"/>
    <x v="12"/>
    <x v="0"/>
    <x v="0"/>
    <n v="304.10000000000002"/>
    <n v="0"/>
  </r>
  <r>
    <x v="2"/>
    <x v="12"/>
    <x v="1"/>
    <x v="1"/>
    <n v="358.6"/>
    <n v="0"/>
  </r>
  <r>
    <x v="2"/>
    <x v="12"/>
    <x v="2"/>
    <x v="2"/>
    <n v="232.5"/>
    <n v="6.3"/>
  </r>
  <r>
    <x v="2"/>
    <x v="12"/>
    <x v="3"/>
    <x v="3"/>
    <n v="268.39999999999998"/>
    <n v="0"/>
  </r>
  <r>
    <x v="2"/>
    <x v="12"/>
    <x v="4"/>
    <x v="4"/>
    <n v="149"/>
    <n v="11.9"/>
  </r>
  <r>
    <x v="2"/>
    <x v="12"/>
    <x v="5"/>
    <x v="5"/>
    <n v="100.3"/>
    <n v="6.7"/>
  </r>
  <r>
    <x v="2"/>
    <x v="12"/>
    <x v="6"/>
    <x v="6"/>
    <n v="68.5"/>
    <n v="24.4"/>
  </r>
  <r>
    <x v="2"/>
    <x v="12"/>
    <x v="7"/>
    <x v="7"/>
    <n v="41.9"/>
    <n v="36.799999999999997"/>
  </r>
  <r>
    <x v="2"/>
    <x v="12"/>
    <x v="8"/>
    <x v="8"/>
    <n v="108.1"/>
    <n v="10.199999999999999"/>
  </r>
  <r>
    <x v="2"/>
    <x v="12"/>
    <x v="9"/>
    <x v="9"/>
    <n v="154.9"/>
    <n v="0.2"/>
  </r>
  <r>
    <x v="2"/>
    <x v="12"/>
    <x v="10"/>
    <x v="10"/>
    <n v="275.2"/>
    <n v="0"/>
  </r>
  <r>
    <x v="2"/>
    <x v="12"/>
    <x v="11"/>
    <x v="11"/>
    <n v="288.8"/>
    <n v="0"/>
  </r>
  <r>
    <x v="3"/>
    <x v="12"/>
    <x v="0"/>
    <x v="0"/>
    <n v="333.1"/>
    <n v="0"/>
  </r>
  <r>
    <x v="3"/>
    <x v="12"/>
    <x v="1"/>
    <x v="1"/>
    <n v="410"/>
    <n v="0"/>
  </r>
  <r>
    <x v="3"/>
    <x v="12"/>
    <x v="2"/>
    <x v="2"/>
    <n v="257.5"/>
    <n v="5.0999999999999996"/>
  </r>
  <r>
    <x v="3"/>
    <x v="12"/>
    <x v="3"/>
    <x v="3"/>
    <n v="260"/>
    <n v="0"/>
  </r>
  <r>
    <x v="3"/>
    <x v="12"/>
    <x v="4"/>
    <x v="4"/>
    <n v="141.9"/>
    <n v="22.6"/>
  </r>
  <r>
    <x v="3"/>
    <x v="12"/>
    <x v="5"/>
    <x v="5"/>
    <n v="70.8"/>
    <n v="29.6"/>
  </r>
  <r>
    <x v="3"/>
    <x v="12"/>
    <x v="6"/>
    <x v="6"/>
    <n v="63.3"/>
    <n v="46.5"/>
  </r>
  <r>
    <x v="3"/>
    <x v="12"/>
    <x v="7"/>
    <x v="7"/>
    <n v="38.200000000000003"/>
    <n v="79.2"/>
  </r>
  <r>
    <x v="3"/>
    <x v="12"/>
    <x v="8"/>
    <x v="8"/>
    <n v="109.9"/>
    <n v="22.3"/>
  </r>
  <r>
    <x v="3"/>
    <x v="12"/>
    <x v="9"/>
    <x v="9"/>
    <n v="155"/>
    <n v="3.5"/>
  </r>
  <r>
    <x v="3"/>
    <x v="12"/>
    <x v="10"/>
    <x v="10"/>
    <n v="293.8"/>
    <n v="0"/>
  </r>
  <r>
    <x v="3"/>
    <x v="12"/>
    <x v="11"/>
    <x v="11"/>
    <n v="313.3"/>
    <n v="0"/>
  </r>
  <r>
    <x v="4"/>
    <x v="12"/>
    <x v="0"/>
    <x v="0"/>
    <n v="324.8"/>
    <n v="0"/>
  </r>
  <r>
    <x v="4"/>
    <x v="12"/>
    <x v="1"/>
    <x v="1"/>
    <n v="386.8"/>
    <n v="0"/>
  </r>
  <r>
    <x v="4"/>
    <x v="12"/>
    <x v="2"/>
    <x v="2"/>
    <n v="281.39999999999998"/>
    <n v="1.9"/>
  </r>
  <r>
    <x v="4"/>
    <x v="12"/>
    <x v="3"/>
    <x v="3"/>
    <n v="274.3"/>
    <n v="0"/>
  </r>
  <r>
    <x v="4"/>
    <x v="12"/>
    <x v="4"/>
    <x v="4"/>
    <n v="169.4"/>
    <n v="10"/>
  </r>
  <r>
    <x v="4"/>
    <x v="12"/>
    <x v="5"/>
    <x v="5"/>
    <n v="81.8"/>
    <n v="18.2"/>
  </r>
  <r>
    <x v="4"/>
    <x v="12"/>
    <x v="6"/>
    <x v="6"/>
    <n v="70.7"/>
    <n v="27"/>
  </r>
  <r>
    <x v="4"/>
    <x v="12"/>
    <x v="7"/>
    <x v="7"/>
    <n v="40.799999999999997"/>
    <n v="52.6"/>
  </r>
  <r>
    <x v="4"/>
    <x v="12"/>
    <x v="8"/>
    <x v="8"/>
    <n v="103.3"/>
    <n v="12.2"/>
  </r>
  <r>
    <x v="4"/>
    <x v="12"/>
    <x v="9"/>
    <x v="9"/>
    <n v="155.4"/>
    <n v="2.8"/>
  </r>
  <r>
    <x v="4"/>
    <x v="12"/>
    <x v="10"/>
    <x v="10"/>
    <n v="280.39999999999998"/>
    <n v="0"/>
  </r>
  <r>
    <x v="4"/>
    <x v="12"/>
    <x v="11"/>
    <x v="11"/>
    <n v="304.7"/>
    <n v="0"/>
  </r>
  <r>
    <x v="5"/>
    <x v="12"/>
    <x v="0"/>
    <x v="0"/>
    <n v="317.39999999999998"/>
    <n v="0"/>
  </r>
  <r>
    <x v="5"/>
    <x v="12"/>
    <x v="1"/>
    <x v="1"/>
    <n v="373"/>
    <n v="0"/>
  </r>
  <r>
    <x v="5"/>
    <x v="12"/>
    <x v="2"/>
    <x v="2"/>
    <n v="238.9"/>
    <n v="5.4"/>
  </r>
  <r>
    <x v="5"/>
    <x v="12"/>
    <x v="3"/>
    <x v="3"/>
    <n v="268.3"/>
    <n v="0"/>
  </r>
  <r>
    <x v="5"/>
    <x v="12"/>
    <x v="4"/>
    <x v="4"/>
    <n v="148.4"/>
    <n v="13.2"/>
  </r>
  <r>
    <x v="5"/>
    <x v="12"/>
    <x v="5"/>
    <x v="5"/>
    <n v="87.9"/>
    <n v="10.5"/>
  </r>
  <r>
    <x v="5"/>
    <x v="12"/>
    <x v="6"/>
    <x v="6"/>
    <n v="69.400000000000006"/>
    <n v="27"/>
  </r>
  <r>
    <x v="5"/>
    <x v="12"/>
    <x v="7"/>
    <x v="7"/>
    <n v="40.4"/>
    <n v="49.3"/>
  </r>
  <r>
    <x v="5"/>
    <x v="12"/>
    <x v="8"/>
    <x v="8"/>
    <n v="110.3"/>
    <n v="14.3"/>
  </r>
  <r>
    <x v="5"/>
    <x v="12"/>
    <x v="9"/>
    <x v="9"/>
    <n v="153.4"/>
    <n v="0.5"/>
  </r>
  <r>
    <x v="5"/>
    <x v="12"/>
    <x v="10"/>
    <x v="10"/>
    <n v="275"/>
    <n v="0"/>
  </r>
  <r>
    <x v="5"/>
    <x v="12"/>
    <x v="11"/>
    <x v="11"/>
    <n v="290.89999999999998"/>
    <n v="0"/>
  </r>
  <r>
    <x v="6"/>
    <x v="12"/>
    <x v="0"/>
    <x v="0"/>
    <n v="322.2"/>
    <n v="0"/>
  </r>
  <r>
    <x v="6"/>
    <x v="12"/>
    <x v="1"/>
    <x v="1"/>
    <n v="388.5"/>
    <n v="0"/>
  </r>
  <r>
    <x v="6"/>
    <x v="12"/>
    <x v="2"/>
    <x v="2"/>
    <n v="224.8"/>
    <n v="0"/>
  </r>
  <r>
    <x v="6"/>
    <x v="12"/>
    <x v="3"/>
    <x v="3"/>
    <n v="245.3"/>
    <n v="0"/>
  </r>
  <r>
    <x v="6"/>
    <x v="12"/>
    <x v="4"/>
    <x v="4"/>
    <n v="124.4"/>
    <n v="8.6"/>
  </r>
  <r>
    <x v="6"/>
    <x v="12"/>
    <x v="5"/>
    <x v="5"/>
    <n v="60.2"/>
    <n v="12.2"/>
  </r>
  <r>
    <x v="6"/>
    <x v="12"/>
    <x v="6"/>
    <x v="6"/>
    <n v="34.4"/>
    <n v="23.9"/>
  </r>
  <r>
    <x v="6"/>
    <x v="12"/>
    <x v="7"/>
    <x v="7"/>
    <n v="13.9"/>
    <n v="47.6"/>
  </r>
  <r>
    <x v="6"/>
    <x v="12"/>
    <x v="8"/>
    <x v="8"/>
    <n v="83.7"/>
    <n v="6.2"/>
  </r>
  <r>
    <x v="6"/>
    <x v="12"/>
    <x v="9"/>
    <x v="9"/>
    <n v="140.4"/>
    <n v="0.3"/>
  </r>
  <r>
    <x v="6"/>
    <x v="12"/>
    <x v="10"/>
    <x v="10"/>
    <n v="267.2"/>
    <n v="0"/>
  </r>
  <r>
    <x v="6"/>
    <x v="12"/>
    <x v="11"/>
    <x v="11"/>
    <n v="293.3"/>
    <n v="0"/>
  </r>
  <r>
    <x v="0"/>
    <x v="13"/>
    <x v="0"/>
    <x v="0"/>
    <n v="374.3"/>
    <n v="0"/>
  </r>
  <r>
    <x v="0"/>
    <x v="13"/>
    <x v="1"/>
    <x v="1"/>
    <n v="374.8"/>
    <n v="0"/>
  </r>
  <r>
    <x v="0"/>
    <x v="13"/>
    <x v="2"/>
    <x v="2"/>
    <n v="384"/>
    <n v="0"/>
  </r>
  <r>
    <x v="0"/>
    <x v="13"/>
    <x v="3"/>
    <x v="3"/>
    <n v="279.10000000000002"/>
    <n v="2.1"/>
  </r>
  <r>
    <x v="0"/>
    <x v="13"/>
    <x v="4"/>
    <x v="4"/>
    <n v="223.5"/>
    <n v="1.8"/>
  </r>
  <r>
    <x v="0"/>
    <x v="13"/>
    <x v="5"/>
    <x v="5"/>
    <n v="118.8"/>
    <n v="5.0999999999999996"/>
  </r>
  <r>
    <x v="0"/>
    <x v="13"/>
    <x v="6"/>
    <x v="6"/>
    <n v="48.4"/>
    <n v="49.9"/>
  </r>
  <r>
    <x v="0"/>
    <x v="13"/>
    <x v="7"/>
    <x v="7"/>
    <n v="47"/>
    <n v="43.9"/>
  </r>
  <r>
    <x v="0"/>
    <x v="13"/>
    <x v="8"/>
    <x v="8"/>
    <n v="80.099999999999994"/>
    <n v="22.3"/>
  </r>
  <r>
    <x v="0"/>
    <x v="13"/>
    <x v="9"/>
    <x v="9"/>
    <n v="116.6"/>
    <n v="6.8"/>
  </r>
  <r>
    <x v="0"/>
    <x v="13"/>
    <x v="10"/>
    <x v="10"/>
    <n v="269.5"/>
    <n v="0"/>
  </r>
  <r>
    <x v="0"/>
    <x v="13"/>
    <x v="11"/>
    <x v="11"/>
    <n v="318.10000000000002"/>
    <n v="0"/>
  </r>
  <r>
    <x v="1"/>
    <x v="13"/>
    <x v="0"/>
    <x v="0"/>
    <n v="332.4"/>
    <n v="0"/>
  </r>
  <r>
    <x v="1"/>
    <x v="13"/>
    <x v="1"/>
    <x v="1"/>
    <n v="342.6"/>
    <n v="0"/>
  </r>
  <r>
    <x v="1"/>
    <x v="13"/>
    <x v="2"/>
    <x v="2"/>
    <n v="348.8"/>
    <n v="0"/>
  </r>
  <r>
    <x v="1"/>
    <x v="13"/>
    <x v="3"/>
    <x v="3"/>
    <n v="274.8"/>
    <n v="0.6"/>
  </r>
  <r>
    <x v="1"/>
    <x v="13"/>
    <x v="4"/>
    <x v="4"/>
    <n v="220.8"/>
    <n v="0.3"/>
  </r>
  <r>
    <x v="1"/>
    <x v="13"/>
    <x v="5"/>
    <x v="5"/>
    <n v="125.2"/>
    <n v="2.4"/>
  </r>
  <r>
    <x v="1"/>
    <x v="13"/>
    <x v="6"/>
    <x v="6"/>
    <n v="44.4"/>
    <n v="50.1"/>
  </r>
  <r>
    <x v="1"/>
    <x v="13"/>
    <x v="7"/>
    <x v="7"/>
    <n v="50.2"/>
    <n v="32.1"/>
  </r>
  <r>
    <x v="1"/>
    <x v="13"/>
    <x v="8"/>
    <x v="8"/>
    <n v="79.7"/>
    <n v="26.8"/>
  </r>
  <r>
    <x v="1"/>
    <x v="13"/>
    <x v="9"/>
    <x v="9"/>
    <n v="115.2"/>
    <n v="4.9000000000000004"/>
  </r>
  <r>
    <x v="1"/>
    <x v="13"/>
    <x v="10"/>
    <x v="10"/>
    <n v="254.2"/>
    <n v="0"/>
  </r>
  <r>
    <x v="1"/>
    <x v="13"/>
    <x v="11"/>
    <x v="11"/>
    <n v="303.7"/>
    <n v="0"/>
  </r>
  <r>
    <x v="2"/>
    <x v="13"/>
    <x v="0"/>
    <x v="0"/>
    <n v="328.1"/>
    <n v="0"/>
  </r>
  <r>
    <x v="2"/>
    <x v="13"/>
    <x v="1"/>
    <x v="1"/>
    <n v="342.1"/>
    <n v="0"/>
  </r>
  <r>
    <x v="2"/>
    <x v="13"/>
    <x v="2"/>
    <x v="2"/>
    <n v="354.3"/>
    <n v="0"/>
  </r>
  <r>
    <x v="2"/>
    <x v="13"/>
    <x v="3"/>
    <x v="3"/>
    <n v="256.3"/>
    <n v="0.9"/>
  </r>
  <r>
    <x v="2"/>
    <x v="13"/>
    <x v="4"/>
    <x v="4"/>
    <n v="210.5"/>
    <n v="0.3"/>
  </r>
  <r>
    <x v="2"/>
    <x v="13"/>
    <x v="5"/>
    <x v="5"/>
    <n v="105.7"/>
    <n v="9"/>
  </r>
  <r>
    <x v="2"/>
    <x v="13"/>
    <x v="6"/>
    <x v="6"/>
    <n v="31.1"/>
    <n v="79.2"/>
  </r>
  <r>
    <x v="2"/>
    <x v="13"/>
    <x v="7"/>
    <x v="7"/>
    <n v="39.4"/>
    <n v="43.6"/>
  </r>
  <r>
    <x v="2"/>
    <x v="13"/>
    <x v="8"/>
    <x v="8"/>
    <n v="73"/>
    <n v="28"/>
  </r>
  <r>
    <x v="2"/>
    <x v="13"/>
    <x v="9"/>
    <x v="9"/>
    <n v="109.2"/>
    <n v="5.0999999999999996"/>
  </r>
  <r>
    <x v="2"/>
    <x v="13"/>
    <x v="10"/>
    <x v="10"/>
    <n v="254.4"/>
    <n v="0"/>
  </r>
  <r>
    <x v="2"/>
    <x v="13"/>
    <x v="11"/>
    <x v="11"/>
    <n v="304.2"/>
    <n v="0"/>
  </r>
  <r>
    <x v="3"/>
    <x v="13"/>
    <x v="0"/>
    <x v="0"/>
    <n v="369.6"/>
    <n v="0"/>
  </r>
  <r>
    <x v="3"/>
    <x v="13"/>
    <x v="1"/>
    <x v="1"/>
    <n v="371.5"/>
    <n v="0"/>
  </r>
  <r>
    <x v="3"/>
    <x v="13"/>
    <x v="2"/>
    <x v="2"/>
    <n v="358.3"/>
    <n v="0"/>
  </r>
  <r>
    <x v="3"/>
    <x v="13"/>
    <x v="3"/>
    <x v="3"/>
    <n v="256.7"/>
    <n v="4.5"/>
  </r>
  <r>
    <x v="3"/>
    <x v="13"/>
    <x v="4"/>
    <x v="4"/>
    <n v="195.3"/>
    <n v="2.5"/>
  </r>
  <r>
    <x v="3"/>
    <x v="13"/>
    <x v="5"/>
    <x v="5"/>
    <n v="82.1"/>
    <n v="25.3"/>
  </r>
  <r>
    <x v="3"/>
    <x v="13"/>
    <x v="6"/>
    <x v="6"/>
    <n v="26"/>
    <n v="118.9"/>
  </r>
  <r>
    <x v="3"/>
    <x v="13"/>
    <x v="7"/>
    <x v="7"/>
    <n v="43.1"/>
    <n v="75.8"/>
  </r>
  <r>
    <x v="3"/>
    <x v="13"/>
    <x v="8"/>
    <x v="8"/>
    <n v="71.5"/>
    <n v="44.3"/>
  </r>
  <r>
    <x v="3"/>
    <x v="13"/>
    <x v="9"/>
    <x v="9"/>
    <n v="111.3"/>
    <n v="14.2"/>
  </r>
  <r>
    <x v="3"/>
    <x v="13"/>
    <x v="10"/>
    <x v="10"/>
    <n v="286.8"/>
    <n v="0"/>
  </r>
  <r>
    <x v="3"/>
    <x v="13"/>
    <x v="11"/>
    <x v="11"/>
    <n v="353"/>
    <n v="0"/>
  </r>
  <r>
    <x v="4"/>
    <x v="13"/>
    <x v="0"/>
    <x v="0"/>
    <n v="372.6"/>
    <n v="0"/>
  </r>
  <r>
    <x v="4"/>
    <x v="13"/>
    <x v="1"/>
    <x v="1"/>
    <n v="365.3"/>
    <n v="0"/>
  </r>
  <r>
    <x v="4"/>
    <x v="13"/>
    <x v="2"/>
    <x v="2"/>
    <n v="369.6"/>
    <n v="0"/>
  </r>
  <r>
    <x v="4"/>
    <x v="13"/>
    <x v="3"/>
    <x v="3"/>
    <n v="267.8"/>
    <n v="3.7"/>
  </r>
  <r>
    <x v="4"/>
    <x v="13"/>
    <x v="4"/>
    <x v="4"/>
    <n v="212.9"/>
    <n v="1.9"/>
  </r>
  <r>
    <x v="4"/>
    <x v="13"/>
    <x v="5"/>
    <x v="5"/>
    <n v="101.7"/>
    <n v="6.1"/>
  </r>
  <r>
    <x v="4"/>
    <x v="13"/>
    <x v="6"/>
    <x v="6"/>
    <n v="39.1"/>
    <n v="62.2"/>
  </r>
  <r>
    <x v="4"/>
    <x v="13"/>
    <x v="7"/>
    <x v="7"/>
    <n v="43.2"/>
    <n v="55.4"/>
  </r>
  <r>
    <x v="4"/>
    <x v="13"/>
    <x v="8"/>
    <x v="8"/>
    <n v="67.3"/>
    <n v="28"/>
  </r>
  <r>
    <x v="4"/>
    <x v="13"/>
    <x v="9"/>
    <x v="9"/>
    <n v="108.9"/>
    <n v="10.5"/>
  </r>
  <r>
    <x v="4"/>
    <x v="13"/>
    <x v="10"/>
    <x v="10"/>
    <n v="263.39999999999998"/>
    <n v="0"/>
  </r>
  <r>
    <x v="4"/>
    <x v="13"/>
    <x v="11"/>
    <x v="11"/>
    <n v="325.89999999999998"/>
    <n v="0"/>
  </r>
  <r>
    <x v="5"/>
    <x v="13"/>
    <x v="0"/>
    <x v="0"/>
    <n v="346.1"/>
    <n v="0"/>
  </r>
  <r>
    <x v="5"/>
    <x v="13"/>
    <x v="1"/>
    <x v="1"/>
    <n v="344.8"/>
    <n v="0"/>
  </r>
  <r>
    <x v="5"/>
    <x v="13"/>
    <x v="2"/>
    <x v="2"/>
    <n v="349.6"/>
    <n v="0"/>
  </r>
  <r>
    <x v="5"/>
    <x v="13"/>
    <x v="3"/>
    <x v="3"/>
    <n v="258.10000000000002"/>
    <n v="1"/>
  </r>
  <r>
    <x v="5"/>
    <x v="13"/>
    <x v="4"/>
    <x v="4"/>
    <n v="203.5"/>
    <n v="1.5"/>
  </r>
  <r>
    <x v="5"/>
    <x v="13"/>
    <x v="5"/>
    <x v="5"/>
    <n v="95.3"/>
    <n v="12.4"/>
  </r>
  <r>
    <x v="5"/>
    <x v="13"/>
    <x v="6"/>
    <x v="6"/>
    <n v="25.4"/>
    <n v="91.1"/>
  </r>
  <r>
    <x v="5"/>
    <x v="13"/>
    <x v="7"/>
    <x v="7"/>
    <n v="44.1"/>
    <n v="51.6"/>
  </r>
  <r>
    <x v="5"/>
    <x v="13"/>
    <x v="8"/>
    <x v="8"/>
    <n v="77"/>
    <n v="34.299999999999997"/>
  </r>
  <r>
    <x v="5"/>
    <x v="13"/>
    <x v="9"/>
    <x v="9"/>
    <n v="102.4"/>
    <n v="9.1"/>
  </r>
  <r>
    <x v="5"/>
    <x v="13"/>
    <x v="10"/>
    <x v="10"/>
    <n v="259.60000000000002"/>
    <n v="0"/>
  </r>
  <r>
    <x v="5"/>
    <x v="13"/>
    <x v="11"/>
    <x v="11"/>
    <n v="303.60000000000002"/>
    <n v="0"/>
  </r>
  <r>
    <x v="6"/>
    <x v="13"/>
    <x v="0"/>
    <x v="0"/>
    <n v="355.3"/>
    <n v="0"/>
  </r>
  <r>
    <x v="6"/>
    <x v="13"/>
    <x v="1"/>
    <x v="1"/>
    <n v="351.4"/>
    <n v="0"/>
  </r>
  <r>
    <x v="6"/>
    <x v="13"/>
    <x v="2"/>
    <x v="2"/>
    <n v="345.1"/>
    <n v="0"/>
  </r>
  <r>
    <x v="6"/>
    <x v="13"/>
    <x v="3"/>
    <x v="3"/>
    <n v="249.6"/>
    <n v="0"/>
  </r>
  <r>
    <x v="6"/>
    <x v="13"/>
    <x v="4"/>
    <x v="4"/>
    <n v="185.7"/>
    <n v="0"/>
  </r>
  <r>
    <x v="6"/>
    <x v="13"/>
    <x v="5"/>
    <x v="5"/>
    <n v="66.099999999999994"/>
    <n v="7.4"/>
  </r>
  <r>
    <x v="6"/>
    <x v="13"/>
    <x v="6"/>
    <x v="6"/>
    <n v="4.2"/>
    <n v="98.7"/>
  </r>
  <r>
    <x v="6"/>
    <x v="13"/>
    <x v="7"/>
    <x v="7"/>
    <n v="7.9"/>
    <n v="34.6"/>
  </r>
  <r>
    <x v="6"/>
    <x v="13"/>
    <x v="8"/>
    <x v="8"/>
    <n v="45.7"/>
    <n v="22.1"/>
  </r>
  <r>
    <x v="6"/>
    <x v="13"/>
    <x v="9"/>
    <x v="9"/>
    <n v="90.6"/>
    <n v="3.9"/>
  </r>
  <r>
    <x v="6"/>
    <x v="13"/>
    <x v="10"/>
    <x v="10"/>
    <n v="263.10000000000002"/>
    <n v="0"/>
  </r>
  <r>
    <x v="6"/>
    <x v="13"/>
    <x v="11"/>
    <x v="11"/>
    <n v="326.5"/>
    <n v="0"/>
  </r>
  <r>
    <x v="0"/>
    <x v="14"/>
    <x v="0"/>
    <x v="0"/>
    <n v="320"/>
    <n v="0"/>
  </r>
  <r>
    <x v="0"/>
    <x v="14"/>
    <x v="1"/>
    <x v="1"/>
    <n v="294.39999999999998"/>
    <n v="0"/>
  </r>
  <r>
    <x v="0"/>
    <x v="14"/>
    <x v="2"/>
    <x v="2"/>
    <n v="298"/>
    <n v="0.1"/>
  </r>
  <r>
    <x v="0"/>
    <x v="14"/>
    <x v="3"/>
    <x v="3"/>
    <n v="216.1"/>
    <n v="0.3"/>
  </r>
  <r>
    <x v="0"/>
    <x v="14"/>
    <x v="4"/>
    <x v="4"/>
    <n v="176.8"/>
    <n v="1.2"/>
  </r>
  <r>
    <x v="0"/>
    <x v="14"/>
    <x v="5"/>
    <x v="5"/>
    <n v="88.1"/>
    <n v="14.8"/>
  </r>
  <r>
    <x v="0"/>
    <x v="14"/>
    <x v="6"/>
    <x v="6"/>
    <n v="40.6"/>
    <n v="41.8"/>
  </r>
  <r>
    <x v="0"/>
    <x v="14"/>
    <x v="7"/>
    <x v="7"/>
    <n v="68"/>
    <n v="19.399999999999999"/>
  </r>
  <r>
    <x v="0"/>
    <x v="14"/>
    <x v="8"/>
    <x v="8"/>
    <n v="63.8"/>
    <n v="25.4"/>
  </r>
  <r>
    <x v="0"/>
    <x v="14"/>
    <x v="9"/>
    <x v="9"/>
    <n v="110.1"/>
    <n v="8.3000000000000007"/>
  </r>
  <r>
    <x v="0"/>
    <x v="14"/>
    <x v="10"/>
    <x v="10"/>
    <n v="230.1"/>
    <n v="0"/>
  </r>
  <r>
    <x v="0"/>
    <x v="14"/>
    <x v="11"/>
    <x v="11"/>
    <n v="320.10000000000002"/>
    <n v="0"/>
  </r>
  <r>
    <x v="1"/>
    <x v="14"/>
    <x v="0"/>
    <x v="0"/>
    <n v="307.39999999999998"/>
    <n v="0"/>
  </r>
  <r>
    <x v="1"/>
    <x v="14"/>
    <x v="1"/>
    <x v="1"/>
    <n v="284.7"/>
    <n v="0"/>
  </r>
  <r>
    <x v="1"/>
    <x v="14"/>
    <x v="2"/>
    <x v="2"/>
    <n v="285.7"/>
    <n v="0"/>
  </r>
  <r>
    <x v="1"/>
    <x v="14"/>
    <x v="3"/>
    <x v="3"/>
    <n v="214"/>
    <n v="0.6"/>
  </r>
  <r>
    <x v="1"/>
    <x v="14"/>
    <x v="4"/>
    <x v="4"/>
    <n v="174.1"/>
    <n v="2.2999999999999998"/>
  </r>
  <r>
    <x v="1"/>
    <x v="14"/>
    <x v="5"/>
    <x v="5"/>
    <n v="77.900000000000006"/>
    <n v="22.5"/>
  </r>
  <r>
    <x v="1"/>
    <x v="14"/>
    <x v="6"/>
    <x v="6"/>
    <n v="41.9"/>
    <n v="42.9"/>
  </r>
  <r>
    <x v="1"/>
    <x v="14"/>
    <x v="7"/>
    <x v="7"/>
    <n v="73.3"/>
    <n v="14"/>
  </r>
  <r>
    <x v="1"/>
    <x v="14"/>
    <x v="8"/>
    <x v="8"/>
    <n v="55.8"/>
    <n v="46.1"/>
  </r>
  <r>
    <x v="1"/>
    <x v="14"/>
    <x v="9"/>
    <x v="9"/>
    <n v="104.7"/>
    <n v="6.6"/>
  </r>
  <r>
    <x v="1"/>
    <x v="14"/>
    <x v="10"/>
    <x v="10"/>
    <n v="218"/>
    <n v="0.2"/>
  </r>
  <r>
    <x v="1"/>
    <x v="14"/>
    <x v="11"/>
    <x v="11"/>
    <n v="305.7"/>
    <n v="0"/>
  </r>
  <r>
    <x v="2"/>
    <x v="14"/>
    <x v="0"/>
    <x v="0"/>
    <n v="302.3"/>
    <n v="0"/>
  </r>
  <r>
    <x v="2"/>
    <x v="14"/>
    <x v="1"/>
    <x v="1"/>
    <n v="279"/>
    <n v="0"/>
  </r>
  <r>
    <x v="2"/>
    <x v="14"/>
    <x v="2"/>
    <x v="2"/>
    <n v="284"/>
    <n v="0"/>
  </r>
  <r>
    <x v="2"/>
    <x v="14"/>
    <x v="3"/>
    <x v="3"/>
    <n v="198.9"/>
    <n v="0.6"/>
  </r>
  <r>
    <x v="2"/>
    <x v="14"/>
    <x v="4"/>
    <x v="4"/>
    <n v="170.6"/>
    <n v="3.3"/>
  </r>
  <r>
    <x v="2"/>
    <x v="14"/>
    <x v="5"/>
    <x v="5"/>
    <n v="71.099999999999994"/>
    <n v="33.700000000000003"/>
  </r>
  <r>
    <x v="2"/>
    <x v="14"/>
    <x v="6"/>
    <x v="6"/>
    <n v="34.799999999999997"/>
    <n v="54.1"/>
  </r>
  <r>
    <x v="2"/>
    <x v="14"/>
    <x v="7"/>
    <x v="7"/>
    <n v="66.8"/>
    <n v="13.1"/>
  </r>
  <r>
    <x v="2"/>
    <x v="14"/>
    <x v="8"/>
    <x v="8"/>
    <n v="51.5"/>
    <n v="50.6"/>
  </r>
  <r>
    <x v="2"/>
    <x v="14"/>
    <x v="9"/>
    <x v="9"/>
    <n v="109.7"/>
    <n v="4.5999999999999996"/>
  </r>
  <r>
    <x v="2"/>
    <x v="14"/>
    <x v="10"/>
    <x v="10"/>
    <n v="223.6"/>
    <n v="0"/>
  </r>
  <r>
    <x v="2"/>
    <x v="14"/>
    <x v="11"/>
    <x v="11"/>
    <n v="307.8"/>
    <n v="0"/>
  </r>
  <r>
    <x v="3"/>
    <x v="14"/>
    <x v="0"/>
    <x v="0"/>
    <n v="317.60000000000002"/>
    <n v="0"/>
  </r>
  <r>
    <x v="3"/>
    <x v="14"/>
    <x v="1"/>
    <x v="1"/>
    <n v="281.60000000000002"/>
    <n v="0"/>
  </r>
  <r>
    <x v="3"/>
    <x v="14"/>
    <x v="2"/>
    <x v="2"/>
    <n v="273.10000000000002"/>
    <n v="0.7"/>
  </r>
  <r>
    <x v="3"/>
    <x v="14"/>
    <x v="3"/>
    <x v="3"/>
    <n v="191.9"/>
    <n v="1.1000000000000001"/>
  </r>
  <r>
    <x v="3"/>
    <x v="14"/>
    <x v="4"/>
    <x v="4"/>
    <n v="150.19999999999999"/>
    <n v="6.6"/>
  </r>
  <r>
    <x v="3"/>
    <x v="14"/>
    <x v="5"/>
    <x v="5"/>
    <n v="70.900000000000006"/>
    <n v="43.7"/>
  </r>
  <r>
    <x v="3"/>
    <x v="14"/>
    <x v="6"/>
    <x v="6"/>
    <n v="37.4"/>
    <n v="84"/>
  </r>
  <r>
    <x v="3"/>
    <x v="14"/>
    <x v="7"/>
    <x v="7"/>
    <n v="60.7"/>
    <n v="39.6"/>
  </r>
  <r>
    <x v="3"/>
    <x v="14"/>
    <x v="8"/>
    <x v="8"/>
    <n v="60.3"/>
    <n v="58"/>
  </r>
  <r>
    <x v="3"/>
    <x v="14"/>
    <x v="9"/>
    <x v="9"/>
    <n v="113"/>
    <n v="12.5"/>
  </r>
  <r>
    <x v="3"/>
    <x v="14"/>
    <x v="10"/>
    <x v="10"/>
    <n v="220.2"/>
    <n v="0.2"/>
  </r>
  <r>
    <x v="3"/>
    <x v="14"/>
    <x v="11"/>
    <x v="11"/>
    <n v="341.3"/>
    <n v="0"/>
  </r>
  <r>
    <x v="4"/>
    <x v="14"/>
    <x v="0"/>
    <x v="0"/>
    <n v="316.8"/>
    <n v="0"/>
  </r>
  <r>
    <x v="4"/>
    <x v="14"/>
    <x v="1"/>
    <x v="1"/>
    <n v="279.89999999999998"/>
    <n v="0"/>
  </r>
  <r>
    <x v="4"/>
    <x v="14"/>
    <x v="2"/>
    <x v="2"/>
    <n v="279.39999999999998"/>
    <n v="0.5"/>
  </r>
  <r>
    <x v="4"/>
    <x v="14"/>
    <x v="3"/>
    <x v="3"/>
    <n v="200.9"/>
    <n v="0.9"/>
  </r>
  <r>
    <x v="4"/>
    <x v="14"/>
    <x v="4"/>
    <x v="4"/>
    <n v="162.9"/>
    <n v="3.2"/>
  </r>
  <r>
    <x v="4"/>
    <x v="14"/>
    <x v="5"/>
    <x v="5"/>
    <n v="76.3"/>
    <n v="24.7"/>
  </r>
  <r>
    <x v="4"/>
    <x v="14"/>
    <x v="6"/>
    <x v="6"/>
    <n v="33.1"/>
    <n v="50.2"/>
  </r>
  <r>
    <x v="4"/>
    <x v="14"/>
    <x v="7"/>
    <x v="7"/>
    <n v="59"/>
    <n v="24"/>
  </r>
  <r>
    <x v="4"/>
    <x v="14"/>
    <x v="8"/>
    <x v="8"/>
    <n v="57.7"/>
    <n v="40.1"/>
  </r>
  <r>
    <x v="4"/>
    <x v="14"/>
    <x v="9"/>
    <x v="9"/>
    <n v="104.7"/>
    <n v="10.4"/>
  </r>
  <r>
    <x v="4"/>
    <x v="14"/>
    <x v="10"/>
    <x v="10"/>
    <n v="217.6"/>
    <n v="0.2"/>
  </r>
  <r>
    <x v="4"/>
    <x v="14"/>
    <x v="11"/>
    <x v="11"/>
    <n v="317.89999999999998"/>
    <n v="0"/>
  </r>
  <r>
    <x v="5"/>
    <x v="14"/>
    <x v="0"/>
    <x v="0"/>
    <n v="309"/>
    <n v="0"/>
  </r>
  <r>
    <x v="5"/>
    <x v="14"/>
    <x v="1"/>
    <x v="1"/>
    <n v="270.7"/>
    <n v="0"/>
  </r>
  <r>
    <x v="5"/>
    <x v="14"/>
    <x v="2"/>
    <x v="2"/>
    <n v="292.2"/>
    <n v="0.1"/>
  </r>
  <r>
    <x v="5"/>
    <x v="14"/>
    <x v="3"/>
    <x v="3"/>
    <n v="198.3"/>
    <n v="0.5"/>
  </r>
  <r>
    <x v="5"/>
    <x v="14"/>
    <x v="4"/>
    <x v="4"/>
    <n v="171.9"/>
    <n v="3.2"/>
  </r>
  <r>
    <x v="5"/>
    <x v="14"/>
    <x v="5"/>
    <x v="5"/>
    <n v="69"/>
    <n v="37.5"/>
  </r>
  <r>
    <x v="5"/>
    <x v="14"/>
    <x v="6"/>
    <x v="6"/>
    <n v="42.8"/>
    <n v="59.6"/>
  </r>
  <r>
    <x v="5"/>
    <x v="14"/>
    <x v="7"/>
    <x v="7"/>
    <n v="69.099999999999994"/>
    <n v="22.2"/>
  </r>
  <r>
    <x v="5"/>
    <x v="14"/>
    <x v="8"/>
    <x v="8"/>
    <n v="50.8"/>
    <n v="57.7"/>
  </r>
  <r>
    <x v="5"/>
    <x v="14"/>
    <x v="9"/>
    <x v="9"/>
    <n v="106.2"/>
    <n v="8"/>
  </r>
  <r>
    <x v="5"/>
    <x v="14"/>
    <x v="10"/>
    <x v="10"/>
    <n v="206.9"/>
    <n v="0"/>
  </r>
  <r>
    <x v="5"/>
    <x v="14"/>
    <x v="11"/>
    <x v="11"/>
    <n v="307.3"/>
    <n v="0"/>
  </r>
  <r>
    <x v="6"/>
    <x v="14"/>
    <x v="0"/>
    <x v="0"/>
    <n v="304.10000000000002"/>
    <n v="0"/>
  </r>
  <r>
    <x v="6"/>
    <x v="14"/>
    <x v="1"/>
    <x v="1"/>
    <n v="263.89999999999998"/>
    <n v="0"/>
  </r>
  <r>
    <x v="6"/>
    <x v="14"/>
    <x v="2"/>
    <x v="2"/>
    <n v="277.39999999999998"/>
    <n v="0"/>
  </r>
  <r>
    <x v="6"/>
    <x v="14"/>
    <x v="3"/>
    <x v="3"/>
    <n v="180"/>
    <n v="0"/>
  </r>
  <r>
    <x v="6"/>
    <x v="14"/>
    <x v="4"/>
    <x v="4"/>
    <n v="142.80000000000001"/>
    <n v="0"/>
  </r>
  <r>
    <x v="6"/>
    <x v="14"/>
    <x v="5"/>
    <x v="5"/>
    <n v="31.8"/>
    <n v="25.8"/>
  </r>
  <r>
    <x v="6"/>
    <x v="14"/>
    <x v="6"/>
    <x v="6"/>
    <n v="11.1"/>
    <n v="58.8"/>
  </r>
  <r>
    <x v="6"/>
    <x v="14"/>
    <x v="7"/>
    <x v="7"/>
    <n v="42.9"/>
    <n v="13.3"/>
  </r>
  <r>
    <x v="6"/>
    <x v="14"/>
    <x v="8"/>
    <x v="8"/>
    <n v="21.6"/>
    <n v="42.4"/>
  </r>
  <r>
    <x v="6"/>
    <x v="14"/>
    <x v="9"/>
    <x v="9"/>
    <n v="97.8"/>
    <n v="2.2999999999999998"/>
  </r>
  <r>
    <x v="6"/>
    <x v="14"/>
    <x v="10"/>
    <x v="10"/>
    <n v="199.3"/>
    <n v="0"/>
  </r>
  <r>
    <x v="6"/>
    <x v="14"/>
    <x v="11"/>
    <x v="11"/>
    <n v="317.2"/>
    <n v="0"/>
  </r>
  <r>
    <x v="0"/>
    <x v="15"/>
    <x v="0"/>
    <x v="0"/>
    <n v="354.8"/>
    <n v="0"/>
  </r>
  <r>
    <x v="0"/>
    <x v="15"/>
    <x v="1"/>
    <x v="1"/>
    <n v="357.9"/>
    <n v="0"/>
  </r>
  <r>
    <x v="0"/>
    <x v="15"/>
    <x v="2"/>
    <x v="2"/>
    <n v="312.8"/>
    <n v="0"/>
  </r>
  <r>
    <x v="0"/>
    <x v="15"/>
    <x v="3"/>
    <x v="3"/>
    <n v="216.9"/>
    <n v="4.2"/>
  </r>
  <r>
    <x v="0"/>
    <x v="15"/>
    <x v="4"/>
    <x v="4"/>
    <n v="174.4"/>
    <n v="1.5"/>
  </r>
  <r>
    <x v="0"/>
    <x v="15"/>
    <x v="5"/>
    <x v="5"/>
    <n v="99.1"/>
    <n v="24.2"/>
  </r>
  <r>
    <x v="0"/>
    <x v="15"/>
    <x v="6"/>
    <x v="6"/>
    <n v="53.9"/>
    <n v="44.3"/>
  </r>
  <r>
    <x v="0"/>
    <x v="15"/>
    <x v="7"/>
    <x v="7"/>
    <n v="63.5"/>
    <n v="28.1"/>
  </r>
  <r>
    <x v="0"/>
    <x v="15"/>
    <x v="8"/>
    <x v="8"/>
    <n v="129.69999999999999"/>
    <n v="2.5"/>
  </r>
  <r>
    <x v="0"/>
    <x v="15"/>
    <x v="9"/>
    <x v="9"/>
    <n v="181.1"/>
    <n v="0.4"/>
  </r>
  <r>
    <x v="0"/>
    <x v="15"/>
    <x v="10"/>
    <x v="10"/>
    <n v="184"/>
    <n v="0.6"/>
  </r>
  <r>
    <x v="0"/>
    <x v="15"/>
    <x v="11"/>
    <x v="11"/>
    <n v="210.5"/>
    <n v="0"/>
  </r>
  <r>
    <x v="1"/>
    <x v="15"/>
    <x v="0"/>
    <x v="0"/>
    <n v="329.7"/>
    <n v="0"/>
  </r>
  <r>
    <x v="1"/>
    <x v="15"/>
    <x v="1"/>
    <x v="1"/>
    <n v="341.1"/>
    <n v="0"/>
  </r>
  <r>
    <x v="1"/>
    <x v="15"/>
    <x v="2"/>
    <x v="2"/>
    <n v="296.5"/>
    <n v="0"/>
  </r>
  <r>
    <x v="1"/>
    <x v="15"/>
    <x v="3"/>
    <x v="3"/>
    <n v="194.2"/>
    <n v="7.5"/>
  </r>
  <r>
    <x v="1"/>
    <x v="15"/>
    <x v="4"/>
    <x v="4"/>
    <n v="172.6"/>
    <n v="0.3"/>
  </r>
  <r>
    <x v="1"/>
    <x v="15"/>
    <x v="5"/>
    <x v="5"/>
    <n v="101.1"/>
    <n v="19"/>
  </r>
  <r>
    <x v="1"/>
    <x v="15"/>
    <x v="6"/>
    <x v="6"/>
    <n v="52.1"/>
    <n v="25.2"/>
  </r>
  <r>
    <x v="1"/>
    <x v="15"/>
    <x v="7"/>
    <x v="7"/>
    <n v="68.5"/>
    <n v="17"/>
  </r>
  <r>
    <x v="1"/>
    <x v="15"/>
    <x v="8"/>
    <x v="8"/>
    <n v="122.2"/>
    <n v="6"/>
  </r>
  <r>
    <x v="1"/>
    <x v="15"/>
    <x v="9"/>
    <x v="9"/>
    <n v="171.6"/>
    <n v="1.3"/>
  </r>
  <r>
    <x v="1"/>
    <x v="15"/>
    <x v="10"/>
    <x v="10"/>
    <n v="178.2"/>
    <n v="0.8"/>
  </r>
  <r>
    <x v="1"/>
    <x v="15"/>
    <x v="11"/>
    <x v="11"/>
    <n v="184.5"/>
    <n v="0"/>
  </r>
  <r>
    <x v="2"/>
    <x v="15"/>
    <x v="0"/>
    <x v="0"/>
    <n v="333"/>
    <n v="0"/>
  </r>
  <r>
    <x v="2"/>
    <x v="15"/>
    <x v="1"/>
    <x v="1"/>
    <n v="339.5"/>
    <n v="0"/>
  </r>
  <r>
    <x v="2"/>
    <x v="15"/>
    <x v="2"/>
    <x v="2"/>
    <n v="291"/>
    <n v="0"/>
  </r>
  <r>
    <x v="2"/>
    <x v="15"/>
    <x v="3"/>
    <x v="3"/>
    <n v="186.5"/>
    <n v="7.3"/>
  </r>
  <r>
    <x v="2"/>
    <x v="15"/>
    <x v="4"/>
    <x v="4"/>
    <n v="172.3"/>
    <n v="1.7"/>
  </r>
  <r>
    <x v="2"/>
    <x v="15"/>
    <x v="5"/>
    <x v="5"/>
    <n v="89.8"/>
    <n v="27.5"/>
  </r>
  <r>
    <x v="2"/>
    <x v="15"/>
    <x v="6"/>
    <x v="6"/>
    <n v="51.8"/>
    <n v="32.1"/>
  </r>
  <r>
    <x v="2"/>
    <x v="15"/>
    <x v="7"/>
    <x v="7"/>
    <n v="64.8"/>
    <n v="26.9"/>
  </r>
  <r>
    <x v="2"/>
    <x v="15"/>
    <x v="8"/>
    <x v="8"/>
    <n v="114.1"/>
    <n v="6.8"/>
  </r>
  <r>
    <x v="2"/>
    <x v="15"/>
    <x v="9"/>
    <x v="9"/>
    <n v="166.2"/>
    <n v="0.8"/>
  </r>
  <r>
    <x v="2"/>
    <x v="15"/>
    <x v="10"/>
    <x v="10"/>
    <n v="176.8"/>
    <n v="0.1"/>
  </r>
  <r>
    <x v="2"/>
    <x v="15"/>
    <x v="11"/>
    <x v="11"/>
    <n v="190.9"/>
    <n v="0"/>
  </r>
  <r>
    <x v="3"/>
    <x v="15"/>
    <x v="0"/>
    <x v="0"/>
    <n v="366.4"/>
    <n v="0"/>
  </r>
  <r>
    <x v="3"/>
    <x v="15"/>
    <x v="1"/>
    <x v="1"/>
    <n v="363.7"/>
    <n v="0"/>
  </r>
  <r>
    <x v="3"/>
    <x v="15"/>
    <x v="2"/>
    <x v="2"/>
    <n v="299"/>
    <n v="0"/>
  </r>
  <r>
    <x v="3"/>
    <x v="15"/>
    <x v="3"/>
    <x v="3"/>
    <n v="182.2"/>
    <n v="11.2"/>
  </r>
  <r>
    <x v="3"/>
    <x v="15"/>
    <x v="4"/>
    <x v="4"/>
    <n v="143.19999999999999"/>
    <n v="6.8"/>
  </r>
  <r>
    <x v="3"/>
    <x v="15"/>
    <x v="5"/>
    <x v="5"/>
    <n v="73.599999999999994"/>
    <n v="49.1"/>
  </r>
  <r>
    <x v="3"/>
    <x v="15"/>
    <x v="6"/>
    <x v="6"/>
    <n v="40.6"/>
    <n v="85.7"/>
  </r>
  <r>
    <x v="3"/>
    <x v="15"/>
    <x v="7"/>
    <x v="7"/>
    <n v="48.2"/>
    <n v="79.400000000000006"/>
  </r>
  <r>
    <x v="3"/>
    <x v="15"/>
    <x v="8"/>
    <x v="8"/>
    <n v="108.9"/>
    <n v="14.2"/>
  </r>
  <r>
    <x v="3"/>
    <x v="15"/>
    <x v="9"/>
    <x v="9"/>
    <n v="176.3"/>
    <n v="1.3"/>
  </r>
  <r>
    <x v="3"/>
    <x v="15"/>
    <x v="10"/>
    <x v="10"/>
    <n v="181.1"/>
    <n v="2"/>
  </r>
  <r>
    <x v="3"/>
    <x v="15"/>
    <x v="11"/>
    <x v="11"/>
    <n v="234.6"/>
    <n v="0"/>
  </r>
  <r>
    <x v="4"/>
    <x v="15"/>
    <x v="0"/>
    <x v="0"/>
    <n v="345.3"/>
    <n v="0"/>
  </r>
  <r>
    <x v="4"/>
    <x v="15"/>
    <x v="1"/>
    <x v="1"/>
    <n v="349.4"/>
    <n v="0"/>
  </r>
  <r>
    <x v="4"/>
    <x v="15"/>
    <x v="2"/>
    <x v="2"/>
    <n v="304.39999999999998"/>
    <n v="0"/>
  </r>
  <r>
    <x v="4"/>
    <x v="15"/>
    <x v="3"/>
    <x v="3"/>
    <n v="195.9"/>
    <n v="6.7"/>
  </r>
  <r>
    <x v="4"/>
    <x v="15"/>
    <x v="4"/>
    <x v="4"/>
    <n v="159.9"/>
    <n v="2.1"/>
  </r>
  <r>
    <x v="4"/>
    <x v="15"/>
    <x v="5"/>
    <x v="5"/>
    <n v="87.4"/>
    <n v="26.8"/>
  </r>
  <r>
    <x v="4"/>
    <x v="15"/>
    <x v="6"/>
    <x v="6"/>
    <n v="46.7"/>
    <n v="56.1"/>
  </r>
  <r>
    <x v="4"/>
    <x v="15"/>
    <x v="7"/>
    <x v="7"/>
    <n v="54"/>
    <n v="40.9"/>
  </r>
  <r>
    <x v="4"/>
    <x v="15"/>
    <x v="8"/>
    <x v="8"/>
    <n v="110.6"/>
    <n v="6.7"/>
  </r>
  <r>
    <x v="4"/>
    <x v="15"/>
    <x v="9"/>
    <x v="9"/>
    <n v="168.4"/>
    <n v="0.7"/>
  </r>
  <r>
    <x v="4"/>
    <x v="15"/>
    <x v="10"/>
    <x v="10"/>
    <n v="175.6"/>
    <n v="1.4"/>
  </r>
  <r>
    <x v="4"/>
    <x v="15"/>
    <x v="11"/>
    <x v="11"/>
    <n v="214.7"/>
    <n v="0"/>
  </r>
  <r>
    <x v="5"/>
    <x v="15"/>
    <x v="0"/>
    <x v="0"/>
    <n v="339.9"/>
    <n v="0"/>
  </r>
  <r>
    <x v="5"/>
    <x v="15"/>
    <x v="1"/>
    <x v="1"/>
    <n v="345.9"/>
    <n v="0"/>
  </r>
  <r>
    <x v="5"/>
    <x v="15"/>
    <x v="2"/>
    <x v="2"/>
    <n v="296.89999999999998"/>
    <n v="0"/>
  </r>
  <r>
    <x v="5"/>
    <x v="15"/>
    <x v="3"/>
    <x v="3"/>
    <n v="183.4"/>
    <n v="7.2"/>
  </r>
  <r>
    <x v="5"/>
    <x v="15"/>
    <x v="4"/>
    <x v="4"/>
    <n v="162.80000000000001"/>
    <n v="2.8"/>
  </r>
  <r>
    <x v="5"/>
    <x v="15"/>
    <x v="5"/>
    <x v="5"/>
    <n v="87.2"/>
    <n v="29.6"/>
  </r>
  <r>
    <x v="5"/>
    <x v="15"/>
    <x v="6"/>
    <x v="6"/>
    <n v="46.9"/>
    <n v="40.1"/>
  </r>
  <r>
    <x v="5"/>
    <x v="15"/>
    <x v="7"/>
    <x v="7"/>
    <n v="60.5"/>
    <n v="33.9"/>
  </r>
  <r>
    <x v="5"/>
    <x v="15"/>
    <x v="8"/>
    <x v="8"/>
    <n v="110.9"/>
    <n v="9.3000000000000007"/>
  </r>
  <r>
    <x v="5"/>
    <x v="15"/>
    <x v="9"/>
    <x v="9"/>
    <n v="165"/>
    <n v="0.5"/>
  </r>
  <r>
    <x v="5"/>
    <x v="15"/>
    <x v="10"/>
    <x v="10"/>
    <n v="174.4"/>
    <n v="0.2"/>
  </r>
  <r>
    <x v="5"/>
    <x v="15"/>
    <x v="11"/>
    <x v="11"/>
    <n v="189.7"/>
    <n v="0"/>
  </r>
  <r>
    <x v="6"/>
    <x v="15"/>
    <x v="0"/>
    <x v="0"/>
    <n v="341.1"/>
    <n v="0"/>
  </r>
  <r>
    <x v="6"/>
    <x v="15"/>
    <x v="1"/>
    <x v="1"/>
    <n v="344"/>
    <n v="0"/>
  </r>
  <r>
    <x v="6"/>
    <x v="15"/>
    <x v="2"/>
    <x v="2"/>
    <n v="284.39999999999998"/>
    <n v="0"/>
  </r>
  <r>
    <x v="6"/>
    <x v="15"/>
    <x v="3"/>
    <x v="3"/>
    <n v="160.30000000000001"/>
    <n v="0"/>
  </r>
  <r>
    <x v="6"/>
    <x v="15"/>
    <x v="4"/>
    <x v="4"/>
    <n v="133.9"/>
    <n v="0"/>
  </r>
  <r>
    <x v="6"/>
    <x v="15"/>
    <x v="5"/>
    <x v="5"/>
    <n v="49"/>
    <n v="14.8"/>
  </r>
  <r>
    <x v="6"/>
    <x v="15"/>
    <x v="6"/>
    <x v="6"/>
    <n v="20.2"/>
    <n v="43.9"/>
  </r>
  <r>
    <x v="6"/>
    <x v="15"/>
    <x v="7"/>
    <x v="7"/>
    <n v="22.7"/>
    <n v="27.8"/>
  </r>
  <r>
    <x v="6"/>
    <x v="15"/>
    <x v="8"/>
    <x v="8"/>
    <n v="87.9"/>
    <n v="1.3"/>
  </r>
  <r>
    <x v="6"/>
    <x v="15"/>
    <x v="9"/>
    <x v="9"/>
    <n v="159.5"/>
    <n v="0"/>
  </r>
  <r>
    <x v="6"/>
    <x v="15"/>
    <x v="10"/>
    <x v="10"/>
    <n v="155.9"/>
    <n v="0"/>
  </r>
  <r>
    <x v="6"/>
    <x v="15"/>
    <x v="11"/>
    <x v="11"/>
    <n v="190"/>
    <n v="0"/>
  </r>
  <r>
    <x v="0"/>
    <x v="16"/>
    <x v="0"/>
    <x v="0"/>
    <n v="331.5"/>
    <n v="0"/>
  </r>
  <r>
    <x v="0"/>
    <x v="16"/>
    <x v="1"/>
    <x v="1"/>
    <n v="324"/>
    <n v="0"/>
  </r>
  <r>
    <x v="0"/>
    <x v="16"/>
    <x v="2"/>
    <x v="2"/>
    <n v="356.4"/>
    <n v="0"/>
  </r>
  <r>
    <x v="0"/>
    <x v="16"/>
    <x v="3"/>
    <x v="3"/>
    <n v="276.3"/>
    <n v="0"/>
  </r>
  <r>
    <x v="0"/>
    <x v="16"/>
    <x v="4"/>
    <x v="4"/>
    <n v="159.6"/>
    <n v="2.9"/>
  </r>
  <r>
    <x v="0"/>
    <x v="16"/>
    <x v="5"/>
    <x v="5"/>
    <n v="85.3"/>
    <n v="9.9"/>
  </r>
  <r>
    <x v="0"/>
    <x v="16"/>
    <x v="6"/>
    <x v="6"/>
    <n v="57.9"/>
    <n v="39.299999999999997"/>
  </r>
  <r>
    <x v="0"/>
    <x v="16"/>
    <x v="7"/>
    <x v="7"/>
    <n v="45.1"/>
    <n v="55.4"/>
  </r>
  <r>
    <x v="0"/>
    <x v="16"/>
    <x v="8"/>
    <x v="8"/>
    <n v="50.7"/>
    <n v="42.3"/>
  </r>
  <r>
    <x v="0"/>
    <x v="16"/>
    <x v="9"/>
    <x v="9"/>
    <n v="206.6"/>
    <n v="0.6"/>
  </r>
  <r>
    <x v="0"/>
    <x v="16"/>
    <x v="10"/>
    <x v="10"/>
    <n v="280"/>
    <n v="0"/>
  </r>
  <r>
    <x v="0"/>
    <x v="16"/>
    <x v="11"/>
    <x v="11"/>
    <n v="324.10000000000002"/>
    <n v="0"/>
  </r>
  <r>
    <x v="1"/>
    <x v="16"/>
    <x v="0"/>
    <x v="0"/>
    <n v="296.2"/>
    <n v="0"/>
  </r>
  <r>
    <x v="1"/>
    <x v="16"/>
    <x v="1"/>
    <x v="1"/>
    <n v="307.39999999999998"/>
    <n v="0"/>
  </r>
  <r>
    <x v="1"/>
    <x v="16"/>
    <x v="2"/>
    <x v="2"/>
    <n v="326.8"/>
    <n v="0"/>
  </r>
  <r>
    <x v="1"/>
    <x v="16"/>
    <x v="3"/>
    <x v="3"/>
    <n v="261.8"/>
    <n v="0.2"/>
  </r>
  <r>
    <x v="1"/>
    <x v="16"/>
    <x v="4"/>
    <x v="4"/>
    <n v="151.1"/>
    <n v="5"/>
  </r>
  <r>
    <x v="1"/>
    <x v="16"/>
    <x v="5"/>
    <x v="5"/>
    <n v="78.5"/>
    <n v="10.6"/>
  </r>
  <r>
    <x v="1"/>
    <x v="16"/>
    <x v="6"/>
    <x v="6"/>
    <n v="52.2"/>
    <n v="34.9"/>
  </r>
  <r>
    <x v="1"/>
    <x v="16"/>
    <x v="7"/>
    <x v="7"/>
    <n v="46.4"/>
    <n v="43.4"/>
  </r>
  <r>
    <x v="1"/>
    <x v="16"/>
    <x v="8"/>
    <x v="8"/>
    <n v="60.6"/>
    <n v="26.4"/>
  </r>
  <r>
    <x v="1"/>
    <x v="16"/>
    <x v="9"/>
    <x v="9"/>
    <n v="193.8"/>
    <n v="1.4"/>
  </r>
  <r>
    <x v="1"/>
    <x v="16"/>
    <x v="10"/>
    <x v="10"/>
    <n v="264.60000000000002"/>
    <n v="0.4"/>
  </r>
  <r>
    <x v="1"/>
    <x v="16"/>
    <x v="11"/>
    <x v="11"/>
    <n v="300.3"/>
    <n v="0"/>
  </r>
  <r>
    <x v="2"/>
    <x v="16"/>
    <x v="0"/>
    <x v="0"/>
    <n v="299.2"/>
    <n v="0"/>
  </r>
  <r>
    <x v="2"/>
    <x v="16"/>
    <x v="1"/>
    <x v="1"/>
    <n v="308.10000000000002"/>
    <n v="0"/>
  </r>
  <r>
    <x v="2"/>
    <x v="16"/>
    <x v="2"/>
    <x v="2"/>
    <n v="317.5"/>
    <n v="0"/>
  </r>
  <r>
    <x v="2"/>
    <x v="16"/>
    <x v="3"/>
    <x v="3"/>
    <n v="258.39999999999998"/>
    <n v="0.2"/>
  </r>
  <r>
    <x v="2"/>
    <x v="16"/>
    <x v="4"/>
    <x v="4"/>
    <n v="141.19999999999999"/>
    <n v="7"/>
  </r>
  <r>
    <x v="2"/>
    <x v="16"/>
    <x v="5"/>
    <x v="5"/>
    <n v="74.7"/>
    <n v="13.6"/>
  </r>
  <r>
    <x v="2"/>
    <x v="16"/>
    <x v="6"/>
    <x v="6"/>
    <n v="48.9"/>
    <n v="40.799999999999997"/>
  </r>
  <r>
    <x v="2"/>
    <x v="16"/>
    <x v="7"/>
    <x v="7"/>
    <n v="43.2"/>
    <n v="56.2"/>
  </r>
  <r>
    <x v="2"/>
    <x v="16"/>
    <x v="8"/>
    <x v="8"/>
    <n v="56.8"/>
    <n v="30.1"/>
  </r>
  <r>
    <x v="2"/>
    <x v="16"/>
    <x v="9"/>
    <x v="9"/>
    <n v="193.8"/>
    <n v="0.3"/>
  </r>
  <r>
    <x v="2"/>
    <x v="16"/>
    <x v="10"/>
    <x v="10"/>
    <n v="262"/>
    <n v="0.1"/>
  </r>
  <r>
    <x v="2"/>
    <x v="16"/>
    <x v="11"/>
    <x v="11"/>
    <n v="295.3"/>
    <n v="0"/>
  </r>
  <r>
    <x v="3"/>
    <x v="16"/>
    <x v="0"/>
    <x v="0"/>
    <n v="336.3"/>
    <n v="0"/>
  </r>
  <r>
    <x v="3"/>
    <x v="16"/>
    <x v="1"/>
    <x v="1"/>
    <n v="315"/>
    <n v="0"/>
  </r>
  <r>
    <x v="3"/>
    <x v="16"/>
    <x v="2"/>
    <x v="2"/>
    <n v="330.4"/>
    <n v="0"/>
  </r>
  <r>
    <x v="3"/>
    <x v="16"/>
    <x v="3"/>
    <x v="3"/>
    <n v="259.10000000000002"/>
    <n v="0"/>
  </r>
  <r>
    <x v="3"/>
    <x v="16"/>
    <x v="4"/>
    <x v="4"/>
    <n v="128.19999999999999"/>
    <n v="12.4"/>
  </r>
  <r>
    <x v="3"/>
    <x v="16"/>
    <x v="5"/>
    <x v="5"/>
    <n v="63.9"/>
    <n v="28"/>
  </r>
  <r>
    <x v="3"/>
    <x v="16"/>
    <x v="6"/>
    <x v="6"/>
    <n v="48.4"/>
    <n v="74.099999999999994"/>
  </r>
  <r>
    <x v="3"/>
    <x v="16"/>
    <x v="7"/>
    <x v="7"/>
    <n v="40"/>
    <n v="101.7"/>
  </r>
  <r>
    <x v="3"/>
    <x v="16"/>
    <x v="8"/>
    <x v="8"/>
    <n v="41.9"/>
    <n v="71.099999999999994"/>
  </r>
  <r>
    <x v="3"/>
    <x v="16"/>
    <x v="9"/>
    <x v="9"/>
    <n v="203.7"/>
    <n v="2.2999999999999998"/>
  </r>
  <r>
    <x v="3"/>
    <x v="16"/>
    <x v="10"/>
    <x v="10"/>
    <n v="286.10000000000002"/>
    <n v="0"/>
  </r>
  <r>
    <x v="3"/>
    <x v="16"/>
    <x v="11"/>
    <x v="11"/>
    <n v="379.9"/>
    <n v="0"/>
  </r>
  <r>
    <x v="4"/>
    <x v="16"/>
    <x v="0"/>
    <x v="0"/>
    <n v="332.8"/>
    <n v="0"/>
  </r>
  <r>
    <x v="4"/>
    <x v="16"/>
    <x v="1"/>
    <x v="1"/>
    <n v="311.8"/>
    <n v="0"/>
  </r>
  <r>
    <x v="4"/>
    <x v="16"/>
    <x v="2"/>
    <x v="2"/>
    <n v="340.4"/>
    <n v="0"/>
  </r>
  <r>
    <x v="4"/>
    <x v="16"/>
    <x v="3"/>
    <x v="3"/>
    <n v="265.89999999999998"/>
    <n v="0.1"/>
  </r>
  <r>
    <x v="4"/>
    <x v="16"/>
    <x v="4"/>
    <x v="4"/>
    <n v="142.1"/>
    <n v="6.5"/>
  </r>
  <r>
    <x v="4"/>
    <x v="16"/>
    <x v="5"/>
    <x v="5"/>
    <n v="76.7"/>
    <n v="14.3"/>
  </r>
  <r>
    <x v="4"/>
    <x v="16"/>
    <x v="6"/>
    <x v="6"/>
    <n v="52.4"/>
    <n v="45.2"/>
  </r>
  <r>
    <x v="4"/>
    <x v="16"/>
    <x v="7"/>
    <x v="7"/>
    <n v="36.6"/>
    <n v="62.8"/>
  </r>
  <r>
    <x v="4"/>
    <x v="16"/>
    <x v="8"/>
    <x v="8"/>
    <n v="42.6"/>
    <n v="48.3"/>
  </r>
  <r>
    <x v="4"/>
    <x v="16"/>
    <x v="9"/>
    <x v="9"/>
    <n v="201.8"/>
    <n v="1.8"/>
  </r>
  <r>
    <x v="4"/>
    <x v="16"/>
    <x v="10"/>
    <x v="10"/>
    <n v="274"/>
    <n v="0"/>
  </r>
  <r>
    <x v="4"/>
    <x v="16"/>
    <x v="11"/>
    <x v="11"/>
    <n v="352"/>
    <n v="0"/>
  </r>
  <r>
    <x v="5"/>
    <x v="16"/>
    <x v="0"/>
    <x v="0"/>
    <n v="293.3"/>
    <n v="0"/>
  </r>
  <r>
    <x v="5"/>
    <x v="16"/>
    <x v="1"/>
    <x v="1"/>
    <n v="305.7"/>
    <n v="0"/>
  </r>
  <r>
    <x v="5"/>
    <x v="16"/>
    <x v="2"/>
    <x v="2"/>
    <n v="318.10000000000002"/>
    <n v="0"/>
  </r>
  <r>
    <x v="5"/>
    <x v="16"/>
    <x v="3"/>
    <x v="3"/>
    <n v="258.5"/>
    <n v="0.1"/>
  </r>
  <r>
    <x v="5"/>
    <x v="16"/>
    <x v="4"/>
    <x v="4"/>
    <n v="132.9"/>
    <n v="9.1"/>
  </r>
  <r>
    <x v="5"/>
    <x v="16"/>
    <x v="5"/>
    <x v="5"/>
    <n v="68.8"/>
    <n v="18.100000000000001"/>
  </r>
  <r>
    <x v="5"/>
    <x v="16"/>
    <x v="6"/>
    <x v="6"/>
    <n v="47.8"/>
    <n v="49.4"/>
  </r>
  <r>
    <x v="5"/>
    <x v="16"/>
    <x v="7"/>
    <x v="7"/>
    <n v="41.8"/>
    <n v="67.8"/>
  </r>
  <r>
    <x v="5"/>
    <x v="16"/>
    <x v="8"/>
    <x v="8"/>
    <n v="53.5"/>
    <n v="39.1"/>
  </r>
  <r>
    <x v="5"/>
    <x v="16"/>
    <x v="9"/>
    <x v="9"/>
    <n v="188.3"/>
    <n v="1.3"/>
  </r>
  <r>
    <x v="5"/>
    <x v="16"/>
    <x v="10"/>
    <x v="10"/>
    <n v="261.10000000000002"/>
    <n v="0"/>
  </r>
  <r>
    <x v="5"/>
    <x v="16"/>
    <x v="11"/>
    <x v="11"/>
    <n v="317.7"/>
    <n v="0"/>
  </r>
  <r>
    <x v="6"/>
    <x v="16"/>
    <x v="0"/>
    <x v="0"/>
    <n v="314.5"/>
    <n v="0"/>
  </r>
  <r>
    <x v="6"/>
    <x v="16"/>
    <x v="1"/>
    <x v="1"/>
    <n v="295.39999999999998"/>
    <n v="0"/>
  </r>
  <r>
    <x v="6"/>
    <x v="16"/>
    <x v="2"/>
    <x v="2"/>
    <n v="304.39999999999998"/>
    <n v="0"/>
  </r>
  <r>
    <x v="6"/>
    <x v="16"/>
    <x v="3"/>
    <x v="3"/>
    <n v="252.2"/>
    <n v="0"/>
  </r>
  <r>
    <x v="6"/>
    <x v="16"/>
    <x v="4"/>
    <x v="4"/>
    <n v="105.2"/>
    <n v="0"/>
  </r>
  <r>
    <x v="6"/>
    <x v="16"/>
    <x v="5"/>
    <x v="5"/>
    <n v="45.5"/>
    <n v="12.3"/>
  </r>
  <r>
    <x v="6"/>
    <x v="16"/>
    <x v="6"/>
    <x v="6"/>
    <n v="17.5"/>
    <n v="47.8"/>
  </r>
  <r>
    <x v="6"/>
    <x v="16"/>
    <x v="7"/>
    <x v="7"/>
    <n v="14"/>
    <n v="62.1"/>
  </r>
  <r>
    <x v="6"/>
    <x v="16"/>
    <x v="8"/>
    <x v="8"/>
    <n v="23.2"/>
    <n v="29.2"/>
  </r>
  <r>
    <x v="6"/>
    <x v="16"/>
    <x v="9"/>
    <x v="9"/>
    <n v="180.4"/>
    <n v="0"/>
  </r>
  <r>
    <x v="6"/>
    <x v="16"/>
    <x v="10"/>
    <x v="10"/>
    <n v="261.60000000000002"/>
    <n v="0"/>
  </r>
  <r>
    <x v="6"/>
    <x v="16"/>
    <x v="11"/>
    <x v="11"/>
    <n v="333.6"/>
    <n v="0"/>
  </r>
  <r>
    <x v="0"/>
    <x v="17"/>
    <x v="0"/>
    <x v="0"/>
    <n v="401.6"/>
    <n v="0"/>
  </r>
  <r>
    <x v="0"/>
    <x v="17"/>
    <x v="1"/>
    <x v="1"/>
    <n v="284.89999999999998"/>
    <n v="0"/>
  </r>
  <r>
    <x v="0"/>
    <x v="17"/>
    <x v="2"/>
    <x v="2"/>
    <n v="247.2"/>
    <n v="1.1000000000000001"/>
  </r>
  <r>
    <x v="0"/>
    <x v="17"/>
    <x v="3"/>
    <x v="3"/>
    <n v="257.7"/>
    <n v="1.7"/>
  </r>
  <r>
    <x v="0"/>
    <x v="17"/>
    <x v="4"/>
    <x v="4"/>
    <n v="132.69999999999999"/>
    <n v="16.100000000000001"/>
  </r>
  <r>
    <x v="0"/>
    <x v="17"/>
    <x v="5"/>
    <x v="5"/>
    <n v="71.3"/>
    <n v="37"/>
  </r>
  <r>
    <x v="0"/>
    <x v="17"/>
    <x v="6"/>
    <x v="6"/>
    <n v="47.1"/>
    <n v="33.700000000000003"/>
  </r>
  <r>
    <x v="0"/>
    <x v="17"/>
    <x v="7"/>
    <x v="7"/>
    <n v="63.6"/>
    <n v="28.1"/>
  </r>
  <r>
    <x v="0"/>
    <x v="17"/>
    <x v="8"/>
    <x v="8"/>
    <n v="108.3"/>
    <n v="4.8"/>
  </r>
  <r>
    <x v="0"/>
    <x v="17"/>
    <x v="9"/>
    <x v="9"/>
    <n v="131.80000000000001"/>
    <n v="3.8"/>
  </r>
  <r>
    <x v="0"/>
    <x v="17"/>
    <x v="10"/>
    <x v="10"/>
    <n v="275.5"/>
    <n v="0"/>
  </r>
  <r>
    <x v="0"/>
    <x v="17"/>
    <x v="11"/>
    <x v="11"/>
    <n v="327.60000000000002"/>
    <n v="0"/>
  </r>
  <r>
    <x v="1"/>
    <x v="17"/>
    <x v="0"/>
    <x v="0"/>
    <n v="375.5"/>
    <n v="0"/>
  </r>
  <r>
    <x v="1"/>
    <x v="17"/>
    <x v="1"/>
    <x v="1"/>
    <n v="281.5"/>
    <n v="0"/>
  </r>
  <r>
    <x v="1"/>
    <x v="17"/>
    <x v="2"/>
    <x v="2"/>
    <n v="245.6"/>
    <n v="0.6"/>
  </r>
  <r>
    <x v="1"/>
    <x v="17"/>
    <x v="3"/>
    <x v="3"/>
    <n v="249.5"/>
    <n v="1.7"/>
  </r>
  <r>
    <x v="1"/>
    <x v="17"/>
    <x v="4"/>
    <x v="4"/>
    <n v="124.3"/>
    <n v="17.600000000000001"/>
  </r>
  <r>
    <x v="1"/>
    <x v="17"/>
    <x v="5"/>
    <x v="5"/>
    <n v="76.400000000000006"/>
    <n v="34.200000000000003"/>
  </r>
  <r>
    <x v="1"/>
    <x v="17"/>
    <x v="6"/>
    <x v="6"/>
    <n v="60.1"/>
    <n v="27.9"/>
  </r>
  <r>
    <x v="1"/>
    <x v="17"/>
    <x v="7"/>
    <x v="7"/>
    <n v="74.8"/>
    <n v="22.3"/>
  </r>
  <r>
    <x v="1"/>
    <x v="17"/>
    <x v="8"/>
    <x v="8"/>
    <n v="118.7"/>
    <n v="0.9"/>
  </r>
  <r>
    <x v="1"/>
    <x v="17"/>
    <x v="9"/>
    <x v="9"/>
    <n v="149.19999999999999"/>
    <n v="3.2"/>
  </r>
  <r>
    <x v="1"/>
    <x v="17"/>
    <x v="10"/>
    <x v="10"/>
    <n v="261.60000000000002"/>
    <n v="0"/>
  </r>
  <r>
    <x v="1"/>
    <x v="17"/>
    <x v="11"/>
    <x v="11"/>
    <n v="300"/>
    <n v="0"/>
  </r>
  <r>
    <x v="2"/>
    <x v="17"/>
    <x v="0"/>
    <x v="0"/>
    <n v="390.2"/>
    <n v="0"/>
  </r>
  <r>
    <x v="2"/>
    <x v="17"/>
    <x v="1"/>
    <x v="1"/>
    <n v="280.5"/>
    <n v="0"/>
  </r>
  <r>
    <x v="2"/>
    <x v="17"/>
    <x v="2"/>
    <x v="2"/>
    <n v="236.2"/>
    <n v="0.1"/>
  </r>
  <r>
    <x v="2"/>
    <x v="17"/>
    <x v="3"/>
    <x v="3"/>
    <n v="224.2"/>
    <n v="1.3"/>
  </r>
  <r>
    <x v="2"/>
    <x v="17"/>
    <x v="4"/>
    <x v="4"/>
    <n v="122.4"/>
    <n v="16.899999999999999"/>
  </r>
  <r>
    <x v="2"/>
    <x v="17"/>
    <x v="5"/>
    <x v="5"/>
    <n v="70"/>
    <n v="44.8"/>
  </r>
  <r>
    <x v="2"/>
    <x v="17"/>
    <x v="6"/>
    <x v="6"/>
    <n v="46.5"/>
    <n v="47.6"/>
  </r>
  <r>
    <x v="2"/>
    <x v="17"/>
    <x v="7"/>
    <x v="7"/>
    <n v="59.5"/>
    <n v="42.3"/>
  </r>
  <r>
    <x v="2"/>
    <x v="17"/>
    <x v="8"/>
    <x v="8"/>
    <n v="114.2"/>
    <n v="2.8"/>
  </r>
  <r>
    <x v="2"/>
    <x v="17"/>
    <x v="9"/>
    <x v="9"/>
    <n v="132.30000000000001"/>
    <n v="1.9"/>
  </r>
  <r>
    <x v="2"/>
    <x v="17"/>
    <x v="10"/>
    <x v="10"/>
    <n v="264.60000000000002"/>
    <n v="0"/>
  </r>
  <r>
    <x v="2"/>
    <x v="17"/>
    <x v="11"/>
    <x v="11"/>
    <n v="308.10000000000002"/>
    <n v="0"/>
  </r>
  <r>
    <x v="3"/>
    <x v="17"/>
    <x v="0"/>
    <x v="0"/>
    <n v="446.4"/>
    <n v="0"/>
  </r>
  <r>
    <x v="3"/>
    <x v="17"/>
    <x v="1"/>
    <x v="1"/>
    <n v="284.39999999999998"/>
    <n v="0"/>
  </r>
  <r>
    <x v="3"/>
    <x v="17"/>
    <x v="2"/>
    <x v="2"/>
    <n v="233.1"/>
    <n v="2.5"/>
  </r>
  <r>
    <x v="3"/>
    <x v="17"/>
    <x v="3"/>
    <x v="3"/>
    <n v="237.1"/>
    <n v="3.8"/>
  </r>
  <r>
    <x v="3"/>
    <x v="17"/>
    <x v="4"/>
    <x v="4"/>
    <n v="111.2"/>
    <n v="32.9"/>
  </r>
  <r>
    <x v="3"/>
    <x v="17"/>
    <x v="5"/>
    <x v="5"/>
    <n v="51.5"/>
    <n v="79"/>
  </r>
  <r>
    <x v="3"/>
    <x v="17"/>
    <x v="6"/>
    <x v="6"/>
    <n v="31.8"/>
    <n v="88.3"/>
  </r>
  <r>
    <x v="3"/>
    <x v="17"/>
    <x v="7"/>
    <x v="7"/>
    <n v="43.4"/>
    <n v="74.400000000000006"/>
  </r>
  <r>
    <x v="3"/>
    <x v="17"/>
    <x v="8"/>
    <x v="8"/>
    <n v="102.2"/>
    <n v="12"/>
  </r>
  <r>
    <x v="3"/>
    <x v="17"/>
    <x v="9"/>
    <x v="9"/>
    <n v="125.8"/>
    <n v="7.2"/>
  </r>
  <r>
    <x v="3"/>
    <x v="17"/>
    <x v="10"/>
    <x v="10"/>
    <n v="290.8"/>
    <n v="0"/>
  </r>
  <r>
    <x v="3"/>
    <x v="17"/>
    <x v="11"/>
    <x v="11"/>
    <n v="340"/>
    <n v="0"/>
  </r>
  <r>
    <x v="4"/>
    <x v="17"/>
    <x v="0"/>
    <x v="0"/>
    <n v="416.4"/>
    <n v="0"/>
  </r>
  <r>
    <x v="4"/>
    <x v="17"/>
    <x v="1"/>
    <x v="1"/>
    <n v="276.60000000000002"/>
    <n v="0"/>
  </r>
  <r>
    <x v="4"/>
    <x v="17"/>
    <x v="2"/>
    <x v="2"/>
    <n v="232.6"/>
    <n v="1.9"/>
  </r>
  <r>
    <x v="4"/>
    <x v="17"/>
    <x v="3"/>
    <x v="3"/>
    <n v="242.8"/>
    <n v="2.7"/>
  </r>
  <r>
    <x v="4"/>
    <x v="17"/>
    <x v="4"/>
    <x v="4"/>
    <n v="119.6"/>
    <n v="21.3"/>
  </r>
  <r>
    <x v="4"/>
    <x v="17"/>
    <x v="5"/>
    <x v="5"/>
    <n v="58.8"/>
    <n v="47.1"/>
  </r>
  <r>
    <x v="4"/>
    <x v="17"/>
    <x v="6"/>
    <x v="6"/>
    <n v="35.4"/>
    <n v="46.7"/>
  </r>
  <r>
    <x v="4"/>
    <x v="17"/>
    <x v="7"/>
    <x v="7"/>
    <n v="52.8"/>
    <n v="39.799999999999997"/>
  </r>
  <r>
    <x v="4"/>
    <x v="17"/>
    <x v="8"/>
    <x v="8"/>
    <n v="99.6"/>
    <n v="6.4"/>
  </r>
  <r>
    <x v="4"/>
    <x v="17"/>
    <x v="9"/>
    <x v="9"/>
    <n v="129.1"/>
    <n v="2.9"/>
  </r>
  <r>
    <x v="4"/>
    <x v="17"/>
    <x v="10"/>
    <x v="10"/>
    <n v="268.3"/>
    <n v="0"/>
  </r>
  <r>
    <x v="4"/>
    <x v="17"/>
    <x v="11"/>
    <x v="11"/>
    <n v="323.39999999999998"/>
    <n v="0"/>
  </r>
  <r>
    <x v="5"/>
    <x v="17"/>
    <x v="0"/>
    <x v="0"/>
    <n v="407.8"/>
    <n v="0"/>
  </r>
  <r>
    <x v="5"/>
    <x v="17"/>
    <x v="1"/>
    <x v="1"/>
    <n v="280"/>
    <n v="0"/>
  </r>
  <r>
    <x v="5"/>
    <x v="17"/>
    <x v="2"/>
    <x v="2"/>
    <n v="235"/>
    <n v="0.1"/>
  </r>
  <r>
    <x v="5"/>
    <x v="17"/>
    <x v="3"/>
    <x v="3"/>
    <n v="225.8"/>
    <n v="1.1000000000000001"/>
  </r>
  <r>
    <x v="5"/>
    <x v="17"/>
    <x v="4"/>
    <x v="4"/>
    <n v="111.5"/>
    <n v="23"/>
  </r>
  <r>
    <x v="5"/>
    <x v="17"/>
    <x v="5"/>
    <x v="5"/>
    <n v="59.1"/>
    <n v="47.9"/>
  </r>
  <r>
    <x v="5"/>
    <x v="17"/>
    <x v="6"/>
    <x v="6"/>
    <n v="37.9"/>
    <n v="60"/>
  </r>
  <r>
    <x v="5"/>
    <x v="17"/>
    <x v="7"/>
    <x v="7"/>
    <n v="53.3"/>
    <n v="55.3"/>
  </r>
  <r>
    <x v="5"/>
    <x v="17"/>
    <x v="8"/>
    <x v="8"/>
    <n v="109.4"/>
    <n v="4.9000000000000004"/>
  </r>
  <r>
    <x v="5"/>
    <x v="17"/>
    <x v="9"/>
    <x v="9"/>
    <n v="122.2"/>
    <n v="2.7"/>
  </r>
  <r>
    <x v="5"/>
    <x v="17"/>
    <x v="10"/>
    <x v="10"/>
    <n v="273.7"/>
    <n v="0.1"/>
  </r>
  <r>
    <x v="5"/>
    <x v="17"/>
    <x v="11"/>
    <x v="11"/>
    <n v="313.7"/>
    <n v="0"/>
  </r>
  <r>
    <x v="6"/>
    <x v="17"/>
    <x v="0"/>
    <x v="0"/>
    <n v="424.6"/>
    <n v="0"/>
  </r>
  <r>
    <x v="6"/>
    <x v="17"/>
    <x v="1"/>
    <x v="1"/>
    <n v="275.5"/>
    <n v="0"/>
  </r>
  <r>
    <x v="6"/>
    <x v="17"/>
    <x v="2"/>
    <x v="2"/>
    <n v="218.4"/>
    <n v="0"/>
  </r>
  <r>
    <x v="6"/>
    <x v="17"/>
    <x v="3"/>
    <x v="3"/>
    <n v="206.4"/>
    <n v="0"/>
  </r>
  <r>
    <x v="6"/>
    <x v="17"/>
    <x v="4"/>
    <x v="4"/>
    <n v="83.9"/>
    <n v="18.899999999999999"/>
  </r>
  <r>
    <x v="6"/>
    <x v="17"/>
    <x v="5"/>
    <x v="5"/>
    <n v="25.6"/>
    <n v="45.7"/>
  </r>
  <r>
    <x v="6"/>
    <x v="17"/>
    <x v="6"/>
    <x v="6"/>
    <n v="5.5"/>
    <n v="58"/>
  </r>
  <r>
    <x v="6"/>
    <x v="17"/>
    <x v="7"/>
    <x v="7"/>
    <n v="25.1"/>
    <n v="54.6"/>
  </r>
  <r>
    <x v="6"/>
    <x v="17"/>
    <x v="8"/>
    <x v="8"/>
    <n v="92"/>
    <n v="2.9"/>
  </r>
  <r>
    <x v="6"/>
    <x v="17"/>
    <x v="9"/>
    <x v="9"/>
    <n v="96.8"/>
    <n v="0.3"/>
  </r>
  <r>
    <x v="6"/>
    <x v="17"/>
    <x v="10"/>
    <x v="10"/>
    <n v="273.7"/>
    <n v="0"/>
  </r>
  <r>
    <x v="6"/>
    <x v="17"/>
    <x v="11"/>
    <x v="11"/>
    <n v="315.3"/>
    <n v="0"/>
  </r>
  <r>
    <x v="0"/>
    <x v="18"/>
    <x v="0"/>
    <x v="0"/>
    <n v="297.7"/>
    <n v="0"/>
  </r>
  <r>
    <x v="0"/>
    <x v="18"/>
    <x v="1"/>
    <x v="1"/>
    <n v="386.8"/>
    <n v="0"/>
  </r>
  <r>
    <x v="0"/>
    <x v="18"/>
    <x v="2"/>
    <x v="2"/>
    <n v="334.5"/>
    <n v="0"/>
  </r>
  <r>
    <x v="0"/>
    <x v="18"/>
    <x v="3"/>
    <x v="3"/>
    <n v="197.5"/>
    <n v="6.7"/>
  </r>
  <r>
    <x v="0"/>
    <x v="18"/>
    <x v="4"/>
    <x v="4"/>
    <n v="157.5"/>
    <n v="6.4"/>
  </r>
  <r>
    <x v="0"/>
    <x v="18"/>
    <x v="5"/>
    <x v="5"/>
    <n v="74.900000000000006"/>
    <n v="14.8"/>
  </r>
  <r>
    <x v="0"/>
    <x v="18"/>
    <x v="6"/>
    <x v="6"/>
    <n v="31.5"/>
    <n v="54.5"/>
  </r>
  <r>
    <x v="0"/>
    <x v="18"/>
    <x v="7"/>
    <x v="7"/>
    <n v="45.1"/>
    <n v="41.7"/>
  </r>
  <r>
    <x v="0"/>
    <x v="18"/>
    <x v="8"/>
    <x v="8"/>
    <n v="85.9"/>
    <n v="29"/>
  </r>
  <r>
    <x v="0"/>
    <x v="18"/>
    <x v="9"/>
    <x v="9"/>
    <n v="174.6"/>
    <n v="7.5"/>
  </r>
  <r>
    <x v="0"/>
    <x v="18"/>
    <x v="10"/>
    <x v="10"/>
    <n v="272.60000000000002"/>
    <n v="0"/>
  </r>
  <r>
    <x v="0"/>
    <x v="18"/>
    <x v="11"/>
    <x v="11"/>
    <n v="283.60000000000002"/>
    <n v="0"/>
  </r>
  <r>
    <x v="1"/>
    <x v="18"/>
    <x v="0"/>
    <x v="0"/>
    <n v="298.39999999999998"/>
    <n v="0"/>
  </r>
  <r>
    <x v="1"/>
    <x v="18"/>
    <x v="1"/>
    <x v="1"/>
    <n v="370.7"/>
    <n v="0"/>
  </r>
  <r>
    <x v="1"/>
    <x v="18"/>
    <x v="2"/>
    <x v="2"/>
    <n v="339"/>
    <n v="0"/>
  </r>
  <r>
    <x v="1"/>
    <x v="18"/>
    <x v="3"/>
    <x v="3"/>
    <n v="216.9"/>
    <n v="4"/>
  </r>
  <r>
    <x v="1"/>
    <x v="18"/>
    <x v="4"/>
    <x v="4"/>
    <n v="163.5"/>
    <n v="10.1"/>
  </r>
  <r>
    <x v="1"/>
    <x v="18"/>
    <x v="5"/>
    <x v="5"/>
    <n v="66"/>
    <n v="34.700000000000003"/>
  </r>
  <r>
    <x v="1"/>
    <x v="18"/>
    <x v="6"/>
    <x v="6"/>
    <n v="39.1"/>
    <n v="56.6"/>
  </r>
  <r>
    <x v="1"/>
    <x v="18"/>
    <x v="7"/>
    <x v="7"/>
    <n v="63"/>
    <n v="29.2"/>
  </r>
  <r>
    <x v="1"/>
    <x v="18"/>
    <x v="8"/>
    <x v="8"/>
    <n v="97"/>
    <n v="17.600000000000001"/>
  </r>
  <r>
    <x v="1"/>
    <x v="18"/>
    <x v="9"/>
    <x v="9"/>
    <n v="183.8"/>
    <n v="5.2"/>
  </r>
  <r>
    <x v="1"/>
    <x v="18"/>
    <x v="10"/>
    <x v="10"/>
    <n v="254.8"/>
    <n v="0"/>
  </r>
  <r>
    <x v="1"/>
    <x v="18"/>
    <x v="11"/>
    <x v="11"/>
    <n v="262.8"/>
    <n v="0"/>
  </r>
  <r>
    <x v="2"/>
    <x v="18"/>
    <x v="0"/>
    <x v="0"/>
    <n v="290.2"/>
    <n v="0"/>
  </r>
  <r>
    <x v="2"/>
    <x v="18"/>
    <x v="1"/>
    <x v="1"/>
    <n v="363.8"/>
    <n v="0"/>
  </r>
  <r>
    <x v="2"/>
    <x v="18"/>
    <x v="2"/>
    <x v="2"/>
    <n v="326.89999999999998"/>
    <n v="0"/>
  </r>
  <r>
    <x v="2"/>
    <x v="18"/>
    <x v="3"/>
    <x v="3"/>
    <n v="190.7"/>
    <n v="7"/>
  </r>
  <r>
    <x v="2"/>
    <x v="18"/>
    <x v="4"/>
    <x v="4"/>
    <n v="128.80000000000001"/>
    <n v="21.2"/>
  </r>
  <r>
    <x v="2"/>
    <x v="18"/>
    <x v="5"/>
    <x v="5"/>
    <n v="44.1"/>
    <n v="53.7"/>
  </r>
  <r>
    <x v="2"/>
    <x v="18"/>
    <x v="6"/>
    <x v="6"/>
    <n v="26.5"/>
    <n v="75.400000000000006"/>
  </r>
  <r>
    <x v="2"/>
    <x v="18"/>
    <x v="7"/>
    <x v="7"/>
    <n v="44.7"/>
    <n v="52.1"/>
  </r>
  <r>
    <x v="2"/>
    <x v="18"/>
    <x v="8"/>
    <x v="8"/>
    <n v="78"/>
    <n v="27.6"/>
  </r>
  <r>
    <x v="2"/>
    <x v="18"/>
    <x v="9"/>
    <x v="9"/>
    <n v="172.8"/>
    <n v="7.2"/>
  </r>
  <r>
    <x v="2"/>
    <x v="18"/>
    <x v="10"/>
    <x v="10"/>
    <n v="247.6"/>
    <n v="0"/>
  </r>
  <r>
    <x v="2"/>
    <x v="18"/>
    <x v="11"/>
    <x v="11"/>
    <n v="260.60000000000002"/>
    <n v="0"/>
  </r>
  <r>
    <x v="3"/>
    <x v="18"/>
    <x v="0"/>
    <x v="0"/>
    <n v="295.8"/>
    <n v="0"/>
  </r>
  <r>
    <x v="3"/>
    <x v="18"/>
    <x v="1"/>
    <x v="1"/>
    <n v="393.1"/>
    <n v="0"/>
  </r>
  <r>
    <x v="3"/>
    <x v="18"/>
    <x v="2"/>
    <x v="2"/>
    <n v="316.7"/>
    <n v="0"/>
  </r>
  <r>
    <x v="3"/>
    <x v="18"/>
    <x v="3"/>
    <x v="3"/>
    <n v="177.4"/>
    <n v="12.3"/>
  </r>
  <r>
    <x v="3"/>
    <x v="18"/>
    <x v="4"/>
    <x v="4"/>
    <n v="129.9"/>
    <n v="33.200000000000003"/>
  </r>
  <r>
    <x v="3"/>
    <x v="18"/>
    <x v="5"/>
    <x v="5"/>
    <n v="39.299999999999997"/>
    <n v="67.2"/>
  </r>
  <r>
    <x v="3"/>
    <x v="18"/>
    <x v="6"/>
    <x v="6"/>
    <n v="21.8"/>
    <n v="116.7"/>
  </r>
  <r>
    <x v="3"/>
    <x v="18"/>
    <x v="7"/>
    <x v="7"/>
    <n v="42.7"/>
    <n v="86.1"/>
  </r>
  <r>
    <x v="3"/>
    <x v="18"/>
    <x v="8"/>
    <x v="8"/>
    <n v="82.1"/>
    <n v="46.8"/>
  </r>
  <r>
    <x v="3"/>
    <x v="18"/>
    <x v="9"/>
    <x v="9"/>
    <n v="161.30000000000001"/>
    <n v="15.5"/>
  </r>
  <r>
    <x v="3"/>
    <x v="18"/>
    <x v="10"/>
    <x v="10"/>
    <n v="275"/>
    <n v="0"/>
  </r>
  <r>
    <x v="3"/>
    <x v="18"/>
    <x v="11"/>
    <x v="11"/>
    <n v="292.89999999999998"/>
    <n v="0"/>
  </r>
  <r>
    <x v="4"/>
    <x v="18"/>
    <x v="0"/>
    <x v="0"/>
    <n v="295.39999999999998"/>
    <n v="0"/>
  </r>
  <r>
    <x v="4"/>
    <x v="18"/>
    <x v="1"/>
    <x v="1"/>
    <n v="374.4"/>
    <n v="0"/>
  </r>
  <r>
    <x v="4"/>
    <x v="18"/>
    <x v="2"/>
    <x v="2"/>
    <n v="318.39999999999998"/>
    <n v="0"/>
  </r>
  <r>
    <x v="4"/>
    <x v="18"/>
    <x v="3"/>
    <x v="3"/>
    <n v="185.1"/>
    <n v="8.1"/>
  </r>
  <r>
    <x v="4"/>
    <x v="18"/>
    <x v="4"/>
    <x v="4"/>
    <n v="146.19999999999999"/>
    <n v="10.9"/>
  </r>
  <r>
    <x v="4"/>
    <x v="18"/>
    <x v="5"/>
    <x v="5"/>
    <n v="54.4"/>
    <n v="31.4"/>
  </r>
  <r>
    <x v="4"/>
    <x v="18"/>
    <x v="6"/>
    <x v="6"/>
    <n v="24.8"/>
    <n v="66.099999999999994"/>
  </r>
  <r>
    <x v="4"/>
    <x v="18"/>
    <x v="7"/>
    <x v="7"/>
    <n v="40.4"/>
    <n v="41.2"/>
  </r>
  <r>
    <x v="4"/>
    <x v="18"/>
    <x v="8"/>
    <x v="8"/>
    <n v="78.400000000000006"/>
    <n v="30"/>
  </r>
  <r>
    <x v="4"/>
    <x v="18"/>
    <x v="9"/>
    <x v="9"/>
    <n v="161.6"/>
    <n v="9.3000000000000007"/>
  </r>
  <r>
    <x v="4"/>
    <x v="18"/>
    <x v="10"/>
    <x v="10"/>
    <n v="267.5"/>
    <n v="0"/>
  </r>
  <r>
    <x v="4"/>
    <x v="18"/>
    <x v="11"/>
    <x v="11"/>
    <n v="288.60000000000002"/>
    <n v="0"/>
  </r>
  <r>
    <x v="5"/>
    <x v="18"/>
    <x v="0"/>
    <x v="0"/>
    <n v="288.8"/>
    <n v="0"/>
  </r>
  <r>
    <x v="5"/>
    <x v="18"/>
    <x v="1"/>
    <x v="1"/>
    <n v="366.2"/>
    <n v="0"/>
  </r>
  <r>
    <x v="5"/>
    <x v="18"/>
    <x v="2"/>
    <x v="2"/>
    <n v="319.7"/>
    <n v="0"/>
  </r>
  <r>
    <x v="5"/>
    <x v="18"/>
    <x v="3"/>
    <x v="3"/>
    <n v="185.4"/>
    <n v="6.3"/>
  </r>
  <r>
    <x v="5"/>
    <x v="18"/>
    <x v="4"/>
    <x v="4"/>
    <n v="125.1"/>
    <n v="25"/>
  </r>
  <r>
    <x v="5"/>
    <x v="18"/>
    <x v="5"/>
    <x v="5"/>
    <n v="38.5"/>
    <n v="59.6"/>
  </r>
  <r>
    <x v="5"/>
    <x v="18"/>
    <x v="6"/>
    <x v="6"/>
    <n v="24.2"/>
    <n v="78.2"/>
  </r>
  <r>
    <x v="5"/>
    <x v="18"/>
    <x v="7"/>
    <x v="7"/>
    <n v="43.4"/>
    <n v="65"/>
  </r>
  <r>
    <x v="5"/>
    <x v="18"/>
    <x v="8"/>
    <x v="8"/>
    <n v="80.900000000000006"/>
    <n v="33"/>
  </r>
  <r>
    <x v="5"/>
    <x v="18"/>
    <x v="9"/>
    <x v="9"/>
    <n v="160.9"/>
    <n v="7.7"/>
  </r>
  <r>
    <x v="5"/>
    <x v="18"/>
    <x v="10"/>
    <x v="10"/>
    <n v="248.8"/>
    <n v="0"/>
  </r>
  <r>
    <x v="5"/>
    <x v="18"/>
    <x v="11"/>
    <x v="11"/>
    <n v="269.39999999999998"/>
    <n v="0"/>
  </r>
  <r>
    <x v="6"/>
    <x v="18"/>
    <x v="0"/>
    <x v="0"/>
    <n v="283.39999999999998"/>
    <n v="0"/>
  </r>
  <r>
    <x v="6"/>
    <x v="18"/>
    <x v="1"/>
    <x v="1"/>
    <n v="368.5"/>
    <n v="0"/>
  </r>
  <r>
    <x v="6"/>
    <x v="18"/>
    <x v="2"/>
    <x v="2"/>
    <n v="303"/>
    <n v="0"/>
  </r>
  <r>
    <x v="6"/>
    <x v="18"/>
    <x v="3"/>
    <x v="3"/>
    <n v="166.7"/>
    <n v="2.1"/>
  </r>
  <r>
    <x v="6"/>
    <x v="18"/>
    <x v="4"/>
    <x v="4"/>
    <n v="88.5"/>
    <n v="9.3000000000000007"/>
  </r>
  <r>
    <x v="6"/>
    <x v="18"/>
    <x v="5"/>
    <x v="5"/>
    <n v="15.6"/>
    <n v="52.4"/>
  </r>
  <r>
    <x v="6"/>
    <x v="18"/>
    <x v="6"/>
    <x v="6"/>
    <n v="0"/>
    <n v="86.7"/>
  </r>
  <r>
    <x v="6"/>
    <x v="18"/>
    <x v="7"/>
    <x v="7"/>
    <n v="19.3"/>
    <n v="60.4"/>
  </r>
  <r>
    <x v="6"/>
    <x v="18"/>
    <x v="8"/>
    <x v="8"/>
    <n v="41.1"/>
    <n v="12.6"/>
  </r>
  <r>
    <x v="6"/>
    <x v="18"/>
    <x v="9"/>
    <x v="9"/>
    <n v="145"/>
    <n v="1.8"/>
  </r>
  <r>
    <x v="6"/>
    <x v="18"/>
    <x v="10"/>
    <x v="10"/>
    <n v="253.1"/>
    <n v="0"/>
  </r>
  <r>
    <x v="6"/>
    <x v="18"/>
    <x v="11"/>
    <x v="11"/>
    <n v="276.5"/>
    <n v="0"/>
  </r>
  <r>
    <x v="0"/>
    <x v="19"/>
    <x v="0"/>
    <x v="0"/>
    <n v="372.8"/>
    <n v="0"/>
  </r>
  <r>
    <x v="0"/>
    <x v="19"/>
    <x v="1"/>
    <x v="1"/>
    <n v="263.89999999999998"/>
    <n v="0.9"/>
  </r>
  <r>
    <x v="0"/>
    <x v="19"/>
    <x v="2"/>
    <x v="2"/>
    <n v="279.39999999999998"/>
    <n v="0"/>
  </r>
  <r>
    <x v="0"/>
    <x v="19"/>
    <x v="3"/>
    <x v="3"/>
    <n v="239.8"/>
    <n v="1.5"/>
  </r>
  <r>
    <x v="0"/>
    <x v="19"/>
    <x v="4"/>
    <x v="4"/>
    <n v="187.9"/>
    <n v="1.2"/>
  </r>
  <r>
    <x v="0"/>
    <x v="19"/>
    <x v="5"/>
    <x v="5"/>
    <n v="97.4"/>
    <n v="19.7"/>
  </r>
  <r>
    <x v="0"/>
    <x v="19"/>
    <x v="6"/>
    <x v="6"/>
    <n v="44.6"/>
    <n v="53.6"/>
  </r>
  <r>
    <x v="0"/>
    <x v="19"/>
    <x v="7"/>
    <x v="7"/>
    <n v="45.4"/>
    <n v="42.5"/>
  </r>
  <r>
    <x v="0"/>
    <x v="19"/>
    <x v="8"/>
    <x v="8"/>
    <n v="76"/>
    <n v="12.5"/>
  </r>
  <r>
    <x v="0"/>
    <x v="19"/>
    <x v="9"/>
    <x v="9"/>
    <n v="153.5"/>
    <n v="0.8"/>
  </r>
  <r>
    <x v="0"/>
    <x v="19"/>
    <x v="10"/>
    <x v="10"/>
    <n v="277.10000000000002"/>
    <n v="0"/>
  </r>
  <r>
    <x v="0"/>
    <x v="19"/>
    <x v="11"/>
    <x v="11"/>
    <n v="312.5"/>
    <n v="0"/>
  </r>
  <r>
    <x v="1"/>
    <x v="19"/>
    <x v="0"/>
    <x v="0"/>
    <n v="351.1"/>
    <n v="0"/>
  </r>
  <r>
    <x v="1"/>
    <x v="19"/>
    <x v="1"/>
    <x v="1"/>
    <n v="246.6"/>
    <n v="0.6"/>
  </r>
  <r>
    <x v="1"/>
    <x v="19"/>
    <x v="2"/>
    <x v="2"/>
    <n v="272.2"/>
    <n v="0"/>
  </r>
  <r>
    <x v="1"/>
    <x v="19"/>
    <x v="3"/>
    <x v="3"/>
    <n v="229.1"/>
    <n v="5.3"/>
  </r>
  <r>
    <x v="1"/>
    <x v="19"/>
    <x v="4"/>
    <x v="4"/>
    <n v="181.3"/>
    <n v="4.2"/>
  </r>
  <r>
    <x v="1"/>
    <x v="19"/>
    <x v="5"/>
    <x v="5"/>
    <n v="107.3"/>
    <n v="22.7"/>
  </r>
  <r>
    <x v="1"/>
    <x v="19"/>
    <x v="6"/>
    <x v="6"/>
    <n v="48.5"/>
    <n v="54.2"/>
  </r>
  <r>
    <x v="1"/>
    <x v="19"/>
    <x v="7"/>
    <x v="7"/>
    <n v="66.7"/>
    <n v="25.2"/>
  </r>
  <r>
    <x v="1"/>
    <x v="19"/>
    <x v="8"/>
    <x v="8"/>
    <n v="90.7"/>
    <n v="7.6"/>
  </r>
  <r>
    <x v="1"/>
    <x v="19"/>
    <x v="9"/>
    <x v="9"/>
    <n v="164"/>
    <n v="0"/>
  </r>
  <r>
    <x v="1"/>
    <x v="19"/>
    <x v="10"/>
    <x v="10"/>
    <n v="262.89999999999998"/>
    <n v="0"/>
  </r>
  <r>
    <x v="1"/>
    <x v="19"/>
    <x v="11"/>
    <x v="11"/>
    <n v="297.7"/>
    <n v="0"/>
  </r>
  <r>
    <x v="2"/>
    <x v="19"/>
    <x v="0"/>
    <x v="0"/>
    <n v="351.4"/>
    <n v="0"/>
  </r>
  <r>
    <x v="2"/>
    <x v="19"/>
    <x v="1"/>
    <x v="1"/>
    <n v="262.39999999999998"/>
    <n v="0.1"/>
  </r>
  <r>
    <x v="2"/>
    <x v="19"/>
    <x v="2"/>
    <x v="2"/>
    <n v="253.6"/>
    <n v="0.1"/>
  </r>
  <r>
    <x v="2"/>
    <x v="19"/>
    <x v="3"/>
    <x v="3"/>
    <n v="221.2"/>
    <n v="6.3"/>
  </r>
  <r>
    <x v="2"/>
    <x v="19"/>
    <x v="4"/>
    <x v="4"/>
    <n v="164.2"/>
    <n v="4.4000000000000004"/>
  </r>
  <r>
    <x v="2"/>
    <x v="19"/>
    <x v="5"/>
    <x v="5"/>
    <n v="98.1"/>
    <n v="28.9"/>
  </r>
  <r>
    <x v="2"/>
    <x v="19"/>
    <x v="6"/>
    <x v="6"/>
    <n v="35.799999999999997"/>
    <n v="74"/>
  </r>
  <r>
    <x v="2"/>
    <x v="19"/>
    <x v="7"/>
    <x v="7"/>
    <n v="52.2"/>
    <n v="34.5"/>
  </r>
  <r>
    <x v="2"/>
    <x v="19"/>
    <x v="8"/>
    <x v="8"/>
    <n v="76.8"/>
    <n v="18.399999999999999"/>
  </r>
  <r>
    <x v="2"/>
    <x v="19"/>
    <x v="9"/>
    <x v="9"/>
    <n v="147.80000000000001"/>
    <n v="0.1"/>
  </r>
  <r>
    <x v="2"/>
    <x v="19"/>
    <x v="10"/>
    <x v="10"/>
    <n v="265.10000000000002"/>
    <n v="0"/>
  </r>
  <r>
    <x v="2"/>
    <x v="19"/>
    <x v="11"/>
    <x v="11"/>
    <n v="297.5"/>
    <n v="0"/>
  </r>
  <r>
    <x v="3"/>
    <x v="19"/>
    <x v="0"/>
    <x v="0"/>
    <n v="390.3"/>
    <n v="0"/>
  </r>
  <r>
    <x v="3"/>
    <x v="19"/>
    <x v="1"/>
    <x v="1"/>
    <n v="285.3"/>
    <n v="0.5"/>
  </r>
  <r>
    <x v="3"/>
    <x v="19"/>
    <x v="2"/>
    <x v="2"/>
    <n v="254.3"/>
    <n v="0.6"/>
  </r>
  <r>
    <x v="3"/>
    <x v="19"/>
    <x v="3"/>
    <x v="3"/>
    <n v="219.8"/>
    <n v="8.6999999999999993"/>
  </r>
  <r>
    <x v="3"/>
    <x v="19"/>
    <x v="4"/>
    <x v="4"/>
    <n v="160.1"/>
    <n v="9.5"/>
  </r>
  <r>
    <x v="3"/>
    <x v="19"/>
    <x v="5"/>
    <x v="5"/>
    <n v="72.7"/>
    <n v="65.7"/>
  </r>
  <r>
    <x v="3"/>
    <x v="19"/>
    <x v="6"/>
    <x v="6"/>
    <n v="27.6"/>
    <n v="122.6"/>
  </r>
  <r>
    <x v="3"/>
    <x v="19"/>
    <x v="7"/>
    <x v="7"/>
    <n v="39.1"/>
    <n v="81.900000000000006"/>
  </r>
  <r>
    <x v="3"/>
    <x v="19"/>
    <x v="8"/>
    <x v="8"/>
    <n v="66.599999999999994"/>
    <n v="37.700000000000003"/>
  </r>
  <r>
    <x v="3"/>
    <x v="19"/>
    <x v="9"/>
    <x v="9"/>
    <n v="132.9"/>
    <n v="4.2"/>
  </r>
  <r>
    <x v="3"/>
    <x v="19"/>
    <x v="10"/>
    <x v="10"/>
    <n v="286.5"/>
    <n v="0"/>
  </r>
  <r>
    <x v="3"/>
    <x v="19"/>
    <x v="11"/>
    <x v="11"/>
    <n v="326.2"/>
    <n v="0"/>
  </r>
  <r>
    <x v="4"/>
    <x v="19"/>
    <x v="0"/>
    <x v="0"/>
    <n v="358.7"/>
    <n v="0"/>
  </r>
  <r>
    <x v="4"/>
    <x v="19"/>
    <x v="1"/>
    <x v="1"/>
    <n v="267.89999999999998"/>
    <n v="0.7"/>
  </r>
  <r>
    <x v="4"/>
    <x v="19"/>
    <x v="2"/>
    <x v="2"/>
    <n v="263"/>
    <n v="0.3"/>
  </r>
  <r>
    <x v="4"/>
    <x v="19"/>
    <x v="3"/>
    <x v="3"/>
    <n v="227.4"/>
    <n v="3.1"/>
  </r>
  <r>
    <x v="4"/>
    <x v="19"/>
    <x v="4"/>
    <x v="4"/>
    <n v="174.3"/>
    <n v="2"/>
  </r>
  <r>
    <x v="4"/>
    <x v="19"/>
    <x v="5"/>
    <x v="5"/>
    <n v="85"/>
    <n v="38.700000000000003"/>
  </r>
  <r>
    <x v="4"/>
    <x v="19"/>
    <x v="6"/>
    <x v="6"/>
    <n v="37.1"/>
    <n v="64.2"/>
  </r>
  <r>
    <x v="4"/>
    <x v="19"/>
    <x v="7"/>
    <x v="7"/>
    <n v="47.9"/>
    <n v="47.7"/>
  </r>
  <r>
    <x v="4"/>
    <x v="19"/>
    <x v="8"/>
    <x v="8"/>
    <n v="71.2"/>
    <n v="19.7"/>
  </r>
  <r>
    <x v="4"/>
    <x v="19"/>
    <x v="9"/>
    <x v="9"/>
    <n v="145.30000000000001"/>
    <n v="2"/>
  </r>
  <r>
    <x v="4"/>
    <x v="19"/>
    <x v="10"/>
    <x v="10"/>
    <n v="279"/>
    <n v="0.1"/>
  </r>
  <r>
    <x v="4"/>
    <x v="19"/>
    <x v="11"/>
    <x v="11"/>
    <n v="319.39999999999998"/>
    <n v="0"/>
  </r>
  <r>
    <x v="5"/>
    <x v="19"/>
    <x v="0"/>
    <x v="0"/>
    <n v="353.2"/>
    <n v="0"/>
  </r>
  <r>
    <x v="5"/>
    <x v="19"/>
    <x v="1"/>
    <x v="1"/>
    <n v="268.89999999999998"/>
    <n v="0"/>
  </r>
  <r>
    <x v="5"/>
    <x v="19"/>
    <x v="2"/>
    <x v="2"/>
    <n v="256"/>
    <n v="0.1"/>
  </r>
  <r>
    <x v="5"/>
    <x v="19"/>
    <x v="3"/>
    <x v="3"/>
    <n v="217.5"/>
    <n v="5.6"/>
  </r>
  <r>
    <x v="5"/>
    <x v="19"/>
    <x v="4"/>
    <x v="4"/>
    <n v="167.3"/>
    <n v="3.1"/>
  </r>
  <r>
    <x v="5"/>
    <x v="19"/>
    <x v="5"/>
    <x v="5"/>
    <n v="88.9"/>
    <n v="38.5"/>
  </r>
  <r>
    <x v="5"/>
    <x v="19"/>
    <x v="6"/>
    <x v="6"/>
    <n v="31.2"/>
    <n v="83.3"/>
  </r>
  <r>
    <x v="5"/>
    <x v="19"/>
    <x v="7"/>
    <x v="7"/>
    <n v="43.3"/>
    <n v="45.3"/>
  </r>
  <r>
    <x v="5"/>
    <x v="19"/>
    <x v="8"/>
    <x v="8"/>
    <n v="70.5"/>
    <n v="26.7"/>
  </r>
  <r>
    <x v="5"/>
    <x v="19"/>
    <x v="9"/>
    <x v="9"/>
    <n v="135.9"/>
    <n v="0.3"/>
  </r>
  <r>
    <x v="5"/>
    <x v="19"/>
    <x v="10"/>
    <x v="10"/>
    <n v="259"/>
    <n v="0"/>
  </r>
  <r>
    <x v="5"/>
    <x v="19"/>
    <x v="11"/>
    <x v="11"/>
    <n v="303.89999999999998"/>
    <n v="0"/>
  </r>
  <r>
    <x v="6"/>
    <x v="19"/>
    <x v="0"/>
    <x v="0"/>
    <n v="358.9"/>
    <n v="0"/>
  </r>
  <r>
    <x v="6"/>
    <x v="19"/>
    <x v="1"/>
    <x v="1"/>
    <n v="262.2"/>
    <n v="0"/>
  </r>
  <r>
    <x v="6"/>
    <x v="19"/>
    <x v="2"/>
    <x v="2"/>
    <n v="238.4"/>
    <n v="0"/>
  </r>
  <r>
    <x v="6"/>
    <x v="19"/>
    <x v="3"/>
    <x v="3"/>
    <n v="189.3"/>
    <n v="0.2"/>
  </r>
  <r>
    <x v="6"/>
    <x v="19"/>
    <x v="4"/>
    <x v="4"/>
    <n v="143.4"/>
    <n v="0"/>
  </r>
  <r>
    <x v="6"/>
    <x v="19"/>
    <x v="5"/>
    <x v="5"/>
    <n v="62.5"/>
    <n v="44.8"/>
  </r>
  <r>
    <x v="6"/>
    <x v="19"/>
    <x v="6"/>
    <x v="6"/>
    <n v="2.4"/>
    <n v="76.3"/>
  </r>
  <r>
    <x v="6"/>
    <x v="19"/>
    <x v="7"/>
    <x v="7"/>
    <n v="11.9"/>
    <n v="36.700000000000003"/>
  </r>
  <r>
    <x v="6"/>
    <x v="19"/>
    <x v="8"/>
    <x v="8"/>
    <n v="42.6"/>
    <n v="16.5"/>
  </r>
  <r>
    <x v="6"/>
    <x v="19"/>
    <x v="9"/>
    <x v="9"/>
    <n v="118.1"/>
    <n v="0"/>
  </r>
  <r>
    <x v="6"/>
    <x v="19"/>
    <x v="10"/>
    <x v="10"/>
    <n v="268.3"/>
    <n v="0"/>
  </r>
  <r>
    <x v="6"/>
    <x v="19"/>
    <x v="11"/>
    <x v="11"/>
    <n v="298.39999999999998"/>
    <n v="0"/>
  </r>
  <r>
    <x v="0"/>
    <x v="20"/>
    <x v="0"/>
    <x v="0"/>
    <n v="320.2"/>
    <n v="0"/>
  </r>
  <r>
    <x v="0"/>
    <x v="20"/>
    <x v="1"/>
    <x v="1"/>
    <n v="260.60000000000002"/>
    <n v="0"/>
  </r>
  <r>
    <x v="0"/>
    <x v="20"/>
    <x v="2"/>
    <x v="2"/>
    <n v="305.2"/>
    <n v="0"/>
  </r>
  <r>
    <x v="0"/>
    <x v="20"/>
    <x v="3"/>
    <x v="3"/>
    <n v="180.8"/>
    <n v="7.7"/>
  </r>
  <r>
    <x v="0"/>
    <x v="20"/>
    <x v="4"/>
    <x v="4"/>
    <n v="146.80000000000001"/>
    <n v="11.5"/>
  </r>
  <r>
    <x v="0"/>
    <x v="20"/>
    <x v="5"/>
    <x v="5"/>
    <n v="90.9"/>
    <n v="22.5"/>
  </r>
  <r>
    <x v="0"/>
    <x v="20"/>
    <x v="6"/>
    <x v="6"/>
    <n v="63.7"/>
    <n v="29.8"/>
  </r>
  <r>
    <x v="0"/>
    <x v="20"/>
    <x v="7"/>
    <x v="7"/>
    <n v="37.700000000000003"/>
    <n v="65.099999999999994"/>
  </r>
  <r>
    <x v="0"/>
    <x v="20"/>
    <x v="8"/>
    <x v="8"/>
    <n v="80.3"/>
    <n v="22.7"/>
  </r>
  <r>
    <x v="0"/>
    <x v="20"/>
    <x v="9"/>
    <x v="9"/>
    <n v="182.2"/>
    <n v="0.3"/>
  </r>
  <r>
    <x v="0"/>
    <x v="20"/>
    <x v="10"/>
    <x v="10"/>
    <n v="219.2"/>
    <n v="0.1"/>
  </r>
  <r>
    <x v="0"/>
    <x v="20"/>
    <x v="11"/>
    <x v="11"/>
    <n v="324.60000000000002"/>
    <n v="0"/>
  </r>
  <r>
    <x v="1"/>
    <x v="20"/>
    <x v="0"/>
    <x v="0"/>
    <n v="307.2"/>
    <n v="0"/>
  </r>
  <r>
    <x v="1"/>
    <x v="20"/>
    <x v="1"/>
    <x v="1"/>
    <n v="262.3"/>
    <n v="0"/>
  </r>
  <r>
    <x v="1"/>
    <x v="20"/>
    <x v="2"/>
    <x v="2"/>
    <n v="296.3"/>
    <n v="0.1"/>
  </r>
  <r>
    <x v="1"/>
    <x v="20"/>
    <x v="3"/>
    <x v="3"/>
    <n v="178.2"/>
    <n v="6.8"/>
  </r>
  <r>
    <x v="1"/>
    <x v="20"/>
    <x v="4"/>
    <x v="4"/>
    <n v="130.69999999999999"/>
    <n v="31.7"/>
  </r>
  <r>
    <x v="1"/>
    <x v="20"/>
    <x v="5"/>
    <x v="5"/>
    <n v="95.2"/>
    <n v="16.3"/>
  </r>
  <r>
    <x v="1"/>
    <x v="20"/>
    <x v="6"/>
    <x v="6"/>
    <n v="79.900000000000006"/>
    <n v="18.7"/>
  </r>
  <r>
    <x v="1"/>
    <x v="20"/>
    <x v="7"/>
    <x v="7"/>
    <n v="46.3"/>
    <n v="43.3"/>
  </r>
  <r>
    <x v="1"/>
    <x v="20"/>
    <x v="8"/>
    <x v="8"/>
    <n v="97.4"/>
    <n v="23.5"/>
  </r>
  <r>
    <x v="1"/>
    <x v="20"/>
    <x v="9"/>
    <x v="9"/>
    <n v="187.6"/>
    <n v="0"/>
  </r>
  <r>
    <x v="1"/>
    <x v="20"/>
    <x v="10"/>
    <x v="10"/>
    <n v="202.8"/>
    <n v="0"/>
  </r>
  <r>
    <x v="1"/>
    <x v="20"/>
    <x v="11"/>
    <x v="11"/>
    <n v="310"/>
    <n v="0"/>
  </r>
  <r>
    <x v="2"/>
    <x v="20"/>
    <x v="0"/>
    <x v="0"/>
    <n v="302"/>
    <n v="0"/>
  </r>
  <r>
    <x v="2"/>
    <x v="20"/>
    <x v="1"/>
    <x v="1"/>
    <n v="255.3"/>
    <n v="0"/>
  </r>
  <r>
    <x v="2"/>
    <x v="20"/>
    <x v="2"/>
    <x v="2"/>
    <n v="280.2"/>
    <n v="0"/>
  </r>
  <r>
    <x v="2"/>
    <x v="20"/>
    <x v="3"/>
    <x v="3"/>
    <n v="155.19999999999999"/>
    <n v="8.3000000000000007"/>
  </r>
  <r>
    <x v="2"/>
    <x v="20"/>
    <x v="4"/>
    <x v="4"/>
    <n v="112.9"/>
    <n v="32.700000000000003"/>
  </r>
  <r>
    <x v="2"/>
    <x v="20"/>
    <x v="5"/>
    <x v="5"/>
    <n v="81.099999999999994"/>
    <n v="23.8"/>
  </r>
  <r>
    <x v="2"/>
    <x v="20"/>
    <x v="6"/>
    <x v="6"/>
    <n v="60.2"/>
    <n v="33.799999999999997"/>
  </r>
  <r>
    <x v="2"/>
    <x v="20"/>
    <x v="7"/>
    <x v="7"/>
    <n v="36.9"/>
    <n v="63.8"/>
  </r>
  <r>
    <x v="2"/>
    <x v="20"/>
    <x v="8"/>
    <x v="8"/>
    <n v="76.400000000000006"/>
    <n v="36.299999999999997"/>
  </r>
  <r>
    <x v="2"/>
    <x v="20"/>
    <x v="9"/>
    <x v="9"/>
    <n v="179.1"/>
    <n v="0"/>
  </r>
  <r>
    <x v="2"/>
    <x v="20"/>
    <x v="10"/>
    <x v="10"/>
    <n v="200.1"/>
    <n v="0"/>
  </r>
  <r>
    <x v="2"/>
    <x v="20"/>
    <x v="11"/>
    <x v="11"/>
    <n v="304.89999999999998"/>
    <n v="0"/>
  </r>
  <r>
    <x v="3"/>
    <x v="20"/>
    <x v="0"/>
    <x v="0"/>
    <n v="319.3"/>
    <n v="0"/>
  </r>
  <r>
    <x v="3"/>
    <x v="20"/>
    <x v="1"/>
    <x v="1"/>
    <n v="249.4"/>
    <n v="0"/>
  </r>
  <r>
    <x v="3"/>
    <x v="20"/>
    <x v="2"/>
    <x v="2"/>
    <n v="275.3"/>
    <n v="0.3"/>
  </r>
  <r>
    <x v="3"/>
    <x v="20"/>
    <x v="3"/>
    <x v="3"/>
    <n v="139.30000000000001"/>
    <n v="17.8"/>
  </r>
  <r>
    <x v="3"/>
    <x v="20"/>
    <x v="4"/>
    <x v="4"/>
    <n v="107.5"/>
    <n v="37.5"/>
  </r>
  <r>
    <x v="3"/>
    <x v="20"/>
    <x v="5"/>
    <x v="5"/>
    <n v="70"/>
    <n v="37.6"/>
  </r>
  <r>
    <x v="3"/>
    <x v="20"/>
    <x v="6"/>
    <x v="6"/>
    <n v="48.4"/>
    <n v="75.099999999999994"/>
  </r>
  <r>
    <x v="3"/>
    <x v="20"/>
    <x v="7"/>
    <x v="7"/>
    <n v="34.5"/>
    <n v="100.2"/>
  </r>
  <r>
    <x v="3"/>
    <x v="20"/>
    <x v="8"/>
    <x v="8"/>
    <n v="67.3"/>
    <n v="57.4"/>
  </r>
  <r>
    <x v="3"/>
    <x v="20"/>
    <x v="9"/>
    <x v="9"/>
    <n v="166.6"/>
    <n v="0.9"/>
  </r>
  <r>
    <x v="3"/>
    <x v="20"/>
    <x v="10"/>
    <x v="10"/>
    <n v="219.9"/>
    <n v="0.1"/>
  </r>
  <r>
    <x v="3"/>
    <x v="20"/>
    <x v="11"/>
    <x v="11"/>
    <n v="329.2"/>
    <n v="0"/>
  </r>
  <r>
    <x v="4"/>
    <x v="20"/>
    <x v="0"/>
    <x v="0"/>
    <n v="319.60000000000002"/>
    <n v="0"/>
  </r>
  <r>
    <x v="4"/>
    <x v="20"/>
    <x v="1"/>
    <x v="1"/>
    <n v="253.3"/>
    <n v="0"/>
  </r>
  <r>
    <x v="4"/>
    <x v="20"/>
    <x v="2"/>
    <x v="2"/>
    <n v="288.7"/>
    <n v="0"/>
  </r>
  <r>
    <x v="4"/>
    <x v="20"/>
    <x v="3"/>
    <x v="3"/>
    <n v="167.1"/>
    <n v="11.8"/>
  </r>
  <r>
    <x v="4"/>
    <x v="20"/>
    <x v="4"/>
    <x v="4"/>
    <n v="133.6"/>
    <n v="18.7"/>
  </r>
  <r>
    <x v="4"/>
    <x v="20"/>
    <x v="5"/>
    <x v="5"/>
    <n v="86.4"/>
    <n v="24.9"/>
  </r>
  <r>
    <x v="4"/>
    <x v="20"/>
    <x v="6"/>
    <x v="6"/>
    <n v="54.6"/>
    <n v="35.5"/>
  </r>
  <r>
    <x v="4"/>
    <x v="20"/>
    <x v="7"/>
    <x v="7"/>
    <n v="37.9"/>
    <n v="61.8"/>
  </r>
  <r>
    <x v="4"/>
    <x v="20"/>
    <x v="8"/>
    <x v="8"/>
    <n v="67.7"/>
    <n v="28.9"/>
  </r>
  <r>
    <x v="4"/>
    <x v="20"/>
    <x v="9"/>
    <x v="9"/>
    <n v="170.1"/>
    <n v="0.6"/>
  </r>
  <r>
    <x v="4"/>
    <x v="20"/>
    <x v="10"/>
    <x v="10"/>
    <n v="215.6"/>
    <n v="0.2"/>
  </r>
  <r>
    <x v="4"/>
    <x v="20"/>
    <x v="11"/>
    <x v="11"/>
    <n v="318.39999999999998"/>
    <n v="0"/>
  </r>
  <r>
    <x v="5"/>
    <x v="20"/>
    <x v="0"/>
    <x v="0"/>
    <n v="309"/>
    <n v="0"/>
  </r>
  <r>
    <x v="5"/>
    <x v="20"/>
    <x v="1"/>
    <x v="1"/>
    <n v="251.5"/>
    <n v="0"/>
  </r>
  <r>
    <x v="5"/>
    <x v="20"/>
    <x v="2"/>
    <x v="2"/>
    <n v="277.8"/>
    <n v="0.2"/>
  </r>
  <r>
    <x v="5"/>
    <x v="20"/>
    <x v="3"/>
    <x v="3"/>
    <n v="158.19999999999999"/>
    <n v="5.9"/>
  </r>
  <r>
    <x v="5"/>
    <x v="20"/>
    <x v="4"/>
    <x v="4"/>
    <n v="116.4"/>
    <n v="30.4"/>
  </r>
  <r>
    <x v="5"/>
    <x v="20"/>
    <x v="5"/>
    <x v="5"/>
    <n v="76.5"/>
    <n v="24.3"/>
  </r>
  <r>
    <x v="5"/>
    <x v="20"/>
    <x v="6"/>
    <x v="6"/>
    <n v="62.6"/>
    <n v="36.9"/>
  </r>
  <r>
    <x v="5"/>
    <x v="20"/>
    <x v="7"/>
    <x v="7"/>
    <n v="41.5"/>
    <n v="64.3"/>
  </r>
  <r>
    <x v="5"/>
    <x v="20"/>
    <x v="8"/>
    <x v="8"/>
    <n v="68.2"/>
    <n v="39.1"/>
  </r>
  <r>
    <x v="5"/>
    <x v="20"/>
    <x v="9"/>
    <x v="9"/>
    <n v="170.1"/>
    <n v="0"/>
  </r>
  <r>
    <x v="5"/>
    <x v="20"/>
    <x v="10"/>
    <x v="10"/>
    <n v="197.7"/>
    <n v="0"/>
  </r>
  <r>
    <x v="5"/>
    <x v="20"/>
    <x v="11"/>
    <x v="11"/>
    <n v="300"/>
    <n v="0"/>
  </r>
  <r>
    <x v="6"/>
    <x v="20"/>
    <x v="0"/>
    <x v="0"/>
    <n v="303"/>
    <n v="0"/>
  </r>
  <r>
    <x v="6"/>
    <x v="20"/>
    <x v="1"/>
    <x v="1"/>
    <n v="235"/>
    <n v="0"/>
  </r>
  <r>
    <x v="6"/>
    <x v="20"/>
    <x v="2"/>
    <x v="2"/>
    <n v="254.7"/>
    <n v="0.6"/>
  </r>
  <r>
    <x v="6"/>
    <x v="20"/>
    <x v="3"/>
    <x v="3"/>
    <n v="140.19999999999999"/>
    <n v="9.8000000000000007"/>
  </r>
  <r>
    <x v="6"/>
    <x v="20"/>
    <x v="4"/>
    <x v="4"/>
    <n v="97"/>
    <n v="37.200000000000003"/>
  </r>
  <r>
    <x v="6"/>
    <x v="20"/>
    <x v="5"/>
    <x v="5"/>
    <n v="61.4"/>
    <n v="33.700000000000003"/>
  </r>
  <r>
    <x v="6"/>
    <x v="20"/>
    <x v="6"/>
    <x v="6"/>
    <n v="48.2"/>
    <n v="61"/>
  </r>
  <r>
    <x v="6"/>
    <x v="20"/>
    <x v="7"/>
    <x v="7"/>
    <n v="36"/>
    <n v="85.3"/>
  </r>
  <r>
    <x v="6"/>
    <x v="20"/>
    <x v="8"/>
    <x v="8"/>
    <n v="60.3"/>
    <n v="52.5"/>
  </r>
  <r>
    <x v="6"/>
    <x v="20"/>
    <x v="9"/>
    <x v="9"/>
    <n v="151.4"/>
    <n v="0.9"/>
  </r>
  <r>
    <x v="6"/>
    <x v="20"/>
    <x v="10"/>
    <x v="10"/>
    <n v="200.4"/>
    <n v="0.1"/>
  </r>
  <r>
    <x v="6"/>
    <x v="20"/>
    <x v="11"/>
    <x v="11"/>
    <n v="303.3"/>
    <n v="0"/>
  </r>
  <r>
    <x v="0"/>
    <x v="21"/>
    <x v="0"/>
    <x v="0"/>
    <n v="368.1"/>
    <n v="0"/>
  </r>
  <r>
    <x v="0"/>
    <x v="21"/>
    <x v="1"/>
    <x v="1"/>
    <n v="308.89999999999998"/>
    <n v="0"/>
  </r>
  <r>
    <x v="0"/>
    <x v="21"/>
    <x v="2"/>
    <x v="2"/>
    <n v="294.5"/>
    <n v="3.6"/>
  </r>
  <r>
    <x v="0"/>
    <x v="21"/>
    <x v="3"/>
    <x v="3"/>
    <n v="297.3"/>
    <n v="2.1"/>
  </r>
  <r>
    <x v="0"/>
    <x v="21"/>
    <x v="4"/>
    <x v="4"/>
    <n v="203.1"/>
    <n v="0.8"/>
  </r>
  <r>
    <x v="0"/>
    <x v="21"/>
    <x v="5"/>
    <x v="5"/>
    <n v="87.5"/>
    <n v="11.2"/>
  </r>
  <r>
    <x v="0"/>
    <x v="21"/>
    <x v="6"/>
    <x v="6"/>
    <n v="49"/>
    <n v="32.6"/>
  </r>
  <r>
    <x v="0"/>
    <x v="21"/>
    <x v="7"/>
    <x v="7"/>
    <n v="56.5"/>
    <n v="21"/>
  </r>
  <r>
    <x v="0"/>
    <x v="21"/>
    <x v="8"/>
    <x v="8"/>
    <n v="61.2"/>
    <n v="28.8"/>
  </r>
  <r>
    <x v="0"/>
    <x v="21"/>
    <x v="9"/>
    <x v="9"/>
    <n v="142.9"/>
    <n v="1.6"/>
  </r>
  <r>
    <x v="0"/>
    <x v="21"/>
    <x v="10"/>
    <x v="10"/>
    <n v="273.5"/>
    <n v="0"/>
  </r>
  <r>
    <x v="0"/>
    <x v="21"/>
    <x v="11"/>
    <x v="11"/>
    <n v="316.2"/>
    <n v="0"/>
  </r>
  <r>
    <x v="1"/>
    <x v="21"/>
    <x v="0"/>
    <x v="0"/>
    <n v="351.4"/>
    <n v="0"/>
  </r>
  <r>
    <x v="1"/>
    <x v="21"/>
    <x v="1"/>
    <x v="1"/>
    <n v="293.89999999999998"/>
    <n v="0"/>
  </r>
  <r>
    <x v="1"/>
    <x v="21"/>
    <x v="2"/>
    <x v="2"/>
    <n v="289.7"/>
    <n v="2.8"/>
  </r>
  <r>
    <x v="1"/>
    <x v="21"/>
    <x v="3"/>
    <x v="3"/>
    <n v="269.2"/>
    <n v="6.9"/>
  </r>
  <r>
    <x v="1"/>
    <x v="21"/>
    <x v="4"/>
    <x v="4"/>
    <n v="209.9"/>
    <n v="4.2"/>
  </r>
  <r>
    <x v="1"/>
    <x v="21"/>
    <x v="5"/>
    <x v="5"/>
    <n v="90.1"/>
    <n v="17.2"/>
  </r>
  <r>
    <x v="1"/>
    <x v="21"/>
    <x v="6"/>
    <x v="6"/>
    <n v="55.2"/>
    <n v="39.299999999999997"/>
  </r>
  <r>
    <x v="1"/>
    <x v="21"/>
    <x v="7"/>
    <x v="7"/>
    <n v="63.8"/>
    <n v="16.399999999999999"/>
  </r>
  <r>
    <x v="1"/>
    <x v="21"/>
    <x v="8"/>
    <x v="8"/>
    <n v="68.7"/>
    <n v="36.799999999999997"/>
  </r>
  <r>
    <x v="1"/>
    <x v="21"/>
    <x v="9"/>
    <x v="9"/>
    <n v="150"/>
    <n v="1.7"/>
  </r>
  <r>
    <x v="1"/>
    <x v="21"/>
    <x v="10"/>
    <x v="10"/>
    <n v="269"/>
    <n v="0"/>
  </r>
  <r>
    <x v="1"/>
    <x v="21"/>
    <x v="11"/>
    <x v="11"/>
    <n v="289.39999999999998"/>
    <n v="0"/>
  </r>
  <r>
    <x v="2"/>
    <x v="21"/>
    <x v="0"/>
    <x v="0"/>
    <n v="354.4"/>
    <n v="0"/>
  </r>
  <r>
    <x v="2"/>
    <x v="21"/>
    <x v="1"/>
    <x v="1"/>
    <n v="288.8"/>
    <n v="0"/>
  </r>
  <r>
    <x v="2"/>
    <x v="21"/>
    <x v="2"/>
    <x v="2"/>
    <n v="279.89999999999998"/>
    <n v="0.8"/>
  </r>
  <r>
    <x v="2"/>
    <x v="21"/>
    <x v="3"/>
    <x v="3"/>
    <n v="244.4"/>
    <n v="5.4"/>
  </r>
  <r>
    <x v="2"/>
    <x v="21"/>
    <x v="4"/>
    <x v="4"/>
    <n v="193.2"/>
    <n v="5.4"/>
  </r>
  <r>
    <x v="2"/>
    <x v="21"/>
    <x v="5"/>
    <x v="5"/>
    <n v="73.599999999999994"/>
    <n v="27.6"/>
  </r>
  <r>
    <x v="2"/>
    <x v="21"/>
    <x v="6"/>
    <x v="6"/>
    <n v="48"/>
    <n v="52.5"/>
  </r>
  <r>
    <x v="2"/>
    <x v="21"/>
    <x v="7"/>
    <x v="7"/>
    <n v="53.9"/>
    <n v="28.1"/>
  </r>
  <r>
    <x v="2"/>
    <x v="21"/>
    <x v="8"/>
    <x v="8"/>
    <n v="57.9"/>
    <n v="42.5"/>
  </r>
  <r>
    <x v="2"/>
    <x v="21"/>
    <x v="9"/>
    <x v="9"/>
    <n v="134.5"/>
    <n v="2.2000000000000002"/>
  </r>
  <r>
    <x v="2"/>
    <x v="21"/>
    <x v="10"/>
    <x v="10"/>
    <n v="270.7"/>
    <n v="0"/>
  </r>
  <r>
    <x v="2"/>
    <x v="21"/>
    <x v="11"/>
    <x v="11"/>
    <n v="294.8"/>
    <n v="0"/>
  </r>
  <r>
    <x v="3"/>
    <x v="21"/>
    <x v="0"/>
    <x v="0"/>
    <n v="387.7"/>
    <n v="0"/>
  </r>
  <r>
    <x v="3"/>
    <x v="21"/>
    <x v="1"/>
    <x v="1"/>
    <n v="296.10000000000002"/>
    <n v="0.1"/>
  </r>
  <r>
    <x v="3"/>
    <x v="21"/>
    <x v="2"/>
    <x v="2"/>
    <n v="300.10000000000002"/>
    <n v="2.7"/>
  </r>
  <r>
    <x v="3"/>
    <x v="21"/>
    <x v="3"/>
    <x v="3"/>
    <n v="268.89999999999998"/>
    <n v="4.7"/>
  </r>
  <r>
    <x v="3"/>
    <x v="21"/>
    <x v="4"/>
    <x v="4"/>
    <n v="168.4"/>
    <n v="7.9"/>
  </r>
  <r>
    <x v="3"/>
    <x v="21"/>
    <x v="5"/>
    <x v="5"/>
    <n v="59.9"/>
    <n v="45.1"/>
  </r>
  <r>
    <x v="3"/>
    <x v="21"/>
    <x v="6"/>
    <x v="6"/>
    <n v="34.5"/>
    <n v="67.599999999999994"/>
  </r>
  <r>
    <x v="3"/>
    <x v="21"/>
    <x v="7"/>
    <x v="7"/>
    <n v="48.3"/>
    <n v="41.2"/>
  </r>
  <r>
    <x v="3"/>
    <x v="21"/>
    <x v="8"/>
    <x v="8"/>
    <n v="54.5"/>
    <n v="58.8"/>
  </r>
  <r>
    <x v="3"/>
    <x v="21"/>
    <x v="9"/>
    <x v="9"/>
    <n v="149.80000000000001"/>
    <n v="4.2"/>
  </r>
  <r>
    <x v="3"/>
    <x v="21"/>
    <x v="10"/>
    <x v="10"/>
    <n v="304.8"/>
    <n v="0"/>
  </r>
  <r>
    <x v="3"/>
    <x v="21"/>
    <x v="11"/>
    <x v="11"/>
    <n v="319.7"/>
    <n v="0"/>
  </r>
  <r>
    <x v="4"/>
    <x v="21"/>
    <x v="0"/>
    <x v="0"/>
    <n v="377.7"/>
    <n v="0"/>
  </r>
  <r>
    <x v="4"/>
    <x v="21"/>
    <x v="1"/>
    <x v="1"/>
    <n v="305"/>
    <n v="0"/>
  </r>
  <r>
    <x v="4"/>
    <x v="21"/>
    <x v="2"/>
    <x v="2"/>
    <n v="297.3"/>
    <n v="3"/>
  </r>
  <r>
    <x v="4"/>
    <x v="21"/>
    <x v="3"/>
    <x v="3"/>
    <n v="278.7"/>
    <n v="3"/>
  </r>
  <r>
    <x v="4"/>
    <x v="21"/>
    <x v="4"/>
    <x v="4"/>
    <n v="191.7"/>
    <n v="3.7"/>
  </r>
  <r>
    <x v="4"/>
    <x v="21"/>
    <x v="5"/>
    <x v="5"/>
    <n v="80.8"/>
    <n v="17.2"/>
  </r>
  <r>
    <x v="4"/>
    <x v="21"/>
    <x v="6"/>
    <x v="6"/>
    <n v="42"/>
    <n v="42.8"/>
  </r>
  <r>
    <x v="4"/>
    <x v="21"/>
    <x v="7"/>
    <x v="7"/>
    <n v="47.6"/>
    <n v="24.8"/>
  </r>
  <r>
    <x v="4"/>
    <x v="21"/>
    <x v="8"/>
    <x v="8"/>
    <n v="54.6"/>
    <n v="35.1"/>
  </r>
  <r>
    <x v="4"/>
    <x v="21"/>
    <x v="9"/>
    <x v="9"/>
    <n v="142.6"/>
    <n v="2.6"/>
  </r>
  <r>
    <x v="4"/>
    <x v="21"/>
    <x v="10"/>
    <x v="10"/>
    <n v="273.2"/>
    <n v="0"/>
  </r>
  <r>
    <x v="4"/>
    <x v="21"/>
    <x v="11"/>
    <x v="11"/>
    <n v="312.2"/>
    <n v="0"/>
  </r>
  <r>
    <x v="5"/>
    <x v="21"/>
    <x v="0"/>
    <x v="0"/>
    <n v="365.2"/>
    <n v="0"/>
  </r>
  <r>
    <x v="5"/>
    <x v="21"/>
    <x v="1"/>
    <x v="1"/>
    <n v="294.3"/>
    <n v="0"/>
  </r>
  <r>
    <x v="5"/>
    <x v="21"/>
    <x v="2"/>
    <x v="2"/>
    <n v="283.89999999999998"/>
    <n v="0.3"/>
  </r>
  <r>
    <x v="5"/>
    <x v="21"/>
    <x v="3"/>
    <x v="3"/>
    <n v="246.5"/>
    <n v="5.5"/>
  </r>
  <r>
    <x v="5"/>
    <x v="21"/>
    <x v="4"/>
    <x v="4"/>
    <n v="180.3"/>
    <n v="6.1"/>
  </r>
  <r>
    <x v="5"/>
    <x v="21"/>
    <x v="5"/>
    <x v="5"/>
    <n v="67.400000000000006"/>
    <n v="30.1"/>
  </r>
  <r>
    <x v="5"/>
    <x v="21"/>
    <x v="6"/>
    <x v="6"/>
    <n v="43.7"/>
    <n v="55.1"/>
  </r>
  <r>
    <x v="5"/>
    <x v="21"/>
    <x v="7"/>
    <x v="7"/>
    <n v="49.8"/>
    <n v="26.7"/>
  </r>
  <r>
    <x v="5"/>
    <x v="21"/>
    <x v="8"/>
    <x v="8"/>
    <n v="58.3"/>
    <n v="42.3"/>
  </r>
  <r>
    <x v="5"/>
    <x v="21"/>
    <x v="9"/>
    <x v="9"/>
    <n v="139.1"/>
    <n v="1.7"/>
  </r>
  <r>
    <x v="5"/>
    <x v="21"/>
    <x v="10"/>
    <x v="10"/>
    <n v="282.2"/>
    <n v="0"/>
  </r>
  <r>
    <x v="5"/>
    <x v="21"/>
    <x v="11"/>
    <x v="11"/>
    <n v="311.10000000000002"/>
    <n v="0"/>
  </r>
  <r>
    <x v="6"/>
    <x v="21"/>
    <x v="0"/>
    <x v="0"/>
    <n v="308.2"/>
    <n v="0"/>
  </r>
  <r>
    <x v="6"/>
    <x v="21"/>
    <x v="1"/>
    <x v="1"/>
    <n v="287.3"/>
    <n v="0"/>
  </r>
  <r>
    <x v="6"/>
    <x v="21"/>
    <x v="2"/>
    <x v="2"/>
    <n v="277"/>
    <n v="2.2000000000000002"/>
  </r>
  <r>
    <x v="6"/>
    <x v="21"/>
    <x v="3"/>
    <x v="3"/>
    <n v="236.5"/>
    <n v="7"/>
  </r>
  <r>
    <x v="6"/>
    <x v="21"/>
    <x v="4"/>
    <x v="4"/>
    <n v="166.1"/>
    <n v="7.8"/>
  </r>
  <r>
    <x v="6"/>
    <x v="21"/>
    <x v="5"/>
    <x v="5"/>
    <n v="53"/>
    <n v="46.6"/>
  </r>
  <r>
    <x v="6"/>
    <x v="21"/>
    <x v="6"/>
    <x v="6"/>
    <n v="31"/>
    <n v="71.3"/>
  </r>
  <r>
    <x v="6"/>
    <x v="21"/>
    <x v="7"/>
    <x v="7"/>
    <n v="40.799999999999997"/>
    <n v="44.5"/>
  </r>
  <r>
    <x v="6"/>
    <x v="21"/>
    <x v="8"/>
    <x v="8"/>
    <n v="47.6"/>
    <n v="62.4"/>
  </r>
  <r>
    <x v="6"/>
    <x v="21"/>
    <x v="9"/>
    <x v="9"/>
    <n v="135.6"/>
    <n v="3.9"/>
  </r>
  <r>
    <x v="6"/>
    <x v="21"/>
    <x v="10"/>
    <x v="10"/>
    <n v="293.89999999999998"/>
    <n v="0"/>
  </r>
  <r>
    <x v="6"/>
    <x v="21"/>
    <x v="11"/>
    <x v="11"/>
    <n v="310.8"/>
    <n v="0"/>
  </r>
  <r>
    <x v="0"/>
    <x v="22"/>
    <x v="0"/>
    <x v="0"/>
    <n v="346"/>
    <n v="0"/>
  </r>
  <r>
    <x v="0"/>
    <x v="22"/>
    <x v="1"/>
    <x v="1"/>
    <n v="274.8"/>
    <n v="0"/>
  </r>
  <r>
    <x v="0"/>
    <x v="22"/>
    <x v="2"/>
    <x v="2"/>
    <n v="274.2"/>
    <n v="0.2"/>
  </r>
  <r>
    <x v="0"/>
    <x v="22"/>
    <x v="3"/>
    <x v="3"/>
    <n v="234.9"/>
    <n v="0.9"/>
  </r>
  <r>
    <x v="0"/>
    <x v="22"/>
    <x v="4"/>
    <x v="4"/>
    <n v="137"/>
    <n v="12.6"/>
  </r>
  <r>
    <x v="0"/>
    <x v="22"/>
    <x v="5"/>
    <x v="5"/>
    <n v="78"/>
    <n v="25"/>
  </r>
  <r>
    <x v="0"/>
    <x v="22"/>
    <x v="6"/>
    <x v="6"/>
    <n v="47.6"/>
    <n v="73.599999999999994"/>
  </r>
  <r>
    <x v="0"/>
    <x v="22"/>
    <x v="7"/>
    <x v="7"/>
    <n v="27.7"/>
    <n v="69.099999999999994"/>
  </r>
  <r>
    <x v="0"/>
    <x v="22"/>
    <x v="8"/>
    <x v="8"/>
    <n v="77.2"/>
    <n v="28.5"/>
  </r>
  <r>
    <x v="0"/>
    <x v="22"/>
    <x v="9"/>
    <x v="9"/>
    <n v="88.7"/>
    <n v="5.7"/>
  </r>
  <r>
    <x v="0"/>
    <x v="22"/>
    <x v="10"/>
    <x v="10"/>
    <n v="209.8"/>
    <n v="0.2"/>
  </r>
  <r>
    <x v="0"/>
    <x v="22"/>
    <x v="11"/>
    <x v="11"/>
    <n v="366.3"/>
    <n v="0"/>
  </r>
  <r>
    <x v="1"/>
    <x v="22"/>
    <x v="0"/>
    <x v="0"/>
    <n v="329"/>
    <n v="0"/>
  </r>
  <r>
    <x v="1"/>
    <x v="22"/>
    <x v="1"/>
    <x v="1"/>
    <n v="265"/>
    <n v="0"/>
  </r>
  <r>
    <x v="1"/>
    <x v="22"/>
    <x v="2"/>
    <x v="2"/>
    <n v="253"/>
    <n v="1.6"/>
  </r>
  <r>
    <x v="1"/>
    <x v="22"/>
    <x v="3"/>
    <x v="3"/>
    <n v="217.5"/>
    <n v="2"/>
  </r>
  <r>
    <x v="1"/>
    <x v="22"/>
    <x v="4"/>
    <x v="4"/>
    <n v="136.4"/>
    <n v="8"/>
  </r>
  <r>
    <x v="1"/>
    <x v="22"/>
    <x v="5"/>
    <x v="5"/>
    <n v="85.3"/>
    <n v="25.2"/>
  </r>
  <r>
    <x v="1"/>
    <x v="22"/>
    <x v="6"/>
    <x v="6"/>
    <n v="54.8"/>
    <n v="68"/>
  </r>
  <r>
    <x v="1"/>
    <x v="22"/>
    <x v="7"/>
    <x v="7"/>
    <n v="30.9"/>
    <n v="83.6"/>
  </r>
  <r>
    <x v="1"/>
    <x v="22"/>
    <x v="8"/>
    <x v="8"/>
    <n v="90.3"/>
    <n v="27.4"/>
  </r>
  <r>
    <x v="1"/>
    <x v="22"/>
    <x v="9"/>
    <x v="9"/>
    <n v="99.3"/>
    <n v="4.8"/>
  </r>
  <r>
    <x v="1"/>
    <x v="22"/>
    <x v="10"/>
    <x v="10"/>
    <n v="196"/>
    <n v="0.1"/>
  </r>
  <r>
    <x v="1"/>
    <x v="22"/>
    <x v="11"/>
    <x v="11"/>
    <n v="355.8"/>
    <n v="0"/>
  </r>
  <r>
    <x v="2"/>
    <x v="22"/>
    <x v="0"/>
    <x v="0"/>
    <n v="332"/>
    <n v="0"/>
  </r>
  <r>
    <x v="2"/>
    <x v="22"/>
    <x v="1"/>
    <x v="1"/>
    <n v="266.5"/>
    <n v="0"/>
  </r>
  <r>
    <x v="2"/>
    <x v="22"/>
    <x v="2"/>
    <x v="2"/>
    <n v="245.2"/>
    <n v="1.6"/>
  </r>
  <r>
    <x v="2"/>
    <x v="22"/>
    <x v="3"/>
    <x v="3"/>
    <n v="199"/>
    <n v="4.0999999999999996"/>
  </r>
  <r>
    <x v="2"/>
    <x v="22"/>
    <x v="4"/>
    <x v="4"/>
    <n v="117.6"/>
    <n v="14.9"/>
  </r>
  <r>
    <x v="2"/>
    <x v="22"/>
    <x v="5"/>
    <x v="5"/>
    <n v="71.099999999999994"/>
    <n v="42"/>
  </r>
  <r>
    <x v="2"/>
    <x v="22"/>
    <x v="6"/>
    <x v="6"/>
    <n v="38.5"/>
    <n v="94.3"/>
  </r>
  <r>
    <x v="2"/>
    <x v="22"/>
    <x v="7"/>
    <x v="7"/>
    <n v="19.3"/>
    <n v="110.7"/>
  </r>
  <r>
    <x v="2"/>
    <x v="22"/>
    <x v="8"/>
    <x v="8"/>
    <n v="72.8"/>
    <n v="26.9"/>
  </r>
  <r>
    <x v="2"/>
    <x v="22"/>
    <x v="9"/>
    <x v="9"/>
    <n v="95.8"/>
    <n v="3.1"/>
  </r>
  <r>
    <x v="2"/>
    <x v="22"/>
    <x v="10"/>
    <x v="10"/>
    <n v="191.4"/>
    <n v="0"/>
  </r>
  <r>
    <x v="2"/>
    <x v="22"/>
    <x v="11"/>
    <x v="11"/>
    <n v="360.9"/>
    <n v="0"/>
  </r>
  <r>
    <x v="3"/>
    <x v="22"/>
    <x v="0"/>
    <x v="0"/>
    <n v="362.4"/>
    <n v="0"/>
  </r>
  <r>
    <x v="3"/>
    <x v="22"/>
    <x v="1"/>
    <x v="1"/>
    <n v="270.5"/>
    <n v="0"/>
  </r>
  <r>
    <x v="3"/>
    <x v="22"/>
    <x v="2"/>
    <x v="2"/>
    <n v="243.2"/>
    <n v="1.9"/>
  </r>
  <r>
    <x v="3"/>
    <x v="22"/>
    <x v="3"/>
    <x v="3"/>
    <n v="201.5"/>
    <n v="7.3"/>
  </r>
  <r>
    <x v="3"/>
    <x v="22"/>
    <x v="4"/>
    <x v="4"/>
    <n v="101.4"/>
    <n v="36.5"/>
  </r>
  <r>
    <x v="3"/>
    <x v="22"/>
    <x v="5"/>
    <x v="5"/>
    <n v="51"/>
    <n v="69"/>
  </r>
  <r>
    <x v="3"/>
    <x v="22"/>
    <x v="6"/>
    <x v="6"/>
    <n v="36"/>
    <n v="127.7"/>
  </r>
  <r>
    <x v="3"/>
    <x v="22"/>
    <x v="7"/>
    <x v="7"/>
    <n v="21.8"/>
    <n v="129.80000000000001"/>
  </r>
  <r>
    <x v="3"/>
    <x v="22"/>
    <x v="8"/>
    <x v="8"/>
    <n v="72.7"/>
    <n v="47.5"/>
  </r>
  <r>
    <x v="3"/>
    <x v="22"/>
    <x v="9"/>
    <x v="9"/>
    <n v="73.599999999999994"/>
    <n v="17.600000000000001"/>
  </r>
  <r>
    <x v="3"/>
    <x v="22"/>
    <x v="10"/>
    <x v="10"/>
    <n v="209.1"/>
    <n v="0"/>
  </r>
  <r>
    <x v="3"/>
    <x v="22"/>
    <x v="11"/>
    <x v="11"/>
    <n v="376.3"/>
    <n v="0"/>
  </r>
  <r>
    <x v="4"/>
    <x v="22"/>
    <x v="0"/>
    <x v="0"/>
    <n v="354.8"/>
    <n v="0"/>
  </r>
  <r>
    <x v="4"/>
    <x v="22"/>
    <x v="1"/>
    <x v="1"/>
    <n v="276.5"/>
    <n v="0"/>
  </r>
  <r>
    <x v="4"/>
    <x v="22"/>
    <x v="2"/>
    <x v="2"/>
    <n v="250.7"/>
    <n v="0.6"/>
  </r>
  <r>
    <x v="4"/>
    <x v="22"/>
    <x v="3"/>
    <x v="3"/>
    <n v="217.9"/>
    <n v="1.5"/>
  </r>
  <r>
    <x v="4"/>
    <x v="22"/>
    <x v="4"/>
    <x v="4"/>
    <n v="130.4"/>
    <n v="16"/>
  </r>
  <r>
    <x v="4"/>
    <x v="22"/>
    <x v="5"/>
    <x v="5"/>
    <n v="66.8"/>
    <n v="36.1"/>
  </r>
  <r>
    <x v="4"/>
    <x v="22"/>
    <x v="6"/>
    <x v="6"/>
    <n v="36.9"/>
    <n v="84.1"/>
  </r>
  <r>
    <x v="4"/>
    <x v="22"/>
    <x v="7"/>
    <x v="7"/>
    <n v="19.8"/>
    <n v="81.400000000000006"/>
  </r>
  <r>
    <x v="4"/>
    <x v="22"/>
    <x v="8"/>
    <x v="8"/>
    <n v="74.599999999999994"/>
    <n v="34.200000000000003"/>
  </r>
  <r>
    <x v="4"/>
    <x v="22"/>
    <x v="9"/>
    <x v="9"/>
    <n v="82"/>
    <n v="10.3"/>
  </r>
  <r>
    <x v="4"/>
    <x v="22"/>
    <x v="10"/>
    <x v="10"/>
    <n v="208.9"/>
    <n v="0.1"/>
  </r>
  <r>
    <x v="4"/>
    <x v="22"/>
    <x v="11"/>
    <x v="11"/>
    <n v="373.3"/>
    <n v="0"/>
  </r>
  <r>
    <x v="5"/>
    <x v="22"/>
    <x v="0"/>
    <x v="0"/>
    <n v="350.1"/>
    <n v="0"/>
  </r>
  <r>
    <x v="5"/>
    <x v="22"/>
    <x v="1"/>
    <x v="1"/>
    <n v="272.2"/>
    <n v="0"/>
  </r>
  <r>
    <x v="5"/>
    <x v="22"/>
    <x v="2"/>
    <x v="2"/>
    <n v="249.2"/>
    <n v="0.8"/>
  </r>
  <r>
    <x v="5"/>
    <x v="22"/>
    <x v="3"/>
    <x v="3"/>
    <n v="206.8"/>
    <n v="3"/>
  </r>
  <r>
    <x v="5"/>
    <x v="22"/>
    <x v="4"/>
    <x v="4"/>
    <n v="121.3"/>
    <n v="13.9"/>
  </r>
  <r>
    <x v="5"/>
    <x v="22"/>
    <x v="5"/>
    <x v="5"/>
    <n v="63.4"/>
    <n v="43.4"/>
  </r>
  <r>
    <x v="5"/>
    <x v="22"/>
    <x v="6"/>
    <x v="6"/>
    <n v="40.299999999999997"/>
    <n v="101.4"/>
  </r>
  <r>
    <x v="5"/>
    <x v="22"/>
    <x v="7"/>
    <x v="7"/>
    <n v="18.100000000000001"/>
    <n v="109.6"/>
  </r>
  <r>
    <x v="5"/>
    <x v="22"/>
    <x v="8"/>
    <x v="8"/>
    <n v="75.3"/>
    <n v="33.799999999999997"/>
  </r>
  <r>
    <x v="5"/>
    <x v="22"/>
    <x v="9"/>
    <x v="9"/>
    <n v="88.7"/>
    <n v="3.6"/>
  </r>
  <r>
    <x v="5"/>
    <x v="22"/>
    <x v="10"/>
    <x v="10"/>
    <n v="191.3"/>
    <n v="0"/>
  </r>
  <r>
    <x v="5"/>
    <x v="22"/>
    <x v="11"/>
    <x v="11"/>
    <n v="369.2"/>
    <n v="0"/>
  </r>
  <r>
    <x v="6"/>
    <x v="22"/>
    <x v="0"/>
    <x v="0"/>
    <n v="357.7"/>
    <n v="0"/>
  </r>
  <r>
    <x v="6"/>
    <x v="22"/>
    <x v="1"/>
    <x v="1"/>
    <n v="262.2"/>
    <n v="0"/>
  </r>
  <r>
    <x v="6"/>
    <x v="22"/>
    <x v="2"/>
    <x v="2"/>
    <n v="230.2"/>
    <n v="1.7"/>
  </r>
  <r>
    <x v="6"/>
    <x v="22"/>
    <x v="3"/>
    <x v="3"/>
    <n v="186.8"/>
    <n v="7"/>
  </r>
  <r>
    <x v="6"/>
    <x v="22"/>
    <x v="4"/>
    <x v="4"/>
    <n v="97.2"/>
    <n v="30"/>
  </r>
  <r>
    <x v="6"/>
    <x v="22"/>
    <x v="5"/>
    <x v="5"/>
    <n v="38.700000000000003"/>
    <n v="66"/>
  </r>
  <r>
    <x v="6"/>
    <x v="22"/>
    <x v="6"/>
    <x v="6"/>
    <n v="30.6"/>
    <n v="130.9"/>
  </r>
  <r>
    <x v="6"/>
    <x v="22"/>
    <x v="7"/>
    <x v="7"/>
    <n v="13.5"/>
    <n v="134.5"/>
  </r>
  <r>
    <x v="6"/>
    <x v="22"/>
    <x v="8"/>
    <x v="8"/>
    <n v="68.599999999999994"/>
    <n v="50.1"/>
  </r>
  <r>
    <x v="6"/>
    <x v="22"/>
    <x v="9"/>
    <x v="9"/>
    <n v="68"/>
    <n v="13.7"/>
  </r>
  <r>
    <x v="6"/>
    <x v="22"/>
    <x v="10"/>
    <x v="10"/>
    <n v="179.8"/>
    <n v="0.4"/>
  </r>
  <r>
    <x v="6"/>
    <x v="22"/>
    <x v="11"/>
    <x v="11"/>
    <n v="366"/>
    <n v="0"/>
  </r>
  <r>
    <x v="7"/>
    <x v="1"/>
    <x v="0"/>
    <x v="0"/>
    <n v="343.2"/>
    <n v="0"/>
  </r>
  <r>
    <x v="7"/>
    <x v="1"/>
    <x v="1"/>
    <x v="1"/>
    <n v="312"/>
    <n v="0"/>
  </r>
  <r>
    <x v="7"/>
    <x v="1"/>
    <x v="2"/>
    <x v="2"/>
    <n v="236"/>
    <n v="0.1"/>
  </r>
  <r>
    <x v="7"/>
    <x v="1"/>
    <x v="3"/>
    <x v="3"/>
    <n v="238"/>
    <n v="0.2"/>
  </r>
  <r>
    <x v="7"/>
    <x v="1"/>
    <x v="4"/>
    <x v="4"/>
    <n v="122.6"/>
    <n v="31.6"/>
  </r>
  <r>
    <x v="7"/>
    <x v="1"/>
    <x v="5"/>
    <x v="5"/>
    <n v="71.3"/>
    <n v="53"/>
  </r>
  <r>
    <x v="7"/>
    <x v="1"/>
    <x v="6"/>
    <x v="6"/>
    <n v="40"/>
    <n v="74.8"/>
  </r>
  <r>
    <x v="7"/>
    <x v="1"/>
    <x v="7"/>
    <x v="7"/>
    <n v="33.700000000000003"/>
    <n v="84.2"/>
  </r>
  <r>
    <x v="7"/>
    <x v="1"/>
    <x v="8"/>
    <x v="8"/>
    <n v="104"/>
    <n v="18.3"/>
  </r>
  <r>
    <x v="7"/>
    <x v="1"/>
    <x v="9"/>
    <x v="9"/>
    <n v="82.8"/>
    <n v="16.399999999999999"/>
  </r>
  <r>
    <x v="7"/>
    <x v="1"/>
    <x v="10"/>
    <x v="10"/>
    <n v="316.39999999999998"/>
    <n v="0"/>
  </r>
  <r>
    <x v="7"/>
    <x v="1"/>
    <x v="11"/>
    <x v="11"/>
    <n v="441.2"/>
    <n v="0"/>
  </r>
  <r>
    <x v="8"/>
    <x v="1"/>
    <x v="0"/>
    <x v="0"/>
    <n v="360.2"/>
    <n v="0"/>
  </r>
  <r>
    <x v="8"/>
    <x v="1"/>
    <x v="1"/>
    <x v="1"/>
    <n v="311.7"/>
    <n v="0"/>
  </r>
  <r>
    <x v="8"/>
    <x v="1"/>
    <x v="2"/>
    <x v="2"/>
    <n v="241.3"/>
    <n v="0"/>
  </r>
  <r>
    <x v="8"/>
    <x v="1"/>
    <x v="3"/>
    <x v="3"/>
    <n v="241.9"/>
    <n v="0.8"/>
  </r>
  <r>
    <x v="8"/>
    <x v="1"/>
    <x v="4"/>
    <x v="4"/>
    <n v="114.4"/>
    <n v="34.1"/>
  </r>
  <r>
    <x v="8"/>
    <x v="1"/>
    <x v="5"/>
    <x v="5"/>
    <n v="72.7"/>
    <n v="61"/>
  </r>
  <r>
    <x v="8"/>
    <x v="1"/>
    <x v="6"/>
    <x v="6"/>
    <n v="37.1"/>
    <n v="83.8"/>
  </r>
  <r>
    <x v="8"/>
    <x v="1"/>
    <x v="7"/>
    <x v="7"/>
    <n v="30.3"/>
    <n v="95.2"/>
  </r>
  <r>
    <x v="8"/>
    <x v="1"/>
    <x v="8"/>
    <x v="8"/>
    <n v="104.2"/>
    <n v="18.7"/>
  </r>
  <r>
    <x v="8"/>
    <x v="1"/>
    <x v="9"/>
    <x v="9"/>
    <n v="81.8"/>
    <n v="17.3"/>
  </r>
  <r>
    <x v="8"/>
    <x v="1"/>
    <x v="10"/>
    <x v="10"/>
    <n v="324.8"/>
    <n v="0"/>
  </r>
  <r>
    <x v="8"/>
    <x v="1"/>
    <x v="11"/>
    <x v="11"/>
    <n v="450.1"/>
    <n v="0"/>
  </r>
  <r>
    <x v="7"/>
    <x v="2"/>
    <x v="0"/>
    <x v="0"/>
    <n v="308.5"/>
    <n v="0"/>
  </r>
  <r>
    <x v="7"/>
    <x v="2"/>
    <x v="1"/>
    <x v="1"/>
    <n v="258.7"/>
    <n v="0"/>
  </r>
  <r>
    <x v="7"/>
    <x v="2"/>
    <x v="2"/>
    <x v="2"/>
    <n v="262.39999999999998"/>
    <n v="0.2"/>
  </r>
  <r>
    <x v="7"/>
    <x v="2"/>
    <x v="3"/>
    <x v="3"/>
    <n v="211"/>
    <n v="4.4000000000000004"/>
  </r>
  <r>
    <x v="7"/>
    <x v="2"/>
    <x v="4"/>
    <x v="4"/>
    <n v="144.9"/>
    <n v="12.8"/>
  </r>
  <r>
    <x v="7"/>
    <x v="2"/>
    <x v="5"/>
    <x v="5"/>
    <n v="70.3"/>
    <n v="41.8"/>
  </r>
  <r>
    <x v="7"/>
    <x v="2"/>
    <x v="6"/>
    <x v="6"/>
    <n v="52.4"/>
    <n v="55.8"/>
  </r>
  <r>
    <x v="7"/>
    <x v="2"/>
    <x v="7"/>
    <x v="7"/>
    <n v="43"/>
    <n v="57.8"/>
  </r>
  <r>
    <x v="7"/>
    <x v="2"/>
    <x v="8"/>
    <x v="8"/>
    <n v="78.8"/>
    <n v="35.1"/>
  </r>
  <r>
    <x v="7"/>
    <x v="2"/>
    <x v="9"/>
    <x v="9"/>
    <n v="145.30000000000001"/>
    <n v="4.8"/>
  </r>
  <r>
    <x v="7"/>
    <x v="2"/>
    <x v="10"/>
    <x v="10"/>
    <n v="220.6"/>
    <n v="0"/>
  </r>
  <r>
    <x v="7"/>
    <x v="2"/>
    <x v="11"/>
    <x v="11"/>
    <n v="285.3"/>
    <n v="0"/>
  </r>
  <r>
    <x v="8"/>
    <x v="2"/>
    <x v="0"/>
    <x v="0"/>
    <n v="320"/>
    <n v="0"/>
  </r>
  <r>
    <x v="8"/>
    <x v="2"/>
    <x v="1"/>
    <x v="1"/>
    <n v="258.7"/>
    <n v="0"/>
  </r>
  <r>
    <x v="8"/>
    <x v="2"/>
    <x v="2"/>
    <x v="2"/>
    <n v="271.3"/>
    <n v="0.2"/>
  </r>
  <r>
    <x v="8"/>
    <x v="2"/>
    <x v="3"/>
    <x v="3"/>
    <n v="213"/>
    <n v="4.2"/>
  </r>
  <r>
    <x v="8"/>
    <x v="2"/>
    <x v="4"/>
    <x v="4"/>
    <n v="144.4"/>
    <n v="15.3"/>
  </r>
  <r>
    <x v="8"/>
    <x v="2"/>
    <x v="5"/>
    <x v="5"/>
    <n v="65.900000000000006"/>
    <n v="57.5"/>
  </r>
  <r>
    <x v="8"/>
    <x v="2"/>
    <x v="6"/>
    <x v="6"/>
    <n v="50.4"/>
    <n v="66"/>
  </r>
  <r>
    <x v="8"/>
    <x v="2"/>
    <x v="7"/>
    <x v="7"/>
    <n v="41"/>
    <n v="61.1"/>
  </r>
  <r>
    <x v="8"/>
    <x v="2"/>
    <x v="8"/>
    <x v="8"/>
    <n v="93"/>
    <n v="30.1"/>
  </r>
  <r>
    <x v="8"/>
    <x v="2"/>
    <x v="9"/>
    <x v="9"/>
    <n v="147.69999999999999"/>
    <n v="3.8"/>
  </r>
  <r>
    <x v="8"/>
    <x v="2"/>
    <x v="10"/>
    <x v="10"/>
    <n v="234.6"/>
    <n v="0"/>
  </r>
  <r>
    <x v="8"/>
    <x v="2"/>
    <x v="11"/>
    <x v="11"/>
    <n v="297.5"/>
    <n v="0"/>
  </r>
  <r>
    <x v="7"/>
    <x v="3"/>
    <x v="0"/>
    <x v="0"/>
    <n v="424.8"/>
    <n v="0"/>
  </r>
  <r>
    <x v="7"/>
    <x v="3"/>
    <x v="1"/>
    <x v="1"/>
    <n v="347.2"/>
    <n v="0"/>
  </r>
  <r>
    <x v="7"/>
    <x v="3"/>
    <x v="2"/>
    <x v="2"/>
    <n v="218.6"/>
    <n v="2.7"/>
  </r>
  <r>
    <x v="7"/>
    <x v="3"/>
    <x v="3"/>
    <x v="3"/>
    <n v="180.2"/>
    <n v="10.9"/>
  </r>
  <r>
    <x v="7"/>
    <x v="3"/>
    <x v="4"/>
    <x v="4"/>
    <n v="126.3"/>
    <n v="20.399999999999999"/>
  </r>
  <r>
    <x v="7"/>
    <x v="3"/>
    <x v="5"/>
    <x v="5"/>
    <n v="25.9"/>
    <n v="96.2"/>
  </r>
  <r>
    <x v="7"/>
    <x v="3"/>
    <x v="6"/>
    <x v="6"/>
    <n v="24.9"/>
    <n v="93"/>
  </r>
  <r>
    <x v="7"/>
    <x v="3"/>
    <x v="7"/>
    <x v="7"/>
    <n v="12.3"/>
    <n v="187.2"/>
  </r>
  <r>
    <x v="7"/>
    <x v="3"/>
    <x v="8"/>
    <x v="8"/>
    <n v="60.5"/>
    <n v="56.6"/>
  </r>
  <r>
    <x v="7"/>
    <x v="3"/>
    <x v="9"/>
    <x v="9"/>
    <n v="214.6"/>
    <n v="4.3"/>
  </r>
  <r>
    <x v="7"/>
    <x v="3"/>
    <x v="10"/>
    <x v="10"/>
    <n v="232.6"/>
    <n v="0.2"/>
  </r>
  <r>
    <x v="7"/>
    <x v="3"/>
    <x v="11"/>
    <x v="11"/>
    <n v="351.8"/>
    <n v="0"/>
  </r>
  <r>
    <x v="8"/>
    <x v="3"/>
    <x v="0"/>
    <x v="0"/>
    <n v="437.1"/>
    <n v="0"/>
  </r>
  <r>
    <x v="8"/>
    <x v="3"/>
    <x v="1"/>
    <x v="1"/>
    <n v="309.3"/>
    <n v="0"/>
  </r>
  <r>
    <x v="8"/>
    <x v="3"/>
    <x v="2"/>
    <x v="2"/>
    <n v="223.5"/>
    <n v="3.7"/>
  </r>
  <r>
    <x v="8"/>
    <x v="3"/>
    <x v="3"/>
    <x v="3"/>
    <n v="196.5"/>
    <n v="12.2"/>
  </r>
  <r>
    <x v="8"/>
    <x v="3"/>
    <x v="4"/>
    <x v="4"/>
    <n v="129.5"/>
    <n v="24"/>
  </r>
  <r>
    <x v="8"/>
    <x v="3"/>
    <x v="5"/>
    <x v="5"/>
    <n v="22.5"/>
    <n v="111.3"/>
  </r>
  <r>
    <x v="8"/>
    <x v="3"/>
    <x v="6"/>
    <x v="6"/>
    <n v="23"/>
    <n v="97.9"/>
  </r>
  <r>
    <x v="8"/>
    <x v="3"/>
    <x v="7"/>
    <x v="7"/>
    <n v="17.8"/>
    <n v="180.3"/>
  </r>
  <r>
    <x v="8"/>
    <x v="3"/>
    <x v="8"/>
    <x v="8"/>
    <n v="76.3"/>
    <n v="53"/>
  </r>
  <r>
    <x v="8"/>
    <x v="3"/>
    <x v="9"/>
    <x v="9"/>
    <n v="230.9"/>
    <n v="4.4000000000000004"/>
  </r>
  <r>
    <x v="8"/>
    <x v="3"/>
    <x v="10"/>
    <x v="10"/>
    <n v="247.9"/>
    <n v="0"/>
  </r>
  <r>
    <x v="8"/>
    <x v="3"/>
    <x v="11"/>
    <x v="11"/>
    <n v="371.7"/>
    <n v="0"/>
  </r>
  <r>
    <x v="7"/>
    <x v="4"/>
    <x v="0"/>
    <x v="0"/>
    <n v="348.8"/>
    <n v="0"/>
  </r>
  <r>
    <x v="7"/>
    <x v="4"/>
    <x v="1"/>
    <x v="1"/>
    <n v="343.7"/>
    <n v="0"/>
  </r>
  <r>
    <x v="7"/>
    <x v="4"/>
    <x v="2"/>
    <x v="2"/>
    <n v="328.5"/>
    <n v="0.8"/>
  </r>
  <r>
    <x v="7"/>
    <x v="4"/>
    <x v="3"/>
    <x v="3"/>
    <n v="218.9"/>
    <n v="1.5"/>
  </r>
  <r>
    <x v="7"/>
    <x v="4"/>
    <x v="4"/>
    <x v="4"/>
    <n v="138.6"/>
    <n v="21.4"/>
  </r>
  <r>
    <x v="7"/>
    <x v="4"/>
    <x v="5"/>
    <x v="5"/>
    <n v="47.2"/>
    <n v="68.400000000000006"/>
  </r>
  <r>
    <x v="7"/>
    <x v="4"/>
    <x v="6"/>
    <x v="6"/>
    <n v="47"/>
    <n v="66.2"/>
  </r>
  <r>
    <x v="7"/>
    <x v="4"/>
    <x v="7"/>
    <x v="7"/>
    <n v="26.6"/>
    <n v="87.4"/>
  </r>
  <r>
    <x v="7"/>
    <x v="4"/>
    <x v="8"/>
    <x v="8"/>
    <n v="62"/>
    <n v="65.900000000000006"/>
  </r>
  <r>
    <x v="7"/>
    <x v="4"/>
    <x v="9"/>
    <x v="9"/>
    <n v="151.30000000000001"/>
    <n v="4.5999999999999996"/>
  </r>
  <r>
    <x v="7"/>
    <x v="4"/>
    <x v="10"/>
    <x v="10"/>
    <n v="263.39999999999998"/>
    <n v="0"/>
  </r>
  <r>
    <x v="7"/>
    <x v="4"/>
    <x v="11"/>
    <x v="11"/>
    <n v="386.7"/>
    <n v="0"/>
  </r>
  <r>
    <x v="8"/>
    <x v="4"/>
    <x v="0"/>
    <x v="0"/>
    <n v="351"/>
    <n v="0"/>
  </r>
  <r>
    <x v="8"/>
    <x v="4"/>
    <x v="1"/>
    <x v="1"/>
    <n v="343"/>
    <n v="0.1"/>
  </r>
  <r>
    <x v="8"/>
    <x v="4"/>
    <x v="2"/>
    <x v="2"/>
    <n v="334.3"/>
    <n v="1.4"/>
  </r>
  <r>
    <x v="8"/>
    <x v="4"/>
    <x v="3"/>
    <x v="3"/>
    <n v="220.6"/>
    <n v="1.7"/>
  </r>
  <r>
    <x v="8"/>
    <x v="4"/>
    <x v="4"/>
    <x v="4"/>
    <n v="147.5"/>
    <n v="21.1"/>
  </r>
  <r>
    <x v="8"/>
    <x v="4"/>
    <x v="5"/>
    <x v="5"/>
    <n v="54.6"/>
    <n v="72.900000000000006"/>
  </r>
  <r>
    <x v="8"/>
    <x v="4"/>
    <x v="6"/>
    <x v="6"/>
    <n v="45.4"/>
    <n v="76.900000000000006"/>
  </r>
  <r>
    <x v="8"/>
    <x v="4"/>
    <x v="7"/>
    <x v="7"/>
    <n v="22.1"/>
    <n v="96.1"/>
  </r>
  <r>
    <x v="8"/>
    <x v="4"/>
    <x v="8"/>
    <x v="8"/>
    <n v="63.5"/>
    <n v="64.099999999999994"/>
  </r>
  <r>
    <x v="8"/>
    <x v="4"/>
    <x v="9"/>
    <x v="9"/>
    <n v="143.30000000000001"/>
    <n v="7"/>
  </r>
  <r>
    <x v="8"/>
    <x v="4"/>
    <x v="10"/>
    <x v="10"/>
    <n v="279.5"/>
    <n v="0"/>
  </r>
  <r>
    <x v="8"/>
    <x v="4"/>
    <x v="11"/>
    <x v="11"/>
    <n v="409.4"/>
    <n v="0"/>
  </r>
  <r>
    <x v="7"/>
    <x v="5"/>
    <x v="0"/>
    <x v="0"/>
    <n v="337.5"/>
    <n v="0"/>
  </r>
  <r>
    <x v="7"/>
    <x v="5"/>
    <x v="1"/>
    <x v="1"/>
    <n v="375.8"/>
    <n v="0"/>
  </r>
  <r>
    <x v="7"/>
    <x v="5"/>
    <x v="2"/>
    <x v="2"/>
    <n v="286.3"/>
    <n v="4.5"/>
  </r>
  <r>
    <x v="7"/>
    <x v="5"/>
    <x v="3"/>
    <x v="3"/>
    <n v="217.5"/>
    <n v="4.2"/>
  </r>
  <r>
    <x v="7"/>
    <x v="5"/>
    <x v="4"/>
    <x v="4"/>
    <n v="141.4"/>
    <n v="15"/>
  </r>
  <r>
    <x v="7"/>
    <x v="5"/>
    <x v="5"/>
    <x v="5"/>
    <n v="40.9"/>
    <n v="101.1"/>
  </r>
  <r>
    <x v="7"/>
    <x v="5"/>
    <x v="6"/>
    <x v="6"/>
    <n v="29.4"/>
    <n v="101.8"/>
  </r>
  <r>
    <x v="7"/>
    <x v="5"/>
    <x v="7"/>
    <x v="7"/>
    <n v="40.299999999999997"/>
    <n v="88.7"/>
  </r>
  <r>
    <x v="7"/>
    <x v="5"/>
    <x v="8"/>
    <x v="8"/>
    <n v="59.2"/>
    <n v="53.5"/>
  </r>
  <r>
    <x v="7"/>
    <x v="5"/>
    <x v="9"/>
    <x v="9"/>
    <n v="72.400000000000006"/>
    <n v="20"/>
  </r>
  <r>
    <x v="7"/>
    <x v="5"/>
    <x v="10"/>
    <x v="10"/>
    <n v="302.10000000000002"/>
    <n v="0.1"/>
  </r>
  <r>
    <x v="7"/>
    <x v="5"/>
    <x v="11"/>
    <x v="11"/>
    <n v="418.1"/>
    <n v="0"/>
  </r>
  <r>
    <x v="8"/>
    <x v="5"/>
    <x v="0"/>
    <x v="0"/>
    <n v="350.7"/>
    <n v="0"/>
  </r>
  <r>
    <x v="8"/>
    <x v="5"/>
    <x v="1"/>
    <x v="1"/>
    <n v="388.2"/>
    <n v="0"/>
  </r>
  <r>
    <x v="8"/>
    <x v="5"/>
    <x v="2"/>
    <x v="2"/>
    <n v="300.8"/>
    <n v="4.5999999999999996"/>
  </r>
  <r>
    <x v="8"/>
    <x v="5"/>
    <x v="3"/>
    <x v="3"/>
    <n v="210.5"/>
    <n v="4.7"/>
  </r>
  <r>
    <x v="8"/>
    <x v="5"/>
    <x v="4"/>
    <x v="4"/>
    <n v="137.1"/>
    <n v="20.9"/>
  </r>
  <r>
    <x v="8"/>
    <x v="5"/>
    <x v="5"/>
    <x v="5"/>
    <n v="50.7"/>
    <n v="101.1"/>
  </r>
  <r>
    <x v="8"/>
    <x v="5"/>
    <x v="6"/>
    <x v="6"/>
    <n v="28.5"/>
    <n v="103.4"/>
  </r>
  <r>
    <x v="8"/>
    <x v="5"/>
    <x v="7"/>
    <x v="7"/>
    <n v="48.2"/>
    <n v="86.2"/>
  </r>
  <r>
    <x v="8"/>
    <x v="5"/>
    <x v="8"/>
    <x v="8"/>
    <n v="64.5"/>
    <n v="57.1"/>
  </r>
  <r>
    <x v="8"/>
    <x v="5"/>
    <x v="9"/>
    <x v="9"/>
    <n v="75.3"/>
    <n v="25"/>
  </r>
  <r>
    <x v="8"/>
    <x v="5"/>
    <x v="10"/>
    <x v="10"/>
    <n v="310.5"/>
    <n v="0.2"/>
  </r>
  <r>
    <x v="8"/>
    <x v="5"/>
    <x v="11"/>
    <x v="11"/>
    <n v="434.7"/>
    <n v="0"/>
  </r>
  <r>
    <x v="7"/>
    <x v="6"/>
    <x v="0"/>
    <x v="0"/>
    <n v="421.1"/>
    <n v="0"/>
  </r>
  <r>
    <x v="7"/>
    <x v="6"/>
    <x v="1"/>
    <x v="1"/>
    <n v="387.2"/>
    <n v="0"/>
  </r>
  <r>
    <x v="7"/>
    <x v="6"/>
    <x v="2"/>
    <x v="2"/>
    <n v="308.7"/>
    <n v="0.4"/>
  </r>
  <r>
    <x v="7"/>
    <x v="6"/>
    <x v="3"/>
    <x v="3"/>
    <n v="208.9"/>
    <n v="3.9"/>
  </r>
  <r>
    <x v="7"/>
    <x v="6"/>
    <x v="4"/>
    <x v="4"/>
    <n v="131.6"/>
    <n v="9.9"/>
  </r>
  <r>
    <x v="7"/>
    <x v="6"/>
    <x v="5"/>
    <x v="5"/>
    <n v="42.1"/>
    <n v="78.400000000000006"/>
  </r>
  <r>
    <x v="7"/>
    <x v="6"/>
    <x v="6"/>
    <x v="6"/>
    <n v="7.4"/>
    <n v="166.4"/>
  </r>
  <r>
    <x v="7"/>
    <x v="6"/>
    <x v="7"/>
    <x v="7"/>
    <n v="51.5"/>
    <n v="49.2"/>
  </r>
  <r>
    <x v="7"/>
    <x v="6"/>
    <x v="8"/>
    <x v="8"/>
    <n v="37.700000000000003"/>
    <n v="69.2"/>
  </r>
  <r>
    <x v="7"/>
    <x v="6"/>
    <x v="9"/>
    <x v="9"/>
    <n v="85.3"/>
    <n v="11"/>
  </r>
  <r>
    <x v="7"/>
    <x v="6"/>
    <x v="10"/>
    <x v="10"/>
    <n v="223.7"/>
    <n v="0"/>
  </r>
  <r>
    <x v="7"/>
    <x v="6"/>
    <x v="11"/>
    <x v="11"/>
    <n v="367.6"/>
    <n v="0"/>
  </r>
  <r>
    <x v="8"/>
    <x v="6"/>
    <x v="0"/>
    <x v="0"/>
    <n v="428.2"/>
    <n v="0"/>
  </r>
  <r>
    <x v="8"/>
    <x v="6"/>
    <x v="1"/>
    <x v="1"/>
    <n v="395.4"/>
    <n v="0"/>
  </r>
  <r>
    <x v="8"/>
    <x v="6"/>
    <x v="2"/>
    <x v="2"/>
    <n v="318.39999999999998"/>
    <n v="0.8"/>
  </r>
  <r>
    <x v="8"/>
    <x v="6"/>
    <x v="3"/>
    <x v="3"/>
    <n v="212.9"/>
    <n v="3.8"/>
  </r>
  <r>
    <x v="8"/>
    <x v="6"/>
    <x v="4"/>
    <x v="4"/>
    <n v="122.7"/>
    <n v="17.100000000000001"/>
  </r>
  <r>
    <x v="8"/>
    <x v="6"/>
    <x v="5"/>
    <x v="5"/>
    <n v="44.8"/>
    <n v="89.5"/>
  </r>
  <r>
    <x v="8"/>
    <x v="6"/>
    <x v="6"/>
    <x v="6"/>
    <n v="5.6"/>
    <n v="184.8"/>
  </r>
  <r>
    <x v="8"/>
    <x v="6"/>
    <x v="7"/>
    <x v="7"/>
    <n v="43"/>
    <n v="58.1"/>
  </r>
  <r>
    <x v="8"/>
    <x v="6"/>
    <x v="8"/>
    <x v="8"/>
    <n v="35.299999999999997"/>
    <n v="76.3"/>
  </r>
  <r>
    <x v="8"/>
    <x v="6"/>
    <x v="9"/>
    <x v="9"/>
    <n v="84.5"/>
    <n v="9.9"/>
  </r>
  <r>
    <x v="8"/>
    <x v="6"/>
    <x v="10"/>
    <x v="10"/>
    <n v="240.9"/>
    <n v="0"/>
  </r>
  <r>
    <x v="8"/>
    <x v="6"/>
    <x v="11"/>
    <x v="11"/>
    <n v="372.6"/>
    <n v="0"/>
  </r>
  <r>
    <x v="7"/>
    <x v="7"/>
    <x v="0"/>
    <x v="0"/>
    <n v="302.89999999999998"/>
    <n v="0"/>
  </r>
  <r>
    <x v="7"/>
    <x v="7"/>
    <x v="1"/>
    <x v="1"/>
    <n v="242.3"/>
    <n v="0"/>
  </r>
  <r>
    <x v="7"/>
    <x v="7"/>
    <x v="2"/>
    <x v="2"/>
    <n v="290"/>
    <n v="0.2"/>
  </r>
  <r>
    <x v="7"/>
    <x v="7"/>
    <x v="3"/>
    <x v="3"/>
    <n v="117.5"/>
    <n v="20.3"/>
  </r>
  <r>
    <x v="7"/>
    <x v="7"/>
    <x v="4"/>
    <x v="4"/>
    <n v="110.9"/>
    <n v="12.3"/>
  </r>
  <r>
    <x v="7"/>
    <x v="7"/>
    <x v="5"/>
    <x v="5"/>
    <n v="53.5"/>
    <n v="36.5"/>
  </r>
  <r>
    <x v="7"/>
    <x v="7"/>
    <x v="6"/>
    <x v="6"/>
    <n v="49.2"/>
    <n v="33.4"/>
  </r>
  <r>
    <x v="7"/>
    <x v="7"/>
    <x v="7"/>
    <x v="7"/>
    <n v="51.5"/>
    <n v="44.1"/>
  </r>
  <r>
    <x v="7"/>
    <x v="7"/>
    <x v="8"/>
    <x v="8"/>
    <n v="102.5"/>
    <n v="24.3"/>
  </r>
  <r>
    <x v="7"/>
    <x v="7"/>
    <x v="9"/>
    <x v="9"/>
    <n v="172.6"/>
    <n v="7.3"/>
  </r>
  <r>
    <x v="7"/>
    <x v="7"/>
    <x v="10"/>
    <x v="10"/>
    <n v="300.7"/>
    <n v="0"/>
  </r>
  <r>
    <x v="7"/>
    <x v="7"/>
    <x v="11"/>
    <x v="11"/>
    <n v="382"/>
    <n v="0"/>
  </r>
  <r>
    <x v="8"/>
    <x v="7"/>
    <x v="0"/>
    <x v="0"/>
    <n v="306.60000000000002"/>
    <n v="0"/>
  </r>
  <r>
    <x v="8"/>
    <x v="7"/>
    <x v="1"/>
    <x v="1"/>
    <n v="241.6"/>
    <n v="0"/>
  </r>
  <r>
    <x v="8"/>
    <x v="7"/>
    <x v="2"/>
    <x v="2"/>
    <n v="301.10000000000002"/>
    <n v="0.2"/>
  </r>
  <r>
    <x v="8"/>
    <x v="7"/>
    <x v="3"/>
    <x v="3"/>
    <n v="126.6"/>
    <n v="24.3"/>
  </r>
  <r>
    <x v="8"/>
    <x v="7"/>
    <x v="4"/>
    <x v="4"/>
    <n v="103.8"/>
    <n v="16.2"/>
  </r>
  <r>
    <x v="8"/>
    <x v="7"/>
    <x v="5"/>
    <x v="5"/>
    <n v="46.1"/>
    <n v="43.6"/>
  </r>
  <r>
    <x v="8"/>
    <x v="7"/>
    <x v="6"/>
    <x v="6"/>
    <n v="41"/>
    <n v="44.7"/>
  </r>
  <r>
    <x v="8"/>
    <x v="7"/>
    <x v="7"/>
    <x v="7"/>
    <n v="52.6"/>
    <n v="42.8"/>
  </r>
  <r>
    <x v="8"/>
    <x v="7"/>
    <x v="8"/>
    <x v="8"/>
    <n v="108.2"/>
    <n v="22.4"/>
  </r>
  <r>
    <x v="8"/>
    <x v="7"/>
    <x v="9"/>
    <x v="9"/>
    <n v="184.1"/>
    <n v="7.1"/>
  </r>
  <r>
    <x v="8"/>
    <x v="7"/>
    <x v="10"/>
    <x v="10"/>
    <n v="308.2"/>
    <n v="0"/>
  </r>
  <r>
    <x v="8"/>
    <x v="7"/>
    <x v="11"/>
    <x v="11"/>
    <n v="398"/>
    <n v="0"/>
  </r>
  <r>
    <x v="7"/>
    <x v="8"/>
    <x v="0"/>
    <x v="0"/>
    <n v="317.89999999999998"/>
    <n v="0"/>
  </r>
  <r>
    <x v="7"/>
    <x v="8"/>
    <x v="1"/>
    <x v="1"/>
    <n v="277.5"/>
    <n v="0"/>
  </r>
  <r>
    <x v="7"/>
    <x v="8"/>
    <x v="2"/>
    <x v="2"/>
    <n v="295.2"/>
    <n v="0"/>
  </r>
  <r>
    <x v="7"/>
    <x v="8"/>
    <x v="3"/>
    <x v="3"/>
    <n v="226.9"/>
    <n v="1.9"/>
  </r>
  <r>
    <x v="7"/>
    <x v="8"/>
    <x v="4"/>
    <x v="4"/>
    <n v="86"/>
    <n v="28.9"/>
  </r>
  <r>
    <x v="7"/>
    <x v="8"/>
    <x v="5"/>
    <x v="5"/>
    <n v="65.8"/>
    <n v="39.4"/>
  </r>
  <r>
    <x v="7"/>
    <x v="8"/>
    <x v="6"/>
    <x v="6"/>
    <n v="47.9"/>
    <n v="54.8"/>
  </r>
  <r>
    <x v="7"/>
    <x v="8"/>
    <x v="7"/>
    <x v="7"/>
    <n v="42.2"/>
    <n v="44.7"/>
  </r>
  <r>
    <x v="7"/>
    <x v="8"/>
    <x v="8"/>
    <x v="8"/>
    <n v="107.4"/>
    <n v="13.7"/>
  </r>
  <r>
    <x v="7"/>
    <x v="8"/>
    <x v="9"/>
    <x v="9"/>
    <n v="195.4"/>
    <n v="4.0999999999999996"/>
  </r>
  <r>
    <x v="7"/>
    <x v="8"/>
    <x v="10"/>
    <x v="10"/>
    <n v="270.39999999999998"/>
    <n v="0"/>
  </r>
  <r>
    <x v="7"/>
    <x v="8"/>
    <x v="11"/>
    <x v="11"/>
    <n v="396.8"/>
    <n v="0"/>
  </r>
  <r>
    <x v="8"/>
    <x v="8"/>
    <x v="0"/>
    <x v="0"/>
    <n v="324.5"/>
    <n v="0"/>
  </r>
  <r>
    <x v="8"/>
    <x v="8"/>
    <x v="1"/>
    <x v="1"/>
    <n v="299"/>
    <n v="0"/>
  </r>
  <r>
    <x v="8"/>
    <x v="8"/>
    <x v="2"/>
    <x v="2"/>
    <n v="299.8"/>
    <n v="0"/>
  </r>
  <r>
    <x v="8"/>
    <x v="8"/>
    <x v="3"/>
    <x v="3"/>
    <n v="238.2"/>
    <n v="2.1"/>
  </r>
  <r>
    <x v="8"/>
    <x v="8"/>
    <x v="4"/>
    <x v="4"/>
    <n v="91.4"/>
    <n v="31"/>
  </r>
  <r>
    <x v="8"/>
    <x v="8"/>
    <x v="5"/>
    <x v="5"/>
    <n v="65.2"/>
    <n v="43.8"/>
  </r>
  <r>
    <x v="8"/>
    <x v="8"/>
    <x v="6"/>
    <x v="6"/>
    <n v="41.7"/>
    <n v="72.599999999999994"/>
  </r>
  <r>
    <x v="8"/>
    <x v="8"/>
    <x v="7"/>
    <x v="7"/>
    <n v="35.799999999999997"/>
    <n v="61.5"/>
  </r>
  <r>
    <x v="8"/>
    <x v="8"/>
    <x v="8"/>
    <x v="8"/>
    <n v="115.6"/>
    <n v="13.6"/>
  </r>
  <r>
    <x v="8"/>
    <x v="8"/>
    <x v="9"/>
    <x v="9"/>
    <n v="199.8"/>
    <n v="4.5999999999999996"/>
  </r>
  <r>
    <x v="8"/>
    <x v="8"/>
    <x v="10"/>
    <x v="10"/>
    <n v="273.10000000000002"/>
    <n v="0"/>
  </r>
  <r>
    <x v="8"/>
    <x v="8"/>
    <x v="11"/>
    <x v="11"/>
    <n v="414.8"/>
    <n v="0"/>
  </r>
  <r>
    <x v="7"/>
    <x v="9"/>
    <x v="0"/>
    <x v="0"/>
    <n v="432.6"/>
    <n v="0"/>
  </r>
  <r>
    <x v="7"/>
    <x v="9"/>
    <x v="1"/>
    <x v="1"/>
    <n v="339.3"/>
    <n v="0"/>
  </r>
  <r>
    <x v="7"/>
    <x v="9"/>
    <x v="2"/>
    <x v="2"/>
    <n v="290.8"/>
    <n v="0.4"/>
  </r>
  <r>
    <x v="7"/>
    <x v="9"/>
    <x v="3"/>
    <x v="3"/>
    <n v="207.8"/>
    <n v="2.2000000000000002"/>
  </r>
  <r>
    <x v="7"/>
    <x v="9"/>
    <x v="4"/>
    <x v="4"/>
    <n v="112.2"/>
    <n v="20.6"/>
  </r>
  <r>
    <x v="7"/>
    <x v="9"/>
    <x v="5"/>
    <x v="5"/>
    <n v="55.6"/>
    <n v="64.7"/>
  </r>
  <r>
    <x v="7"/>
    <x v="9"/>
    <x v="6"/>
    <x v="6"/>
    <n v="50.3"/>
    <n v="61.9"/>
  </r>
  <r>
    <x v="7"/>
    <x v="9"/>
    <x v="7"/>
    <x v="7"/>
    <n v="37.200000000000003"/>
    <n v="95"/>
  </r>
  <r>
    <x v="7"/>
    <x v="9"/>
    <x v="8"/>
    <x v="8"/>
    <n v="56.3"/>
    <n v="50.4"/>
  </r>
  <r>
    <x v="7"/>
    <x v="9"/>
    <x v="9"/>
    <x v="9"/>
    <n v="141.5"/>
    <n v="12.1"/>
  </r>
  <r>
    <x v="7"/>
    <x v="9"/>
    <x v="10"/>
    <x v="10"/>
    <n v="208.4"/>
    <n v="0"/>
  </r>
  <r>
    <x v="7"/>
    <x v="9"/>
    <x v="11"/>
    <x v="11"/>
    <n v="384.4"/>
    <n v="0"/>
  </r>
  <r>
    <x v="8"/>
    <x v="9"/>
    <x v="0"/>
    <x v="0"/>
    <n v="459.4"/>
    <n v="0"/>
  </r>
  <r>
    <x v="8"/>
    <x v="9"/>
    <x v="1"/>
    <x v="1"/>
    <n v="353.4"/>
    <n v="0"/>
  </r>
  <r>
    <x v="8"/>
    <x v="9"/>
    <x v="2"/>
    <x v="2"/>
    <n v="299.7"/>
    <n v="0.2"/>
  </r>
  <r>
    <x v="8"/>
    <x v="9"/>
    <x v="3"/>
    <x v="3"/>
    <n v="203.2"/>
    <n v="2.2000000000000002"/>
  </r>
  <r>
    <x v="8"/>
    <x v="9"/>
    <x v="4"/>
    <x v="4"/>
    <n v="111"/>
    <n v="22.3"/>
  </r>
  <r>
    <x v="8"/>
    <x v="9"/>
    <x v="5"/>
    <x v="5"/>
    <n v="62"/>
    <n v="61"/>
  </r>
  <r>
    <x v="8"/>
    <x v="9"/>
    <x v="6"/>
    <x v="6"/>
    <n v="36.299999999999997"/>
    <n v="79.5"/>
  </r>
  <r>
    <x v="8"/>
    <x v="9"/>
    <x v="7"/>
    <x v="7"/>
    <n v="31.7"/>
    <n v="106.9"/>
  </r>
  <r>
    <x v="8"/>
    <x v="9"/>
    <x v="8"/>
    <x v="8"/>
    <n v="64.8"/>
    <n v="45"/>
  </r>
  <r>
    <x v="8"/>
    <x v="9"/>
    <x v="9"/>
    <x v="9"/>
    <n v="150"/>
    <n v="12.7"/>
  </r>
  <r>
    <x v="8"/>
    <x v="9"/>
    <x v="10"/>
    <x v="10"/>
    <n v="212.6"/>
    <n v="0"/>
  </r>
  <r>
    <x v="8"/>
    <x v="9"/>
    <x v="11"/>
    <x v="11"/>
    <n v="397.6"/>
    <n v="0"/>
  </r>
  <r>
    <x v="7"/>
    <x v="10"/>
    <x v="0"/>
    <x v="0"/>
    <n v="461.3"/>
    <n v="0"/>
  </r>
  <r>
    <x v="7"/>
    <x v="10"/>
    <x v="1"/>
    <x v="1"/>
    <n v="353.5"/>
    <n v="0"/>
  </r>
  <r>
    <x v="7"/>
    <x v="10"/>
    <x v="2"/>
    <x v="2"/>
    <n v="312.89999999999998"/>
    <n v="0.2"/>
  </r>
  <r>
    <x v="7"/>
    <x v="10"/>
    <x v="3"/>
    <x v="3"/>
    <n v="182.4"/>
    <n v="7.4"/>
  </r>
  <r>
    <x v="7"/>
    <x v="10"/>
    <x v="4"/>
    <x v="4"/>
    <n v="154.80000000000001"/>
    <n v="22.4"/>
  </r>
  <r>
    <x v="7"/>
    <x v="10"/>
    <x v="5"/>
    <x v="5"/>
    <n v="46.4"/>
    <n v="66.400000000000006"/>
  </r>
  <r>
    <x v="7"/>
    <x v="10"/>
    <x v="6"/>
    <x v="6"/>
    <n v="25.6"/>
    <n v="102"/>
  </r>
  <r>
    <x v="7"/>
    <x v="10"/>
    <x v="7"/>
    <x v="7"/>
    <n v="47.9"/>
    <n v="64.599999999999994"/>
  </r>
  <r>
    <x v="7"/>
    <x v="10"/>
    <x v="8"/>
    <x v="8"/>
    <n v="92.3"/>
    <n v="43.5"/>
  </r>
  <r>
    <x v="7"/>
    <x v="10"/>
    <x v="9"/>
    <x v="9"/>
    <n v="174.5"/>
    <n v="11.4"/>
  </r>
  <r>
    <x v="7"/>
    <x v="10"/>
    <x v="10"/>
    <x v="10"/>
    <n v="299"/>
    <n v="0"/>
  </r>
  <r>
    <x v="7"/>
    <x v="10"/>
    <x v="11"/>
    <x v="11"/>
    <n v="479.1"/>
    <n v="0"/>
  </r>
  <r>
    <x v="8"/>
    <x v="10"/>
    <x v="0"/>
    <x v="0"/>
    <n v="476.2"/>
    <n v="0"/>
  </r>
  <r>
    <x v="8"/>
    <x v="10"/>
    <x v="1"/>
    <x v="1"/>
    <n v="359.6"/>
    <n v="0"/>
  </r>
  <r>
    <x v="8"/>
    <x v="10"/>
    <x v="2"/>
    <x v="2"/>
    <n v="306.60000000000002"/>
    <n v="0.5"/>
  </r>
  <r>
    <x v="8"/>
    <x v="10"/>
    <x v="3"/>
    <x v="3"/>
    <n v="195.3"/>
    <n v="8.3000000000000007"/>
  </r>
  <r>
    <x v="8"/>
    <x v="10"/>
    <x v="4"/>
    <x v="4"/>
    <n v="164.5"/>
    <n v="21.7"/>
  </r>
  <r>
    <x v="8"/>
    <x v="10"/>
    <x v="5"/>
    <x v="5"/>
    <n v="47.6"/>
    <n v="66.099999999999994"/>
  </r>
  <r>
    <x v="8"/>
    <x v="10"/>
    <x v="6"/>
    <x v="6"/>
    <n v="21.1"/>
    <n v="127.1"/>
  </r>
  <r>
    <x v="8"/>
    <x v="10"/>
    <x v="7"/>
    <x v="7"/>
    <n v="38.299999999999997"/>
    <n v="80.2"/>
  </r>
  <r>
    <x v="8"/>
    <x v="10"/>
    <x v="8"/>
    <x v="8"/>
    <n v="88.7"/>
    <n v="43.5"/>
  </r>
  <r>
    <x v="8"/>
    <x v="10"/>
    <x v="9"/>
    <x v="9"/>
    <n v="180.9"/>
    <n v="10.9"/>
  </r>
  <r>
    <x v="8"/>
    <x v="10"/>
    <x v="10"/>
    <x v="10"/>
    <n v="297.7"/>
    <n v="0.1"/>
  </r>
  <r>
    <x v="8"/>
    <x v="10"/>
    <x v="11"/>
    <x v="11"/>
    <n v="493.1"/>
    <n v="0"/>
  </r>
  <r>
    <x v="7"/>
    <x v="11"/>
    <x v="0"/>
    <x v="0"/>
    <n v="377.7"/>
    <n v="0"/>
  </r>
  <r>
    <x v="7"/>
    <x v="11"/>
    <x v="1"/>
    <x v="1"/>
    <n v="271.3"/>
    <n v="0"/>
  </r>
  <r>
    <x v="7"/>
    <x v="11"/>
    <x v="2"/>
    <x v="2"/>
    <n v="256.39999999999998"/>
    <n v="1"/>
  </r>
  <r>
    <x v="7"/>
    <x v="11"/>
    <x v="3"/>
    <x v="3"/>
    <n v="123.5"/>
    <n v="24.8"/>
  </r>
  <r>
    <x v="7"/>
    <x v="11"/>
    <x v="4"/>
    <x v="4"/>
    <n v="98.5"/>
    <n v="27.2"/>
  </r>
  <r>
    <x v="7"/>
    <x v="11"/>
    <x v="5"/>
    <x v="5"/>
    <n v="67.099999999999994"/>
    <n v="46.3"/>
  </r>
  <r>
    <x v="7"/>
    <x v="11"/>
    <x v="6"/>
    <x v="6"/>
    <n v="53"/>
    <n v="49.4"/>
  </r>
  <r>
    <x v="7"/>
    <x v="11"/>
    <x v="7"/>
    <x v="7"/>
    <n v="39.1"/>
    <n v="59.2"/>
  </r>
  <r>
    <x v="7"/>
    <x v="11"/>
    <x v="8"/>
    <x v="8"/>
    <n v="51.9"/>
    <n v="49.4"/>
  </r>
  <r>
    <x v="7"/>
    <x v="11"/>
    <x v="9"/>
    <x v="9"/>
    <n v="131.30000000000001"/>
    <n v="16.5"/>
  </r>
  <r>
    <x v="7"/>
    <x v="11"/>
    <x v="10"/>
    <x v="10"/>
    <n v="169.3"/>
    <n v="0.6"/>
  </r>
  <r>
    <x v="7"/>
    <x v="11"/>
    <x v="11"/>
    <x v="11"/>
    <n v="290.39999999999998"/>
    <n v="0"/>
  </r>
  <r>
    <x v="8"/>
    <x v="11"/>
    <x v="0"/>
    <x v="0"/>
    <n v="387.8"/>
    <n v="0"/>
  </r>
  <r>
    <x v="8"/>
    <x v="11"/>
    <x v="1"/>
    <x v="1"/>
    <n v="283.7"/>
    <n v="0"/>
  </r>
  <r>
    <x v="8"/>
    <x v="11"/>
    <x v="2"/>
    <x v="2"/>
    <n v="179.5"/>
    <n v="1.2"/>
  </r>
  <r>
    <x v="8"/>
    <x v="11"/>
    <x v="3"/>
    <x v="3"/>
    <n v="131.6"/>
    <n v="25.5"/>
  </r>
  <r>
    <x v="8"/>
    <x v="11"/>
    <x v="4"/>
    <x v="4"/>
    <n v="101.6"/>
    <n v="32.9"/>
  </r>
  <r>
    <x v="8"/>
    <x v="11"/>
    <x v="5"/>
    <x v="5"/>
    <n v="62.3"/>
    <n v="54"/>
  </r>
  <r>
    <x v="8"/>
    <x v="11"/>
    <x v="6"/>
    <x v="6"/>
    <n v="50.3"/>
    <n v="53.7"/>
  </r>
  <r>
    <x v="8"/>
    <x v="11"/>
    <x v="7"/>
    <x v="7"/>
    <n v="38.6"/>
    <n v="68.900000000000006"/>
  </r>
  <r>
    <x v="8"/>
    <x v="11"/>
    <x v="8"/>
    <x v="8"/>
    <n v="68.8"/>
    <n v="38.6"/>
  </r>
  <r>
    <x v="8"/>
    <x v="11"/>
    <x v="9"/>
    <x v="9"/>
    <n v="139"/>
    <n v="17.899999999999999"/>
  </r>
  <r>
    <x v="8"/>
    <x v="11"/>
    <x v="10"/>
    <x v="10"/>
    <n v="181.3"/>
    <n v="0.8"/>
  </r>
  <r>
    <x v="8"/>
    <x v="11"/>
    <x v="11"/>
    <x v="11"/>
    <n v="294"/>
    <n v="0"/>
  </r>
  <r>
    <x v="7"/>
    <x v="12"/>
    <x v="0"/>
    <x v="0"/>
    <n v="335.8"/>
    <n v="0"/>
  </r>
  <r>
    <x v="7"/>
    <x v="12"/>
    <x v="1"/>
    <x v="1"/>
    <n v="424.4"/>
    <n v="0"/>
  </r>
  <r>
    <x v="7"/>
    <x v="12"/>
    <x v="2"/>
    <x v="2"/>
    <n v="231.2"/>
    <n v="6.6"/>
  </r>
  <r>
    <x v="7"/>
    <x v="12"/>
    <x v="3"/>
    <x v="3"/>
    <n v="247.5"/>
    <n v="0"/>
  </r>
  <r>
    <x v="7"/>
    <x v="12"/>
    <x v="4"/>
    <x v="4"/>
    <n v="121.3"/>
    <n v="28.5"/>
  </r>
  <r>
    <x v="7"/>
    <x v="12"/>
    <x v="5"/>
    <x v="5"/>
    <n v="61.8"/>
    <n v="32.5"/>
  </r>
  <r>
    <x v="7"/>
    <x v="12"/>
    <x v="6"/>
    <x v="6"/>
    <n v="55.5"/>
    <n v="55.1"/>
  </r>
  <r>
    <x v="7"/>
    <x v="12"/>
    <x v="7"/>
    <x v="7"/>
    <n v="30.8"/>
    <n v="98.1"/>
  </r>
  <r>
    <x v="7"/>
    <x v="12"/>
    <x v="8"/>
    <x v="8"/>
    <n v="85.6"/>
    <n v="38.9"/>
  </r>
  <r>
    <x v="7"/>
    <x v="12"/>
    <x v="9"/>
    <x v="9"/>
    <n v="147"/>
    <n v="6.7"/>
  </r>
  <r>
    <x v="7"/>
    <x v="12"/>
    <x v="10"/>
    <x v="10"/>
    <n v="269.5"/>
    <n v="0"/>
  </r>
  <r>
    <x v="7"/>
    <x v="12"/>
    <x v="11"/>
    <x v="11"/>
    <n v="304.60000000000002"/>
    <n v="0"/>
  </r>
  <r>
    <x v="8"/>
    <x v="12"/>
    <x v="0"/>
    <x v="0"/>
    <n v="341.3"/>
    <n v="0"/>
  </r>
  <r>
    <x v="8"/>
    <x v="12"/>
    <x v="1"/>
    <x v="1"/>
    <n v="451.6"/>
    <n v="0"/>
  </r>
  <r>
    <x v="8"/>
    <x v="12"/>
    <x v="2"/>
    <x v="2"/>
    <n v="244"/>
    <n v="5.6"/>
  </r>
  <r>
    <x v="8"/>
    <x v="12"/>
    <x v="3"/>
    <x v="3"/>
    <n v="251.2"/>
    <n v="0"/>
  </r>
  <r>
    <x v="8"/>
    <x v="12"/>
    <x v="4"/>
    <x v="4"/>
    <n v="123"/>
    <n v="30.2"/>
  </r>
  <r>
    <x v="8"/>
    <x v="12"/>
    <x v="5"/>
    <x v="5"/>
    <n v="54.8"/>
    <n v="37.4"/>
  </r>
  <r>
    <x v="8"/>
    <x v="12"/>
    <x v="6"/>
    <x v="6"/>
    <n v="48.3"/>
    <n v="61"/>
  </r>
  <r>
    <x v="8"/>
    <x v="12"/>
    <x v="7"/>
    <x v="7"/>
    <n v="27"/>
    <n v="101"/>
  </r>
  <r>
    <x v="8"/>
    <x v="12"/>
    <x v="8"/>
    <x v="8"/>
    <n v="94.5"/>
    <n v="36.700000000000003"/>
  </r>
  <r>
    <x v="8"/>
    <x v="12"/>
    <x v="9"/>
    <x v="9"/>
    <n v="146.5"/>
    <n v="7.7"/>
  </r>
  <r>
    <x v="8"/>
    <x v="12"/>
    <x v="10"/>
    <x v="10"/>
    <n v="280.60000000000002"/>
    <n v="0"/>
  </r>
  <r>
    <x v="8"/>
    <x v="12"/>
    <x v="11"/>
    <x v="11"/>
    <n v="312.2"/>
    <n v="0"/>
  </r>
  <r>
    <x v="7"/>
    <x v="13"/>
    <x v="0"/>
    <x v="0"/>
    <n v="378.2"/>
    <n v="0"/>
  </r>
  <r>
    <x v="7"/>
    <x v="13"/>
    <x v="1"/>
    <x v="1"/>
    <n v="361.1"/>
    <n v="0"/>
  </r>
  <r>
    <x v="7"/>
    <x v="13"/>
    <x v="2"/>
    <x v="2"/>
    <n v="335.2"/>
    <n v="0"/>
  </r>
  <r>
    <x v="7"/>
    <x v="13"/>
    <x v="3"/>
    <x v="3"/>
    <n v="243.2"/>
    <n v="5.6"/>
  </r>
  <r>
    <x v="7"/>
    <x v="13"/>
    <x v="4"/>
    <x v="4"/>
    <n v="178.2"/>
    <n v="3.6"/>
  </r>
  <r>
    <x v="7"/>
    <x v="13"/>
    <x v="5"/>
    <x v="5"/>
    <n v="72.7"/>
    <n v="30.8"/>
  </r>
  <r>
    <x v="7"/>
    <x v="13"/>
    <x v="6"/>
    <x v="6"/>
    <n v="12.2"/>
    <n v="146.30000000000001"/>
  </r>
  <r>
    <x v="7"/>
    <x v="13"/>
    <x v="7"/>
    <x v="7"/>
    <n v="37"/>
    <n v="86.2"/>
  </r>
  <r>
    <x v="7"/>
    <x v="13"/>
    <x v="8"/>
    <x v="8"/>
    <n v="61.3"/>
    <n v="54.1"/>
  </r>
  <r>
    <x v="7"/>
    <x v="13"/>
    <x v="9"/>
    <x v="9"/>
    <n v="102"/>
    <n v="17.3"/>
  </r>
  <r>
    <x v="7"/>
    <x v="13"/>
    <x v="10"/>
    <x v="10"/>
    <n v="278"/>
    <n v="0"/>
  </r>
  <r>
    <x v="7"/>
    <x v="13"/>
    <x v="11"/>
    <x v="11"/>
    <n v="340.6"/>
    <n v="0"/>
  </r>
  <r>
    <x v="8"/>
    <x v="13"/>
    <x v="0"/>
    <x v="0"/>
    <n v="391.2"/>
    <n v="0"/>
  </r>
  <r>
    <x v="8"/>
    <x v="13"/>
    <x v="1"/>
    <x v="1"/>
    <n v="378.6"/>
    <n v="0"/>
  </r>
  <r>
    <x v="8"/>
    <x v="13"/>
    <x v="2"/>
    <x v="2"/>
    <n v="347"/>
    <n v="0.1"/>
  </r>
  <r>
    <x v="8"/>
    <x v="13"/>
    <x v="3"/>
    <x v="3"/>
    <n v="246.8"/>
    <n v="6.9"/>
  </r>
  <r>
    <x v="8"/>
    <x v="13"/>
    <x v="4"/>
    <x v="4"/>
    <n v="182.6"/>
    <n v="3"/>
  </r>
  <r>
    <x v="8"/>
    <x v="13"/>
    <x v="5"/>
    <x v="5"/>
    <n v="72.2"/>
    <n v="30.9"/>
  </r>
  <r>
    <x v="8"/>
    <x v="13"/>
    <x v="6"/>
    <x v="6"/>
    <n v="13.6"/>
    <n v="125.3"/>
  </r>
  <r>
    <x v="8"/>
    <x v="13"/>
    <x v="7"/>
    <x v="7"/>
    <n v="36.700000000000003"/>
    <n v="91.6"/>
  </r>
  <r>
    <x v="8"/>
    <x v="13"/>
    <x v="8"/>
    <x v="8"/>
    <n v="63.5"/>
    <n v="47.7"/>
  </r>
  <r>
    <x v="8"/>
    <x v="13"/>
    <x v="9"/>
    <x v="9"/>
    <n v="103.6"/>
    <n v="16"/>
  </r>
  <r>
    <x v="8"/>
    <x v="13"/>
    <x v="10"/>
    <x v="10"/>
    <n v="293.89999999999998"/>
    <n v="0"/>
  </r>
  <r>
    <x v="8"/>
    <x v="13"/>
    <x v="11"/>
    <x v="11"/>
    <n v="355.4"/>
    <n v="0"/>
  </r>
  <r>
    <x v="7"/>
    <x v="14"/>
    <x v="0"/>
    <x v="0"/>
    <n v="300.5"/>
    <n v="0"/>
  </r>
  <r>
    <x v="7"/>
    <x v="14"/>
    <x v="1"/>
    <x v="1"/>
    <n v="269.89999999999998"/>
    <n v="0"/>
  </r>
  <r>
    <x v="7"/>
    <x v="14"/>
    <x v="2"/>
    <x v="2"/>
    <n v="259.39999999999998"/>
    <n v="1.4"/>
  </r>
  <r>
    <x v="7"/>
    <x v="14"/>
    <x v="3"/>
    <x v="3"/>
    <n v="172.4"/>
    <n v="2"/>
  </r>
  <r>
    <x v="7"/>
    <x v="14"/>
    <x v="4"/>
    <x v="4"/>
    <n v="137.19999999999999"/>
    <n v="8.6"/>
  </r>
  <r>
    <x v="7"/>
    <x v="14"/>
    <x v="5"/>
    <x v="5"/>
    <n v="49.8"/>
    <n v="63.1"/>
  </r>
  <r>
    <x v="7"/>
    <x v="14"/>
    <x v="6"/>
    <x v="6"/>
    <n v="27.6"/>
    <n v="103.5"/>
  </r>
  <r>
    <x v="7"/>
    <x v="14"/>
    <x v="7"/>
    <x v="7"/>
    <n v="55.2"/>
    <n v="46.6"/>
  </r>
  <r>
    <x v="7"/>
    <x v="14"/>
    <x v="8"/>
    <x v="8"/>
    <n v="41.7"/>
    <n v="79"/>
  </r>
  <r>
    <x v="7"/>
    <x v="14"/>
    <x v="9"/>
    <x v="9"/>
    <n v="99.6"/>
    <n v="20.5"/>
  </r>
  <r>
    <x v="7"/>
    <x v="14"/>
    <x v="10"/>
    <x v="10"/>
    <n v="195.3"/>
    <n v="0.2"/>
  </r>
  <r>
    <x v="7"/>
    <x v="14"/>
    <x v="11"/>
    <x v="11"/>
    <n v="338.1"/>
    <n v="0"/>
  </r>
  <r>
    <x v="8"/>
    <x v="14"/>
    <x v="0"/>
    <x v="0"/>
    <n v="311.60000000000002"/>
    <n v="0"/>
  </r>
  <r>
    <x v="8"/>
    <x v="14"/>
    <x v="1"/>
    <x v="1"/>
    <n v="267.2"/>
    <n v="0"/>
  </r>
  <r>
    <x v="8"/>
    <x v="14"/>
    <x v="2"/>
    <x v="2"/>
    <n v="261.60000000000002"/>
    <n v="1.7"/>
  </r>
  <r>
    <x v="8"/>
    <x v="14"/>
    <x v="3"/>
    <x v="3"/>
    <n v="178.2"/>
    <n v="2.2999999999999998"/>
  </r>
  <r>
    <x v="8"/>
    <x v="14"/>
    <x v="4"/>
    <x v="4"/>
    <n v="136.69999999999999"/>
    <n v="8.4"/>
  </r>
  <r>
    <x v="8"/>
    <x v="14"/>
    <x v="5"/>
    <x v="5"/>
    <n v="53.7"/>
    <n v="53.7"/>
  </r>
  <r>
    <x v="8"/>
    <x v="14"/>
    <x v="6"/>
    <x v="6"/>
    <n v="25.1"/>
    <n v="99.3"/>
  </r>
  <r>
    <x v="8"/>
    <x v="14"/>
    <x v="7"/>
    <x v="7"/>
    <n v="47"/>
    <n v="49.1"/>
  </r>
  <r>
    <x v="8"/>
    <x v="14"/>
    <x v="8"/>
    <x v="8"/>
    <n v="56.9"/>
    <n v="63.3"/>
  </r>
  <r>
    <x v="8"/>
    <x v="14"/>
    <x v="9"/>
    <x v="9"/>
    <n v="106.1"/>
    <n v="17.5"/>
  </r>
  <r>
    <x v="8"/>
    <x v="14"/>
    <x v="10"/>
    <x v="10"/>
    <n v="207.2"/>
    <n v="0.3"/>
  </r>
  <r>
    <x v="8"/>
    <x v="14"/>
    <x v="11"/>
    <x v="11"/>
    <n v="359.6"/>
    <n v="0"/>
  </r>
  <r>
    <x v="7"/>
    <x v="15"/>
    <x v="0"/>
    <x v="0"/>
    <n v="358"/>
    <n v="0"/>
  </r>
  <r>
    <x v="7"/>
    <x v="15"/>
    <x v="1"/>
    <x v="1"/>
    <n v="351.3"/>
    <n v="0"/>
  </r>
  <r>
    <x v="7"/>
    <x v="15"/>
    <x v="2"/>
    <x v="2"/>
    <n v="278"/>
    <n v="0"/>
  </r>
  <r>
    <x v="7"/>
    <x v="15"/>
    <x v="3"/>
    <x v="3"/>
    <n v="157.19999999999999"/>
    <n v="13.3"/>
  </r>
  <r>
    <x v="7"/>
    <x v="15"/>
    <x v="4"/>
    <x v="4"/>
    <n v="132.9"/>
    <n v="11.2"/>
  </r>
  <r>
    <x v="7"/>
    <x v="15"/>
    <x v="5"/>
    <x v="5"/>
    <n v="55.3"/>
    <n v="64.8"/>
  </r>
  <r>
    <x v="7"/>
    <x v="15"/>
    <x v="6"/>
    <x v="6"/>
    <n v="32.1"/>
    <n v="92.7"/>
  </r>
  <r>
    <x v="7"/>
    <x v="15"/>
    <x v="7"/>
    <x v="7"/>
    <n v="36.6"/>
    <n v="88.9"/>
  </r>
  <r>
    <x v="7"/>
    <x v="15"/>
    <x v="8"/>
    <x v="8"/>
    <n v="90.3"/>
    <n v="17.399999999999999"/>
  </r>
  <r>
    <x v="7"/>
    <x v="15"/>
    <x v="9"/>
    <x v="9"/>
    <n v="170.4"/>
    <n v="2"/>
  </r>
  <r>
    <x v="7"/>
    <x v="15"/>
    <x v="10"/>
    <x v="10"/>
    <n v="166.7"/>
    <n v="2.7"/>
  </r>
  <r>
    <x v="7"/>
    <x v="15"/>
    <x v="11"/>
    <x v="11"/>
    <n v="241.6"/>
    <n v="0"/>
  </r>
  <r>
    <x v="8"/>
    <x v="15"/>
    <x v="0"/>
    <x v="0"/>
    <n v="371.4"/>
    <n v="0"/>
  </r>
  <r>
    <x v="8"/>
    <x v="15"/>
    <x v="1"/>
    <x v="1"/>
    <n v="360.7"/>
    <n v="0"/>
  </r>
  <r>
    <x v="8"/>
    <x v="15"/>
    <x v="2"/>
    <x v="2"/>
    <n v="288.5"/>
    <n v="0.1"/>
  </r>
  <r>
    <x v="8"/>
    <x v="15"/>
    <x v="3"/>
    <x v="3"/>
    <n v="168.3"/>
    <n v="13.9"/>
  </r>
  <r>
    <x v="8"/>
    <x v="15"/>
    <x v="4"/>
    <x v="4"/>
    <n v="125.7"/>
    <n v="10.8"/>
  </r>
  <r>
    <x v="8"/>
    <x v="15"/>
    <x v="5"/>
    <x v="5"/>
    <n v="55.6"/>
    <n v="64.7"/>
  </r>
  <r>
    <x v="8"/>
    <x v="15"/>
    <x v="6"/>
    <x v="6"/>
    <n v="29"/>
    <n v="111"/>
  </r>
  <r>
    <x v="8"/>
    <x v="15"/>
    <x v="7"/>
    <x v="7"/>
    <n v="33.9"/>
    <n v="106.1"/>
  </r>
  <r>
    <x v="8"/>
    <x v="15"/>
    <x v="8"/>
    <x v="8"/>
    <n v="99.2"/>
    <n v="14.1"/>
  </r>
  <r>
    <x v="8"/>
    <x v="15"/>
    <x v="9"/>
    <x v="9"/>
    <n v="177.5"/>
    <n v="2.2000000000000002"/>
  </r>
  <r>
    <x v="8"/>
    <x v="15"/>
    <x v="10"/>
    <x v="10"/>
    <n v="175.4"/>
    <n v="3.6"/>
  </r>
  <r>
    <x v="8"/>
    <x v="15"/>
    <x v="11"/>
    <x v="11"/>
    <n v="241"/>
    <n v="0"/>
  </r>
  <r>
    <x v="7"/>
    <x v="16"/>
    <x v="0"/>
    <x v="0"/>
    <n v="317.7"/>
    <n v="0"/>
  </r>
  <r>
    <x v="7"/>
    <x v="16"/>
    <x v="1"/>
    <x v="1"/>
    <n v="302.8"/>
    <n v="0"/>
  </r>
  <r>
    <x v="7"/>
    <x v="16"/>
    <x v="2"/>
    <x v="2"/>
    <n v="310.39999999999998"/>
    <n v="0"/>
  </r>
  <r>
    <x v="7"/>
    <x v="16"/>
    <x v="3"/>
    <x v="3"/>
    <n v="241"/>
    <n v="0.6"/>
  </r>
  <r>
    <x v="7"/>
    <x v="16"/>
    <x v="4"/>
    <x v="4"/>
    <n v="121"/>
    <n v="15.2"/>
  </r>
  <r>
    <x v="7"/>
    <x v="16"/>
    <x v="5"/>
    <x v="5"/>
    <n v="51.4"/>
    <n v="34.1"/>
  </r>
  <r>
    <x v="7"/>
    <x v="16"/>
    <x v="6"/>
    <x v="6"/>
    <n v="36.5"/>
    <n v="87.5"/>
  </r>
  <r>
    <x v="7"/>
    <x v="16"/>
    <x v="7"/>
    <x v="7"/>
    <n v="29.5"/>
    <n v="121.3"/>
  </r>
  <r>
    <x v="7"/>
    <x v="16"/>
    <x v="8"/>
    <x v="8"/>
    <n v="42.4"/>
    <n v="73"/>
  </r>
  <r>
    <x v="7"/>
    <x v="16"/>
    <x v="9"/>
    <x v="9"/>
    <n v="186.1"/>
    <n v="1.8"/>
  </r>
  <r>
    <x v="7"/>
    <x v="16"/>
    <x v="10"/>
    <x v="10"/>
    <n v="264.10000000000002"/>
    <n v="0"/>
  </r>
  <r>
    <x v="7"/>
    <x v="16"/>
    <x v="11"/>
    <x v="11"/>
    <n v="355.6"/>
    <n v="0"/>
  </r>
  <r>
    <x v="8"/>
    <x v="16"/>
    <x v="0"/>
    <x v="0"/>
    <n v="328.7"/>
    <n v="0"/>
  </r>
  <r>
    <x v="8"/>
    <x v="16"/>
    <x v="1"/>
    <x v="1"/>
    <n v="314.5"/>
    <n v="0"/>
  </r>
  <r>
    <x v="8"/>
    <x v="16"/>
    <x v="2"/>
    <x v="2"/>
    <n v="324.89999999999998"/>
    <n v="0"/>
  </r>
  <r>
    <x v="8"/>
    <x v="16"/>
    <x v="3"/>
    <x v="3"/>
    <n v="241.6"/>
    <n v="0.4"/>
  </r>
  <r>
    <x v="8"/>
    <x v="16"/>
    <x v="4"/>
    <x v="4"/>
    <n v="122.4"/>
    <n v="15.3"/>
  </r>
  <r>
    <x v="8"/>
    <x v="16"/>
    <x v="5"/>
    <x v="5"/>
    <n v="49.7"/>
    <n v="37.200000000000003"/>
  </r>
  <r>
    <x v="8"/>
    <x v="16"/>
    <x v="6"/>
    <x v="6"/>
    <n v="33.799999999999997"/>
    <n v="95.2"/>
  </r>
  <r>
    <x v="8"/>
    <x v="16"/>
    <x v="7"/>
    <x v="7"/>
    <n v="30.3"/>
    <n v="128.5"/>
  </r>
  <r>
    <x v="8"/>
    <x v="16"/>
    <x v="8"/>
    <x v="8"/>
    <n v="36.1"/>
    <n v="78.5"/>
  </r>
  <r>
    <x v="8"/>
    <x v="16"/>
    <x v="9"/>
    <x v="9"/>
    <n v="198.4"/>
    <n v="1.8"/>
  </r>
  <r>
    <x v="8"/>
    <x v="16"/>
    <x v="10"/>
    <x v="10"/>
    <n v="275.7"/>
    <n v="0"/>
  </r>
  <r>
    <x v="8"/>
    <x v="16"/>
    <x v="11"/>
    <x v="11"/>
    <n v="384.6"/>
    <n v="0"/>
  </r>
  <r>
    <x v="7"/>
    <x v="17"/>
    <x v="0"/>
    <x v="0"/>
    <n v="427.2"/>
    <n v="0"/>
  </r>
  <r>
    <x v="7"/>
    <x v="17"/>
    <x v="1"/>
    <x v="1"/>
    <n v="270.7"/>
    <n v="0"/>
  </r>
  <r>
    <x v="7"/>
    <x v="17"/>
    <x v="2"/>
    <x v="2"/>
    <n v="222.3"/>
    <n v="2.8"/>
  </r>
  <r>
    <x v="7"/>
    <x v="17"/>
    <x v="3"/>
    <x v="3"/>
    <n v="213.5"/>
    <n v="5.5"/>
  </r>
  <r>
    <x v="7"/>
    <x v="17"/>
    <x v="4"/>
    <x v="4"/>
    <n v="93.2"/>
    <n v="49.9"/>
  </r>
  <r>
    <x v="7"/>
    <x v="17"/>
    <x v="5"/>
    <x v="5"/>
    <n v="41.3"/>
    <n v="89.4"/>
  </r>
  <r>
    <x v="7"/>
    <x v="17"/>
    <x v="6"/>
    <x v="6"/>
    <n v="25.5"/>
    <n v="102.9"/>
  </r>
  <r>
    <x v="7"/>
    <x v="17"/>
    <x v="7"/>
    <x v="7"/>
    <n v="37.700000000000003"/>
    <n v="90.9"/>
  </r>
  <r>
    <x v="7"/>
    <x v="17"/>
    <x v="8"/>
    <x v="8"/>
    <n v="88.6"/>
    <n v="19.7"/>
  </r>
  <r>
    <x v="7"/>
    <x v="17"/>
    <x v="9"/>
    <x v="9"/>
    <n v="110.5"/>
    <n v="14.8"/>
  </r>
  <r>
    <x v="7"/>
    <x v="17"/>
    <x v="10"/>
    <x v="10"/>
    <n v="278.7"/>
    <n v="0.5"/>
  </r>
  <r>
    <x v="7"/>
    <x v="17"/>
    <x v="11"/>
    <x v="11"/>
    <n v="335.8"/>
    <n v="0"/>
  </r>
  <r>
    <x v="8"/>
    <x v="17"/>
    <x v="0"/>
    <x v="0"/>
    <n v="444.3"/>
    <n v="0"/>
  </r>
  <r>
    <x v="8"/>
    <x v="17"/>
    <x v="1"/>
    <x v="1"/>
    <n v="278.39999999999998"/>
    <n v="0"/>
  </r>
  <r>
    <x v="8"/>
    <x v="17"/>
    <x v="2"/>
    <x v="2"/>
    <n v="225.6"/>
    <n v="2.7"/>
  </r>
  <r>
    <x v="8"/>
    <x v="17"/>
    <x v="3"/>
    <x v="3"/>
    <n v="228.5"/>
    <n v="5.2"/>
  </r>
  <r>
    <x v="8"/>
    <x v="17"/>
    <x v="4"/>
    <x v="4"/>
    <n v="100.1"/>
    <n v="40"/>
  </r>
  <r>
    <x v="8"/>
    <x v="17"/>
    <x v="5"/>
    <x v="5"/>
    <n v="36"/>
    <n v="107.8"/>
  </r>
  <r>
    <x v="8"/>
    <x v="17"/>
    <x v="6"/>
    <x v="6"/>
    <n v="22.2"/>
    <n v="108.4"/>
  </r>
  <r>
    <x v="8"/>
    <x v="17"/>
    <x v="7"/>
    <x v="7"/>
    <n v="31"/>
    <n v="97.8"/>
  </r>
  <r>
    <x v="8"/>
    <x v="17"/>
    <x v="8"/>
    <x v="8"/>
    <n v="80.3"/>
    <n v="21.7"/>
  </r>
  <r>
    <x v="8"/>
    <x v="17"/>
    <x v="9"/>
    <x v="9"/>
    <n v="117.9"/>
    <n v="13.3"/>
  </r>
  <r>
    <x v="8"/>
    <x v="17"/>
    <x v="10"/>
    <x v="10"/>
    <n v="281.7"/>
    <n v="0.3"/>
  </r>
  <r>
    <x v="8"/>
    <x v="17"/>
    <x v="11"/>
    <x v="11"/>
    <n v="347.2"/>
    <n v="0"/>
  </r>
  <r>
    <x v="7"/>
    <x v="18"/>
    <x v="0"/>
    <x v="0"/>
    <n v="278.60000000000002"/>
    <n v="0"/>
  </r>
  <r>
    <x v="7"/>
    <x v="18"/>
    <x v="1"/>
    <x v="1"/>
    <n v="377.9"/>
    <n v="0"/>
  </r>
  <r>
    <x v="7"/>
    <x v="18"/>
    <x v="2"/>
    <x v="2"/>
    <n v="295.39999999999998"/>
    <n v="0"/>
  </r>
  <r>
    <x v="7"/>
    <x v="18"/>
    <x v="3"/>
    <x v="3"/>
    <n v="157.9"/>
    <n v="13.9"/>
  </r>
  <r>
    <x v="7"/>
    <x v="18"/>
    <x v="4"/>
    <x v="4"/>
    <n v="92"/>
    <n v="39"/>
  </r>
  <r>
    <x v="7"/>
    <x v="18"/>
    <x v="5"/>
    <x v="5"/>
    <n v="27.3"/>
    <n v="84.4"/>
  </r>
  <r>
    <x v="7"/>
    <x v="18"/>
    <x v="6"/>
    <x v="6"/>
    <n v="11.6"/>
    <n v="135"/>
  </r>
  <r>
    <x v="7"/>
    <x v="18"/>
    <x v="7"/>
    <x v="7"/>
    <n v="29.7"/>
    <n v="123.5"/>
  </r>
  <r>
    <x v="7"/>
    <x v="18"/>
    <x v="8"/>
    <x v="8"/>
    <n v="61.1"/>
    <n v="61.6"/>
  </r>
  <r>
    <x v="7"/>
    <x v="18"/>
    <x v="9"/>
    <x v="9"/>
    <n v="146.6"/>
    <n v="20.9"/>
  </r>
  <r>
    <x v="7"/>
    <x v="18"/>
    <x v="10"/>
    <x v="10"/>
    <n v="267.7"/>
    <n v="0.1"/>
  </r>
  <r>
    <x v="7"/>
    <x v="18"/>
    <x v="11"/>
    <x v="11"/>
    <n v="285.89999999999998"/>
    <n v="0"/>
  </r>
  <r>
    <x v="8"/>
    <x v="18"/>
    <x v="0"/>
    <x v="0"/>
    <n v="277.39999999999998"/>
    <n v="0"/>
  </r>
  <r>
    <x v="8"/>
    <x v="18"/>
    <x v="1"/>
    <x v="1"/>
    <n v="393.5"/>
    <n v="0"/>
  </r>
  <r>
    <x v="8"/>
    <x v="18"/>
    <x v="2"/>
    <x v="2"/>
    <n v="296"/>
    <n v="0"/>
  </r>
  <r>
    <x v="8"/>
    <x v="18"/>
    <x v="3"/>
    <x v="3"/>
    <n v="152.4"/>
    <n v="16"/>
  </r>
  <r>
    <x v="8"/>
    <x v="18"/>
    <x v="4"/>
    <x v="4"/>
    <n v="95"/>
    <n v="42.1"/>
  </r>
  <r>
    <x v="8"/>
    <x v="18"/>
    <x v="5"/>
    <x v="5"/>
    <n v="29.5"/>
    <n v="74.5"/>
  </r>
  <r>
    <x v="8"/>
    <x v="18"/>
    <x v="6"/>
    <x v="6"/>
    <n v="10.8"/>
    <n v="155.5"/>
  </r>
  <r>
    <x v="8"/>
    <x v="18"/>
    <x v="7"/>
    <x v="7"/>
    <n v="26.5"/>
    <n v="135"/>
  </r>
  <r>
    <x v="8"/>
    <x v="18"/>
    <x v="8"/>
    <x v="8"/>
    <n v="74.5"/>
    <n v="61.2"/>
  </r>
  <r>
    <x v="8"/>
    <x v="18"/>
    <x v="9"/>
    <x v="9"/>
    <n v="156.9"/>
    <n v="20.7"/>
  </r>
  <r>
    <x v="8"/>
    <x v="18"/>
    <x v="10"/>
    <x v="10"/>
    <n v="274.5"/>
    <n v="0"/>
  </r>
  <r>
    <x v="8"/>
    <x v="18"/>
    <x v="11"/>
    <x v="11"/>
    <n v="302.89999999999998"/>
    <n v="0"/>
  </r>
  <r>
    <x v="7"/>
    <x v="19"/>
    <x v="0"/>
    <x v="0"/>
    <n v="375.6"/>
    <n v="0"/>
  </r>
  <r>
    <x v="7"/>
    <x v="19"/>
    <x v="1"/>
    <x v="1"/>
    <n v="268.3"/>
    <n v="1.5"/>
  </r>
  <r>
    <x v="7"/>
    <x v="19"/>
    <x v="2"/>
    <x v="2"/>
    <n v="249.7"/>
    <n v="0.8"/>
  </r>
  <r>
    <x v="7"/>
    <x v="19"/>
    <x v="3"/>
    <x v="3"/>
    <n v="201.3"/>
    <n v="8.4"/>
  </r>
  <r>
    <x v="7"/>
    <x v="19"/>
    <x v="4"/>
    <x v="4"/>
    <n v="141.9"/>
    <n v="11.9"/>
  </r>
  <r>
    <x v="7"/>
    <x v="19"/>
    <x v="5"/>
    <x v="5"/>
    <n v="63.9"/>
    <n v="83.3"/>
  </r>
  <r>
    <x v="7"/>
    <x v="19"/>
    <x v="6"/>
    <x v="6"/>
    <n v="17.100000000000001"/>
    <n v="144.30000000000001"/>
  </r>
  <r>
    <x v="7"/>
    <x v="19"/>
    <x v="7"/>
    <x v="7"/>
    <n v="28.9"/>
    <n v="98.3"/>
  </r>
  <r>
    <x v="7"/>
    <x v="19"/>
    <x v="8"/>
    <x v="8"/>
    <n v="54"/>
    <n v="51.9"/>
  </r>
  <r>
    <x v="7"/>
    <x v="19"/>
    <x v="9"/>
    <x v="9"/>
    <n v="116.9"/>
    <n v="5.8"/>
  </r>
  <r>
    <x v="7"/>
    <x v="19"/>
    <x v="10"/>
    <x v="10"/>
    <n v="282.39999999999998"/>
    <n v="0"/>
  </r>
  <r>
    <x v="7"/>
    <x v="19"/>
    <x v="11"/>
    <x v="11"/>
    <n v="302.60000000000002"/>
    <n v="0"/>
  </r>
  <r>
    <x v="8"/>
    <x v="19"/>
    <x v="0"/>
    <x v="0"/>
    <n v="390.6"/>
    <n v="0"/>
  </r>
  <r>
    <x v="8"/>
    <x v="19"/>
    <x v="1"/>
    <x v="1"/>
    <n v="283.8"/>
    <n v="0.6"/>
  </r>
  <r>
    <x v="8"/>
    <x v="19"/>
    <x v="2"/>
    <x v="2"/>
    <n v="253.7"/>
    <n v="0.7"/>
  </r>
  <r>
    <x v="8"/>
    <x v="19"/>
    <x v="3"/>
    <x v="3"/>
    <n v="208.8"/>
    <n v="8.1999999999999993"/>
  </r>
  <r>
    <x v="8"/>
    <x v="19"/>
    <x v="4"/>
    <x v="4"/>
    <n v="146.4"/>
    <n v="13.2"/>
  </r>
  <r>
    <x v="8"/>
    <x v="19"/>
    <x v="5"/>
    <x v="5"/>
    <n v="57.8"/>
    <n v="95.9"/>
  </r>
  <r>
    <x v="8"/>
    <x v="19"/>
    <x v="6"/>
    <x v="6"/>
    <n v="20.2"/>
    <n v="151.6"/>
  </r>
  <r>
    <x v="8"/>
    <x v="19"/>
    <x v="7"/>
    <x v="7"/>
    <n v="28.7"/>
    <n v="107.1"/>
  </r>
  <r>
    <x v="8"/>
    <x v="19"/>
    <x v="8"/>
    <x v="8"/>
    <n v="63.1"/>
    <n v="48.3"/>
  </r>
  <r>
    <x v="8"/>
    <x v="19"/>
    <x v="9"/>
    <x v="9"/>
    <n v="115.9"/>
    <n v="9.3000000000000007"/>
  </r>
  <r>
    <x v="8"/>
    <x v="19"/>
    <x v="10"/>
    <x v="10"/>
    <n v="282.3"/>
    <n v="0"/>
  </r>
  <r>
    <x v="8"/>
    <x v="19"/>
    <x v="11"/>
    <x v="11"/>
    <n v="309.60000000000002"/>
    <n v="0"/>
  </r>
  <r>
    <x v="7"/>
    <x v="20"/>
    <x v="0"/>
    <x v="0"/>
    <n v="306.3"/>
    <n v="0"/>
  </r>
  <r>
    <x v="7"/>
    <x v="20"/>
    <x v="1"/>
    <x v="1"/>
    <n v="240.6"/>
    <n v="0"/>
  </r>
  <r>
    <x v="7"/>
    <x v="20"/>
    <x v="2"/>
    <x v="2"/>
    <n v="258"/>
    <n v="1.2"/>
  </r>
  <r>
    <x v="7"/>
    <x v="20"/>
    <x v="3"/>
    <x v="3"/>
    <n v="126"/>
    <n v="18.899999999999999"/>
  </r>
  <r>
    <x v="7"/>
    <x v="20"/>
    <x v="4"/>
    <x v="4"/>
    <n v="86.7"/>
    <n v="47.7"/>
  </r>
  <r>
    <x v="7"/>
    <x v="20"/>
    <x v="5"/>
    <x v="5"/>
    <n v="61.6"/>
    <n v="40.6"/>
  </r>
  <r>
    <x v="7"/>
    <x v="20"/>
    <x v="6"/>
    <x v="6"/>
    <n v="34.799999999999997"/>
    <n v="90"/>
  </r>
  <r>
    <x v="7"/>
    <x v="20"/>
    <x v="7"/>
    <x v="7"/>
    <n v="29.5"/>
    <n v="118.2"/>
  </r>
  <r>
    <x v="7"/>
    <x v="20"/>
    <x v="8"/>
    <x v="8"/>
    <n v="59.1"/>
    <n v="68.8"/>
  </r>
  <r>
    <x v="7"/>
    <x v="20"/>
    <x v="9"/>
    <x v="9"/>
    <n v="164.3"/>
    <n v="1.6"/>
  </r>
  <r>
    <x v="7"/>
    <x v="20"/>
    <x v="10"/>
    <x v="10"/>
    <n v="218.5"/>
    <n v="0.6"/>
  </r>
  <r>
    <x v="7"/>
    <x v="20"/>
    <x v="11"/>
    <x v="11"/>
    <n v="321.60000000000002"/>
    <n v="0"/>
  </r>
  <r>
    <x v="8"/>
    <x v="20"/>
    <x v="0"/>
    <x v="0"/>
    <n v="316.8"/>
    <n v="0"/>
  </r>
  <r>
    <x v="8"/>
    <x v="20"/>
    <x v="1"/>
    <x v="1"/>
    <n v="239.4"/>
    <n v="0.1"/>
  </r>
  <r>
    <x v="8"/>
    <x v="20"/>
    <x v="2"/>
    <x v="2"/>
    <n v="270.5"/>
    <n v="1.2"/>
  </r>
  <r>
    <x v="8"/>
    <x v="20"/>
    <x v="3"/>
    <x v="3"/>
    <n v="132.69999999999999"/>
    <n v="23.1"/>
  </r>
  <r>
    <x v="8"/>
    <x v="20"/>
    <x v="4"/>
    <x v="4"/>
    <n v="99.9"/>
    <n v="42.8"/>
  </r>
  <r>
    <x v="8"/>
    <x v="20"/>
    <x v="5"/>
    <x v="5"/>
    <n v="59.4"/>
    <n v="47.2"/>
  </r>
  <r>
    <x v="8"/>
    <x v="20"/>
    <x v="6"/>
    <x v="6"/>
    <n v="36.200000000000003"/>
    <n v="95.6"/>
  </r>
  <r>
    <x v="8"/>
    <x v="20"/>
    <x v="7"/>
    <x v="7"/>
    <n v="24.6"/>
    <n v="128.5"/>
  </r>
  <r>
    <x v="8"/>
    <x v="20"/>
    <x v="8"/>
    <x v="8"/>
    <n v="59.5"/>
    <n v="72"/>
  </r>
  <r>
    <x v="8"/>
    <x v="20"/>
    <x v="9"/>
    <x v="9"/>
    <n v="157.9"/>
    <n v="1.7"/>
  </r>
  <r>
    <x v="8"/>
    <x v="20"/>
    <x v="10"/>
    <x v="10"/>
    <n v="226.2"/>
    <n v="0.5"/>
  </r>
  <r>
    <x v="8"/>
    <x v="20"/>
    <x v="11"/>
    <x v="11"/>
    <n v="321.5"/>
    <n v="0"/>
  </r>
  <r>
    <x v="7"/>
    <x v="21"/>
    <x v="0"/>
    <x v="0"/>
    <n v="391.4"/>
    <n v="0"/>
  </r>
  <r>
    <x v="7"/>
    <x v="21"/>
    <x v="1"/>
    <x v="1"/>
    <n v="281.60000000000002"/>
    <n v="0.1"/>
  </r>
  <r>
    <x v="7"/>
    <x v="21"/>
    <x v="2"/>
    <x v="2"/>
    <n v="283.2"/>
    <n v="3.4"/>
  </r>
  <r>
    <x v="7"/>
    <x v="21"/>
    <x v="3"/>
    <x v="3"/>
    <n v="227.9"/>
    <n v="8.4"/>
  </r>
  <r>
    <x v="7"/>
    <x v="21"/>
    <x v="4"/>
    <x v="4"/>
    <n v="156.1"/>
    <n v="12"/>
  </r>
  <r>
    <x v="7"/>
    <x v="21"/>
    <x v="5"/>
    <x v="5"/>
    <n v="43.4"/>
    <n v="69.2"/>
  </r>
  <r>
    <x v="7"/>
    <x v="21"/>
    <x v="6"/>
    <x v="6"/>
    <n v="32.6"/>
    <n v="76.3"/>
  </r>
  <r>
    <x v="7"/>
    <x v="21"/>
    <x v="7"/>
    <x v="7"/>
    <n v="38.700000000000003"/>
    <n v="56.4"/>
  </r>
  <r>
    <x v="7"/>
    <x v="21"/>
    <x v="8"/>
    <x v="8"/>
    <n v="42"/>
    <n v="77.5"/>
  </r>
  <r>
    <x v="7"/>
    <x v="21"/>
    <x v="9"/>
    <x v="9"/>
    <n v="148.4"/>
    <n v="4.9000000000000004"/>
  </r>
  <r>
    <x v="7"/>
    <x v="21"/>
    <x v="10"/>
    <x v="10"/>
    <n v="316.3"/>
    <n v="0"/>
  </r>
  <r>
    <x v="7"/>
    <x v="21"/>
    <x v="11"/>
    <x v="11"/>
    <n v="312.7"/>
    <n v="0"/>
  </r>
  <r>
    <x v="8"/>
    <x v="21"/>
    <x v="0"/>
    <x v="0"/>
    <n v="398.3"/>
    <n v="0"/>
  </r>
  <r>
    <x v="8"/>
    <x v="21"/>
    <x v="1"/>
    <x v="1"/>
    <n v="283.89999999999998"/>
    <n v="0.2"/>
  </r>
  <r>
    <x v="8"/>
    <x v="21"/>
    <x v="2"/>
    <x v="2"/>
    <n v="295.8"/>
    <n v="3.7"/>
  </r>
  <r>
    <x v="8"/>
    <x v="21"/>
    <x v="3"/>
    <x v="3"/>
    <n v="245.3"/>
    <n v="6.1"/>
  </r>
  <r>
    <x v="8"/>
    <x v="21"/>
    <x v="4"/>
    <x v="4"/>
    <n v="155"/>
    <n v="10"/>
  </r>
  <r>
    <x v="8"/>
    <x v="21"/>
    <x v="5"/>
    <x v="5"/>
    <n v="43.5"/>
    <n v="67.7"/>
  </r>
  <r>
    <x v="8"/>
    <x v="21"/>
    <x v="6"/>
    <x v="6"/>
    <n v="26.9"/>
    <n v="76.7"/>
  </r>
  <r>
    <x v="8"/>
    <x v="21"/>
    <x v="7"/>
    <x v="7"/>
    <n v="37.200000000000003"/>
    <n v="57.3"/>
  </r>
  <r>
    <x v="8"/>
    <x v="21"/>
    <x v="8"/>
    <x v="8"/>
    <n v="44.9"/>
    <n v="74.7"/>
  </r>
  <r>
    <x v="8"/>
    <x v="21"/>
    <x v="9"/>
    <x v="9"/>
    <n v="148.19999999999999"/>
    <n v="5.3"/>
  </r>
  <r>
    <x v="8"/>
    <x v="21"/>
    <x v="10"/>
    <x v="10"/>
    <n v="325.3"/>
    <n v="0"/>
  </r>
  <r>
    <x v="8"/>
    <x v="21"/>
    <x v="11"/>
    <x v="11"/>
    <n v="325.10000000000002"/>
    <n v="0"/>
  </r>
  <r>
    <x v="9"/>
    <x v="1"/>
    <x v="0"/>
    <x v="0"/>
    <n v="347"/>
    <n v="0"/>
  </r>
  <r>
    <x v="9"/>
    <x v="1"/>
    <x v="1"/>
    <x v="1"/>
    <n v="324.7"/>
    <n v="0"/>
  </r>
  <r>
    <x v="9"/>
    <x v="1"/>
    <x v="2"/>
    <x v="2"/>
    <n v="233.5"/>
    <n v="0.4"/>
  </r>
  <r>
    <x v="9"/>
    <x v="1"/>
    <x v="3"/>
    <x v="3"/>
    <n v="246.8"/>
    <n v="1.5"/>
  </r>
  <r>
    <x v="9"/>
    <x v="1"/>
    <x v="4"/>
    <x v="4"/>
    <n v="115.4"/>
    <n v="38.1"/>
  </r>
  <r>
    <x v="9"/>
    <x v="1"/>
    <x v="5"/>
    <x v="5"/>
    <n v="61.5"/>
    <n v="61.5"/>
  </r>
  <r>
    <x v="9"/>
    <x v="1"/>
    <x v="6"/>
    <x v="6"/>
    <n v="34"/>
    <n v="85.7"/>
  </r>
  <r>
    <x v="9"/>
    <x v="1"/>
    <x v="7"/>
    <x v="7"/>
    <n v="23.6"/>
    <n v="102.7"/>
  </r>
  <r>
    <x v="9"/>
    <x v="1"/>
    <x v="8"/>
    <x v="8"/>
    <n v="114"/>
    <n v="20.9"/>
  </r>
  <r>
    <x v="9"/>
    <x v="1"/>
    <x v="9"/>
    <x v="9"/>
    <n v="74.8"/>
    <n v="26.8"/>
  </r>
  <r>
    <x v="9"/>
    <x v="1"/>
    <x v="10"/>
    <x v="10"/>
    <n v="334.6"/>
    <n v="0"/>
  </r>
  <r>
    <x v="9"/>
    <x v="1"/>
    <x v="11"/>
    <x v="11"/>
    <n v="459.7"/>
    <n v="0"/>
  </r>
  <r>
    <x v="9"/>
    <x v="2"/>
    <x v="0"/>
    <x v="0"/>
    <n v="331.3"/>
    <n v="0"/>
  </r>
  <r>
    <x v="9"/>
    <x v="2"/>
    <x v="1"/>
    <x v="1"/>
    <n v="274.39999999999998"/>
    <n v="0"/>
  </r>
  <r>
    <x v="9"/>
    <x v="2"/>
    <x v="2"/>
    <x v="2"/>
    <n v="262.3"/>
    <n v="0.8"/>
  </r>
  <r>
    <x v="9"/>
    <x v="2"/>
    <x v="3"/>
    <x v="3"/>
    <n v="211.4"/>
    <n v="6.2"/>
  </r>
  <r>
    <x v="9"/>
    <x v="2"/>
    <x v="4"/>
    <x v="4"/>
    <n v="142.9"/>
    <n v="20.100000000000001"/>
  </r>
  <r>
    <x v="9"/>
    <x v="2"/>
    <x v="5"/>
    <x v="5"/>
    <n v="56.3"/>
    <n v="68.900000000000006"/>
  </r>
  <r>
    <x v="9"/>
    <x v="2"/>
    <x v="6"/>
    <x v="6"/>
    <n v="49.2"/>
    <n v="79.8"/>
  </r>
  <r>
    <x v="9"/>
    <x v="2"/>
    <x v="7"/>
    <x v="7"/>
    <n v="41.3"/>
    <n v="57.4"/>
  </r>
  <r>
    <x v="9"/>
    <x v="2"/>
    <x v="8"/>
    <x v="8"/>
    <n v="78.5"/>
    <n v="38.9"/>
  </r>
  <r>
    <x v="9"/>
    <x v="2"/>
    <x v="9"/>
    <x v="9"/>
    <n v="129.19999999999999"/>
    <n v="6.2"/>
  </r>
  <r>
    <x v="9"/>
    <x v="2"/>
    <x v="10"/>
    <x v="10"/>
    <n v="229.8"/>
    <n v="0"/>
  </r>
  <r>
    <x v="9"/>
    <x v="2"/>
    <x v="11"/>
    <x v="11"/>
    <n v="287.8"/>
    <n v="0"/>
  </r>
  <r>
    <x v="9"/>
    <x v="3"/>
    <x v="0"/>
    <x v="0"/>
    <n v="438.5"/>
    <n v="0"/>
  </r>
  <r>
    <x v="9"/>
    <x v="3"/>
    <x v="1"/>
    <x v="1"/>
    <n v="359.1"/>
    <n v="0"/>
  </r>
  <r>
    <x v="9"/>
    <x v="3"/>
    <x v="2"/>
    <x v="2"/>
    <n v="216.1"/>
    <n v="4"/>
  </r>
  <r>
    <x v="9"/>
    <x v="3"/>
    <x v="3"/>
    <x v="3"/>
    <n v="175.1"/>
    <n v="19.600000000000001"/>
  </r>
  <r>
    <x v="9"/>
    <x v="3"/>
    <x v="4"/>
    <x v="4"/>
    <n v="120.3"/>
    <n v="27.8"/>
  </r>
  <r>
    <x v="9"/>
    <x v="3"/>
    <x v="5"/>
    <x v="5"/>
    <n v="17.600000000000001"/>
    <n v="129.1"/>
  </r>
  <r>
    <x v="9"/>
    <x v="3"/>
    <x v="6"/>
    <x v="6"/>
    <n v="24.8"/>
    <n v="118.7"/>
  </r>
  <r>
    <x v="9"/>
    <x v="3"/>
    <x v="7"/>
    <x v="7"/>
    <n v="9.6"/>
    <n v="228.3"/>
  </r>
  <r>
    <x v="9"/>
    <x v="3"/>
    <x v="8"/>
    <x v="8"/>
    <n v="58"/>
    <n v="66.3"/>
  </r>
  <r>
    <x v="9"/>
    <x v="3"/>
    <x v="9"/>
    <x v="9"/>
    <n v="211.3"/>
    <n v="7.9"/>
  </r>
  <r>
    <x v="9"/>
    <x v="3"/>
    <x v="10"/>
    <x v="10"/>
    <n v="238"/>
    <n v="0.4"/>
  </r>
  <r>
    <x v="9"/>
    <x v="3"/>
    <x v="11"/>
    <x v="11"/>
    <n v="358.5"/>
    <n v="0"/>
  </r>
  <r>
    <x v="9"/>
    <x v="4"/>
    <x v="0"/>
    <x v="0"/>
    <n v="361.8"/>
    <n v="0"/>
  </r>
  <r>
    <x v="9"/>
    <x v="4"/>
    <x v="1"/>
    <x v="1"/>
    <n v="347.9"/>
    <n v="0"/>
  </r>
  <r>
    <x v="9"/>
    <x v="4"/>
    <x v="2"/>
    <x v="2"/>
    <n v="333"/>
    <n v="1.7"/>
  </r>
  <r>
    <x v="9"/>
    <x v="4"/>
    <x v="3"/>
    <x v="3"/>
    <n v="224.9"/>
    <n v="1.8"/>
  </r>
  <r>
    <x v="9"/>
    <x v="4"/>
    <x v="4"/>
    <x v="4"/>
    <n v="134.69999999999999"/>
    <n v="31"/>
  </r>
  <r>
    <x v="9"/>
    <x v="4"/>
    <x v="5"/>
    <x v="5"/>
    <n v="41.1"/>
    <n v="89"/>
  </r>
  <r>
    <x v="9"/>
    <x v="4"/>
    <x v="6"/>
    <x v="6"/>
    <n v="38.6"/>
    <n v="88"/>
  </r>
  <r>
    <x v="9"/>
    <x v="4"/>
    <x v="7"/>
    <x v="7"/>
    <n v="24.9"/>
    <n v="92.4"/>
  </r>
  <r>
    <x v="9"/>
    <x v="4"/>
    <x v="8"/>
    <x v="8"/>
    <n v="63.4"/>
    <n v="69.400000000000006"/>
  </r>
  <r>
    <x v="9"/>
    <x v="4"/>
    <x v="9"/>
    <x v="9"/>
    <n v="125.9"/>
    <n v="14.2"/>
  </r>
  <r>
    <x v="9"/>
    <x v="4"/>
    <x v="10"/>
    <x v="10"/>
    <n v="296.3"/>
    <n v="0"/>
  </r>
  <r>
    <x v="9"/>
    <x v="4"/>
    <x v="11"/>
    <x v="11"/>
    <n v="415.1"/>
    <n v="0"/>
  </r>
  <r>
    <x v="9"/>
    <x v="5"/>
    <x v="0"/>
    <x v="0"/>
    <n v="375.4"/>
    <n v="0"/>
  </r>
  <r>
    <x v="9"/>
    <x v="5"/>
    <x v="1"/>
    <x v="1"/>
    <n v="385.3"/>
    <n v="0"/>
  </r>
  <r>
    <x v="9"/>
    <x v="5"/>
    <x v="2"/>
    <x v="2"/>
    <n v="289.3"/>
    <n v="8.4"/>
  </r>
  <r>
    <x v="9"/>
    <x v="5"/>
    <x v="3"/>
    <x v="3"/>
    <n v="209.6"/>
    <n v="8.1"/>
  </r>
  <r>
    <x v="9"/>
    <x v="5"/>
    <x v="4"/>
    <x v="4"/>
    <n v="125.1"/>
    <n v="28.8"/>
  </r>
  <r>
    <x v="9"/>
    <x v="5"/>
    <x v="5"/>
    <x v="5"/>
    <n v="41.8"/>
    <n v="115.6"/>
  </r>
  <r>
    <x v="9"/>
    <x v="5"/>
    <x v="6"/>
    <x v="6"/>
    <n v="28.2"/>
    <n v="121.2"/>
  </r>
  <r>
    <x v="9"/>
    <x v="5"/>
    <x v="7"/>
    <x v="7"/>
    <n v="35.9"/>
    <n v="103.2"/>
  </r>
  <r>
    <x v="9"/>
    <x v="5"/>
    <x v="8"/>
    <x v="8"/>
    <n v="57.7"/>
    <n v="59.5"/>
  </r>
  <r>
    <x v="9"/>
    <x v="5"/>
    <x v="9"/>
    <x v="9"/>
    <n v="69.7"/>
    <n v="26.4"/>
  </r>
  <r>
    <x v="9"/>
    <x v="5"/>
    <x v="10"/>
    <x v="10"/>
    <n v="325.8"/>
    <n v="0.3"/>
  </r>
  <r>
    <x v="9"/>
    <x v="5"/>
    <x v="11"/>
    <x v="11"/>
    <n v="435.9"/>
    <n v="0"/>
  </r>
  <r>
    <x v="9"/>
    <x v="6"/>
    <x v="0"/>
    <x v="0"/>
    <n v="420.7"/>
    <n v="0"/>
  </r>
  <r>
    <x v="9"/>
    <x v="6"/>
    <x v="1"/>
    <x v="1"/>
    <n v="384.7"/>
    <n v="0"/>
  </r>
  <r>
    <x v="9"/>
    <x v="6"/>
    <x v="2"/>
    <x v="2"/>
    <n v="298.5"/>
    <n v="0.8"/>
  </r>
  <r>
    <x v="9"/>
    <x v="6"/>
    <x v="3"/>
    <x v="3"/>
    <n v="217.3"/>
    <n v="4.0999999999999996"/>
  </r>
  <r>
    <x v="9"/>
    <x v="6"/>
    <x v="4"/>
    <x v="4"/>
    <n v="123.8"/>
    <n v="25"/>
  </r>
  <r>
    <x v="9"/>
    <x v="6"/>
    <x v="5"/>
    <x v="5"/>
    <n v="43.2"/>
    <n v="98.4"/>
  </r>
  <r>
    <x v="9"/>
    <x v="6"/>
    <x v="6"/>
    <x v="6"/>
    <n v="6.8"/>
    <n v="188.1"/>
  </r>
  <r>
    <x v="9"/>
    <x v="6"/>
    <x v="7"/>
    <x v="7"/>
    <n v="44.6"/>
    <n v="60.3"/>
  </r>
  <r>
    <x v="9"/>
    <x v="6"/>
    <x v="8"/>
    <x v="8"/>
    <n v="33.9"/>
    <n v="85.3"/>
  </r>
  <r>
    <x v="9"/>
    <x v="6"/>
    <x v="9"/>
    <x v="9"/>
    <n v="73.2"/>
    <n v="19.8"/>
  </r>
  <r>
    <x v="9"/>
    <x v="6"/>
    <x v="10"/>
    <x v="10"/>
    <n v="216"/>
    <n v="0"/>
  </r>
  <r>
    <x v="9"/>
    <x v="6"/>
    <x v="11"/>
    <x v="11"/>
    <n v="398.8"/>
    <n v="0"/>
  </r>
  <r>
    <x v="9"/>
    <x v="7"/>
    <x v="0"/>
    <x v="0"/>
    <n v="318.8"/>
    <n v="0"/>
  </r>
  <r>
    <x v="9"/>
    <x v="7"/>
    <x v="1"/>
    <x v="1"/>
    <n v="246.5"/>
    <n v="0"/>
  </r>
  <r>
    <x v="9"/>
    <x v="7"/>
    <x v="2"/>
    <x v="2"/>
    <n v="297"/>
    <n v="0.4"/>
  </r>
  <r>
    <x v="9"/>
    <x v="7"/>
    <x v="3"/>
    <x v="3"/>
    <n v="118"/>
    <n v="31.3"/>
  </r>
  <r>
    <x v="9"/>
    <x v="7"/>
    <x v="4"/>
    <x v="4"/>
    <n v="93.3"/>
    <n v="21.2"/>
  </r>
  <r>
    <x v="9"/>
    <x v="7"/>
    <x v="5"/>
    <x v="5"/>
    <n v="49.1"/>
    <n v="50.6"/>
  </r>
  <r>
    <x v="9"/>
    <x v="7"/>
    <x v="6"/>
    <x v="6"/>
    <n v="46.1"/>
    <n v="52.1"/>
  </r>
  <r>
    <x v="9"/>
    <x v="7"/>
    <x v="7"/>
    <x v="7"/>
    <n v="48.6"/>
    <n v="63.5"/>
  </r>
  <r>
    <x v="9"/>
    <x v="7"/>
    <x v="8"/>
    <x v="8"/>
    <n v="96.8"/>
    <n v="37.700000000000003"/>
  </r>
  <r>
    <x v="9"/>
    <x v="7"/>
    <x v="9"/>
    <x v="9"/>
    <n v="167.8"/>
    <n v="13.7"/>
  </r>
  <r>
    <x v="9"/>
    <x v="7"/>
    <x v="10"/>
    <x v="10"/>
    <n v="323.2"/>
    <n v="0"/>
  </r>
  <r>
    <x v="9"/>
    <x v="7"/>
    <x v="11"/>
    <x v="11"/>
    <n v="391.7"/>
    <n v="0"/>
  </r>
  <r>
    <x v="9"/>
    <x v="8"/>
    <x v="0"/>
    <x v="0"/>
    <n v="325.2"/>
    <n v="0"/>
  </r>
  <r>
    <x v="9"/>
    <x v="8"/>
    <x v="1"/>
    <x v="1"/>
    <n v="281.2"/>
    <n v="0"/>
  </r>
  <r>
    <x v="9"/>
    <x v="8"/>
    <x v="2"/>
    <x v="2"/>
    <n v="301.89999999999998"/>
    <n v="0"/>
  </r>
  <r>
    <x v="9"/>
    <x v="8"/>
    <x v="3"/>
    <x v="3"/>
    <n v="239"/>
    <n v="2.2999999999999998"/>
  </r>
  <r>
    <x v="9"/>
    <x v="8"/>
    <x v="4"/>
    <x v="4"/>
    <n v="97.7"/>
    <n v="27.4"/>
  </r>
  <r>
    <x v="9"/>
    <x v="8"/>
    <x v="5"/>
    <x v="5"/>
    <n v="59.8"/>
    <n v="52.1"/>
  </r>
  <r>
    <x v="9"/>
    <x v="8"/>
    <x v="6"/>
    <x v="6"/>
    <n v="43.4"/>
    <n v="76"/>
  </r>
  <r>
    <x v="9"/>
    <x v="8"/>
    <x v="7"/>
    <x v="7"/>
    <n v="39.5"/>
    <n v="73.2"/>
  </r>
  <r>
    <x v="9"/>
    <x v="8"/>
    <x v="8"/>
    <x v="8"/>
    <n v="105.1"/>
    <n v="19.100000000000001"/>
  </r>
  <r>
    <x v="9"/>
    <x v="8"/>
    <x v="9"/>
    <x v="9"/>
    <n v="187.9"/>
    <n v="8"/>
  </r>
  <r>
    <x v="9"/>
    <x v="8"/>
    <x v="10"/>
    <x v="10"/>
    <n v="288.60000000000002"/>
    <n v="0"/>
  </r>
  <r>
    <x v="9"/>
    <x v="8"/>
    <x v="11"/>
    <x v="11"/>
    <n v="422"/>
    <n v="0"/>
  </r>
  <r>
    <x v="9"/>
    <x v="9"/>
    <x v="0"/>
    <x v="0"/>
    <n v="458.7"/>
    <n v="0"/>
  </r>
  <r>
    <x v="9"/>
    <x v="9"/>
    <x v="1"/>
    <x v="1"/>
    <n v="343.1"/>
    <n v="0.2"/>
  </r>
  <r>
    <x v="9"/>
    <x v="9"/>
    <x v="2"/>
    <x v="2"/>
    <n v="303.89999999999998"/>
    <n v="0.8"/>
  </r>
  <r>
    <x v="9"/>
    <x v="9"/>
    <x v="3"/>
    <x v="3"/>
    <n v="207.8"/>
    <n v="4.2"/>
  </r>
  <r>
    <x v="9"/>
    <x v="9"/>
    <x v="4"/>
    <x v="4"/>
    <n v="99"/>
    <n v="30.7"/>
  </r>
  <r>
    <x v="9"/>
    <x v="9"/>
    <x v="5"/>
    <x v="5"/>
    <n v="53.5"/>
    <n v="70"/>
  </r>
  <r>
    <x v="9"/>
    <x v="9"/>
    <x v="6"/>
    <x v="6"/>
    <n v="37.9"/>
    <n v="86.2"/>
  </r>
  <r>
    <x v="9"/>
    <x v="9"/>
    <x v="7"/>
    <x v="7"/>
    <n v="28.7"/>
    <n v="124"/>
  </r>
  <r>
    <x v="9"/>
    <x v="9"/>
    <x v="8"/>
    <x v="8"/>
    <n v="52.1"/>
    <n v="58.2"/>
  </r>
  <r>
    <x v="9"/>
    <x v="9"/>
    <x v="9"/>
    <x v="9"/>
    <n v="139.6"/>
    <n v="20.9"/>
  </r>
  <r>
    <x v="9"/>
    <x v="9"/>
    <x v="10"/>
    <x v="10"/>
    <n v="214.6"/>
    <n v="0.1"/>
  </r>
  <r>
    <x v="9"/>
    <x v="9"/>
    <x v="11"/>
    <x v="11"/>
    <n v="375.8"/>
    <n v="0"/>
  </r>
  <r>
    <x v="9"/>
    <x v="10"/>
    <x v="0"/>
    <x v="0"/>
    <n v="490"/>
    <n v="0"/>
  </r>
  <r>
    <x v="9"/>
    <x v="10"/>
    <x v="1"/>
    <x v="1"/>
    <n v="366.7"/>
    <n v="0"/>
  </r>
  <r>
    <x v="9"/>
    <x v="10"/>
    <x v="2"/>
    <x v="2"/>
    <n v="313.39999999999998"/>
    <n v="1.9"/>
  </r>
  <r>
    <x v="9"/>
    <x v="10"/>
    <x v="3"/>
    <x v="3"/>
    <n v="184.8"/>
    <n v="10.1"/>
  </r>
  <r>
    <x v="9"/>
    <x v="10"/>
    <x v="4"/>
    <x v="4"/>
    <n v="152.4"/>
    <n v="22.5"/>
  </r>
  <r>
    <x v="9"/>
    <x v="10"/>
    <x v="5"/>
    <x v="5"/>
    <n v="48.3"/>
    <n v="71.400000000000006"/>
  </r>
  <r>
    <x v="9"/>
    <x v="10"/>
    <x v="6"/>
    <x v="6"/>
    <n v="24.9"/>
    <n v="118.3"/>
  </r>
  <r>
    <x v="9"/>
    <x v="10"/>
    <x v="7"/>
    <x v="7"/>
    <n v="39.5"/>
    <n v="84.5"/>
  </r>
  <r>
    <x v="9"/>
    <x v="10"/>
    <x v="8"/>
    <x v="8"/>
    <n v="78.400000000000006"/>
    <n v="45"/>
  </r>
  <r>
    <x v="9"/>
    <x v="10"/>
    <x v="9"/>
    <x v="9"/>
    <n v="177.2"/>
    <n v="17.899999999999999"/>
  </r>
  <r>
    <x v="9"/>
    <x v="10"/>
    <x v="10"/>
    <x v="10"/>
    <n v="295.89999999999998"/>
    <n v="0"/>
  </r>
  <r>
    <x v="9"/>
    <x v="10"/>
    <x v="11"/>
    <x v="11"/>
    <n v="478.3"/>
    <n v="0"/>
  </r>
  <r>
    <x v="9"/>
    <x v="11"/>
    <x v="0"/>
    <x v="0"/>
    <n v="403.7"/>
    <n v="0"/>
  </r>
  <r>
    <x v="9"/>
    <x v="11"/>
    <x v="1"/>
    <x v="1"/>
    <n v="301.8"/>
    <n v="0"/>
  </r>
  <r>
    <x v="9"/>
    <x v="11"/>
    <x v="2"/>
    <x v="2"/>
    <n v="262.60000000000002"/>
    <n v="2.2000000000000002"/>
  </r>
  <r>
    <x v="9"/>
    <x v="11"/>
    <x v="3"/>
    <x v="3"/>
    <n v="124.5"/>
    <n v="27.5"/>
  </r>
  <r>
    <x v="9"/>
    <x v="11"/>
    <x v="4"/>
    <x v="4"/>
    <n v="82.5"/>
    <n v="49"/>
  </r>
  <r>
    <x v="9"/>
    <x v="11"/>
    <x v="5"/>
    <x v="5"/>
    <n v="56.3"/>
    <n v="59.3"/>
  </r>
  <r>
    <x v="9"/>
    <x v="11"/>
    <x v="6"/>
    <x v="6"/>
    <n v="43.2"/>
    <n v="63.4"/>
  </r>
  <r>
    <x v="9"/>
    <x v="11"/>
    <x v="7"/>
    <x v="7"/>
    <n v="32.4"/>
    <n v="87.1"/>
  </r>
  <r>
    <x v="9"/>
    <x v="11"/>
    <x v="8"/>
    <x v="8"/>
    <n v="43.8"/>
    <n v="66.2"/>
  </r>
  <r>
    <x v="9"/>
    <x v="11"/>
    <x v="9"/>
    <x v="9"/>
    <n v="130.80000000000001"/>
    <n v="23.1"/>
  </r>
  <r>
    <x v="9"/>
    <x v="11"/>
    <x v="10"/>
    <x v="10"/>
    <n v="168.6"/>
    <n v="1.6"/>
  </r>
  <r>
    <x v="9"/>
    <x v="11"/>
    <x v="11"/>
    <x v="11"/>
    <n v="297.3"/>
    <n v="0"/>
  </r>
  <r>
    <x v="9"/>
    <x v="12"/>
    <x v="0"/>
    <x v="0"/>
    <n v="367.2"/>
    <n v="0"/>
  </r>
  <r>
    <x v="9"/>
    <x v="12"/>
    <x v="1"/>
    <x v="1"/>
    <n v="472.5"/>
    <n v="0"/>
  </r>
  <r>
    <x v="9"/>
    <x v="12"/>
    <x v="2"/>
    <x v="2"/>
    <n v="243.6"/>
    <n v="7.7"/>
  </r>
  <r>
    <x v="9"/>
    <x v="12"/>
    <x v="3"/>
    <x v="3"/>
    <n v="250.4"/>
    <n v="0.1"/>
  </r>
  <r>
    <x v="9"/>
    <x v="12"/>
    <x v="4"/>
    <x v="4"/>
    <n v="111.7"/>
    <n v="38.700000000000003"/>
  </r>
  <r>
    <x v="9"/>
    <x v="12"/>
    <x v="5"/>
    <x v="5"/>
    <n v="56.1"/>
    <n v="51.6"/>
  </r>
  <r>
    <x v="9"/>
    <x v="12"/>
    <x v="6"/>
    <x v="6"/>
    <n v="45.7"/>
    <n v="72.7"/>
  </r>
  <r>
    <x v="9"/>
    <x v="12"/>
    <x v="7"/>
    <x v="7"/>
    <n v="25.4"/>
    <n v="123.8"/>
  </r>
  <r>
    <x v="9"/>
    <x v="12"/>
    <x v="8"/>
    <x v="8"/>
    <n v="73.3"/>
    <n v="51.4"/>
  </r>
  <r>
    <x v="9"/>
    <x v="12"/>
    <x v="9"/>
    <x v="9"/>
    <n v="136.19999999999999"/>
    <n v="10.199999999999999"/>
  </r>
  <r>
    <x v="9"/>
    <x v="12"/>
    <x v="10"/>
    <x v="10"/>
    <n v="261.8"/>
    <n v="0"/>
  </r>
  <r>
    <x v="9"/>
    <x v="12"/>
    <x v="11"/>
    <x v="11"/>
    <n v="326.3"/>
    <n v="0"/>
  </r>
  <r>
    <x v="9"/>
    <x v="13"/>
    <x v="0"/>
    <x v="0"/>
    <n v="387.9"/>
    <n v="0"/>
  </r>
  <r>
    <x v="9"/>
    <x v="13"/>
    <x v="1"/>
    <x v="1"/>
    <n v="372.5"/>
    <n v="0"/>
  </r>
  <r>
    <x v="9"/>
    <x v="13"/>
    <x v="2"/>
    <x v="2"/>
    <n v="327.10000000000002"/>
    <n v="0.3"/>
  </r>
  <r>
    <x v="9"/>
    <x v="13"/>
    <x v="3"/>
    <x v="3"/>
    <n v="234.4"/>
    <n v="8.5"/>
  </r>
  <r>
    <x v="9"/>
    <x v="13"/>
    <x v="4"/>
    <x v="4"/>
    <n v="183.3"/>
    <n v="3.8"/>
  </r>
  <r>
    <x v="9"/>
    <x v="13"/>
    <x v="5"/>
    <x v="5"/>
    <n v="74.7"/>
    <n v="32.6"/>
  </r>
  <r>
    <x v="9"/>
    <x v="13"/>
    <x v="6"/>
    <x v="6"/>
    <n v="10.7"/>
    <n v="154.19999999999999"/>
  </r>
  <r>
    <x v="9"/>
    <x v="13"/>
    <x v="7"/>
    <x v="7"/>
    <n v="39.9"/>
    <n v="88.2"/>
  </r>
  <r>
    <x v="9"/>
    <x v="13"/>
    <x v="8"/>
    <x v="8"/>
    <n v="57.7"/>
    <n v="53.4"/>
  </r>
  <r>
    <x v="9"/>
    <x v="13"/>
    <x v="9"/>
    <x v="9"/>
    <n v="107.3"/>
    <n v="17.399999999999999"/>
  </r>
  <r>
    <x v="9"/>
    <x v="13"/>
    <x v="10"/>
    <x v="10"/>
    <n v="293.60000000000002"/>
    <n v="0.1"/>
  </r>
  <r>
    <x v="9"/>
    <x v="13"/>
    <x v="11"/>
    <x v="11"/>
    <n v="362.5"/>
    <n v="0"/>
  </r>
  <r>
    <x v="9"/>
    <x v="14"/>
    <x v="0"/>
    <x v="0"/>
    <n v="277.8"/>
    <n v="0"/>
  </r>
  <r>
    <x v="9"/>
    <x v="14"/>
    <x v="1"/>
    <x v="1"/>
    <n v="281.39999999999998"/>
    <n v="0"/>
  </r>
  <r>
    <x v="9"/>
    <x v="14"/>
    <x v="2"/>
    <x v="2"/>
    <n v="262.2"/>
    <n v="1.9"/>
  </r>
  <r>
    <x v="9"/>
    <x v="14"/>
    <x v="3"/>
    <x v="3"/>
    <n v="170.8"/>
    <n v="4.8"/>
  </r>
  <r>
    <x v="9"/>
    <x v="14"/>
    <x v="4"/>
    <x v="4"/>
    <n v="151"/>
    <n v="11.2"/>
  </r>
  <r>
    <x v="9"/>
    <x v="14"/>
    <x v="5"/>
    <x v="5"/>
    <n v="41.8"/>
    <n v="60.3"/>
  </r>
  <r>
    <x v="9"/>
    <x v="14"/>
    <x v="6"/>
    <x v="6"/>
    <n v="24.2"/>
    <n v="101.8"/>
  </r>
  <r>
    <x v="9"/>
    <x v="14"/>
    <x v="7"/>
    <x v="7"/>
    <n v="60"/>
    <n v="48.1"/>
  </r>
  <r>
    <x v="9"/>
    <x v="14"/>
    <x v="8"/>
    <x v="8"/>
    <n v="43.3"/>
    <n v="81.7"/>
  </r>
  <r>
    <x v="9"/>
    <x v="14"/>
    <x v="9"/>
    <x v="9"/>
    <n v="93"/>
    <n v="27.1"/>
  </r>
  <r>
    <x v="9"/>
    <x v="14"/>
    <x v="10"/>
    <x v="10"/>
    <n v="188.3"/>
    <n v="1.2"/>
  </r>
  <r>
    <x v="9"/>
    <x v="14"/>
    <x v="11"/>
    <x v="11"/>
    <n v="375.5"/>
    <n v="0"/>
  </r>
  <r>
    <x v="9"/>
    <x v="15"/>
    <x v="0"/>
    <x v="0"/>
    <n v="390.5"/>
    <n v="0"/>
  </r>
  <r>
    <x v="9"/>
    <x v="15"/>
    <x v="1"/>
    <x v="1"/>
    <n v="364.1"/>
    <n v="0"/>
  </r>
  <r>
    <x v="9"/>
    <x v="15"/>
    <x v="2"/>
    <x v="2"/>
    <n v="289.3"/>
    <n v="0.4"/>
  </r>
  <r>
    <x v="9"/>
    <x v="15"/>
    <x v="3"/>
    <x v="3"/>
    <n v="174.5"/>
    <n v="12.4"/>
  </r>
  <r>
    <x v="9"/>
    <x v="15"/>
    <x v="4"/>
    <x v="4"/>
    <n v="122.1"/>
    <n v="18.399999999999999"/>
  </r>
  <r>
    <x v="9"/>
    <x v="15"/>
    <x v="5"/>
    <x v="5"/>
    <n v="40.9"/>
    <n v="82.6"/>
  </r>
  <r>
    <x v="9"/>
    <x v="15"/>
    <x v="6"/>
    <x v="6"/>
    <n v="24.5"/>
    <n v="122.2"/>
  </r>
  <r>
    <x v="9"/>
    <x v="15"/>
    <x v="7"/>
    <x v="7"/>
    <n v="29.1"/>
    <n v="108.6"/>
  </r>
  <r>
    <x v="9"/>
    <x v="15"/>
    <x v="8"/>
    <x v="8"/>
    <n v="89.8"/>
    <n v="18.5"/>
  </r>
  <r>
    <x v="9"/>
    <x v="15"/>
    <x v="9"/>
    <x v="9"/>
    <n v="176.5"/>
    <n v="3.4"/>
  </r>
  <r>
    <x v="9"/>
    <x v="15"/>
    <x v="10"/>
    <x v="10"/>
    <n v="190.8"/>
    <n v="4.7"/>
  </r>
  <r>
    <x v="9"/>
    <x v="15"/>
    <x v="11"/>
    <x v="11"/>
    <n v="257.8"/>
    <n v="0"/>
  </r>
  <r>
    <x v="9"/>
    <x v="16"/>
    <x v="0"/>
    <x v="0"/>
    <n v="324.3"/>
    <n v="0"/>
  </r>
  <r>
    <x v="9"/>
    <x v="16"/>
    <x v="1"/>
    <x v="1"/>
    <n v="307.39999999999998"/>
    <n v="0"/>
  </r>
  <r>
    <x v="9"/>
    <x v="16"/>
    <x v="2"/>
    <x v="2"/>
    <n v="309.8"/>
    <n v="0.2"/>
  </r>
  <r>
    <x v="9"/>
    <x v="16"/>
    <x v="3"/>
    <x v="3"/>
    <n v="243.3"/>
    <n v="0.7"/>
  </r>
  <r>
    <x v="9"/>
    <x v="16"/>
    <x v="4"/>
    <x v="4"/>
    <n v="122.1"/>
    <n v="18"/>
  </r>
  <r>
    <x v="9"/>
    <x v="16"/>
    <x v="5"/>
    <x v="5"/>
    <n v="52.8"/>
    <n v="46.4"/>
  </r>
  <r>
    <x v="9"/>
    <x v="16"/>
    <x v="6"/>
    <x v="6"/>
    <n v="31.1"/>
    <n v="109.9"/>
  </r>
  <r>
    <x v="9"/>
    <x v="16"/>
    <x v="7"/>
    <x v="7"/>
    <n v="30.6"/>
    <n v="133.1"/>
  </r>
  <r>
    <x v="9"/>
    <x v="16"/>
    <x v="8"/>
    <x v="8"/>
    <n v="49.3"/>
    <n v="82.5"/>
  </r>
  <r>
    <x v="9"/>
    <x v="16"/>
    <x v="9"/>
    <x v="9"/>
    <n v="169.4"/>
    <n v="5.9"/>
  </r>
  <r>
    <x v="9"/>
    <x v="16"/>
    <x v="10"/>
    <x v="10"/>
    <n v="269.3"/>
    <n v="0.3"/>
  </r>
  <r>
    <x v="9"/>
    <x v="16"/>
    <x v="11"/>
    <x v="11"/>
    <n v="357.9"/>
    <n v="0"/>
  </r>
  <r>
    <x v="9"/>
    <x v="17"/>
    <x v="0"/>
    <x v="0"/>
    <n v="430.9"/>
    <n v="0"/>
  </r>
  <r>
    <x v="9"/>
    <x v="17"/>
    <x v="1"/>
    <x v="1"/>
    <n v="276.3"/>
    <n v="0"/>
  </r>
  <r>
    <x v="9"/>
    <x v="17"/>
    <x v="2"/>
    <x v="2"/>
    <n v="228.6"/>
    <n v="3.7"/>
  </r>
  <r>
    <x v="9"/>
    <x v="17"/>
    <x v="3"/>
    <x v="3"/>
    <n v="205.7"/>
    <n v="7.4"/>
  </r>
  <r>
    <x v="9"/>
    <x v="17"/>
    <x v="4"/>
    <x v="4"/>
    <n v="101.6"/>
    <n v="53.6"/>
  </r>
  <r>
    <x v="9"/>
    <x v="17"/>
    <x v="5"/>
    <x v="5"/>
    <n v="36.4"/>
    <n v="110.5"/>
  </r>
  <r>
    <x v="9"/>
    <x v="17"/>
    <x v="6"/>
    <x v="6"/>
    <n v="21.1"/>
    <n v="111.3"/>
  </r>
  <r>
    <x v="9"/>
    <x v="17"/>
    <x v="7"/>
    <x v="7"/>
    <n v="35.5"/>
    <n v="108"/>
  </r>
  <r>
    <x v="9"/>
    <x v="17"/>
    <x v="8"/>
    <x v="8"/>
    <n v="86.3"/>
    <n v="29.4"/>
  </r>
  <r>
    <x v="9"/>
    <x v="17"/>
    <x v="9"/>
    <x v="9"/>
    <n v="110.2"/>
    <n v="25.6"/>
  </r>
  <r>
    <x v="9"/>
    <x v="17"/>
    <x v="10"/>
    <x v="10"/>
    <n v="299.39999999999998"/>
    <n v="0.8"/>
  </r>
  <r>
    <x v="9"/>
    <x v="17"/>
    <x v="11"/>
    <x v="11"/>
    <n v="376"/>
    <n v="0"/>
  </r>
  <r>
    <x v="9"/>
    <x v="18"/>
    <x v="0"/>
    <x v="0"/>
    <n v="291.7"/>
    <n v="0"/>
  </r>
  <r>
    <x v="9"/>
    <x v="18"/>
    <x v="1"/>
    <x v="1"/>
    <n v="402"/>
    <n v="0"/>
  </r>
  <r>
    <x v="9"/>
    <x v="18"/>
    <x v="2"/>
    <x v="2"/>
    <n v="299.60000000000002"/>
    <n v="0"/>
  </r>
  <r>
    <x v="9"/>
    <x v="18"/>
    <x v="3"/>
    <x v="3"/>
    <n v="163"/>
    <n v="17.100000000000001"/>
  </r>
  <r>
    <x v="9"/>
    <x v="18"/>
    <x v="4"/>
    <x v="4"/>
    <n v="102.1"/>
    <n v="38.700000000000003"/>
  </r>
  <r>
    <x v="9"/>
    <x v="18"/>
    <x v="5"/>
    <x v="5"/>
    <n v="24.4"/>
    <n v="86.3"/>
  </r>
  <r>
    <x v="9"/>
    <x v="18"/>
    <x v="6"/>
    <x v="6"/>
    <n v="8.5"/>
    <n v="157.30000000000001"/>
  </r>
  <r>
    <x v="9"/>
    <x v="18"/>
    <x v="7"/>
    <x v="7"/>
    <n v="22.5"/>
    <n v="145.4"/>
  </r>
  <r>
    <x v="9"/>
    <x v="18"/>
    <x v="8"/>
    <x v="8"/>
    <n v="49.3"/>
    <n v="82.6"/>
  </r>
  <r>
    <x v="9"/>
    <x v="18"/>
    <x v="9"/>
    <x v="9"/>
    <n v="137.6"/>
    <n v="26.5"/>
  </r>
  <r>
    <x v="9"/>
    <x v="18"/>
    <x v="10"/>
    <x v="10"/>
    <n v="253.3"/>
    <n v="0.5"/>
  </r>
  <r>
    <x v="9"/>
    <x v="18"/>
    <x v="11"/>
    <x v="11"/>
    <n v="309.2"/>
    <n v="0"/>
  </r>
  <r>
    <x v="9"/>
    <x v="19"/>
    <x v="0"/>
    <x v="0"/>
    <n v="397.8"/>
    <n v="0"/>
  </r>
  <r>
    <x v="9"/>
    <x v="19"/>
    <x v="1"/>
    <x v="1"/>
    <n v="267.5"/>
    <n v="1.7"/>
  </r>
  <r>
    <x v="9"/>
    <x v="19"/>
    <x v="2"/>
    <x v="2"/>
    <n v="247"/>
    <n v="1.5"/>
  </r>
  <r>
    <x v="9"/>
    <x v="19"/>
    <x v="3"/>
    <x v="3"/>
    <n v="202.7"/>
    <n v="6.9"/>
  </r>
  <r>
    <x v="9"/>
    <x v="19"/>
    <x v="4"/>
    <x v="4"/>
    <n v="141"/>
    <n v="13.8"/>
  </r>
  <r>
    <x v="9"/>
    <x v="19"/>
    <x v="5"/>
    <x v="5"/>
    <n v="54.7"/>
    <n v="94.3"/>
  </r>
  <r>
    <x v="9"/>
    <x v="19"/>
    <x v="6"/>
    <x v="6"/>
    <n v="13.9"/>
    <n v="166.7"/>
  </r>
  <r>
    <x v="9"/>
    <x v="19"/>
    <x v="7"/>
    <x v="7"/>
    <n v="28.3"/>
    <n v="113.4"/>
  </r>
  <r>
    <x v="9"/>
    <x v="19"/>
    <x v="8"/>
    <x v="8"/>
    <n v="51.6"/>
    <n v="69.2"/>
  </r>
  <r>
    <x v="9"/>
    <x v="19"/>
    <x v="9"/>
    <x v="9"/>
    <n v="107.1"/>
    <n v="11.8"/>
  </r>
  <r>
    <x v="9"/>
    <x v="19"/>
    <x v="10"/>
    <x v="10"/>
    <n v="277.2"/>
    <n v="0"/>
  </r>
  <r>
    <x v="9"/>
    <x v="19"/>
    <x v="11"/>
    <x v="11"/>
    <n v="289.8"/>
    <n v="0"/>
  </r>
  <r>
    <x v="9"/>
    <x v="20"/>
    <x v="0"/>
    <x v="0"/>
    <n v="318.7"/>
    <n v="0"/>
  </r>
  <r>
    <x v="9"/>
    <x v="20"/>
    <x v="1"/>
    <x v="1"/>
    <n v="244.3"/>
    <n v="0.1"/>
  </r>
  <r>
    <x v="9"/>
    <x v="20"/>
    <x v="2"/>
    <x v="2"/>
    <n v="247.7"/>
    <n v="2"/>
  </r>
  <r>
    <x v="9"/>
    <x v="20"/>
    <x v="3"/>
    <x v="3"/>
    <n v="121.1"/>
    <n v="23.4"/>
  </r>
  <r>
    <x v="9"/>
    <x v="20"/>
    <x v="4"/>
    <x v="4"/>
    <n v="89.1"/>
    <n v="48.5"/>
  </r>
  <r>
    <x v="9"/>
    <x v="20"/>
    <x v="5"/>
    <x v="5"/>
    <n v="63.7"/>
    <n v="45.3"/>
  </r>
  <r>
    <x v="9"/>
    <x v="20"/>
    <x v="6"/>
    <x v="6"/>
    <n v="23.8"/>
    <n v="121.8"/>
  </r>
  <r>
    <x v="9"/>
    <x v="20"/>
    <x v="7"/>
    <x v="7"/>
    <n v="23.1"/>
    <n v="139.1"/>
  </r>
  <r>
    <x v="9"/>
    <x v="20"/>
    <x v="8"/>
    <x v="8"/>
    <n v="56.2"/>
    <n v="92.6"/>
  </r>
  <r>
    <x v="9"/>
    <x v="20"/>
    <x v="9"/>
    <x v="9"/>
    <n v="157.6"/>
    <n v="3.4"/>
  </r>
  <r>
    <x v="9"/>
    <x v="20"/>
    <x v="10"/>
    <x v="10"/>
    <n v="210.8"/>
    <n v="1.5"/>
  </r>
  <r>
    <x v="9"/>
    <x v="20"/>
    <x v="11"/>
    <x v="11"/>
    <n v="339.2"/>
    <n v="0"/>
  </r>
  <r>
    <x v="9"/>
    <x v="21"/>
    <x v="0"/>
    <x v="0"/>
    <n v="397.8"/>
    <n v="0"/>
  </r>
  <r>
    <x v="9"/>
    <x v="21"/>
    <x v="1"/>
    <x v="1"/>
    <n v="256.2"/>
    <n v="0.1"/>
  </r>
  <r>
    <x v="9"/>
    <x v="21"/>
    <x v="2"/>
    <x v="2"/>
    <n v="288.7"/>
    <n v="4.7"/>
  </r>
  <r>
    <x v="9"/>
    <x v="21"/>
    <x v="3"/>
    <x v="3"/>
    <n v="218.7"/>
    <n v="10.1"/>
  </r>
  <r>
    <x v="9"/>
    <x v="21"/>
    <x v="4"/>
    <x v="4"/>
    <n v="155.6"/>
    <n v="14.7"/>
  </r>
  <r>
    <x v="9"/>
    <x v="21"/>
    <x v="5"/>
    <x v="5"/>
    <n v="34.799999999999997"/>
    <n v="82.1"/>
  </r>
  <r>
    <x v="9"/>
    <x v="21"/>
    <x v="6"/>
    <x v="6"/>
    <n v="31.5"/>
    <n v="82.6"/>
  </r>
  <r>
    <x v="9"/>
    <x v="21"/>
    <x v="7"/>
    <x v="7"/>
    <n v="33.299999999999997"/>
    <n v="73.400000000000006"/>
  </r>
  <r>
    <x v="9"/>
    <x v="21"/>
    <x v="8"/>
    <x v="8"/>
    <n v="35.4"/>
    <n v="86.5"/>
  </r>
  <r>
    <x v="9"/>
    <x v="21"/>
    <x v="9"/>
    <x v="9"/>
    <n v="146.9"/>
    <n v="8"/>
  </r>
  <r>
    <x v="9"/>
    <x v="21"/>
    <x v="10"/>
    <x v="10"/>
    <n v="321.5"/>
    <n v="0"/>
  </r>
  <r>
    <x v="9"/>
    <x v="21"/>
    <x v="11"/>
    <x v="11"/>
    <n v="334.6"/>
    <n v="0"/>
  </r>
  <r>
    <x v="9"/>
    <x v="22"/>
    <x v="0"/>
    <x v="0"/>
    <n v="395"/>
    <n v="0"/>
  </r>
  <r>
    <x v="9"/>
    <x v="22"/>
    <x v="1"/>
    <x v="1"/>
    <n v="283.7"/>
    <n v="0.1"/>
  </r>
  <r>
    <x v="9"/>
    <x v="22"/>
    <x v="2"/>
    <x v="2"/>
    <n v="234.2"/>
    <n v="2.8"/>
  </r>
  <r>
    <x v="9"/>
    <x v="22"/>
    <x v="3"/>
    <x v="3"/>
    <n v="189"/>
    <n v="8.6999999999999993"/>
  </r>
  <r>
    <x v="9"/>
    <x v="22"/>
    <x v="4"/>
    <x v="4"/>
    <n v="64.400000000000006"/>
    <n v="70.400000000000006"/>
  </r>
  <r>
    <x v="9"/>
    <x v="22"/>
    <x v="5"/>
    <x v="5"/>
    <n v="31.4"/>
    <n v="111.4"/>
  </r>
  <r>
    <x v="9"/>
    <x v="22"/>
    <x v="6"/>
    <x v="6"/>
    <n v="17.100000000000001"/>
    <n v="170.2"/>
  </r>
  <r>
    <x v="9"/>
    <x v="22"/>
    <x v="7"/>
    <x v="7"/>
    <n v="5.8"/>
    <n v="197.5"/>
  </r>
  <r>
    <x v="9"/>
    <x v="22"/>
    <x v="8"/>
    <x v="8"/>
    <n v="68"/>
    <n v="65.400000000000006"/>
  </r>
  <r>
    <x v="9"/>
    <x v="22"/>
    <x v="9"/>
    <x v="9"/>
    <n v="53.1"/>
    <n v="36.299999999999997"/>
  </r>
  <r>
    <x v="9"/>
    <x v="22"/>
    <x v="10"/>
    <x v="10"/>
    <n v="215.9"/>
    <n v="0.8"/>
  </r>
  <r>
    <x v="9"/>
    <x v="22"/>
    <x v="11"/>
    <x v="11"/>
    <n v="351.6"/>
    <n v="0"/>
  </r>
  <r>
    <x v="7"/>
    <x v="22"/>
    <x v="0"/>
    <x v="0"/>
    <n v="377.6"/>
    <n v="0"/>
  </r>
  <r>
    <x v="7"/>
    <x v="22"/>
    <x v="1"/>
    <x v="1"/>
    <n v="267.10000000000002"/>
    <n v="0"/>
  </r>
  <r>
    <x v="7"/>
    <x v="22"/>
    <x v="2"/>
    <x v="2"/>
    <n v="225.3"/>
    <n v="2.4"/>
  </r>
  <r>
    <x v="7"/>
    <x v="22"/>
    <x v="3"/>
    <x v="3"/>
    <n v="176.1"/>
    <n v="8.5"/>
  </r>
  <r>
    <x v="7"/>
    <x v="22"/>
    <x v="4"/>
    <x v="4"/>
    <n v="79.099999999999994"/>
    <n v="48.5"/>
  </r>
  <r>
    <x v="7"/>
    <x v="22"/>
    <x v="5"/>
    <x v="5"/>
    <n v="38.299999999999997"/>
    <n v="86.4"/>
  </r>
  <r>
    <x v="7"/>
    <x v="22"/>
    <x v="6"/>
    <x v="6"/>
    <n v="20.2"/>
    <n v="159.4"/>
  </r>
  <r>
    <x v="7"/>
    <x v="22"/>
    <x v="7"/>
    <x v="7"/>
    <n v="7.8"/>
    <n v="171.4"/>
  </r>
  <r>
    <x v="7"/>
    <x v="22"/>
    <x v="8"/>
    <x v="8"/>
    <n v="65.7"/>
    <n v="61.5"/>
  </r>
  <r>
    <x v="7"/>
    <x v="22"/>
    <x v="9"/>
    <x v="9"/>
    <n v="61.2"/>
    <n v="29.2"/>
  </r>
  <r>
    <x v="7"/>
    <x v="22"/>
    <x v="10"/>
    <x v="10"/>
    <n v="197.4"/>
    <n v="0.8"/>
  </r>
  <r>
    <x v="7"/>
    <x v="22"/>
    <x v="11"/>
    <x v="11"/>
    <n v="362.6"/>
    <n v="0"/>
  </r>
  <r>
    <x v="8"/>
    <x v="22"/>
    <x v="0"/>
    <x v="0"/>
    <n v="393"/>
    <n v="0"/>
  </r>
  <r>
    <x v="8"/>
    <x v="22"/>
    <x v="1"/>
    <x v="1"/>
    <n v="270.3"/>
    <n v="0"/>
  </r>
  <r>
    <x v="8"/>
    <x v="22"/>
    <x v="2"/>
    <x v="2"/>
    <n v="230.5"/>
    <n v="2.5"/>
  </r>
  <r>
    <x v="8"/>
    <x v="22"/>
    <x v="3"/>
    <x v="3"/>
    <n v="191.3"/>
    <n v="7.5"/>
  </r>
  <r>
    <x v="8"/>
    <x v="22"/>
    <x v="4"/>
    <x v="4"/>
    <n v="86.1"/>
    <n v="47.7"/>
  </r>
  <r>
    <x v="8"/>
    <x v="22"/>
    <x v="5"/>
    <x v="5"/>
    <n v="37.4"/>
    <n v="87.4"/>
  </r>
  <r>
    <x v="8"/>
    <x v="22"/>
    <x v="6"/>
    <x v="6"/>
    <n v="24.4"/>
    <n v="156.4"/>
  </r>
  <r>
    <x v="8"/>
    <x v="22"/>
    <x v="7"/>
    <x v="7"/>
    <n v="11.1"/>
    <n v="160.9"/>
  </r>
  <r>
    <x v="8"/>
    <x v="22"/>
    <x v="8"/>
    <x v="8"/>
    <n v="73.2"/>
    <n v="59.6"/>
  </r>
  <r>
    <x v="8"/>
    <x v="22"/>
    <x v="9"/>
    <x v="9"/>
    <n v="64.7"/>
    <n v="31.5"/>
  </r>
  <r>
    <x v="8"/>
    <x v="22"/>
    <x v="10"/>
    <x v="10"/>
    <n v="199.6"/>
    <n v="0.3"/>
  </r>
  <r>
    <x v="8"/>
    <x v="22"/>
    <x v="11"/>
    <x v="11"/>
    <n v="370.2"/>
    <n v="0"/>
  </r>
  <r>
    <x v="10"/>
    <x v="1"/>
    <x v="0"/>
    <x v="0"/>
    <n v="385"/>
    <n v="0"/>
  </r>
  <r>
    <x v="10"/>
    <x v="1"/>
    <x v="1"/>
    <x v="1"/>
    <n v="325.8"/>
    <n v="0"/>
  </r>
  <r>
    <x v="10"/>
    <x v="1"/>
    <x v="2"/>
    <x v="2"/>
    <n v="265.60000000000002"/>
    <n v="0"/>
  </r>
  <r>
    <x v="10"/>
    <x v="1"/>
    <x v="3"/>
    <x v="3"/>
    <n v="247.3"/>
    <n v="1.3"/>
  </r>
  <r>
    <x v="10"/>
    <x v="1"/>
    <x v="4"/>
    <x v="4"/>
    <n v="88.1"/>
    <n v="44.6"/>
  </r>
  <r>
    <x v="10"/>
    <x v="1"/>
    <x v="5"/>
    <x v="5"/>
    <n v="63"/>
    <n v="55.6"/>
  </r>
  <r>
    <x v="10"/>
    <x v="1"/>
    <x v="6"/>
    <x v="6"/>
    <n v="25.5"/>
    <n v="99.5"/>
  </r>
  <r>
    <x v="10"/>
    <x v="1"/>
    <x v="7"/>
    <x v="7"/>
    <n v="15.5"/>
    <n v="106.4"/>
  </r>
  <r>
    <x v="10"/>
    <x v="1"/>
    <x v="8"/>
    <x v="8"/>
    <n v="103.8"/>
    <n v="6.6"/>
  </r>
  <r>
    <x v="10"/>
    <x v="1"/>
    <x v="9"/>
    <x v="9"/>
    <n v="90"/>
    <n v="9.6999999999999993"/>
  </r>
  <r>
    <x v="10"/>
    <x v="1"/>
    <x v="10"/>
    <x v="10"/>
    <n v="317"/>
    <n v="0"/>
  </r>
  <r>
    <x v="10"/>
    <x v="1"/>
    <x v="11"/>
    <x v="11"/>
    <n v="424.4"/>
    <n v="0"/>
  </r>
  <r>
    <x v="11"/>
    <x v="1"/>
    <x v="0"/>
    <x v="0"/>
    <n v="258"/>
    <n v="0"/>
  </r>
  <r>
    <x v="11"/>
    <x v="1"/>
    <x v="1"/>
    <x v="1"/>
    <n v="250.9"/>
    <n v="0"/>
  </r>
  <r>
    <x v="11"/>
    <x v="1"/>
    <x v="2"/>
    <x v="2"/>
    <n v="142.19999999999999"/>
    <n v="5.9"/>
  </r>
  <r>
    <x v="11"/>
    <x v="1"/>
    <x v="3"/>
    <x v="3"/>
    <n v="143"/>
    <n v="7"/>
  </r>
  <r>
    <x v="11"/>
    <x v="1"/>
    <x v="4"/>
    <x v="4"/>
    <n v="44"/>
    <n v="70.3"/>
  </r>
  <r>
    <x v="11"/>
    <x v="1"/>
    <x v="5"/>
    <x v="5"/>
    <n v="12.9"/>
    <n v="134.1"/>
  </r>
  <r>
    <x v="11"/>
    <x v="1"/>
    <x v="6"/>
    <x v="6"/>
    <n v="3.2"/>
    <n v="210.3"/>
  </r>
  <r>
    <x v="11"/>
    <x v="1"/>
    <x v="7"/>
    <x v="7"/>
    <n v="0.8"/>
    <n v="230.5"/>
  </r>
  <r>
    <x v="11"/>
    <x v="1"/>
    <x v="8"/>
    <x v="8"/>
    <n v="34.299999999999997"/>
    <n v="64.5"/>
  </r>
  <r>
    <x v="11"/>
    <x v="1"/>
    <x v="9"/>
    <x v="9"/>
    <n v="21.4"/>
    <n v="73.599999999999994"/>
  </r>
  <r>
    <x v="11"/>
    <x v="1"/>
    <x v="10"/>
    <x v="10"/>
    <n v="245.4"/>
    <n v="0.4"/>
  </r>
  <r>
    <x v="11"/>
    <x v="1"/>
    <x v="11"/>
    <x v="11"/>
    <n v="409.2"/>
    <n v="0"/>
  </r>
  <r>
    <x v="10"/>
    <x v="2"/>
    <x v="0"/>
    <x v="0"/>
    <n v="371.9"/>
    <n v="0"/>
  </r>
  <r>
    <x v="10"/>
    <x v="2"/>
    <x v="1"/>
    <x v="1"/>
    <n v="273"/>
    <n v="0"/>
  </r>
  <r>
    <x v="10"/>
    <x v="2"/>
    <x v="2"/>
    <x v="2"/>
    <n v="248.9"/>
    <n v="0.3"/>
  </r>
  <r>
    <x v="10"/>
    <x v="2"/>
    <x v="3"/>
    <x v="3"/>
    <n v="184.2"/>
    <n v="4.7"/>
  </r>
  <r>
    <x v="10"/>
    <x v="2"/>
    <x v="4"/>
    <x v="4"/>
    <n v="133.30000000000001"/>
    <n v="16"/>
  </r>
  <r>
    <x v="10"/>
    <x v="2"/>
    <x v="5"/>
    <x v="5"/>
    <n v="38.200000000000003"/>
    <n v="62.8"/>
  </r>
  <r>
    <x v="10"/>
    <x v="2"/>
    <x v="6"/>
    <x v="6"/>
    <n v="32.299999999999997"/>
    <n v="71.099999999999994"/>
  </r>
  <r>
    <x v="10"/>
    <x v="2"/>
    <x v="7"/>
    <x v="7"/>
    <n v="21"/>
    <n v="72.3"/>
  </r>
  <r>
    <x v="10"/>
    <x v="2"/>
    <x v="8"/>
    <x v="8"/>
    <n v="73.3"/>
    <n v="19.8"/>
  </r>
  <r>
    <x v="10"/>
    <x v="2"/>
    <x v="9"/>
    <x v="9"/>
    <n v="167.1"/>
    <n v="2.1"/>
  </r>
  <r>
    <x v="10"/>
    <x v="2"/>
    <x v="10"/>
    <x v="10"/>
    <n v="253.5"/>
    <n v="0"/>
  </r>
  <r>
    <x v="10"/>
    <x v="2"/>
    <x v="11"/>
    <x v="11"/>
    <n v="335.6"/>
    <n v="0"/>
  </r>
  <r>
    <x v="11"/>
    <x v="2"/>
    <x v="0"/>
    <x v="0"/>
    <n v="336.7"/>
    <n v="0.3"/>
  </r>
  <r>
    <x v="11"/>
    <x v="2"/>
    <x v="1"/>
    <x v="1"/>
    <n v="218.9"/>
    <n v="0.2"/>
  </r>
  <r>
    <x v="11"/>
    <x v="2"/>
    <x v="2"/>
    <x v="2"/>
    <n v="163.6"/>
    <n v="7.1"/>
  </r>
  <r>
    <x v="11"/>
    <x v="2"/>
    <x v="3"/>
    <x v="3"/>
    <n v="109.6"/>
    <n v="17.3"/>
  </r>
  <r>
    <x v="11"/>
    <x v="2"/>
    <x v="4"/>
    <x v="4"/>
    <n v="63.6"/>
    <n v="41.9"/>
  </r>
  <r>
    <x v="11"/>
    <x v="2"/>
    <x v="5"/>
    <x v="5"/>
    <n v="8.5"/>
    <n v="157.69999999999999"/>
  </r>
  <r>
    <x v="11"/>
    <x v="2"/>
    <x v="6"/>
    <x v="6"/>
    <n v="1.7"/>
    <n v="187.4"/>
  </r>
  <r>
    <x v="11"/>
    <x v="2"/>
    <x v="7"/>
    <x v="7"/>
    <n v="1.7"/>
    <n v="167.4"/>
  </r>
  <r>
    <x v="11"/>
    <x v="2"/>
    <x v="8"/>
    <x v="8"/>
    <n v="29"/>
    <n v="77.599999999999994"/>
  </r>
  <r>
    <x v="11"/>
    <x v="2"/>
    <x v="9"/>
    <x v="9"/>
    <n v="68.8"/>
    <n v="26.8"/>
  </r>
  <r>
    <x v="11"/>
    <x v="2"/>
    <x v="10"/>
    <x v="10"/>
    <n v="140.5"/>
    <n v="2.4"/>
  </r>
  <r>
    <x v="11"/>
    <x v="2"/>
    <x v="11"/>
    <x v="11"/>
    <n v="265.5"/>
    <n v="0"/>
  </r>
  <r>
    <x v="10"/>
    <x v="3"/>
    <x v="0"/>
    <x v="0"/>
    <n v="433.5"/>
    <n v="0"/>
  </r>
  <r>
    <x v="10"/>
    <x v="3"/>
    <x v="1"/>
    <x v="1"/>
    <n v="382.6"/>
    <n v="0"/>
  </r>
  <r>
    <x v="10"/>
    <x v="3"/>
    <x v="2"/>
    <x v="2"/>
    <n v="220"/>
    <n v="4.0999999999999996"/>
  </r>
  <r>
    <x v="10"/>
    <x v="3"/>
    <x v="3"/>
    <x v="3"/>
    <n v="184.2"/>
    <n v="16"/>
  </r>
  <r>
    <x v="10"/>
    <x v="3"/>
    <x v="4"/>
    <x v="4"/>
    <n v="110.1"/>
    <n v="24.6"/>
  </r>
  <r>
    <x v="10"/>
    <x v="3"/>
    <x v="5"/>
    <x v="5"/>
    <n v="7.1"/>
    <n v="122.2"/>
  </r>
  <r>
    <x v="10"/>
    <x v="3"/>
    <x v="6"/>
    <x v="6"/>
    <n v="11"/>
    <n v="116.2"/>
  </r>
  <r>
    <x v="10"/>
    <x v="3"/>
    <x v="7"/>
    <x v="7"/>
    <n v="9.4"/>
    <n v="207.5"/>
  </r>
  <r>
    <x v="10"/>
    <x v="3"/>
    <x v="8"/>
    <x v="8"/>
    <n v="61.6"/>
    <n v="38.6"/>
  </r>
  <r>
    <x v="10"/>
    <x v="3"/>
    <x v="9"/>
    <x v="9"/>
    <n v="246.6"/>
    <n v="2.7"/>
  </r>
  <r>
    <x v="10"/>
    <x v="3"/>
    <x v="10"/>
    <x v="10"/>
    <n v="263.7"/>
    <n v="0"/>
  </r>
  <r>
    <x v="10"/>
    <x v="3"/>
    <x v="11"/>
    <x v="11"/>
    <n v="376.3"/>
    <n v="0"/>
  </r>
  <r>
    <x v="11"/>
    <x v="3"/>
    <x v="0"/>
    <x v="0"/>
    <n v="375.6"/>
    <n v="0"/>
  </r>
  <r>
    <x v="11"/>
    <x v="3"/>
    <x v="1"/>
    <x v="1"/>
    <n v="316"/>
    <n v="0"/>
  </r>
  <r>
    <x v="11"/>
    <x v="3"/>
    <x v="2"/>
    <x v="2"/>
    <n v="205.4"/>
    <n v="2.4"/>
  </r>
  <r>
    <x v="11"/>
    <x v="3"/>
    <x v="3"/>
    <x v="3"/>
    <n v="127.3"/>
    <n v="17.2"/>
  </r>
  <r>
    <x v="11"/>
    <x v="3"/>
    <x v="4"/>
    <x v="4"/>
    <n v="34.799999999999997"/>
    <n v="78.5"/>
  </r>
  <r>
    <x v="11"/>
    <x v="3"/>
    <x v="5"/>
    <x v="5"/>
    <n v="0.4"/>
    <n v="241.6"/>
  </r>
  <r>
    <x v="11"/>
    <x v="3"/>
    <x v="6"/>
    <x v="6"/>
    <n v="0.4"/>
    <n v="266"/>
  </r>
  <r>
    <x v="11"/>
    <x v="3"/>
    <x v="7"/>
    <x v="7"/>
    <n v="0.1"/>
    <n v="317.3"/>
  </r>
  <r>
    <x v="11"/>
    <x v="3"/>
    <x v="8"/>
    <x v="8"/>
    <n v="17"/>
    <n v="90.1"/>
  </r>
  <r>
    <x v="11"/>
    <x v="3"/>
    <x v="9"/>
    <x v="9"/>
    <n v="108.8"/>
    <n v="32.5"/>
  </r>
  <r>
    <x v="11"/>
    <x v="3"/>
    <x v="10"/>
    <x v="10"/>
    <n v="165"/>
    <n v="1.2"/>
  </r>
  <r>
    <x v="11"/>
    <x v="3"/>
    <x v="11"/>
    <x v="11"/>
    <n v="281.39999999999998"/>
    <n v="0.1"/>
  </r>
  <r>
    <x v="10"/>
    <x v="4"/>
    <x v="0"/>
    <x v="0"/>
    <n v="389"/>
    <n v="0"/>
  </r>
  <r>
    <x v="10"/>
    <x v="4"/>
    <x v="1"/>
    <x v="1"/>
    <n v="336.5"/>
    <n v="0"/>
  </r>
  <r>
    <x v="10"/>
    <x v="4"/>
    <x v="2"/>
    <x v="2"/>
    <n v="315.2"/>
    <n v="1.1000000000000001"/>
  </r>
  <r>
    <x v="10"/>
    <x v="4"/>
    <x v="3"/>
    <x v="3"/>
    <n v="191"/>
    <n v="4"/>
  </r>
  <r>
    <x v="10"/>
    <x v="4"/>
    <x v="4"/>
    <x v="4"/>
    <n v="131.80000000000001"/>
    <n v="19.7"/>
  </r>
  <r>
    <x v="10"/>
    <x v="4"/>
    <x v="5"/>
    <x v="5"/>
    <n v="40.6"/>
    <n v="57.1"/>
  </r>
  <r>
    <x v="10"/>
    <x v="4"/>
    <x v="6"/>
    <x v="6"/>
    <n v="32.299999999999997"/>
    <n v="77"/>
  </r>
  <r>
    <x v="10"/>
    <x v="4"/>
    <x v="7"/>
    <x v="7"/>
    <n v="16.600000000000001"/>
    <n v="96.6"/>
  </r>
  <r>
    <x v="10"/>
    <x v="4"/>
    <x v="8"/>
    <x v="8"/>
    <n v="52.6"/>
    <n v="53"/>
  </r>
  <r>
    <x v="10"/>
    <x v="4"/>
    <x v="9"/>
    <x v="9"/>
    <n v="166.4"/>
    <n v="4.4000000000000004"/>
  </r>
  <r>
    <x v="10"/>
    <x v="4"/>
    <x v="10"/>
    <x v="10"/>
    <n v="289"/>
    <n v="0"/>
  </r>
  <r>
    <x v="10"/>
    <x v="4"/>
    <x v="11"/>
    <x v="11"/>
    <n v="427.3"/>
    <n v="0"/>
  </r>
  <r>
    <x v="11"/>
    <x v="4"/>
    <x v="0"/>
    <x v="0"/>
    <n v="346.2"/>
    <n v="0"/>
  </r>
  <r>
    <x v="11"/>
    <x v="4"/>
    <x v="1"/>
    <x v="1"/>
    <n v="304.8"/>
    <n v="0"/>
  </r>
  <r>
    <x v="11"/>
    <x v="4"/>
    <x v="2"/>
    <x v="2"/>
    <n v="249.9"/>
    <n v="2.9"/>
  </r>
  <r>
    <x v="11"/>
    <x v="4"/>
    <x v="3"/>
    <x v="3"/>
    <n v="127.3"/>
    <n v="9.9"/>
  </r>
  <r>
    <x v="11"/>
    <x v="4"/>
    <x v="4"/>
    <x v="4"/>
    <n v="71.099999999999994"/>
    <n v="40.5"/>
  </r>
  <r>
    <x v="11"/>
    <x v="4"/>
    <x v="5"/>
    <x v="5"/>
    <n v="6"/>
    <n v="152.30000000000001"/>
  </r>
  <r>
    <x v="11"/>
    <x v="4"/>
    <x v="6"/>
    <x v="6"/>
    <n v="2"/>
    <n v="207.2"/>
  </r>
  <r>
    <x v="11"/>
    <x v="4"/>
    <x v="7"/>
    <x v="7"/>
    <n v="1.9"/>
    <n v="211"/>
  </r>
  <r>
    <x v="11"/>
    <x v="4"/>
    <x v="8"/>
    <x v="8"/>
    <n v="17.8"/>
    <n v="123"/>
  </r>
  <r>
    <x v="11"/>
    <x v="4"/>
    <x v="9"/>
    <x v="9"/>
    <n v="47.8"/>
    <n v="61.2"/>
  </r>
  <r>
    <x v="11"/>
    <x v="4"/>
    <x v="10"/>
    <x v="10"/>
    <n v="241.9"/>
    <n v="4"/>
  </r>
  <r>
    <x v="11"/>
    <x v="4"/>
    <x v="11"/>
    <x v="11"/>
    <n v="295.89999999999998"/>
    <n v="0"/>
  </r>
  <r>
    <x v="10"/>
    <x v="5"/>
    <x v="0"/>
    <x v="0"/>
    <n v="375.3"/>
    <n v="0"/>
  </r>
  <r>
    <x v="10"/>
    <x v="5"/>
    <x v="1"/>
    <x v="1"/>
    <n v="394.5"/>
    <n v="0"/>
  </r>
  <r>
    <x v="10"/>
    <x v="5"/>
    <x v="2"/>
    <x v="2"/>
    <n v="295.39999999999998"/>
    <n v="2"/>
  </r>
  <r>
    <x v="10"/>
    <x v="5"/>
    <x v="3"/>
    <x v="3"/>
    <n v="181.9"/>
    <n v="6"/>
  </r>
  <r>
    <x v="10"/>
    <x v="5"/>
    <x v="4"/>
    <x v="4"/>
    <n v="113.8"/>
    <n v="32.799999999999997"/>
  </r>
  <r>
    <x v="10"/>
    <x v="5"/>
    <x v="5"/>
    <x v="5"/>
    <n v="38.9"/>
    <n v="105.7"/>
  </r>
  <r>
    <x v="10"/>
    <x v="5"/>
    <x v="6"/>
    <x v="6"/>
    <n v="19.100000000000001"/>
    <n v="106.3"/>
  </r>
  <r>
    <x v="10"/>
    <x v="5"/>
    <x v="7"/>
    <x v="7"/>
    <n v="27.4"/>
    <n v="70.5"/>
  </r>
  <r>
    <x v="10"/>
    <x v="5"/>
    <x v="8"/>
    <x v="8"/>
    <n v="45.6"/>
    <n v="61.2"/>
  </r>
  <r>
    <x v="10"/>
    <x v="5"/>
    <x v="9"/>
    <x v="9"/>
    <n v="80.599999999999994"/>
    <n v="19.399999999999999"/>
  </r>
  <r>
    <x v="10"/>
    <x v="5"/>
    <x v="10"/>
    <x v="10"/>
    <n v="326"/>
    <n v="0.2"/>
  </r>
  <r>
    <x v="10"/>
    <x v="5"/>
    <x v="11"/>
    <x v="11"/>
    <n v="415.8"/>
    <n v="0"/>
  </r>
  <r>
    <x v="11"/>
    <x v="5"/>
    <x v="0"/>
    <x v="0"/>
    <n v="355.4"/>
    <n v="0"/>
  </r>
  <r>
    <x v="11"/>
    <x v="5"/>
    <x v="1"/>
    <x v="1"/>
    <n v="348.7"/>
    <n v="0"/>
  </r>
  <r>
    <x v="11"/>
    <x v="5"/>
    <x v="2"/>
    <x v="2"/>
    <n v="252.8"/>
    <n v="3.7"/>
  </r>
  <r>
    <x v="11"/>
    <x v="5"/>
    <x v="3"/>
    <x v="3"/>
    <n v="137.19999999999999"/>
    <n v="11.4"/>
  </r>
  <r>
    <x v="11"/>
    <x v="5"/>
    <x v="4"/>
    <x v="4"/>
    <n v="39.1"/>
    <n v="68.8"/>
  </r>
  <r>
    <x v="11"/>
    <x v="5"/>
    <x v="5"/>
    <x v="5"/>
    <n v="5"/>
    <n v="189.2"/>
  </r>
  <r>
    <x v="11"/>
    <x v="5"/>
    <x v="6"/>
    <x v="6"/>
    <n v="0.7"/>
    <n v="220.2"/>
  </r>
  <r>
    <x v="11"/>
    <x v="5"/>
    <x v="7"/>
    <x v="7"/>
    <n v="1.8"/>
    <n v="183.3"/>
  </r>
  <r>
    <x v="11"/>
    <x v="5"/>
    <x v="8"/>
    <x v="8"/>
    <n v="19.7"/>
    <n v="100.3"/>
  </r>
  <r>
    <x v="11"/>
    <x v="5"/>
    <x v="9"/>
    <x v="9"/>
    <n v="39.1"/>
    <n v="42.1"/>
  </r>
  <r>
    <x v="11"/>
    <x v="5"/>
    <x v="10"/>
    <x v="10"/>
    <n v="223.4"/>
    <n v="5.9"/>
  </r>
  <r>
    <x v="11"/>
    <x v="5"/>
    <x v="11"/>
    <x v="11"/>
    <n v="411.9"/>
    <n v="0"/>
  </r>
  <r>
    <x v="10"/>
    <x v="6"/>
    <x v="0"/>
    <x v="0"/>
    <n v="444.4"/>
    <n v="0"/>
  </r>
  <r>
    <x v="10"/>
    <x v="6"/>
    <x v="1"/>
    <x v="1"/>
    <n v="390.3"/>
    <n v="0"/>
  </r>
  <r>
    <x v="10"/>
    <x v="6"/>
    <x v="2"/>
    <x v="2"/>
    <n v="347.9"/>
    <n v="0.3"/>
  </r>
  <r>
    <x v="10"/>
    <x v="6"/>
    <x v="3"/>
    <x v="3"/>
    <n v="194.7"/>
    <n v="3.1"/>
  </r>
  <r>
    <x v="10"/>
    <x v="6"/>
    <x v="4"/>
    <x v="4"/>
    <n v="95.5"/>
    <n v="23.9"/>
  </r>
  <r>
    <x v="10"/>
    <x v="6"/>
    <x v="5"/>
    <x v="5"/>
    <n v="36.200000000000003"/>
    <n v="86"/>
  </r>
  <r>
    <x v="10"/>
    <x v="6"/>
    <x v="6"/>
    <x v="6"/>
    <n v="1.5"/>
    <n v="209.3"/>
  </r>
  <r>
    <x v="10"/>
    <x v="6"/>
    <x v="7"/>
    <x v="7"/>
    <n v="37.5"/>
    <n v="41.9"/>
  </r>
  <r>
    <x v="10"/>
    <x v="6"/>
    <x v="8"/>
    <x v="8"/>
    <n v="21.9"/>
    <n v="76.3"/>
  </r>
  <r>
    <x v="10"/>
    <x v="6"/>
    <x v="9"/>
    <x v="9"/>
    <n v="87.3"/>
    <n v="7.8"/>
  </r>
  <r>
    <x v="10"/>
    <x v="6"/>
    <x v="10"/>
    <x v="10"/>
    <n v="243.6"/>
    <n v="0.1"/>
  </r>
  <r>
    <x v="10"/>
    <x v="6"/>
    <x v="11"/>
    <x v="11"/>
    <n v="372.4"/>
    <n v="0"/>
  </r>
  <r>
    <x v="11"/>
    <x v="6"/>
    <x v="0"/>
    <x v="0"/>
    <n v="344.3"/>
    <n v="0"/>
  </r>
  <r>
    <x v="11"/>
    <x v="6"/>
    <x v="1"/>
    <x v="1"/>
    <n v="308"/>
    <n v="0"/>
  </r>
  <r>
    <x v="11"/>
    <x v="6"/>
    <x v="2"/>
    <x v="2"/>
    <n v="226.6"/>
    <n v="3.2"/>
  </r>
  <r>
    <x v="11"/>
    <x v="6"/>
    <x v="3"/>
    <x v="3"/>
    <n v="103.7"/>
    <n v="23.6"/>
  </r>
  <r>
    <x v="11"/>
    <x v="6"/>
    <x v="4"/>
    <x v="4"/>
    <n v="45"/>
    <n v="81.400000000000006"/>
  </r>
  <r>
    <x v="11"/>
    <x v="6"/>
    <x v="5"/>
    <x v="5"/>
    <n v="19.600000000000001"/>
    <n v="168.7"/>
  </r>
  <r>
    <x v="11"/>
    <x v="6"/>
    <x v="7"/>
    <x v="7"/>
    <n v="3.7"/>
    <n v="175.4"/>
  </r>
  <r>
    <x v="11"/>
    <x v="6"/>
    <x v="8"/>
    <x v="8"/>
    <n v="6.9"/>
    <n v="134"/>
  </r>
  <r>
    <x v="11"/>
    <x v="6"/>
    <x v="9"/>
    <x v="9"/>
    <n v="32.5"/>
    <n v="70"/>
  </r>
  <r>
    <x v="11"/>
    <x v="6"/>
    <x v="10"/>
    <x v="10"/>
    <n v="120.7"/>
    <n v="9.6999999999999993"/>
  </r>
  <r>
    <x v="11"/>
    <x v="6"/>
    <x v="11"/>
    <x v="11"/>
    <n v="275.89999999999998"/>
    <n v="0.5"/>
  </r>
  <r>
    <x v="11"/>
    <x v="6"/>
    <x v="6"/>
    <x v="6"/>
    <n v="0"/>
    <n v="310.60000000000002"/>
  </r>
  <r>
    <x v="10"/>
    <x v="7"/>
    <x v="0"/>
    <x v="0"/>
    <n v="305.2"/>
    <n v="0"/>
  </r>
  <r>
    <x v="10"/>
    <x v="7"/>
    <x v="1"/>
    <x v="1"/>
    <n v="255.9"/>
    <n v="0"/>
  </r>
  <r>
    <x v="10"/>
    <x v="7"/>
    <x v="2"/>
    <x v="2"/>
    <n v="283.7"/>
    <n v="0.1"/>
  </r>
  <r>
    <x v="10"/>
    <x v="7"/>
    <x v="3"/>
    <x v="3"/>
    <n v="97.6"/>
    <n v="41.6"/>
  </r>
  <r>
    <x v="10"/>
    <x v="7"/>
    <x v="4"/>
    <x v="4"/>
    <n v="82.8"/>
    <n v="27.5"/>
  </r>
  <r>
    <x v="10"/>
    <x v="7"/>
    <x v="5"/>
    <x v="5"/>
    <n v="31.2"/>
    <n v="56.7"/>
  </r>
  <r>
    <x v="10"/>
    <x v="7"/>
    <x v="6"/>
    <x v="6"/>
    <n v="31"/>
    <n v="65.900000000000006"/>
  </r>
  <r>
    <x v="10"/>
    <x v="7"/>
    <x v="7"/>
    <x v="7"/>
    <n v="36"/>
    <n v="47.5"/>
  </r>
  <r>
    <x v="10"/>
    <x v="7"/>
    <x v="8"/>
    <x v="8"/>
    <n v="80.900000000000006"/>
    <n v="19.600000000000001"/>
  </r>
  <r>
    <x v="10"/>
    <x v="7"/>
    <x v="9"/>
    <x v="9"/>
    <n v="182"/>
    <n v="4.9000000000000004"/>
  </r>
  <r>
    <x v="10"/>
    <x v="7"/>
    <x v="10"/>
    <x v="10"/>
    <n v="301.89999999999998"/>
    <n v="0"/>
  </r>
  <r>
    <x v="10"/>
    <x v="7"/>
    <x v="11"/>
    <x v="11"/>
    <n v="400.5"/>
    <n v="0"/>
  </r>
  <r>
    <x v="11"/>
    <x v="7"/>
    <x v="0"/>
    <x v="0"/>
    <n v="276"/>
    <n v="0.8"/>
  </r>
  <r>
    <x v="11"/>
    <x v="7"/>
    <x v="1"/>
    <x v="1"/>
    <n v="224.6"/>
    <n v="0"/>
  </r>
  <r>
    <x v="11"/>
    <x v="7"/>
    <x v="2"/>
    <x v="2"/>
    <n v="202.6"/>
    <n v="2.7"/>
  </r>
  <r>
    <x v="11"/>
    <x v="7"/>
    <x v="3"/>
    <x v="3"/>
    <n v="72.3"/>
    <n v="42.3"/>
  </r>
  <r>
    <x v="11"/>
    <x v="7"/>
    <x v="4"/>
    <x v="4"/>
    <n v="35.799999999999997"/>
    <n v="83.7"/>
  </r>
  <r>
    <x v="11"/>
    <x v="7"/>
    <x v="5"/>
    <x v="5"/>
    <n v="5.0999999999999996"/>
    <n v="146.30000000000001"/>
  </r>
  <r>
    <x v="11"/>
    <x v="7"/>
    <x v="6"/>
    <x v="6"/>
    <n v="2.4"/>
    <n v="200.4"/>
  </r>
  <r>
    <x v="11"/>
    <x v="7"/>
    <x v="7"/>
    <x v="7"/>
    <n v="4.5"/>
    <n v="179.8"/>
  </r>
  <r>
    <x v="11"/>
    <x v="7"/>
    <x v="8"/>
    <x v="8"/>
    <n v="30.4"/>
    <n v="97.9"/>
  </r>
  <r>
    <x v="11"/>
    <x v="7"/>
    <x v="9"/>
    <x v="9"/>
    <n v="104.7"/>
    <n v="44.7"/>
  </r>
  <r>
    <x v="11"/>
    <x v="7"/>
    <x v="10"/>
    <x v="10"/>
    <n v="240.8"/>
    <n v="0.7"/>
  </r>
  <r>
    <x v="11"/>
    <x v="7"/>
    <x v="11"/>
    <x v="11"/>
    <n v="329.3"/>
    <n v="0"/>
  </r>
  <r>
    <x v="10"/>
    <x v="8"/>
    <x v="0"/>
    <x v="0"/>
    <n v="334.4"/>
    <n v="0"/>
  </r>
  <r>
    <x v="10"/>
    <x v="8"/>
    <x v="1"/>
    <x v="1"/>
    <n v="305.39999999999998"/>
    <n v="0"/>
  </r>
  <r>
    <x v="10"/>
    <x v="8"/>
    <x v="2"/>
    <x v="2"/>
    <n v="310.8"/>
    <n v="0"/>
  </r>
  <r>
    <x v="10"/>
    <x v="8"/>
    <x v="3"/>
    <x v="3"/>
    <n v="218.7"/>
    <n v="3.4"/>
  </r>
  <r>
    <x v="10"/>
    <x v="8"/>
    <x v="4"/>
    <x v="4"/>
    <n v="53.9"/>
    <n v="48.3"/>
  </r>
  <r>
    <x v="10"/>
    <x v="8"/>
    <x v="5"/>
    <x v="5"/>
    <n v="40.700000000000003"/>
    <n v="56.6"/>
  </r>
  <r>
    <x v="10"/>
    <x v="8"/>
    <x v="6"/>
    <x v="6"/>
    <n v="23.8"/>
    <n v="95.6"/>
  </r>
  <r>
    <x v="10"/>
    <x v="8"/>
    <x v="7"/>
    <x v="7"/>
    <n v="22.3"/>
    <n v="68.2"/>
  </r>
  <r>
    <x v="10"/>
    <x v="8"/>
    <x v="8"/>
    <x v="8"/>
    <n v="95.1"/>
    <n v="19.2"/>
  </r>
  <r>
    <x v="10"/>
    <x v="8"/>
    <x v="9"/>
    <x v="9"/>
    <n v="193.4"/>
    <n v="4.0999999999999996"/>
  </r>
  <r>
    <x v="10"/>
    <x v="8"/>
    <x v="10"/>
    <x v="10"/>
    <n v="290.7"/>
    <n v="0"/>
  </r>
  <r>
    <x v="10"/>
    <x v="8"/>
    <x v="11"/>
    <x v="11"/>
    <n v="436.1"/>
    <n v="0"/>
  </r>
  <r>
    <x v="11"/>
    <x v="8"/>
    <x v="0"/>
    <x v="0"/>
    <n v="270.8"/>
    <n v="0"/>
  </r>
  <r>
    <x v="11"/>
    <x v="8"/>
    <x v="1"/>
    <x v="1"/>
    <n v="236.8"/>
    <n v="0.1"/>
  </r>
  <r>
    <x v="11"/>
    <x v="8"/>
    <x v="2"/>
    <x v="2"/>
    <n v="222.8"/>
    <n v="2"/>
  </r>
  <r>
    <x v="11"/>
    <x v="8"/>
    <x v="3"/>
    <x v="3"/>
    <n v="125.5"/>
    <n v="9"/>
  </r>
  <r>
    <x v="11"/>
    <x v="8"/>
    <x v="4"/>
    <x v="4"/>
    <n v="35.299999999999997"/>
    <n v="63.1"/>
  </r>
  <r>
    <x v="11"/>
    <x v="8"/>
    <x v="5"/>
    <x v="5"/>
    <n v="9.4"/>
    <n v="144.5"/>
  </r>
  <r>
    <x v="11"/>
    <x v="8"/>
    <x v="6"/>
    <x v="6"/>
    <n v="1.6"/>
    <n v="202"/>
  </r>
  <r>
    <x v="11"/>
    <x v="8"/>
    <x v="7"/>
    <x v="7"/>
    <n v="2.7"/>
    <n v="201.5"/>
  </r>
  <r>
    <x v="11"/>
    <x v="8"/>
    <x v="8"/>
    <x v="8"/>
    <n v="32.299999999999997"/>
    <n v="99.2"/>
  </r>
  <r>
    <x v="11"/>
    <x v="8"/>
    <x v="9"/>
    <x v="9"/>
    <n v="80.900000000000006"/>
    <n v="31.8"/>
  </r>
  <r>
    <x v="11"/>
    <x v="8"/>
    <x v="10"/>
    <x v="10"/>
    <n v="221.4"/>
    <n v="1.9"/>
  </r>
  <r>
    <x v="11"/>
    <x v="8"/>
    <x v="11"/>
    <x v="11"/>
    <n v="332.2"/>
    <n v="0"/>
  </r>
  <r>
    <x v="10"/>
    <x v="9"/>
    <x v="0"/>
    <x v="0"/>
    <n v="488.4"/>
    <n v="0"/>
  </r>
  <r>
    <x v="10"/>
    <x v="9"/>
    <x v="1"/>
    <x v="1"/>
    <n v="366.2"/>
    <n v="0"/>
  </r>
  <r>
    <x v="10"/>
    <x v="9"/>
    <x v="2"/>
    <x v="2"/>
    <n v="295.60000000000002"/>
    <n v="0"/>
  </r>
  <r>
    <x v="10"/>
    <x v="9"/>
    <x v="3"/>
    <x v="3"/>
    <n v="141.30000000000001"/>
    <n v="6"/>
  </r>
  <r>
    <x v="10"/>
    <x v="9"/>
    <x v="4"/>
    <x v="4"/>
    <n v="96.8"/>
    <n v="26.6"/>
  </r>
  <r>
    <x v="10"/>
    <x v="9"/>
    <x v="5"/>
    <x v="5"/>
    <n v="53.7"/>
    <n v="58.5"/>
  </r>
  <r>
    <x v="10"/>
    <x v="9"/>
    <x v="6"/>
    <x v="6"/>
    <n v="18.2"/>
    <n v="101.8"/>
  </r>
  <r>
    <x v="10"/>
    <x v="9"/>
    <x v="7"/>
    <x v="7"/>
    <n v="11.6"/>
    <n v="127.2"/>
  </r>
  <r>
    <x v="10"/>
    <x v="9"/>
    <x v="8"/>
    <x v="8"/>
    <n v="47"/>
    <n v="35.799999999999997"/>
  </r>
  <r>
    <x v="10"/>
    <x v="9"/>
    <x v="9"/>
    <x v="9"/>
    <n v="153.30000000000001"/>
    <n v="7.9"/>
  </r>
  <r>
    <x v="10"/>
    <x v="9"/>
    <x v="10"/>
    <x v="10"/>
    <n v="225.4"/>
    <n v="0.1"/>
  </r>
  <r>
    <x v="10"/>
    <x v="9"/>
    <x v="11"/>
    <x v="11"/>
    <n v="412.5"/>
    <n v="0"/>
  </r>
  <r>
    <x v="11"/>
    <x v="9"/>
    <x v="0"/>
    <x v="0"/>
    <n v="383.5"/>
    <n v="0"/>
  </r>
  <r>
    <x v="11"/>
    <x v="9"/>
    <x v="1"/>
    <x v="1"/>
    <n v="278.89999999999998"/>
    <n v="0"/>
  </r>
  <r>
    <x v="11"/>
    <x v="9"/>
    <x v="2"/>
    <x v="2"/>
    <n v="220.6"/>
    <n v="1.7"/>
  </r>
  <r>
    <x v="11"/>
    <x v="9"/>
    <x v="3"/>
    <x v="3"/>
    <n v="107"/>
    <n v="13.7"/>
  </r>
  <r>
    <x v="11"/>
    <x v="9"/>
    <x v="4"/>
    <x v="4"/>
    <n v="31.1"/>
    <n v="104.5"/>
  </r>
  <r>
    <x v="11"/>
    <x v="9"/>
    <x v="5"/>
    <x v="5"/>
    <n v="6.7"/>
    <n v="155.6"/>
  </r>
  <r>
    <x v="11"/>
    <x v="9"/>
    <x v="6"/>
    <x v="6"/>
    <n v="1"/>
    <n v="244.3"/>
  </r>
  <r>
    <x v="11"/>
    <x v="9"/>
    <x v="7"/>
    <x v="7"/>
    <n v="0.9"/>
    <n v="238.7"/>
  </r>
  <r>
    <x v="11"/>
    <x v="9"/>
    <x v="8"/>
    <x v="8"/>
    <n v="13"/>
    <n v="123.9"/>
  </r>
  <r>
    <x v="11"/>
    <x v="9"/>
    <x v="9"/>
    <x v="9"/>
    <n v="81.400000000000006"/>
    <n v="37.5"/>
  </r>
  <r>
    <x v="11"/>
    <x v="9"/>
    <x v="10"/>
    <x v="10"/>
    <n v="150.30000000000001"/>
    <n v="4.7"/>
  </r>
  <r>
    <x v="11"/>
    <x v="9"/>
    <x v="11"/>
    <x v="11"/>
    <n v="308.2"/>
    <n v="0.1"/>
  </r>
  <r>
    <x v="10"/>
    <x v="10"/>
    <x v="0"/>
    <x v="0"/>
    <n v="499.9"/>
    <n v="0"/>
  </r>
  <r>
    <x v="10"/>
    <x v="10"/>
    <x v="1"/>
    <x v="1"/>
    <n v="372.2"/>
    <n v="0"/>
  </r>
  <r>
    <x v="10"/>
    <x v="10"/>
    <x v="2"/>
    <x v="2"/>
    <n v="296.2"/>
    <n v="0.7"/>
  </r>
  <r>
    <x v="10"/>
    <x v="10"/>
    <x v="3"/>
    <x v="3"/>
    <n v="173.8"/>
    <n v="11.4"/>
  </r>
  <r>
    <x v="10"/>
    <x v="10"/>
    <x v="4"/>
    <x v="4"/>
    <n v="148.1"/>
    <n v="22.8"/>
  </r>
  <r>
    <x v="10"/>
    <x v="10"/>
    <x v="5"/>
    <x v="5"/>
    <n v="36.799999999999997"/>
    <n v="78.599999999999994"/>
  </r>
  <r>
    <x v="10"/>
    <x v="10"/>
    <x v="6"/>
    <x v="6"/>
    <n v="8"/>
    <n v="142.9"/>
  </r>
  <r>
    <x v="10"/>
    <x v="10"/>
    <x v="7"/>
    <x v="7"/>
    <n v="26.4"/>
    <n v="74.5"/>
  </r>
  <r>
    <x v="10"/>
    <x v="10"/>
    <x v="8"/>
    <x v="8"/>
    <n v="73.8"/>
    <n v="29.2"/>
  </r>
  <r>
    <x v="10"/>
    <x v="10"/>
    <x v="9"/>
    <x v="9"/>
    <n v="178.4"/>
    <n v="9.9"/>
  </r>
  <r>
    <x v="10"/>
    <x v="10"/>
    <x v="10"/>
    <x v="10"/>
    <n v="310.7"/>
    <n v="0"/>
  </r>
  <r>
    <x v="10"/>
    <x v="10"/>
    <x v="11"/>
    <x v="11"/>
    <n v="513"/>
    <n v="0"/>
  </r>
  <r>
    <x v="11"/>
    <x v="10"/>
    <x v="0"/>
    <x v="0"/>
    <n v="400.6"/>
    <n v="0"/>
  </r>
  <r>
    <x v="11"/>
    <x v="10"/>
    <x v="1"/>
    <x v="1"/>
    <n v="301.89999999999998"/>
    <n v="0"/>
  </r>
  <r>
    <x v="11"/>
    <x v="10"/>
    <x v="2"/>
    <x v="2"/>
    <n v="244.8"/>
    <n v="0.7"/>
  </r>
  <r>
    <x v="11"/>
    <x v="10"/>
    <x v="3"/>
    <x v="3"/>
    <n v="126.6"/>
    <n v="19.2"/>
  </r>
  <r>
    <x v="11"/>
    <x v="10"/>
    <x v="4"/>
    <x v="4"/>
    <n v="68.8"/>
    <n v="42.2"/>
  </r>
  <r>
    <x v="11"/>
    <x v="10"/>
    <x v="5"/>
    <x v="5"/>
    <n v="12.9"/>
    <n v="123.9"/>
  </r>
  <r>
    <x v="11"/>
    <x v="10"/>
    <x v="6"/>
    <x v="6"/>
    <n v="0.3"/>
    <n v="261.60000000000002"/>
  </r>
  <r>
    <x v="11"/>
    <x v="10"/>
    <x v="7"/>
    <x v="7"/>
    <n v="3.4"/>
    <n v="199.1"/>
  </r>
  <r>
    <x v="11"/>
    <x v="10"/>
    <x v="8"/>
    <x v="8"/>
    <n v="32"/>
    <n v="85.1"/>
  </r>
  <r>
    <x v="11"/>
    <x v="10"/>
    <x v="9"/>
    <x v="9"/>
    <n v="102.5"/>
    <n v="34"/>
  </r>
  <r>
    <x v="11"/>
    <x v="10"/>
    <x v="10"/>
    <x v="10"/>
    <n v="222"/>
    <n v="2.9"/>
  </r>
  <r>
    <x v="11"/>
    <x v="10"/>
    <x v="11"/>
    <x v="11"/>
    <n v="357.3"/>
    <n v="0.2"/>
  </r>
  <r>
    <x v="10"/>
    <x v="11"/>
    <x v="0"/>
    <x v="0"/>
    <n v="395.1"/>
    <n v="0"/>
  </r>
  <r>
    <x v="10"/>
    <x v="11"/>
    <x v="1"/>
    <x v="1"/>
    <n v="310.89999999999998"/>
    <n v="0"/>
  </r>
  <r>
    <x v="10"/>
    <x v="11"/>
    <x v="2"/>
    <x v="2"/>
    <n v="248.9"/>
    <n v="2"/>
  </r>
  <r>
    <x v="10"/>
    <x v="11"/>
    <x v="3"/>
    <x v="3"/>
    <n v="100.4"/>
    <n v="35"/>
  </r>
  <r>
    <x v="10"/>
    <x v="11"/>
    <x v="4"/>
    <x v="4"/>
    <n v="67.5"/>
    <n v="39.200000000000003"/>
  </r>
  <r>
    <x v="10"/>
    <x v="11"/>
    <x v="5"/>
    <x v="5"/>
    <n v="44.3"/>
    <n v="67.099999999999994"/>
  </r>
  <r>
    <x v="10"/>
    <x v="11"/>
    <x v="6"/>
    <x v="6"/>
    <n v="37.200000000000003"/>
    <n v="53.1"/>
  </r>
  <r>
    <x v="10"/>
    <x v="11"/>
    <x v="7"/>
    <x v="7"/>
    <n v="23.9"/>
    <n v="87.5"/>
  </r>
  <r>
    <x v="10"/>
    <x v="11"/>
    <x v="8"/>
    <x v="8"/>
    <n v="36.799999999999997"/>
    <n v="63.7"/>
  </r>
  <r>
    <x v="10"/>
    <x v="11"/>
    <x v="9"/>
    <x v="9"/>
    <n v="131.6"/>
    <n v="14.6"/>
  </r>
  <r>
    <x v="10"/>
    <x v="11"/>
    <x v="10"/>
    <x v="10"/>
    <n v="227.5"/>
    <n v="0"/>
  </r>
  <r>
    <x v="10"/>
    <x v="11"/>
    <x v="11"/>
    <x v="11"/>
    <n v="313.5"/>
    <n v="0"/>
  </r>
  <r>
    <x v="11"/>
    <x v="11"/>
    <x v="0"/>
    <x v="0"/>
    <n v="339.1"/>
    <n v="0"/>
  </r>
  <r>
    <x v="11"/>
    <x v="11"/>
    <x v="1"/>
    <x v="1"/>
    <n v="272.7"/>
    <n v="0"/>
  </r>
  <r>
    <x v="11"/>
    <x v="11"/>
    <x v="2"/>
    <x v="2"/>
    <n v="220.7"/>
    <n v="0.9"/>
  </r>
  <r>
    <x v="11"/>
    <x v="11"/>
    <x v="3"/>
    <x v="3"/>
    <n v="92.6"/>
    <n v="26.9"/>
  </r>
  <r>
    <x v="11"/>
    <x v="11"/>
    <x v="4"/>
    <x v="4"/>
    <n v="37.4"/>
    <n v="92.4"/>
  </r>
  <r>
    <x v="11"/>
    <x v="11"/>
    <x v="5"/>
    <x v="5"/>
    <n v="11.8"/>
    <n v="117.4"/>
  </r>
  <r>
    <x v="11"/>
    <x v="11"/>
    <x v="6"/>
    <x v="6"/>
    <n v="4.5"/>
    <n v="159.80000000000001"/>
  </r>
  <r>
    <x v="11"/>
    <x v="11"/>
    <x v="7"/>
    <x v="7"/>
    <n v="5.3"/>
    <n v="198.4"/>
  </r>
  <r>
    <x v="11"/>
    <x v="11"/>
    <x v="8"/>
    <x v="8"/>
    <n v="12.6"/>
    <n v="148.30000000000001"/>
  </r>
  <r>
    <x v="11"/>
    <x v="11"/>
    <x v="9"/>
    <x v="9"/>
    <n v="61.2"/>
    <n v="49.9"/>
  </r>
  <r>
    <x v="11"/>
    <x v="11"/>
    <x v="10"/>
    <x v="10"/>
    <n v="118.8"/>
    <n v="6.7"/>
  </r>
  <r>
    <x v="11"/>
    <x v="11"/>
    <x v="11"/>
    <x v="11"/>
    <n v="272.2"/>
    <n v="0.1"/>
  </r>
  <r>
    <x v="10"/>
    <x v="12"/>
    <x v="0"/>
    <x v="0"/>
    <n v="340"/>
    <n v="0"/>
  </r>
  <r>
    <x v="10"/>
    <x v="12"/>
    <x v="1"/>
    <x v="1"/>
    <n v="436.6"/>
    <n v="0"/>
  </r>
  <r>
    <x v="10"/>
    <x v="12"/>
    <x v="2"/>
    <x v="2"/>
    <n v="210.8"/>
    <n v="8.6"/>
  </r>
  <r>
    <x v="10"/>
    <x v="12"/>
    <x v="3"/>
    <x v="3"/>
    <n v="231.9"/>
    <n v="0.9"/>
  </r>
  <r>
    <x v="10"/>
    <x v="12"/>
    <x v="4"/>
    <x v="4"/>
    <n v="94.1"/>
    <n v="40.9"/>
  </r>
  <r>
    <x v="10"/>
    <x v="12"/>
    <x v="5"/>
    <x v="5"/>
    <n v="50.2"/>
    <n v="41.2"/>
  </r>
  <r>
    <x v="10"/>
    <x v="12"/>
    <x v="6"/>
    <x v="6"/>
    <n v="30.1"/>
    <n v="77.900000000000006"/>
  </r>
  <r>
    <x v="10"/>
    <x v="12"/>
    <x v="7"/>
    <x v="7"/>
    <n v="14.1"/>
    <n v="129.5"/>
  </r>
  <r>
    <x v="10"/>
    <x v="12"/>
    <x v="8"/>
    <x v="8"/>
    <n v="72.900000000000006"/>
    <n v="35.1"/>
  </r>
  <r>
    <x v="10"/>
    <x v="12"/>
    <x v="9"/>
    <x v="9"/>
    <n v="159.69999999999999"/>
    <n v="5.9"/>
  </r>
  <r>
    <x v="10"/>
    <x v="12"/>
    <x v="10"/>
    <x v="10"/>
    <n v="296.89999999999998"/>
    <n v="0"/>
  </r>
  <r>
    <x v="10"/>
    <x v="12"/>
    <x v="11"/>
    <x v="11"/>
    <n v="346.5"/>
    <n v="0"/>
  </r>
  <r>
    <x v="11"/>
    <x v="12"/>
    <x v="0"/>
    <x v="0"/>
    <n v="304.3"/>
    <n v="0"/>
  </r>
  <r>
    <x v="11"/>
    <x v="12"/>
    <x v="1"/>
    <x v="1"/>
    <n v="425.7"/>
    <n v="0.1"/>
  </r>
  <r>
    <x v="11"/>
    <x v="12"/>
    <x v="2"/>
    <x v="2"/>
    <n v="196"/>
    <n v="11.2"/>
  </r>
  <r>
    <x v="11"/>
    <x v="12"/>
    <x v="3"/>
    <x v="3"/>
    <n v="126.2"/>
    <n v="14.8"/>
  </r>
  <r>
    <x v="11"/>
    <x v="12"/>
    <x v="4"/>
    <x v="4"/>
    <n v="57.6"/>
    <n v="60.6"/>
  </r>
  <r>
    <x v="11"/>
    <x v="12"/>
    <x v="5"/>
    <x v="5"/>
    <n v="6"/>
    <n v="173.2"/>
  </r>
  <r>
    <x v="11"/>
    <x v="12"/>
    <x v="6"/>
    <x v="6"/>
    <n v="1.2"/>
    <n v="204.4"/>
  </r>
  <r>
    <x v="11"/>
    <x v="12"/>
    <x v="7"/>
    <x v="7"/>
    <n v="0.7"/>
    <n v="243.7"/>
  </r>
  <r>
    <x v="11"/>
    <x v="12"/>
    <x v="8"/>
    <x v="8"/>
    <n v="14.9"/>
    <n v="107.3"/>
  </r>
  <r>
    <x v="11"/>
    <x v="12"/>
    <x v="9"/>
    <x v="9"/>
    <n v="73.3"/>
    <n v="60.2"/>
  </r>
  <r>
    <x v="11"/>
    <x v="12"/>
    <x v="10"/>
    <x v="10"/>
    <n v="156.80000000000001"/>
    <n v="1.6"/>
  </r>
  <r>
    <x v="11"/>
    <x v="12"/>
    <x v="11"/>
    <x v="11"/>
    <n v="310.2"/>
    <n v="0"/>
  </r>
  <r>
    <x v="10"/>
    <x v="13"/>
    <x v="0"/>
    <x v="0"/>
    <n v="429.9"/>
    <n v="0"/>
  </r>
  <r>
    <x v="10"/>
    <x v="13"/>
    <x v="1"/>
    <x v="1"/>
    <n v="402.7"/>
    <n v="0"/>
  </r>
  <r>
    <x v="10"/>
    <x v="13"/>
    <x v="2"/>
    <x v="2"/>
    <n v="377.5"/>
    <n v="0"/>
  </r>
  <r>
    <x v="10"/>
    <x v="13"/>
    <x v="3"/>
    <x v="3"/>
    <n v="216.6"/>
    <n v="10.6"/>
  </r>
  <r>
    <x v="10"/>
    <x v="13"/>
    <x v="4"/>
    <x v="4"/>
    <n v="162.19999999999999"/>
    <n v="3.1"/>
  </r>
  <r>
    <x v="10"/>
    <x v="13"/>
    <x v="5"/>
    <x v="5"/>
    <n v="57.6"/>
    <n v="43.7"/>
  </r>
  <r>
    <x v="10"/>
    <x v="13"/>
    <x v="6"/>
    <x v="6"/>
    <n v="9.1999999999999993"/>
    <n v="161.1"/>
  </r>
  <r>
    <x v="10"/>
    <x v="13"/>
    <x v="7"/>
    <x v="7"/>
    <n v="20.2"/>
    <n v="102.8"/>
  </r>
  <r>
    <x v="10"/>
    <x v="13"/>
    <x v="8"/>
    <x v="8"/>
    <n v="55.5"/>
    <n v="41"/>
  </r>
  <r>
    <x v="10"/>
    <x v="13"/>
    <x v="9"/>
    <x v="9"/>
    <n v="112.7"/>
    <n v="11.4"/>
  </r>
  <r>
    <x v="10"/>
    <x v="13"/>
    <x v="10"/>
    <x v="10"/>
    <n v="305.7"/>
    <n v="0"/>
  </r>
  <r>
    <x v="10"/>
    <x v="13"/>
    <x v="11"/>
    <x v="11"/>
    <n v="350.3"/>
    <n v="0"/>
  </r>
  <r>
    <x v="11"/>
    <x v="13"/>
    <x v="0"/>
    <x v="0"/>
    <n v="365.9"/>
    <n v="0"/>
  </r>
  <r>
    <x v="11"/>
    <x v="13"/>
    <x v="1"/>
    <x v="1"/>
    <n v="351.7"/>
    <n v="0"/>
  </r>
  <r>
    <x v="11"/>
    <x v="13"/>
    <x v="2"/>
    <x v="2"/>
    <n v="231.7"/>
    <n v="0"/>
  </r>
  <r>
    <x v="11"/>
    <x v="13"/>
    <x v="3"/>
    <x v="3"/>
    <n v="149.5"/>
    <n v="10.9"/>
  </r>
  <r>
    <x v="11"/>
    <x v="13"/>
    <x v="4"/>
    <x v="4"/>
    <n v="89.6"/>
    <n v="20.3"/>
  </r>
  <r>
    <x v="11"/>
    <x v="13"/>
    <x v="5"/>
    <x v="5"/>
    <n v="17.899999999999999"/>
    <n v="114"/>
  </r>
  <r>
    <x v="11"/>
    <x v="13"/>
    <x v="6"/>
    <x v="6"/>
    <n v="1.3"/>
    <n v="242.7"/>
  </r>
  <r>
    <x v="11"/>
    <x v="13"/>
    <x v="7"/>
    <x v="7"/>
    <n v="2.2999999999999998"/>
    <n v="209.4"/>
  </r>
  <r>
    <x v="11"/>
    <x v="13"/>
    <x v="8"/>
    <x v="8"/>
    <n v="15.2"/>
    <n v="109.2"/>
  </r>
  <r>
    <x v="11"/>
    <x v="13"/>
    <x v="9"/>
    <x v="9"/>
    <n v="36.5"/>
    <n v="68.5"/>
  </r>
  <r>
    <x v="11"/>
    <x v="13"/>
    <x v="10"/>
    <x v="10"/>
    <n v="228.3"/>
    <n v="5.8"/>
  </r>
  <r>
    <x v="11"/>
    <x v="13"/>
    <x v="11"/>
    <x v="11"/>
    <n v="286.10000000000002"/>
    <n v="0"/>
  </r>
  <r>
    <x v="10"/>
    <x v="14"/>
    <x v="0"/>
    <x v="0"/>
    <n v="325.3"/>
    <n v="0"/>
  </r>
  <r>
    <x v="10"/>
    <x v="14"/>
    <x v="1"/>
    <x v="1"/>
    <n v="283.2"/>
    <n v="0"/>
  </r>
  <r>
    <x v="10"/>
    <x v="14"/>
    <x v="2"/>
    <x v="2"/>
    <n v="227.1"/>
    <n v="2.7"/>
  </r>
  <r>
    <x v="10"/>
    <x v="14"/>
    <x v="3"/>
    <x v="3"/>
    <n v="142.30000000000001"/>
    <n v="6.3"/>
  </r>
  <r>
    <x v="10"/>
    <x v="14"/>
    <x v="4"/>
    <x v="4"/>
    <n v="112.5"/>
    <n v="14.3"/>
  </r>
  <r>
    <x v="10"/>
    <x v="14"/>
    <x v="5"/>
    <x v="5"/>
    <n v="37.299999999999997"/>
    <n v="59.7"/>
  </r>
  <r>
    <x v="10"/>
    <x v="14"/>
    <x v="6"/>
    <x v="6"/>
    <n v="17.600000000000001"/>
    <n v="110.6"/>
  </r>
  <r>
    <x v="10"/>
    <x v="14"/>
    <x v="7"/>
    <x v="7"/>
    <n v="36.5"/>
    <n v="52.6"/>
  </r>
  <r>
    <x v="10"/>
    <x v="14"/>
    <x v="8"/>
    <x v="8"/>
    <n v="34.6"/>
    <n v="63.8"/>
  </r>
  <r>
    <x v="10"/>
    <x v="14"/>
    <x v="9"/>
    <x v="9"/>
    <n v="101.7"/>
    <n v="16"/>
  </r>
  <r>
    <x v="10"/>
    <x v="14"/>
    <x v="10"/>
    <x v="10"/>
    <n v="223.9"/>
    <n v="0.7"/>
  </r>
  <r>
    <x v="10"/>
    <x v="14"/>
    <x v="11"/>
    <x v="11"/>
    <n v="368.9"/>
    <n v="0"/>
  </r>
  <r>
    <x v="11"/>
    <x v="14"/>
    <x v="0"/>
    <x v="0"/>
    <n v="249"/>
    <n v="0"/>
  </r>
  <r>
    <x v="11"/>
    <x v="14"/>
    <x v="1"/>
    <x v="1"/>
    <n v="221.6"/>
    <n v="0"/>
  </r>
  <r>
    <x v="11"/>
    <x v="14"/>
    <x v="2"/>
    <x v="2"/>
    <n v="197.6"/>
    <n v="3.6"/>
  </r>
  <r>
    <x v="11"/>
    <x v="14"/>
    <x v="3"/>
    <x v="3"/>
    <n v="90.1"/>
    <n v="19.899999999999999"/>
  </r>
  <r>
    <x v="11"/>
    <x v="14"/>
    <x v="4"/>
    <x v="4"/>
    <n v="49.4"/>
    <n v="53.8"/>
  </r>
  <r>
    <x v="11"/>
    <x v="14"/>
    <x v="5"/>
    <x v="5"/>
    <n v="8.1"/>
    <n v="164.1"/>
  </r>
  <r>
    <x v="11"/>
    <x v="14"/>
    <x v="6"/>
    <x v="6"/>
    <n v="1.3"/>
    <n v="190.9"/>
  </r>
  <r>
    <x v="11"/>
    <x v="14"/>
    <x v="7"/>
    <x v="7"/>
    <n v="4.5"/>
    <n v="170.3"/>
  </r>
  <r>
    <x v="11"/>
    <x v="14"/>
    <x v="8"/>
    <x v="8"/>
    <n v="11.4"/>
    <n v="134.19999999999999"/>
  </r>
  <r>
    <x v="11"/>
    <x v="14"/>
    <x v="9"/>
    <x v="9"/>
    <n v="39.700000000000003"/>
    <n v="75.5"/>
  </r>
  <r>
    <x v="11"/>
    <x v="14"/>
    <x v="10"/>
    <x v="10"/>
    <n v="108.2"/>
    <n v="7.2"/>
  </r>
  <r>
    <x v="11"/>
    <x v="14"/>
    <x v="11"/>
    <x v="11"/>
    <n v="280"/>
    <n v="0"/>
  </r>
  <r>
    <x v="10"/>
    <x v="15"/>
    <x v="0"/>
    <x v="0"/>
    <n v="392.8"/>
    <n v="0"/>
  </r>
  <r>
    <x v="10"/>
    <x v="15"/>
    <x v="1"/>
    <x v="1"/>
    <n v="367"/>
    <n v="0"/>
  </r>
  <r>
    <x v="10"/>
    <x v="15"/>
    <x v="2"/>
    <x v="2"/>
    <n v="241.8"/>
    <n v="0"/>
  </r>
  <r>
    <x v="10"/>
    <x v="15"/>
    <x v="3"/>
    <x v="3"/>
    <n v="154.69999999999999"/>
    <n v="15.8"/>
  </r>
  <r>
    <x v="10"/>
    <x v="15"/>
    <x v="4"/>
    <x v="4"/>
    <n v="105.1"/>
    <n v="16.100000000000001"/>
  </r>
  <r>
    <x v="10"/>
    <x v="15"/>
    <x v="5"/>
    <x v="5"/>
    <n v="36.4"/>
    <n v="85.3"/>
  </r>
  <r>
    <x v="10"/>
    <x v="15"/>
    <x v="6"/>
    <x v="6"/>
    <n v="15.5"/>
    <n v="136.19999999999999"/>
  </r>
  <r>
    <x v="10"/>
    <x v="15"/>
    <x v="7"/>
    <x v="7"/>
    <n v="16"/>
    <n v="132.6"/>
  </r>
  <r>
    <x v="10"/>
    <x v="15"/>
    <x v="8"/>
    <x v="8"/>
    <n v="81.8"/>
    <n v="10.9"/>
  </r>
  <r>
    <x v="10"/>
    <x v="15"/>
    <x v="9"/>
    <x v="9"/>
    <n v="180.4"/>
    <n v="2.9"/>
  </r>
  <r>
    <x v="10"/>
    <x v="15"/>
    <x v="10"/>
    <x v="10"/>
    <n v="197.7"/>
    <n v="2.2000000000000002"/>
  </r>
  <r>
    <x v="10"/>
    <x v="15"/>
    <x v="11"/>
    <x v="11"/>
    <n v="248.7"/>
    <n v="0"/>
  </r>
  <r>
    <x v="11"/>
    <x v="15"/>
    <x v="0"/>
    <x v="0"/>
    <n v="318"/>
    <n v="0"/>
  </r>
  <r>
    <x v="11"/>
    <x v="15"/>
    <x v="1"/>
    <x v="1"/>
    <n v="310.10000000000002"/>
    <n v="0"/>
  </r>
  <r>
    <x v="11"/>
    <x v="15"/>
    <x v="2"/>
    <x v="2"/>
    <n v="207"/>
    <n v="2"/>
  </r>
  <r>
    <x v="11"/>
    <x v="15"/>
    <x v="3"/>
    <x v="3"/>
    <n v="123.5"/>
    <n v="12"/>
  </r>
  <r>
    <x v="11"/>
    <x v="15"/>
    <x v="4"/>
    <x v="4"/>
    <n v="42.6"/>
    <n v="68.8"/>
  </r>
  <r>
    <x v="11"/>
    <x v="15"/>
    <x v="5"/>
    <x v="5"/>
    <n v="3.4"/>
    <n v="174.3"/>
  </r>
  <r>
    <x v="11"/>
    <x v="15"/>
    <x v="6"/>
    <x v="6"/>
    <n v="0.7"/>
    <n v="281.3"/>
  </r>
  <r>
    <x v="11"/>
    <x v="15"/>
    <x v="7"/>
    <x v="7"/>
    <n v="1.2"/>
    <n v="209.8"/>
  </r>
  <r>
    <x v="11"/>
    <x v="15"/>
    <x v="8"/>
    <x v="8"/>
    <n v="22.5"/>
    <n v="91.5"/>
  </r>
  <r>
    <x v="11"/>
    <x v="15"/>
    <x v="9"/>
    <x v="9"/>
    <n v="99.6"/>
    <n v="23.4"/>
  </r>
  <r>
    <x v="11"/>
    <x v="15"/>
    <x v="10"/>
    <x v="10"/>
    <n v="167.9"/>
    <n v="6"/>
  </r>
  <r>
    <x v="11"/>
    <x v="15"/>
    <x v="11"/>
    <x v="11"/>
    <n v="183.9"/>
    <n v="0"/>
  </r>
  <r>
    <x v="10"/>
    <x v="16"/>
    <x v="0"/>
    <x v="0"/>
    <n v="365.1"/>
    <n v="0"/>
  </r>
  <r>
    <x v="10"/>
    <x v="16"/>
    <x v="1"/>
    <x v="1"/>
    <n v="324.5"/>
    <n v="0"/>
  </r>
  <r>
    <x v="10"/>
    <x v="16"/>
    <x v="2"/>
    <x v="2"/>
    <n v="321.60000000000002"/>
    <n v="0"/>
  </r>
  <r>
    <x v="10"/>
    <x v="16"/>
    <x v="3"/>
    <x v="3"/>
    <n v="214.6"/>
    <n v="2"/>
  </r>
  <r>
    <x v="10"/>
    <x v="16"/>
    <x v="4"/>
    <x v="4"/>
    <n v="99.1"/>
    <n v="21.2"/>
  </r>
  <r>
    <x v="10"/>
    <x v="16"/>
    <x v="5"/>
    <x v="5"/>
    <n v="41.6"/>
    <n v="50.2"/>
  </r>
  <r>
    <x v="10"/>
    <x v="16"/>
    <x v="6"/>
    <x v="6"/>
    <n v="14.5"/>
    <n v="114.8"/>
  </r>
  <r>
    <x v="10"/>
    <x v="16"/>
    <x v="7"/>
    <x v="7"/>
    <n v="13.6"/>
    <n v="132.1"/>
  </r>
  <r>
    <x v="10"/>
    <x v="16"/>
    <x v="8"/>
    <x v="8"/>
    <n v="27.6"/>
    <n v="74.900000000000006"/>
  </r>
  <r>
    <x v="10"/>
    <x v="16"/>
    <x v="9"/>
    <x v="9"/>
    <n v="178"/>
    <n v="1.4"/>
  </r>
  <r>
    <x v="10"/>
    <x v="16"/>
    <x v="10"/>
    <x v="10"/>
    <n v="286.3"/>
    <n v="0"/>
  </r>
  <r>
    <x v="10"/>
    <x v="16"/>
    <x v="11"/>
    <x v="11"/>
    <n v="391.4"/>
    <n v="0"/>
  </r>
  <r>
    <x v="11"/>
    <x v="16"/>
    <x v="0"/>
    <x v="0"/>
    <n v="274.7"/>
    <n v="0"/>
  </r>
  <r>
    <x v="11"/>
    <x v="16"/>
    <x v="1"/>
    <x v="1"/>
    <n v="239.4"/>
    <n v="0.2"/>
  </r>
  <r>
    <x v="11"/>
    <x v="16"/>
    <x v="2"/>
    <x v="2"/>
    <n v="227.9"/>
    <n v="2.8"/>
  </r>
  <r>
    <x v="11"/>
    <x v="16"/>
    <x v="3"/>
    <x v="3"/>
    <n v="108.7"/>
    <n v="11.9"/>
  </r>
  <r>
    <x v="11"/>
    <x v="16"/>
    <x v="4"/>
    <x v="4"/>
    <n v="52.2"/>
    <n v="50.4"/>
  </r>
  <r>
    <x v="11"/>
    <x v="16"/>
    <x v="5"/>
    <x v="5"/>
    <n v="5.4"/>
    <n v="149.4"/>
  </r>
  <r>
    <x v="11"/>
    <x v="16"/>
    <x v="6"/>
    <x v="6"/>
    <n v="2.1"/>
    <n v="241.9"/>
  </r>
  <r>
    <x v="11"/>
    <x v="16"/>
    <x v="7"/>
    <x v="7"/>
    <n v="1.1000000000000001"/>
    <n v="213.5"/>
  </r>
  <r>
    <x v="11"/>
    <x v="16"/>
    <x v="8"/>
    <x v="8"/>
    <n v="9.9"/>
    <n v="157.4"/>
  </r>
  <r>
    <x v="11"/>
    <x v="16"/>
    <x v="9"/>
    <x v="9"/>
    <n v="84.5"/>
    <n v="29.9"/>
  </r>
  <r>
    <x v="11"/>
    <x v="16"/>
    <x v="10"/>
    <x v="10"/>
    <n v="176.3"/>
    <n v="4.0999999999999996"/>
  </r>
  <r>
    <x v="11"/>
    <x v="16"/>
    <x v="11"/>
    <x v="11"/>
    <n v="274.39999999999998"/>
    <n v="0"/>
  </r>
  <r>
    <x v="10"/>
    <x v="17"/>
    <x v="0"/>
    <x v="0"/>
    <n v="468.9"/>
    <n v="0"/>
  </r>
  <r>
    <x v="10"/>
    <x v="17"/>
    <x v="1"/>
    <x v="1"/>
    <n v="281.60000000000002"/>
    <n v="0"/>
  </r>
  <r>
    <x v="10"/>
    <x v="17"/>
    <x v="2"/>
    <x v="2"/>
    <n v="209.7"/>
    <n v="3"/>
  </r>
  <r>
    <x v="10"/>
    <x v="17"/>
    <x v="3"/>
    <x v="3"/>
    <n v="187.6"/>
    <n v="4.5"/>
  </r>
  <r>
    <x v="10"/>
    <x v="17"/>
    <x v="4"/>
    <x v="4"/>
    <n v="88"/>
    <n v="59.8"/>
  </r>
  <r>
    <x v="10"/>
    <x v="17"/>
    <x v="5"/>
    <x v="5"/>
    <n v="21.6"/>
    <n v="124.1"/>
  </r>
  <r>
    <x v="10"/>
    <x v="17"/>
    <x v="6"/>
    <x v="6"/>
    <n v="13.7"/>
    <n v="121.1"/>
  </r>
  <r>
    <x v="10"/>
    <x v="17"/>
    <x v="7"/>
    <x v="7"/>
    <n v="21"/>
    <n v="94.4"/>
  </r>
  <r>
    <x v="10"/>
    <x v="17"/>
    <x v="8"/>
    <x v="8"/>
    <n v="74.7"/>
    <n v="20.399999999999999"/>
  </r>
  <r>
    <x v="10"/>
    <x v="17"/>
    <x v="9"/>
    <x v="9"/>
    <n v="109.7"/>
    <n v="12.7"/>
  </r>
  <r>
    <x v="10"/>
    <x v="17"/>
    <x v="10"/>
    <x v="10"/>
    <n v="283.39999999999998"/>
    <n v="0"/>
  </r>
  <r>
    <x v="10"/>
    <x v="17"/>
    <x v="11"/>
    <x v="11"/>
    <n v="369.7"/>
    <n v="0"/>
  </r>
  <r>
    <x v="11"/>
    <x v="17"/>
    <x v="0"/>
    <x v="0"/>
    <n v="378.4"/>
    <n v="0"/>
  </r>
  <r>
    <x v="11"/>
    <x v="17"/>
    <x v="1"/>
    <x v="1"/>
    <n v="181"/>
    <n v="0.5"/>
  </r>
  <r>
    <x v="11"/>
    <x v="17"/>
    <x v="2"/>
    <x v="2"/>
    <n v="159.1"/>
    <n v="6.6"/>
  </r>
  <r>
    <x v="11"/>
    <x v="17"/>
    <x v="3"/>
    <x v="3"/>
    <n v="129.69999999999999"/>
    <n v="15.8"/>
  </r>
  <r>
    <x v="11"/>
    <x v="17"/>
    <x v="4"/>
    <x v="4"/>
    <n v="58.5"/>
    <n v="71.8"/>
  </r>
  <r>
    <x v="11"/>
    <x v="17"/>
    <x v="5"/>
    <x v="5"/>
    <n v="3.6"/>
    <n v="206.6"/>
  </r>
  <r>
    <x v="11"/>
    <x v="17"/>
    <x v="6"/>
    <x v="6"/>
    <n v="0.6"/>
    <n v="251.6"/>
  </r>
  <r>
    <x v="11"/>
    <x v="17"/>
    <x v="7"/>
    <x v="7"/>
    <n v="1.1000000000000001"/>
    <n v="244.8"/>
  </r>
  <r>
    <x v="11"/>
    <x v="17"/>
    <x v="8"/>
    <x v="8"/>
    <n v="33.1"/>
    <n v="76"/>
  </r>
  <r>
    <x v="11"/>
    <x v="17"/>
    <x v="9"/>
    <x v="9"/>
    <n v="57.5"/>
    <n v="52"/>
  </r>
  <r>
    <x v="11"/>
    <x v="17"/>
    <x v="10"/>
    <x v="10"/>
    <n v="223.3"/>
    <n v="2.2000000000000002"/>
  </r>
  <r>
    <x v="11"/>
    <x v="17"/>
    <x v="11"/>
    <x v="11"/>
    <n v="351.6"/>
    <n v="0"/>
  </r>
  <r>
    <x v="10"/>
    <x v="18"/>
    <x v="0"/>
    <x v="0"/>
    <n v="304.10000000000002"/>
    <n v="0"/>
  </r>
  <r>
    <x v="10"/>
    <x v="18"/>
    <x v="1"/>
    <x v="1"/>
    <n v="433.3"/>
    <n v="0"/>
  </r>
  <r>
    <x v="10"/>
    <x v="18"/>
    <x v="2"/>
    <x v="2"/>
    <n v="315.10000000000002"/>
    <n v="0.1"/>
  </r>
  <r>
    <x v="10"/>
    <x v="18"/>
    <x v="3"/>
    <x v="3"/>
    <n v="129.30000000000001"/>
    <n v="25.4"/>
  </r>
  <r>
    <x v="10"/>
    <x v="18"/>
    <x v="4"/>
    <x v="4"/>
    <n v="74.3"/>
    <n v="60.9"/>
  </r>
  <r>
    <x v="10"/>
    <x v="18"/>
    <x v="5"/>
    <x v="5"/>
    <n v="20.2"/>
    <n v="86.8"/>
  </r>
  <r>
    <x v="10"/>
    <x v="18"/>
    <x v="6"/>
    <x v="6"/>
    <n v="1.6"/>
    <n v="200.9"/>
  </r>
  <r>
    <x v="10"/>
    <x v="18"/>
    <x v="7"/>
    <x v="7"/>
    <n v="13.4"/>
    <n v="136.6"/>
  </r>
  <r>
    <x v="10"/>
    <x v="18"/>
    <x v="8"/>
    <x v="8"/>
    <n v="53.9"/>
    <n v="52.6"/>
  </r>
  <r>
    <x v="10"/>
    <x v="18"/>
    <x v="9"/>
    <x v="9"/>
    <n v="133.9"/>
    <n v="27.7"/>
  </r>
  <r>
    <x v="10"/>
    <x v="18"/>
    <x v="10"/>
    <x v="10"/>
    <n v="242.7"/>
    <n v="0.3"/>
  </r>
  <r>
    <x v="10"/>
    <x v="18"/>
    <x v="11"/>
    <x v="11"/>
    <n v="326.60000000000002"/>
    <n v="0"/>
  </r>
  <r>
    <x v="11"/>
    <x v="18"/>
    <x v="0"/>
    <x v="0"/>
    <n v="212.5"/>
    <n v="0.7"/>
  </r>
  <r>
    <x v="11"/>
    <x v="18"/>
    <x v="1"/>
    <x v="1"/>
    <n v="330.7"/>
    <n v="0"/>
  </r>
  <r>
    <x v="11"/>
    <x v="18"/>
    <x v="2"/>
    <x v="2"/>
    <n v="208.4"/>
    <n v="0.1"/>
  </r>
  <r>
    <x v="11"/>
    <x v="18"/>
    <x v="3"/>
    <x v="3"/>
    <n v="76.3"/>
    <n v="33.4"/>
  </r>
  <r>
    <x v="11"/>
    <x v="18"/>
    <x v="4"/>
    <x v="4"/>
    <n v="38.1"/>
    <n v="70"/>
  </r>
  <r>
    <x v="11"/>
    <x v="18"/>
    <x v="5"/>
    <x v="5"/>
    <n v="0.6"/>
    <n v="168.7"/>
  </r>
  <r>
    <x v="11"/>
    <x v="18"/>
    <x v="7"/>
    <x v="7"/>
    <n v="1.9"/>
    <n v="267"/>
  </r>
  <r>
    <x v="11"/>
    <x v="18"/>
    <x v="8"/>
    <x v="8"/>
    <n v="8.1999999999999993"/>
    <n v="149"/>
  </r>
  <r>
    <x v="11"/>
    <x v="18"/>
    <x v="9"/>
    <x v="9"/>
    <n v="66.900000000000006"/>
    <n v="47.7"/>
  </r>
  <r>
    <x v="11"/>
    <x v="18"/>
    <x v="10"/>
    <x v="10"/>
    <n v="135.6"/>
    <n v="6.9"/>
  </r>
  <r>
    <x v="11"/>
    <x v="18"/>
    <x v="11"/>
    <x v="11"/>
    <n v="289.39999999999998"/>
    <n v="0"/>
  </r>
  <r>
    <x v="11"/>
    <x v="18"/>
    <x v="6"/>
    <x v="6"/>
    <n v="0"/>
    <n v="293.60000000000002"/>
  </r>
  <r>
    <x v="10"/>
    <x v="19"/>
    <x v="0"/>
    <x v="0"/>
    <n v="405.9"/>
    <n v="0"/>
  </r>
  <r>
    <x v="10"/>
    <x v="19"/>
    <x v="1"/>
    <x v="1"/>
    <n v="269.60000000000002"/>
    <n v="0.6"/>
  </r>
  <r>
    <x v="10"/>
    <x v="19"/>
    <x v="2"/>
    <x v="2"/>
    <n v="235"/>
    <n v="1.3"/>
  </r>
  <r>
    <x v="10"/>
    <x v="19"/>
    <x v="3"/>
    <x v="3"/>
    <n v="177.7"/>
    <n v="14.4"/>
  </r>
  <r>
    <x v="10"/>
    <x v="19"/>
    <x v="4"/>
    <x v="4"/>
    <n v="127.2"/>
    <n v="12"/>
  </r>
  <r>
    <x v="10"/>
    <x v="19"/>
    <x v="5"/>
    <x v="5"/>
    <n v="35.799999999999997"/>
    <n v="111.5"/>
  </r>
  <r>
    <x v="10"/>
    <x v="19"/>
    <x v="6"/>
    <x v="6"/>
    <n v="10"/>
    <n v="162.5"/>
  </r>
  <r>
    <x v="10"/>
    <x v="19"/>
    <x v="7"/>
    <x v="7"/>
    <n v="11.8"/>
    <n v="126.1"/>
  </r>
  <r>
    <x v="10"/>
    <x v="19"/>
    <x v="8"/>
    <x v="8"/>
    <n v="45.3"/>
    <n v="41.3"/>
  </r>
  <r>
    <x v="10"/>
    <x v="19"/>
    <x v="9"/>
    <x v="9"/>
    <n v="137.4"/>
    <n v="7.2"/>
  </r>
  <r>
    <x v="10"/>
    <x v="19"/>
    <x v="10"/>
    <x v="10"/>
    <n v="283.2"/>
    <n v="0"/>
  </r>
  <r>
    <x v="10"/>
    <x v="19"/>
    <x v="11"/>
    <x v="11"/>
    <n v="328.2"/>
    <n v="0"/>
  </r>
  <r>
    <x v="11"/>
    <x v="19"/>
    <x v="0"/>
    <x v="0"/>
    <n v="365.7"/>
    <n v="0"/>
  </r>
  <r>
    <x v="11"/>
    <x v="19"/>
    <x v="1"/>
    <x v="1"/>
    <n v="250"/>
    <n v="1.6"/>
  </r>
  <r>
    <x v="11"/>
    <x v="19"/>
    <x v="2"/>
    <x v="2"/>
    <n v="189.1"/>
    <n v="4.0999999999999996"/>
  </r>
  <r>
    <x v="11"/>
    <x v="19"/>
    <x v="3"/>
    <x v="3"/>
    <n v="132.1"/>
    <n v="11.8"/>
  </r>
  <r>
    <x v="11"/>
    <x v="19"/>
    <x v="4"/>
    <x v="4"/>
    <n v="76.7"/>
    <n v="37.6"/>
  </r>
  <r>
    <x v="11"/>
    <x v="19"/>
    <x v="5"/>
    <x v="5"/>
    <n v="12.3"/>
    <n v="178.1"/>
  </r>
  <r>
    <x v="11"/>
    <x v="19"/>
    <x v="6"/>
    <x v="6"/>
    <n v="0.1"/>
    <n v="276.3"/>
  </r>
  <r>
    <x v="11"/>
    <x v="19"/>
    <x v="7"/>
    <x v="7"/>
    <n v="0.7"/>
    <n v="247"/>
  </r>
  <r>
    <x v="11"/>
    <x v="19"/>
    <x v="8"/>
    <x v="8"/>
    <n v="7.8"/>
    <n v="136.6"/>
  </r>
  <r>
    <x v="11"/>
    <x v="19"/>
    <x v="9"/>
    <x v="9"/>
    <n v="41.4"/>
    <n v="50.8"/>
  </r>
  <r>
    <x v="11"/>
    <x v="19"/>
    <x v="10"/>
    <x v="10"/>
    <n v="205"/>
    <n v="2.2999999999999998"/>
  </r>
  <r>
    <x v="11"/>
    <x v="19"/>
    <x v="11"/>
    <x v="11"/>
    <n v="228.9"/>
    <n v="0.4"/>
  </r>
  <r>
    <x v="10"/>
    <x v="20"/>
    <x v="0"/>
    <x v="0"/>
    <n v="339.7"/>
    <n v="0"/>
  </r>
  <r>
    <x v="10"/>
    <x v="20"/>
    <x v="1"/>
    <x v="1"/>
    <n v="250.2"/>
    <n v="0"/>
  </r>
  <r>
    <x v="10"/>
    <x v="20"/>
    <x v="2"/>
    <x v="2"/>
    <n v="270.10000000000002"/>
    <n v="0.5"/>
  </r>
  <r>
    <x v="10"/>
    <x v="20"/>
    <x v="3"/>
    <x v="3"/>
    <n v="105.9"/>
    <n v="35.6"/>
  </r>
  <r>
    <x v="10"/>
    <x v="20"/>
    <x v="4"/>
    <x v="4"/>
    <n v="86"/>
    <n v="49"/>
  </r>
  <r>
    <x v="10"/>
    <x v="20"/>
    <x v="5"/>
    <x v="5"/>
    <n v="37.799999999999997"/>
    <n v="74.7"/>
  </r>
  <r>
    <x v="10"/>
    <x v="20"/>
    <x v="6"/>
    <x v="6"/>
    <n v="16.100000000000001"/>
    <n v="112.2"/>
  </r>
  <r>
    <x v="10"/>
    <x v="20"/>
    <x v="7"/>
    <x v="7"/>
    <n v="12.8"/>
    <n v="165.6"/>
  </r>
  <r>
    <x v="10"/>
    <x v="20"/>
    <x v="8"/>
    <x v="8"/>
    <n v="46.2"/>
    <n v="84.3"/>
  </r>
  <r>
    <x v="10"/>
    <x v="20"/>
    <x v="9"/>
    <x v="9"/>
    <n v="159.5"/>
    <n v="1.4"/>
  </r>
  <r>
    <x v="10"/>
    <x v="20"/>
    <x v="10"/>
    <x v="10"/>
    <n v="220"/>
    <n v="0.5"/>
  </r>
  <r>
    <x v="10"/>
    <x v="20"/>
    <x v="11"/>
    <x v="11"/>
    <n v="337.8"/>
    <n v="0"/>
  </r>
  <r>
    <x v="11"/>
    <x v="20"/>
    <x v="0"/>
    <x v="0"/>
    <n v="269.10000000000002"/>
    <n v="0"/>
  </r>
  <r>
    <x v="11"/>
    <x v="20"/>
    <x v="1"/>
    <x v="1"/>
    <n v="215.4"/>
    <n v="0.8"/>
  </r>
  <r>
    <x v="11"/>
    <x v="20"/>
    <x v="2"/>
    <x v="2"/>
    <n v="208.8"/>
    <n v="2"/>
  </r>
  <r>
    <x v="11"/>
    <x v="20"/>
    <x v="3"/>
    <x v="3"/>
    <n v="116.8"/>
    <n v="16.399999999999999"/>
  </r>
  <r>
    <x v="11"/>
    <x v="20"/>
    <x v="4"/>
    <x v="4"/>
    <n v="31.7"/>
    <n v="78.7"/>
  </r>
  <r>
    <x v="11"/>
    <x v="20"/>
    <x v="5"/>
    <x v="5"/>
    <n v="8.1"/>
    <n v="131.9"/>
  </r>
  <r>
    <x v="11"/>
    <x v="20"/>
    <x v="6"/>
    <x v="6"/>
    <n v="0.9"/>
    <n v="242.7"/>
  </r>
  <r>
    <x v="11"/>
    <x v="20"/>
    <x v="7"/>
    <x v="7"/>
    <n v="1.5"/>
    <n v="241.7"/>
  </r>
  <r>
    <x v="11"/>
    <x v="20"/>
    <x v="8"/>
    <x v="8"/>
    <n v="19.899999999999999"/>
    <n v="126.1"/>
  </r>
  <r>
    <x v="11"/>
    <x v="20"/>
    <x v="9"/>
    <x v="9"/>
    <n v="108.4"/>
    <n v="16.399999999999999"/>
  </r>
  <r>
    <x v="11"/>
    <x v="20"/>
    <x v="10"/>
    <x v="10"/>
    <n v="151.5"/>
    <n v="5.3"/>
  </r>
  <r>
    <x v="11"/>
    <x v="20"/>
    <x v="11"/>
    <x v="11"/>
    <n v="290.5"/>
    <n v="0"/>
  </r>
  <r>
    <x v="10"/>
    <x v="21"/>
    <x v="0"/>
    <x v="0"/>
    <n v="397.4"/>
    <n v="0"/>
  </r>
  <r>
    <x v="10"/>
    <x v="21"/>
    <x v="1"/>
    <x v="1"/>
    <n v="303.89999999999998"/>
    <n v="0.5"/>
  </r>
  <r>
    <x v="10"/>
    <x v="21"/>
    <x v="2"/>
    <x v="2"/>
    <n v="277"/>
    <n v="5.8"/>
  </r>
  <r>
    <x v="10"/>
    <x v="21"/>
    <x v="3"/>
    <x v="3"/>
    <n v="232.6"/>
    <n v="4.8"/>
  </r>
  <r>
    <x v="10"/>
    <x v="21"/>
    <x v="4"/>
    <x v="4"/>
    <n v="147.6"/>
    <n v="14"/>
  </r>
  <r>
    <x v="10"/>
    <x v="21"/>
    <x v="5"/>
    <x v="5"/>
    <n v="21.2"/>
    <n v="95"/>
  </r>
  <r>
    <x v="10"/>
    <x v="21"/>
    <x v="6"/>
    <x v="6"/>
    <n v="11.8"/>
    <n v="90.1"/>
  </r>
  <r>
    <x v="10"/>
    <x v="21"/>
    <x v="7"/>
    <x v="7"/>
    <n v="21.3"/>
    <n v="69.8"/>
  </r>
  <r>
    <x v="10"/>
    <x v="21"/>
    <x v="8"/>
    <x v="8"/>
    <n v="36.1"/>
    <n v="75"/>
  </r>
  <r>
    <x v="10"/>
    <x v="21"/>
    <x v="9"/>
    <x v="9"/>
    <n v="153.1"/>
    <n v="3.3"/>
  </r>
  <r>
    <x v="10"/>
    <x v="21"/>
    <x v="10"/>
    <x v="10"/>
    <n v="311.39999999999998"/>
    <n v="0"/>
  </r>
  <r>
    <x v="10"/>
    <x v="21"/>
    <x v="11"/>
    <x v="11"/>
    <n v="324.5"/>
    <n v="0"/>
  </r>
  <r>
    <x v="11"/>
    <x v="21"/>
    <x v="0"/>
    <x v="0"/>
    <n v="348.4"/>
    <n v="0"/>
  </r>
  <r>
    <x v="11"/>
    <x v="21"/>
    <x v="1"/>
    <x v="1"/>
    <n v="197.2"/>
    <n v="0.3"/>
  </r>
  <r>
    <x v="11"/>
    <x v="21"/>
    <x v="2"/>
    <x v="2"/>
    <n v="231"/>
    <n v="1.5"/>
  </r>
  <r>
    <x v="11"/>
    <x v="21"/>
    <x v="3"/>
    <x v="3"/>
    <n v="170.1"/>
    <n v="7.6"/>
  </r>
  <r>
    <x v="11"/>
    <x v="21"/>
    <x v="4"/>
    <x v="4"/>
    <n v="60.8"/>
    <n v="41.3"/>
  </r>
  <r>
    <x v="11"/>
    <x v="21"/>
    <x v="5"/>
    <x v="5"/>
    <n v="3"/>
    <n v="192.5"/>
  </r>
  <r>
    <x v="11"/>
    <x v="21"/>
    <x v="6"/>
    <x v="6"/>
    <n v="0.7"/>
    <n v="229.1"/>
  </r>
  <r>
    <x v="11"/>
    <x v="21"/>
    <x v="7"/>
    <x v="7"/>
    <n v="3"/>
    <n v="201.3"/>
  </r>
  <r>
    <x v="11"/>
    <x v="21"/>
    <x v="8"/>
    <x v="8"/>
    <n v="8"/>
    <n v="143"/>
  </r>
  <r>
    <x v="11"/>
    <x v="21"/>
    <x v="9"/>
    <x v="9"/>
    <n v="77.7"/>
    <n v="32"/>
  </r>
  <r>
    <x v="11"/>
    <x v="21"/>
    <x v="10"/>
    <x v="10"/>
    <n v="194.5"/>
    <n v="2.4"/>
  </r>
  <r>
    <x v="11"/>
    <x v="21"/>
    <x v="11"/>
    <x v="11"/>
    <n v="311"/>
    <n v="0.5"/>
  </r>
  <r>
    <x v="10"/>
    <x v="22"/>
    <x v="0"/>
    <x v="0"/>
    <n v="386.2"/>
    <n v="0"/>
  </r>
  <r>
    <x v="10"/>
    <x v="22"/>
    <x v="1"/>
    <x v="1"/>
    <n v="270.39999999999998"/>
    <n v="0"/>
  </r>
  <r>
    <x v="10"/>
    <x v="22"/>
    <x v="2"/>
    <x v="2"/>
    <n v="230.7"/>
    <n v="3.4"/>
  </r>
  <r>
    <x v="10"/>
    <x v="22"/>
    <x v="3"/>
    <x v="3"/>
    <n v="180.8"/>
    <n v="8.6999999999999993"/>
  </r>
  <r>
    <x v="10"/>
    <x v="22"/>
    <x v="4"/>
    <x v="4"/>
    <n v="60.8"/>
    <n v="53.2"/>
  </r>
  <r>
    <x v="10"/>
    <x v="22"/>
    <x v="5"/>
    <x v="5"/>
    <n v="21.7"/>
    <n v="95.8"/>
  </r>
  <r>
    <x v="10"/>
    <x v="22"/>
    <x v="6"/>
    <x v="6"/>
    <n v="10.4"/>
    <n v="165"/>
  </r>
  <r>
    <x v="10"/>
    <x v="22"/>
    <x v="7"/>
    <x v="7"/>
    <n v="5.6"/>
    <n v="170.5"/>
  </r>
  <r>
    <x v="10"/>
    <x v="22"/>
    <x v="8"/>
    <x v="8"/>
    <n v="64.599999999999994"/>
    <n v="50.6"/>
  </r>
  <r>
    <x v="10"/>
    <x v="22"/>
    <x v="9"/>
    <x v="9"/>
    <n v="70.8"/>
    <n v="17.8"/>
  </r>
  <r>
    <x v="10"/>
    <x v="22"/>
    <x v="10"/>
    <x v="10"/>
    <n v="234.6"/>
    <n v="0"/>
  </r>
  <r>
    <x v="10"/>
    <x v="22"/>
    <x v="11"/>
    <x v="11"/>
    <n v="383.4"/>
    <n v="0"/>
  </r>
  <r>
    <x v="11"/>
    <x v="22"/>
    <x v="0"/>
    <x v="0"/>
    <n v="362.6"/>
    <n v="0"/>
  </r>
  <r>
    <x v="11"/>
    <x v="22"/>
    <x v="1"/>
    <x v="1"/>
    <n v="212.6"/>
    <n v="1.5"/>
  </r>
  <r>
    <x v="11"/>
    <x v="22"/>
    <x v="2"/>
    <x v="2"/>
    <n v="188.4"/>
    <n v="5"/>
  </r>
  <r>
    <x v="11"/>
    <x v="22"/>
    <x v="3"/>
    <x v="3"/>
    <n v="130.6"/>
    <n v="24.4"/>
  </r>
  <r>
    <x v="11"/>
    <x v="22"/>
    <x v="4"/>
    <x v="4"/>
    <n v="27.4"/>
    <n v="115.5"/>
  </r>
  <r>
    <x v="11"/>
    <x v="22"/>
    <x v="5"/>
    <x v="5"/>
    <n v="1.1000000000000001"/>
    <n v="246.3"/>
  </r>
  <r>
    <x v="11"/>
    <x v="22"/>
    <x v="6"/>
    <x v="6"/>
    <n v="0.4"/>
    <n v="299.5"/>
  </r>
  <r>
    <x v="11"/>
    <x v="22"/>
    <x v="8"/>
    <x v="8"/>
    <n v="17.3"/>
    <n v="132.30000000000001"/>
  </r>
  <r>
    <x v="11"/>
    <x v="22"/>
    <x v="9"/>
    <x v="9"/>
    <n v="24.2"/>
    <n v="90.6"/>
  </r>
  <r>
    <x v="11"/>
    <x v="22"/>
    <x v="10"/>
    <x v="10"/>
    <n v="143.9"/>
    <n v="10.4"/>
  </r>
  <r>
    <x v="11"/>
    <x v="22"/>
    <x v="11"/>
    <x v="11"/>
    <n v="252.3"/>
    <n v="0.7"/>
  </r>
  <r>
    <x v="11"/>
    <x v="22"/>
    <x v="7"/>
    <x v="7"/>
    <n v="0"/>
    <n v="272.5"/>
  </r>
  <r>
    <x v="12"/>
    <x v="1"/>
    <x v="0"/>
    <x v="0"/>
    <n v="382.8"/>
    <n v="0"/>
  </r>
  <r>
    <x v="12"/>
    <x v="1"/>
    <x v="1"/>
    <x v="1"/>
    <n v="323.10000000000002"/>
    <n v="0"/>
  </r>
  <r>
    <x v="12"/>
    <x v="1"/>
    <x v="2"/>
    <x v="2"/>
    <n v="260.2"/>
    <n v="0"/>
  </r>
  <r>
    <x v="12"/>
    <x v="1"/>
    <x v="3"/>
    <x v="3"/>
    <n v="246.3"/>
    <n v="1.3"/>
  </r>
  <r>
    <x v="12"/>
    <x v="1"/>
    <x v="4"/>
    <x v="4"/>
    <n v="106.2"/>
    <n v="37.200000000000003"/>
  </r>
  <r>
    <x v="12"/>
    <x v="1"/>
    <x v="5"/>
    <x v="5"/>
    <n v="70.3"/>
    <n v="60.2"/>
  </r>
  <r>
    <x v="12"/>
    <x v="1"/>
    <x v="6"/>
    <x v="6"/>
    <n v="32.9"/>
    <n v="92.3"/>
  </r>
  <r>
    <x v="12"/>
    <x v="1"/>
    <x v="7"/>
    <x v="7"/>
    <n v="30.2"/>
    <n v="99.7"/>
  </r>
  <r>
    <x v="12"/>
    <x v="1"/>
    <x v="8"/>
    <x v="8"/>
    <n v="116.3"/>
    <n v="10.6"/>
  </r>
  <r>
    <x v="12"/>
    <x v="1"/>
    <x v="9"/>
    <x v="9"/>
    <n v="87"/>
    <n v="15.2"/>
  </r>
  <r>
    <x v="12"/>
    <x v="1"/>
    <x v="10"/>
    <x v="10"/>
    <n v="330.9"/>
    <n v="0"/>
  </r>
  <r>
    <x v="12"/>
    <x v="1"/>
    <x v="11"/>
    <x v="11"/>
    <n v="443.3"/>
    <n v="0"/>
  </r>
  <r>
    <x v="13"/>
    <x v="1"/>
    <x v="6"/>
    <x v="6"/>
    <n v="38.700000000000003"/>
    <n v="49.7"/>
  </r>
  <r>
    <x v="13"/>
    <x v="1"/>
    <x v="7"/>
    <x v="7"/>
    <n v="31.5"/>
    <n v="33.700000000000003"/>
  </r>
  <r>
    <x v="13"/>
    <x v="1"/>
    <x v="9"/>
    <x v="9"/>
    <n v="111.3"/>
    <n v="7"/>
  </r>
  <r>
    <x v="13"/>
    <x v="1"/>
    <x v="10"/>
    <x v="10"/>
    <n v="300.8"/>
    <n v="0"/>
  </r>
  <r>
    <x v="13"/>
    <x v="1"/>
    <x v="11"/>
    <x v="11"/>
    <n v="410.4"/>
    <n v="0"/>
  </r>
  <r>
    <x v="14"/>
    <x v="1"/>
    <x v="0"/>
    <x v="0"/>
    <n v="346.8"/>
    <n v="0"/>
  </r>
  <r>
    <x v="14"/>
    <x v="1"/>
    <x v="1"/>
    <x v="1"/>
    <n v="323.10000000000002"/>
    <n v="0"/>
  </r>
  <r>
    <x v="14"/>
    <x v="1"/>
    <x v="2"/>
    <x v="2"/>
    <n v="241.1"/>
    <n v="0.2"/>
  </r>
  <r>
    <x v="14"/>
    <x v="1"/>
    <x v="3"/>
    <x v="3"/>
    <n v="252.7"/>
    <n v="0.4"/>
  </r>
  <r>
    <x v="14"/>
    <x v="1"/>
    <x v="4"/>
    <x v="4"/>
    <n v="132.6"/>
    <n v="28.7"/>
  </r>
  <r>
    <x v="14"/>
    <x v="1"/>
    <x v="5"/>
    <x v="5"/>
    <n v="78.8"/>
    <n v="48.6"/>
  </r>
  <r>
    <x v="14"/>
    <x v="1"/>
    <x v="6"/>
    <x v="6"/>
    <n v="41.6"/>
    <n v="67.599999999999994"/>
  </r>
  <r>
    <x v="14"/>
    <x v="1"/>
    <x v="7"/>
    <x v="7"/>
    <n v="31.2"/>
    <n v="78.099999999999994"/>
  </r>
  <r>
    <x v="14"/>
    <x v="1"/>
    <x v="8"/>
    <x v="8"/>
    <n v="110.6"/>
    <n v="14.6"/>
  </r>
  <r>
    <x v="14"/>
    <x v="1"/>
    <x v="9"/>
    <x v="9"/>
    <n v="80.5"/>
    <n v="14.9"/>
  </r>
  <r>
    <x v="14"/>
    <x v="1"/>
    <x v="10"/>
    <x v="10"/>
    <n v="331.9"/>
    <n v="0"/>
  </r>
  <r>
    <x v="14"/>
    <x v="1"/>
    <x v="11"/>
    <x v="11"/>
    <n v="445"/>
    <n v="0"/>
  </r>
  <r>
    <x v="12"/>
    <x v="2"/>
    <x v="0"/>
    <x v="0"/>
    <n v="342.4"/>
    <n v="0"/>
  </r>
  <r>
    <x v="12"/>
    <x v="2"/>
    <x v="1"/>
    <x v="1"/>
    <n v="262.3"/>
    <n v="0"/>
  </r>
  <r>
    <x v="12"/>
    <x v="2"/>
    <x v="2"/>
    <x v="2"/>
    <n v="281.8"/>
    <n v="0.4"/>
  </r>
  <r>
    <x v="12"/>
    <x v="2"/>
    <x v="3"/>
    <x v="3"/>
    <n v="202.1"/>
    <n v="5.2"/>
  </r>
  <r>
    <x v="12"/>
    <x v="2"/>
    <x v="4"/>
    <x v="4"/>
    <n v="146.69999999999999"/>
    <n v="14.3"/>
  </r>
  <r>
    <x v="12"/>
    <x v="2"/>
    <x v="5"/>
    <x v="5"/>
    <n v="58.7"/>
    <n v="55"/>
  </r>
  <r>
    <x v="12"/>
    <x v="2"/>
    <x v="6"/>
    <x v="6"/>
    <n v="50.1"/>
    <n v="66.5"/>
  </r>
  <r>
    <x v="12"/>
    <x v="2"/>
    <x v="7"/>
    <x v="7"/>
    <n v="38.700000000000003"/>
    <n v="62.7"/>
  </r>
  <r>
    <x v="12"/>
    <x v="2"/>
    <x v="8"/>
    <x v="8"/>
    <n v="92.2"/>
    <n v="27.7"/>
  </r>
  <r>
    <x v="12"/>
    <x v="2"/>
    <x v="9"/>
    <x v="9"/>
    <n v="158.9"/>
    <n v="3.3"/>
  </r>
  <r>
    <x v="12"/>
    <x v="2"/>
    <x v="10"/>
    <x v="10"/>
    <n v="249.3"/>
    <n v="0"/>
  </r>
  <r>
    <x v="12"/>
    <x v="2"/>
    <x v="11"/>
    <x v="11"/>
    <n v="315.10000000000002"/>
    <n v="0"/>
  </r>
  <r>
    <x v="13"/>
    <x v="2"/>
    <x v="0"/>
    <x v="0"/>
    <n v="337"/>
    <n v="0"/>
  </r>
  <r>
    <x v="13"/>
    <x v="2"/>
    <x v="1"/>
    <x v="1"/>
    <n v="280.2"/>
    <n v="0"/>
  </r>
  <r>
    <x v="13"/>
    <x v="2"/>
    <x v="2"/>
    <x v="2"/>
    <n v="258"/>
    <n v="0"/>
  </r>
  <r>
    <x v="13"/>
    <x v="2"/>
    <x v="3"/>
    <x v="3"/>
    <n v="228.8"/>
    <n v="2.6"/>
  </r>
  <r>
    <x v="13"/>
    <x v="2"/>
    <x v="4"/>
    <x v="4"/>
    <n v="165.8"/>
    <n v="8.9"/>
  </r>
  <r>
    <x v="13"/>
    <x v="2"/>
    <x v="5"/>
    <x v="5"/>
    <n v="80.8"/>
    <n v="32.9"/>
  </r>
  <r>
    <x v="13"/>
    <x v="2"/>
    <x v="6"/>
    <x v="6"/>
    <n v="62.1"/>
    <n v="41.9"/>
  </r>
  <r>
    <x v="13"/>
    <x v="2"/>
    <x v="7"/>
    <x v="7"/>
    <n v="47.9"/>
    <n v="48.9"/>
  </r>
  <r>
    <x v="13"/>
    <x v="2"/>
    <x v="8"/>
    <x v="8"/>
    <n v="93.7"/>
    <n v="18.8"/>
  </r>
  <r>
    <x v="13"/>
    <x v="2"/>
    <x v="9"/>
    <x v="9"/>
    <n v="176.3"/>
    <n v="2"/>
  </r>
  <r>
    <x v="13"/>
    <x v="2"/>
    <x v="10"/>
    <x v="10"/>
    <n v="253.8"/>
    <n v="0"/>
  </r>
  <r>
    <x v="13"/>
    <x v="2"/>
    <x v="11"/>
    <x v="11"/>
    <n v="325"/>
    <n v="0"/>
  </r>
  <r>
    <x v="14"/>
    <x v="2"/>
    <x v="0"/>
    <x v="0"/>
    <n v="316.3"/>
    <n v="0"/>
  </r>
  <r>
    <x v="14"/>
    <x v="2"/>
    <x v="1"/>
    <x v="1"/>
    <n v="266.5"/>
    <n v="0"/>
  </r>
  <r>
    <x v="14"/>
    <x v="2"/>
    <x v="2"/>
    <x v="2"/>
    <n v="278.2"/>
    <n v="0.1"/>
  </r>
  <r>
    <x v="14"/>
    <x v="2"/>
    <x v="3"/>
    <x v="3"/>
    <n v="225.1"/>
    <n v="3.6"/>
  </r>
  <r>
    <x v="14"/>
    <x v="2"/>
    <x v="4"/>
    <x v="4"/>
    <n v="154.4"/>
    <n v="12.8"/>
  </r>
  <r>
    <x v="14"/>
    <x v="2"/>
    <x v="5"/>
    <x v="5"/>
    <n v="75.099999999999994"/>
    <n v="45.8"/>
  </r>
  <r>
    <x v="14"/>
    <x v="2"/>
    <x v="6"/>
    <x v="6"/>
    <n v="55.6"/>
    <n v="53"/>
  </r>
  <r>
    <x v="14"/>
    <x v="2"/>
    <x v="7"/>
    <x v="7"/>
    <n v="48.8"/>
    <n v="44.7"/>
  </r>
  <r>
    <x v="14"/>
    <x v="2"/>
    <x v="8"/>
    <x v="8"/>
    <n v="92.6"/>
    <n v="29.6"/>
  </r>
  <r>
    <x v="14"/>
    <x v="2"/>
    <x v="9"/>
    <x v="9"/>
    <n v="139.69999999999999"/>
    <n v="4"/>
  </r>
  <r>
    <x v="14"/>
    <x v="2"/>
    <x v="10"/>
    <x v="10"/>
    <n v="218.6"/>
    <n v="0"/>
  </r>
  <r>
    <x v="14"/>
    <x v="2"/>
    <x v="11"/>
    <x v="11"/>
    <n v="284"/>
    <n v="0"/>
  </r>
  <r>
    <x v="12"/>
    <x v="3"/>
    <x v="0"/>
    <x v="0"/>
    <n v="452"/>
    <n v="0"/>
  </r>
  <r>
    <x v="12"/>
    <x v="3"/>
    <x v="1"/>
    <x v="1"/>
    <n v="368.6"/>
    <n v="0"/>
  </r>
  <r>
    <x v="12"/>
    <x v="3"/>
    <x v="2"/>
    <x v="2"/>
    <n v="234.7"/>
    <n v="4.2"/>
  </r>
  <r>
    <x v="12"/>
    <x v="3"/>
    <x v="3"/>
    <x v="3"/>
    <n v="199.3"/>
    <n v="13.3"/>
  </r>
  <r>
    <x v="12"/>
    <x v="3"/>
    <x v="4"/>
    <x v="4"/>
    <n v="127.3"/>
    <n v="24.6"/>
  </r>
  <r>
    <x v="12"/>
    <x v="3"/>
    <x v="5"/>
    <x v="5"/>
    <n v="17.8"/>
    <n v="111.8"/>
  </r>
  <r>
    <x v="12"/>
    <x v="3"/>
    <x v="6"/>
    <x v="6"/>
    <n v="21.8"/>
    <n v="102.2"/>
  </r>
  <r>
    <x v="12"/>
    <x v="3"/>
    <x v="7"/>
    <x v="7"/>
    <n v="17.100000000000001"/>
    <n v="205.7"/>
  </r>
  <r>
    <x v="12"/>
    <x v="3"/>
    <x v="8"/>
    <x v="8"/>
    <n v="78.099999999999994"/>
    <n v="51.6"/>
  </r>
  <r>
    <x v="12"/>
    <x v="3"/>
    <x v="9"/>
    <x v="9"/>
    <n v="235"/>
    <n v="5.2"/>
  </r>
  <r>
    <x v="12"/>
    <x v="3"/>
    <x v="10"/>
    <x v="10"/>
    <n v="257.8"/>
    <n v="0"/>
  </r>
  <r>
    <x v="12"/>
    <x v="3"/>
    <x v="11"/>
    <x v="11"/>
    <n v="381.2"/>
    <n v="0"/>
  </r>
  <r>
    <x v="13"/>
    <x v="3"/>
    <x v="0"/>
    <x v="0"/>
    <n v="367.4"/>
    <n v="0"/>
  </r>
  <r>
    <x v="13"/>
    <x v="3"/>
    <x v="1"/>
    <x v="1"/>
    <n v="372.9"/>
    <n v="0"/>
  </r>
  <r>
    <x v="13"/>
    <x v="3"/>
    <x v="2"/>
    <x v="2"/>
    <n v="246.4"/>
    <n v="2"/>
  </r>
  <r>
    <x v="13"/>
    <x v="3"/>
    <x v="3"/>
    <x v="3"/>
    <n v="215.2"/>
    <n v="9"/>
  </r>
  <r>
    <x v="13"/>
    <x v="3"/>
    <x v="4"/>
    <x v="4"/>
    <n v="156.80000000000001"/>
    <n v="18.3"/>
  </r>
  <r>
    <x v="13"/>
    <x v="3"/>
    <x v="5"/>
    <x v="5"/>
    <n v="34.799999999999997"/>
    <n v="76.8"/>
  </r>
  <r>
    <x v="13"/>
    <x v="3"/>
    <x v="6"/>
    <x v="6"/>
    <n v="24.5"/>
    <n v="68.2"/>
  </r>
  <r>
    <x v="13"/>
    <x v="3"/>
    <x v="7"/>
    <x v="7"/>
    <n v="22.1"/>
    <n v="155.80000000000001"/>
  </r>
  <r>
    <x v="13"/>
    <x v="3"/>
    <x v="8"/>
    <x v="8"/>
    <n v="82.3"/>
    <n v="42.6"/>
  </r>
  <r>
    <x v="13"/>
    <x v="3"/>
    <x v="9"/>
    <x v="9"/>
    <n v="239.8"/>
    <n v="3"/>
  </r>
  <r>
    <x v="13"/>
    <x v="3"/>
    <x v="10"/>
    <x v="10"/>
    <n v="265.3"/>
    <n v="0"/>
  </r>
  <r>
    <x v="13"/>
    <x v="3"/>
    <x v="11"/>
    <x v="11"/>
    <n v="392.3"/>
    <n v="0"/>
  </r>
  <r>
    <x v="14"/>
    <x v="3"/>
    <x v="0"/>
    <x v="0"/>
    <n v="426.4"/>
    <n v="0"/>
  </r>
  <r>
    <x v="14"/>
    <x v="3"/>
    <x v="1"/>
    <x v="1"/>
    <n v="352.1"/>
    <n v="0"/>
  </r>
  <r>
    <x v="14"/>
    <x v="3"/>
    <x v="2"/>
    <x v="2"/>
    <n v="223.2"/>
    <n v="2.4"/>
  </r>
  <r>
    <x v="14"/>
    <x v="3"/>
    <x v="3"/>
    <x v="3"/>
    <n v="195.2"/>
    <n v="10.199999999999999"/>
  </r>
  <r>
    <x v="14"/>
    <x v="3"/>
    <x v="4"/>
    <x v="4"/>
    <n v="138"/>
    <n v="19"/>
  </r>
  <r>
    <x v="14"/>
    <x v="3"/>
    <x v="5"/>
    <x v="5"/>
    <n v="27.2"/>
    <n v="100.3"/>
  </r>
  <r>
    <x v="14"/>
    <x v="3"/>
    <x v="6"/>
    <x v="6"/>
    <n v="23.9"/>
    <n v="91"/>
  </r>
  <r>
    <x v="14"/>
    <x v="3"/>
    <x v="7"/>
    <x v="7"/>
    <n v="16.100000000000001"/>
    <n v="183.5"/>
  </r>
  <r>
    <x v="14"/>
    <x v="3"/>
    <x v="8"/>
    <x v="8"/>
    <n v="68.900000000000006"/>
    <n v="53.4"/>
  </r>
  <r>
    <x v="14"/>
    <x v="3"/>
    <x v="9"/>
    <x v="9"/>
    <n v="211.1"/>
    <n v="4.4000000000000004"/>
  </r>
  <r>
    <x v="14"/>
    <x v="3"/>
    <x v="10"/>
    <x v="10"/>
    <n v="235.5"/>
    <n v="0.2"/>
  </r>
  <r>
    <x v="14"/>
    <x v="3"/>
    <x v="11"/>
    <x v="11"/>
    <n v="352.7"/>
    <n v="0"/>
  </r>
  <r>
    <x v="12"/>
    <x v="4"/>
    <x v="0"/>
    <x v="0"/>
    <n v="372.3"/>
    <n v="0"/>
  </r>
  <r>
    <x v="12"/>
    <x v="4"/>
    <x v="1"/>
    <x v="1"/>
    <n v="346.4"/>
    <n v="0.1"/>
  </r>
  <r>
    <x v="12"/>
    <x v="4"/>
    <x v="2"/>
    <x v="2"/>
    <n v="336.2"/>
    <n v="1.6"/>
  </r>
  <r>
    <x v="12"/>
    <x v="4"/>
    <x v="3"/>
    <x v="3"/>
    <n v="210.9"/>
    <n v="3"/>
  </r>
  <r>
    <x v="12"/>
    <x v="4"/>
    <x v="4"/>
    <x v="4"/>
    <n v="141"/>
    <n v="23.1"/>
  </r>
  <r>
    <x v="12"/>
    <x v="4"/>
    <x v="5"/>
    <x v="5"/>
    <n v="53"/>
    <n v="70.599999999999994"/>
  </r>
  <r>
    <x v="12"/>
    <x v="4"/>
    <x v="6"/>
    <x v="6"/>
    <n v="41.2"/>
    <n v="80.400000000000006"/>
  </r>
  <r>
    <x v="12"/>
    <x v="4"/>
    <x v="7"/>
    <x v="7"/>
    <n v="24.7"/>
    <n v="96.3"/>
  </r>
  <r>
    <x v="12"/>
    <x v="4"/>
    <x v="8"/>
    <x v="8"/>
    <n v="70.900000000000006"/>
    <n v="60"/>
  </r>
  <r>
    <x v="12"/>
    <x v="4"/>
    <x v="9"/>
    <x v="9"/>
    <n v="156.69999999999999"/>
    <n v="5.5"/>
  </r>
  <r>
    <x v="12"/>
    <x v="4"/>
    <x v="10"/>
    <x v="10"/>
    <n v="298.3"/>
    <n v="0"/>
  </r>
  <r>
    <x v="12"/>
    <x v="4"/>
    <x v="11"/>
    <x v="11"/>
    <n v="425.1"/>
    <n v="0"/>
  </r>
  <r>
    <x v="13"/>
    <x v="4"/>
    <x v="0"/>
    <x v="0"/>
    <n v="368.4"/>
    <n v="0"/>
  </r>
  <r>
    <x v="13"/>
    <x v="4"/>
    <x v="1"/>
    <x v="1"/>
    <n v="358.5"/>
    <n v="0"/>
  </r>
  <r>
    <x v="13"/>
    <x v="4"/>
    <x v="2"/>
    <x v="2"/>
    <n v="351.4"/>
    <n v="0.5"/>
  </r>
  <r>
    <x v="13"/>
    <x v="4"/>
    <x v="3"/>
    <x v="3"/>
    <n v="239.1"/>
    <n v="0.8"/>
  </r>
  <r>
    <x v="13"/>
    <x v="4"/>
    <x v="4"/>
    <x v="4"/>
    <n v="164.2"/>
    <n v="14.3"/>
  </r>
  <r>
    <x v="13"/>
    <x v="4"/>
    <x v="5"/>
    <x v="5"/>
    <n v="65.8"/>
    <n v="41.9"/>
  </r>
  <r>
    <x v="13"/>
    <x v="4"/>
    <x v="6"/>
    <x v="6"/>
    <n v="58.5"/>
    <n v="53.3"/>
  </r>
  <r>
    <x v="13"/>
    <x v="4"/>
    <x v="7"/>
    <x v="7"/>
    <n v="34.5"/>
    <n v="69.900000000000006"/>
  </r>
  <r>
    <x v="13"/>
    <x v="4"/>
    <x v="8"/>
    <x v="8"/>
    <n v="80.8"/>
    <n v="48.9"/>
  </r>
  <r>
    <x v="13"/>
    <x v="4"/>
    <x v="9"/>
    <x v="9"/>
    <n v="161.19999999999999"/>
    <n v="3.3"/>
  </r>
  <r>
    <x v="13"/>
    <x v="4"/>
    <x v="10"/>
    <x v="10"/>
    <n v="285.8"/>
    <n v="0"/>
  </r>
  <r>
    <x v="13"/>
    <x v="4"/>
    <x v="11"/>
    <x v="11"/>
    <n v="424.7"/>
    <n v="0"/>
  </r>
  <r>
    <x v="14"/>
    <x v="4"/>
    <x v="0"/>
    <x v="0"/>
    <n v="348"/>
    <n v="0"/>
  </r>
  <r>
    <x v="14"/>
    <x v="4"/>
    <x v="1"/>
    <x v="1"/>
    <n v="353"/>
    <n v="0"/>
  </r>
  <r>
    <x v="14"/>
    <x v="4"/>
    <x v="2"/>
    <x v="2"/>
    <n v="340.3"/>
    <n v="0.8"/>
  </r>
  <r>
    <x v="14"/>
    <x v="4"/>
    <x v="3"/>
    <x v="3"/>
    <n v="237.9"/>
    <n v="1"/>
  </r>
  <r>
    <x v="14"/>
    <x v="4"/>
    <x v="4"/>
    <x v="4"/>
    <n v="150.1"/>
    <n v="20.100000000000001"/>
  </r>
  <r>
    <x v="14"/>
    <x v="4"/>
    <x v="5"/>
    <x v="5"/>
    <n v="51.7"/>
    <n v="68.5"/>
  </r>
  <r>
    <x v="14"/>
    <x v="4"/>
    <x v="6"/>
    <x v="6"/>
    <n v="50.4"/>
    <n v="64.3"/>
  </r>
  <r>
    <x v="14"/>
    <x v="4"/>
    <x v="7"/>
    <x v="7"/>
    <n v="24.8"/>
    <n v="79.400000000000006"/>
  </r>
  <r>
    <x v="14"/>
    <x v="4"/>
    <x v="8"/>
    <x v="8"/>
    <n v="69.400000000000006"/>
    <n v="58.2"/>
  </r>
  <r>
    <x v="14"/>
    <x v="4"/>
    <x v="9"/>
    <x v="9"/>
    <n v="138.9"/>
    <n v="5.7"/>
  </r>
  <r>
    <x v="14"/>
    <x v="4"/>
    <x v="10"/>
    <x v="10"/>
    <n v="289.7"/>
    <n v="0"/>
  </r>
  <r>
    <x v="14"/>
    <x v="4"/>
    <x v="11"/>
    <x v="11"/>
    <n v="393.4"/>
    <n v="0"/>
  </r>
  <r>
    <x v="12"/>
    <x v="5"/>
    <x v="0"/>
    <x v="0"/>
    <n v="362.2"/>
    <n v="0"/>
  </r>
  <r>
    <x v="12"/>
    <x v="5"/>
    <x v="1"/>
    <x v="1"/>
    <n v="387.2"/>
    <n v="0"/>
  </r>
  <r>
    <x v="12"/>
    <x v="5"/>
    <x v="2"/>
    <x v="2"/>
    <n v="312.39999999999998"/>
    <n v="4.3"/>
  </r>
  <r>
    <x v="12"/>
    <x v="5"/>
    <x v="3"/>
    <x v="3"/>
    <n v="205.8"/>
    <n v="4.9000000000000004"/>
  </r>
  <r>
    <x v="12"/>
    <x v="5"/>
    <x v="4"/>
    <x v="4"/>
    <n v="129.80000000000001"/>
    <n v="24.9"/>
  </r>
  <r>
    <x v="12"/>
    <x v="5"/>
    <x v="5"/>
    <x v="5"/>
    <n v="46.7"/>
    <n v="110.8"/>
  </r>
  <r>
    <x v="12"/>
    <x v="5"/>
    <x v="6"/>
    <x v="6"/>
    <n v="23.4"/>
    <n v="102.1"/>
  </r>
  <r>
    <x v="12"/>
    <x v="5"/>
    <x v="7"/>
    <x v="7"/>
    <n v="52.1"/>
    <n v="81.400000000000006"/>
  </r>
  <r>
    <x v="12"/>
    <x v="5"/>
    <x v="8"/>
    <x v="8"/>
    <n v="69.2"/>
    <n v="61"/>
  </r>
  <r>
    <x v="12"/>
    <x v="5"/>
    <x v="9"/>
    <x v="9"/>
    <n v="74.3"/>
    <n v="24.6"/>
  </r>
  <r>
    <x v="12"/>
    <x v="5"/>
    <x v="10"/>
    <x v="10"/>
    <n v="328"/>
    <n v="0.2"/>
  </r>
  <r>
    <x v="12"/>
    <x v="5"/>
    <x v="11"/>
    <x v="11"/>
    <n v="441.4"/>
    <n v="0"/>
  </r>
  <r>
    <x v="13"/>
    <x v="5"/>
    <x v="0"/>
    <x v="0"/>
    <n v="366.6"/>
    <n v="0"/>
  </r>
  <r>
    <x v="13"/>
    <x v="5"/>
    <x v="1"/>
    <x v="1"/>
    <n v="394.9"/>
    <n v="0"/>
  </r>
  <r>
    <x v="13"/>
    <x v="5"/>
    <x v="2"/>
    <x v="2"/>
    <n v="314.2"/>
    <n v="3.3"/>
  </r>
  <r>
    <x v="13"/>
    <x v="5"/>
    <x v="3"/>
    <x v="3"/>
    <n v="229.1"/>
    <n v="3.8"/>
  </r>
  <r>
    <x v="13"/>
    <x v="5"/>
    <x v="4"/>
    <x v="4"/>
    <n v="151"/>
    <n v="17.399999999999999"/>
  </r>
  <r>
    <x v="13"/>
    <x v="5"/>
    <x v="5"/>
    <x v="5"/>
    <n v="58.1"/>
    <n v="84.1"/>
  </r>
  <r>
    <x v="13"/>
    <x v="5"/>
    <x v="6"/>
    <x v="6"/>
    <n v="33.700000000000003"/>
    <n v="82.1"/>
  </r>
  <r>
    <x v="13"/>
    <x v="5"/>
    <x v="7"/>
    <x v="7"/>
    <n v="57.7"/>
    <n v="67.099999999999994"/>
  </r>
  <r>
    <x v="13"/>
    <x v="5"/>
    <x v="8"/>
    <x v="8"/>
    <n v="68.3"/>
    <n v="54.5"/>
  </r>
  <r>
    <x v="13"/>
    <x v="5"/>
    <x v="9"/>
    <x v="9"/>
    <n v="88.2"/>
    <n v="19.399999999999999"/>
  </r>
  <r>
    <x v="13"/>
    <x v="5"/>
    <x v="10"/>
    <x v="10"/>
    <n v="326.7"/>
    <n v="0"/>
  </r>
  <r>
    <x v="13"/>
    <x v="5"/>
    <x v="11"/>
    <x v="11"/>
    <n v="438.7"/>
    <n v="0"/>
  </r>
  <r>
    <x v="14"/>
    <x v="5"/>
    <x v="0"/>
    <x v="0"/>
    <n v="351"/>
    <n v="0"/>
  </r>
  <r>
    <x v="14"/>
    <x v="5"/>
    <x v="1"/>
    <x v="1"/>
    <n v="387.8"/>
    <n v="0"/>
  </r>
  <r>
    <x v="14"/>
    <x v="5"/>
    <x v="2"/>
    <x v="2"/>
    <n v="293.8"/>
    <n v="4.8"/>
  </r>
  <r>
    <x v="14"/>
    <x v="5"/>
    <x v="3"/>
    <x v="3"/>
    <n v="217.7"/>
    <n v="5.3"/>
  </r>
  <r>
    <x v="14"/>
    <x v="5"/>
    <x v="4"/>
    <x v="4"/>
    <n v="142.80000000000001"/>
    <n v="15.9"/>
  </r>
  <r>
    <x v="14"/>
    <x v="5"/>
    <x v="5"/>
    <x v="5"/>
    <n v="44.1"/>
    <n v="95.9"/>
  </r>
  <r>
    <x v="14"/>
    <x v="5"/>
    <x v="6"/>
    <x v="6"/>
    <n v="31.5"/>
    <n v="96.3"/>
  </r>
  <r>
    <x v="14"/>
    <x v="5"/>
    <x v="7"/>
    <x v="7"/>
    <n v="53.9"/>
    <n v="70.3"/>
  </r>
  <r>
    <x v="14"/>
    <x v="5"/>
    <x v="8"/>
    <x v="8"/>
    <n v="63.9"/>
    <n v="50.9"/>
  </r>
  <r>
    <x v="14"/>
    <x v="5"/>
    <x v="9"/>
    <x v="9"/>
    <n v="79.3"/>
    <n v="16.100000000000001"/>
  </r>
  <r>
    <x v="14"/>
    <x v="5"/>
    <x v="10"/>
    <x v="10"/>
    <n v="313.2"/>
    <n v="0"/>
  </r>
  <r>
    <x v="14"/>
    <x v="5"/>
    <x v="11"/>
    <x v="11"/>
    <n v="427.1"/>
    <n v="0"/>
  </r>
  <r>
    <x v="12"/>
    <x v="6"/>
    <x v="0"/>
    <x v="0"/>
    <n v="432.6"/>
    <n v="0"/>
  </r>
  <r>
    <x v="12"/>
    <x v="6"/>
    <x v="1"/>
    <x v="1"/>
    <n v="396.9"/>
    <n v="0"/>
  </r>
  <r>
    <x v="12"/>
    <x v="6"/>
    <x v="2"/>
    <x v="2"/>
    <n v="333.1"/>
    <n v="0.6"/>
  </r>
  <r>
    <x v="12"/>
    <x v="6"/>
    <x v="3"/>
    <x v="3"/>
    <n v="217.8"/>
    <n v="5.4"/>
  </r>
  <r>
    <x v="12"/>
    <x v="6"/>
    <x v="4"/>
    <x v="4"/>
    <n v="114.2"/>
    <n v="19.7"/>
  </r>
  <r>
    <x v="12"/>
    <x v="6"/>
    <x v="5"/>
    <x v="5"/>
    <n v="42.2"/>
    <n v="92.5"/>
  </r>
  <r>
    <x v="12"/>
    <x v="6"/>
    <x v="6"/>
    <x v="6"/>
    <n v="4.5"/>
    <n v="192.2"/>
  </r>
  <r>
    <x v="12"/>
    <x v="6"/>
    <x v="7"/>
    <x v="7"/>
    <n v="50.7"/>
    <n v="53.4"/>
  </r>
  <r>
    <x v="12"/>
    <x v="6"/>
    <x v="8"/>
    <x v="8"/>
    <n v="33.200000000000003"/>
    <n v="80.8"/>
  </r>
  <r>
    <x v="12"/>
    <x v="6"/>
    <x v="9"/>
    <x v="9"/>
    <n v="95.5"/>
    <n v="7.5"/>
  </r>
  <r>
    <x v="12"/>
    <x v="6"/>
    <x v="10"/>
    <x v="10"/>
    <n v="252.5"/>
    <n v="0"/>
  </r>
  <r>
    <x v="12"/>
    <x v="6"/>
    <x v="11"/>
    <x v="11"/>
    <n v="388.2"/>
    <n v="0"/>
  </r>
  <r>
    <x v="13"/>
    <x v="6"/>
    <x v="0"/>
    <x v="0"/>
    <n v="437.3"/>
    <n v="0"/>
  </r>
  <r>
    <x v="13"/>
    <x v="6"/>
    <x v="1"/>
    <x v="1"/>
    <n v="398.7"/>
    <n v="0"/>
  </r>
  <r>
    <x v="13"/>
    <x v="6"/>
    <x v="2"/>
    <x v="2"/>
    <n v="342.4"/>
    <n v="0.1"/>
  </r>
  <r>
    <x v="13"/>
    <x v="6"/>
    <x v="3"/>
    <x v="3"/>
    <n v="231.5"/>
    <n v="2.8"/>
  </r>
  <r>
    <x v="13"/>
    <x v="6"/>
    <x v="4"/>
    <x v="4"/>
    <n v="128.30000000000001"/>
    <n v="13.4"/>
  </r>
  <r>
    <x v="13"/>
    <x v="6"/>
    <x v="5"/>
    <x v="5"/>
    <n v="51.7"/>
    <n v="75.400000000000006"/>
  </r>
  <r>
    <x v="13"/>
    <x v="6"/>
    <x v="6"/>
    <x v="6"/>
    <n v="9.9"/>
    <n v="157"/>
  </r>
  <r>
    <x v="13"/>
    <x v="6"/>
    <x v="7"/>
    <x v="7"/>
    <n v="53.2"/>
    <n v="46.4"/>
  </r>
  <r>
    <x v="13"/>
    <x v="6"/>
    <x v="8"/>
    <x v="8"/>
    <n v="40.299999999999997"/>
    <n v="65.400000000000006"/>
  </r>
  <r>
    <x v="13"/>
    <x v="6"/>
    <x v="9"/>
    <x v="9"/>
    <n v="103.7"/>
    <n v="5.5"/>
  </r>
  <r>
    <x v="13"/>
    <x v="6"/>
    <x v="10"/>
    <x v="10"/>
    <n v="263.8"/>
    <n v="0"/>
  </r>
  <r>
    <x v="13"/>
    <x v="6"/>
    <x v="11"/>
    <x v="11"/>
    <n v="381.6"/>
    <n v="0"/>
  </r>
  <r>
    <x v="14"/>
    <x v="6"/>
    <x v="0"/>
    <x v="0"/>
    <n v="424"/>
    <n v="0"/>
  </r>
  <r>
    <x v="14"/>
    <x v="6"/>
    <x v="1"/>
    <x v="1"/>
    <n v="396"/>
    <n v="0"/>
  </r>
  <r>
    <x v="14"/>
    <x v="6"/>
    <x v="2"/>
    <x v="2"/>
    <n v="304.10000000000002"/>
    <n v="0.2"/>
  </r>
  <r>
    <x v="14"/>
    <x v="6"/>
    <x v="3"/>
    <x v="3"/>
    <n v="220.5"/>
    <n v="2.7"/>
  </r>
  <r>
    <x v="14"/>
    <x v="6"/>
    <x v="4"/>
    <x v="4"/>
    <n v="134.6"/>
    <n v="10.199999999999999"/>
  </r>
  <r>
    <x v="14"/>
    <x v="6"/>
    <x v="5"/>
    <x v="5"/>
    <n v="45.8"/>
    <n v="81"/>
  </r>
  <r>
    <x v="14"/>
    <x v="6"/>
    <x v="6"/>
    <x v="6"/>
    <n v="6.4"/>
    <n v="168.7"/>
  </r>
  <r>
    <x v="14"/>
    <x v="6"/>
    <x v="7"/>
    <x v="7"/>
    <n v="48.7"/>
    <n v="49.6"/>
  </r>
  <r>
    <x v="14"/>
    <x v="6"/>
    <x v="8"/>
    <x v="8"/>
    <n v="34.299999999999997"/>
    <n v="71.599999999999994"/>
  </r>
  <r>
    <x v="14"/>
    <x v="6"/>
    <x v="9"/>
    <x v="9"/>
    <n v="75"/>
    <n v="12.2"/>
  </r>
  <r>
    <x v="14"/>
    <x v="6"/>
    <x v="10"/>
    <x v="10"/>
    <n v="218.4"/>
    <n v="0"/>
  </r>
  <r>
    <x v="14"/>
    <x v="6"/>
    <x v="11"/>
    <x v="11"/>
    <n v="378.2"/>
    <n v="0"/>
  </r>
  <r>
    <x v="12"/>
    <x v="7"/>
    <x v="0"/>
    <x v="0"/>
    <n v="320.60000000000002"/>
    <n v="0"/>
  </r>
  <r>
    <x v="12"/>
    <x v="7"/>
    <x v="1"/>
    <x v="1"/>
    <n v="264.3"/>
    <n v="0"/>
  </r>
  <r>
    <x v="12"/>
    <x v="7"/>
    <x v="2"/>
    <x v="2"/>
    <n v="309.7"/>
    <n v="0.1"/>
  </r>
  <r>
    <x v="12"/>
    <x v="7"/>
    <x v="3"/>
    <x v="3"/>
    <n v="123.2"/>
    <n v="31.3"/>
  </r>
  <r>
    <x v="12"/>
    <x v="7"/>
    <x v="4"/>
    <x v="4"/>
    <n v="94.8"/>
    <n v="20.8"/>
  </r>
  <r>
    <x v="12"/>
    <x v="7"/>
    <x v="5"/>
    <x v="5"/>
    <n v="46.8"/>
    <n v="46"/>
  </r>
  <r>
    <x v="12"/>
    <x v="7"/>
    <x v="6"/>
    <x v="6"/>
    <n v="41.5"/>
    <n v="50.5"/>
  </r>
  <r>
    <x v="12"/>
    <x v="7"/>
    <x v="7"/>
    <x v="7"/>
    <n v="47.5"/>
    <n v="47.5"/>
  </r>
  <r>
    <x v="12"/>
    <x v="7"/>
    <x v="8"/>
    <x v="8"/>
    <n v="111.1"/>
    <n v="23.8"/>
  </r>
  <r>
    <x v="12"/>
    <x v="7"/>
    <x v="9"/>
    <x v="9"/>
    <n v="188"/>
    <n v="7"/>
  </r>
  <r>
    <x v="12"/>
    <x v="7"/>
    <x v="10"/>
    <x v="10"/>
    <n v="317"/>
    <n v="0"/>
  </r>
  <r>
    <x v="12"/>
    <x v="7"/>
    <x v="11"/>
    <x v="11"/>
    <n v="403.7"/>
    <n v="0"/>
  </r>
  <r>
    <x v="13"/>
    <x v="7"/>
    <x v="0"/>
    <x v="0"/>
    <n v="329.2"/>
    <n v="0"/>
  </r>
  <r>
    <x v="13"/>
    <x v="7"/>
    <x v="1"/>
    <x v="1"/>
    <n v="261.89999999999998"/>
    <n v="0"/>
  </r>
  <r>
    <x v="13"/>
    <x v="7"/>
    <x v="2"/>
    <x v="2"/>
    <n v="314"/>
    <n v="0"/>
  </r>
  <r>
    <x v="13"/>
    <x v="7"/>
    <x v="3"/>
    <x v="3"/>
    <n v="131.30000000000001"/>
    <n v="17.3"/>
  </r>
  <r>
    <x v="13"/>
    <x v="7"/>
    <x v="4"/>
    <x v="4"/>
    <n v="118.3"/>
    <n v="11.9"/>
  </r>
  <r>
    <x v="13"/>
    <x v="7"/>
    <x v="5"/>
    <x v="5"/>
    <n v="61.4"/>
    <n v="32.299999999999997"/>
  </r>
  <r>
    <x v="13"/>
    <x v="7"/>
    <x v="6"/>
    <x v="6"/>
    <n v="49.4"/>
    <n v="37.1"/>
  </r>
  <r>
    <x v="13"/>
    <x v="7"/>
    <x v="7"/>
    <x v="7"/>
    <n v="63.3"/>
    <n v="35.5"/>
  </r>
  <r>
    <x v="13"/>
    <x v="7"/>
    <x v="8"/>
    <x v="8"/>
    <n v="115"/>
    <n v="16.8"/>
  </r>
  <r>
    <x v="13"/>
    <x v="7"/>
    <x v="9"/>
    <x v="9"/>
    <n v="193.6"/>
    <n v="5.0999999999999996"/>
  </r>
  <r>
    <x v="13"/>
    <x v="7"/>
    <x v="10"/>
    <x v="10"/>
    <n v="310.10000000000002"/>
    <n v="0"/>
  </r>
  <r>
    <x v="13"/>
    <x v="7"/>
    <x v="11"/>
    <x v="11"/>
    <n v="406.6"/>
    <n v="0"/>
  </r>
  <r>
    <x v="14"/>
    <x v="7"/>
    <x v="0"/>
    <x v="0"/>
    <n v="301.39999999999998"/>
    <n v="0"/>
  </r>
  <r>
    <x v="14"/>
    <x v="7"/>
    <x v="1"/>
    <x v="1"/>
    <n v="246.6"/>
    <n v="0"/>
  </r>
  <r>
    <x v="14"/>
    <x v="7"/>
    <x v="2"/>
    <x v="2"/>
    <n v="300.3"/>
    <n v="0.2"/>
  </r>
  <r>
    <x v="14"/>
    <x v="7"/>
    <x v="3"/>
    <x v="3"/>
    <n v="136.30000000000001"/>
    <n v="20.100000000000001"/>
  </r>
  <r>
    <x v="14"/>
    <x v="7"/>
    <x v="4"/>
    <x v="4"/>
    <n v="115.9"/>
    <n v="9"/>
  </r>
  <r>
    <x v="14"/>
    <x v="7"/>
    <x v="5"/>
    <x v="5"/>
    <n v="55.1"/>
    <n v="33.799999999999997"/>
  </r>
  <r>
    <x v="14"/>
    <x v="7"/>
    <x v="6"/>
    <x v="6"/>
    <n v="45.9"/>
    <n v="35.700000000000003"/>
  </r>
  <r>
    <x v="14"/>
    <x v="7"/>
    <x v="7"/>
    <x v="7"/>
    <n v="55.2"/>
    <n v="42"/>
  </r>
  <r>
    <x v="14"/>
    <x v="7"/>
    <x v="8"/>
    <x v="8"/>
    <n v="112.1"/>
    <n v="22.9"/>
  </r>
  <r>
    <x v="14"/>
    <x v="7"/>
    <x v="9"/>
    <x v="9"/>
    <n v="185.7"/>
    <n v="6.5"/>
  </r>
  <r>
    <x v="14"/>
    <x v="7"/>
    <x v="10"/>
    <x v="10"/>
    <n v="313.2"/>
    <n v="0"/>
  </r>
  <r>
    <x v="14"/>
    <x v="7"/>
    <x v="11"/>
    <x v="11"/>
    <n v="384.7"/>
    <n v="0"/>
  </r>
  <r>
    <x v="12"/>
    <x v="8"/>
    <x v="0"/>
    <x v="0"/>
    <n v="337.9"/>
    <n v="0"/>
  </r>
  <r>
    <x v="12"/>
    <x v="8"/>
    <x v="1"/>
    <x v="1"/>
    <n v="302.60000000000002"/>
    <n v="0"/>
  </r>
  <r>
    <x v="12"/>
    <x v="8"/>
    <x v="2"/>
    <x v="2"/>
    <n v="305.5"/>
    <n v="0.1"/>
  </r>
  <r>
    <x v="12"/>
    <x v="8"/>
    <x v="3"/>
    <x v="3"/>
    <n v="239.9"/>
    <n v="2.7"/>
  </r>
  <r>
    <x v="12"/>
    <x v="8"/>
    <x v="4"/>
    <x v="4"/>
    <n v="83.6"/>
    <n v="37.700000000000003"/>
  </r>
  <r>
    <x v="12"/>
    <x v="8"/>
    <x v="5"/>
    <x v="5"/>
    <n v="56.8"/>
    <n v="55.1"/>
  </r>
  <r>
    <x v="12"/>
    <x v="8"/>
    <x v="6"/>
    <x v="6"/>
    <n v="40"/>
    <n v="81.900000000000006"/>
  </r>
  <r>
    <x v="12"/>
    <x v="8"/>
    <x v="7"/>
    <x v="7"/>
    <n v="40.799999999999997"/>
    <n v="64.5"/>
  </r>
  <r>
    <x v="12"/>
    <x v="8"/>
    <x v="8"/>
    <x v="8"/>
    <n v="108.5"/>
    <n v="15.6"/>
  </r>
  <r>
    <x v="12"/>
    <x v="8"/>
    <x v="9"/>
    <x v="9"/>
    <n v="211"/>
    <n v="4.8"/>
  </r>
  <r>
    <x v="12"/>
    <x v="8"/>
    <x v="10"/>
    <x v="10"/>
    <n v="284.89999999999998"/>
    <n v="0"/>
  </r>
  <r>
    <x v="12"/>
    <x v="8"/>
    <x v="11"/>
    <x v="11"/>
    <n v="430.1"/>
    <n v="0"/>
  </r>
  <r>
    <x v="13"/>
    <x v="8"/>
    <x v="0"/>
    <x v="0"/>
    <n v="344"/>
    <n v="0"/>
  </r>
  <r>
    <x v="13"/>
    <x v="8"/>
    <x v="1"/>
    <x v="1"/>
    <n v="317"/>
    <n v="0"/>
  </r>
  <r>
    <x v="13"/>
    <x v="8"/>
    <x v="2"/>
    <x v="2"/>
    <n v="323.39999999999998"/>
    <n v="0"/>
  </r>
  <r>
    <x v="13"/>
    <x v="8"/>
    <x v="3"/>
    <x v="3"/>
    <n v="251.9"/>
    <n v="1.8"/>
  </r>
  <r>
    <x v="13"/>
    <x v="8"/>
    <x v="4"/>
    <x v="4"/>
    <n v="98.3"/>
    <n v="27.7"/>
  </r>
  <r>
    <x v="13"/>
    <x v="8"/>
    <x v="5"/>
    <x v="5"/>
    <n v="74.7"/>
    <n v="36"/>
  </r>
  <r>
    <x v="13"/>
    <x v="8"/>
    <x v="6"/>
    <x v="6"/>
    <n v="54.7"/>
    <n v="55.9"/>
  </r>
  <r>
    <x v="13"/>
    <x v="8"/>
    <x v="7"/>
    <x v="7"/>
    <n v="45.4"/>
    <n v="45.1"/>
  </r>
  <r>
    <x v="13"/>
    <x v="8"/>
    <x v="8"/>
    <x v="8"/>
    <n v="120.7"/>
    <n v="9.4"/>
  </r>
  <r>
    <x v="13"/>
    <x v="8"/>
    <x v="9"/>
    <x v="9"/>
    <n v="214.7"/>
    <n v="3.6"/>
  </r>
  <r>
    <x v="13"/>
    <x v="8"/>
    <x v="10"/>
    <x v="10"/>
    <n v="285.60000000000002"/>
    <n v="0"/>
  </r>
  <r>
    <x v="13"/>
    <x v="8"/>
    <x v="11"/>
    <x v="11"/>
    <n v="432.9"/>
    <n v="0"/>
  </r>
  <r>
    <x v="14"/>
    <x v="8"/>
    <x v="0"/>
    <x v="0"/>
    <n v="319.3"/>
    <n v="0"/>
  </r>
  <r>
    <x v="14"/>
    <x v="8"/>
    <x v="1"/>
    <x v="1"/>
    <n v="293.2"/>
    <n v="0"/>
  </r>
  <r>
    <x v="14"/>
    <x v="8"/>
    <x v="2"/>
    <x v="2"/>
    <n v="307.8"/>
    <n v="0"/>
  </r>
  <r>
    <x v="14"/>
    <x v="8"/>
    <x v="3"/>
    <x v="3"/>
    <n v="240.2"/>
    <n v="2.2000000000000002"/>
  </r>
  <r>
    <x v="14"/>
    <x v="8"/>
    <x v="4"/>
    <x v="4"/>
    <n v="94.9"/>
    <n v="24.9"/>
  </r>
  <r>
    <x v="14"/>
    <x v="8"/>
    <x v="5"/>
    <x v="5"/>
    <n v="72.900000000000006"/>
    <n v="37.299999999999997"/>
  </r>
  <r>
    <x v="14"/>
    <x v="8"/>
    <x v="6"/>
    <x v="6"/>
    <n v="50.4"/>
    <n v="51.7"/>
  </r>
  <r>
    <x v="14"/>
    <x v="8"/>
    <x v="7"/>
    <x v="7"/>
    <n v="42.1"/>
    <n v="45"/>
  </r>
  <r>
    <x v="14"/>
    <x v="8"/>
    <x v="8"/>
    <x v="8"/>
    <n v="120.1"/>
    <n v="11.7"/>
  </r>
  <r>
    <x v="14"/>
    <x v="8"/>
    <x v="9"/>
    <x v="9"/>
    <n v="193.2"/>
    <n v="4.2"/>
  </r>
  <r>
    <x v="14"/>
    <x v="8"/>
    <x v="10"/>
    <x v="10"/>
    <n v="281.39999999999998"/>
    <n v="0"/>
  </r>
  <r>
    <x v="14"/>
    <x v="8"/>
    <x v="11"/>
    <x v="11"/>
    <n v="412.2"/>
    <n v="0"/>
  </r>
  <r>
    <x v="12"/>
    <x v="9"/>
    <x v="0"/>
    <x v="0"/>
    <n v="493"/>
    <n v="0"/>
  </r>
  <r>
    <x v="12"/>
    <x v="9"/>
    <x v="1"/>
    <x v="1"/>
    <n v="371.6"/>
    <n v="0"/>
  </r>
  <r>
    <x v="12"/>
    <x v="9"/>
    <x v="2"/>
    <x v="2"/>
    <n v="311"/>
    <n v="0.1"/>
  </r>
  <r>
    <x v="12"/>
    <x v="9"/>
    <x v="3"/>
    <x v="3"/>
    <n v="184.2"/>
    <n v="3.4"/>
  </r>
  <r>
    <x v="12"/>
    <x v="9"/>
    <x v="4"/>
    <x v="4"/>
    <n v="106.2"/>
    <n v="25.8"/>
  </r>
  <r>
    <x v="12"/>
    <x v="9"/>
    <x v="5"/>
    <x v="5"/>
    <n v="59.2"/>
    <n v="64.400000000000006"/>
  </r>
  <r>
    <x v="12"/>
    <x v="9"/>
    <x v="6"/>
    <x v="6"/>
    <n v="35.200000000000003"/>
    <n v="88.8"/>
  </r>
  <r>
    <x v="12"/>
    <x v="9"/>
    <x v="7"/>
    <x v="7"/>
    <n v="26.5"/>
    <n v="115.9"/>
  </r>
  <r>
    <x v="12"/>
    <x v="9"/>
    <x v="8"/>
    <x v="8"/>
    <n v="64.3"/>
    <n v="45.8"/>
  </r>
  <r>
    <x v="12"/>
    <x v="9"/>
    <x v="9"/>
    <x v="9"/>
    <n v="163.9"/>
    <n v="12.2"/>
  </r>
  <r>
    <x v="12"/>
    <x v="9"/>
    <x v="10"/>
    <x v="10"/>
    <n v="222.4"/>
    <n v="0"/>
  </r>
  <r>
    <x v="12"/>
    <x v="9"/>
    <x v="11"/>
    <x v="11"/>
    <n v="415.1"/>
    <n v="0"/>
  </r>
  <r>
    <x v="13"/>
    <x v="9"/>
    <x v="0"/>
    <x v="0"/>
    <n v="480.6"/>
    <n v="0"/>
  </r>
  <r>
    <x v="13"/>
    <x v="9"/>
    <x v="1"/>
    <x v="1"/>
    <n v="364.9"/>
    <n v="0"/>
  </r>
  <r>
    <x v="13"/>
    <x v="9"/>
    <x v="2"/>
    <x v="2"/>
    <n v="313.60000000000002"/>
    <n v="0"/>
  </r>
  <r>
    <x v="13"/>
    <x v="9"/>
    <x v="3"/>
    <x v="3"/>
    <n v="211.8"/>
    <n v="1.6"/>
  </r>
  <r>
    <x v="13"/>
    <x v="9"/>
    <x v="4"/>
    <x v="4"/>
    <n v="127.4"/>
    <n v="14.3"/>
  </r>
  <r>
    <x v="13"/>
    <x v="9"/>
    <x v="5"/>
    <x v="5"/>
    <n v="73.599999999999994"/>
    <n v="48.6"/>
  </r>
  <r>
    <x v="13"/>
    <x v="9"/>
    <x v="6"/>
    <x v="6"/>
    <n v="50.5"/>
    <n v="57.9"/>
  </r>
  <r>
    <x v="13"/>
    <x v="9"/>
    <x v="7"/>
    <x v="7"/>
    <n v="41.6"/>
    <n v="77.5"/>
  </r>
  <r>
    <x v="13"/>
    <x v="9"/>
    <x v="8"/>
    <x v="8"/>
    <n v="71.3"/>
    <n v="40.299999999999997"/>
  </r>
  <r>
    <x v="13"/>
    <x v="9"/>
    <x v="9"/>
    <x v="9"/>
    <n v="161.19999999999999"/>
    <n v="8.6999999999999993"/>
  </r>
  <r>
    <x v="13"/>
    <x v="9"/>
    <x v="10"/>
    <x v="10"/>
    <n v="234.9"/>
    <n v="0"/>
  </r>
  <r>
    <x v="13"/>
    <x v="9"/>
    <x v="11"/>
    <x v="11"/>
    <n v="423"/>
    <n v="0"/>
  </r>
  <r>
    <x v="14"/>
    <x v="9"/>
    <x v="0"/>
    <x v="0"/>
    <n v="443.9"/>
    <n v="0"/>
  </r>
  <r>
    <x v="14"/>
    <x v="9"/>
    <x v="1"/>
    <x v="1"/>
    <n v="353.7"/>
    <n v="0"/>
  </r>
  <r>
    <x v="14"/>
    <x v="9"/>
    <x v="2"/>
    <x v="2"/>
    <n v="311.10000000000002"/>
    <n v="0.4"/>
  </r>
  <r>
    <x v="14"/>
    <x v="9"/>
    <x v="3"/>
    <x v="3"/>
    <n v="218.8"/>
    <n v="2"/>
  </r>
  <r>
    <x v="14"/>
    <x v="9"/>
    <x v="4"/>
    <x v="4"/>
    <n v="118.5"/>
    <n v="19.5"/>
  </r>
  <r>
    <x v="14"/>
    <x v="9"/>
    <x v="5"/>
    <x v="5"/>
    <n v="62.3"/>
    <n v="57.5"/>
  </r>
  <r>
    <x v="14"/>
    <x v="9"/>
    <x v="6"/>
    <x v="6"/>
    <n v="45.1"/>
    <n v="54.9"/>
  </r>
  <r>
    <x v="14"/>
    <x v="9"/>
    <x v="7"/>
    <x v="7"/>
    <n v="37.9"/>
    <n v="88.5"/>
  </r>
  <r>
    <x v="14"/>
    <x v="9"/>
    <x v="8"/>
    <x v="8"/>
    <n v="63.9"/>
    <n v="48.6"/>
  </r>
  <r>
    <x v="14"/>
    <x v="9"/>
    <x v="9"/>
    <x v="9"/>
    <n v="144.9"/>
    <n v="13.3"/>
  </r>
  <r>
    <x v="14"/>
    <x v="9"/>
    <x v="10"/>
    <x v="10"/>
    <n v="207.5"/>
    <n v="0"/>
  </r>
  <r>
    <x v="14"/>
    <x v="9"/>
    <x v="11"/>
    <x v="11"/>
    <n v="380.1"/>
    <n v="0"/>
  </r>
  <r>
    <x v="12"/>
    <x v="10"/>
    <x v="0"/>
    <x v="0"/>
    <n v="487.6"/>
    <n v="0"/>
  </r>
  <r>
    <x v="12"/>
    <x v="10"/>
    <x v="1"/>
    <x v="1"/>
    <n v="370.3"/>
    <n v="0"/>
  </r>
  <r>
    <x v="12"/>
    <x v="10"/>
    <x v="2"/>
    <x v="2"/>
    <n v="312.8"/>
    <n v="1"/>
  </r>
  <r>
    <x v="12"/>
    <x v="10"/>
    <x v="3"/>
    <x v="3"/>
    <n v="199.2"/>
    <n v="10.5"/>
  </r>
  <r>
    <x v="12"/>
    <x v="10"/>
    <x v="4"/>
    <x v="4"/>
    <n v="155.4"/>
    <n v="22.5"/>
  </r>
  <r>
    <x v="12"/>
    <x v="10"/>
    <x v="5"/>
    <x v="5"/>
    <n v="46.7"/>
    <n v="66.5"/>
  </r>
  <r>
    <x v="12"/>
    <x v="10"/>
    <x v="6"/>
    <x v="6"/>
    <n v="22.2"/>
    <n v="128.80000000000001"/>
  </r>
  <r>
    <x v="12"/>
    <x v="10"/>
    <x v="7"/>
    <x v="7"/>
    <n v="41.5"/>
    <n v="73.400000000000006"/>
  </r>
  <r>
    <x v="12"/>
    <x v="10"/>
    <x v="8"/>
    <x v="8"/>
    <n v="95.4"/>
    <n v="37.700000000000003"/>
  </r>
  <r>
    <x v="12"/>
    <x v="10"/>
    <x v="9"/>
    <x v="9"/>
    <n v="190.1"/>
    <n v="10"/>
  </r>
  <r>
    <x v="12"/>
    <x v="10"/>
    <x v="10"/>
    <x v="10"/>
    <n v="320.89999999999998"/>
    <n v="0"/>
  </r>
  <r>
    <x v="12"/>
    <x v="10"/>
    <x v="11"/>
    <x v="11"/>
    <n v="500.7"/>
    <n v="0"/>
  </r>
  <r>
    <x v="13"/>
    <x v="10"/>
    <x v="0"/>
    <x v="0"/>
    <n v="497.7"/>
    <n v="0"/>
  </r>
  <r>
    <x v="13"/>
    <x v="10"/>
    <x v="1"/>
    <x v="1"/>
    <n v="380.6"/>
    <n v="0"/>
  </r>
  <r>
    <x v="13"/>
    <x v="10"/>
    <x v="2"/>
    <x v="2"/>
    <n v="324.89999999999998"/>
    <n v="0"/>
  </r>
  <r>
    <x v="13"/>
    <x v="10"/>
    <x v="3"/>
    <x v="3"/>
    <n v="215.3"/>
    <n v="6.1"/>
  </r>
  <r>
    <x v="13"/>
    <x v="10"/>
    <x v="4"/>
    <x v="4"/>
    <n v="178.3"/>
    <n v="17.2"/>
  </r>
  <r>
    <x v="13"/>
    <x v="10"/>
    <x v="5"/>
    <x v="5"/>
    <n v="54"/>
    <n v="60.1"/>
  </r>
  <r>
    <x v="13"/>
    <x v="10"/>
    <x v="6"/>
    <x v="6"/>
    <n v="24.9"/>
    <n v="110.6"/>
  </r>
  <r>
    <x v="13"/>
    <x v="10"/>
    <x v="7"/>
    <x v="7"/>
    <n v="46.1"/>
    <n v="53.4"/>
  </r>
  <r>
    <x v="13"/>
    <x v="10"/>
    <x v="8"/>
    <x v="8"/>
    <n v="94.6"/>
    <n v="31.4"/>
  </r>
  <r>
    <x v="13"/>
    <x v="10"/>
    <x v="9"/>
    <x v="9"/>
    <n v="187.7"/>
    <n v="7"/>
  </r>
  <r>
    <x v="13"/>
    <x v="10"/>
    <x v="10"/>
    <x v="10"/>
    <n v="324.89999999999998"/>
    <n v="0"/>
  </r>
  <r>
    <x v="13"/>
    <x v="10"/>
    <x v="11"/>
    <x v="11"/>
    <n v="503.2"/>
    <n v="0"/>
  </r>
  <r>
    <x v="14"/>
    <x v="10"/>
    <x v="0"/>
    <x v="0"/>
    <n v="477.5"/>
    <n v="0"/>
  </r>
  <r>
    <x v="14"/>
    <x v="10"/>
    <x v="1"/>
    <x v="1"/>
    <n v="365.5"/>
    <n v="0"/>
  </r>
  <r>
    <x v="14"/>
    <x v="10"/>
    <x v="2"/>
    <x v="2"/>
    <n v="325.5"/>
    <n v="0.2"/>
  </r>
  <r>
    <x v="14"/>
    <x v="10"/>
    <x v="3"/>
    <x v="3"/>
    <n v="193.4"/>
    <n v="6.5"/>
  </r>
  <r>
    <x v="14"/>
    <x v="10"/>
    <x v="4"/>
    <x v="4"/>
    <n v="168.9"/>
    <n v="16.8"/>
  </r>
  <r>
    <x v="14"/>
    <x v="10"/>
    <x v="5"/>
    <x v="5"/>
    <n v="57.4"/>
    <n v="58.2"/>
  </r>
  <r>
    <x v="14"/>
    <x v="10"/>
    <x v="6"/>
    <x v="6"/>
    <n v="26.6"/>
    <n v="101.5"/>
  </r>
  <r>
    <x v="14"/>
    <x v="10"/>
    <x v="7"/>
    <x v="7"/>
    <n v="48.7"/>
    <n v="66.2"/>
  </r>
  <r>
    <x v="14"/>
    <x v="10"/>
    <x v="8"/>
    <x v="8"/>
    <n v="94.8"/>
    <n v="40.5"/>
  </r>
  <r>
    <x v="14"/>
    <x v="10"/>
    <x v="9"/>
    <x v="9"/>
    <n v="184.1"/>
    <n v="10.199999999999999"/>
  </r>
  <r>
    <x v="14"/>
    <x v="10"/>
    <x v="10"/>
    <x v="10"/>
    <n v="299.8"/>
    <n v="0"/>
  </r>
  <r>
    <x v="14"/>
    <x v="10"/>
    <x v="11"/>
    <x v="11"/>
    <n v="483.5"/>
    <n v="0"/>
  </r>
  <r>
    <x v="12"/>
    <x v="11"/>
    <x v="0"/>
    <x v="0"/>
    <n v="392.2"/>
    <n v="0"/>
  </r>
  <r>
    <x v="12"/>
    <x v="11"/>
    <x v="1"/>
    <x v="1"/>
    <n v="299.10000000000002"/>
    <n v="0"/>
  </r>
  <r>
    <x v="12"/>
    <x v="11"/>
    <x v="2"/>
    <x v="2"/>
    <n v="266.5"/>
    <n v="2"/>
  </r>
  <r>
    <x v="12"/>
    <x v="11"/>
    <x v="3"/>
    <x v="3"/>
    <n v="136.19999999999999"/>
    <n v="28.8"/>
  </r>
  <r>
    <x v="12"/>
    <x v="11"/>
    <x v="4"/>
    <x v="4"/>
    <n v="91.9"/>
    <n v="38.6"/>
  </r>
  <r>
    <x v="12"/>
    <x v="11"/>
    <x v="5"/>
    <x v="5"/>
    <n v="55.8"/>
    <n v="62.8"/>
  </r>
  <r>
    <x v="12"/>
    <x v="11"/>
    <x v="6"/>
    <x v="6"/>
    <n v="50.8"/>
    <n v="53.8"/>
  </r>
  <r>
    <x v="12"/>
    <x v="11"/>
    <x v="7"/>
    <x v="7"/>
    <n v="34.700000000000003"/>
    <n v="81.2"/>
  </r>
  <r>
    <x v="12"/>
    <x v="11"/>
    <x v="8"/>
    <x v="8"/>
    <n v="51.3"/>
    <n v="58.1"/>
  </r>
  <r>
    <x v="12"/>
    <x v="11"/>
    <x v="9"/>
    <x v="9"/>
    <n v="145.6"/>
    <n v="16.899999999999999"/>
  </r>
  <r>
    <x v="12"/>
    <x v="11"/>
    <x v="10"/>
    <x v="10"/>
    <n v="205.3"/>
    <n v="0.4"/>
  </r>
  <r>
    <x v="12"/>
    <x v="11"/>
    <x v="11"/>
    <x v="11"/>
    <n v="307.5"/>
    <n v="0"/>
  </r>
  <r>
    <x v="13"/>
    <x v="11"/>
    <x v="0"/>
    <x v="0"/>
    <n v="394.8"/>
    <n v="0"/>
  </r>
  <r>
    <x v="13"/>
    <x v="11"/>
    <x v="1"/>
    <x v="1"/>
    <n v="294.5"/>
    <n v="0"/>
  </r>
  <r>
    <x v="13"/>
    <x v="11"/>
    <x v="2"/>
    <x v="2"/>
    <n v="281.8"/>
    <n v="0.2"/>
  </r>
  <r>
    <x v="13"/>
    <x v="11"/>
    <x v="3"/>
    <x v="3"/>
    <n v="145.1"/>
    <n v="18.3"/>
  </r>
  <r>
    <x v="13"/>
    <x v="11"/>
    <x v="4"/>
    <x v="4"/>
    <n v="103.8"/>
    <n v="14.6"/>
  </r>
  <r>
    <x v="13"/>
    <x v="11"/>
    <x v="5"/>
    <x v="5"/>
    <n v="71.3"/>
    <n v="39.1"/>
  </r>
  <r>
    <x v="13"/>
    <x v="11"/>
    <x v="6"/>
    <x v="6"/>
    <n v="65.900000000000006"/>
    <n v="37.200000000000003"/>
  </r>
  <r>
    <x v="13"/>
    <x v="11"/>
    <x v="7"/>
    <x v="7"/>
    <n v="50.1"/>
    <n v="52"/>
  </r>
  <r>
    <x v="13"/>
    <x v="11"/>
    <x v="8"/>
    <x v="8"/>
    <n v="68.7"/>
    <n v="35.700000000000003"/>
  </r>
  <r>
    <x v="13"/>
    <x v="11"/>
    <x v="9"/>
    <x v="9"/>
    <n v="162.30000000000001"/>
    <n v="9.6999999999999993"/>
  </r>
  <r>
    <x v="13"/>
    <x v="11"/>
    <x v="10"/>
    <x v="10"/>
    <n v="214.5"/>
    <n v="0"/>
  </r>
  <r>
    <x v="13"/>
    <x v="11"/>
    <x v="11"/>
    <x v="11"/>
    <n v="317.3"/>
    <n v="0"/>
  </r>
  <r>
    <x v="14"/>
    <x v="11"/>
    <x v="0"/>
    <x v="0"/>
    <n v="397.5"/>
    <n v="0"/>
  </r>
  <r>
    <x v="14"/>
    <x v="11"/>
    <x v="1"/>
    <x v="1"/>
    <n v="282.8"/>
    <n v="0"/>
  </r>
  <r>
    <x v="14"/>
    <x v="11"/>
    <x v="2"/>
    <x v="2"/>
    <n v="278"/>
    <n v="0.7"/>
  </r>
  <r>
    <x v="14"/>
    <x v="11"/>
    <x v="3"/>
    <x v="3"/>
    <n v="141.9"/>
    <n v="19.600000000000001"/>
  </r>
  <r>
    <x v="14"/>
    <x v="11"/>
    <x v="4"/>
    <x v="4"/>
    <n v="102.8"/>
    <n v="24.8"/>
  </r>
  <r>
    <x v="14"/>
    <x v="11"/>
    <x v="5"/>
    <x v="5"/>
    <n v="68.900000000000006"/>
    <n v="41.3"/>
  </r>
  <r>
    <x v="14"/>
    <x v="11"/>
    <x v="6"/>
    <x v="6"/>
    <n v="53.1"/>
    <n v="45.7"/>
  </r>
  <r>
    <x v="14"/>
    <x v="11"/>
    <x v="7"/>
    <x v="7"/>
    <n v="37.6"/>
    <n v="64.3"/>
  </r>
  <r>
    <x v="14"/>
    <x v="11"/>
    <x v="8"/>
    <x v="8"/>
    <n v="51.2"/>
    <n v="51"/>
  </r>
  <r>
    <x v="14"/>
    <x v="11"/>
    <x v="9"/>
    <x v="9"/>
    <n v="133.19999999999999"/>
    <n v="18.600000000000001"/>
  </r>
  <r>
    <x v="14"/>
    <x v="11"/>
    <x v="10"/>
    <x v="10"/>
    <n v="174.4"/>
    <n v="0.6"/>
  </r>
  <r>
    <x v="14"/>
    <x v="11"/>
    <x v="11"/>
    <x v="11"/>
    <n v="289.39999999999998"/>
    <n v="0"/>
  </r>
  <r>
    <x v="12"/>
    <x v="12"/>
    <x v="0"/>
    <x v="0"/>
    <n v="348.8"/>
    <n v="0"/>
  </r>
  <r>
    <x v="12"/>
    <x v="12"/>
    <x v="1"/>
    <x v="1"/>
    <n v="469.8"/>
    <n v="0"/>
  </r>
  <r>
    <x v="12"/>
    <x v="12"/>
    <x v="2"/>
    <x v="2"/>
    <n v="247.3"/>
    <n v="7.5"/>
  </r>
  <r>
    <x v="12"/>
    <x v="12"/>
    <x v="3"/>
    <x v="3"/>
    <n v="253.8"/>
    <n v="0.1"/>
  </r>
  <r>
    <x v="12"/>
    <x v="12"/>
    <x v="4"/>
    <x v="4"/>
    <n v="113.8"/>
    <n v="34.799999999999997"/>
  </r>
  <r>
    <x v="12"/>
    <x v="12"/>
    <x v="5"/>
    <x v="5"/>
    <n v="59.4"/>
    <n v="40.5"/>
  </r>
  <r>
    <x v="12"/>
    <x v="12"/>
    <x v="6"/>
    <x v="6"/>
    <n v="48.9"/>
    <n v="62.3"/>
  </r>
  <r>
    <x v="12"/>
    <x v="12"/>
    <x v="7"/>
    <x v="7"/>
    <n v="28.8"/>
    <n v="105.1"/>
  </r>
  <r>
    <x v="12"/>
    <x v="12"/>
    <x v="8"/>
    <x v="8"/>
    <n v="108.1"/>
    <n v="35.200000000000003"/>
  </r>
  <r>
    <x v="12"/>
    <x v="12"/>
    <x v="9"/>
    <x v="9"/>
    <n v="161.69999999999999"/>
    <n v="4.2"/>
  </r>
  <r>
    <x v="12"/>
    <x v="12"/>
    <x v="10"/>
    <x v="10"/>
    <n v="300.39999999999998"/>
    <n v="0"/>
  </r>
  <r>
    <x v="12"/>
    <x v="12"/>
    <x v="11"/>
    <x v="11"/>
    <n v="333.7"/>
    <n v="0"/>
  </r>
  <r>
    <x v="13"/>
    <x v="12"/>
    <x v="0"/>
    <x v="0"/>
    <n v="352.5"/>
    <n v="0"/>
  </r>
  <r>
    <x v="13"/>
    <x v="12"/>
    <x v="1"/>
    <x v="1"/>
    <n v="387.9"/>
    <n v="0"/>
  </r>
  <r>
    <x v="13"/>
    <x v="12"/>
    <x v="2"/>
    <x v="2"/>
    <n v="255.9"/>
    <n v="3.7"/>
  </r>
  <r>
    <x v="13"/>
    <x v="12"/>
    <x v="3"/>
    <x v="3"/>
    <n v="262.39999999999998"/>
    <n v="0"/>
  </r>
  <r>
    <x v="13"/>
    <x v="12"/>
    <x v="4"/>
    <x v="4"/>
    <n v="136.1"/>
    <n v="22"/>
  </r>
  <r>
    <x v="13"/>
    <x v="12"/>
    <x v="5"/>
    <x v="5"/>
    <n v="77.8"/>
    <n v="25"/>
  </r>
  <r>
    <x v="13"/>
    <x v="12"/>
    <x v="6"/>
    <x v="6"/>
    <n v="56.1"/>
    <n v="38.799999999999997"/>
  </r>
  <r>
    <x v="13"/>
    <x v="12"/>
    <x v="7"/>
    <x v="7"/>
    <n v="36.4"/>
    <n v="73.400000000000006"/>
  </r>
  <r>
    <x v="13"/>
    <x v="12"/>
    <x v="8"/>
    <x v="8"/>
    <n v="105.2"/>
    <n v="24.4"/>
  </r>
  <r>
    <x v="13"/>
    <x v="12"/>
    <x v="9"/>
    <x v="9"/>
    <n v="167"/>
    <n v="1.5"/>
  </r>
  <r>
    <x v="13"/>
    <x v="12"/>
    <x v="10"/>
    <x v="10"/>
    <n v="305"/>
    <n v="0"/>
  </r>
  <r>
    <x v="13"/>
    <x v="12"/>
    <x v="11"/>
    <x v="11"/>
    <n v="332.6"/>
    <n v="0"/>
  </r>
  <r>
    <x v="14"/>
    <x v="12"/>
    <x v="0"/>
    <x v="0"/>
    <n v="349.6"/>
    <n v="0"/>
  </r>
  <r>
    <x v="14"/>
    <x v="12"/>
    <x v="1"/>
    <x v="1"/>
    <n v="451.1"/>
    <n v="0"/>
  </r>
  <r>
    <x v="14"/>
    <x v="12"/>
    <x v="2"/>
    <x v="2"/>
    <n v="249.9"/>
    <n v="6.2"/>
  </r>
  <r>
    <x v="14"/>
    <x v="12"/>
    <x v="3"/>
    <x v="3"/>
    <n v="262.3"/>
    <n v="0"/>
  </r>
  <r>
    <x v="14"/>
    <x v="12"/>
    <x v="4"/>
    <x v="4"/>
    <n v="129.80000000000001"/>
    <n v="25.7"/>
  </r>
  <r>
    <x v="14"/>
    <x v="12"/>
    <x v="5"/>
    <x v="5"/>
    <n v="65.400000000000006"/>
    <n v="31.7"/>
  </r>
  <r>
    <x v="14"/>
    <x v="12"/>
    <x v="6"/>
    <x v="6"/>
    <n v="54.5"/>
    <n v="50.2"/>
  </r>
  <r>
    <x v="14"/>
    <x v="12"/>
    <x v="7"/>
    <x v="7"/>
    <n v="33.200000000000003"/>
    <n v="91"/>
  </r>
  <r>
    <x v="14"/>
    <x v="12"/>
    <x v="8"/>
    <x v="8"/>
    <n v="89.2"/>
    <n v="35.9"/>
  </r>
  <r>
    <x v="14"/>
    <x v="12"/>
    <x v="9"/>
    <x v="9"/>
    <n v="152.19999999999999"/>
    <n v="4.8"/>
  </r>
  <r>
    <x v="14"/>
    <x v="12"/>
    <x v="10"/>
    <x v="10"/>
    <n v="256.10000000000002"/>
    <n v="0"/>
  </r>
  <r>
    <x v="14"/>
    <x v="12"/>
    <x v="11"/>
    <x v="11"/>
    <n v="316"/>
    <n v="0"/>
  </r>
  <r>
    <x v="12"/>
    <x v="13"/>
    <x v="0"/>
    <x v="0"/>
    <n v="409.5"/>
    <n v="0"/>
  </r>
  <r>
    <x v="12"/>
    <x v="13"/>
    <x v="1"/>
    <x v="1"/>
    <n v="389.8"/>
    <n v="0"/>
  </r>
  <r>
    <x v="12"/>
    <x v="13"/>
    <x v="2"/>
    <x v="2"/>
    <n v="360.4"/>
    <n v="0"/>
  </r>
  <r>
    <x v="12"/>
    <x v="13"/>
    <x v="3"/>
    <x v="3"/>
    <n v="247.2"/>
    <n v="8.1"/>
  </r>
  <r>
    <x v="12"/>
    <x v="13"/>
    <x v="4"/>
    <x v="4"/>
    <n v="175.2"/>
    <n v="4.3"/>
  </r>
  <r>
    <x v="12"/>
    <x v="13"/>
    <x v="5"/>
    <x v="5"/>
    <n v="68"/>
    <n v="37.799999999999997"/>
  </r>
  <r>
    <x v="12"/>
    <x v="13"/>
    <x v="6"/>
    <x v="6"/>
    <n v="13.3"/>
    <n v="152.69999999999999"/>
  </r>
  <r>
    <x v="12"/>
    <x v="13"/>
    <x v="7"/>
    <x v="7"/>
    <n v="38.5"/>
    <n v="96.9"/>
  </r>
  <r>
    <x v="12"/>
    <x v="13"/>
    <x v="8"/>
    <x v="8"/>
    <n v="69.2"/>
    <n v="44.5"/>
  </r>
  <r>
    <x v="12"/>
    <x v="13"/>
    <x v="9"/>
    <x v="9"/>
    <n v="122.6"/>
    <n v="11.3"/>
  </r>
  <r>
    <x v="12"/>
    <x v="13"/>
    <x v="10"/>
    <x v="10"/>
    <n v="311.10000000000002"/>
    <n v="0"/>
  </r>
  <r>
    <x v="12"/>
    <x v="13"/>
    <x v="11"/>
    <x v="11"/>
    <n v="380.4"/>
    <n v="0"/>
  </r>
  <r>
    <x v="13"/>
    <x v="13"/>
    <x v="0"/>
    <x v="0"/>
    <n v="353.5"/>
    <n v="0"/>
  </r>
  <r>
    <x v="13"/>
    <x v="13"/>
    <x v="1"/>
    <x v="1"/>
    <n v="391.1"/>
    <n v="0"/>
  </r>
  <r>
    <x v="13"/>
    <x v="13"/>
    <x v="2"/>
    <x v="2"/>
    <n v="359.3"/>
    <n v="0"/>
  </r>
  <r>
    <x v="13"/>
    <x v="13"/>
    <x v="3"/>
    <x v="3"/>
    <n v="263.60000000000002"/>
    <n v="4.8"/>
  </r>
  <r>
    <x v="13"/>
    <x v="13"/>
    <x v="4"/>
    <x v="4"/>
    <n v="197.6"/>
    <n v="1.5"/>
  </r>
  <r>
    <x v="13"/>
    <x v="13"/>
    <x v="5"/>
    <x v="5"/>
    <n v="86"/>
    <n v="24.3"/>
  </r>
  <r>
    <x v="13"/>
    <x v="13"/>
    <x v="6"/>
    <x v="6"/>
    <n v="20.5"/>
    <n v="121.1"/>
  </r>
  <r>
    <x v="13"/>
    <x v="13"/>
    <x v="7"/>
    <x v="7"/>
    <n v="37.4"/>
    <n v="74.8"/>
  </r>
  <r>
    <x v="13"/>
    <x v="13"/>
    <x v="8"/>
    <x v="8"/>
    <n v="68.599999999999994"/>
    <n v="36.700000000000003"/>
  </r>
  <r>
    <x v="13"/>
    <x v="13"/>
    <x v="9"/>
    <x v="9"/>
    <n v="123"/>
    <n v="8.1"/>
  </r>
  <r>
    <x v="13"/>
    <x v="13"/>
    <x v="10"/>
    <x v="10"/>
    <n v="302.5"/>
    <n v="0"/>
  </r>
  <r>
    <x v="13"/>
    <x v="13"/>
    <x v="11"/>
    <x v="11"/>
    <n v="370.9"/>
    <n v="0"/>
  </r>
  <r>
    <x v="14"/>
    <x v="13"/>
    <x v="0"/>
    <x v="0"/>
    <n v="381"/>
    <n v="0"/>
  </r>
  <r>
    <x v="14"/>
    <x v="13"/>
    <x v="1"/>
    <x v="1"/>
    <n v="371.8"/>
    <n v="0"/>
  </r>
  <r>
    <x v="14"/>
    <x v="13"/>
    <x v="2"/>
    <x v="2"/>
    <n v="335.9"/>
    <n v="0"/>
  </r>
  <r>
    <x v="14"/>
    <x v="13"/>
    <x v="3"/>
    <x v="3"/>
    <n v="256.39999999999998"/>
    <n v="4.9000000000000004"/>
  </r>
  <r>
    <x v="14"/>
    <x v="13"/>
    <x v="4"/>
    <x v="4"/>
    <n v="189.6"/>
    <n v="2.8"/>
  </r>
  <r>
    <x v="14"/>
    <x v="13"/>
    <x v="5"/>
    <x v="5"/>
    <n v="81.8"/>
    <n v="24.9"/>
  </r>
  <r>
    <x v="14"/>
    <x v="13"/>
    <x v="6"/>
    <x v="6"/>
    <n v="16.100000000000001"/>
    <n v="126.3"/>
  </r>
  <r>
    <x v="14"/>
    <x v="13"/>
    <x v="7"/>
    <x v="7"/>
    <n v="48"/>
    <n v="78.3"/>
  </r>
  <r>
    <x v="14"/>
    <x v="13"/>
    <x v="8"/>
    <x v="8"/>
    <n v="67.400000000000006"/>
    <n v="46.8"/>
  </r>
  <r>
    <x v="14"/>
    <x v="13"/>
    <x v="9"/>
    <x v="9"/>
    <n v="106.6"/>
    <n v="16"/>
  </r>
  <r>
    <x v="14"/>
    <x v="13"/>
    <x v="10"/>
    <x v="10"/>
    <n v="290.60000000000002"/>
    <n v="0"/>
  </r>
  <r>
    <x v="14"/>
    <x v="13"/>
    <x v="11"/>
    <x v="11"/>
    <n v="355.1"/>
    <n v="0"/>
  </r>
  <r>
    <x v="12"/>
    <x v="14"/>
    <x v="0"/>
    <x v="0"/>
    <n v="320.5"/>
    <n v="0"/>
  </r>
  <r>
    <x v="12"/>
    <x v="14"/>
    <x v="1"/>
    <x v="1"/>
    <n v="281.3"/>
    <n v="0"/>
  </r>
  <r>
    <x v="12"/>
    <x v="14"/>
    <x v="2"/>
    <x v="2"/>
    <n v="263.89999999999998"/>
    <n v="2.6"/>
  </r>
  <r>
    <x v="12"/>
    <x v="14"/>
    <x v="3"/>
    <x v="3"/>
    <n v="174.2"/>
    <n v="4.2"/>
  </r>
  <r>
    <x v="12"/>
    <x v="14"/>
    <x v="4"/>
    <x v="4"/>
    <n v="134.5"/>
    <n v="10.8"/>
  </r>
  <r>
    <x v="12"/>
    <x v="14"/>
    <x v="5"/>
    <x v="5"/>
    <n v="48.5"/>
    <n v="61.9"/>
  </r>
  <r>
    <x v="12"/>
    <x v="14"/>
    <x v="6"/>
    <x v="6"/>
    <n v="22.6"/>
    <n v="105.7"/>
  </r>
  <r>
    <x v="12"/>
    <x v="14"/>
    <x v="7"/>
    <x v="7"/>
    <n v="51.9"/>
    <n v="48.6"/>
  </r>
  <r>
    <x v="12"/>
    <x v="14"/>
    <x v="8"/>
    <x v="8"/>
    <n v="54.3"/>
    <n v="63.6"/>
  </r>
  <r>
    <x v="12"/>
    <x v="14"/>
    <x v="9"/>
    <x v="9"/>
    <n v="124.2"/>
    <n v="16.5"/>
  </r>
  <r>
    <x v="12"/>
    <x v="14"/>
    <x v="10"/>
    <x v="10"/>
    <n v="219.5"/>
    <n v="0.3"/>
  </r>
  <r>
    <x v="12"/>
    <x v="14"/>
    <x v="11"/>
    <x v="11"/>
    <n v="374.8"/>
    <n v="0"/>
  </r>
  <r>
    <x v="13"/>
    <x v="14"/>
    <x v="0"/>
    <x v="0"/>
    <n v="337.3"/>
    <n v="0"/>
  </r>
  <r>
    <x v="13"/>
    <x v="14"/>
    <x v="1"/>
    <x v="1"/>
    <n v="292.2"/>
    <n v="0"/>
  </r>
  <r>
    <x v="13"/>
    <x v="14"/>
    <x v="2"/>
    <x v="2"/>
    <n v="270.89999999999998"/>
    <n v="0.4"/>
  </r>
  <r>
    <x v="13"/>
    <x v="14"/>
    <x v="3"/>
    <x v="3"/>
    <n v="191.6"/>
    <n v="1"/>
  </r>
  <r>
    <x v="13"/>
    <x v="14"/>
    <x v="4"/>
    <x v="4"/>
    <n v="150"/>
    <n v="5.2"/>
  </r>
  <r>
    <x v="13"/>
    <x v="14"/>
    <x v="5"/>
    <x v="5"/>
    <n v="66.5"/>
    <n v="41.4"/>
  </r>
  <r>
    <x v="13"/>
    <x v="14"/>
    <x v="6"/>
    <x v="6"/>
    <n v="27.7"/>
    <n v="84.8"/>
  </r>
  <r>
    <x v="13"/>
    <x v="14"/>
    <x v="7"/>
    <x v="7"/>
    <n v="57"/>
    <n v="34"/>
  </r>
  <r>
    <x v="13"/>
    <x v="14"/>
    <x v="8"/>
    <x v="8"/>
    <n v="59.3"/>
    <n v="49.6"/>
  </r>
  <r>
    <x v="13"/>
    <x v="14"/>
    <x v="9"/>
    <x v="9"/>
    <n v="124.7"/>
    <n v="9.6999999999999993"/>
  </r>
  <r>
    <x v="13"/>
    <x v="14"/>
    <x v="10"/>
    <x v="10"/>
    <n v="230.6"/>
    <n v="0.1"/>
  </r>
  <r>
    <x v="13"/>
    <x v="14"/>
    <x v="11"/>
    <x v="11"/>
    <n v="366.7"/>
    <n v="0"/>
  </r>
  <r>
    <x v="14"/>
    <x v="14"/>
    <x v="0"/>
    <x v="0"/>
    <n v="311.5"/>
    <n v="0"/>
  </r>
  <r>
    <x v="14"/>
    <x v="14"/>
    <x v="1"/>
    <x v="1"/>
    <n v="279.8"/>
    <n v="0"/>
  </r>
  <r>
    <x v="14"/>
    <x v="14"/>
    <x v="2"/>
    <x v="2"/>
    <n v="265.39999999999998"/>
    <n v="0.7"/>
  </r>
  <r>
    <x v="14"/>
    <x v="14"/>
    <x v="3"/>
    <x v="3"/>
    <n v="193.2"/>
    <n v="1.1000000000000001"/>
  </r>
  <r>
    <x v="14"/>
    <x v="14"/>
    <x v="4"/>
    <x v="4"/>
    <n v="160.19999999999999"/>
    <n v="6.2"/>
  </r>
  <r>
    <x v="14"/>
    <x v="14"/>
    <x v="5"/>
    <x v="5"/>
    <n v="56.6"/>
    <n v="55.1"/>
  </r>
  <r>
    <x v="14"/>
    <x v="14"/>
    <x v="6"/>
    <x v="6"/>
    <n v="32.799999999999997"/>
    <n v="89.8"/>
  </r>
  <r>
    <x v="14"/>
    <x v="14"/>
    <x v="7"/>
    <x v="7"/>
    <n v="60.1"/>
    <n v="37.200000000000003"/>
  </r>
  <r>
    <x v="14"/>
    <x v="14"/>
    <x v="8"/>
    <x v="8"/>
    <n v="53.4"/>
    <n v="67.400000000000006"/>
  </r>
  <r>
    <x v="14"/>
    <x v="14"/>
    <x v="9"/>
    <x v="9"/>
    <n v="102.2"/>
    <n v="18.899999999999999"/>
  </r>
  <r>
    <x v="14"/>
    <x v="14"/>
    <x v="10"/>
    <x v="10"/>
    <n v="198.2"/>
    <n v="0"/>
  </r>
  <r>
    <x v="14"/>
    <x v="14"/>
    <x v="11"/>
    <x v="11"/>
    <n v="354.3"/>
    <n v="0"/>
  </r>
  <r>
    <x v="12"/>
    <x v="15"/>
    <x v="0"/>
    <x v="0"/>
    <n v="392.1"/>
    <n v="0"/>
  </r>
  <r>
    <x v="12"/>
    <x v="15"/>
    <x v="1"/>
    <x v="1"/>
    <n v="366.9"/>
    <n v="0"/>
  </r>
  <r>
    <x v="12"/>
    <x v="15"/>
    <x v="2"/>
    <x v="2"/>
    <n v="303.8"/>
    <n v="0.3"/>
  </r>
  <r>
    <x v="12"/>
    <x v="15"/>
    <x v="3"/>
    <x v="3"/>
    <n v="166.6"/>
    <n v="16.899999999999999"/>
  </r>
  <r>
    <x v="12"/>
    <x v="15"/>
    <x v="4"/>
    <x v="4"/>
    <n v="119.9"/>
    <n v="16.5"/>
  </r>
  <r>
    <x v="12"/>
    <x v="15"/>
    <x v="5"/>
    <x v="5"/>
    <n v="51.8"/>
    <n v="75.8"/>
  </r>
  <r>
    <x v="12"/>
    <x v="15"/>
    <x v="6"/>
    <x v="6"/>
    <n v="29"/>
    <n v="126.8"/>
  </r>
  <r>
    <x v="12"/>
    <x v="15"/>
    <x v="7"/>
    <x v="7"/>
    <n v="32"/>
    <n v="115.3"/>
  </r>
  <r>
    <x v="12"/>
    <x v="15"/>
    <x v="8"/>
    <x v="8"/>
    <n v="96.9"/>
    <n v="16.8"/>
  </r>
  <r>
    <x v="12"/>
    <x v="15"/>
    <x v="9"/>
    <x v="9"/>
    <n v="181.1"/>
    <n v="3"/>
  </r>
  <r>
    <x v="12"/>
    <x v="15"/>
    <x v="10"/>
    <x v="10"/>
    <n v="191.1"/>
    <n v="3.1"/>
  </r>
  <r>
    <x v="12"/>
    <x v="15"/>
    <x v="11"/>
    <x v="11"/>
    <n v="258.5"/>
    <n v="0"/>
  </r>
  <r>
    <x v="13"/>
    <x v="15"/>
    <x v="0"/>
    <x v="0"/>
    <n v="391.4"/>
    <n v="0"/>
  </r>
  <r>
    <x v="13"/>
    <x v="15"/>
    <x v="1"/>
    <x v="1"/>
    <n v="371.5"/>
    <n v="0"/>
  </r>
  <r>
    <x v="13"/>
    <x v="15"/>
    <x v="2"/>
    <x v="2"/>
    <n v="303.39999999999998"/>
    <n v="0"/>
  </r>
  <r>
    <x v="13"/>
    <x v="15"/>
    <x v="3"/>
    <x v="3"/>
    <n v="189.4"/>
    <n v="9"/>
  </r>
  <r>
    <x v="13"/>
    <x v="15"/>
    <x v="4"/>
    <x v="4"/>
    <n v="144.19999999999999"/>
    <n v="7"/>
  </r>
  <r>
    <x v="13"/>
    <x v="15"/>
    <x v="5"/>
    <x v="5"/>
    <n v="67.2"/>
    <n v="53"/>
  </r>
  <r>
    <x v="13"/>
    <x v="15"/>
    <x v="6"/>
    <x v="6"/>
    <n v="35.700000000000003"/>
    <n v="90.4"/>
  </r>
  <r>
    <x v="13"/>
    <x v="15"/>
    <x v="7"/>
    <x v="7"/>
    <n v="37.9"/>
    <n v="89.3"/>
  </r>
  <r>
    <x v="13"/>
    <x v="15"/>
    <x v="8"/>
    <x v="8"/>
    <n v="109.5"/>
    <n v="9.8000000000000007"/>
  </r>
  <r>
    <x v="13"/>
    <x v="15"/>
    <x v="9"/>
    <x v="9"/>
    <n v="189.5"/>
    <n v="1.3"/>
  </r>
  <r>
    <x v="13"/>
    <x v="15"/>
    <x v="10"/>
    <x v="10"/>
    <n v="196.2"/>
    <n v="1.3"/>
  </r>
  <r>
    <x v="13"/>
    <x v="15"/>
    <x v="11"/>
    <x v="11"/>
    <n v="266.10000000000002"/>
    <n v="0"/>
  </r>
  <r>
    <x v="14"/>
    <x v="15"/>
    <x v="0"/>
    <x v="0"/>
    <n v="368"/>
    <n v="0"/>
  </r>
  <r>
    <x v="14"/>
    <x v="15"/>
    <x v="1"/>
    <x v="1"/>
    <n v="364.5"/>
    <n v="0"/>
  </r>
  <r>
    <x v="14"/>
    <x v="15"/>
    <x v="2"/>
    <x v="2"/>
    <n v="291.5"/>
    <n v="0.1"/>
  </r>
  <r>
    <x v="14"/>
    <x v="15"/>
    <x v="3"/>
    <x v="3"/>
    <n v="183.3"/>
    <n v="9.8000000000000007"/>
  </r>
  <r>
    <x v="14"/>
    <x v="15"/>
    <x v="4"/>
    <x v="4"/>
    <n v="128.4"/>
    <n v="11.4"/>
  </r>
  <r>
    <x v="14"/>
    <x v="15"/>
    <x v="5"/>
    <x v="5"/>
    <n v="56.8"/>
    <n v="60.5"/>
  </r>
  <r>
    <x v="14"/>
    <x v="15"/>
    <x v="6"/>
    <x v="6"/>
    <n v="34.200000000000003"/>
    <n v="83.9"/>
  </r>
  <r>
    <x v="14"/>
    <x v="15"/>
    <x v="7"/>
    <x v="7"/>
    <n v="40.1"/>
    <n v="81.900000000000006"/>
  </r>
  <r>
    <x v="14"/>
    <x v="15"/>
    <x v="8"/>
    <x v="8"/>
    <n v="105.6"/>
    <n v="14.1"/>
  </r>
  <r>
    <x v="14"/>
    <x v="15"/>
    <x v="9"/>
    <x v="9"/>
    <n v="187.3"/>
    <n v="1.7"/>
  </r>
  <r>
    <x v="14"/>
    <x v="15"/>
    <x v="10"/>
    <x v="10"/>
    <n v="173.9"/>
    <n v="1.6"/>
  </r>
  <r>
    <x v="14"/>
    <x v="15"/>
    <x v="11"/>
    <x v="11"/>
    <n v="255"/>
    <n v="0"/>
  </r>
  <r>
    <x v="12"/>
    <x v="16"/>
    <x v="0"/>
    <x v="0"/>
    <n v="348.4"/>
    <n v="0"/>
  </r>
  <r>
    <x v="12"/>
    <x v="16"/>
    <x v="1"/>
    <x v="1"/>
    <n v="321.2"/>
    <n v="0"/>
  </r>
  <r>
    <x v="12"/>
    <x v="16"/>
    <x v="2"/>
    <x v="2"/>
    <n v="328.3"/>
    <n v="0"/>
  </r>
  <r>
    <x v="12"/>
    <x v="16"/>
    <x v="3"/>
    <x v="3"/>
    <n v="252.6"/>
    <n v="1.7"/>
  </r>
  <r>
    <x v="12"/>
    <x v="16"/>
    <x v="4"/>
    <x v="4"/>
    <n v="124.3"/>
    <n v="19.2"/>
  </r>
  <r>
    <x v="12"/>
    <x v="16"/>
    <x v="5"/>
    <x v="5"/>
    <n v="47.7"/>
    <n v="41.9"/>
  </r>
  <r>
    <x v="12"/>
    <x v="16"/>
    <x v="6"/>
    <x v="6"/>
    <n v="32.299999999999997"/>
    <n v="107.5"/>
  </r>
  <r>
    <x v="12"/>
    <x v="16"/>
    <x v="7"/>
    <x v="7"/>
    <n v="33.799999999999997"/>
    <n v="130.30000000000001"/>
  </r>
  <r>
    <x v="12"/>
    <x v="16"/>
    <x v="8"/>
    <x v="8"/>
    <n v="43.5"/>
    <n v="78.5"/>
  </r>
  <r>
    <x v="12"/>
    <x v="16"/>
    <x v="9"/>
    <x v="9"/>
    <n v="202.6"/>
    <n v="2.1"/>
  </r>
  <r>
    <x v="12"/>
    <x v="16"/>
    <x v="10"/>
    <x v="10"/>
    <n v="289.2"/>
    <n v="0"/>
  </r>
  <r>
    <x v="12"/>
    <x v="16"/>
    <x v="11"/>
    <x v="11"/>
    <n v="370.4"/>
    <n v="0"/>
  </r>
  <r>
    <x v="13"/>
    <x v="16"/>
    <x v="0"/>
    <x v="0"/>
    <n v="356.4"/>
    <n v="0"/>
  </r>
  <r>
    <x v="13"/>
    <x v="16"/>
    <x v="1"/>
    <x v="1"/>
    <n v="331"/>
    <n v="0"/>
  </r>
  <r>
    <x v="13"/>
    <x v="16"/>
    <x v="2"/>
    <x v="2"/>
    <n v="339.4"/>
    <n v="0"/>
  </r>
  <r>
    <x v="13"/>
    <x v="16"/>
    <x v="3"/>
    <x v="3"/>
    <n v="268.2"/>
    <n v="0"/>
  </r>
  <r>
    <x v="13"/>
    <x v="16"/>
    <x v="4"/>
    <x v="4"/>
    <n v="138.9"/>
    <n v="10.9"/>
  </r>
  <r>
    <x v="13"/>
    <x v="16"/>
    <x v="5"/>
    <x v="5"/>
    <n v="61.1"/>
    <n v="30"/>
  </r>
  <r>
    <x v="13"/>
    <x v="16"/>
    <x v="6"/>
    <x v="6"/>
    <n v="38.799999999999997"/>
    <n v="77.8"/>
  </r>
  <r>
    <x v="13"/>
    <x v="16"/>
    <x v="7"/>
    <x v="7"/>
    <n v="34.700000000000003"/>
    <n v="106.1"/>
  </r>
  <r>
    <x v="13"/>
    <x v="16"/>
    <x v="8"/>
    <x v="8"/>
    <n v="42.4"/>
    <n v="60.5"/>
  </r>
  <r>
    <x v="13"/>
    <x v="16"/>
    <x v="9"/>
    <x v="9"/>
    <n v="121.4"/>
    <n v="7"/>
  </r>
  <r>
    <x v="13"/>
    <x v="16"/>
    <x v="10"/>
    <x v="10"/>
    <n v="287.5"/>
    <n v="0"/>
  </r>
  <r>
    <x v="13"/>
    <x v="16"/>
    <x v="11"/>
    <x v="11"/>
    <n v="349.3"/>
    <n v="0"/>
  </r>
  <r>
    <x v="14"/>
    <x v="16"/>
    <x v="0"/>
    <x v="0"/>
    <n v="319.10000000000002"/>
    <n v="0"/>
  </r>
  <r>
    <x v="14"/>
    <x v="16"/>
    <x v="1"/>
    <x v="1"/>
    <n v="312.8"/>
    <n v="0"/>
  </r>
  <r>
    <x v="14"/>
    <x v="16"/>
    <x v="2"/>
    <x v="2"/>
    <n v="318.5"/>
    <n v="0"/>
  </r>
  <r>
    <x v="14"/>
    <x v="16"/>
    <x v="3"/>
    <x v="3"/>
    <n v="250.2"/>
    <n v="0.1"/>
  </r>
  <r>
    <x v="14"/>
    <x v="16"/>
    <x v="4"/>
    <x v="4"/>
    <n v="135.5"/>
    <n v="12.6"/>
  </r>
  <r>
    <x v="14"/>
    <x v="16"/>
    <x v="5"/>
    <x v="5"/>
    <n v="56.3"/>
    <n v="33.5"/>
  </r>
  <r>
    <x v="14"/>
    <x v="16"/>
    <x v="6"/>
    <x v="6"/>
    <n v="40"/>
    <n v="85.3"/>
  </r>
  <r>
    <x v="14"/>
    <x v="16"/>
    <x v="7"/>
    <x v="7"/>
    <n v="31.6"/>
    <n v="116.7"/>
  </r>
  <r>
    <x v="14"/>
    <x v="16"/>
    <x v="8"/>
    <x v="8"/>
    <n v="48"/>
    <n v="66.900000000000006"/>
  </r>
  <r>
    <x v="14"/>
    <x v="16"/>
    <x v="9"/>
    <x v="9"/>
    <n v="182"/>
    <n v="2.8"/>
  </r>
  <r>
    <x v="14"/>
    <x v="16"/>
    <x v="10"/>
    <x v="10"/>
    <n v="268.60000000000002"/>
    <n v="0.2"/>
  </r>
  <r>
    <x v="14"/>
    <x v="16"/>
    <x v="11"/>
    <x v="11"/>
    <n v="343.6"/>
    <n v="0"/>
  </r>
  <r>
    <x v="12"/>
    <x v="17"/>
    <x v="0"/>
    <x v="0"/>
    <n v="451.9"/>
    <n v="0"/>
  </r>
  <r>
    <x v="12"/>
    <x v="17"/>
    <x v="1"/>
    <x v="1"/>
    <n v="287.8"/>
    <n v="0"/>
  </r>
  <r>
    <x v="12"/>
    <x v="17"/>
    <x v="2"/>
    <x v="2"/>
    <n v="226.3"/>
    <n v="3.6"/>
  </r>
  <r>
    <x v="12"/>
    <x v="17"/>
    <x v="3"/>
    <x v="3"/>
    <n v="227.8"/>
    <n v="5.6"/>
  </r>
  <r>
    <x v="12"/>
    <x v="17"/>
    <x v="4"/>
    <x v="4"/>
    <n v="98"/>
    <n v="48.6"/>
  </r>
  <r>
    <x v="12"/>
    <x v="17"/>
    <x v="5"/>
    <x v="5"/>
    <n v="30.9"/>
    <n v="118"/>
  </r>
  <r>
    <x v="12"/>
    <x v="17"/>
    <x v="6"/>
    <x v="6"/>
    <n v="23.6"/>
    <n v="112.6"/>
  </r>
  <r>
    <x v="12"/>
    <x v="17"/>
    <x v="7"/>
    <x v="7"/>
    <n v="32.200000000000003"/>
    <n v="99.9"/>
  </r>
  <r>
    <x v="12"/>
    <x v="17"/>
    <x v="8"/>
    <x v="8"/>
    <n v="82.3"/>
    <n v="19.5"/>
  </r>
  <r>
    <x v="12"/>
    <x v="17"/>
    <x v="9"/>
    <x v="9"/>
    <n v="126.4"/>
    <n v="13.7"/>
  </r>
  <r>
    <x v="12"/>
    <x v="17"/>
    <x v="10"/>
    <x v="10"/>
    <n v="289.89999999999998"/>
    <n v="0"/>
  </r>
  <r>
    <x v="12"/>
    <x v="17"/>
    <x v="11"/>
    <x v="11"/>
    <n v="366.2"/>
    <n v="0"/>
  </r>
  <r>
    <x v="13"/>
    <x v="17"/>
    <x v="0"/>
    <x v="0"/>
    <n v="300.10000000000002"/>
    <n v="0"/>
  </r>
  <r>
    <x v="13"/>
    <x v="17"/>
    <x v="1"/>
    <x v="1"/>
    <n v="407.3"/>
    <n v="0"/>
  </r>
  <r>
    <x v="13"/>
    <x v="17"/>
    <x v="2"/>
    <x v="2"/>
    <n v="320"/>
    <n v="0"/>
  </r>
  <r>
    <x v="13"/>
    <x v="17"/>
    <x v="3"/>
    <x v="3"/>
    <n v="169"/>
    <n v="15.5"/>
  </r>
  <r>
    <x v="13"/>
    <x v="17"/>
    <x v="4"/>
    <x v="4"/>
    <n v="38.299999999999997"/>
    <n v="29.8"/>
  </r>
  <r>
    <x v="13"/>
    <x v="17"/>
    <x v="5"/>
    <x v="5"/>
    <n v="45.2"/>
    <n v="90"/>
  </r>
  <r>
    <x v="13"/>
    <x v="17"/>
    <x v="6"/>
    <x v="6"/>
    <n v="29.9"/>
    <n v="88"/>
  </r>
  <r>
    <x v="13"/>
    <x v="17"/>
    <x v="7"/>
    <x v="7"/>
    <n v="38.5"/>
    <n v="75.5"/>
  </r>
  <r>
    <x v="13"/>
    <x v="17"/>
    <x v="8"/>
    <x v="8"/>
    <n v="98"/>
    <n v="10.7"/>
  </r>
  <r>
    <x v="13"/>
    <x v="17"/>
    <x v="9"/>
    <x v="9"/>
    <n v="130.6"/>
    <n v="7.7"/>
  </r>
  <r>
    <x v="13"/>
    <x v="17"/>
    <x v="10"/>
    <x v="10"/>
    <n v="297.2"/>
    <n v="0"/>
  </r>
  <r>
    <x v="13"/>
    <x v="17"/>
    <x v="11"/>
    <x v="11"/>
    <n v="355.5"/>
    <n v="0"/>
  </r>
  <r>
    <x v="14"/>
    <x v="17"/>
    <x v="0"/>
    <x v="0"/>
    <n v="439.4"/>
    <n v="0"/>
  </r>
  <r>
    <x v="14"/>
    <x v="17"/>
    <x v="1"/>
    <x v="1"/>
    <n v="280.60000000000002"/>
    <n v="0"/>
  </r>
  <r>
    <x v="14"/>
    <x v="17"/>
    <x v="2"/>
    <x v="2"/>
    <n v="237"/>
    <n v="2.2999999999999998"/>
  </r>
  <r>
    <x v="14"/>
    <x v="17"/>
    <x v="3"/>
    <x v="3"/>
    <n v="230.4"/>
    <n v="5.3"/>
  </r>
  <r>
    <x v="14"/>
    <x v="17"/>
    <x v="4"/>
    <x v="4"/>
    <n v="108.4"/>
    <n v="45.9"/>
  </r>
  <r>
    <x v="14"/>
    <x v="17"/>
    <x v="5"/>
    <x v="5"/>
    <n v="43.3"/>
    <n v="86.5"/>
  </r>
  <r>
    <x v="14"/>
    <x v="17"/>
    <x v="6"/>
    <x v="6"/>
    <n v="26.9"/>
    <n v="88.7"/>
  </r>
  <r>
    <x v="14"/>
    <x v="17"/>
    <x v="7"/>
    <x v="7"/>
    <n v="41.8"/>
    <n v="85"/>
  </r>
  <r>
    <x v="14"/>
    <x v="17"/>
    <x v="8"/>
    <x v="8"/>
    <n v="93.4"/>
    <n v="18.600000000000001"/>
  </r>
  <r>
    <x v="14"/>
    <x v="17"/>
    <x v="9"/>
    <x v="9"/>
    <n v="111.1"/>
    <n v="16.100000000000001"/>
  </r>
  <r>
    <x v="14"/>
    <x v="17"/>
    <x v="10"/>
    <x v="10"/>
    <n v="287"/>
    <n v="0.4"/>
  </r>
  <r>
    <x v="14"/>
    <x v="17"/>
    <x v="11"/>
    <x v="11"/>
    <n v="354.1"/>
    <n v="0"/>
  </r>
  <r>
    <x v="12"/>
    <x v="18"/>
    <x v="0"/>
    <x v="0"/>
    <n v="298.60000000000002"/>
    <n v="0"/>
  </r>
  <r>
    <x v="12"/>
    <x v="18"/>
    <x v="1"/>
    <x v="1"/>
    <n v="415.2"/>
    <n v="0"/>
  </r>
  <r>
    <x v="12"/>
    <x v="18"/>
    <x v="2"/>
    <x v="2"/>
    <n v="305.39999999999998"/>
    <n v="0"/>
  </r>
  <r>
    <x v="12"/>
    <x v="18"/>
    <x v="3"/>
    <x v="3"/>
    <n v="152.19999999999999"/>
    <n v="20.3"/>
  </r>
  <r>
    <x v="12"/>
    <x v="18"/>
    <x v="4"/>
    <x v="4"/>
    <n v="95.8"/>
    <n v="49"/>
  </r>
  <r>
    <x v="12"/>
    <x v="18"/>
    <x v="5"/>
    <x v="5"/>
    <n v="25.4"/>
    <n v="82.1"/>
  </r>
  <r>
    <x v="12"/>
    <x v="18"/>
    <x v="6"/>
    <x v="6"/>
    <n v="5.9"/>
    <n v="169"/>
  </r>
  <r>
    <x v="12"/>
    <x v="18"/>
    <x v="7"/>
    <x v="7"/>
    <n v="26"/>
    <n v="126"/>
  </r>
  <r>
    <x v="12"/>
    <x v="18"/>
    <x v="8"/>
    <x v="8"/>
    <n v="73.599999999999994"/>
    <n v="59.5"/>
  </r>
  <r>
    <x v="12"/>
    <x v="18"/>
    <x v="9"/>
    <x v="9"/>
    <n v="157.5"/>
    <n v="23.6"/>
  </r>
  <r>
    <x v="12"/>
    <x v="18"/>
    <x v="10"/>
    <x v="10"/>
    <n v="278"/>
    <n v="0"/>
  </r>
  <r>
    <x v="12"/>
    <x v="18"/>
    <x v="11"/>
    <x v="11"/>
    <n v="319.2"/>
    <n v="0"/>
  </r>
  <r>
    <x v="13"/>
    <x v="18"/>
    <x v="0"/>
    <x v="0"/>
    <n v="306.2"/>
    <n v="0"/>
  </r>
  <r>
    <x v="13"/>
    <x v="18"/>
    <x v="1"/>
    <x v="1"/>
    <n v="410.7"/>
    <n v="0"/>
  </r>
  <r>
    <x v="13"/>
    <x v="18"/>
    <x v="2"/>
    <x v="2"/>
    <n v="304.10000000000002"/>
    <n v="0"/>
  </r>
  <r>
    <x v="13"/>
    <x v="18"/>
    <x v="3"/>
    <x v="3"/>
    <n v="179.2"/>
    <n v="13"/>
  </r>
  <r>
    <x v="13"/>
    <x v="18"/>
    <x v="4"/>
    <x v="4"/>
    <n v="114.1"/>
    <n v="35.700000000000003"/>
  </r>
  <r>
    <x v="13"/>
    <x v="18"/>
    <x v="5"/>
    <x v="5"/>
    <n v="36.299999999999997"/>
    <n v="64.099999999999994"/>
  </r>
  <r>
    <x v="13"/>
    <x v="18"/>
    <x v="6"/>
    <x v="6"/>
    <n v="11.8"/>
    <n v="127.2"/>
  </r>
  <r>
    <x v="13"/>
    <x v="18"/>
    <x v="7"/>
    <x v="7"/>
    <n v="33.799999999999997"/>
    <n v="97.1"/>
  </r>
  <r>
    <x v="13"/>
    <x v="18"/>
    <x v="8"/>
    <x v="8"/>
    <n v="76.2"/>
    <n v="47.9"/>
  </r>
  <r>
    <x v="13"/>
    <x v="18"/>
    <x v="9"/>
    <x v="9"/>
    <n v="160.80000000000001"/>
    <n v="14.7"/>
  </r>
  <r>
    <x v="13"/>
    <x v="18"/>
    <x v="10"/>
    <x v="10"/>
    <n v="291.39999999999998"/>
    <n v="0"/>
  </r>
  <r>
    <x v="13"/>
    <x v="18"/>
    <x v="11"/>
    <x v="11"/>
    <n v="317.5"/>
    <n v="0"/>
  </r>
  <r>
    <x v="14"/>
    <x v="18"/>
    <x v="0"/>
    <x v="0"/>
    <n v="286.5"/>
    <n v="0"/>
  </r>
  <r>
    <x v="14"/>
    <x v="18"/>
    <x v="1"/>
    <x v="1"/>
    <n v="390.6"/>
    <n v="0"/>
  </r>
  <r>
    <x v="14"/>
    <x v="18"/>
    <x v="2"/>
    <x v="2"/>
    <n v="307.39999999999998"/>
    <n v="0"/>
  </r>
  <r>
    <x v="14"/>
    <x v="18"/>
    <x v="3"/>
    <x v="3"/>
    <n v="165.6"/>
    <n v="12.2"/>
  </r>
  <r>
    <x v="14"/>
    <x v="18"/>
    <x v="4"/>
    <x v="4"/>
    <n v="108.2"/>
    <n v="32"/>
  </r>
  <r>
    <x v="14"/>
    <x v="18"/>
    <x v="5"/>
    <x v="5"/>
    <n v="30.5"/>
    <n v="77.5"/>
  </r>
  <r>
    <x v="14"/>
    <x v="18"/>
    <x v="6"/>
    <x v="6"/>
    <n v="14.6"/>
    <n v="129.1"/>
  </r>
  <r>
    <x v="14"/>
    <x v="18"/>
    <x v="7"/>
    <x v="7"/>
    <n v="29.2"/>
    <n v="124.7"/>
  </r>
  <r>
    <x v="14"/>
    <x v="18"/>
    <x v="8"/>
    <x v="8"/>
    <n v="65.7"/>
    <n v="64.3"/>
  </r>
  <r>
    <x v="14"/>
    <x v="18"/>
    <x v="9"/>
    <x v="9"/>
    <n v="152.4"/>
    <n v="19.8"/>
  </r>
  <r>
    <x v="14"/>
    <x v="18"/>
    <x v="10"/>
    <x v="10"/>
    <n v="267.3"/>
    <n v="0.2"/>
  </r>
  <r>
    <x v="14"/>
    <x v="18"/>
    <x v="11"/>
    <x v="11"/>
    <n v="295.8"/>
    <n v="0"/>
  </r>
  <r>
    <x v="12"/>
    <x v="19"/>
    <x v="0"/>
    <x v="0"/>
    <n v="402.2"/>
    <n v="0"/>
  </r>
  <r>
    <x v="12"/>
    <x v="19"/>
    <x v="1"/>
    <x v="1"/>
    <n v="297.3"/>
    <n v="0.8"/>
  </r>
  <r>
    <x v="12"/>
    <x v="19"/>
    <x v="2"/>
    <x v="2"/>
    <n v="260.39999999999998"/>
    <n v="0.7"/>
  </r>
  <r>
    <x v="12"/>
    <x v="19"/>
    <x v="3"/>
    <x v="3"/>
    <n v="201.4"/>
    <n v="11.4"/>
  </r>
  <r>
    <x v="12"/>
    <x v="19"/>
    <x v="4"/>
    <x v="4"/>
    <n v="147.9"/>
    <n v="13.8"/>
  </r>
  <r>
    <x v="12"/>
    <x v="19"/>
    <x v="5"/>
    <x v="5"/>
    <n v="54.1"/>
    <n v="102.6"/>
  </r>
  <r>
    <x v="12"/>
    <x v="19"/>
    <x v="6"/>
    <x v="6"/>
    <n v="15.5"/>
    <n v="157.80000000000001"/>
  </r>
  <r>
    <x v="12"/>
    <x v="19"/>
    <x v="7"/>
    <x v="7"/>
    <n v="30.2"/>
    <n v="107.7"/>
  </r>
  <r>
    <x v="12"/>
    <x v="19"/>
    <x v="8"/>
    <x v="8"/>
    <n v="64.7"/>
    <n v="46.8"/>
  </r>
  <r>
    <x v="12"/>
    <x v="19"/>
    <x v="9"/>
    <x v="9"/>
    <n v="128.80000000000001"/>
    <n v="8.8000000000000007"/>
  </r>
  <r>
    <x v="12"/>
    <x v="19"/>
    <x v="10"/>
    <x v="10"/>
    <n v="293.10000000000002"/>
    <n v="0"/>
  </r>
  <r>
    <x v="12"/>
    <x v="19"/>
    <x v="11"/>
    <x v="11"/>
    <n v="323"/>
    <n v="0"/>
  </r>
  <r>
    <x v="13"/>
    <x v="19"/>
    <x v="0"/>
    <x v="0"/>
    <n v="399.7"/>
    <n v="0"/>
  </r>
  <r>
    <x v="13"/>
    <x v="19"/>
    <x v="1"/>
    <x v="1"/>
    <n v="302.39999999999998"/>
    <n v="0.2"/>
  </r>
  <r>
    <x v="13"/>
    <x v="19"/>
    <x v="2"/>
    <x v="2"/>
    <n v="271"/>
    <n v="0.3"/>
  </r>
  <r>
    <x v="13"/>
    <x v="19"/>
    <x v="3"/>
    <x v="3"/>
    <n v="228.3"/>
    <n v="6.8"/>
  </r>
  <r>
    <x v="13"/>
    <x v="19"/>
    <x v="4"/>
    <x v="4"/>
    <n v="154.5"/>
    <n v="8"/>
  </r>
  <r>
    <x v="13"/>
    <x v="19"/>
    <x v="5"/>
    <x v="5"/>
    <n v="69.5"/>
    <n v="74.3"/>
  </r>
  <r>
    <x v="13"/>
    <x v="19"/>
    <x v="6"/>
    <x v="6"/>
    <n v="25.7"/>
    <n v="123.5"/>
  </r>
  <r>
    <x v="13"/>
    <x v="19"/>
    <x v="7"/>
    <x v="7"/>
    <n v="35.299999999999997"/>
    <n v="84.9"/>
  </r>
  <r>
    <x v="13"/>
    <x v="19"/>
    <x v="8"/>
    <x v="8"/>
    <n v="68.099999999999994"/>
    <n v="34.299999999999997"/>
  </r>
  <r>
    <x v="13"/>
    <x v="19"/>
    <x v="9"/>
    <x v="9"/>
    <n v="144.4"/>
    <n v="2.9"/>
  </r>
  <r>
    <x v="13"/>
    <x v="19"/>
    <x v="10"/>
    <x v="10"/>
    <n v="297.7"/>
    <n v="0"/>
  </r>
  <r>
    <x v="13"/>
    <x v="19"/>
    <x v="11"/>
    <x v="11"/>
    <n v="336.2"/>
    <n v="0"/>
  </r>
  <r>
    <x v="14"/>
    <x v="19"/>
    <x v="0"/>
    <x v="0"/>
    <n v="392.4"/>
    <n v="0"/>
  </r>
  <r>
    <x v="14"/>
    <x v="19"/>
    <x v="1"/>
    <x v="1"/>
    <n v="267.7"/>
    <n v="1.2"/>
  </r>
  <r>
    <x v="14"/>
    <x v="19"/>
    <x v="2"/>
    <x v="2"/>
    <n v="265.89999999999998"/>
    <n v="0.8"/>
  </r>
  <r>
    <x v="14"/>
    <x v="19"/>
    <x v="3"/>
    <x v="3"/>
    <n v="217.3"/>
    <n v="5.0999999999999996"/>
  </r>
  <r>
    <x v="14"/>
    <x v="19"/>
    <x v="4"/>
    <x v="4"/>
    <n v="158.19999999999999"/>
    <n v="10.4"/>
  </r>
  <r>
    <x v="14"/>
    <x v="19"/>
    <x v="5"/>
    <x v="5"/>
    <n v="68"/>
    <n v="75.8"/>
  </r>
  <r>
    <x v="14"/>
    <x v="19"/>
    <x v="6"/>
    <x v="6"/>
    <n v="23"/>
    <n v="130.30000000000001"/>
  </r>
  <r>
    <x v="14"/>
    <x v="19"/>
    <x v="7"/>
    <x v="7"/>
    <n v="34.799999999999997"/>
    <n v="86.1"/>
  </r>
  <r>
    <x v="14"/>
    <x v="19"/>
    <x v="8"/>
    <x v="8"/>
    <n v="61.7"/>
    <n v="47.9"/>
  </r>
  <r>
    <x v="14"/>
    <x v="19"/>
    <x v="9"/>
    <x v="9"/>
    <n v="113.6"/>
    <n v="4.5999999999999996"/>
  </r>
  <r>
    <x v="14"/>
    <x v="19"/>
    <x v="10"/>
    <x v="10"/>
    <n v="284.60000000000002"/>
    <n v="0"/>
  </r>
  <r>
    <x v="14"/>
    <x v="19"/>
    <x v="11"/>
    <x v="11"/>
    <n v="307.39999999999998"/>
    <n v="0"/>
  </r>
  <r>
    <x v="12"/>
    <x v="20"/>
    <x v="0"/>
    <x v="0"/>
    <n v="331.5"/>
    <n v="0"/>
  </r>
  <r>
    <x v="12"/>
    <x v="20"/>
    <x v="1"/>
    <x v="1"/>
    <n v="251.6"/>
    <n v="0"/>
  </r>
  <r>
    <x v="12"/>
    <x v="20"/>
    <x v="2"/>
    <x v="2"/>
    <n v="272.60000000000002"/>
    <n v="1.3"/>
  </r>
  <r>
    <x v="12"/>
    <x v="20"/>
    <x v="3"/>
    <x v="3"/>
    <n v="126.3"/>
    <n v="27.4"/>
  </r>
  <r>
    <x v="12"/>
    <x v="20"/>
    <x v="4"/>
    <x v="4"/>
    <n v="91.8"/>
    <n v="45.4"/>
  </r>
  <r>
    <x v="12"/>
    <x v="20"/>
    <x v="5"/>
    <x v="5"/>
    <n v="55.6"/>
    <n v="58.6"/>
  </r>
  <r>
    <x v="12"/>
    <x v="20"/>
    <x v="6"/>
    <x v="6"/>
    <n v="32.299999999999997"/>
    <n v="107"/>
  </r>
  <r>
    <x v="12"/>
    <x v="20"/>
    <x v="7"/>
    <x v="7"/>
    <n v="27.8"/>
    <n v="143.1"/>
  </r>
  <r>
    <x v="12"/>
    <x v="20"/>
    <x v="8"/>
    <x v="8"/>
    <n v="56.6"/>
    <n v="84.1"/>
  </r>
  <r>
    <x v="12"/>
    <x v="20"/>
    <x v="9"/>
    <x v="9"/>
    <n v="159.30000000000001"/>
    <n v="1.7"/>
  </r>
  <r>
    <x v="12"/>
    <x v="20"/>
    <x v="10"/>
    <x v="10"/>
    <n v="237.3"/>
    <n v="0"/>
  </r>
  <r>
    <x v="12"/>
    <x v="20"/>
    <x v="11"/>
    <x v="11"/>
    <n v="334.4"/>
    <n v="0"/>
  </r>
  <r>
    <x v="13"/>
    <x v="20"/>
    <x v="0"/>
    <x v="0"/>
    <n v="340"/>
    <n v="0"/>
  </r>
  <r>
    <x v="13"/>
    <x v="20"/>
    <x v="1"/>
    <x v="1"/>
    <n v="266"/>
    <n v="0"/>
  </r>
  <r>
    <x v="13"/>
    <x v="20"/>
    <x v="2"/>
    <x v="2"/>
    <n v="292.2"/>
    <n v="0.3"/>
  </r>
  <r>
    <x v="13"/>
    <x v="20"/>
    <x v="3"/>
    <x v="3"/>
    <n v="135.9"/>
    <n v="19.100000000000001"/>
  </r>
  <r>
    <x v="13"/>
    <x v="20"/>
    <x v="4"/>
    <x v="4"/>
    <n v="109.4"/>
    <n v="37"/>
  </r>
  <r>
    <x v="13"/>
    <x v="20"/>
    <x v="5"/>
    <x v="5"/>
    <n v="71.5"/>
    <n v="42"/>
  </r>
  <r>
    <x v="13"/>
    <x v="20"/>
    <x v="6"/>
    <x v="6"/>
    <n v="45.7"/>
    <n v="78.400000000000006"/>
  </r>
  <r>
    <x v="13"/>
    <x v="20"/>
    <x v="7"/>
    <x v="7"/>
    <n v="27.7"/>
    <n v="112.8"/>
  </r>
  <r>
    <x v="13"/>
    <x v="20"/>
    <x v="8"/>
    <x v="8"/>
    <n v="62.4"/>
    <n v="64.7"/>
  </r>
  <r>
    <x v="13"/>
    <x v="20"/>
    <x v="9"/>
    <x v="9"/>
    <n v="180.4"/>
    <n v="0.1"/>
  </r>
  <r>
    <x v="13"/>
    <x v="20"/>
    <x v="10"/>
    <x v="10"/>
    <n v="244.7"/>
    <n v="0"/>
  </r>
  <r>
    <x v="13"/>
    <x v="20"/>
    <x v="11"/>
    <x v="11"/>
    <n v="341.8"/>
    <n v="0"/>
  </r>
  <r>
    <x v="14"/>
    <x v="20"/>
    <x v="0"/>
    <x v="0"/>
    <n v="311.8"/>
    <n v="0"/>
  </r>
  <r>
    <x v="14"/>
    <x v="20"/>
    <x v="1"/>
    <x v="1"/>
    <n v="249.8"/>
    <n v="0"/>
  </r>
  <r>
    <x v="14"/>
    <x v="20"/>
    <x v="2"/>
    <x v="2"/>
    <n v="271.5"/>
    <n v="0.8"/>
  </r>
  <r>
    <x v="14"/>
    <x v="20"/>
    <x v="3"/>
    <x v="3"/>
    <n v="139.19999999999999"/>
    <n v="15.6"/>
  </r>
  <r>
    <x v="14"/>
    <x v="20"/>
    <x v="4"/>
    <x v="4"/>
    <n v="100.3"/>
    <n v="40.4"/>
  </r>
  <r>
    <x v="14"/>
    <x v="20"/>
    <x v="5"/>
    <x v="5"/>
    <n v="69.7"/>
    <n v="33.4"/>
  </r>
  <r>
    <x v="14"/>
    <x v="20"/>
    <x v="6"/>
    <x v="6"/>
    <n v="40.200000000000003"/>
    <n v="84"/>
  </r>
  <r>
    <x v="14"/>
    <x v="20"/>
    <x v="7"/>
    <x v="7"/>
    <n v="30.8"/>
    <n v="110.1"/>
  </r>
  <r>
    <x v="14"/>
    <x v="20"/>
    <x v="8"/>
    <x v="8"/>
    <n v="62.5"/>
    <n v="72.7"/>
  </r>
  <r>
    <x v="14"/>
    <x v="20"/>
    <x v="9"/>
    <x v="9"/>
    <n v="172.6"/>
    <n v="0.7"/>
  </r>
  <r>
    <x v="14"/>
    <x v="20"/>
    <x v="10"/>
    <x v="10"/>
    <n v="218.3"/>
    <n v="0.3"/>
  </r>
  <r>
    <x v="14"/>
    <x v="20"/>
    <x v="11"/>
    <x v="11"/>
    <n v="326.60000000000002"/>
    <n v="0"/>
  </r>
  <r>
    <x v="12"/>
    <x v="21"/>
    <x v="0"/>
    <x v="0"/>
    <n v="380.1"/>
    <n v="0"/>
  </r>
  <r>
    <x v="12"/>
    <x v="21"/>
    <x v="1"/>
    <x v="1"/>
    <n v="299.5"/>
    <n v="0.5"/>
  </r>
  <r>
    <x v="12"/>
    <x v="21"/>
    <x v="2"/>
    <x v="2"/>
    <n v="303.89999999999998"/>
    <n v="4.5999999999999996"/>
  </r>
  <r>
    <x v="12"/>
    <x v="21"/>
    <x v="3"/>
    <x v="3"/>
    <n v="242.8"/>
    <n v="5.6"/>
  </r>
  <r>
    <x v="12"/>
    <x v="21"/>
    <x v="4"/>
    <x v="4"/>
    <n v="159.4"/>
    <n v="10.7"/>
  </r>
  <r>
    <x v="12"/>
    <x v="21"/>
    <x v="5"/>
    <x v="5"/>
    <n v="29.9"/>
    <n v="91.2"/>
  </r>
  <r>
    <x v="12"/>
    <x v="21"/>
    <x v="6"/>
    <x v="6"/>
    <n v="22.4"/>
    <n v="87"/>
  </r>
  <r>
    <x v="12"/>
    <x v="21"/>
    <x v="7"/>
    <x v="7"/>
    <n v="35.9"/>
    <n v="61.4"/>
  </r>
  <r>
    <x v="12"/>
    <x v="21"/>
    <x v="8"/>
    <x v="8"/>
    <n v="47.8"/>
    <n v="73.5"/>
  </r>
  <r>
    <x v="12"/>
    <x v="21"/>
    <x v="9"/>
    <x v="9"/>
    <n v="170.5"/>
    <n v="4.9000000000000004"/>
  </r>
  <r>
    <x v="12"/>
    <x v="21"/>
    <x v="10"/>
    <x v="10"/>
    <n v="326.8"/>
    <n v="0"/>
  </r>
  <r>
    <x v="12"/>
    <x v="21"/>
    <x v="11"/>
    <x v="11"/>
    <n v="336.7"/>
    <n v="0"/>
  </r>
  <r>
    <x v="13"/>
    <x v="21"/>
    <x v="0"/>
    <x v="0"/>
    <n v="408.7"/>
    <n v="0"/>
  </r>
  <r>
    <x v="13"/>
    <x v="21"/>
    <x v="1"/>
    <x v="1"/>
    <n v="315.60000000000002"/>
    <n v="0"/>
  </r>
  <r>
    <x v="13"/>
    <x v="21"/>
    <x v="2"/>
    <x v="2"/>
    <n v="311.5"/>
    <n v="2.6"/>
  </r>
  <r>
    <x v="13"/>
    <x v="21"/>
    <x v="3"/>
    <x v="3"/>
    <n v="265.39999999999998"/>
    <n v="3.1"/>
  </r>
  <r>
    <x v="13"/>
    <x v="21"/>
    <x v="4"/>
    <x v="4"/>
    <n v="159.69999999999999"/>
    <n v="6.2"/>
  </r>
  <r>
    <x v="13"/>
    <x v="21"/>
    <x v="5"/>
    <x v="5"/>
    <n v="54.8"/>
    <n v="52.1"/>
  </r>
  <r>
    <x v="13"/>
    <x v="21"/>
    <x v="6"/>
    <x v="6"/>
    <n v="34"/>
    <n v="63.1"/>
  </r>
  <r>
    <x v="13"/>
    <x v="21"/>
    <x v="7"/>
    <x v="7"/>
    <n v="49.7"/>
    <n v="40.4"/>
  </r>
  <r>
    <x v="13"/>
    <x v="21"/>
    <x v="8"/>
    <x v="8"/>
    <n v="56.7"/>
    <n v="56.1"/>
  </r>
  <r>
    <x v="13"/>
    <x v="21"/>
    <x v="9"/>
    <x v="9"/>
    <n v="165.8"/>
    <n v="2.8"/>
  </r>
  <r>
    <x v="13"/>
    <x v="21"/>
    <x v="10"/>
    <x v="10"/>
    <n v="332.4"/>
    <n v="0"/>
  </r>
  <r>
    <x v="13"/>
    <x v="21"/>
    <x v="11"/>
    <x v="11"/>
    <n v="341.9"/>
    <n v="0"/>
  </r>
  <r>
    <x v="14"/>
    <x v="21"/>
    <x v="0"/>
    <x v="0"/>
    <n v="407.4"/>
    <n v="0"/>
  </r>
  <r>
    <x v="14"/>
    <x v="21"/>
    <x v="1"/>
    <x v="1"/>
    <n v="286.10000000000002"/>
    <n v="0"/>
  </r>
  <r>
    <x v="14"/>
    <x v="21"/>
    <x v="2"/>
    <x v="2"/>
    <n v="298.39999999999998"/>
    <n v="3.5"/>
  </r>
  <r>
    <x v="14"/>
    <x v="21"/>
    <x v="3"/>
    <x v="3"/>
    <n v="241.4"/>
    <n v="7.6"/>
  </r>
  <r>
    <x v="14"/>
    <x v="21"/>
    <x v="4"/>
    <x v="4"/>
    <n v="169.1"/>
    <n v="11"/>
  </r>
  <r>
    <x v="14"/>
    <x v="21"/>
    <x v="5"/>
    <x v="5"/>
    <n v="42.2"/>
    <n v="70.7"/>
  </r>
  <r>
    <x v="14"/>
    <x v="21"/>
    <x v="6"/>
    <x v="6"/>
    <n v="36.1"/>
    <n v="67.400000000000006"/>
  </r>
  <r>
    <x v="14"/>
    <x v="21"/>
    <x v="7"/>
    <x v="7"/>
    <n v="47.6"/>
    <n v="55.5"/>
  </r>
  <r>
    <x v="14"/>
    <x v="21"/>
    <x v="8"/>
    <x v="8"/>
    <n v="46"/>
    <n v="78"/>
  </r>
  <r>
    <x v="14"/>
    <x v="21"/>
    <x v="9"/>
    <x v="9"/>
    <n v="160.69999999999999"/>
    <n v="3.1"/>
  </r>
  <r>
    <x v="14"/>
    <x v="21"/>
    <x v="10"/>
    <x v="10"/>
    <n v="323.60000000000002"/>
    <n v="0"/>
  </r>
  <r>
    <x v="14"/>
    <x v="21"/>
    <x v="11"/>
    <x v="11"/>
    <n v="328.4"/>
    <n v="0"/>
  </r>
  <r>
    <x v="12"/>
    <x v="22"/>
    <x v="0"/>
    <x v="0"/>
    <n v="396.3"/>
    <n v="0"/>
  </r>
  <r>
    <x v="12"/>
    <x v="22"/>
    <x v="1"/>
    <x v="1"/>
    <n v="286.10000000000002"/>
    <n v="0"/>
  </r>
  <r>
    <x v="12"/>
    <x v="22"/>
    <x v="2"/>
    <x v="2"/>
    <n v="239.8"/>
    <n v="3.1"/>
  </r>
  <r>
    <x v="12"/>
    <x v="22"/>
    <x v="3"/>
    <x v="3"/>
    <n v="192.3"/>
    <n v="8.1"/>
  </r>
  <r>
    <x v="12"/>
    <x v="22"/>
    <x v="4"/>
    <x v="4"/>
    <n v="81.8"/>
    <n v="50.2"/>
  </r>
  <r>
    <x v="12"/>
    <x v="22"/>
    <x v="5"/>
    <x v="5"/>
    <n v="35.5"/>
    <n v="92.6"/>
  </r>
  <r>
    <x v="12"/>
    <x v="22"/>
    <x v="6"/>
    <x v="6"/>
    <n v="18.8"/>
    <n v="166.9"/>
  </r>
  <r>
    <x v="12"/>
    <x v="22"/>
    <x v="7"/>
    <x v="7"/>
    <n v="10.7"/>
    <n v="163.80000000000001"/>
  </r>
  <r>
    <x v="12"/>
    <x v="22"/>
    <x v="8"/>
    <x v="8"/>
    <n v="74.7"/>
    <n v="59.2"/>
  </r>
  <r>
    <x v="12"/>
    <x v="22"/>
    <x v="9"/>
    <x v="9"/>
    <n v="73"/>
    <n v="28.5"/>
  </r>
  <r>
    <x v="12"/>
    <x v="22"/>
    <x v="10"/>
    <x v="10"/>
    <n v="227.5"/>
    <n v="0.3"/>
  </r>
  <r>
    <x v="12"/>
    <x v="22"/>
    <x v="11"/>
    <x v="11"/>
    <n v="380.8"/>
    <n v="0"/>
  </r>
  <r>
    <x v="13"/>
    <x v="22"/>
    <x v="0"/>
    <x v="0"/>
    <n v="398"/>
    <n v="0"/>
  </r>
  <r>
    <x v="13"/>
    <x v="22"/>
    <x v="1"/>
    <x v="1"/>
    <n v="297.39999999999998"/>
    <n v="0"/>
  </r>
  <r>
    <x v="13"/>
    <x v="22"/>
    <x v="2"/>
    <x v="2"/>
    <n v="264"/>
    <n v="1.2"/>
  </r>
  <r>
    <x v="13"/>
    <x v="22"/>
    <x v="3"/>
    <x v="3"/>
    <n v="212.7"/>
    <n v="4.4000000000000004"/>
  </r>
  <r>
    <x v="13"/>
    <x v="22"/>
    <x v="4"/>
    <x v="4"/>
    <n v="102.1"/>
    <n v="25.6"/>
  </r>
  <r>
    <x v="13"/>
    <x v="22"/>
    <x v="5"/>
    <x v="5"/>
    <n v="48"/>
    <n v="69.5"/>
  </r>
  <r>
    <x v="13"/>
    <x v="22"/>
    <x v="6"/>
    <x v="6"/>
    <n v="30"/>
    <n v="134.69999999999999"/>
  </r>
  <r>
    <x v="13"/>
    <x v="22"/>
    <x v="7"/>
    <x v="7"/>
    <n v="15.8"/>
    <n v="134.4"/>
  </r>
  <r>
    <x v="13"/>
    <x v="22"/>
    <x v="8"/>
    <x v="8"/>
    <n v="82.1"/>
    <n v="40.4"/>
  </r>
  <r>
    <x v="13"/>
    <x v="22"/>
    <x v="9"/>
    <x v="9"/>
    <n v="80.2"/>
    <n v="15.7"/>
  </r>
  <r>
    <x v="13"/>
    <x v="22"/>
    <x v="10"/>
    <x v="10"/>
    <n v="231"/>
    <n v="0"/>
  </r>
  <r>
    <x v="13"/>
    <x v="22"/>
    <x v="11"/>
    <x v="11"/>
    <n v="395.6"/>
    <n v="0"/>
  </r>
  <r>
    <x v="14"/>
    <x v="22"/>
    <x v="0"/>
    <x v="0"/>
    <n v="399.3"/>
    <n v="0"/>
  </r>
  <r>
    <x v="14"/>
    <x v="22"/>
    <x v="1"/>
    <x v="1"/>
    <n v="278.89999999999998"/>
    <n v="0"/>
  </r>
  <r>
    <x v="14"/>
    <x v="22"/>
    <x v="2"/>
    <x v="2"/>
    <n v="244.3"/>
    <n v="1.4"/>
  </r>
  <r>
    <x v="14"/>
    <x v="22"/>
    <x v="3"/>
    <x v="3"/>
    <n v="202"/>
    <n v="6.5"/>
  </r>
  <r>
    <x v="14"/>
    <x v="22"/>
    <x v="4"/>
    <x v="4"/>
    <n v="88.3"/>
    <n v="49.4"/>
  </r>
  <r>
    <x v="14"/>
    <x v="22"/>
    <x v="5"/>
    <x v="5"/>
    <n v="43"/>
    <n v="81.900000000000006"/>
  </r>
  <r>
    <x v="14"/>
    <x v="22"/>
    <x v="6"/>
    <x v="6"/>
    <n v="24.8"/>
    <n v="154.4"/>
  </r>
  <r>
    <x v="14"/>
    <x v="22"/>
    <x v="7"/>
    <x v="7"/>
    <n v="10.199999999999999"/>
    <n v="163.80000000000001"/>
  </r>
  <r>
    <x v="14"/>
    <x v="22"/>
    <x v="8"/>
    <x v="8"/>
    <n v="69.3"/>
    <n v="58.8"/>
  </r>
  <r>
    <x v="14"/>
    <x v="22"/>
    <x v="9"/>
    <x v="9"/>
    <n v="62.9"/>
    <n v="25.9"/>
  </r>
  <r>
    <x v="14"/>
    <x v="22"/>
    <x v="10"/>
    <x v="10"/>
    <n v="204.3"/>
    <n v="0.5"/>
  </r>
  <r>
    <x v="14"/>
    <x v="22"/>
    <x v="11"/>
    <x v="11"/>
    <n v="364.2"/>
    <n v="0"/>
  </r>
  <r>
    <x v="15"/>
    <x v="1"/>
    <x v="0"/>
    <x v="0"/>
    <n v="408.8"/>
    <n v="0"/>
  </r>
  <r>
    <x v="15"/>
    <x v="1"/>
    <x v="1"/>
    <x v="1"/>
    <n v="345"/>
    <n v="0"/>
  </r>
  <r>
    <x v="15"/>
    <x v="1"/>
    <x v="2"/>
    <x v="2"/>
    <n v="293.60000000000002"/>
    <n v="0"/>
  </r>
  <r>
    <x v="15"/>
    <x v="1"/>
    <x v="3"/>
    <x v="3"/>
    <n v="272.8"/>
    <n v="0.4"/>
  </r>
  <r>
    <x v="15"/>
    <x v="1"/>
    <x v="4"/>
    <x v="4"/>
    <n v="138.80000000000001"/>
    <n v="23.4"/>
  </r>
  <r>
    <x v="15"/>
    <x v="1"/>
    <x v="5"/>
    <x v="5"/>
    <n v="99.4"/>
    <n v="39.6"/>
  </r>
  <r>
    <x v="15"/>
    <x v="1"/>
    <x v="6"/>
    <x v="6"/>
    <n v="51.9"/>
    <n v="70.900000000000006"/>
  </r>
  <r>
    <x v="15"/>
    <x v="1"/>
    <x v="7"/>
    <x v="7"/>
    <n v="40.700000000000003"/>
    <n v="81.5"/>
  </r>
  <r>
    <x v="15"/>
    <x v="1"/>
    <x v="8"/>
    <x v="8"/>
    <n v="128"/>
    <n v="5.9"/>
  </r>
  <r>
    <x v="15"/>
    <x v="1"/>
    <x v="9"/>
    <x v="9"/>
    <n v="106.2"/>
    <n v="8.6999999999999993"/>
  </r>
  <r>
    <x v="15"/>
    <x v="1"/>
    <x v="10"/>
    <x v="10"/>
    <n v="338.9"/>
    <n v="0"/>
  </r>
  <r>
    <x v="15"/>
    <x v="1"/>
    <x v="11"/>
    <x v="11"/>
    <n v="459.7"/>
    <n v="0"/>
  </r>
  <r>
    <x v="15"/>
    <x v="2"/>
    <x v="0"/>
    <x v="0"/>
    <n v="371.3"/>
    <n v="0"/>
  </r>
  <r>
    <x v="15"/>
    <x v="2"/>
    <x v="1"/>
    <x v="1"/>
    <n v="287"/>
    <n v="0"/>
  </r>
  <r>
    <x v="15"/>
    <x v="2"/>
    <x v="2"/>
    <x v="2"/>
    <n v="300.8"/>
    <n v="0"/>
  </r>
  <r>
    <x v="15"/>
    <x v="2"/>
    <x v="3"/>
    <x v="3"/>
    <n v="238.8"/>
    <n v="2.5"/>
  </r>
  <r>
    <x v="15"/>
    <x v="2"/>
    <x v="4"/>
    <x v="4"/>
    <n v="167.9"/>
    <n v="9.6"/>
  </r>
  <r>
    <x v="15"/>
    <x v="2"/>
    <x v="5"/>
    <x v="5"/>
    <n v="84.8"/>
    <n v="34.1"/>
  </r>
  <r>
    <x v="15"/>
    <x v="2"/>
    <x v="6"/>
    <x v="6"/>
    <n v="67"/>
    <n v="47.2"/>
  </r>
  <r>
    <x v="15"/>
    <x v="2"/>
    <x v="7"/>
    <x v="7"/>
    <n v="53.9"/>
    <n v="47.9"/>
  </r>
  <r>
    <x v="15"/>
    <x v="2"/>
    <x v="8"/>
    <x v="8"/>
    <n v="108.5"/>
    <n v="15.6"/>
  </r>
  <r>
    <x v="15"/>
    <x v="2"/>
    <x v="9"/>
    <x v="9"/>
    <n v="184.7"/>
    <n v="2.1"/>
  </r>
  <r>
    <x v="15"/>
    <x v="2"/>
    <x v="10"/>
    <x v="10"/>
    <n v="265.5"/>
    <n v="0"/>
  </r>
  <r>
    <x v="15"/>
    <x v="2"/>
    <x v="11"/>
    <x v="11"/>
    <n v="338.4"/>
    <n v="0"/>
  </r>
  <r>
    <x v="15"/>
    <x v="3"/>
    <x v="0"/>
    <x v="0"/>
    <n v="461"/>
    <n v="0"/>
  </r>
  <r>
    <x v="15"/>
    <x v="3"/>
    <x v="1"/>
    <x v="1"/>
    <n v="388.2"/>
    <n v="0"/>
  </r>
  <r>
    <x v="15"/>
    <x v="3"/>
    <x v="2"/>
    <x v="2"/>
    <n v="256.10000000000002"/>
    <n v="2.9"/>
  </r>
  <r>
    <x v="15"/>
    <x v="3"/>
    <x v="3"/>
    <x v="3"/>
    <n v="224.5"/>
    <n v="9.3000000000000007"/>
  </r>
  <r>
    <x v="15"/>
    <x v="3"/>
    <x v="4"/>
    <x v="4"/>
    <n v="156.9"/>
    <n v="16.600000000000001"/>
  </r>
  <r>
    <x v="15"/>
    <x v="3"/>
    <x v="5"/>
    <x v="5"/>
    <n v="35.5"/>
    <n v="78"/>
  </r>
  <r>
    <x v="15"/>
    <x v="3"/>
    <x v="6"/>
    <x v="6"/>
    <n v="38.799999999999997"/>
    <n v="73.5"/>
  </r>
  <r>
    <x v="15"/>
    <x v="3"/>
    <x v="7"/>
    <x v="7"/>
    <n v="27.2"/>
    <n v="162.4"/>
  </r>
  <r>
    <x v="15"/>
    <x v="3"/>
    <x v="8"/>
    <x v="8"/>
    <n v="104.6"/>
    <n v="38.9"/>
  </r>
  <r>
    <x v="15"/>
    <x v="3"/>
    <x v="9"/>
    <x v="9"/>
    <n v="260.8"/>
    <n v="2.5"/>
  </r>
  <r>
    <x v="15"/>
    <x v="3"/>
    <x v="10"/>
    <x v="10"/>
    <n v="279.8"/>
    <n v="0"/>
  </r>
  <r>
    <x v="15"/>
    <x v="3"/>
    <x v="11"/>
    <x v="11"/>
    <n v="404.4"/>
    <n v="0"/>
  </r>
  <r>
    <x v="15"/>
    <x v="4"/>
    <x v="0"/>
    <x v="0"/>
    <n v="392.8"/>
    <n v="0"/>
  </r>
  <r>
    <x v="15"/>
    <x v="4"/>
    <x v="1"/>
    <x v="1"/>
    <n v="369.5"/>
    <n v="0"/>
  </r>
  <r>
    <x v="15"/>
    <x v="4"/>
    <x v="2"/>
    <x v="2"/>
    <n v="364.4"/>
    <n v="0.6"/>
  </r>
  <r>
    <x v="15"/>
    <x v="4"/>
    <x v="3"/>
    <x v="3"/>
    <n v="250.7"/>
    <n v="0.7"/>
  </r>
  <r>
    <x v="15"/>
    <x v="4"/>
    <x v="4"/>
    <x v="4"/>
    <n v="186.6"/>
    <n v="10.6"/>
  </r>
  <r>
    <x v="15"/>
    <x v="4"/>
    <x v="5"/>
    <x v="5"/>
    <n v="81.900000000000006"/>
    <n v="37.700000000000003"/>
  </r>
  <r>
    <x v="15"/>
    <x v="4"/>
    <x v="6"/>
    <x v="6"/>
    <n v="65.599999999999994"/>
    <n v="51.9"/>
  </r>
  <r>
    <x v="15"/>
    <x v="4"/>
    <x v="7"/>
    <x v="7"/>
    <n v="39.700000000000003"/>
    <n v="71.3"/>
  </r>
  <r>
    <x v="15"/>
    <x v="4"/>
    <x v="8"/>
    <x v="8"/>
    <n v="90.8"/>
    <n v="43.5"/>
  </r>
  <r>
    <x v="15"/>
    <x v="4"/>
    <x v="9"/>
    <x v="9"/>
    <n v="188"/>
    <n v="2.8"/>
  </r>
  <r>
    <x v="15"/>
    <x v="4"/>
    <x v="10"/>
    <x v="10"/>
    <n v="311.8"/>
    <n v="0"/>
  </r>
  <r>
    <x v="15"/>
    <x v="4"/>
    <x v="11"/>
    <x v="11"/>
    <n v="443.1"/>
    <n v="0"/>
  </r>
  <r>
    <x v="15"/>
    <x v="5"/>
    <x v="0"/>
    <x v="0"/>
    <n v="385.2"/>
    <n v="0"/>
  </r>
  <r>
    <x v="15"/>
    <x v="5"/>
    <x v="1"/>
    <x v="1"/>
    <n v="412.1"/>
    <n v="0"/>
  </r>
  <r>
    <x v="15"/>
    <x v="5"/>
    <x v="2"/>
    <x v="2"/>
    <n v="343.9"/>
    <n v="1.9"/>
  </r>
  <r>
    <x v="15"/>
    <x v="5"/>
    <x v="3"/>
    <x v="3"/>
    <n v="238.1"/>
    <n v="3"/>
  </r>
  <r>
    <x v="15"/>
    <x v="5"/>
    <x v="4"/>
    <x v="4"/>
    <n v="163.19999999999999"/>
    <n v="15.2"/>
  </r>
  <r>
    <x v="15"/>
    <x v="5"/>
    <x v="5"/>
    <x v="5"/>
    <n v="72.7"/>
    <n v="71.599999999999994"/>
  </r>
  <r>
    <x v="15"/>
    <x v="5"/>
    <x v="6"/>
    <x v="6"/>
    <n v="41.3"/>
    <n v="71.099999999999994"/>
  </r>
  <r>
    <x v="15"/>
    <x v="5"/>
    <x v="7"/>
    <x v="7"/>
    <n v="69.5"/>
    <n v="57.7"/>
  </r>
  <r>
    <x v="15"/>
    <x v="5"/>
    <x v="8"/>
    <x v="8"/>
    <n v="91.7"/>
    <n v="47.1"/>
  </r>
  <r>
    <x v="15"/>
    <x v="5"/>
    <x v="9"/>
    <x v="9"/>
    <n v="107.6"/>
    <n v="13.5"/>
  </r>
  <r>
    <x v="15"/>
    <x v="5"/>
    <x v="10"/>
    <x v="10"/>
    <n v="345.7"/>
    <n v="0"/>
  </r>
  <r>
    <x v="15"/>
    <x v="5"/>
    <x v="11"/>
    <x v="11"/>
    <n v="451"/>
    <n v="0"/>
  </r>
  <r>
    <x v="15"/>
    <x v="6"/>
    <x v="0"/>
    <x v="0"/>
    <n v="454.8"/>
    <n v="0"/>
  </r>
  <r>
    <x v="15"/>
    <x v="6"/>
    <x v="1"/>
    <x v="1"/>
    <n v="415.7"/>
    <n v="0"/>
  </r>
  <r>
    <x v="15"/>
    <x v="6"/>
    <x v="2"/>
    <x v="2"/>
    <n v="371.6"/>
    <n v="0"/>
  </r>
  <r>
    <x v="15"/>
    <x v="6"/>
    <x v="3"/>
    <x v="3"/>
    <n v="255.6"/>
    <n v="2.2999999999999998"/>
  </r>
  <r>
    <x v="15"/>
    <x v="6"/>
    <x v="4"/>
    <x v="4"/>
    <n v="134"/>
    <n v="11.8"/>
  </r>
  <r>
    <x v="15"/>
    <x v="6"/>
    <x v="5"/>
    <x v="5"/>
    <n v="71.400000000000006"/>
    <n v="58.7"/>
  </r>
  <r>
    <x v="15"/>
    <x v="6"/>
    <x v="6"/>
    <x v="6"/>
    <n v="15.3"/>
    <n v="144.30000000000001"/>
  </r>
  <r>
    <x v="15"/>
    <x v="6"/>
    <x v="7"/>
    <x v="7"/>
    <n v="66.3"/>
    <n v="37"/>
  </r>
  <r>
    <x v="15"/>
    <x v="6"/>
    <x v="8"/>
    <x v="8"/>
    <n v="47.9"/>
    <n v="57.3"/>
  </r>
  <r>
    <x v="15"/>
    <x v="6"/>
    <x v="9"/>
    <x v="9"/>
    <n v="122"/>
    <n v="3"/>
  </r>
  <r>
    <x v="15"/>
    <x v="6"/>
    <x v="10"/>
    <x v="10"/>
    <n v="288.3"/>
    <n v="0"/>
  </r>
  <r>
    <x v="15"/>
    <x v="6"/>
    <x v="11"/>
    <x v="11"/>
    <n v="407.8"/>
    <n v="0"/>
  </r>
  <r>
    <x v="15"/>
    <x v="7"/>
    <x v="0"/>
    <x v="0"/>
    <n v="346.7"/>
    <n v="0"/>
  </r>
  <r>
    <x v="15"/>
    <x v="7"/>
    <x v="1"/>
    <x v="1"/>
    <n v="285.5"/>
    <n v="0"/>
  </r>
  <r>
    <x v="15"/>
    <x v="7"/>
    <x v="2"/>
    <x v="2"/>
    <n v="327.39999999999998"/>
    <n v="0"/>
  </r>
  <r>
    <x v="15"/>
    <x v="7"/>
    <x v="3"/>
    <x v="3"/>
    <n v="150"/>
    <n v="20.5"/>
  </r>
  <r>
    <x v="15"/>
    <x v="7"/>
    <x v="4"/>
    <x v="4"/>
    <n v="124.6"/>
    <n v="11.5"/>
  </r>
  <r>
    <x v="15"/>
    <x v="7"/>
    <x v="5"/>
    <x v="5"/>
    <n v="68.8"/>
    <n v="28.3"/>
  </r>
  <r>
    <x v="15"/>
    <x v="7"/>
    <x v="6"/>
    <x v="6"/>
    <n v="57.5"/>
    <n v="32.1"/>
  </r>
  <r>
    <x v="15"/>
    <x v="7"/>
    <x v="7"/>
    <x v="7"/>
    <n v="69.900000000000006"/>
    <n v="29.6"/>
  </r>
  <r>
    <x v="15"/>
    <x v="7"/>
    <x v="8"/>
    <x v="8"/>
    <n v="135.69999999999999"/>
    <n v="13.3"/>
  </r>
  <r>
    <x v="15"/>
    <x v="7"/>
    <x v="9"/>
    <x v="9"/>
    <n v="222.8"/>
    <n v="2.4"/>
  </r>
  <r>
    <x v="15"/>
    <x v="7"/>
    <x v="10"/>
    <x v="10"/>
    <n v="332.7"/>
    <n v="0"/>
  </r>
  <r>
    <x v="15"/>
    <x v="7"/>
    <x v="11"/>
    <x v="11"/>
    <n v="427.2"/>
    <n v="0"/>
  </r>
  <r>
    <x v="15"/>
    <x v="8"/>
    <x v="0"/>
    <x v="0"/>
    <n v="362.3"/>
    <n v="0"/>
  </r>
  <r>
    <x v="15"/>
    <x v="8"/>
    <x v="1"/>
    <x v="1"/>
    <n v="342.2"/>
    <n v="0"/>
  </r>
  <r>
    <x v="15"/>
    <x v="8"/>
    <x v="2"/>
    <x v="2"/>
    <n v="340.3"/>
    <n v="0"/>
  </r>
  <r>
    <x v="15"/>
    <x v="8"/>
    <x v="3"/>
    <x v="3"/>
    <n v="265.2"/>
    <n v="1.4"/>
  </r>
  <r>
    <x v="15"/>
    <x v="8"/>
    <x v="4"/>
    <x v="4"/>
    <n v="108.7"/>
    <n v="23.9"/>
  </r>
  <r>
    <x v="15"/>
    <x v="8"/>
    <x v="5"/>
    <x v="5"/>
    <n v="84.6"/>
    <n v="30.2"/>
  </r>
  <r>
    <x v="15"/>
    <x v="8"/>
    <x v="6"/>
    <x v="6"/>
    <n v="63.3"/>
    <n v="51.4"/>
  </r>
  <r>
    <x v="15"/>
    <x v="8"/>
    <x v="7"/>
    <x v="7"/>
    <n v="53.5"/>
    <n v="42.3"/>
  </r>
  <r>
    <x v="15"/>
    <x v="8"/>
    <x v="8"/>
    <x v="8"/>
    <n v="141.4"/>
    <n v="4.8"/>
  </r>
  <r>
    <x v="15"/>
    <x v="8"/>
    <x v="9"/>
    <x v="9"/>
    <n v="245.3"/>
    <n v="2.1"/>
  </r>
  <r>
    <x v="15"/>
    <x v="8"/>
    <x v="10"/>
    <x v="10"/>
    <n v="299.60000000000002"/>
    <n v="0"/>
  </r>
  <r>
    <x v="15"/>
    <x v="8"/>
    <x v="11"/>
    <x v="11"/>
    <n v="456.2"/>
    <n v="0"/>
  </r>
  <r>
    <x v="15"/>
    <x v="9"/>
    <x v="0"/>
    <x v="0"/>
    <n v="515.5"/>
    <n v="0"/>
  </r>
  <r>
    <x v="15"/>
    <x v="9"/>
    <x v="1"/>
    <x v="1"/>
    <n v="387"/>
    <n v="0"/>
  </r>
  <r>
    <x v="15"/>
    <x v="9"/>
    <x v="2"/>
    <x v="2"/>
    <n v="341.3"/>
    <n v="0"/>
  </r>
  <r>
    <x v="15"/>
    <x v="9"/>
    <x v="3"/>
    <x v="3"/>
    <n v="218.2"/>
    <n v="0.7"/>
  </r>
  <r>
    <x v="15"/>
    <x v="9"/>
    <x v="4"/>
    <x v="4"/>
    <n v="151.5"/>
    <n v="12.9"/>
  </r>
  <r>
    <x v="15"/>
    <x v="9"/>
    <x v="5"/>
    <x v="5"/>
    <n v="87.7"/>
    <n v="41.8"/>
  </r>
  <r>
    <x v="15"/>
    <x v="9"/>
    <x v="6"/>
    <x v="6"/>
    <n v="49.7"/>
    <n v="56"/>
  </r>
  <r>
    <x v="15"/>
    <x v="9"/>
    <x v="7"/>
    <x v="7"/>
    <n v="48.4"/>
    <n v="73.7"/>
  </r>
  <r>
    <x v="15"/>
    <x v="9"/>
    <x v="8"/>
    <x v="8"/>
    <n v="86.4"/>
    <n v="34.6"/>
  </r>
  <r>
    <x v="15"/>
    <x v="9"/>
    <x v="9"/>
    <x v="9"/>
    <n v="193.6"/>
    <n v="6.9"/>
  </r>
  <r>
    <x v="15"/>
    <x v="9"/>
    <x v="10"/>
    <x v="10"/>
    <n v="251.2"/>
    <n v="0"/>
  </r>
  <r>
    <x v="15"/>
    <x v="9"/>
    <x v="11"/>
    <x v="11"/>
    <n v="450.7"/>
    <n v="0"/>
  </r>
  <r>
    <x v="15"/>
    <x v="10"/>
    <x v="0"/>
    <x v="0"/>
    <n v="535.1"/>
    <n v="0"/>
  </r>
  <r>
    <x v="15"/>
    <x v="10"/>
    <x v="1"/>
    <x v="1"/>
    <n v="394.1"/>
    <n v="0"/>
  </r>
  <r>
    <x v="15"/>
    <x v="10"/>
    <x v="2"/>
    <x v="2"/>
    <n v="345.9"/>
    <n v="0.1"/>
  </r>
  <r>
    <x v="15"/>
    <x v="10"/>
    <x v="3"/>
    <x v="3"/>
    <n v="243.1"/>
    <n v="5.0999999999999996"/>
  </r>
  <r>
    <x v="15"/>
    <x v="10"/>
    <x v="4"/>
    <x v="4"/>
    <n v="204.1"/>
    <n v="13"/>
  </r>
  <r>
    <x v="15"/>
    <x v="10"/>
    <x v="5"/>
    <x v="5"/>
    <n v="75.900000000000006"/>
    <n v="43.8"/>
  </r>
  <r>
    <x v="15"/>
    <x v="10"/>
    <x v="6"/>
    <x v="6"/>
    <n v="36.1"/>
    <n v="97"/>
  </r>
  <r>
    <x v="15"/>
    <x v="10"/>
    <x v="7"/>
    <x v="7"/>
    <n v="66.900000000000006"/>
    <n v="46.5"/>
  </r>
  <r>
    <x v="15"/>
    <x v="10"/>
    <x v="8"/>
    <x v="8"/>
    <n v="117.6"/>
    <n v="27.3"/>
  </r>
  <r>
    <x v="15"/>
    <x v="10"/>
    <x v="9"/>
    <x v="9"/>
    <n v="210.1"/>
    <n v="7.1"/>
  </r>
  <r>
    <x v="15"/>
    <x v="10"/>
    <x v="10"/>
    <x v="10"/>
    <n v="347.3"/>
    <n v="0"/>
  </r>
  <r>
    <x v="15"/>
    <x v="10"/>
    <x v="11"/>
    <x v="11"/>
    <n v="537"/>
    <n v="0"/>
  </r>
  <r>
    <x v="15"/>
    <x v="11"/>
    <x v="0"/>
    <x v="0"/>
    <n v="423.6"/>
    <n v="0"/>
  </r>
  <r>
    <x v="15"/>
    <x v="11"/>
    <x v="1"/>
    <x v="1"/>
    <n v="317.7"/>
    <n v="0"/>
  </r>
  <r>
    <x v="15"/>
    <x v="11"/>
    <x v="2"/>
    <x v="2"/>
    <n v="302.89999999999998"/>
    <n v="0.5"/>
  </r>
  <r>
    <x v="15"/>
    <x v="11"/>
    <x v="3"/>
    <x v="3"/>
    <n v="166.6"/>
    <n v="17"/>
  </r>
  <r>
    <x v="15"/>
    <x v="11"/>
    <x v="4"/>
    <x v="4"/>
    <n v="139.30000000000001"/>
    <n v="19"/>
  </r>
  <r>
    <x v="15"/>
    <x v="11"/>
    <x v="5"/>
    <x v="5"/>
    <n v="87"/>
    <n v="39"/>
  </r>
  <r>
    <x v="15"/>
    <x v="11"/>
    <x v="6"/>
    <x v="6"/>
    <n v="73.900000000000006"/>
    <n v="33.700000000000003"/>
  </r>
  <r>
    <x v="15"/>
    <x v="11"/>
    <x v="7"/>
    <x v="7"/>
    <n v="56.7"/>
    <n v="48.9"/>
  </r>
  <r>
    <x v="15"/>
    <x v="11"/>
    <x v="8"/>
    <x v="8"/>
    <n v="77.099999999999994"/>
    <n v="37.9"/>
  </r>
  <r>
    <x v="15"/>
    <x v="11"/>
    <x v="9"/>
    <x v="9"/>
    <n v="175.3"/>
    <n v="10.7"/>
  </r>
  <r>
    <x v="15"/>
    <x v="11"/>
    <x v="10"/>
    <x v="10"/>
    <n v="247.4"/>
    <n v="0"/>
  </r>
  <r>
    <x v="15"/>
    <x v="11"/>
    <x v="11"/>
    <x v="11"/>
    <n v="339.9"/>
    <n v="0"/>
  </r>
  <r>
    <x v="15"/>
    <x v="12"/>
    <x v="0"/>
    <x v="0"/>
    <n v="372.6"/>
    <n v="0"/>
  </r>
  <r>
    <x v="15"/>
    <x v="12"/>
    <x v="1"/>
    <x v="1"/>
    <n v="470.5"/>
    <n v="0"/>
  </r>
  <r>
    <x v="15"/>
    <x v="12"/>
    <x v="2"/>
    <x v="2"/>
    <n v="276"/>
    <n v="3"/>
  </r>
  <r>
    <x v="15"/>
    <x v="12"/>
    <x v="3"/>
    <x v="3"/>
    <n v="292.8"/>
    <n v="0"/>
  </r>
  <r>
    <x v="15"/>
    <x v="12"/>
    <x v="4"/>
    <x v="4"/>
    <n v="159.80000000000001"/>
    <n v="20.399999999999999"/>
  </r>
  <r>
    <x v="15"/>
    <x v="12"/>
    <x v="5"/>
    <x v="5"/>
    <n v="87.3"/>
    <n v="23.1"/>
  </r>
  <r>
    <x v="15"/>
    <x v="12"/>
    <x v="6"/>
    <x v="6"/>
    <n v="71.400000000000006"/>
    <n v="41.3"/>
  </r>
  <r>
    <x v="15"/>
    <x v="12"/>
    <x v="7"/>
    <x v="7"/>
    <n v="50.2"/>
    <n v="70.8"/>
  </r>
  <r>
    <x v="15"/>
    <x v="12"/>
    <x v="8"/>
    <x v="8"/>
    <n v="123.9"/>
    <n v="19.7"/>
  </r>
  <r>
    <x v="15"/>
    <x v="12"/>
    <x v="9"/>
    <x v="9"/>
    <n v="188.4"/>
    <n v="1.2"/>
  </r>
  <r>
    <x v="15"/>
    <x v="12"/>
    <x v="10"/>
    <x v="10"/>
    <n v="326.8"/>
    <n v="0"/>
  </r>
  <r>
    <x v="15"/>
    <x v="12"/>
    <x v="11"/>
    <x v="11"/>
    <n v="362.6"/>
    <n v="0"/>
  </r>
  <r>
    <x v="15"/>
    <x v="13"/>
    <x v="0"/>
    <x v="0"/>
    <n v="432.5"/>
    <n v="0"/>
  </r>
  <r>
    <x v="15"/>
    <x v="13"/>
    <x v="1"/>
    <x v="1"/>
    <n v="414.1"/>
    <n v="0"/>
  </r>
  <r>
    <x v="15"/>
    <x v="13"/>
    <x v="2"/>
    <x v="2"/>
    <n v="408.6"/>
    <n v="0"/>
  </r>
  <r>
    <x v="15"/>
    <x v="13"/>
    <x v="3"/>
    <x v="3"/>
    <n v="275.89999999999998"/>
    <n v="5.3"/>
  </r>
  <r>
    <x v="15"/>
    <x v="13"/>
    <x v="4"/>
    <x v="4"/>
    <n v="217.2"/>
    <n v="1.6"/>
  </r>
  <r>
    <x v="15"/>
    <x v="13"/>
    <x v="5"/>
    <x v="5"/>
    <n v="92"/>
    <n v="23.6"/>
  </r>
  <r>
    <x v="15"/>
    <x v="13"/>
    <x v="6"/>
    <x v="6"/>
    <n v="27"/>
    <n v="113.8"/>
  </r>
  <r>
    <x v="15"/>
    <x v="13"/>
    <x v="7"/>
    <x v="7"/>
    <n v="54.9"/>
    <n v="71.900000000000006"/>
  </r>
  <r>
    <x v="15"/>
    <x v="13"/>
    <x v="8"/>
    <x v="8"/>
    <n v="87.4"/>
    <n v="31.9"/>
  </r>
  <r>
    <x v="15"/>
    <x v="13"/>
    <x v="9"/>
    <x v="9"/>
    <n v="150"/>
    <n v="5.5"/>
  </r>
  <r>
    <x v="15"/>
    <x v="13"/>
    <x v="10"/>
    <x v="10"/>
    <n v="327.7"/>
    <n v="0"/>
  </r>
  <r>
    <x v="15"/>
    <x v="13"/>
    <x v="11"/>
    <x v="11"/>
    <n v="402"/>
    <n v="0"/>
  </r>
  <r>
    <x v="15"/>
    <x v="14"/>
    <x v="0"/>
    <x v="0"/>
    <n v="352.1"/>
    <n v="0"/>
  </r>
  <r>
    <x v="15"/>
    <x v="14"/>
    <x v="1"/>
    <x v="1"/>
    <n v="316"/>
    <n v="0"/>
  </r>
  <r>
    <x v="15"/>
    <x v="14"/>
    <x v="2"/>
    <x v="2"/>
    <n v="290.8"/>
    <n v="0.8"/>
  </r>
  <r>
    <x v="15"/>
    <x v="14"/>
    <x v="3"/>
    <x v="3"/>
    <n v="211.9"/>
    <n v="1.2"/>
  </r>
  <r>
    <x v="15"/>
    <x v="14"/>
    <x v="4"/>
    <x v="4"/>
    <n v="164.7"/>
    <n v="4.5999999999999996"/>
  </r>
  <r>
    <x v="15"/>
    <x v="14"/>
    <x v="5"/>
    <x v="5"/>
    <n v="74.7"/>
    <n v="34.299999999999997"/>
  </r>
  <r>
    <x v="15"/>
    <x v="14"/>
    <x v="6"/>
    <x v="6"/>
    <n v="40.1"/>
    <n v="68.8"/>
  </r>
  <r>
    <x v="15"/>
    <x v="14"/>
    <x v="7"/>
    <x v="7"/>
    <n v="75.2"/>
    <n v="25.5"/>
  </r>
  <r>
    <x v="15"/>
    <x v="14"/>
    <x v="8"/>
    <x v="8"/>
    <n v="60.2"/>
    <n v="34.299999999999997"/>
  </r>
  <r>
    <x v="15"/>
    <x v="14"/>
    <x v="9"/>
    <x v="9"/>
    <n v="162.4"/>
    <n v="7.1"/>
  </r>
  <r>
    <x v="15"/>
    <x v="14"/>
    <x v="10"/>
    <x v="10"/>
    <n v="248"/>
    <n v="0"/>
  </r>
  <r>
    <x v="15"/>
    <x v="14"/>
    <x v="11"/>
    <x v="11"/>
    <n v="389.3"/>
    <n v="0"/>
  </r>
  <r>
    <x v="15"/>
    <x v="15"/>
    <x v="0"/>
    <x v="0"/>
    <n v="414.4"/>
    <n v="0"/>
  </r>
  <r>
    <x v="15"/>
    <x v="15"/>
    <x v="1"/>
    <x v="1"/>
    <n v="392.8"/>
    <n v="0"/>
  </r>
  <r>
    <x v="15"/>
    <x v="15"/>
    <x v="2"/>
    <x v="2"/>
    <n v="329.9"/>
    <n v="0.1"/>
  </r>
  <r>
    <x v="15"/>
    <x v="15"/>
    <x v="3"/>
    <x v="3"/>
    <n v="207.5"/>
    <n v="8.8000000000000007"/>
  </r>
  <r>
    <x v="15"/>
    <x v="15"/>
    <x v="4"/>
    <x v="4"/>
    <n v="157.30000000000001"/>
    <n v="6.6"/>
  </r>
  <r>
    <x v="15"/>
    <x v="15"/>
    <x v="5"/>
    <x v="5"/>
    <n v="79.599999999999994"/>
    <n v="45.5"/>
  </r>
  <r>
    <x v="15"/>
    <x v="15"/>
    <x v="6"/>
    <x v="6"/>
    <n v="46.7"/>
    <n v="83.7"/>
  </r>
  <r>
    <x v="15"/>
    <x v="15"/>
    <x v="7"/>
    <x v="7"/>
    <n v="50.7"/>
    <n v="82"/>
  </r>
  <r>
    <x v="15"/>
    <x v="15"/>
    <x v="8"/>
    <x v="8"/>
    <n v="126"/>
    <n v="6.1"/>
  </r>
  <r>
    <x v="15"/>
    <x v="15"/>
    <x v="9"/>
    <x v="9"/>
    <n v="210.8"/>
    <n v="1.3"/>
  </r>
  <r>
    <x v="15"/>
    <x v="15"/>
    <x v="10"/>
    <x v="10"/>
    <n v="214.6"/>
    <n v="1"/>
  </r>
  <r>
    <x v="15"/>
    <x v="15"/>
    <x v="11"/>
    <x v="11"/>
    <n v="285.2"/>
    <n v="0"/>
  </r>
  <r>
    <x v="15"/>
    <x v="16"/>
    <x v="0"/>
    <x v="0"/>
    <n v="388.5"/>
    <n v="0"/>
  </r>
  <r>
    <x v="15"/>
    <x v="16"/>
    <x v="1"/>
    <x v="1"/>
    <n v="351.3"/>
    <n v="0"/>
  </r>
  <r>
    <x v="15"/>
    <x v="16"/>
    <x v="2"/>
    <x v="2"/>
    <n v="358.1"/>
    <n v="0"/>
  </r>
  <r>
    <x v="15"/>
    <x v="16"/>
    <x v="3"/>
    <x v="3"/>
    <n v="284.5"/>
    <n v="0.7"/>
  </r>
  <r>
    <x v="15"/>
    <x v="16"/>
    <x v="4"/>
    <x v="4"/>
    <n v="155.80000000000001"/>
    <n v="8.9"/>
  </r>
  <r>
    <x v="15"/>
    <x v="16"/>
    <x v="5"/>
    <x v="5"/>
    <n v="73.5"/>
    <n v="25.5"/>
  </r>
  <r>
    <x v="15"/>
    <x v="16"/>
    <x v="6"/>
    <x v="6"/>
    <n v="49.3"/>
    <n v="70.099999999999994"/>
  </r>
  <r>
    <x v="15"/>
    <x v="16"/>
    <x v="7"/>
    <x v="7"/>
    <n v="47.5"/>
    <n v="90.4"/>
  </r>
  <r>
    <x v="15"/>
    <x v="16"/>
    <x v="8"/>
    <x v="8"/>
    <n v="61.4"/>
    <n v="52"/>
  </r>
  <r>
    <x v="15"/>
    <x v="16"/>
    <x v="9"/>
    <x v="9"/>
    <n v="228.7"/>
    <n v="0.6"/>
  </r>
  <r>
    <x v="15"/>
    <x v="16"/>
    <x v="10"/>
    <x v="10"/>
    <n v="312.10000000000002"/>
    <n v="0"/>
  </r>
  <r>
    <x v="15"/>
    <x v="16"/>
    <x v="11"/>
    <x v="11"/>
    <n v="431.7"/>
    <n v="0"/>
  </r>
  <r>
    <x v="15"/>
    <x v="17"/>
    <x v="0"/>
    <x v="0"/>
    <n v="484.7"/>
    <n v="0"/>
  </r>
  <r>
    <x v="15"/>
    <x v="17"/>
    <x v="1"/>
    <x v="1"/>
    <n v="314.8"/>
    <n v="0"/>
  </r>
  <r>
    <x v="15"/>
    <x v="17"/>
    <x v="2"/>
    <x v="2"/>
    <n v="258.39999999999998"/>
    <n v="1.4"/>
  </r>
  <r>
    <x v="15"/>
    <x v="17"/>
    <x v="3"/>
    <x v="3"/>
    <n v="265.2"/>
    <n v="2.8"/>
  </r>
  <r>
    <x v="15"/>
    <x v="17"/>
    <x v="4"/>
    <x v="4"/>
    <n v="127.4"/>
    <n v="30.9"/>
  </r>
  <r>
    <x v="15"/>
    <x v="17"/>
    <x v="5"/>
    <x v="5"/>
    <n v="54.3"/>
    <n v="78.7"/>
  </r>
  <r>
    <x v="15"/>
    <x v="17"/>
    <x v="6"/>
    <x v="6"/>
    <n v="38.9"/>
    <n v="85.4"/>
  </r>
  <r>
    <x v="15"/>
    <x v="17"/>
    <x v="7"/>
    <x v="7"/>
    <n v="50.9"/>
    <n v="66.900000000000006"/>
  </r>
  <r>
    <x v="15"/>
    <x v="17"/>
    <x v="8"/>
    <x v="8"/>
    <n v="117.5"/>
    <n v="8.1"/>
  </r>
  <r>
    <x v="15"/>
    <x v="17"/>
    <x v="9"/>
    <x v="9"/>
    <n v="146.5"/>
    <n v="6.9"/>
  </r>
  <r>
    <x v="15"/>
    <x v="17"/>
    <x v="10"/>
    <x v="10"/>
    <n v="311.60000000000002"/>
    <n v="0"/>
  </r>
  <r>
    <x v="15"/>
    <x v="17"/>
    <x v="11"/>
    <x v="11"/>
    <n v="384.1"/>
    <n v="0"/>
  </r>
  <r>
    <x v="15"/>
    <x v="18"/>
    <x v="0"/>
    <x v="0"/>
    <n v="331.1"/>
    <n v="0"/>
  </r>
  <r>
    <x v="15"/>
    <x v="18"/>
    <x v="1"/>
    <x v="1"/>
    <n v="443.8"/>
    <n v="0"/>
  </r>
  <r>
    <x v="15"/>
    <x v="18"/>
    <x v="2"/>
    <x v="2"/>
    <n v="344.3"/>
    <n v="0"/>
  </r>
  <r>
    <x v="15"/>
    <x v="18"/>
    <x v="3"/>
    <x v="3"/>
    <n v="185.8"/>
    <n v="12.5"/>
  </r>
  <r>
    <x v="15"/>
    <x v="18"/>
    <x v="4"/>
    <x v="4"/>
    <n v="118.1"/>
    <n v="33.5"/>
  </r>
  <r>
    <x v="15"/>
    <x v="18"/>
    <x v="5"/>
    <x v="5"/>
    <n v="42.2"/>
    <n v="56"/>
  </r>
  <r>
    <x v="15"/>
    <x v="18"/>
    <x v="6"/>
    <x v="6"/>
    <n v="13.3"/>
    <n v="131.30000000000001"/>
  </r>
  <r>
    <x v="15"/>
    <x v="18"/>
    <x v="7"/>
    <x v="7"/>
    <n v="39.4"/>
    <n v="100.4"/>
  </r>
  <r>
    <x v="15"/>
    <x v="18"/>
    <x v="8"/>
    <x v="8"/>
    <n v="102.4"/>
    <n v="39.799999999999997"/>
  </r>
  <r>
    <x v="15"/>
    <x v="18"/>
    <x v="9"/>
    <x v="9"/>
    <n v="186.8"/>
    <n v="13.7"/>
  </r>
  <r>
    <x v="15"/>
    <x v="18"/>
    <x v="10"/>
    <x v="10"/>
    <n v="314.60000000000002"/>
    <n v="0"/>
  </r>
  <r>
    <x v="15"/>
    <x v="18"/>
    <x v="11"/>
    <x v="11"/>
    <n v="347"/>
    <n v="0"/>
  </r>
  <r>
    <x v="15"/>
    <x v="19"/>
    <x v="0"/>
    <x v="0"/>
    <n v="424.4"/>
    <n v="0"/>
  </r>
  <r>
    <x v="15"/>
    <x v="19"/>
    <x v="1"/>
    <x v="1"/>
    <n v="324.39999999999998"/>
    <n v="0.5"/>
  </r>
  <r>
    <x v="15"/>
    <x v="19"/>
    <x v="2"/>
    <x v="2"/>
    <n v="285.8"/>
    <n v="0.3"/>
  </r>
  <r>
    <x v="15"/>
    <x v="19"/>
    <x v="3"/>
    <x v="3"/>
    <n v="240.8"/>
    <n v="7.3"/>
  </r>
  <r>
    <x v="15"/>
    <x v="19"/>
    <x v="4"/>
    <x v="4"/>
    <n v="179.3"/>
    <n v="6.2"/>
  </r>
  <r>
    <x v="15"/>
    <x v="19"/>
    <x v="5"/>
    <x v="5"/>
    <n v="72.900000000000006"/>
    <n v="68.400000000000006"/>
  </r>
  <r>
    <x v="15"/>
    <x v="19"/>
    <x v="6"/>
    <x v="6"/>
    <n v="36.799999999999997"/>
    <n v="111.6"/>
  </r>
  <r>
    <x v="15"/>
    <x v="19"/>
    <x v="7"/>
    <x v="7"/>
    <n v="45.3"/>
    <n v="81.900000000000006"/>
  </r>
  <r>
    <x v="15"/>
    <x v="19"/>
    <x v="8"/>
    <x v="8"/>
    <n v="84.6"/>
    <n v="30.7"/>
  </r>
  <r>
    <x v="15"/>
    <x v="19"/>
    <x v="9"/>
    <x v="9"/>
    <n v="162.4"/>
    <n v="2.7"/>
  </r>
  <r>
    <x v="15"/>
    <x v="19"/>
    <x v="10"/>
    <x v="10"/>
    <n v="313.89999999999998"/>
    <n v="0"/>
  </r>
  <r>
    <x v="15"/>
    <x v="19"/>
    <x v="11"/>
    <x v="11"/>
    <n v="355.9"/>
    <n v="0"/>
  </r>
  <r>
    <x v="15"/>
    <x v="20"/>
    <x v="0"/>
    <x v="0"/>
    <n v="365.7"/>
    <n v="0"/>
  </r>
  <r>
    <x v="15"/>
    <x v="20"/>
    <x v="1"/>
    <x v="1"/>
    <n v="286"/>
    <n v="0"/>
  </r>
  <r>
    <x v="15"/>
    <x v="20"/>
    <x v="2"/>
    <x v="2"/>
    <n v="310.60000000000002"/>
    <n v="0.1"/>
  </r>
  <r>
    <x v="15"/>
    <x v="20"/>
    <x v="3"/>
    <x v="3"/>
    <n v="157.30000000000001"/>
    <n v="18.8"/>
  </r>
  <r>
    <x v="15"/>
    <x v="20"/>
    <x v="4"/>
    <x v="4"/>
    <n v="133.6"/>
    <n v="29.6"/>
  </r>
  <r>
    <x v="15"/>
    <x v="20"/>
    <x v="5"/>
    <x v="5"/>
    <n v="78.3"/>
    <n v="40.799999999999997"/>
  </r>
  <r>
    <x v="15"/>
    <x v="20"/>
    <x v="6"/>
    <x v="6"/>
    <n v="52.4"/>
    <n v="73.900000000000006"/>
  </r>
  <r>
    <x v="15"/>
    <x v="20"/>
    <x v="7"/>
    <x v="7"/>
    <n v="37.200000000000003"/>
    <n v="114"/>
  </r>
  <r>
    <x v="15"/>
    <x v="20"/>
    <x v="8"/>
    <x v="8"/>
    <n v="72.400000000000006"/>
    <n v="64.900000000000006"/>
  </r>
  <r>
    <x v="15"/>
    <x v="20"/>
    <x v="9"/>
    <x v="9"/>
    <n v="191.1"/>
    <n v="0.2"/>
  </r>
  <r>
    <x v="15"/>
    <x v="20"/>
    <x v="10"/>
    <x v="10"/>
    <n v="254.2"/>
    <n v="0"/>
  </r>
  <r>
    <x v="15"/>
    <x v="20"/>
    <x v="11"/>
    <x v="11"/>
    <n v="355.3"/>
    <n v="0"/>
  </r>
  <r>
    <x v="15"/>
    <x v="21"/>
    <x v="0"/>
    <x v="0"/>
    <n v="430.5"/>
    <n v="0"/>
  </r>
  <r>
    <x v="15"/>
    <x v="21"/>
    <x v="1"/>
    <x v="1"/>
    <n v="339.4"/>
    <n v="0"/>
  </r>
  <r>
    <x v="15"/>
    <x v="21"/>
    <x v="2"/>
    <x v="2"/>
    <n v="328.8"/>
    <n v="2.7"/>
  </r>
  <r>
    <x v="15"/>
    <x v="21"/>
    <x v="3"/>
    <x v="3"/>
    <n v="290.5"/>
    <n v="2.2999999999999998"/>
  </r>
  <r>
    <x v="15"/>
    <x v="21"/>
    <x v="4"/>
    <x v="4"/>
    <n v="193.6"/>
    <n v="6.2"/>
  </r>
  <r>
    <x v="15"/>
    <x v="21"/>
    <x v="5"/>
    <x v="5"/>
    <n v="56.3"/>
    <n v="47.6"/>
  </r>
  <r>
    <x v="15"/>
    <x v="21"/>
    <x v="6"/>
    <x v="6"/>
    <n v="35.6"/>
    <n v="58.9"/>
  </r>
  <r>
    <x v="15"/>
    <x v="21"/>
    <x v="7"/>
    <x v="7"/>
    <n v="56.1"/>
    <n v="37.1"/>
  </r>
  <r>
    <x v="15"/>
    <x v="21"/>
    <x v="8"/>
    <x v="8"/>
    <n v="65.3"/>
    <n v="48.5"/>
  </r>
  <r>
    <x v="15"/>
    <x v="21"/>
    <x v="9"/>
    <x v="9"/>
    <n v="189.7"/>
    <n v="2.1"/>
  </r>
  <r>
    <x v="15"/>
    <x v="21"/>
    <x v="10"/>
    <x v="10"/>
    <n v="344.8"/>
    <n v="0"/>
  </r>
  <r>
    <x v="15"/>
    <x v="21"/>
    <x v="11"/>
    <x v="11"/>
    <n v="355.3"/>
    <n v="0"/>
  </r>
  <r>
    <x v="15"/>
    <x v="22"/>
    <x v="0"/>
    <x v="0"/>
    <n v="407.5"/>
    <n v="0"/>
  </r>
  <r>
    <x v="15"/>
    <x v="22"/>
    <x v="1"/>
    <x v="1"/>
    <n v="307.8"/>
    <n v="0"/>
  </r>
  <r>
    <x v="15"/>
    <x v="22"/>
    <x v="2"/>
    <x v="2"/>
    <n v="271.5"/>
    <n v="1.2"/>
  </r>
  <r>
    <x v="15"/>
    <x v="22"/>
    <x v="3"/>
    <x v="3"/>
    <n v="230"/>
    <n v="3.1"/>
  </r>
  <r>
    <x v="15"/>
    <x v="22"/>
    <x v="4"/>
    <x v="4"/>
    <n v="117.5"/>
    <n v="26.9"/>
  </r>
  <r>
    <x v="15"/>
    <x v="22"/>
    <x v="5"/>
    <x v="5"/>
    <n v="57.3"/>
    <n v="58.6"/>
  </r>
  <r>
    <x v="15"/>
    <x v="22"/>
    <x v="6"/>
    <x v="6"/>
    <n v="38.5"/>
    <n v="120.7"/>
  </r>
  <r>
    <x v="15"/>
    <x v="22"/>
    <x v="7"/>
    <x v="7"/>
    <n v="21.7"/>
    <n v="125.2"/>
  </r>
  <r>
    <x v="15"/>
    <x v="22"/>
    <x v="8"/>
    <x v="8"/>
    <n v="97.3"/>
    <n v="38.6"/>
  </r>
  <r>
    <x v="15"/>
    <x v="22"/>
    <x v="9"/>
    <x v="9"/>
    <n v="102.9"/>
    <n v="11.8"/>
  </r>
  <r>
    <x v="15"/>
    <x v="22"/>
    <x v="10"/>
    <x v="10"/>
    <n v="259.39999999999998"/>
    <n v="0"/>
  </r>
  <r>
    <x v="15"/>
    <x v="22"/>
    <x v="11"/>
    <x v="11"/>
    <n v="410"/>
    <n v="0"/>
  </r>
  <r>
    <x v="15"/>
    <x v="23"/>
    <x v="0"/>
    <x v="0"/>
    <n v="378.1"/>
    <n v="0"/>
  </r>
  <r>
    <x v="15"/>
    <x v="23"/>
    <x v="1"/>
    <x v="1"/>
    <n v="338.1"/>
    <n v="0"/>
  </r>
  <r>
    <x v="15"/>
    <x v="23"/>
    <x v="2"/>
    <x v="2"/>
    <n v="284.39999999999998"/>
    <n v="0.1"/>
  </r>
  <r>
    <x v="15"/>
    <x v="23"/>
    <x v="3"/>
    <x v="3"/>
    <n v="240.6"/>
    <n v="0.9"/>
  </r>
  <r>
    <x v="15"/>
    <x v="23"/>
    <x v="4"/>
    <x v="4"/>
    <n v="123.9"/>
    <n v="15.8"/>
  </r>
  <r>
    <x v="15"/>
    <x v="23"/>
    <x v="5"/>
    <x v="5"/>
    <n v="33"/>
    <n v="89.1"/>
  </r>
  <r>
    <x v="15"/>
    <x v="23"/>
    <x v="6"/>
    <x v="6"/>
    <n v="39.6"/>
    <n v="64.2"/>
  </r>
  <r>
    <x v="15"/>
    <x v="23"/>
    <x v="7"/>
    <x v="7"/>
    <n v="35.4"/>
    <n v="72.5"/>
  </r>
  <r>
    <x v="15"/>
    <x v="23"/>
    <x v="8"/>
    <x v="8"/>
    <n v="40.6"/>
    <n v="84.8"/>
  </r>
  <r>
    <x v="15"/>
    <x v="23"/>
    <x v="9"/>
    <x v="9"/>
    <n v="148"/>
    <n v="20.3"/>
  </r>
  <r>
    <x v="15"/>
    <x v="23"/>
    <x v="10"/>
    <x v="10"/>
    <n v="263.8"/>
    <n v="0"/>
  </r>
  <r>
    <x v="15"/>
    <x v="23"/>
    <x v="11"/>
    <x v="11"/>
    <n v="326"/>
    <n v="0"/>
  </r>
  <r>
    <x v="8"/>
    <x v="23"/>
    <x v="0"/>
    <x v="0"/>
    <n v="343.2"/>
    <n v="0"/>
  </r>
  <r>
    <x v="8"/>
    <x v="23"/>
    <x v="1"/>
    <x v="1"/>
    <n v="313.7"/>
    <n v="0"/>
  </r>
  <r>
    <x v="8"/>
    <x v="23"/>
    <x v="2"/>
    <x v="2"/>
    <n v="246"/>
    <n v="1.3"/>
  </r>
  <r>
    <x v="8"/>
    <x v="23"/>
    <x v="3"/>
    <x v="3"/>
    <n v="202.7"/>
    <n v="2.1"/>
  </r>
  <r>
    <x v="8"/>
    <x v="23"/>
    <x v="4"/>
    <x v="4"/>
    <n v="95.8"/>
    <n v="28.4"/>
  </r>
  <r>
    <x v="8"/>
    <x v="23"/>
    <x v="5"/>
    <x v="5"/>
    <n v="20.7"/>
    <n v="114.9"/>
  </r>
  <r>
    <x v="8"/>
    <x v="23"/>
    <x v="6"/>
    <x v="6"/>
    <n v="24.6"/>
    <n v="94"/>
  </r>
  <r>
    <x v="8"/>
    <x v="23"/>
    <x v="7"/>
    <x v="7"/>
    <n v="22.1"/>
    <n v="107.2"/>
  </r>
  <r>
    <x v="8"/>
    <x v="23"/>
    <x v="8"/>
    <x v="8"/>
    <n v="27.7"/>
    <n v="113.8"/>
  </r>
  <r>
    <x v="8"/>
    <x v="23"/>
    <x v="9"/>
    <x v="9"/>
    <n v="107.2"/>
    <n v="35.9"/>
  </r>
  <r>
    <x v="8"/>
    <x v="23"/>
    <x v="10"/>
    <x v="10"/>
    <n v="223.8"/>
    <n v="0"/>
  </r>
  <r>
    <x v="8"/>
    <x v="23"/>
    <x v="11"/>
    <x v="11"/>
    <n v="288.10000000000002"/>
    <n v="0"/>
  </r>
  <r>
    <x v="1"/>
    <x v="23"/>
    <x v="0"/>
    <x v="0"/>
    <n v="329.5"/>
    <n v="0"/>
  </r>
  <r>
    <x v="1"/>
    <x v="23"/>
    <x v="1"/>
    <x v="1"/>
    <n v="291.39999999999998"/>
    <n v="0"/>
  </r>
  <r>
    <x v="1"/>
    <x v="23"/>
    <x v="2"/>
    <x v="2"/>
    <n v="272.2"/>
    <n v="0"/>
  </r>
  <r>
    <x v="1"/>
    <x v="23"/>
    <x v="3"/>
    <x v="3"/>
    <n v="223.2"/>
    <n v="0"/>
  </r>
  <r>
    <x v="1"/>
    <x v="23"/>
    <x v="4"/>
    <x v="4"/>
    <n v="140.80000000000001"/>
    <n v="3.2"/>
  </r>
  <r>
    <x v="1"/>
    <x v="23"/>
    <x v="5"/>
    <x v="5"/>
    <n v="46.9"/>
    <n v="42"/>
  </r>
  <r>
    <x v="1"/>
    <x v="23"/>
    <x v="6"/>
    <x v="6"/>
    <n v="53"/>
    <n v="18.2"/>
  </r>
  <r>
    <x v="1"/>
    <x v="23"/>
    <x v="7"/>
    <x v="7"/>
    <n v="55.6"/>
    <n v="29.2"/>
  </r>
  <r>
    <x v="1"/>
    <x v="23"/>
    <x v="8"/>
    <x v="8"/>
    <n v="51.6"/>
    <n v="51.8"/>
  </r>
  <r>
    <x v="1"/>
    <x v="23"/>
    <x v="9"/>
    <x v="9"/>
    <n v="127.3"/>
    <n v="13.5"/>
  </r>
  <r>
    <x v="1"/>
    <x v="23"/>
    <x v="10"/>
    <x v="10"/>
    <n v="232.2"/>
    <n v="0"/>
  </r>
  <r>
    <x v="1"/>
    <x v="23"/>
    <x v="11"/>
    <x v="11"/>
    <n v="251.6"/>
    <n v="0"/>
  </r>
  <r>
    <x v="4"/>
    <x v="23"/>
    <x v="0"/>
    <x v="0"/>
    <n v="329.5"/>
    <n v="0"/>
  </r>
  <r>
    <x v="4"/>
    <x v="23"/>
    <x v="1"/>
    <x v="1"/>
    <n v="298.2"/>
    <n v="0"/>
  </r>
  <r>
    <x v="4"/>
    <x v="23"/>
    <x v="2"/>
    <x v="2"/>
    <n v="254.5"/>
    <n v="0.1"/>
  </r>
  <r>
    <x v="4"/>
    <x v="23"/>
    <x v="3"/>
    <x v="3"/>
    <n v="222"/>
    <n v="0"/>
  </r>
  <r>
    <x v="4"/>
    <x v="23"/>
    <x v="4"/>
    <x v="4"/>
    <n v="136.9"/>
    <n v="3.1"/>
  </r>
  <r>
    <x v="4"/>
    <x v="23"/>
    <x v="5"/>
    <x v="5"/>
    <n v="47.4"/>
    <n v="44.9"/>
  </r>
  <r>
    <x v="4"/>
    <x v="23"/>
    <x v="6"/>
    <x v="6"/>
    <n v="42"/>
    <n v="43.2"/>
  </r>
  <r>
    <x v="4"/>
    <x v="23"/>
    <x v="7"/>
    <x v="7"/>
    <n v="37.5"/>
    <n v="43.1"/>
  </r>
  <r>
    <x v="4"/>
    <x v="23"/>
    <x v="8"/>
    <x v="8"/>
    <n v="35.9"/>
    <n v="69.599999999999994"/>
  </r>
  <r>
    <x v="4"/>
    <x v="23"/>
    <x v="9"/>
    <x v="9"/>
    <n v="117.1"/>
    <n v="25.6"/>
  </r>
  <r>
    <x v="4"/>
    <x v="23"/>
    <x v="10"/>
    <x v="10"/>
    <n v="234.3"/>
    <n v="0"/>
  </r>
  <r>
    <x v="4"/>
    <x v="23"/>
    <x v="11"/>
    <x v="11"/>
    <n v="279.39999999999998"/>
    <n v="0"/>
  </r>
  <r>
    <x v="14"/>
    <x v="23"/>
    <x v="0"/>
    <x v="0"/>
    <n v="356.9"/>
    <n v="0"/>
  </r>
  <r>
    <x v="14"/>
    <x v="23"/>
    <x v="1"/>
    <x v="1"/>
    <n v="311.3"/>
    <n v="0"/>
  </r>
  <r>
    <x v="14"/>
    <x v="23"/>
    <x v="2"/>
    <x v="2"/>
    <n v="257.8"/>
    <n v="0.5"/>
  </r>
  <r>
    <x v="14"/>
    <x v="23"/>
    <x v="3"/>
    <x v="3"/>
    <n v="212.7"/>
    <n v="1.7"/>
  </r>
  <r>
    <x v="14"/>
    <x v="23"/>
    <x v="4"/>
    <x v="4"/>
    <n v="101.4"/>
    <n v="27.9"/>
  </r>
  <r>
    <x v="14"/>
    <x v="23"/>
    <x v="5"/>
    <x v="5"/>
    <n v="18.899999999999999"/>
    <n v="109.1"/>
  </r>
  <r>
    <x v="14"/>
    <x v="23"/>
    <x v="6"/>
    <x v="6"/>
    <n v="33.9"/>
    <n v="71.8"/>
  </r>
  <r>
    <x v="14"/>
    <x v="23"/>
    <x v="7"/>
    <x v="7"/>
    <n v="31.5"/>
    <n v="99.7"/>
  </r>
  <r>
    <x v="14"/>
    <x v="23"/>
    <x v="8"/>
    <x v="8"/>
    <n v="26.2"/>
    <n v="113.3"/>
  </r>
  <r>
    <x v="14"/>
    <x v="23"/>
    <x v="9"/>
    <x v="9"/>
    <n v="94.8"/>
    <n v="38.9"/>
  </r>
  <r>
    <x v="14"/>
    <x v="23"/>
    <x v="10"/>
    <x v="10"/>
    <n v="227.5"/>
    <n v="0"/>
  </r>
  <r>
    <x v="14"/>
    <x v="23"/>
    <x v="11"/>
    <x v="11"/>
    <n v="295.5"/>
    <n v="0"/>
  </r>
  <r>
    <x v="13"/>
    <x v="23"/>
    <x v="0"/>
    <x v="0"/>
    <n v="363.3"/>
    <n v="0"/>
  </r>
  <r>
    <x v="13"/>
    <x v="23"/>
    <x v="1"/>
    <x v="1"/>
    <n v="326.39999999999998"/>
    <n v="0"/>
  </r>
  <r>
    <x v="13"/>
    <x v="23"/>
    <x v="2"/>
    <x v="2"/>
    <n v="267.89999999999998"/>
    <n v="0.2"/>
  </r>
  <r>
    <x v="13"/>
    <x v="23"/>
    <x v="3"/>
    <x v="3"/>
    <n v="220.5"/>
    <n v="1.2"/>
  </r>
  <r>
    <x v="13"/>
    <x v="23"/>
    <x v="4"/>
    <x v="4"/>
    <n v="103"/>
    <n v="16.899999999999999"/>
  </r>
  <r>
    <x v="13"/>
    <x v="23"/>
    <x v="5"/>
    <x v="5"/>
    <n v="27.2"/>
    <n v="99.5"/>
  </r>
  <r>
    <x v="13"/>
    <x v="23"/>
    <x v="6"/>
    <x v="6"/>
    <n v="34.6"/>
    <n v="69.099999999999994"/>
  </r>
  <r>
    <x v="13"/>
    <x v="23"/>
    <x v="7"/>
    <x v="7"/>
    <n v="29.2"/>
    <n v="62.1"/>
  </r>
  <r>
    <x v="13"/>
    <x v="23"/>
    <x v="8"/>
    <x v="8"/>
    <n v="33.700000000000003"/>
    <n v="96.6"/>
  </r>
  <r>
    <x v="13"/>
    <x v="23"/>
    <x v="9"/>
    <x v="9"/>
    <n v="114.2"/>
    <n v="27.1"/>
  </r>
  <r>
    <x v="13"/>
    <x v="23"/>
    <x v="10"/>
    <x v="10"/>
    <n v="208.2"/>
    <n v="0"/>
  </r>
  <r>
    <x v="13"/>
    <x v="23"/>
    <x v="11"/>
    <x v="11"/>
    <n v="305.89999999999998"/>
    <n v="0"/>
  </r>
  <r>
    <x v="12"/>
    <x v="23"/>
    <x v="0"/>
    <x v="0"/>
    <n v="356.1"/>
    <n v="0"/>
  </r>
  <r>
    <x v="12"/>
    <x v="23"/>
    <x v="1"/>
    <x v="1"/>
    <n v="314.10000000000002"/>
    <n v="0"/>
  </r>
  <r>
    <x v="12"/>
    <x v="23"/>
    <x v="2"/>
    <x v="2"/>
    <n v="251.3"/>
    <n v="1.6"/>
  </r>
  <r>
    <x v="12"/>
    <x v="23"/>
    <x v="3"/>
    <x v="3"/>
    <n v="198"/>
    <n v="2.8"/>
  </r>
  <r>
    <x v="12"/>
    <x v="23"/>
    <x v="4"/>
    <x v="4"/>
    <n v="86.4"/>
    <n v="31.2"/>
  </r>
  <r>
    <x v="12"/>
    <x v="23"/>
    <x v="5"/>
    <x v="5"/>
    <n v="17.3"/>
    <n v="133.19999999999999"/>
  </r>
  <r>
    <x v="12"/>
    <x v="23"/>
    <x v="6"/>
    <x v="6"/>
    <n v="24.1"/>
    <n v="98.9"/>
  </r>
  <r>
    <x v="12"/>
    <x v="23"/>
    <x v="7"/>
    <x v="7"/>
    <n v="27.9"/>
    <n v="107.7"/>
  </r>
  <r>
    <x v="12"/>
    <x v="23"/>
    <x v="8"/>
    <x v="8"/>
    <n v="30.5"/>
    <n v="113.5"/>
  </r>
  <r>
    <x v="12"/>
    <x v="23"/>
    <x v="9"/>
    <x v="9"/>
    <n v="115.8"/>
    <n v="33.4"/>
  </r>
  <r>
    <x v="12"/>
    <x v="23"/>
    <x v="10"/>
    <x v="10"/>
    <n v="239.8"/>
    <n v="0"/>
  </r>
  <r>
    <x v="12"/>
    <x v="23"/>
    <x v="11"/>
    <x v="11"/>
    <n v="300.89999999999998"/>
    <n v="0"/>
  </r>
  <r>
    <x v="5"/>
    <x v="23"/>
    <x v="0"/>
    <x v="0"/>
    <n v="332"/>
    <n v="0"/>
  </r>
  <r>
    <x v="5"/>
    <x v="23"/>
    <x v="1"/>
    <x v="1"/>
    <n v="304"/>
    <n v="0"/>
  </r>
  <r>
    <x v="5"/>
    <x v="23"/>
    <x v="2"/>
    <x v="2"/>
    <n v="258.39999999999998"/>
    <n v="0"/>
  </r>
  <r>
    <x v="5"/>
    <x v="23"/>
    <x v="3"/>
    <x v="3"/>
    <n v="211.5"/>
    <n v="0.3"/>
  </r>
  <r>
    <x v="5"/>
    <x v="23"/>
    <x v="4"/>
    <x v="4"/>
    <n v="112.8"/>
    <n v="15.3"/>
  </r>
  <r>
    <x v="5"/>
    <x v="23"/>
    <x v="5"/>
    <x v="5"/>
    <n v="36.299999999999997"/>
    <n v="59.8"/>
  </r>
  <r>
    <x v="5"/>
    <x v="23"/>
    <x v="6"/>
    <x v="6"/>
    <n v="46.3"/>
    <n v="24.7"/>
  </r>
  <r>
    <x v="5"/>
    <x v="23"/>
    <x v="7"/>
    <x v="7"/>
    <n v="46.8"/>
    <n v="40.200000000000003"/>
  </r>
  <r>
    <x v="5"/>
    <x v="23"/>
    <x v="8"/>
    <x v="8"/>
    <n v="35.5"/>
    <n v="67.400000000000006"/>
  </r>
  <r>
    <x v="5"/>
    <x v="23"/>
    <x v="9"/>
    <x v="9"/>
    <n v="112.2"/>
    <n v="16.7"/>
  </r>
  <r>
    <x v="5"/>
    <x v="23"/>
    <x v="10"/>
    <x v="10"/>
    <n v="221.9"/>
    <n v="0"/>
  </r>
  <r>
    <x v="5"/>
    <x v="23"/>
    <x v="11"/>
    <x v="11"/>
    <n v="251.9"/>
    <n v="0"/>
  </r>
  <r>
    <x v="11"/>
    <x v="23"/>
    <x v="0"/>
    <x v="0"/>
    <n v="319"/>
    <n v="0.1"/>
  </r>
  <r>
    <x v="11"/>
    <x v="23"/>
    <x v="1"/>
    <x v="1"/>
    <n v="271.10000000000002"/>
    <n v="0.1"/>
  </r>
  <r>
    <x v="11"/>
    <x v="23"/>
    <x v="2"/>
    <x v="2"/>
    <n v="190.6"/>
    <n v="2.7"/>
  </r>
  <r>
    <x v="11"/>
    <x v="23"/>
    <x v="3"/>
    <x v="3"/>
    <n v="114.2"/>
    <n v="20.2"/>
  </r>
  <r>
    <x v="11"/>
    <x v="23"/>
    <x v="4"/>
    <x v="4"/>
    <n v="36.200000000000003"/>
    <n v="69.099999999999994"/>
  </r>
  <r>
    <x v="11"/>
    <x v="23"/>
    <x v="5"/>
    <x v="5"/>
    <n v="2.4"/>
    <n v="189"/>
  </r>
  <r>
    <x v="11"/>
    <x v="23"/>
    <x v="6"/>
    <x v="6"/>
    <n v="0"/>
    <n v="283.5"/>
  </r>
  <r>
    <x v="11"/>
    <x v="23"/>
    <x v="7"/>
    <x v="7"/>
    <n v="1.6"/>
    <n v="234.3"/>
  </r>
  <r>
    <x v="11"/>
    <x v="23"/>
    <x v="8"/>
    <x v="8"/>
    <n v="9.8000000000000007"/>
    <n v="162.19999999999999"/>
  </r>
  <r>
    <x v="11"/>
    <x v="23"/>
    <x v="9"/>
    <x v="9"/>
    <n v="29.3"/>
    <n v="77.400000000000006"/>
  </r>
  <r>
    <x v="11"/>
    <x v="23"/>
    <x v="10"/>
    <x v="10"/>
    <n v="197.5"/>
    <n v="3.2"/>
  </r>
  <r>
    <x v="11"/>
    <x v="23"/>
    <x v="11"/>
    <x v="11"/>
    <n v="272.8"/>
    <n v="0"/>
  </r>
  <r>
    <x v="7"/>
    <x v="23"/>
    <x v="0"/>
    <x v="0"/>
    <n v="338.1"/>
    <n v="0"/>
  </r>
  <r>
    <x v="7"/>
    <x v="23"/>
    <x v="1"/>
    <x v="1"/>
    <n v="297.8"/>
    <n v="0"/>
  </r>
  <r>
    <x v="7"/>
    <x v="23"/>
    <x v="2"/>
    <x v="2"/>
    <n v="242"/>
    <n v="0.6"/>
  </r>
  <r>
    <x v="7"/>
    <x v="23"/>
    <x v="3"/>
    <x v="3"/>
    <n v="196.7"/>
    <n v="2"/>
  </r>
  <r>
    <x v="7"/>
    <x v="23"/>
    <x v="4"/>
    <x v="4"/>
    <n v="87.3"/>
    <n v="29.5"/>
  </r>
  <r>
    <x v="7"/>
    <x v="23"/>
    <x v="5"/>
    <x v="5"/>
    <n v="14.4"/>
    <n v="120.2"/>
  </r>
  <r>
    <x v="7"/>
    <x v="23"/>
    <x v="6"/>
    <x v="6"/>
    <n v="30.6"/>
    <n v="80.3"/>
  </r>
  <r>
    <x v="7"/>
    <x v="23"/>
    <x v="7"/>
    <x v="7"/>
    <n v="27.1"/>
    <n v="95.9"/>
  </r>
  <r>
    <x v="7"/>
    <x v="23"/>
    <x v="8"/>
    <x v="8"/>
    <n v="24.4"/>
    <n v="120"/>
  </r>
  <r>
    <x v="7"/>
    <x v="23"/>
    <x v="9"/>
    <x v="9"/>
    <n v="92.7"/>
    <n v="38.299999999999997"/>
  </r>
  <r>
    <x v="7"/>
    <x v="23"/>
    <x v="10"/>
    <x v="10"/>
    <n v="217.8"/>
    <n v="0"/>
  </r>
  <r>
    <x v="7"/>
    <x v="23"/>
    <x v="11"/>
    <x v="11"/>
    <n v="277.8"/>
    <n v="0"/>
  </r>
  <r>
    <x v="9"/>
    <x v="23"/>
    <x v="0"/>
    <x v="0"/>
    <n v="362.2"/>
    <n v="0"/>
  </r>
  <r>
    <x v="9"/>
    <x v="23"/>
    <x v="1"/>
    <x v="1"/>
    <n v="311.2"/>
    <n v="0"/>
  </r>
  <r>
    <x v="9"/>
    <x v="23"/>
    <x v="2"/>
    <x v="2"/>
    <n v="246.4"/>
    <n v="0.9"/>
  </r>
  <r>
    <x v="9"/>
    <x v="23"/>
    <x v="3"/>
    <x v="3"/>
    <n v="196.9"/>
    <n v="5.9"/>
  </r>
  <r>
    <x v="9"/>
    <x v="23"/>
    <x v="4"/>
    <x v="4"/>
    <n v="92.8"/>
    <n v="35.9"/>
  </r>
  <r>
    <x v="9"/>
    <x v="23"/>
    <x v="5"/>
    <x v="5"/>
    <n v="15"/>
    <n v="121.6"/>
  </r>
  <r>
    <x v="9"/>
    <x v="23"/>
    <x v="6"/>
    <x v="6"/>
    <n v="29.2"/>
    <n v="95.1"/>
  </r>
  <r>
    <x v="9"/>
    <x v="23"/>
    <x v="7"/>
    <x v="7"/>
    <n v="31"/>
    <n v="130.5"/>
  </r>
  <r>
    <x v="9"/>
    <x v="23"/>
    <x v="8"/>
    <x v="8"/>
    <n v="24.2"/>
    <n v="130.1"/>
  </r>
  <r>
    <x v="9"/>
    <x v="23"/>
    <x v="9"/>
    <x v="9"/>
    <n v="93"/>
    <n v="42.6"/>
  </r>
  <r>
    <x v="9"/>
    <x v="23"/>
    <x v="10"/>
    <x v="10"/>
    <n v="227.9"/>
    <n v="0"/>
  </r>
  <r>
    <x v="9"/>
    <x v="23"/>
    <x v="11"/>
    <x v="11"/>
    <n v="304.5"/>
    <n v="0"/>
  </r>
  <r>
    <x v="10"/>
    <x v="23"/>
    <x v="0"/>
    <x v="0"/>
    <n v="357.9"/>
    <n v="0"/>
  </r>
  <r>
    <x v="10"/>
    <x v="23"/>
    <x v="1"/>
    <x v="1"/>
    <n v="294.8"/>
    <n v="0"/>
  </r>
  <r>
    <x v="10"/>
    <x v="23"/>
    <x v="2"/>
    <x v="2"/>
    <n v="250.5"/>
    <n v="0.6"/>
  </r>
  <r>
    <x v="10"/>
    <x v="23"/>
    <x v="3"/>
    <x v="3"/>
    <n v="197.2"/>
    <n v="2.5"/>
  </r>
  <r>
    <x v="10"/>
    <x v="23"/>
    <x v="4"/>
    <x v="4"/>
    <n v="88.2"/>
    <n v="28.2"/>
  </r>
  <r>
    <x v="10"/>
    <x v="23"/>
    <x v="5"/>
    <x v="5"/>
    <n v="10.8"/>
    <n v="142.5"/>
  </r>
  <r>
    <x v="10"/>
    <x v="23"/>
    <x v="6"/>
    <x v="6"/>
    <n v="13"/>
    <n v="111.9"/>
  </r>
  <r>
    <x v="10"/>
    <x v="23"/>
    <x v="7"/>
    <x v="7"/>
    <n v="17.2"/>
    <n v="105.9"/>
  </r>
  <r>
    <x v="10"/>
    <x v="23"/>
    <x v="8"/>
    <x v="8"/>
    <n v="22"/>
    <n v="122.9"/>
  </r>
  <r>
    <x v="10"/>
    <x v="23"/>
    <x v="9"/>
    <x v="9"/>
    <n v="106.5"/>
    <n v="30.8"/>
  </r>
  <r>
    <x v="10"/>
    <x v="23"/>
    <x v="10"/>
    <x v="10"/>
    <n v="245.6"/>
    <n v="0"/>
  </r>
  <r>
    <x v="10"/>
    <x v="23"/>
    <x v="11"/>
    <x v="11"/>
    <n v="306.60000000000002"/>
    <n v="0"/>
  </r>
  <r>
    <x v="2"/>
    <x v="23"/>
    <x v="0"/>
    <x v="0"/>
    <n v="323.60000000000002"/>
    <n v="0"/>
  </r>
  <r>
    <x v="2"/>
    <x v="23"/>
    <x v="1"/>
    <x v="1"/>
    <n v="288"/>
    <n v="0"/>
  </r>
  <r>
    <x v="2"/>
    <x v="23"/>
    <x v="2"/>
    <x v="2"/>
    <n v="260.10000000000002"/>
    <n v="0"/>
  </r>
  <r>
    <x v="2"/>
    <x v="23"/>
    <x v="3"/>
    <x v="3"/>
    <n v="210.1"/>
    <n v="0.8"/>
  </r>
  <r>
    <x v="2"/>
    <x v="23"/>
    <x v="4"/>
    <x v="4"/>
    <n v="114.3"/>
    <n v="14.7"/>
  </r>
  <r>
    <x v="2"/>
    <x v="23"/>
    <x v="5"/>
    <x v="5"/>
    <n v="38.299999999999997"/>
    <n v="63.1"/>
  </r>
  <r>
    <x v="2"/>
    <x v="23"/>
    <x v="6"/>
    <x v="6"/>
    <n v="47.3"/>
    <n v="23.5"/>
  </r>
  <r>
    <x v="2"/>
    <x v="23"/>
    <x v="7"/>
    <x v="7"/>
    <n v="43.4"/>
    <n v="35.200000000000003"/>
  </r>
  <r>
    <x v="2"/>
    <x v="23"/>
    <x v="8"/>
    <x v="8"/>
    <n v="41.3"/>
    <n v="58.6"/>
  </r>
  <r>
    <x v="2"/>
    <x v="23"/>
    <x v="9"/>
    <x v="9"/>
    <n v="120.5"/>
    <n v="13.9"/>
  </r>
  <r>
    <x v="2"/>
    <x v="23"/>
    <x v="10"/>
    <x v="10"/>
    <n v="222"/>
    <n v="0"/>
  </r>
  <r>
    <x v="2"/>
    <x v="23"/>
    <x v="11"/>
    <x v="11"/>
    <n v="244.5"/>
    <n v="0"/>
  </r>
  <r>
    <x v="3"/>
    <x v="23"/>
    <x v="0"/>
    <x v="0"/>
    <n v="338.4"/>
    <n v="0"/>
  </r>
  <r>
    <x v="3"/>
    <x v="23"/>
    <x v="1"/>
    <x v="1"/>
    <n v="309.5"/>
    <n v="0"/>
  </r>
  <r>
    <x v="3"/>
    <x v="23"/>
    <x v="2"/>
    <x v="2"/>
    <n v="244.3"/>
    <n v="0.6"/>
  </r>
  <r>
    <x v="3"/>
    <x v="23"/>
    <x v="3"/>
    <x v="3"/>
    <n v="203.2"/>
    <n v="1.8"/>
  </r>
  <r>
    <x v="3"/>
    <x v="23"/>
    <x v="4"/>
    <x v="4"/>
    <n v="114.9"/>
    <n v="19.100000000000001"/>
  </r>
  <r>
    <x v="3"/>
    <x v="23"/>
    <x v="5"/>
    <x v="5"/>
    <n v="32"/>
    <n v="103.6"/>
  </r>
  <r>
    <x v="3"/>
    <x v="23"/>
    <x v="6"/>
    <x v="6"/>
    <n v="33.299999999999997"/>
    <n v="72.5"/>
  </r>
  <r>
    <x v="3"/>
    <x v="23"/>
    <x v="7"/>
    <x v="7"/>
    <n v="32.799999999999997"/>
    <n v="74.400000000000006"/>
  </r>
  <r>
    <x v="3"/>
    <x v="23"/>
    <x v="8"/>
    <x v="8"/>
    <n v="33.299999999999997"/>
    <n v="101.8"/>
  </r>
  <r>
    <x v="3"/>
    <x v="23"/>
    <x v="9"/>
    <x v="9"/>
    <n v="114.9"/>
    <n v="30.7"/>
  </r>
  <r>
    <x v="3"/>
    <x v="23"/>
    <x v="10"/>
    <x v="10"/>
    <n v="232.1"/>
    <n v="0"/>
  </r>
  <r>
    <x v="3"/>
    <x v="23"/>
    <x v="11"/>
    <x v="11"/>
    <n v="285.10000000000002"/>
    <n v="0"/>
  </r>
  <r>
    <x v="0"/>
    <x v="23"/>
    <x v="0"/>
    <x v="0"/>
    <n v="337.1"/>
    <n v="0"/>
  </r>
  <r>
    <x v="0"/>
    <x v="23"/>
    <x v="1"/>
    <x v="1"/>
    <n v="304.60000000000002"/>
    <n v="0"/>
  </r>
  <r>
    <x v="0"/>
    <x v="23"/>
    <x v="2"/>
    <x v="2"/>
    <n v="257.7"/>
    <n v="0"/>
  </r>
  <r>
    <x v="0"/>
    <x v="23"/>
    <x v="3"/>
    <x v="3"/>
    <n v="228.8"/>
    <n v="0"/>
  </r>
  <r>
    <x v="0"/>
    <x v="23"/>
    <x v="4"/>
    <x v="4"/>
    <n v="159.5"/>
    <n v="0.6"/>
  </r>
  <r>
    <x v="0"/>
    <x v="23"/>
    <x v="5"/>
    <x v="5"/>
    <n v="57.4"/>
    <n v="33.200000000000003"/>
  </r>
  <r>
    <x v="0"/>
    <x v="23"/>
    <x v="6"/>
    <x v="6"/>
    <n v="42.7"/>
    <n v="35.9"/>
  </r>
  <r>
    <x v="0"/>
    <x v="23"/>
    <x v="7"/>
    <x v="7"/>
    <n v="45.8"/>
    <n v="38.4"/>
  </r>
  <r>
    <x v="0"/>
    <x v="23"/>
    <x v="8"/>
    <x v="8"/>
    <n v="37.9"/>
    <n v="62.3"/>
  </r>
  <r>
    <x v="0"/>
    <x v="23"/>
    <x v="9"/>
    <x v="9"/>
    <n v="117.2"/>
    <n v="27"/>
  </r>
  <r>
    <x v="0"/>
    <x v="23"/>
    <x v="10"/>
    <x v="10"/>
    <n v="236.5"/>
    <n v="0"/>
  </r>
  <r>
    <x v="0"/>
    <x v="23"/>
    <x v="11"/>
    <x v="11"/>
    <n v="270.3"/>
    <n v="0"/>
  </r>
  <r>
    <x v="6"/>
    <x v="23"/>
    <x v="0"/>
    <x v="0"/>
    <n v="322.8"/>
    <n v="0"/>
  </r>
  <r>
    <x v="6"/>
    <x v="23"/>
    <x v="1"/>
    <x v="1"/>
    <n v="299"/>
    <n v="0"/>
  </r>
  <r>
    <x v="6"/>
    <x v="23"/>
    <x v="2"/>
    <x v="2"/>
    <n v="241.4"/>
    <n v="0"/>
  </r>
  <r>
    <x v="6"/>
    <x v="23"/>
    <x v="3"/>
    <x v="3"/>
    <n v="187.5"/>
    <n v="1.8"/>
  </r>
  <r>
    <x v="6"/>
    <x v="23"/>
    <x v="4"/>
    <x v="4"/>
    <n v="92.1"/>
    <n v="22.5"/>
  </r>
  <r>
    <x v="6"/>
    <x v="23"/>
    <x v="5"/>
    <x v="5"/>
    <n v="28.5"/>
    <n v="91.5"/>
  </r>
  <r>
    <x v="6"/>
    <x v="23"/>
    <x v="6"/>
    <x v="6"/>
    <n v="28.5"/>
    <n v="57.4"/>
  </r>
  <r>
    <x v="6"/>
    <x v="23"/>
    <x v="7"/>
    <x v="7"/>
    <n v="31.7"/>
    <n v="66.900000000000006"/>
  </r>
  <r>
    <x v="6"/>
    <x v="23"/>
    <x v="8"/>
    <x v="8"/>
    <n v="32.299999999999997"/>
    <n v="90.3"/>
  </r>
  <r>
    <x v="6"/>
    <x v="23"/>
    <x v="9"/>
    <x v="9"/>
    <n v="99.6"/>
    <n v="27.4"/>
  </r>
  <r>
    <x v="6"/>
    <x v="23"/>
    <x v="10"/>
    <x v="10"/>
    <n v="216.3"/>
    <n v="0"/>
  </r>
  <r>
    <x v="6"/>
    <x v="23"/>
    <x v="11"/>
    <x v="11"/>
    <n v="258.10000000000002"/>
    <n v="0"/>
  </r>
</pivotCacheRecords>
</file>

<file path=xl/pivotCache/pivotCacheRecords2.xml><?xml version="1.0" encoding="utf-8"?>
<pivotCacheRecords xmlns="http://schemas.openxmlformats.org/spreadsheetml/2006/main" xmlns:r="http://schemas.openxmlformats.org/officeDocument/2006/relationships" count="1542">
  <r>
    <m/>
    <x v="0"/>
    <x v="0"/>
    <x v="0"/>
    <m/>
    <m/>
    <x v="0"/>
    <m/>
    <m/>
    <m/>
    <m/>
    <m/>
    <m/>
    <m/>
    <m/>
    <m/>
    <m/>
    <m/>
    <m/>
    <m/>
    <m/>
    <m/>
    <x v="0"/>
    <x v="0"/>
    <x v="0"/>
    <x v="0"/>
    <m/>
  </r>
  <r>
    <m/>
    <x v="0"/>
    <x v="0"/>
    <x v="0"/>
    <m/>
    <m/>
    <x v="0"/>
    <m/>
    <m/>
    <m/>
    <m/>
    <m/>
    <m/>
    <m/>
    <m/>
    <m/>
    <m/>
    <m/>
    <m/>
    <m/>
    <m/>
    <m/>
    <x v="0"/>
    <x v="1"/>
    <x v="0"/>
    <x v="0"/>
    <m/>
  </r>
  <r>
    <m/>
    <x v="0"/>
    <x v="0"/>
    <x v="0"/>
    <m/>
    <m/>
    <x v="0"/>
    <m/>
    <m/>
    <m/>
    <m/>
    <m/>
    <m/>
    <m/>
    <m/>
    <m/>
    <m/>
    <m/>
    <m/>
    <m/>
    <m/>
    <m/>
    <x v="0"/>
    <x v="2"/>
    <x v="0"/>
    <x v="0"/>
    <m/>
  </r>
  <r>
    <m/>
    <x v="0"/>
    <x v="0"/>
    <x v="0"/>
    <m/>
    <m/>
    <x v="0"/>
    <m/>
    <m/>
    <m/>
    <m/>
    <m/>
    <m/>
    <m/>
    <m/>
    <m/>
    <m/>
    <m/>
    <m/>
    <m/>
    <m/>
    <m/>
    <x v="1"/>
    <x v="3"/>
    <x v="0"/>
    <x v="0"/>
    <m/>
  </r>
  <r>
    <m/>
    <x v="0"/>
    <x v="0"/>
    <x v="0"/>
    <m/>
    <m/>
    <x v="0"/>
    <m/>
    <m/>
    <m/>
    <m/>
    <m/>
    <m/>
    <m/>
    <m/>
    <m/>
    <m/>
    <m/>
    <m/>
    <m/>
    <m/>
    <m/>
    <x v="1"/>
    <x v="4"/>
    <x v="0"/>
    <x v="0"/>
    <m/>
  </r>
  <r>
    <m/>
    <x v="0"/>
    <x v="0"/>
    <x v="0"/>
    <m/>
    <s v=""/>
    <x v="0"/>
    <m/>
    <m/>
    <m/>
    <m/>
    <m/>
    <m/>
    <m/>
    <m/>
    <m/>
    <m/>
    <m/>
    <m/>
    <m/>
    <m/>
    <m/>
    <x v="0"/>
    <x v="4"/>
    <x v="0"/>
    <x v="0"/>
    <m/>
  </r>
  <r>
    <d v="2010-01-01T00:00:00"/>
    <x v="1"/>
    <x v="1"/>
    <x v="1"/>
    <s v="Compteur 1"/>
    <s v="Compteur_1"/>
    <x v="1"/>
    <d v="1899-12-30T00:00:00"/>
    <d v="1899-12-30T00:00:00"/>
    <n v="1"/>
    <e v="#VALUE!"/>
    <n v="0"/>
    <e v="#VALUE!"/>
    <s v=""/>
    <e v="#VALUE!"/>
    <n v="0"/>
    <e v="#VALUE!"/>
    <e v="#VALUE!"/>
    <s v=""/>
    <s v=""/>
    <s v=""/>
    <n v="0"/>
    <x v="2"/>
    <x v="5"/>
    <x v="1"/>
    <x v="1"/>
    <n v="487.6"/>
  </r>
  <r>
    <d v="2010-02-01T00:00:00"/>
    <x v="2"/>
    <x v="2"/>
    <x v="1"/>
    <s v="Compteur 1"/>
    <s v="Compteur_1"/>
    <x v="1"/>
    <d v="1899-12-30T00:00:00"/>
    <d v="1899-12-30T00:00:00"/>
    <n v="1"/>
    <e v="#VALUE!"/>
    <n v="0"/>
    <e v="#VALUE!"/>
    <s v=""/>
    <e v="#VALUE!"/>
    <n v="0"/>
    <e v="#VALUE!"/>
    <e v="#VALUE!"/>
    <s v=""/>
    <s v=""/>
    <s v=""/>
    <n v="0"/>
    <x v="2"/>
    <x v="5"/>
    <x v="1"/>
    <x v="1"/>
    <n v="370.3"/>
  </r>
  <r>
    <d v="2010-03-01T00:00:00"/>
    <x v="3"/>
    <x v="3"/>
    <x v="1"/>
    <s v="Compteur 1"/>
    <s v="Compteur_1"/>
    <x v="1"/>
    <d v="1899-12-30T00:00:00"/>
    <d v="1899-12-30T00:00:00"/>
    <n v="1"/>
    <e v="#VALUE!"/>
    <n v="0"/>
    <e v="#VALUE!"/>
    <s v=""/>
    <e v="#VALUE!"/>
    <n v="0"/>
    <e v="#VALUE!"/>
    <e v="#VALUE!"/>
    <s v=""/>
    <s v=""/>
    <s v=""/>
    <n v="0"/>
    <x v="2"/>
    <x v="5"/>
    <x v="1"/>
    <x v="1"/>
    <n v="312.8"/>
  </r>
  <r>
    <d v="2010-04-01T00:00:00"/>
    <x v="4"/>
    <x v="4"/>
    <x v="1"/>
    <s v="Compteur 1"/>
    <s v="Compteur_1"/>
    <x v="1"/>
    <d v="1899-12-30T00:00:00"/>
    <d v="1899-12-30T00:00:00"/>
    <n v="1"/>
    <e v="#VALUE!"/>
    <n v="0"/>
    <e v="#VALUE!"/>
    <s v=""/>
    <e v="#VALUE!"/>
    <n v="0"/>
    <e v="#VALUE!"/>
    <e v="#VALUE!"/>
    <s v=""/>
    <s v=""/>
    <s v=""/>
    <n v="0"/>
    <x v="2"/>
    <x v="5"/>
    <x v="1"/>
    <x v="1"/>
    <n v="199.2"/>
  </r>
  <r>
    <d v="2010-05-01T00:00:00"/>
    <x v="5"/>
    <x v="5"/>
    <x v="1"/>
    <s v="Compteur 1"/>
    <s v="Compteur_1"/>
    <x v="1"/>
    <d v="1899-12-30T00:00:00"/>
    <d v="1899-12-30T00:00:00"/>
    <n v="1"/>
    <e v="#VALUE!"/>
    <n v="0"/>
    <e v="#VALUE!"/>
    <s v=""/>
    <e v="#VALUE!"/>
    <n v="0"/>
    <e v="#VALUE!"/>
    <e v="#VALUE!"/>
    <s v=""/>
    <s v=""/>
    <s v=""/>
    <n v="0"/>
    <x v="2"/>
    <x v="5"/>
    <x v="1"/>
    <x v="1"/>
    <n v="155.4"/>
  </r>
  <r>
    <d v="2010-06-01T00:00:00"/>
    <x v="6"/>
    <x v="6"/>
    <x v="1"/>
    <s v="Compteur 1"/>
    <s v="Compteur_1"/>
    <x v="1"/>
    <d v="1899-12-30T00:00:00"/>
    <d v="1899-12-30T00:00:00"/>
    <n v="1"/>
    <e v="#VALUE!"/>
    <n v="0"/>
    <e v="#VALUE!"/>
    <s v=""/>
    <e v="#VALUE!"/>
    <n v="0"/>
    <e v="#VALUE!"/>
    <e v="#VALUE!"/>
    <s v=""/>
    <s v=""/>
    <s v=""/>
    <n v="0"/>
    <x v="2"/>
    <x v="5"/>
    <x v="1"/>
    <x v="1"/>
    <n v="46.7"/>
  </r>
  <r>
    <d v="2010-07-01T00:00:00"/>
    <x v="7"/>
    <x v="7"/>
    <x v="1"/>
    <s v="Compteur 1"/>
    <s v="Compteur_1"/>
    <x v="1"/>
    <d v="1899-12-30T00:00:00"/>
    <d v="1899-12-30T00:00:00"/>
    <n v="1"/>
    <e v="#VALUE!"/>
    <n v="0"/>
    <e v="#VALUE!"/>
    <s v=""/>
    <e v="#VALUE!"/>
    <n v="0"/>
    <e v="#VALUE!"/>
    <e v="#VALUE!"/>
    <s v=""/>
    <s v=""/>
    <s v=""/>
    <n v="0"/>
    <x v="2"/>
    <x v="5"/>
    <x v="1"/>
    <x v="1"/>
    <n v="22.2"/>
  </r>
  <r>
    <d v="2010-08-01T00:00:00"/>
    <x v="8"/>
    <x v="8"/>
    <x v="1"/>
    <s v="Compteur 1"/>
    <s v="Compteur_1"/>
    <x v="1"/>
    <d v="1899-12-30T00:00:00"/>
    <d v="1899-12-30T00:00:00"/>
    <n v="1"/>
    <e v="#VALUE!"/>
    <n v="0"/>
    <e v="#VALUE!"/>
    <s v=""/>
    <e v="#VALUE!"/>
    <n v="0"/>
    <e v="#VALUE!"/>
    <e v="#VALUE!"/>
    <s v=""/>
    <s v=""/>
    <s v=""/>
    <n v="0"/>
    <x v="2"/>
    <x v="5"/>
    <x v="1"/>
    <x v="1"/>
    <n v="41.5"/>
  </r>
  <r>
    <d v="2010-09-01T00:00:00"/>
    <x v="9"/>
    <x v="9"/>
    <x v="1"/>
    <s v="Compteur 1"/>
    <s v="Compteur_1"/>
    <x v="1"/>
    <d v="1899-12-30T00:00:00"/>
    <d v="1899-12-30T00:00:00"/>
    <n v="1"/>
    <e v="#VALUE!"/>
    <n v="0"/>
    <e v="#VALUE!"/>
    <s v=""/>
    <e v="#VALUE!"/>
    <n v="0"/>
    <e v="#VALUE!"/>
    <e v="#VALUE!"/>
    <s v=""/>
    <s v=""/>
    <s v=""/>
    <n v="0"/>
    <x v="2"/>
    <x v="5"/>
    <x v="1"/>
    <x v="1"/>
    <n v="95.4"/>
  </r>
  <r>
    <d v="2010-10-01T00:00:00"/>
    <x v="10"/>
    <x v="10"/>
    <x v="1"/>
    <s v="Compteur 1"/>
    <s v="Compteur_1"/>
    <x v="1"/>
    <d v="1899-12-30T00:00:00"/>
    <d v="1899-12-30T00:00:00"/>
    <n v="1"/>
    <e v="#VALUE!"/>
    <n v="0"/>
    <e v="#VALUE!"/>
    <s v=""/>
    <e v="#VALUE!"/>
    <n v="0"/>
    <e v="#VALUE!"/>
    <e v="#VALUE!"/>
    <s v=""/>
    <s v=""/>
    <s v=""/>
    <n v="0"/>
    <x v="2"/>
    <x v="5"/>
    <x v="1"/>
    <x v="1"/>
    <n v="190.1"/>
  </r>
  <r>
    <d v="2010-11-01T00:00:00"/>
    <x v="11"/>
    <x v="11"/>
    <x v="1"/>
    <s v="Compteur 1"/>
    <s v="Compteur_1"/>
    <x v="1"/>
    <d v="1899-12-30T00:00:00"/>
    <d v="1899-12-30T00:00:00"/>
    <n v="1"/>
    <e v="#VALUE!"/>
    <n v="0"/>
    <e v="#VALUE!"/>
    <s v=""/>
    <e v="#VALUE!"/>
    <n v="0"/>
    <e v="#VALUE!"/>
    <e v="#VALUE!"/>
    <s v=""/>
    <s v=""/>
    <s v=""/>
    <n v="0"/>
    <x v="2"/>
    <x v="5"/>
    <x v="1"/>
    <x v="1"/>
    <n v="320.89999999999998"/>
  </r>
  <r>
    <d v="2010-12-01T00:00:00"/>
    <x v="12"/>
    <x v="12"/>
    <x v="1"/>
    <s v="Compteur 1"/>
    <s v="Compteur_1"/>
    <x v="1"/>
    <d v="1899-12-30T00:00:00"/>
    <d v="1899-12-30T00:00:00"/>
    <n v="1"/>
    <e v="#VALUE!"/>
    <n v="0"/>
    <e v="#VALUE!"/>
    <s v=""/>
    <e v="#VALUE!"/>
    <n v="0"/>
    <e v="#VALUE!"/>
    <e v="#VALUE!"/>
    <s v=""/>
    <s v=""/>
    <s v=""/>
    <n v="0"/>
    <x v="2"/>
    <x v="5"/>
    <x v="1"/>
    <x v="1"/>
    <n v="500.7"/>
  </r>
  <r>
    <d v="2011-01-01T00:00:00"/>
    <x v="13"/>
    <x v="1"/>
    <x v="2"/>
    <s v="Compteur 1"/>
    <s v="Compteur_1"/>
    <x v="1"/>
    <d v="1899-12-30T00:00:00"/>
    <d v="1899-12-30T00:00:00"/>
    <n v="1"/>
    <e v="#VALUE!"/>
    <n v="0"/>
    <e v="#VALUE!"/>
    <s v=""/>
    <e v="#VALUE!"/>
    <n v="0"/>
    <e v="#VALUE!"/>
    <e v="#VALUE!"/>
    <s v=""/>
    <s v=""/>
    <s v=""/>
    <n v="0"/>
    <x v="2"/>
    <x v="5"/>
    <x v="1"/>
    <x v="1"/>
    <n v="392.2"/>
  </r>
  <r>
    <d v="2011-02-01T00:00:00"/>
    <x v="14"/>
    <x v="2"/>
    <x v="2"/>
    <s v="Compteur 1"/>
    <s v="Compteur_1"/>
    <x v="1"/>
    <d v="1899-12-30T00:00:00"/>
    <d v="1899-12-30T00:00:00"/>
    <n v="1"/>
    <e v="#VALUE!"/>
    <n v="0"/>
    <e v="#VALUE!"/>
    <s v=""/>
    <e v="#VALUE!"/>
    <n v="0"/>
    <e v="#VALUE!"/>
    <e v="#VALUE!"/>
    <s v=""/>
    <s v=""/>
    <s v=""/>
    <n v="0"/>
    <x v="2"/>
    <x v="5"/>
    <x v="1"/>
    <x v="1"/>
    <n v="299.10000000000002"/>
  </r>
  <r>
    <d v="2011-03-01T00:00:00"/>
    <x v="15"/>
    <x v="3"/>
    <x v="2"/>
    <s v="Compteur 1"/>
    <s v="Compteur_1"/>
    <x v="1"/>
    <d v="1899-12-30T00:00:00"/>
    <d v="1899-12-30T00:00:00"/>
    <n v="1"/>
    <e v="#VALUE!"/>
    <n v="0"/>
    <e v="#VALUE!"/>
    <s v=""/>
    <e v="#VALUE!"/>
    <n v="0"/>
    <e v="#VALUE!"/>
    <e v="#VALUE!"/>
    <s v=""/>
    <s v=""/>
    <s v=""/>
    <n v="0"/>
    <x v="2"/>
    <x v="5"/>
    <x v="1"/>
    <x v="1"/>
    <n v="266.5"/>
  </r>
  <r>
    <d v="2011-04-01T00:00:00"/>
    <x v="16"/>
    <x v="4"/>
    <x v="2"/>
    <s v="Compteur 1"/>
    <s v="Compteur_1"/>
    <x v="1"/>
    <d v="1899-12-30T00:00:00"/>
    <d v="1899-12-30T00:00:00"/>
    <n v="1"/>
    <e v="#VALUE!"/>
    <n v="0"/>
    <e v="#VALUE!"/>
    <s v=""/>
    <e v="#VALUE!"/>
    <n v="0"/>
    <e v="#VALUE!"/>
    <e v="#VALUE!"/>
    <s v=""/>
    <s v=""/>
    <s v=""/>
    <n v="0"/>
    <x v="2"/>
    <x v="5"/>
    <x v="1"/>
    <x v="1"/>
    <n v="136.19999999999999"/>
  </r>
  <r>
    <d v="2011-05-01T00:00:00"/>
    <x v="17"/>
    <x v="5"/>
    <x v="2"/>
    <s v="Compteur 1"/>
    <s v="Compteur_1"/>
    <x v="1"/>
    <d v="1899-12-30T00:00:00"/>
    <d v="1899-12-30T00:00:00"/>
    <n v="1"/>
    <e v="#VALUE!"/>
    <n v="0"/>
    <e v="#VALUE!"/>
    <s v=""/>
    <e v="#VALUE!"/>
    <n v="0"/>
    <e v="#VALUE!"/>
    <e v="#VALUE!"/>
    <s v=""/>
    <s v=""/>
    <s v=""/>
    <n v="0"/>
    <x v="2"/>
    <x v="5"/>
    <x v="1"/>
    <x v="1"/>
    <n v="91.9"/>
  </r>
  <r>
    <d v="2011-06-01T00:00:00"/>
    <x v="18"/>
    <x v="6"/>
    <x v="2"/>
    <s v="Compteur 1"/>
    <s v="Compteur_1"/>
    <x v="1"/>
    <d v="1899-12-30T00:00:00"/>
    <d v="1899-12-30T00:00:00"/>
    <n v="1"/>
    <e v="#VALUE!"/>
    <n v="0"/>
    <e v="#VALUE!"/>
    <s v=""/>
    <e v="#VALUE!"/>
    <n v="0"/>
    <e v="#VALUE!"/>
    <e v="#VALUE!"/>
    <s v=""/>
    <s v=""/>
    <s v=""/>
    <n v="0"/>
    <x v="2"/>
    <x v="5"/>
    <x v="1"/>
    <x v="1"/>
    <n v="55.8"/>
  </r>
  <r>
    <d v="2011-07-01T00:00:00"/>
    <x v="19"/>
    <x v="7"/>
    <x v="2"/>
    <s v="Compteur 1"/>
    <s v="Compteur_1"/>
    <x v="1"/>
    <d v="1899-12-30T00:00:00"/>
    <d v="1899-12-30T00:00:00"/>
    <n v="1"/>
    <e v="#VALUE!"/>
    <n v="0"/>
    <e v="#VALUE!"/>
    <s v=""/>
    <e v="#VALUE!"/>
    <n v="0"/>
    <e v="#VALUE!"/>
    <e v="#VALUE!"/>
    <s v=""/>
    <s v=""/>
    <s v=""/>
    <n v="0"/>
    <x v="2"/>
    <x v="5"/>
    <x v="1"/>
    <x v="1"/>
    <n v="50.8"/>
  </r>
  <r>
    <d v="2011-08-01T00:00:00"/>
    <x v="20"/>
    <x v="8"/>
    <x v="2"/>
    <s v="Compteur 1"/>
    <s v="Compteur_1"/>
    <x v="1"/>
    <d v="1899-12-30T00:00:00"/>
    <d v="1899-12-30T00:00:00"/>
    <n v="1"/>
    <e v="#VALUE!"/>
    <n v="0"/>
    <e v="#VALUE!"/>
    <s v=""/>
    <e v="#VALUE!"/>
    <n v="0"/>
    <e v="#VALUE!"/>
    <e v="#VALUE!"/>
    <s v=""/>
    <s v=""/>
    <s v=""/>
    <n v="0"/>
    <x v="2"/>
    <x v="5"/>
    <x v="1"/>
    <x v="1"/>
    <n v="34.700000000000003"/>
  </r>
  <r>
    <d v="2011-09-01T00:00:00"/>
    <x v="21"/>
    <x v="9"/>
    <x v="2"/>
    <s v="Compteur 1"/>
    <s v="Compteur_1"/>
    <x v="1"/>
    <d v="1899-12-30T00:00:00"/>
    <d v="1899-12-30T00:00:00"/>
    <n v="1"/>
    <e v="#VALUE!"/>
    <n v="0"/>
    <e v="#VALUE!"/>
    <s v=""/>
    <e v="#VALUE!"/>
    <n v="0"/>
    <e v="#VALUE!"/>
    <e v="#VALUE!"/>
    <s v=""/>
    <s v=""/>
    <s v=""/>
    <n v="0"/>
    <x v="2"/>
    <x v="5"/>
    <x v="1"/>
    <x v="1"/>
    <n v="51.3"/>
  </r>
  <r>
    <d v="2011-10-01T00:00:00"/>
    <x v="22"/>
    <x v="10"/>
    <x v="2"/>
    <s v="Compteur 1"/>
    <s v="Compteur_1"/>
    <x v="1"/>
    <d v="1899-12-30T00:00:00"/>
    <d v="1899-12-30T00:00:00"/>
    <n v="1"/>
    <e v="#VALUE!"/>
    <n v="0"/>
    <e v="#VALUE!"/>
    <s v=""/>
    <e v="#VALUE!"/>
    <n v="0"/>
    <e v="#VALUE!"/>
    <e v="#VALUE!"/>
    <s v=""/>
    <s v=""/>
    <s v=""/>
    <n v="0"/>
    <x v="2"/>
    <x v="5"/>
    <x v="1"/>
    <x v="1"/>
    <n v="145.6"/>
  </r>
  <r>
    <d v="2011-11-01T00:00:00"/>
    <x v="23"/>
    <x v="11"/>
    <x v="2"/>
    <s v="Compteur 1"/>
    <s v="Compteur_1"/>
    <x v="1"/>
    <d v="1899-12-30T00:00:00"/>
    <d v="1899-12-30T00:00:00"/>
    <n v="1"/>
    <e v="#VALUE!"/>
    <n v="0"/>
    <e v="#VALUE!"/>
    <s v=""/>
    <e v="#VALUE!"/>
    <n v="0"/>
    <e v="#VALUE!"/>
    <e v="#VALUE!"/>
    <s v=""/>
    <s v=""/>
    <s v=""/>
    <n v="0"/>
    <x v="2"/>
    <x v="5"/>
    <x v="1"/>
    <x v="1"/>
    <n v="205.3"/>
  </r>
  <r>
    <d v="2011-12-01T00:00:00"/>
    <x v="24"/>
    <x v="12"/>
    <x v="2"/>
    <s v="Compteur 1"/>
    <s v="Compteur_1"/>
    <x v="1"/>
    <d v="1899-12-30T00:00:00"/>
    <d v="1899-12-30T00:00:00"/>
    <n v="1"/>
    <e v="#VALUE!"/>
    <n v="0"/>
    <e v="#VALUE!"/>
    <s v=""/>
    <e v="#VALUE!"/>
    <n v="0"/>
    <e v="#VALUE!"/>
    <e v="#VALUE!"/>
    <s v=""/>
    <s v=""/>
    <s v=""/>
    <n v="0"/>
    <x v="2"/>
    <x v="5"/>
    <x v="1"/>
    <x v="1"/>
    <n v="307.5"/>
  </r>
  <r>
    <d v="2012-01-01T00:00:00"/>
    <x v="25"/>
    <x v="1"/>
    <x v="3"/>
    <s v="Compteur 1"/>
    <s v="Compteur_1"/>
    <x v="1"/>
    <d v="1899-12-30T00:00:00"/>
    <d v="1899-12-30T00:00:00"/>
    <n v="1"/>
    <e v="#VALUE!"/>
    <n v="0"/>
    <e v="#VALUE!"/>
    <s v=""/>
    <e v="#VALUE!"/>
    <n v="0"/>
    <e v="#VALUE!"/>
    <e v="#VALUE!"/>
    <s v=""/>
    <s v=""/>
    <s v=""/>
    <n v="0"/>
    <x v="2"/>
    <x v="5"/>
    <x v="1"/>
    <x v="1"/>
    <n v="348.8"/>
  </r>
  <r>
    <d v="2012-02-01T00:00:00"/>
    <x v="26"/>
    <x v="2"/>
    <x v="3"/>
    <s v="Compteur 1"/>
    <s v="Compteur_1"/>
    <x v="1"/>
    <d v="1899-12-30T00:00:00"/>
    <d v="1899-12-30T00:00:00"/>
    <n v="1"/>
    <e v="#VALUE!"/>
    <n v="0"/>
    <e v="#VALUE!"/>
    <s v=""/>
    <e v="#VALUE!"/>
    <n v="0"/>
    <e v="#VALUE!"/>
    <e v="#VALUE!"/>
    <s v=""/>
    <s v=""/>
    <s v=""/>
    <n v="0"/>
    <x v="2"/>
    <x v="5"/>
    <x v="1"/>
    <x v="1"/>
    <n v="469.8"/>
  </r>
  <r>
    <d v="2012-03-01T00:00:00"/>
    <x v="27"/>
    <x v="3"/>
    <x v="3"/>
    <s v="Compteur 1"/>
    <s v="Compteur_1"/>
    <x v="1"/>
    <d v="1899-12-30T00:00:00"/>
    <d v="1899-12-30T00:00:00"/>
    <n v="1"/>
    <e v="#VALUE!"/>
    <n v="0"/>
    <e v="#VALUE!"/>
    <s v=""/>
    <e v="#VALUE!"/>
    <n v="0"/>
    <e v="#VALUE!"/>
    <e v="#VALUE!"/>
    <s v=""/>
    <s v=""/>
    <s v=""/>
    <n v="0"/>
    <x v="2"/>
    <x v="5"/>
    <x v="1"/>
    <x v="1"/>
    <n v="247.3"/>
  </r>
  <r>
    <d v="2012-04-01T00:00:00"/>
    <x v="28"/>
    <x v="4"/>
    <x v="3"/>
    <s v="Compteur 1"/>
    <s v="Compteur_1"/>
    <x v="1"/>
    <d v="1899-12-30T00:00:00"/>
    <d v="1899-12-30T00:00:00"/>
    <n v="1"/>
    <e v="#VALUE!"/>
    <n v="0"/>
    <e v="#VALUE!"/>
    <s v=""/>
    <e v="#VALUE!"/>
    <n v="0"/>
    <e v="#VALUE!"/>
    <e v="#VALUE!"/>
    <s v=""/>
    <s v=""/>
    <s v=""/>
    <n v="0"/>
    <x v="2"/>
    <x v="5"/>
    <x v="1"/>
    <x v="1"/>
    <n v="253.8"/>
  </r>
  <r>
    <d v="2012-05-01T00:00:00"/>
    <x v="29"/>
    <x v="5"/>
    <x v="3"/>
    <s v="Compteur 1"/>
    <s v="Compteur_1"/>
    <x v="1"/>
    <d v="1899-12-30T00:00:00"/>
    <d v="1899-12-30T00:00:00"/>
    <n v="1"/>
    <e v="#VALUE!"/>
    <n v="0"/>
    <e v="#VALUE!"/>
    <s v=""/>
    <e v="#VALUE!"/>
    <n v="0"/>
    <e v="#VALUE!"/>
    <e v="#VALUE!"/>
    <s v=""/>
    <s v=""/>
    <s v=""/>
    <n v="0"/>
    <x v="2"/>
    <x v="5"/>
    <x v="1"/>
    <x v="1"/>
    <n v="113.8"/>
  </r>
  <r>
    <d v="2012-06-01T00:00:00"/>
    <x v="30"/>
    <x v="6"/>
    <x v="3"/>
    <s v="Compteur 1"/>
    <s v="Compteur_1"/>
    <x v="1"/>
    <d v="1899-12-30T00:00:00"/>
    <d v="1899-12-30T00:00:00"/>
    <n v="1"/>
    <e v="#VALUE!"/>
    <n v="0"/>
    <e v="#VALUE!"/>
    <s v=""/>
    <e v="#VALUE!"/>
    <n v="0"/>
    <e v="#VALUE!"/>
    <e v="#VALUE!"/>
    <s v=""/>
    <s v=""/>
    <s v=""/>
    <n v="0"/>
    <x v="2"/>
    <x v="5"/>
    <x v="1"/>
    <x v="1"/>
    <n v="59.4"/>
  </r>
  <r>
    <d v="2012-07-01T00:00:00"/>
    <x v="31"/>
    <x v="7"/>
    <x v="3"/>
    <s v="Compteur 1"/>
    <s v="Compteur_1"/>
    <x v="1"/>
    <d v="1899-12-30T00:00:00"/>
    <d v="1899-12-30T00:00:00"/>
    <n v="1"/>
    <e v="#VALUE!"/>
    <n v="0"/>
    <e v="#VALUE!"/>
    <s v=""/>
    <e v="#VALUE!"/>
    <n v="0"/>
    <e v="#VALUE!"/>
    <e v="#VALUE!"/>
    <s v=""/>
    <s v=""/>
    <s v=""/>
    <n v="0"/>
    <x v="2"/>
    <x v="5"/>
    <x v="1"/>
    <x v="1"/>
    <n v="48.9"/>
  </r>
  <r>
    <d v="2012-08-01T00:00:00"/>
    <x v="32"/>
    <x v="8"/>
    <x v="3"/>
    <s v="Compteur 1"/>
    <s v="Compteur_1"/>
    <x v="1"/>
    <d v="1899-12-30T00:00:00"/>
    <d v="1899-12-30T00:00:00"/>
    <n v="1"/>
    <e v="#VALUE!"/>
    <n v="0"/>
    <e v="#VALUE!"/>
    <s v=""/>
    <e v="#VALUE!"/>
    <n v="0"/>
    <e v="#VALUE!"/>
    <e v="#VALUE!"/>
    <s v=""/>
    <s v=""/>
    <s v=""/>
    <n v="0"/>
    <x v="2"/>
    <x v="5"/>
    <x v="1"/>
    <x v="1"/>
    <n v="28.8"/>
  </r>
  <r>
    <d v="2012-09-01T00:00:00"/>
    <x v="33"/>
    <x v="9"/>
    <x v="3"/>
    <s v="Compteur 1"/>
    <s v="Compteur_1"/>
    <x v="1"/>
    <d v="1899-12-30T00:00:00"/>
    <d v="1899-12-30T00:00:00"/>
    <n v="1"/>
    <e v="#VALUE!"/>
    <n v="0"/>
    <e v="#VALUE!"/>
    <s v=""/>
    <e v="#VALUE!"/>
    <n v="0"/>
    <e v="#VALUE!"/>
    <e v="#VALUE!"/>
    <s v=""/>
    <s v=""/>
    <s v=""/>
    <n v="0"/>
    <x v="2"/>
    <x v="5"/>
    <x v="1"/>
    <x v="1"/>
    <n v="108.1"/>
  </r>
  <r>
    <d v="2012-10-01T00:00:00"/>
    <x v="34"/>
    <x v="10"/>
    <x v="3"/>
    <s v="Compteur 1"/>
    <s v="Compteur_1"/>
    <x v="1"/>
    <d v="1899-12-30T00:00:00"/>
    <d v="1899-12-30T00:00:00"/>
    <n v="1"/>
    <e v="#VALUE!"/>
    <n v="0"/>
    <e v="#VALUE!"/>
    <s v=""/>
    <e v="#VALUE!"/>
    <n v="0"/>
    <e v="#VALUE!"/>
    <e v="#VALUE!"/>
    <s v=""/>
    <s v=""/>
    <s v=""/>
    <n v="0"/>
    <x v="2"/>
    <x v="5"/>
    <x v="1"/>
    <x v="1"/>
    <n v="161.69999999999999"/>
  </r>
  <r>
    <d v="2012-11-01T00:00:00"/>
    <x v="35"/>
    <x v="11"/>
    <x v="3"/>
    <s v="Compteur 1"/>
    <s v="Compteur_1"/>
    <x v="1"/>
    <d v="1899-12-30T00:00:00"/>
    <d v="1899-12-30T00:00:00"/>
    <n v="1"/>
    <e v="#VALUE!"/>
    <n v="0"/>
    <e v="#VALUE!"/>
    <s v=""/>
    <e v="#VALUE!"/>
    <n v="0"/>
    <e v="#VALUE!"/>
    <e v="#VALUE!"/>
    <s v=""/>
    <s v=""/>
    <s v=""/>
    <n v="0"/>
    <x v="2"/>
    <x v="5"/>
    <x v="1"/>
    <x v="1"/>
    <n v="300.39999999999998"/>
  </r>
  <r>
    <d v="2012-12-01T00:00:00"/>
    <x v="36"/>
    <x v="12"/>
    <x v="3"/>
    <s v="Compteur 1"/>
    <s v="Compteur_1"/>
    <x v="1"/>
    <d v="1899-12-30T00:00:00"/>
    <d v="1899-12-30T00:00:00"/>
    <n v="1"/>
    <e v="#VALUE!"/>
    <n v="0"/>
    <e v="#VALUE!"/>
    <s v=""/>
    <e v="#VALUE!"/>
    <n v="0"/>
    <e v="#VALUE!"/>
    <e v="#VALUE!"/>
    <s v=""/>
    <s v=""/>
    <s v=""/>
    <n v="0"/>
    <x v="2"/>
    <x v="5"/>
    <x v="1"/>
    <x v="1"/>
    <n v="333.7"/>
  </r>
  <r>
    <d v="2013-01-01T00:00:00"/>
    <x v="37"/>
    <x v="1"/>
    <x v="4"/>
    <s v="Compteur 1"/>
    <s v="Compteur_1"/>
    <x v="1"/>
    <d v="1899-12-30T00:00:00"/>
    <d v="1899-12-30T00:00:00"/>
    <n v="1"/>
    <e v="#VALUE!"/>
    <n v="0"/>
    <e v="#VALUE!"/>
    <s v=""/>
    <e v="#VALUE!"/>
    <n v="0"/>
    <e v="#VALUE!"/>
    <e v="#VALUE!"/>
    <s v=""/>
    <s v=""/>
    <s v=""/>
    <n v="0"/>
    <x v="2"/>
    <x v="5"/>
    <x v="1"/>
    <x v="1"/>
    <n v="409.5"/>
  </r>
  <r>
    <d v="2013-02-01T00:00:00"/>
    <x v="38"/>
    <x v="2"/>
    <x v="4"/>
    <s v="Compteur 1"/>
    <s v="Compteur_1"/>
    <x v="1"/>
    <d v="1899-12-30T00:00:00"/>
    <d v="1899-12-30T00:00:00"/>
    <n v="1"/>
    <e v="#VALUE!"/>
    <n v="0"/>
    <e v="#VALUE!"/>
    <s v=""/>
    <e v="#VALUE!"/>
    <n v="0"/>
    <e v="#VALUE!"/>
    <e v="#VALUE!"/>
    <s v=""/>
    <s v=""/>
    <s v=""/>
    <n v="0"/>
    <x v="2"/>
    <x v="5"/>
    <x v="1"/>
    <x v="1"/>
    <n v="389.8"/>
  </r>
  <r>
    <d v="2013-03-01T00:00:00"/>
    <x v="39"/>
    <x v="3"/>
    <x v="4"/>
    <s v="Compteur 1"/>
    <s v="Compteur_1"/>
    <x v="1"/>
    <d v="1899-12-30T00:00:00"/>
    <d v="1899-12-30T00:00:00"/>
    <n v="1"/>
    <e v="#VALUE!"/>
    <n v="0"/>
    <e v="#VALUE!"/>
    <s v=""/>
    <e v="#VALUE!"/>
    <n v="0"/>
    <e v="#VALUE!"/>
    <e v="#VALUE!"/>
    <s v=""/>
    <s v=""/>
    <s v=""/>
    <n v="0"/>
    <x v="2"/>
    <x v="5"/>
    <x v="1"/>
    <x v="1"/>
    <n v="360.4"/>
  </r>
  <r>
    <d v="2013-04-01T00:00:00"/>
    <x v="40"/>
    <x v="4"/>
    <x v="4"/>
    <s v="Compteur 1"/>
    <s v="Compteur_1"/>
    <x v="1"/>
    <d v="1899-12-30T00:00:00"/>
    <d v="1899-12-30T00:00:00"/>
    <n v="1"/>
    <e v="#VALUE!"/>
    <n v="0"/>
    <e v="#VALUE!"/>
    <s v=""/>
    <e v="#VALUE!"/>
    <n v="0"/>
    <e v="#VALUE!"/>
    <e v="#VALUE!"/>
    <s v=""/>
    <s v=""/>
    <s v=""/>
    <n v="0"/>
    <x v="2"/>
    <x v="5"/>
    <x v="1"/>
    <x v="1"/>
    <n v="247.2"/>
  </r>
  <r>
    <d v="2013-05-01T00:00:00"/>
    <x v="41"/>
    <x v="5"/>
    <x v="4"/>
    <s v="Compteur 1"/>
    <s v="Compteur_1"/>
    <x v="1"/>
    <d v="1899-12-30T00:00:00"/>
    <d v="1899-12-30T00:00:00"/>
    <n v="1"/>
    <e v="#VALUE!"/>
    <n v="0"/>
    <e v="#VALUE!"/>
    <s v=""/>
    <e v="#VALUE!"/>
    <n v="0"/>
    <e v="#VALUE!"/>
    <e v="#VALUE!"/>
    <s v=""/>
    <s v=""/>
    <s v=""/>
    <n v="0"/>
    <x v="2"/>
    <x v="5"/>
    <x v="1"/>
    <x v="1"/>
    <n v="175.2"/>
  </r>
  <r>
    <d v="2013-06-01T00:00:00"/>
    <x v="42"/>
    <x v="6"/>
    <x v="4"/>
    <s v="Compteur 1"/>
    <s v="Compteur_1"/>
    <x v="1"/>
    <d v="1899-12-30T00:00:00"/>
    <d v="1899-12-30T00:00:00"/>
    <n v="1"/>
    <e v="#VALUE!"/>
    <n v="0"/>
    <e v="#VALUE!"/>
    <s v=""/>
    <e v="#VALUE!"/>
    <n v="0"/>
    <e v="#VALUE!"/>
    <e v="#VALUE!"/>
    <s v=""/>
    <s v=""/>
    <s v=""/>
    <n v="0"/>
    <x v="2"/>
    <x v="5"/>
    <x v="1"/>
    <x v="1"/>
    <n v="68"/>
  </r>
  <r>
    <d v="2013-07-01T00:00:00"/>
    <x v="43"/>
    <x v="7"/>
    <x v="4"/>
    <s v="Compteur 1"/>
    <s v="Compteur_1"/>
    <x v="1"/>
    <d v="1899-12-30T00:00:00"/>
    <d v="1899-12-30T00:00:00"/>
    <n v="1"/>
    <e v="#VALUE!"/>
    <n v="0"/>
    <e v="#VALUE!"/>
    <s v=""/>
    <e v="#VALUE!"/>
    <n v="0"/>
    <e v="#VALUE!"/>
    <e v="#VALUE!"/>
    <s v=""/>
    <s v=""/>
    <s v=""/>
    <n v="0"/>
    <x v="2"/>
    <x v="5"/>
    <x v="1"/>
    <x v="1"/>
    <n v="13.3"/>
  </r>
  <r>
    <d v="2013-08-01T00:00:00"/>
    <x v="44"/>
    <x v="8"/>
    <x v="4"/>
    <s v="Compteur 1"/>
    <s v="Compteur_1"/>
    <x v="1"/>
    <d v="1899-12-30T00:00:00"/>
    <d v="1899-12-30T00:00:00"/>
    <n v="1"/>
    <e v="#VALUE!"/>
    <n v="0"/>
    <e v="#VALUE!"/>
    <s v=""/>
    <e v="#VALUE!"/>
    <n v="0"/>
    <e v="#VALUE!"/>
    <e v="#VALUE!"/>
    <s v=""/>
    <s v=""/>
    <s v=""/>
    <n v="0"/>
    <x v="2"/>
    <x v="5"/>
    <x v="1"/>
    <x v="1"/>
    <n v="38.5"/>
  </r>
  <r>
    <d v="2013-09-01T00:00:00"/>
    <x v="45"/>
    <x v="9"/>
    <x v="4"/>
    <s v="Compteur 1"/>
    <s v="Compteur_1"/>
    <x v="1"/>
    <d v="1899-12-30T00:00:00"/>
    <d v="1899-12-30T00:00:00"/>
    <n v="1"/>
    <e v="#VALUE!"/>
    <n v="0"/>
    <e v="#VALUE!"/>
    <s v=""/>
    <e v="#VALUE!"/>
    <n v="0"/>
    <e v="#VALUE!"/>
    <e v="#VALUE!"/>
    <s v=""/>
    <s v=""/>
    <s v=""/>
    <n v="0"/>
    <x v="2"/>
    <x v="5"/>
    <x v="1"/>
    <x v="1"/>
    <n v="69.2"/>
  </r>
  <r>
    <d v="2013-10-01T00:00:00"/>
    <x v="46"/>
    <x v="10"/>
    <x v="4"/>
    <s v="Compteur 1"/>
    <s v="Compteur_1"/>
    <x v="1"/>
    <d v="1899-12-30T00:00:00"/>
    <d v="1899-12-30T00:00:00"/>
    <n v="1"/>
    <e v="#VALUE!"/>
    <n v="0"/>
    <e v="#VALUE!"/>
    <s v=""/>
    <e v="#VALUE!"/>
    <n v="0"/>
    <e v="#VALUE!"/>
    <e v="#VALUE!"/>
    <s v=""/>
    <s v=""/>
    <s v=""/>
    <n v="0"/>
    <x v="2"/>
    <x v="5"/>
    <x v="1"/>
    <x v="1"/>
    <n v="122.6"/>
  </r>
  <r>
    <d v="2013-11-01T00:00:00"/>
    <x v="47"/>
    <x v="11"/>
    <x v="4"/>
    <s v="Compteur 1"/>
    <s v="Compteur_1"/>
    <x v="1"/>
    <d v="1899-12-30T00:00:00"/>
    <d v="1899-12-30T00:00:00"/>
    <n v="1"/>
    <e v="#VALUE!"/>
    <n v="0"/>
    <e v="#VALUE!"/>
    <s v=""/>
    <e v="#VALUE!"/>
    <n v="0"/>
    <e v="#VALUE!"/>
    <e v="#VALUE!"/>
    <s v=""/>
    <s v=""/>
    <s v=""/>
    <n v="0"/>
    <x v="2"/>
    <x v="5"/>
    <x v="1"/>
    <x v="1"/>
    <n v="311.10000000000002"/>
  </r>
  <r>
    <d v="2013-12-01T00:00:00"/>
    <x v="48"/>
    <x v="12"/>
    <x v="4"/>
    <s v="Compteur 1"/>
    <s v="Compteur_1"/>
    <x v="1"/>
    <d v="1899-12-30T00:00:00"/>
    <d v="1899-12-30T00:00:00"/>
    <n v="1"/>
    <e v="#VALUE!"/>
    <n v="0"/>
    <e v="#VALUE!"/>
    <s v=""/>
    <e v="#VALUE!"/>
    <n v="0"/>
    <e v="#VALUE!"/>
    <e v="#VALUE!"/>
    <s v=""/>
    <s v=""/>
    <s v=""/>
    <n v="0"/>
    <x v="2"/>
    <x v="5"/>
    <x v="1"/>
    <x v="1"/>
    <n v="380.4"/>
  </r>
  <r>
    <d v="2014-01-01T00:00:00"/>
    <x v="49"/>
    <x v="1"/>
    <x v="5"/>
    <s v="Compteur 1"/>
    <s v="Compteur_1"/>
    <x v="1"/>
    <d v="1899-12-30T00:00:00"/>
    <d v="1899-12-30T00:00:00"/>
    <n v="1"/>
    <e v="#VALUE!"/>
    <n v="0"/>
    <e v="#VALUE!"/>
    <s v=""/>
    <e v="#VALUE!"/>
    <n v="0"/>
    <e v="#VALUE!"/>
    <e v="#VALUE!"/>
    <s v=""/>
    <s v=""/>
    <s v=""/>
    <n v="0"/>
    <x v="2"/>
    <x v="5"/>
    <x v="1"/>
    <x v="1"/>
    <n v="320.5"/>
  </r>
  <r>
    <d v="2014-02-01T00:00:00"/>
    <x v="50"/>
    <x v="2"/>
    <x v="5"/>
    <s v="Compteur 1"/>
    <s v="Compteur_1"/>
    <x v="1"/>
    <d v="1899-12-30T00:00:00"/>
    <d v="1899-12-30T00:00:00"/>
    <n v="1"/>
    <e v="#VALUE!"/>
    <n v="0"/>
    <e v="#VALUE!"/>
    <s v=""/>
    <e v="#VALUE!"/>
    <n v="0"/>
    <e v="#VALUE!"/>
    <e v="#VALUE!"/>
    <s v=""/>
    <s v=""/>
    <s v=""/>
    <n v="0"/>
    <x v="2"/>
    <x v="5"/>
    <x v="1"/>
    <x v="1"/>
    <n v="281.3"/>
  </r>
  <r>
    <d v="2014-03-01T00:00:00"/>
    <x v="51"/>
    <x v="3"/>
    <x v="5"/>
    <s v="Compteur 1"/>
    <s v="Compteur_1"/>
    <x v="1"/>
    <d v="1899-12-30T00:00:00"/>
    <d v="1899-12-30T00:00:00"/>
    <n v="1"/>
    <e v="#VALUE!"/>
    <n v="0"/>
    <e v="#VALUE!"/>
    <s v=""/>
    <e v="#VALUE!"/>
    <n v="0"/>
    <e v="#VALUE!"/>
    <e v="#VALUE!"/>
    <s v=""/>
    <s v=""/>
    <s v=""/>
    <n v="0"/>
    <x v="2"/>
    <x v="5"/>
    <x v="1"/>
    <x v="1"/>
    <n v="263.89999999999998"/>
  </r>
  <r>
    <d v="2014-04-01T00:00:00"/>
    <x v="52"/>
    <x v="4"/>
    <x v="5"/>
    <s v="Compteur 1"/>
    <s v="Compteur_1"/>
    <x v="1"/>
    <d v="1899-12-30T00:00:00"/>
    <d v="1899-12-30T00:00:00"/>
    <n v="1"/>
    <e v="#VALUE!"/>
    <n v="0"/>
    <e v="#VALUE!"/>
    <s v=""/>
    <e v="#VALUE!"/>
    <n v="0"/>
    <e v="#VALUE!"/>
    <e v="#VALUE!"/>
    <s v=""/>
    <s v=""/>
    <s v=""/>
    <n v="0"/>
    <x v="2"/>
    <x v="5"/>
    <x v="1"/>
    <x v="1"/>
    <n v="174.2"/>
  </r>
  <r>
    <d v="2014-05-01T00:00:00"/>
    <x v="53"/>
    <x v="5"/>
    <x v="5"/>
    <s v="Compteur 1"/>
    <s v="Compteur_1"/>
    <x v="1"/>
    <d v="1899-12-30T00:00:00"/>
    <d v="1899-12-30T00:00:00"/>
    <n v="1"/>
    <e v="#VALUE!"/>
    <n v="0"/>
    <e v="#VALUE!"/>
    <s v=""/>
    <e v="#VALUE!"/>
    <n v="0"/>
    <e v="#VALUE!"/>
    <e v="#VALUE!"/>
    <s v=""/>
    <s v=""/>
    <s v=""/>
    <n v="0"/>
    <x v="2"/>
    <x v="5"/>
    <x v="1"/>
    <x v="1"/>
    <n v="134.5"/>
  </r>
  <r>
    <d v="2014-06-01T00:00:00"/>
    <x v="54"/>
    <x v="6"/>
    <x v="5"/>
    <s v="Compteur 1"/>
    <s v="Compteur_1"/>
    <x v="1"/>
    <d v="1899-12-30T00:00:00"/>
    <d v="1899-12-30T00:00:00"/>
    <n v="1"/>
    <e v="#VALUE!"/>
    <n v="0"/>
    <e v="#VALUE!"/>
    <s v=""/>
    <e v="#VALUE!"/>
    <n v="0"/>
    <e v="#VALUE!"/>
    <e v="#VALUE!"/>
    <s v=""/>
    <s v=""/>
    <s v=""/>
    <n v="0"/>
    <x v="2"/>
    <x v="5"/>
    <x v="1"/>
    <x v="1"/>
    <n v="48.5"/>
  </r>
  <r>
    <d v="2014-07-01T00:00:00"/>
    <x v="55"/>
    <x v="7"/>
    <x v="5"/>
    <s v="Compteur 1"/>
    <s v="Compteur_1"/>
    <x v="1"/>
    <d v="1899-12-30T00:00:00"/>
    <d v="1899-12-30T00:00:00"/>
    <n v="1"/>
    <e v="#VALUE!"/>
    <n v="0"/>
    <e v="#VALUE!"/>
    <s v=""/>
    <e v="#VALUE!"/>
    <n v="0"/>
    <e v="#VALUE!"/>
    <e v="#VALUE!"/>
    <s v=""/>
    <s v=""/>
    <s v=""/>
    <n v="0"/>
    <x v="2"/>
    <x v="5"/>
    <x v="1"/>
    <x v="1"/>
    <n v="22.6"/>
  </r>
  <r>
    <d v="2014-08-01T00:00:00"/>
    <x v="56"/>
    <x v="8"/>
    <x v="5"/>
    <s v="Compteur 1"/>
    <s v="Compteur_1"/>
    <x v="1"/>
    <d v="1899-12-30T00:00:00"/>
    <d v="1899-12-30T00:00:00"/>
    <n v="1"/>
    <e v="#VALUE!"/>
    <n v="0"/>
    <e v="#VALUE!"/>
    <s v=""/>
    <e v="#VALUE!"/>
    <n v="0"/>
    <e v="#VALUE!"/>
    <e v="#VALUE!"/>
    <s v=""/>
    <s v=""/>
    <s v=""/>
    <n v="0"/>
    <x v="2"/>
    <x v="5"/>
    <x v="1"/>
    <x v="1"/>
    <n v="51.9"/>
  </r>
  <r>
    <d v="2014-09-01T00:00:00"/>
    <x v="57"/>
    <x v="9"/>
    <x v="5"/>
    <s v="Compteur 1"/>
    <s v="Compteur_1"/>
    <x v="1"/>
    <d v="1899-12-30T00:00:00"/>
    <d v="1899-12-30T00:00:00"/>
    <n v="1"/>
    <e v="#VALUE!"/>
    <n v="0"/>
    <e v="#VALUE!"/>
    <s v=""/>
    <e v="#VALUE!"/>
    <n v="0"/>
    <e v="#VALUE!"/>
    <e v="#VALUE!"/>
    <s v=""/>
    <s v=""/>
    <s v=""/>
    <n v="0"/>
    <x v="2"/>
    <x v="5"/>
    <x v="1"/>
    <x v="1"/>
    <n v="54.3"/>
  </r>
  <r>
    <d v="2014-10-01T00:00:00"/>
    <x v="58"/>
    <x v="10"/>
    <x v="5"/>
    <s v="Compteur 1"/>
    <s v="Compteur_1"/>
    <x v="1"/>
    <d v="1899-12-30T00:00:00"/>
    <d v="1899-12-30T00:00:00"/>
    <n v="1"/>
    <e v="#VALUE!"/>
    <n v="0"/>
    <e v="#VALUE!"/>
    <s v=""/>
    <e v="#VALUE!"/>
    <n v="0"/>
    <e v="#VALUE!"/>
    <e v="#VALUE!"/>
    <s v=""/>
    <s v=""/>
    <s v=""/>
    <n v="0"/>
    <x v="2"/>
    <x v="5"/>
    <x v="1"/>
    <x v="1"/>
    <n v="124.2"/>
  </r>
  <r>
    <d v="2014-11-01T00:00:00"/>
    <x v="59"/>
    <x v="11"/>
    <x v="5"/>
    <s v="Compteur 1"/>
    <s v="Compteur_1"/>
    <x v="1"/>
    <d v="1899-12-30T00:00:00"/>
    <d v="1899-12-30T00:00:00"/>
    <n v="1"/>
    <e v="#VALUE!"/>
    <n v="0"/>
    <e v="#VALUE!"/>
    <s v=""/>
    <e v="#VALUE!"/>
    <n v="0"/>
    <e v="#VALUE!"/>
    <e v="#VALUE!"/>
    <s v=""/>
    <s v=""/>
    <s v=""/>
    <n v="0"/>
    <x v="2"/>
    <x v="5"/>
    <x v="1"/>
    <x v="1"/>
    <n v="219.5"/>
  </r>
  <r>
    <d v="2014-12-01T00:00:00"/>
    <x v="60"/>
    <x v="12"/>
    <x v="5"/>
    <s v="Compteur 1"/>
    <s v="Compteur_1"/>
    <x v="1"/>
    <d v="1899-12-30T00:00:00"/>
    <d v="1899-12-30T00:00:00"/>
    <n v="1"/>
    <e v="#VALUE!"/>
    <n v="0"/>
    <e v="#VALUE!"/>
    <s v=""/>
    <e v="#VALUE!"/>
    <n v="0"/>
    <e v="#VALUE!"/>
    <e v="#VALUE!"/>
    <s v=""/>
    <s v=""/>
    <s v=""/>
    <n v="0"/>
    <x v="2"/>
    <x v="5"/>
    <x v="1"/>
    <x v="1"/>
    <n v="374.8"/>
  </r>
  <r>
    <d v="2015-01-01T00:00:00"/>
    <x v="61"/>
    <x v="1"/>
    <x v="6"/>
    <s v="Compteur 1"/>
    <s v="Compteur_1"/>
    <x v="1"/>
    <d v="1899-12-30T00:00:00"/>
    <d v="1899-12-30T00:00:00"/>
    <n v="1"/>
    <e v="#VALUE!"/>
    <n v="0"/>
    <e v="#VALUE!"/>
    <s v=""/>
    <e v="#VALUE!"/>
    <n v="0"/>
    <e v="#VALUE!"/>
    <e v="#VALUE!"/>
    <s v=""/>
    <s v=""/>
    <s v=""/>
    <n v="0"/>
    <x v="2"/>
    <x v="5"/>
    <x v="1"/>
    <x v="1"/>
    <n v="392.1"/>
  </r>
  <r>
    <d v="2015-02-01T00:00:00"/>
    <x v="62"/>
    <x v="2"/>
    <x v="6"/>
    <s v="Compteur 1"/>
    <s v="Compteur_1"/>
    <x v="1"/>
    <d v="1899-12-30T00:00:00"/>
    <d v="1899-12-30T00:00:00"/>
    <n v="1"/>
    <e v="#VALUE!"/>
    <n v="0"/>
    <e v="#VALUE!"/>
    <s v=""/>
    <e v="#VALUE!"/>
    <n v="0"/>
    <e v="#VALUE!"/>
    <e v="#VALUE!"/>
    <s v=""/>
    <s v=""/>
    <s v=""/>
    <n v="0"/>
    <x v="2"/>
    <x v="5"/>
    <x v="1"/>
    <x v="1"/>
    <n v="366.9"/>
  </r>
  <r>
    <d v="2015-03-01T00:00:00"/>
    <x v="63"/>
    <x v="3"/>
    <x v="6"/>
    <s v="Compteur 1"/>
    <s v="Compteur_1"/>
    <x v="1"/>
    <d v="1899-12-30T00:00:00"/>
    <d v="1899-12-30T00:00:00"/>
    <n v="1"/>
    <e v="#VALUE!"/>
    <n v="0"/>
    <e v="#VALUE!"/>
    <s v=""/>
    <e v="#VALUE!"/>
    <n v="0"/>
    <e v="#VALUE!"/>
    <e v="#VALUE!"/>
    <s v=""/>
    <s v=""/>
    <s v=""/>
    <n v="0"/>
    <x v="2"/>
    <x v="5"/>
    <x v="1"/>
    <x v="1"/>
    <n v="303.8"/>
  </r>
  <r>
    <d v="2015-04-01T00:00:00"/>
    <x v="64"/>
    <x v="4"/>
    <x v="6"/>
    <s v="Compteur 1"/>
    <s v="Compteur_1"/>
    <x v="1"/>
    <d v="1899-12-30T00:00:00"/>
    <d v="1899-12-30T00:00:00"/>
    <n v="1"/>
    <e v="#VALUE!"/>
    <n v="0"/>
    <e v="#VALUE!"/>
    <s v=""/>
    <e v="#VALUE!"/>
    <n v="0"/>
    <e v="#VALUE!"/>
    <e v="#VALUE!"/>
    <s v=""/>
    <s v=""/>
    <s v=""/>
    <n v="0"/>
    <x v="2"/>
    <x v="5"/>
    <x v="1"/>
    <x v="1"/>
    <n v="166.6"/>
  </r>
  <r>
    <d v="2015-05-01T00:00:00"/>
    <x v="65"/>
    <x v="5"/>
    <x v="6"/>
    <s v="Compteur 1"/>
    <s v="Compteur_1"/>
    <x v="1"/>
    <d v="1899-12-30T00:00:00"/>
    <d v="1899-12-30T00:00:00"/>
    <n v="1"/>
    <e v="#VALUE!"/>
    <n v="0"/>
    <e v="#VALUE!"/>
    <s v=""/>
    <e v="#VALUE!"/>
    <n v="0"/>
    <e v="#VALUE!"/>
    <e v="#VALUE!"/>
    <s v=""/>
    <s v=""/>
    <s v=""/>
    <n v="0"/>
    <x v="2"/>
    <x v="5"/>
    <x v="1"/>
    <x v="1"/>
    <n v="119.9"/>
  </r>
  <r>
    <d v="2015-06-01T00:00:00"/>
    <x v="66"/>
    <x v="6"/>
    <x v="6"/>
    <s v="Compteur 1"/>
    <s v="Compteur_1"/>
    <x v="1"/>
    <d v="1899-12-30T00:00:00"/>
    <d v="1899-12-30T00:00:00"/>
    <n v="1"/>
    <e v="#VALUE!"/>
    <n v="0"/>
    <e v="#VALUE!"/>
    <s v=""/>
    <e v="#VALUE!"/>
    <n v="0"/>
    <e v="#VALUE!"/>
    <e v="#VALUE!"/>
    <s v=""/>
    <s v=""/>
    <s v=""/>
    <n v="0"/>
    <x v="2"/>
    <x v="5"/>
    <x v="1"/>
    <x v="1"/>
    <n v="51.8"/>
  </r>
  <r>
    <d v="2015-07-01T00:00:00"/>
    <x v="67"/>
    <x v="7"/>
    <x v="6"/>
    <s v="Compteur 1"/>
    <s v="Compteur_1"/>
    <x v="1"/>
    <d v="1899-12-30T00:00:00"/>
    <d v="1899-12-30T00:00:00"/>
    <n v="1"/>
    <e v="#VALUE!"/>
    <n v="0"/>
    <e v="#VALUE!"/>
    <s v=""/>
    <e v="#VALUE!"/>
    <n v="0"/>
    <e v="#VALUE!"/>
    <e v="#VALUE!"/>
    <s v=""/>
    <s v=""/>
    <s v=""/>
    <n v="0"/>
    <x v="2"/>
    <x v="5"/>
    <x v="1"/>
    <x v="1"/>
    <n v="29"/>
  </r>
  <r>
    <d v="2015-08-01T00:00:00"/>
    <x v="68"/>
    <x v="8"/>
    <x v="6"/>
    <s v="Compteur 1"/>
    <s v="Compteur_1"/>
    <x v="1"/>
    <d v="1899-12-30T00:00:00"/>
    <d v="1899-12-30T00:00:00"/>
    <n v="1"/>
    <e v="#VALUE!"/>
    <n v="0"/>
    <e v="#VALUE!"/>
    <s v=""/>
    <e v="#VALUE!"/>
    <n v="0"/>
    <e v="#VALUE!"/>
    <e v="#VALUE!"/>
    <s v=""/>
    <s v=""/>
    <s v=""/>
    <n v="0"/>
    <x v="2"/>
    <x v="5"/>
    <x v="1"/>
    <x v="1"/>
    <n v="32"/>
  </r>
  <r>
    <d v="2015-09-01T00:00:00"/>
    <x v="69"/>
    <x v="9"/>
    <x v="6"/>
    <s v="Compteur 1"/>
    <s v="Compteur_1"/>
    <x v="1"/>
    <d v="1899-12-30T00:00:00"/>
    <d v="1899-12-30T00:00:00"/>
    <n v="1"/>
    <e v="#VALUE!"/>
    <n v="0"/>
    <e v="#VALUE!"/>
    <s v=""/>
    <e v="#VALUE!"/>
    <n v="0"/>
    <e v="#VALUE!"/>
    <e v="#VALUE!"/>
    <s v=""/>
    <s v=""/>
    <s v=""/>
    <n v="0"/>
    <x v="2"/>
    <x v="5"/>
    <x v="1"/>
    <x v="1"/>
    <n v="96.9"/>
  </r>
  <r>
    <d v="2015-10-01T00:00:00"/>
    <x v="70"/>
    <x v="10"/>
    <x v="6"/>
    <s v="Compteur 1"/>
    <s v="Compteur_1"/>
    <x v="1"/>
    <d v="1899-12-30T00:00:00"/>
    <d v="1899-12-30T00:00:00"/>
    <n v="1"/>
    <e v="#VALUE!"/>
    <n v="0"/>
    <e v="#VALUE!"/>
    <s v=""/>
    <e v="#VALUE!"/>
    <n v="0"/>
    <e v="#VALUE!"/>
    <e v="#VALUE!"/>
    <s v=""/>
    <s v=""/>
    <s v=""/>
    <n v="0"/>
    <x v="2"/>
    <x v="5"/>
    <x v="1"/>
    <x v="1"/>
    <n v="181.1"/>
  </r>
  <r>
    <d v="2015-11-01T00:00:00"/>
    <x v="71"/>
    <x v="11"/>
    <x v="6"/>
    <s v="Compteur 1"/>
    <s v="Compteur_1"/>
    <x v="1"/>
    <d v="1899-12-30T00:00:00"/>
    <d v="1899-12-30T00:00:00"/>
    <n v="1"/>
    <e v="#VALUE!"/>
    <n v="0"/>
    <e v="#VALUE!"/>
    <s v=""/>
    <e v="#VALUE!"/>
    <n v="0"/>
    <e v="#VALUE!"/>
    <e v="#VALUE!"/>
    <s v=""/>
    <s v=""/>
    <s v=""/>
    <n v="0"/>
    <x v="2"/>
    <x v="5"/>
    <x v="1"/>
    <x v="1"/>
    <n v="191.1"/>
  </r>
  <r>
    <d v="2015-12-01T00:00:00"/>
    <x v="72"/>
    <x v="12"/>
    <x v="6"/>
    <s v="Compteur 1"/>
    <s v="Compteur_1"/>
    <x v="1"/>
    <d v="1899-12-30T00:00:00"/>
    <d v="1899-12-30T00:00:00"/>
    <n v="1"/>
    <e v="#VALUE!"/>
    <n v="0"/>
    <e v="#VALUE!"/>
    <s v=""/>
    <e v="#VALUE!"/>
    <n v="0"/>
    <e v="#VALUE!"/>
    <e v="#VALUE!"/>
    <s v=""/>
    <s v=""/>
    <s v=""/>
    <n v="0"/>
    <x v="2"/>
    <x v="5"/>
    <x v="1"/>
    <x v="1"/>
    <n v="258.5"/>
  </r>
  <r>
    <d v="2016-01-01T00:00:00"/>
    <x v="73"/>
    <x v="1"/>
    <x v="7"/>
    <s v="Compteur 1"/>
    <s v="Compteur_1"/>
    <x v="1"/>
    <d v="1899-12-30T00:00:00"/>
    <d v="1899-12-30T00:00:00"/>
    <n v="1"/>
    <e v="#VALUE!"/>
    <n v="0"/>
    <e v="#VALUE!"/>
    <s v=""/>
    <e v="#VALUE!"/>
    <n v="0"/>
    <e v="#VALUE!"/>
    <e v="#VALUE!"/>
    <s v=""/>
    <s v=""/>
    <s v=""/>
    <n v="0"/>
    <x v="2"/>
    <x v="5"/>
    <x v="1"/>
    <x v="1"/>
    <n v="348.4"/>
  </r>
  <r>
    <d v="2016-02-01T00:00:00"/>
    <x v="74"/>
    <x v="2"/>
    <x v="7"/>
    <s v="Compteur 1"/>
    <s v="Compteur_1"/>
    <x v="1"/>
    <d v="1899-12-30T00:00:00"/>
    <d v="1899-12-30T00:00:00"/>
    <n v="1"/>
    <e v="#VALUE!"/>
    <n v="0"/>
    <e v="#VALUE!"/>
    <s v=""/>
    <e v="#VALUE!"/>
    <n v="0"/>
    <e v="#VALUE!"/>
    <e v="#VALUE!"/>
    <s v=""/>
    <s v=""/>
    <s v=""/>
    <n v="0"/>
    <x v="2"/>
    <x v="5"/>
    <x v="1"/>
    <x v="1"/>
    <n v="321.2"/>
  </r>
  <r>
    <d v="2016-03-01T00:00:00"/>
    <x v="75"/>
    <x v="3"/>
    <x v="7"/>
    <s v="Compteur 1"/>
    <s v="Compteur_1"/>
    <x v="1"/>
    <d v="1899-12-30T00:00:00"/>
    <d v="1899-12-30T00:00:00"/>
    <n v="1"/>
    <e v="#VALUE!"/>
    <n v="0"/>
    <e v="#VALUE!"/>
    <s v=""/>
    <e v="#VALUE!"/>
    <n v="0"/>
    <e v="#VALUE!"/>
    <e v="#VALUE!"/>
    <s v=""/>
    <s v=""/>
    <s v=""/>
    <n v="0"/>
    <x v="2"/>
    <x v="5"/>
    <x v="1"/>
    <x v="1"/>
    <n v="328.3"/>
  </r>
  <r>
    <d v="2016-04-01T00:00:00"/>
    <x v="76"/>
    <x v="4"/>
    <x v="7"/>
    <s v="Compteur 1"/>
    <s v="Compteur_1"/>
    <x v="1"/>
    <d v="1899-12-30T00:00:00"/>
    <d v="1899-12-30T00:00:00"/>
    <n v="1"/>
    <e v="#VALUE!"/>
    <n v="0"/>
    <e v="#VALUE!"/>
    <s v=""/>
    <e v="#VALUE!"/>
    <n v="0"/>
    <e v="#VALUE!"/>
    <e v="#VALUE!"/>
    <s v=""/>
    <s v=""/>
    <s v=""/>
    <n v="0"/>
    <x v="2"/>
    <x v="5"/>
    <x v="1"/>
    <x v="1"/>
    <n v="252.6"/>
  </r>
  <r>
    <d v="2016-05-01T00:00:00"/>
    <x v="77"/>
    <x v="5"/>
    <x v="7"/>
    <s v="Compteur 1"/>
    <s v="Compteur_1"/>
    <x v="1"/>
    <d v="1899-12-30T00:00:00"/>
    <d v="1899-12-30T00:00:00"/>
    <n v="1"/>
    <e v="#VALUE!"/>
    <n v="0"/>
    <e v="#VALUE!"/>
    <s v=""/>
    <e v="#VALUE!"/>
    <n v="0"/>
    <e v="#VALUE!"/>
    <e v="#VALUE!"/>
    <s v=""/>
    <s v=""/>
    <s v=""/>
    <n v="0"/>
    <x v="2"/>
    <x v="5"/>
    <x v="1"/>
    <x v="1"/>
    <n v="124.3"/>
  </r>
  <r>
    <d v="2016-06-01T00:00:00"/>
    <x v="78"/>
    <x v="6"/>
    <x v="7"/>
    <s v="Compteur 1"/>
    <s v="Compteur_1"/>
    <x v="1"/>
    <d v="1899-12-30T00:00:00"/>
    <d v="1899-12-30T00:00:00"/>
    <n v="1"/>
    <e v="#VALUE!"/>
    <n v="0"/>
    <e v="#VALUE!"/>
    <s v=""/>
    <e v="#VALUE!"/>
    <n v="0"/>
    <e v="#VALUE!"/>
    <e v="#VALUE!"/>
    <s v=""/>
    <s v=""/>
    <s v=""/>
    <n v="0"/>
    <x v="2"/>
    <x v="5"/>
    <x v="1"/>
    <x v="1"/>
    <n v="47.7"/>
  </r>
  <r>
    <d v="2016-07-01T00:00:00"/>
    <x v="79"/>
    <x v="7"/>
    <x v="7"/>
    <s v="Compteur 1"/>
    <s v="Compteur_1"/>
    <x v="1"/>
    <d v="1899-12-30T00:00:00"/>
    <d v="1899-12-30T00:00:00"/>
    <n v="1"/>
    <e v="#VALUE!"/>
    <n v="0"/>
    <e v="#VALUE!"/>
    <s v=""/>
    <e v="#VALUE!"/>
    <n v="0"/>
    <e v="#VALUE!"/>
    <e v="#VALUE!"/>
    <s v=""/>
    <s v=""/>
    <s v=""/>
    <n v="0"/>
    <x v="2"/>
    <x v="5"/>
    <x v="1"/>
    <x v="1"/>
    <n v="32.299999999999997"/>
  </r>
  <r>
    <d v="2016-08-01T00:00:00"/>
    <x v="80"/>
    <x v="8"/>
    <x v="7"/>
    <s v="Compteur 1"/>
    <s v="Compteur_1"/>
    <x v="1"/>
    <d v="1899-12-30T00:00:00"/>
    <d v="1899-12-30T00:00:00"/>
    <n v="1"/>
    <e v="#VALUE!"/>
    <n v="0"/>
    <e v="#VALUE!"/>
    <s v=""/>
    <e v="#VALUE!"/>
    <n v="0"/>
    <e v="#VALUE!"/>
    <e v="#VALUE!"/>
    <s v=""/>
    <s v=""/>
    <s v=""/>
    <n v="0"/>
    <x v="2"/>
    <x v="5"/>
    <x v="1"/>
    <x v="1"/>
    <n v="33.799999999999997"/>
  </r>
  <r>
    <d v="2016-09-01T00:00:00"/>
    <x v="81"/>
    <x v="9"/>
    <x v="7"/>
    <s v="Compteur 1"/>
    <s v="Compteur_1"/>
    <x v="1"/>
    <d v="1899-12-30T00:00:00"/>
    <d v="1899-12-30T00:00:00"/>
    <n v="1"/>
    <e v="#VALUE!"/>
    <n v="0"/>
    <e v="#VALUE!"/>
    <s v=""/>
    <e v="#VALUE!"/>
    <n v="0"/>
    <e v="#VALUE!"/>
    <e v="#VALUE!"/>
    <s v=""/>
    <s v=""/>
    <s v=""/>
    <n v="0"/>
    <x v="2"/>
    <x v="5"/>
    <x v="1"/>
    <x v="1"/>
    <n v="43.5"/>
  </r>
  <r>
    <d v="2016-10-01T00:00:00"/>
    <x v="82"/>
    <x v="10"/>
    <x v="7"/>
    <s v="Compteur 1"/>
    <s v="Compteur_1"/>
    <x v="1"/>
    <d v="1899-12-30T00:00:00"/>
    <d v="1899-12-30T00:00:00"/>
    <n v="1"/>
    <e v="#VALUE!"/>
    <n v="0"/>
    <e v="#VALUE!"/>
    <s v=""/>
    <e v="#VALUE!"/>
    <n v="0"/>
    <e v="#VALUE!"/>
    <e v="#VALUE!"/>
    <s v=""/>
    <s v=""/>
    <s v=""/>
    <n v="0"/>
    <x v="2"/>
    <x v="5"/>
    <x v="1"/>
    <x v="1"/>
    <n v="202.6"/>
  </r>
  <r>
    <d v="2016-11-01T00:00:00"/>
    <x v="83"/>
    <x v="11"/>
    <x v="7"/>
    <s v="Compteur 1"/>
    <s v="Compteur_1"/>
    <x v="1"/>
    <d v="1899-12-30T00:00:00"/>
    <d v="1899-12-30T00:00:00"/>
    <n v="1"/>
    <e v="#VALUE!"/>
    <n v="0"/>
    <e v="#VALUE!"/>
    <s v=""/>
    <e v="#VALUE!"/>
    <n v="0"/>
    <e v="#VALUE!"/>
    <e v="#VALUE!"/>
    <s v=""/>
    <s v=""/>
    <s v=""/>
    <n v="0"/>
    <x v="2"/>
    <x v="5"/>
    <x v="1"/>
    <x v="1"/>
    <n v="289.2"/>
  </r>
  <r>
    <d v="2016-12-01T00:00:00"/>
    <x v="84"/>
    <x v="12"/>
    <x v="7"/>
    <s v="Compteur 1"/>
    <s v="Compteur_1"/>
    <x v="1"/>
    <d v="1899-12-30T00:00:00"/>
    <d v="1899-12-30T00:00:00"/>
    <n v="1"/>
    <e v="#VALUE!"/>
    <n v="0"/>
    <e v="#VALUE!"/>
    <s v=""/>
    <e v="#VALUE!"/>
    <n v="0"/>
    <e v="#VALUE!"/>
    <e v="#VALUE!"/>
    <s v=""/>
    <s v=""/>
    <s v=""/>
    <n v="0"/>
    <x v="2"/>
    <x v="5"/>
    <x v="1"/>
    <x v="1"/>
    <n v="370.4"/>
  </r>
  <r>
    <d v="2017-01-01T00:00:00"/>
    <x v="85"/>
    <x v="1"/>
    <x v="8"/>
    <s v="Compteur 1"/>
    <s v="Compteur_1"/>
    <x v="1"/>
    <d v="1899-12-30T00:00:00"/>
    <d v="1899-12-30T00:00:00"/>
    <n v="1"/>
    <e v="#VALUE!"/>
    <n v="0"/>
    <e v="#VALUE!"/>
    <s v=""/>
    <e v="#VALUE!"/>
    <n v="0"/>
    <e v="#VALUE!"/>
    <e v="#VALUE!"/>
    <s v=""/>
    <s v=""/>
    <s v=""/>
    <n v="0"/>
    <x v="2"/>
    <x v="5"/>
    <x v="1"/>
    <x v="1"/>
    <n v="451.9"/>
  </r>
  <r>
    <d v="2017-02-01T00:00:00"/>
    <x v="86"/>
    <x v="2"/>
    <x v="8"/>
    <s v="Compteur 1"/>
    <s v="Compteur_1"/>
    <x v="1"/>
    <d v="1899-12-30T00:00:00"/>
    <d v="1899-12-30T00:00:00"/>
    <n v="1"/>
    <e v="#VALUE!"/>
    <n v="0"/>
    <e v="#VALUE!"/>
    <s v=""/>
    <e v="#VALUE!"/>
    <n v="0"/>
    <e v="#VALUE!"/>
    <e v="#VALUE!"/>
    <s v=""/>
    <s v=""/>
    <s v=""/>
    <n v="0"/>
    <x v="2"/>
    <x v="5"/>
    <x v="1"/>
    <x v="1"/>
    <n v="287.8"/>
  </r>
  <r>
    <d v="2017-03-01T00:00:00"/>
    <x v="87"/>
    <x v="3"/>
    <x v="8"/>
    <s v="Compteur 1"/>
    <s v="Compteur_1"/>
    <x v="1"/>
    <d v="1899-12-30T00:00:00"/>
    <d v="1899-12-30T00:00:00"/>
    <n v="1"/>
    <e v="#VALUE!"/>
    <n v="0"/>
    <e v="#VALUE!"/>
    <s v=""/>
    <e v="#VALUE!"/>
    <n v="0"/>
    <e v="#VALUE!"/>
    <e v="#VALUE!"/>
    <s v=""/>
    <s v=""/>
    <s v=""/>
    <n v="0"/>
    <x v="2"/>
    <x v="5"/>
    <x v="1"/>
    <x v="1"/>
    <n v="226.3"/>
  </r>
  <r>
    <d v="2017-04-01T00:00:00"/>
    <x v="88"/>
    <x v="4"/>
    <x v="8"/>
    <s v="Compteur 1"/>
    <s v="Compteur_1"/>
    <x v="1"/>
    <d v="1899-12-30T00:00:00"/>
    <d v="1899-12-30T00:00:00"/>
    <n v="1"/>
    <e v="#VALUE!"/>
    <n v="0"/>
    <e v="#VALUE!"/>
    <s v=""/>
    <e v="#VALUE!"/>
    <n v="0"/>
    <e v="#VALUE!"/>
    <e v="#VALUE!"/>
    <s v=""/>
    <s v=""/>
    <s v=""/>
    <n v="0"/>
    <x v="2"/>
    <x v="5"/>
    <x v="1"/>
    <x v="1"/>
    <n v="227.8"/>
  </r>
  <r>
    <d v="2017-05-01T00:00:00"/>
    <x v="89"/>
    <x v="5"/>
    <x v="8"/>
    <s v="Compteur 1"/>
    <s v="Compteur_1"/>
    <x v="1"/>
    <d v="1899-12-30T00:00:00"/>
    <d v="1899-12-30T00:00:00"/>
    <n v="1"/>
    <e v="#VALUE!"/>
    <n v="0"/>
    <e v="#VALUE!"/>
    <s v=""/>
    <e v="#VALUE!"/>
    <n v="0"/>
    <e v="#VALUE!"/>
    <e v="#VALUE!"/>
    <s v=""/>
    <s v=""/>
    <s v=""/>
    <n v="0"/>
    <x v="2"/>
    <x v="5"/>
    <x v="1"/>
    <x v="1"/>
    <n v="98"/>
  </r>
  <r>
    <d v="2017-06-01T00:00:00"/>
    <x v="90"/>
    <x v="6"/>
    <x v="8"/>
    <s v="Compteur 1"/>
    <s v="Compteur_1"/>
    <x v="1"/>
    <d v="1899-12-30T00:00:00"/>
    <d v="1899-12-30T00:00:00"/>
    <n v="1"/>
    <e v="#VALUE!"/>
    <n v="0"/>
    <e v="#VALUE!"/>
    <s v=""/>
    <e v="#VALUE!"/>
    <n v="0"/>
    <e v="#VALUE!"/>
    <e v="#VALUE!"/>
    <s v=""/>
    <s v=""/>
    <s v=""/>
    <n v="0"/>
    <x v="2"/>
    <x v="5"/>
    <x v="1"/>
    <x v="1"/>
    <n v="30.9"/>
  </r>
  <r>
    <d v="2017-07-01T00:00:00"/>
    <x v="91"/>
    <x v="7"/>
    <x v="8"/>
    <s v="Compteur 1"/>
    <s v="Compteur_1"/>
    <x v="1"/>
    <d v="1899-12-30T00:00:00"/>
    <d v="1899-12-30T00:00:00"/>
    <n v="1"/>
    <e v="#VALUE!"/>
    <n v="0"/>
    <e v="#VALUE!"/>
    <s v=""/>
    <e v="#VALUE!"/>
    <n v="0"/>
    <e v="#VALUE!"/>
    <e v="#VALUE!"/>
    <s v=""/>
    <s v=""/>
    <s v=""/>
    <n v="0"/>
    <x v="2"/>
    <x v="5"/>
    <x v="1"/>
    <x v="1"/>
    <n v="23.6"/>
  </r>
  <r>
    <d v="2017-08-01T00:00:00"/>
    <x v="92"/>
    <x v="8"/>
    <x v="8"/>
    <s v="Compteur 1"/>
    <s v="Compteur_1"/>
    <x v="1"/>
    <d v="1899-12-30T00:00:00"/>
    <d v="1899-12-30T00:00:00"/>
    <n v="1"/>
    <e v="#VALUE!"/>
    <n v="0"/>
    <e v="#VALUE!"/>
    <s v=""/>
    <e v="#VALUE!"/>
    <n v="0"/>
    <e v="#VALUE!"/>
    <e v="#VALUE!"/>
    <s v=""/>
    <s v=""/>
    <s v=""/>
    <n v="0"/>
    <x v="2"/>
    <x v="5"/>
    <x v="1"/>
    <x v="1"/>
    <n v="32.200000000000003"/>
  </r>
  <r>
    <d v="2017-09-01T00:00:00"/>
    <x v="93"/>
    <x v="9"/>
    <x v="8"/>
    <s v="Compteur 1"/>
    <s v="Compteur_1"/>
    <x v="1"/>
    <d v="1899-12-30T00:00:00"/>
    <d v="1899-12-30T00:00:00"/>
    <n v="1"/>
    <e v="#VALUE!"/>
    <n v="0"/>
    <e v="#VALUE!"/>
    <s v=""/>
    <e v="#VALUE!"/>
    <n v="0"/>
    <e v="#VALUE!"/>
    <e v="#VALUE!"/>
    <s v=""/>
    <s v=""/>
    <s v=""/>
    <n v="0"/>
    <x v="2"/>
    <x v="5"/>
    <x v="1"/>
    <x v="1"/>
    <n v="82.3"/>
  </r>
  <r>
    <d v="2017-10-01T00:00:00"/>
    <x v="94"/>
    <x v="10"/>
    <x v="8"/>
    <s v="Compteur 1"/>
    <s v="Compteur_1"/>
    <x v="1"/>
    <d v="1899-12-30T00:00:00"/>
    <d v="1899-12-30T00:00:00"/>
    <n v="1"/>
    <e v="#VALUE!"/>
    <n v="0"/>
    <e v="#VALUE!"/>
    <s v=""/>
    <e v="#VALUE!"/>
    <n v="0"/>
    <e v="#VALUE!"/>
    <e v="#VALUE!"/>
    <s v=""/>
    <s v=""/>
    <s v=""/>
    <n v="0"/>
    <x v="2"/>
    <x v="5"/>
    <x v="1"/>
    <x v="1"/>
    <n v="126.4"/>
  </r>
  <r>
    <d v="2017-11-01T00:00:00"/>
    <x v="95"/>
    <x v="11"/>
    <x v="8"/>
    <s v="Compteur 1"/>
    <s v="Compteur_1"/>
    <x v="1"/>
    <d v="1899-12-30T00:00:00"/>
    <d v="1899-12-30T00:00:00"/>
    <n v="1"/>
    <e v="#VALUE!"/>
    <n v="0"/>
    <e v="#VALUE!"/>
    <s v=""/>
    <e v="#VALUE!"/>
    <n v="0"/>
    <e v="#VALUE!"/>
    <e v="#VALUE!"/>
    <s v=""/>
    <s v=""/>
    <s v=""/>
    <n v="0"/>
    <x v="2"/>
    <x v="5"/>
    <x v="1"/>
    <x v="1"/>
    <n v="289.89999999999998"/>
  </r>
  <r>
    <d v="2017-12-01T00:00:00"/>
    <x v="96"/>
    <x v="12"/>
    <x v="8"/>
    <s v="Compteur 1"/>
    <s v="Compteur_1"/>
    <x v="1"/>
    <d v="1899-12-30T00:00:00"/>
    <d v="1899-12-30T00:00:00"/>
    <n v="1"/>
    <e v="#VALUE!"/>
    <n v="0"/>
    <e v="#VALUE!"/>
    <s v=""/>
    <e v="#VALUE!"/>
    <n v="0"/>
    <e v="#VALUE!"/>
    <e v="#VALUE!"/>
    <s v=""/>
    <s v=""/>
    <s v=""/>
    <n v="0"/>
    <x v="2"/>
    <x v="5"/>
    <x v="1"/>
    <x v="1"/>
    <n v="366.2"/>
  </r>
  <r>
    <d v="2018-01-01T00:00:00"/>
    <x v="97"/>
    <x v="1"/>
    <x v="9"/>
    <s v="Compteur 1"/>
    <s v="Compteur_1"/>
    <x v="1"/>
    <d v="1899-12-30T00:00:00"/>
    <d v="1899-12-30T00:00:00"/>
    <n v="1"/>
    <e v="#VALUE!"/>
    <n v="0"/>
    <e v="#VALUE!"/>
    <s v=""/>
    <e v="#VALUE!"/>
    <n v="0"/>
    <e v="#VALUE!"/>
    <e v="#VALUE!"/>
    <s v=""/>
    <s v=""/>
    <s v=""/>
    <n v="0"/>
    <x v="2"/>
    <x v="5"/>
    <x v="1"/>
    <x v="1"/>
    <n v="298.60000000000002"/>
  </r>
  <r>
    <d v="2018-02-01T00:00:00"/>
    <x v="98"/>
    <x v="2"/>
    <x v="9"/>
    <s v="Compteur 1"/>
    <s v="Compteur_1"/>
    <x v="1"/>
    <d v="1899-12-30T00:00:00"/>
    <d v="1899-12-30T00:00:00"/>
    <n v="1"/>
    <e v="#VALUE!"/>
    <n v="0"/>
    <e v="#VALUE!"/>
    <s v=""/>
    <e v="#VALUE!"/>
    <n v="0"/>
    <e v="#VALUE!"/>
    <e v="#VALUE!"/>
    <s v=""/>
    <s v=""/>
    <s v=""/>
    <n v="0"/>
    <x v="2"/>
    <x v="5"/>
    <x v="1"/>
    <x v="1"/>
    <n v="415.2"/>
  </r>
  <r>
    <d v="2018-03-01T00:00:00"/>
    <x v="99"/>
    <x v="3"/>
    <x v="9"/>
    <s v="Compteur 1"/>
    <s v="Compteur_1"/>
    <x v="1"/>
    <d v="1899-12-30T00:00:00"/>
    <d v="1899-12-30T00:00:00"/>
    <n v="1"/>
    <e v="#VALUE!"/>
    <n v="0"/>
    <e v="#VALUE!"/>
    <s v=""/>
    <e v="#VALUE!"/>
    <n v="0"/>
    <e v="#VALUE!"/>
    <e v="#VALUE!"/>
    <s v=""/>
    <s v=""/>
    <s v=""/>
    <n v="0"/>
    <x v="2"/>
    <x v="5"/>
    <x v="1"/>
    <x v="1"/>
    <n v="305.39999999999998"/>
  </r>
  <r>
    <d v="2018-04-01T00:00:00"/>
    <x v="100"/>
    <x v="4"/>
    <x v="9"/>
    <s v="Compteur 1"/>
    <s v="Compteur_1"/>
    <x v="1"/>
    <d v="1899-12-30T00:00:00"/>
    <d v="1899-12-30T00:00:00"/>
    <n v="1"/>
    <e v="#VALUE!"/>
    <n v="0"/>
    <e v="#VALUE!"/>
    <s v=""/>
    <e v="#VALUE!"/>
    <n v="0"/>
    <e v="#VALUE!"/>
    <e v="#VALUE!"/>
    <s v=""/>
    <s v=""/>
    <s v=""/>
    <n v="0"/>
    <x v="2"/>
    <x v="5"/>
    <x v="1"/>
    <x v="1"/>
    <n v="152.19999999999999"/>
  </r>
  <r>
    <d v="2018-05-01T00:00:00"/>
    <x v="101"/>
    <x v="5"/>
    <x v="9"/>
    <s v="Compteur 1"/>
    <s v="Compteur_1"/>
    <x v="1"/>
    <d v="1899-12-30T00:00:00"/>
    <d v="1899-12-30T00:00:00"/>
    <n v="1"/>
    <e v="#VALUE!"/>
    <n v="0"/>
    <e v="#VALUE!"/>
    <s v=""/>
    <e v="#VALUE!"/>
    <n v="0"/>
    <e v="#VALUE!"/>
    <e v="#VALUE!"/>
    <s v=""/>
    <s v=""/>
    <s v=""/>
    <n v="0"/>
    <x v="2"/>
    <x v="5"/>
    <x v="1"/>
    <x v="1"/>
    <n v="95.8"/>
  </r>
  <r>
    <d v="2018-06-01T00:00:00"/>
    <x v="102"/>
    <x v="6"/>
    <x v="9"/>
    <s v="Compteur 1"/>
    <s v="Compteur_1"/>
    <x v="1"/>
    <d v="1899-12-30T00:00:00"/>
    <d v="1899-12-30T00:00:00"/>
    <n v="1"/>
    <e v="#VALUE!"/>
    <n v="0"/>
    <e v="#VALUE!"/>
    <s v=""/>
    <e v="#VALUE!"/>
    <n v="0"/>
    <e v="#VALUE!"/>
    <e v="#VALUE!"/>
    <s v=""/>
    <s v=""/>
    <s v=""/>
    <n v="0"/>
    <x v="2"/>
    <x v="5"/>
    <x v="1"/>
    <x v="1"/>
    <n v="25.4"/>
  </r>
  <r>
    <d v="2018-07-01T00:00:00"/>
    <x v="103"/>
    <x v="7"/>
    <x v="9"/>
    <s v="Compteur 1"/>
    <s v="Compteur_1"/>
    <x v="1"/>
    <d v="1899-12-30T00:00:00"/>
    <d v="1899-12-30T00:00:00"/>
    <n v="1"/>
    <e v="#VALUE!"/>
    <n v="0"/>
    <e v="#VALUE!"/>
    <s v=""/>
    <e v="#VALUE!"/>
    <n v="0"/>
    <e v="#VALUE!"/>
    <e v="#VALUE!"/>
    <s v=""/>
    <s v=""/>
    <s v=""/>
    <n v="0"/>
    <x v="2"/>
    <x v="5"/>
    <x v="1"/>
    <x v="1"/>
    <n v="5.9"/>
  </r>
  <r>
    <d v="2018-08-01T00:00:00"/>
    <x v="104"/>
    <x v="8"/>
    <x v="9"/>
    <s v="Compteur 1"/>
    <s v="Compteur_1"/>
    <x v="1"/>
    <d v="1899-12-30T00:00:00"/>
    <d v="1899-12-30T00:00:00"/>
    <n v="1"/>
    <e v="#VALUE!"/>
    <n v="0"/>
    <e v="#VALUE!"/>
    <s v=""/>
    <e v="#VALUE!"/>
    <n v="0"/>
    <e v="#VALUE!"/>
    <e v="#VALUE!"/>
    <s v=""/>
    <s v=""/>
    <s v=""/>
    <n v="0"/>
    <x v="2"/>
    <x v="5"/>
    <x v="1"/>
    <x v="1"/>
    <n v="26"/>
  </r>
  <r>
    <d v="2018-09-01T00:00:00"/>
    <x v="105"/>
    <x v="9"/>
    <x v="9"/>
    <s v="Compteur 1"/>
    <s v="Compteur_1"/>
    <x v="1"/>
    <d v="1899-12-30T00:00:00"/>
    <d v="1899-12-30T00:00:00"/>
    <n v="1"/>
    <e v="#VALUE!"/>
    <n v="0"/>
    <e v="#VALUE!"/>
    <s v=""/>
    <e v="#VALUE!"/>
    <n v="0"/>
    <e v="#VALUE!"/>
    <e v="#VALUE!"/>
    <s v=""/>
    <s v=""/>
    <s v=""/>
    <n v="0"/>
    <x v="2"/>
    <x v="5"/>
    <x v="1"/>
    <x v="1"/>
    <n v="73.599999999999994"/>
  </r>
  <r>
    <d v="2018-10-01T00:00:00"/>
    <x v="106"/>
    <x v="10"/>
    <x v="9"/>
    <s v="Compteur 1"/>
    <s v="Compteur_1"/>
    <x v="1"/>
    <d v="1899-12-30T00:00:00"/>
    <d v="1899-12-30T00:00:00"/>
    <n v="1"/>
    <e v="#VALUE!"/>
    <n v="0"/>
    <e v="#VALUE!"/>
    <s v=""/>
    <e v="#VALUE!"/>
    <n v="0"/>
    <e v="#VALUE!"/>
    <e v="#VALUE!"/>
    <s v=""/>
    <s v=""/>
    <s v=""/>
    <n v="0"/>
    <x v="2"/>
    <x v="5"/>
    <x v="1"/>
    <x v="1"/>
    <n v="157.5"/>
  </r>
  <r>
    <d v="2018-11-01T00:00:00"/>
    <x v="107"/>
    <x v="11"/>
    <x v="9"/>
    <s v="Compteur 1"/>
    <s v="Compteur_1"/>
    <x v="1"/>
    <d v="1899-12-30T00:00:00"/>
    <d v="1899-12-30T00:00:00"/>
    <n v="1"/>
    <e v="#VALUE!"/>
    <n v="0"/>
    <e v="#VALUE!"/>
    <s v=""/>
    <e v="#VALUE!"/>
    <n v="0"/>
    <e v="#VALUE!"/>
    <e v="#VALUE!"/>
    <s v=""/>
    <s v=""/>
    <s v=""/>
    <n v="0"/>
    <x v="2"/>
    <x v="5"/>
    <x v="1"/>
    <x v="1"/>
    <n v="278"/>
  </r>
  <r>
    <d v="2018-12-01T00:00:00"/>
    <x v="108"/>
    <x v="12"/>
    <x v="9"/>
    <s v="Compteur 1"/>
    <s v="Compteur_1"/>
    <x v="1"/>
    <d v="1899-12-30T00:00:00"/>
    <d v="1899-12-30T00:00:00"/>
    <n v="1"/>
    <e v="#VALUE!"/>
    <n v="0"/>
    <e v="#VALUE!"/>
    <s v=""/>
    <e v="#VALUE!"/>
    <n v="0"/>
    <e v="#VALUE!"/>
    <e v="#VALUE!"/>
    <s v=""/>
    <s v=""/>
    <s v=""/>
    <n v="0"/>
    <x v="2"/>
    <x v="5"/>
    <x v="1"/>
    <x v="1"/>
    <n v="319.2"/>
  </r>
  <r>
    <d v="2019-01-01T00:00:00"/>
    <x v="109"/>
    <x v="1"/>
    <x v="10"/>
    <s v="Compteur 1"/>
    <s v="Compteur_1"/>
    <x v="1"/>
    <d v="1899-12-30T00:00:00"/>
    <d v="1899-12-30T00:00:00"/>
    <n v="1"/>
    <e v="#VALUE!"/>
    <n v="0"/>
    <e v="#VALUE!"/>
    <s v=""/>
    <e v="#VALUE!"/>
    <n v="0"/>
    <e v="#VALUE!"/>
    <e v="#VALUE!"/>
    <s v=""/>
    <s v=""/>
    <s v=""/>
    <n v="0"/>
    <x v="2"/>
    <x v="5"/>
    <x v="1"/>
    <x v="1"/>
    <n v="402.2"/>
  </r>
  <r>
    <d v="2019-02-01T00:00:00"/>
    <x v="110"/>
    <x v="2"/>
    <x v="10"/>
    <s v="Compteur 1"/>
    <s v="Compteur_1"/>
    <x v="1"/>
    <d v="1899-12-30T00:00:00"/>
    <d v="1899-12-30T00:00:00"/>
    <n v="1"/>
    <e v="#VALUE!"/>
    <n v="0"/>
    <e v="#VALUE!"/>
    <s v=""/>
    <e v="#VALUE!"/>
    <n v="0"/>
    <e v="#VALUE!"/>
    <e v="#VALUE!"/>
    <s v=""/>
    <s v=""/>
    <s v=""/>
    <n v="0"/>
    <x v="2"/>
    <x v="5"/>
    <x v="1"/>
    <x v="1"/>
    <n v="297.3"/>
  </r>
  <r>
    <d v="2019-03-01T00:00:00"/>
    <x v="111"/>
    <x v="3"/>
    <x v="10"/>
    <s v="Compteur 1"/>
    <s v="Compteur_1"/>
    <x v="1"/>
    <d v="1899-12-30T00:00:00"/>
    <d v="1899-12-30T00:00:00"/>
    <n v="1"/>
    <e v="#VALUE!"/>
    <n v="0"/>
    <e v="#VALUE!"/>
    <s v=""/>
    <e v="#VALUE!"/>
    <n v="0"/>
    <e v="#VALUE!"/>
    <e v="#VALUE!"/>
    <s v=""/>
    <s v=""/>
    <s v=""/>
    <n v="0"/>
    <x v="2"/>
    <x v="5"/>
    <x v="1"/>
    <x v="1"/>
    <n v="260.39999999999998"/>
  </r>
  <r>
    <d v="2019-04-01T00:00:00"/>
    <x v="112"/>
    <x v="4"/>
    <x v="10"/>
    <s v="Compteur 1"/>
    <s v="Compteur_1"/>
    <x v="1"/>
    <d v="1899-12-30T00:00:00"/>
    <d v="1899-12-30T00:00:00"/>
    <n v="1"/>
    <e v="#VALUE!"/>
    <n v="0"/>
    <e v="#VALUE!"/>
    <s v=""/>
    <e v="#VALUE!"/>
    <n v="0"/>
    <e v="#VALUE!"/>
    <e v="#VALUE!"/>
    <s v=""/>
    <s v=""/>
    <s v=""/>
    <n v="0"/>
    <x v="2"/>
    <x v="5"/>
    <x v="1"/>
    <x v="1"/>
    <n v="201.4"/>
  </r>
  <r>
    <d v="2019-05-01T00:00:00"/>
    <x v="113"/>
    <x v="5"/>
    <x v="10"/>
    <s v="Compteur 1"/>
    <s v="Compteur_1"/>
    <x v="1"/>
    <d v="1899-12-30T00:00:00"/>
    <d v="1899-12-30T00:00:00"/>
    <n v="1"/>
    <e v="#VALUE!"/>
    <n v="0"/>
    <e v="#VALUE!"/>
    <s v=""/>
    <e v="#VALUE!"/>
    <n v="0"/>
    <e v="#VALUE!"/>
    <e v="#VALUE!"/>
    <s v=""/>
    <s v=""/>
    <s v=""/>
    <n v="0"/>
    <x v="2"/>
    <x v="5"/>
    <x v="1"/>
    <x v="1"/>
    <n v="147.9"/>
  </r>
  <r>
    <d v="2019-06-01T00:00:00"/>
    <x v="114"/>
    <x v="6"/>
    <x v="10"/>
    <s v="Compteur 1"/>
    <s v="Compteur_1"/>
    <x v="1"/>
    <d v="1899-12-30T00:00:00"/>
    <d v="1899-12-30T00:00:00"/>
    <n v="1"/>
    <e v="#VALUE!"/>
    <n v="0"/>
    <e v="#VALUE!"/>
    <s v=""/>
    <e v="#VALUE!"/>
    <n v="0"/>
    <e v="#VALUE!"/>
    <e v="#VALUE!"/>
    <s v=""/>
    <s v=""/>
    <s v=""/>
    <n v="0"/>
    <x v="2"/>
    <x v="5"/>
    <x v="1"/>
    <x v="1"/>
    <n v="54.1"/>
  </r>
  <r>
    <d v="2019-07-01T00:00:00"/>
    <x v="115"/>
    <x v="7"/>
    <x v="10"/>
    <s v="Compteur 1"/>
    <s v="Compteur_1"/>
    <x v="1"/>
    <d v="1899-12-30T00:00:00"/>
    <d v="1899-12-30T00:00:00"/>
    <n v="1"/>
    <e v="#VALUE!"/>
    <n v="0"/>
    <e v="#VALUE!"/>
    <s v=""/>
    <e v="#VALUE!"/>
    <n v="0"/>
    <e v="#VALUE!"/>
    <e v="#VALUE!"/>
    <s v=""/>
    <s v=""/>
    <s v=""/>
    <n v="0"/>
    <x v="2"/>
    <x v="5"/>
    <x v="1"/>
    <x v="1"/>
    <n v="15.5"/>
  </r>
  <r>
    <d v="2019-08-01T00:00:00"/>
    <x v="116"/>
    <x v="8"/>
    <x v="10"/>
    <s v="Compteur 1"/>
    <s v="Compteur_1"/>
    <x v="1"/>
    <d v="1899-12-30T00:00:00"/>
    <d v="1899-12-30T00:00:00"/>
    <n v="1"/>
    <e v="#VALUE!"/>
    <n v="0"/>
    <e v="#VALUE!"/>
    <s v=""/>
    <e v="#VALUE!"/>
    <n v="0"/>
    <e v="#VALUE!"/>
    <e v="#VALUE!"/>
    <s v=""/>
    <s v=""/>
    <s v=""/>
    <n v="0"/>
    <x v="2"/>
    <x v="5"/>
    <x v="1"/>
    <x v="1"/>
    <n v="30.2"/>
  </r>
  <r>
    <d v="2019-09-01T00:00:00"/>
    <x v="117"/>
    <x v="9"/>
    <x v="10"/>
    <s v="Compteur 1"/>
    <s v="Compteur_1"/>
    <x v="1"/>
    <d v="1899-12-30T00:00:00"/>
    <d v="1899-12-30T00:00:00"/>
    <n v="1"/>
    <e v="#VALUE!"/>
    <n v="0"/>
    <e v="#VALUE!"/>
    <s v=""/>
    <e v="#VALUE!"/>
    <n v="0"/>
    <e v="#VALUE!"/>
    <e v="#VALUE!"/>
    <s v=""/>
    <s v=""/>
    <s v=""/>
    <n v="0"/>
    <x v="2"/>
    <x v="5"/>
    <x v="1"/>
    <x v="1"/>
    <n v="64.7"/>
  </r>
  <r>
    <d v="2019-10-01T00:00:00"/>
    <x v="118"/>
    <x v="10"/>
    <x v="10"/>
    <s v="Compteur 1"/>
    <s v="Compteur_1"/>
    <x v="1"/>
    <d v="1899-12-30T00:00:00"/>
    <d v="1899-12-30T00:00:00"/>
    <n v="1"/>
    <e v="#VALUE!"/>
    <n v="0"/>
    <e v="#VALUE!"/>
    <s v=""/>
    <e v="#VALUE!"/>
    <n v="0"/>
    <e v="#VALUE!"/>
    <e v="#VALUE!"/>
    <s v=""/>
    <s v=""/>
    <s v=""/>
    <n v="0"/>
    <x v="2"/>
    <x v="5"/>
    <x v="1"/>
    <x v="1"/>
    <n v="128.80000000000001"/>
  </r>
  <r>
    <d v="2019-11-01T00:00:00"/>
    <x v="119"/>
    <x v="11"/>
    <x v="10"/>
    <s v="Compteur 1"/>
    <s v="Compteur_1"/>
    <x v="1"/>
    <d v="1899-12-30T00:00:00"/>
    <d v="1899-12-30T00:00:00"/>
    <n v="1"/>
    <e v="#VALUE!"/>
    <n v="0"/>
    <e v="#VALUE!"/>
    <s v=""/>
    <e v="#VALUE!"/>
    <n v="0"/>
    <e v="#VALUE!"/>
    <e v="#VALUE!"/>
    <s v=""/>
    <s v=""/>
    <s v=""/>
    <n v="0"/>
    <x v="2"/>
    <x v="5"/>
    <x v="1"/>
    <x v="1"/>
    <n v="293.10000000000002"/>
  </r>
  <r>
    <d v="2019-12-01T00:00:00"/>
    <x v="120"/>
    <x v="12"/>
    <x v="10"/>
    <s v="Compteur 1"/>
    <s v="Compteur_1"/>
    <x v="1"/>
    <d v="1899-12-30T00:00:00"/>
    <d v="1899-12-30T00:00:00"/>
    <n v="1"/>
    <e v="#VALUE!"/>
    <n v="0"/>
    <e v="#VALUE!"/>
    <s v=""/>
    <e v="#VALUE!"/>
    <n v="0"/>
    <e v="#VALUE!"/>
    <e v="#VALUE!"/>
    <s v=""/>
    <s v=""/>
    <s v=""/>
    <n v="0"/>
    <x v="2"/>
    <x v="5"/>
    <x v="1"/>
    <x v="1"/>
    <n v="323"/>
  </r>
  <r>
    <d v="2020-01-01T00:00:00"/>
    <x v="121"/>
    <x v="1"/>
    <x v="11"/>
    <s v="Compteur 1"/>
    <s v="Compteur_1"/>
    <x v="1"/>
    <d v="1899-12-30T00:00:00"/>
    <d v="1899-12-30T00:00:00"/>
    <n v="1"/>
    <e v="#VALUE!"/>
    <n v="0"/>
    <e v="#VALUE!"/>
    <s v=""/>
    <e v="#VALUE!"/>
    <n v="0"/>
    <e v="#VALUE!"/>
    <e v="#VALUE!"/>
    <s v=""/>
    <s v=""/>
    <s v=""/>
    <n v="0"/>
    <x v="2"/>
    <x v="5"/>
    <x v="1"/>
    <x v="1"/>
    <n v="331.5"/>
  </r>
  <r>
    <d v="2020-02-01T00:00:00"/>
    <x v="122"/>
    <x v="2"/>
    <x v="11"/>
    <s v="Compteur 1"/>
    <s v="Compteur_1"/>
    <x v="1"/>
    <d v="1899-12-30T00:00:00"/>
    <d v="1899-12-30T00:00:00"/>
    <n v="1"/>
    <e v="#VALUE!"/>
    <n v="0"/>
    <e v="#VALUE!"/>
    <s v=""/>
    <e v="#VALUE!"/>
    <n v="0"/>
    <e v="#VALUE!"/>
    <e v="#VALUE!"/>
    <s v=""/>
    <s v=""/>
    <s v=""/>
    <n v="0"/>
    <x v="2"/>
    <x v="5"/>
    <x v="1"/>
    <x v="1"/>
    <n v="251.6"/>
  </r>
  <r>
    <d v="2020-03-01T00:00:00"/>
    <x v="123"/>
    <x v="3"/>
    <x v="11"/>
    <s v="Compteur 1"/>
    <s v="Compteur_1"/>
    <x v="1"/>
    <d v="1899-12-30T00:00:00"/>
    <d v="1899-12-30T00:00:00"/>
    <n v="1"/>
    <e v="#VALUE!"/>
    <n v="0"/>
    <e v="#VALUE!"/>
    <s v=""/>
    <e v="#VALUE!"/>
    <n v="0"/>
    <e v="#VALUE!"/>
    <e v="#VALUE!"/>
    <s v=""/>
    <s v=""/>
    <s v=""/>
    <n v="0"/>
    <x v="2"/>
    <x v="5"/>
    <x v="1"/>
    <x v="1"/>
    <n v="272.60000000000002"/>
  </r>
  <r>
    <d v="2020-04-01T00:00:00"/>
    <x v="124"/>
    <x v="4"/>
    <x v="11"/>
    <s v="Compteur 1"/>
    <s v="Compteur_1"/>
    <x v="1"/>
    <d v="1899-12-30T00:00:00"/>
    <d v="1899-12-30T00:00:00"/>
    <n v="1"/>
    <e v="#VALUE!"/>
    <n v="0"/>
    <e v="#VALUE!"/>
    <s v=""/>
    <e v="#VALUE!"/>
    <n v="0"/>
    <e v="#VALUE!"/>
    <e v="#VALUE!"/>
    <s v=""/>
    <s v=""/>
    <s v=""/>
    <n v="0"/>
    <x v="2"/>
    <x v="5"/>
    <x v="1"/>
    <x v="1"/>
    <n v="126.3"/>
  </r>
  <r>
    <d v="2020-05-01T00:00:00"/>
    <x v="125"/>
    <x v="5"/>
    <x v="11"/>
    <s v="Compteur 1"/>
    <s v="Compteur_1"/>
    <x v="1"/>
    <d v="1899-12-30T00:00:00"/>
    <d v="1899-12-30T00:00:00"/>
    <n v="1"/>
    <e v="#VALUE!"/>
    <n v="0"/>
    <e v="#VALUE!"/>
    <s v=""/>
    <e v="#VALUE!"/>
    <n v="0"/>
    <e v="#VALUE!"/>
    <e v="#VALUE!"/>
    <s v=""/>
    <s v=""/>
    <s v=""/>
    <n v="0"/>
    <x v="2"/>
    <x v="5"/>
    <x v="1"/>
    <x v="1"/>
    <n v="91.8"/>
  </r>
  <r>
    <d v="2020-06-01T00:00:00"/>
    <x v="126"/>
    <x v="6"/>
    <x v="11"/>
    <s v="Compteur 1"/>
    <s v="Compteur_1"/>
    <x v="1"/>
    <d v="1899-12-30T00:00:00"/>
    <d v="1899-12-30T00:00:00"/>
    <n v="1"/>
    <e v="#VALUE!"/>
    <n v="0"/>
    <e v="#VALUE!"/>
    <s v=""/>
    <e v="#VALUE!"/>
    <n v="0"/>
    <e v="#VALUE!"/>
    <e v="#VALUE!"/>
    <s v=""/>
    <s v=""/>
    <s v=""/>
    <n v="0"/>
    <x v="2"/>
    <x v="5"/>
    <x v="1"/>
    <x v="1"/>
    <n v="55.6"/>
  </r>
  <r>
    <d v="2020-07-01T00:00:00"/>
    <x v="127"/>
    <x v="7"/>
    <x v="11"/>
    <s v="Compteur 1"/>
    <s v="Compteur_1"/>
    <x v="1"/>
    <d v="1899-12-30T00:00:00"/>
    <d v="1899-12-30T00:00:00"/>
    <n v="1"/>
    <e v="#VALUE!"/>
    <n v="0"/>
    <e v="#VALUE!"/>
    <s v=""/>
    <e v="#VALUE!"/>
    <n v="0"/>
    <e v="#VALUE!"/>
    <e v="#VALUE!"/>
    <s v=""/>
    <s v=""/>
    <s v=""/>
    <n v="0"/>
    <x v="2"/>
    <x v="5"/>
    <x v="1"/>
    <x v="1"/>
    <n v="32.299999999999997"/>
  </r>
  <r>
    <d v="2020-08-01T00:00:00"/>
    <x v="128"/>
    <x v="8"/>
    <x v="11"/>
    <s v="Compteur 1"/>
    <s v="Compteur_1"/>
    <x v="1"/>
    <d v="1899-12-30T00:00:00"/>
    <d v="1899-12-30T00:00:00"/>
    <n v="1"/>
    <e v="#VALUE!"/>
    <n v="0"/>
    <e v="#VALUE!"/>
    <s v=""/>
    <e v="#VALUE!"/>
    <n v="0"/>
    <e v="#VALUE!"/>
    <e v="#VALUE!"/>
    <s v=""/>
    <s v=""/>
    <s v=""/>
    <n v="0"/>
    <x v="2"/>
    <x v="5"/>
    <x v="1"/>
    <x v="1"/>
    <n v="27.8"/>
  </r>
  <r>
    <d v="2020-09-01T00:00:00"/>
    <x v="129"/>
    <x v="9"/>
    <x v="11"/>
    <s v="Compteur 1"/>
    <s v="Compteur_1"/>
    <x v="1"/>
    <d v="1899-12-30T00:00:00"/>
    <d v="1899-12-30T00:00:00"/>
    <n v="1"/>
    <e v="#VALUE!"/>
    <n v="0"/>
    <e v="#VALUE!"/>
    <s v=""/>
    <e v="#VALUE!"/>
    <n v="0"/>
    <e v="#VALUE!"/>
    <e v="#VALUE!"/>
    <s v=""/>
    <s v=""/>
    <s v=""/>
    <n v="0"/>
    <x v="2"/>
    <x v="5"/>
    <x v="1"/>
    <x v="1"/>
    <n v="56.6"/>
  </r>
  <r>
    <d v="2020-10-01T00:00:00"/>
    <x v="130"/>
    <x v="10"/>
    <x v="11"/>
    <s v="Compteur 1"/>
    <s v="Compteur_1"/>
    <x v="1"/>
    <d v="1899-12-30T00:00:00"/>
    <d v="1899-12-30T00:00:00"/>
    <n v="1"/>
    <e v="#VALUE!"/>
    <n v="0"/>
    <e v="#VALUE!"/>
    <s v=""/>
    <e v="#VALUE!"/>
    <n v="0"/>
    <e v="#VALUE!"/>
    <e v="#VALUE!"/>
    <s v=""/>
    <s v=""/>
    <s v=""/>
    <n v="0"/>
    <x v="2"/>
    <x v="5"/>
    <x v="1"/>
    <x v="1"/>
    <n v="159.30000000000001"/>
  </r>
  <r>
    <d v="2020-11-01T00:00:00"/>
    <x v="131"/>
    <x v="11"/>
    <x v="11"/>
    <s v="Compteur 1"/>
    <s v="Compteur_1"/>
    <x v="1"/>
    <d v="1899-12-30T00:00:00"/>
    <d v="1899-12-30T00:00:00"/>
    <n v="1"/>
    <e v="#VALUE!"/>
    <n v="0"/>
    <e v="#VALUE!"/>
    <s v=""/>
    <e v="#VALUE!"/>
    <n v="0"/>
    <e v="#VALUE!"/>
    <e v="#VALUE!"/>
    <s v=""/>
    <s v=""/>
    <s v=""/>
    <n v="0"/>
    <x v="2"/>
    <x v="5"/>
    <x v="1"/>
    <x v="1"/>
    <n v="237.3"/>
  </r>
  <r>
    <d v="2020-12-01T00:00:00"/>
    <x v="132"/>
    <x v="12"/>
    <x v="11"/>
    <s v="Compteur 1"/>
    <s v="Compteur_1"/>
    <x v="1"/>
    <d v="1899-12-30T00:00:00"/>
    <d v="1899-12-30T00:00:00"/>
    <n v="1"/>
    <e v="#VALUE!"/>
    <n v="0"/>
    <e v="#VALUE!"/>
    <s v=""/>
    <e v="#VALUE!"/>
    <n v="0"/>
    <e v="#VALUE!"/>
    <e v="#VALUE!"/>
    <s v=""/>
    <s v=""/>
    <s v=""/>
    <n v="0"/>
    <x v="2"/>
    <x v="5"/>
    <x v="1"/>
    <x v="1"/>
    <n v="334.4"/>
  </r>
  <r>
    <d v="2021-01-01T00:00:00"/>
    <x v="133"/>
    <x v="1"/>
    <x v="12"/>
    <s v="Compteur 1"/>
    <s v="Compteur_1"/>
    <x v="1"/>
    <d v="1899-12-30T00:00:00"/>
    <d v="1899-12-30T00:00:00"/>
    <n v="1"/>
    <e v="#VALUE!"/>
    <n v="0"/>
    <e v="#VALUE!"/>
    <s v=""/>
    <e v="#VALUE!"/>
    <n v="0"/>
    <e v="#VALUE!"/>
    <e v="#VALUE!"/>
    <s v=""/>
    <s v=""/>
    <s v=""/>
    <n v="0"/>
    <x v="2"/>
    <x v="5"/>
    <x v="1"/>
    <x v="1"/>
    <n v="380.1"/>
  </r>
  <r>
    <d v="2021-02-01T00:00:00"/>
    <x v="134"/>
    <x v="2"/>
    <x v="12"/>
    <s v="Compteur 1"/>
    <s v="Compteur_1"/>
    <x v="1"/>
    <d v="1899-12-30T00:00:00"/>
    <d v="1899-12-30T00:00:00"/>
    <n v="1"/>
    <e v="#VALUE!"/>
    <n v="0"/>
    <e v="#VALUE!"/>
    <s v=""/>
    <e v="#VALUE!"/>
    <n v="0"/>
    <e v="#VALUE!"/>
    <e v="#VALUE!"/>
    <s v=""/>
    <s v=""/>
    <s v=""/>
    <n v="0"/>
    <x v="2"/>
    <x v="5"/>
    <x v="1"/>
    <x v="1"/>
    <n v="299.5"/>
  </r>
  <r>
    <d v="2021-03-01T00:00:00"/>
    <x v="135"/>
    <x v="3"/>
    <x v="12"/>
    <s v="Compteur 1"/>
    <s v="Compteur_1"/>
    <x v="1"/>
    <d v="1899-12-30T00:00:00"/>
    <d v="1899-12-30T00:00:00"/>
    <n v="1"/>
    <e v="#VALUE!"/>
    <n v="0"/>
    <e v="#VALUE!"/>
    <s v=""/>
    <e v="#VALUE!"/>
    <n v="0"/>
    <e v="#VALUE!"/>
    <e v="#VALUE!"/>
    <s v=""/>
    <s v=""/>
    <s v=""/>
    <n v="0"/>
    <x v="2"/>
    <x v="5"/>
    <x v="1"/>
    <x v="1"/>
    <n v="303.89999999999998"/>
  </r>
  <r>
    <d v="2021-04-01T00:00:00"/>
    <x v="136"/>
    <x v="4"/>
    <x v="12"/>
    <s v="Compteur 1"/>
    <s v="Compteur_1"/>
    <x v="1"/>
    <d v="1899-12-30T00:00:00"/>
    <d v="1899-12-30T00:00:00"/>
    <n v="1"/>
    <e v="#VALUE!"/>
    <n v="0"/>
    <e v="#VALUE!"/>
    <s v=""/>
    <e v="#VALUE!"/>
    <n v="0"/>
    <e v="#VALUE!"/>
    <e v="#VALUE!"/>
    <s v=""/>
    <s v=""/>
    <s v=""/>
    <n v="0"/>
    <x v="2"/>
    <x v="5"/>
    <x v="1"/>
    <x v="1"/>
    <n v="242.8"/>
  </r>
  <r>
    <d v="2021-05-01T00:00:00"/>
    <x v="137"/>
    <x v="5"/>
    <x v="12"/>
    <s v="Compteur 1"/>
    <s v="Compteur_1"/>
    <x v="1"/>
    <d v="1899-12-30T00:00:00"/>
    <d v="1899-12-30T00:00:00"/>
    <n v="1"/>
    <e v="#VALUE!"/>
    <n v="0"/>
    <e v="#VALUE!"/>
    <s v=""/>
    <e v="#VALUE!"/>
    <n v="0"/>
    <e v="#VALUE!"/>
    <e v="#VALUE!"/>
    <s v=""/>
    <s v=""/>
    <s v=""/>
    <n v="0"/>
    <x v="2"/>
    <x v="5"/>
    <x v="1"/>
    <x v="1"/>
    <n v="159.4"/>
  </r>
  <r>
    <d v="2021-06-01T00:00:00"/>
    <x v="138"/>
    <x v="6"/>
    <x v="12"/>
    <s v="Compteur 1"/>
    <s v="Compteur_1"/>
    <x v="1"/>
    <d v="1899-12-30T00:00:00"/>
    <d v="1899-12-30T00:00:00"/>
    <n v="1"/>
    <e v="#VALUE!"/>
    <n v="0"/>
    <e v="#VALUE!"/>
    <s v=""/>
    <e v="#VALUE!"/>
    <n v="0"/>
    <e v="#VALUE!"/>
    <e v="#VALUE!"/>
    <s v=""/>
    <s v=""/>
    <s v=""/>
    <n v="0"/>
    <x v="2"/>
    <x v="5"/>
    <x v="1"/>
    <x v="1"/>
    <n v="29.9"/>
  </r>
  <r>
    <d v="2021-07-01T00:00:00"/>
    <x v="139"/>
    <x v="7"/>
    <x v="12"/>
    <s v="Compteur 1"/>
    <s v="Compteur_1"/>
    <x v="1"/>
    <d v="1899-12-30T00:00:00"/>
    <d v="1899-12-30T00:00:00"/>
    <n v="1"/>
    <e v="#VALUE!"/>
    <n v="0"/>
    <e v="#VALUE!"/>
    <s v=""/>
    <e v="#VALUE!"/>
    <n v="0"/>
    <e v="#VALUE!"/>
    <e v="#VALUE!"/>
    <s v=""/>
    <s v=""/>
    <s v=""/>
    <n v="0"/>
    <x v="2"/>
    <x v="5"/>
    <x v="1"/>
    <x v="1"/>
    <n v="22.4"/>
  </r>
  <r>
    <d v="2021-08-01T00:00:00"/>
    <x v="140"/>
    <x v="8"/>
    <x v="12"/>
    <s v="Compteur 1"/>
    <s v="Compteur_1"/>
    <x v="1"/>
    <d v="1899-12-30T00:00:00"/>
    <d v="1899-12-30T00:00:00"/>
    <n v="1"/>
    <e v="#VALUE!"/>
    <n v="0"/>
    <e v="#VALUE!"/>
    <s v=""/>
    <e v="#VALUE!"/>
    <n v="0"/>
    <e v="#VALUE!"/>
    <e v="#VALUE!"/>
    <s v=""/>
    <s v=""/>
    <s v=""/>
    <n v="0"/>
    <x v="2"/>
    <x v="5"/>
    <x v="1"/>
    <x v="1"/>
    <n v="35.9"/>
  </r>
  <r>
    <d v="2021-09-01T00:00:00"/>
    <x v="141"/>
    <x v="9"/>
    <x v="12"/>
    <s v="Compteur 1"/>
    <s v="Compteur_1"/>
    <x v="1"/>
    <d v="1899-12-30T00:00:00"/>
    <d v="1899-12-30T00:00:00"/>
    <n v="1"/>
    <e v="#VALUE!"/>
    <n v="0"/>
    <e v="#VALUE!"/>
    <s v=""/>
    <e v="#VALUE!"/>
    <n v="0"/>
    <e v="#VALUE!"/>
    <e v="#VALUE!"/>
    <s v=""/>
    <s v=""/>
    <s v=""/>
    <n v="0"/>
    <x v="2"/>
    <x v="5"/>
    <x v="1"/>
    <x v="1"/>
    <n v="47.8"/>
  </r>
  <r>
    <d v="2021-10-01T00:00:00"/>
    <x v="142"/>
    <x v="10"/>
    <x v="12"/>
    <s v="Compteur 1"/>
    <s v="Compteur_1"/>
    <x v="1"/>
    <d v="1899-12-30T00:00:00"/>
    <d v="1899-12-30T00:00:00"/>
    <n v="1"/>
    <e v="#VALUE!"/>
    <n v="0"/>
    <e v="#VALUE!"/>
    <s v=""/>
    <e v="#VALUE!"/>
    <n v="0"/>
    <e v="#VALUE!"/>
    <e v="#VALUE!"/>
    <s v=""/>
    <s v=""/>
    <s v=""/>
    <n v="0"/>
    <x v="2"/>
    <x v="5"/>
    <x v="1"/>
    <x v="1"/>
    <n v="170.5"/>
  </r>
  <r>
    <d v="2021-11-01T00:00:00"/>
    <x v="143"/>
    <x v="11"/>
    <x v="12"/>
    <s v="Compteur 1"/>
    <s v="Compteur_1"/>
    <x v="1"/>
    <d v="1899-12-30T00:00:00"/>
    <d v="1899-12-30T00:00:00"/>
    <n v="1"/>
    <e v="#VALUE!"/>
    <n v="0"/>
    <e v="#VALUE!"/>
    <s v=""/>
    <e v="#VALUE!"/>
    <n v="0"/>
    <e v="#VALUE!"/>
    <e v="#VALUE!"/>
    <s v=""/>
    <s v=""/>
    <s v=""/>
    <n v="0"/>
    <x v="2"/>
    <x v="5"/>
    <x v="1"/>
    <x v="1"/>
    <n v="326.8"/>
  </r>
  <r>
    <d v="2021-12-01T00:00:00"/>
    <x v="144"/>
    <x v="12"/>
    <x v="12"/>
    <s v="Compteur 1"/>
    <s v="Compteur_1"/>
    <x v="1"/>
    <d v="1899-12-30T00:00:00"/>
    <d v="1899-12-30T00:00:00"/>
    <n v="1"/>
    <e v="#VALUE!"/>
    <n v="0"/>
    <e v="#VALUE!"/>
    <s v=""/>
    <e v="#VALUE!"/>
    <n v="0"/>
    <e v="#VALUE!"/>
    <e v="#VALUE!"/>
    <s v=""/>
    <s v=""/>
    <s v=""/>
    <n v="0"/>
    <x v="2"/>
    <x v="5"/>
    <x v="1"/>
    <x v="1"/>
    <n v="336.7"/>
  </r>
  <r>
    <d v="2022-01-01T00:00:00"/>
    <x v="145"/>
    <x v="1"/>
    <x v="13"/>
    <s v="Compteur 1"/>
    <s v="Compteur_1"/>
    <x v="1"/>
    <d v="1899-12-30T00:00:00"/>
    <d v="1899-12-30T00:00:00"/>
    <n v="1"/>
    <e v="#VALUE!"/>
    <n v="0"/>
    <e v="#VALUE!"/>
    <s v=""/>
    <e v="#VALUE!"/>
    <n v="0"/>
    <e v="#VALUE!"/>
    <e v="#VALUE!"/>
    <s v=""/>
    <s v=""/>
    <s v=""/>
    <n v="0"/>
    <x v="2"/>
    <x v="5"/>
    <x v="1"/>
    <x v="1"/>
    <n v="396.3"/>
  </r>
  <r>
    <d v="2022-02-01T00:00:00"/>
    <x v="146"/>
    <x v="2"/>
    <x v="13"/>
    <s v="Compteur 1"/>
    <s v="Compteur_1"/>
    <x v="1"/>
    <d v="1899-12-30T00:00:00"/>
    <d v="1899-12-30T00:00:00"/>
    <n v="1"/>
    <e v="#VALUE!"/>
    <n v="0"/>
    <e v="#VALUE!"/>
    <s v=""/>
    <e v="#VALUE!"/>
    <n v="0"/>
    <e v="#VALUE!"/>
    <e v="#VALUE!"/>
    <s v=""/>
    <s v=""/>
    <s v=""/>
    <n v="0"/>
    <x v="2"/>
    <x v="5"/>
    <x v="1"/>
    <x v="1"/>
    <n v="286.10000000000002"/>
  </r>
  <r>
    <d v="2022-03-01T00:00:00"/>
    <x v="147"/>
    <x v="3"/>
    <x v="13"/>
    <s v="Compteur 1"/>
    <s v="Compteur_1"/>
    <x v="1"/>
    <d v="1899-12-30T00:00:00"/>
    <d v="1899-12-30T00:00:00"/>
    <n v="1"/>
    <e v="#VALUE!"/>
    <n v="0"/>
    <e v="#VALUE!"/>
    <s v=""/>
    <e v="#VALUE!"/>
    <n v="0"/>
    <e v="#VALUE!"/>
    <e v="#VALUE!"/>
    <s v=""/>
    <s v=""/>
    <s v=""/>
    <n v="0"/>
    <x v="2"/>
    <x v="5"/>
    <x v="1"/>
    <x v="1"/>
    <n v="239.8"/>
  </r>
  <r>
    <d v="2022-04-01T00:00:00"/>
    <x v="148"/>
    <x v="4"/>
    <x v="13"/>
    <s v="Compteur 1"/>
    <s v="Compteur_1"/>
    <x v="1"/>
    <d v="1899-12-30T00:00:00"/>
    <d v="1899-12-30T00:00:00"/>
    <n v="1"/>
    <e v="#VALUE!"/>
    <n v="0"/>
    <e v="#VALUE!"/>
    <s v=""/>
    <e v="#VALUE!"/>
    <n v="0"/>
    <e v="#VALUE!"/>
    <e v="#VALUE!"/>
    <s v=""/>
    <s v=""/>
    <s v=""/>
    <n v="0"/>
    <x v="2"/>
    <x v="5"/>
    <x v="1"/>
    <x v="1"/>
    <n v="192.3"/>
  </r>
  <r>
    <d v="2022-05-01T00:00:00"/>
    <x v="149"/>
    <x v="5"/>
    <x v="13"/>
    <s v="Compteur 1"/>
    <s v="Compteur_1"/>
    <x v="1"/>
    <d v="1899-12-30T00:00:00"/>
    <d v="1899-12-30T00:00:00"/>
    <n v="1"/>
    <e v="#VALUE!"/>
    <n v="0"/>
    <e v="#VALUE!"/>
    <s v=""/>
    <e v="#VALUE!"/>
    <n v="0"/>
    <e v="#VALUE!"/>
    <e v="#VALUE!"/>
    <s v=""/>
    <s v=""/>
    <s v=""/>
    <n v="0"/>
    <x v="2"/>
    <x v="5"/>
    <x v="1"/>
    <x v="1"/>
    <n v="81.8"/>
  </r>
  <r>
    <d v="2022-06-01T00:00:00"/>
    <x v="150"/>
    <x v="6"/>
    <x v="13"/>
    <s v="Compteur 1"/>
    <s v="Compteur_1"/>
    <x v="1"/>
    <d v="1899-12-30T00:00:00"/>
    <d v="1899-12-30T00:00:00"/>
    <n v="1"/>
    <e v="#VALUE!"/>
    <n v="0"/>
    <e v="#VALUE!"/>
    <s v=""/>
    <e v="#VALUE!"/>
    <n v="0"/>
    <e v="#VALUE!"/>
    <e v="#VALUE!"/>
    <s v=""/>
    <s v=""/>
    <s v=""/>
    <n v="0"/>
    <x v="2"/>
    <x v="5"/>
    <x v="1"/>
    <x v="1"/>
    <n v="35.5"/>
  </r>
  <r>
    <d v="2022-07-01T00:00:00"/>
    <x v="151"/>
    <x v="7"/>
    <x v="13"/>
    <s v="Compteur 1"/>
    <s v="Compteur_1"/>
    <x v="1"/>
    <d v="1899-12-30T00:00:00"/>
    <d v="1899-12-30T00:00:00"/>
    <n v="1"/>
    <e v="#VALUE!"/>
    <n v="0"/>
    <e v="#VALUE!"/>
    <s v=""/>
    <e v="#VALUE!"/>
    <n v="0"/>
    <e v="#VALUE!"/>
    <e v="#VALUE!"/>
    <s v=""/>
    <s v=""/>
    <s v=""/>
    <n v="0"/>
    <x v="2"/>
    <x v="5"/>
    <x v="1"/>
    <x v="1"/>
    <n v="18.8"/>
  </r>
  <r>
    <d v="2022-08-01T00:00:00"/>
    <x v="152"/>
    <x v="8"/>
    <x v="13"/>
    <s v="Compteur 1"/>
    <s v="Compteur_1"/>
    <x v="1"/>
    <d v="1899-12-30T00:00:00"/>
    <d v="1899-12-30T00:00:00"/>
    <n v="1"/>
    <e v="#VALUE!"/>
    <n v="0"/>
    <e v="#VALUE!"/>
    <s v=""/>
    <e v="#VALUE!"/>
    <n v="0"/>
    <e v="#VALUE!"/>
    <e v="#VALUE!"/>
    <s v=""/>
    <s v=""/>
    <s v=""/>
    <n v="0"/>
    <x v="2"/>
    <x v="5"/>
    <x v="1"/>
    <x v="1"/>
    <n v="10.7"/>
  </r>
  <r>
    <d v="2022-09-01T00:00:00"/>
    <x v="153"/>
    <x v="9"/>
    <x v="13"/>
    <s v="Compteur 1"/>
    <s v="Compteur_1"/>
    <x v="1"/>
    <d v="1899-12-30T00:00:00"/>
    <d v="1899-12-30T00:00:00"/>
    <n v="1"/>
    <e v="#VALUE!"/>
    <n v="0"/>
    <e v="#VALUE!"/>
    <s v=""/>
    <e v="#VALUE!"/>
    <n v="0"/>
    <e v="#VALUE!"/>
    <e v="#VALUE!"/>
    <s v=""/>
    <s v=""/>
    <s v=""/>
    <n v="0"/>
    <x v="2"/>
    <x v="5"/>
    <x v="1"/>
    <x v="1"/>
    <n v="74.7"/>
  </r>
  <r>
    <d v="2022-10-01T00:00:00"/>
    <x v="154"/>
    <x v="10"/>
    <x v="13"/>
    <s v="Compteur 1"/>
    <s v="Compteur_1"/>
    <x v="1"/>
    <d v="1899-12-30T00:00:00"/>
    <d v="1899-12-30T00:00:00"/>
    <n v="1"/>
    <e v="#VALUE!"/>
    <n v="0"/>
    <e v="#VALUE!"/>
    <s v=""/>
    <e v="#VALUE!"/>
    <n v="0"/>
    <e v="#VALUE!"/>
    <e v="#VALUE!"/>
    <s v=""/>
    <s v=""/>
    <s v=""/>
    <n v="0"/>
    <x v="2"/>
    <x v="5"/>
    <x v="1"/>
    <x v="1"/>
    <n v="73"/>
  </r>
  <r>
    <d v="2022-11-01T00:00:00"/>
    <x v="155"/>
    <x v="11"/>
    <x v="13"/>
    <s v="Compteur 1"/>
    <s v="Compteur_1"/>
    <x v="1"/>
    <d v="1899-12-30T00:00:00"/>
    <d v="1899-12-30T00:00:00"/>
    <n v="1"/>
    <e v="#VALUE!"/>
    <n v="0"/>
    <e v="#VALUE!"/>
    <s v=""/>
    <e v="#VALUE!"/>
    <n v="0"/>
    <e v="#VALUE!"/>
    <e v="#VALUE!"/>
    <s v=""/>
    <s v=""/>
    <s v=""/>
    <n v="0"/>
    <x v="2"/>
    <x v="5"/>
    <x v="1"/>
    <x v="1"/>
    <n v="227.5"/>
  </r>
  <r>
    <d v="2022-12-01T00:00:00"/>
    <x v="156"/>
    <x v="12"/>
    <x v="13"/>
    <s v="Compteur 1"/>
    <s v="Compteur_1"/>
    <x v="1"/>
    <d v="1899-12-30T00:00:00"/>
    <d v="1899-12-30T00:00:00"/>
    <n v="1"/>
    <e v="#VALUE!"/>
    <n v="0"/>
    <e v="#VALUE!"/>
    <s v=""/>
    <e v="#VALUE!"/>
    <n v="0"/>
    <e v="#VALUE!"/>
    <e v="#VALUE!"/>
    <s v=""/>
    <s v=""/>
    <s v=""/>
    <n v="0"/>
    <x v="2"/>
    <x v="5"/>
    <x v="1"/>
    <x v="1"/>
    <n v="380.8"/>
  </r>
  <r>
    <d v="2023-01-01T00:00:00"/>
    <x v="157"/>
    <x v="1"/>
    <x v="14"/>
    <s v="Compteur 1"/>
    <s v="Compteur_1"/>
    <x v="1"/>
    <d v="1899-12-30T00:00:00"/>
    <d v="1899-12-30T00:00:00"/>
    <n v="1"/>
    <e v="#VALUE!"/>
    <n v="0"/>
    <e v="#VALUE!"/>
    <s v=""/>
    <e v="#VALUE!"/>
    <n v="0"/>
    <e v="#VALUE!"/>
    <e v="#VALUE!"/>
    <s v=""/>
    <s v=""/>
    <s v=""/>
    <n v="0"/>
    <x v="2"/>
    <x v="5"/>
    <x v="1"/>
    <x v="1"/>
    <n v="356.1"/>
  </r>
  <r>
    <d v="2023-02-01T00:00:00"/>
    <x v="158"/>
    <x v="2"/>
    <x v="14"/>
    <s v="Compteur 1"/>
    <s v="Compteur_1"/>
    <x v="1"/>
    <d v="1899-12-30T00:00:00"/>
    <d v="1899-12-30T00:00:00"/>
    <n v="1"/>
    <e v="#VALUE!"/>
    <n v="0"/>
    <e v="#VALUE!"/>
    <s v=""/>
    <e v="#VALUE!"/>
    <n v="0"/>
    <e v="#VALUE!"/>
    <e v="#VALUE!"/>
    <s v=""/>
    <s v=""/>
    <s v=""/>
    <n v="0"/>
    <x v="2"/>
    <x v="5"/>
    <x v="1"/>
    <x v="1"/>
    <n v="314.10000000000002"/>
  </r>
  <r>
    <d v="2023-03-01T00:00:00"/>
    <x v="159"/>
    <x v="3"/>
    <x v="14"/>
    <s v="Compteur 1"/>
    <s v="Compteur_1"/>
    <x v="1"/>
    <d v="1899-12-30T00:00:00"/>
    <d v="1899-12-30T00:00:00"/>
    <n v="1"/>
    <e v="#VALUE!"/>
    <n v="0"/>
    <e v="#VALUE!"/>
    <s v=""/>
    <e v="#VALUE!"/>
    <n v="0"/>
    <e v="#VALUE!"/>
    <e v="#VALUE!"/>
    <s v=""/>
    <s v=""/>
    <s v=""/>
    <n v="0"/>
    <x v="2"/>
    <x v="5"/>
    <x v="1"/>
    <x v="1"/>
    <n v="251.3"/>
  </r>
  <r>
    <d v="2023-04-01T00:00:00"/>
    <x v="160"/>
    <x v="4"/>
    <x v="14"/>
    <s v="Compteur 1"/>
    <s v="Compteur_1"/>
    <x v="1"/>
    <d v="1899-12-30T00:00:00"/>
    <d v="1899-12-30T00:00:00"/>
    <n v="1"/>
    <e v="#VALUE!"/>
    <n v="0"/>
    <e v="#VALUE!"/>
    <s v=""/>
    <e v="#VALUE!"/>
    <n v="0"/>
    <e v="#VALUE!"/>
    <e v="#VALUE!"/>
    <s v=""/>
    <s v=""/>
    <s v=""/>
    <n v="0"/>
    <x v="2"/>
    <x v="5"/>
    <x v="1"/>
    <x v="1"/>
    <n v="198"/>
  </r>
  <r>
    <d v="2023-05-01T00:00:00"/>
    <x v="161"/>
    <x v="5"/>
    <x v="14"/>
    <s v="Compteur 1"/>
    <s v="Compteur_1"/>
    <x v="1"/>
    <d v="1899-12-30T00:00:00"/>
    <d v="1899-12-30T00:00:00"/>
    <n v="1"/>
    <e v="#VALUE!"/>
    <n v="0"/>
    <e v="#VALUE!"/>
    <s v=""/>
    <e v="#VALUE!"/>
    <n v="0"/>
    <e v="#VALUE!"/>
    <e v="#VALUE!"/>
    <s v=""/>
    <s v=""/>
    <s v=""/>
    <n v="0"/>
    <x v="2"/>
    <x v="5"/>
    <x v="1"/>
    <x v="1"/>
    <n v="86.4"/>
  </r>
  <r>
    <d v="2023-06-01T00:00:00"/>
    <x v="162"/>
    <x v="6"/>
    <x v="14"/>
    <s v="Compteur 1"/>
    <s v="Compteur_1"/>
    <x v="1"/>
    <d v="1899-12-30T00:00:00"/>
    <d v="1899-12-30T00:00:00"/>
    <n v="1"/>
    <e v="#VALUE!"/>
    <n v="0"/>
    <e v="#VALUE!"/>
    <s v=""/>
    <e v="#VALUE!"/>
    <n v="0"/>
    <e v="#VALUE!"/>
    <e v="#VALUE!"/>
    <s v=""/>
    <s v=""/>
    <s v=""/>
    <n v="0"/>
    <x v="2"/>
    <x v="5"/>
    <x v="1"/>
    <x v="1"/>
    <n v="17.3"/>
  </r>
  <r>
    <d v="2023-07-01T00:00:00"/>
    <x v="163"/>
    <x v="7"/>
    <x v="14"/>
    <s v="Compteur 1"/>
    <s v="Compteur_1"/>
    <x v="1"/>
    <d v="1899-12-30T00:00:00"/>
    <d v="1899-12-30T00:00:00"/>
    <n v="1"/>
    <e v="#VALUE!"/>
    <n v="0"/>
    <e v="#VALUE!"/>
    <s v=""/>
    <e v="#VALUE!"/>
    <n v="0"/>
    <e v="#VALUE!"/>
    <e v="#VALUE!"/>
    <s v=""/>
    <s v=""/>
    <s v=""/>
    <n v="0"/>
    <x v="2"/>
    <x v="5"/>
    <x v="1"/>
    <x v="1"/>
    <n v="24.1"/>
  </r>
  <r>
    <d v="2023-08-01T00:00:00"/>
    <x v="164"/>
    <x v="8"/>
    <x v="14"/>
    <s v="Compteur 1"/>
    <s v="Compteur_1"/>
    <x v="1"/>
    <d v="1899-12-30T00:00:00"/>
    <d v="1899-12-30T00:00:00"/>
    <n v="1"/>
    <e v="#VALUE!"/>
    <n v="0"/>
    <e v="#VALUE!"/>
    <s v=""/>
    <e v="#VALUE!"/>
    <n v="0"/>
    <e v="#VALUE!"/>
    <e v="#VALUE!"/>
    <s v=""/>
    <s v=""/>
    <s v=""/>
    <n v="0"/>
    <x v="2"/>
    <x v="5"/>
    <x v="1"/>
    <x v="1"/>
    <n v="27.9"/>
  </r>
  <r>
    <d v="2023-09-01T00:00:00"/>
    <x v="165"/>
    <x v="9"/>
    <x v="14"/>
    <s v="Compteur 1"/>
    <s v="Compteur_1"/>
    <x v="1"/>
    <d v="1899-12-30T00:00:00"/>
    <d v="1899-12-30T00:00:00"/>
    <n v="1"/>
    <e v="#VALUE!"/>
    <n v="0"/>
    <e v="#VALUE!"/>
    <s v=""/>
    <e v="#VALUE!"/>
    <n v="0"/>
    <e v="#VALUE!"/>
    <e v="#VALUE!"/>
    <s v=""/>
    <s v=""/>
    <s v=""/>
    <n v="0"/>
    <x v="2"/>
    <x v="5"/>
    <x v="1"/>
    <x v="1"/>
    <n v="30.5"/>
  </r>
  <r>
    <d v="2023-10-01T00:00:00"/>
    <x v="166"/>
    <x v="10"/>
    <x v="14"/>
    <s v="Compteur 1"/>
    <s v="Compteur_1"/>
    <x v="1"/>
    <d v="1899-12-30T00:00:00"/>
    <d v="1899-12-30T00:00:00"/>
    <n v="1"/>
    <e v="#VALUE!"/>
    <n v="0"/>
    <e v="#VALUE!"/>
    <s v=""/>
    <e v="#VALUE!"/>
    <n v="0"/>
    <e v="#VALUE!"/>
    <e v="#VALUE!"/>
    <s v=""/>
    <s v=""/>
    <s v=""/>
    <n v="0"/>
    <x v="2"/>
    <x v="5"/>
    <x v="1"/>
    <x v="1"/>
    <n v="115.8"/>
  </r>
  <r>
    <d v="2023-11-01T00:00:00"/>
    <x v="167"/>
    <x v="11"/>
    <x v="14"/>
    <s v="Compteur 1"/>
    <s v="Compteur_1"/>
    <x v="1"/>
    <d v="1899-12-30T00:00:00"/>
    <d v="1899-12-30T00:00:00"/>
    <n v="1"/>
    <e v="#VALUE!"/>
    <n v="0"/>
    <e v="#VALUE!"/>
    <s v=""/>
    <e v="#VALUE!"/>
    <n v="0"/>
    <e v="#VALUE!"/>
    <e v="#VALUE!"/>
    <s v=""/>
    <s v=""/>
    <s v=""/>
    <n v="0"/>
    <x v="2"/>
    <x v="5"/>
    <x v="1"/>
    <x v="1"/>
    <n v="239.8"/>
  </r>
  <r>
    <d v="2023-12-01T00:00:00"/>
    <x v="168"/>
    <x v="12"/>
    <x v="14"/>
    <s v="Compteur 1"/>
    <s v="Compteur_1"/>
    <x v="1"/>
    <d v="1899-12-30T00:00:00"/>
    <d v="1899-12-30T00:00:00"/>
    <n v="1"/>
    <e v="#VALUE!"/>
    <n v="0"/>
    <e v="#VALUE!"/>
    <s v=""/>
    <e v="#VALUE!"/>
    <n v="0"/>
    <e v="#VALUE!"/>
    <e v="#VALUE!"/>
    <s v=""/>
    <s v=""/>
    <s v=""/>
    <n v="0"/>
    <x v="2"/>
    <x v="5"/>
    <x v="1"/>
    <x v="1"/>
    <n v="300.89999999999998"/>
  </r>
  <r>
    <d v="2024-01-01T00:00:00"/>
    <x v="169"/>
    <x v="1"/>
    <x v="15"/>
    <s v="Compteur 1"/>
    <s v="Compteur_1"/>
    <x v="1"/>
    <d v="1899-12-30T00:00:00"/>
    <d v="1899-12-30T00:00:00"/>
    <n v="1"/>
    <e v="#VALUE!"/>
    <n v="0"/>
    <e v="#VALUE!"/>
    <s v=""/>
    <e v="#VALUE!"/>
    <n v="0"/>
    <e v="#VALUE!"/>
    <e v="#VALUE!"/>
    <s v=""/>
    <s v=""/>
    <s v=""/>
    <n v="0"/>
    <x v="2"/>
    <x v="5"/>
    <x v="1"/>
    <x v="1"/>
    <n v="0"/>
  </r>
  <r>
    <d v="2024-02-01T00:00:00"/>
    <x v="170"/>
    <x v="2"/>
    <x v="15"/>
    <s v="Compteur 1"/>
    <s v="Compteur_1"/>
    <x v="1"/>
    <d v="1899-12-30T00:00:00"/>
    <d v="1899-12-30T00:00:00"/>
    <n v="1"/>
    <e v="#VALUE!"/>
    <n v="0"/>
    <e v="#VALUE!"/>
    <s v=""/>
    <e v="#VALUE!"/>
    <n v="0"/>
    <e v="#VALUE!"/>
    <e v="#VALUE!"/>
    <s v=""/>
    <s v=""/>
    <s v=""/>
    <n v="0"/>
    <x v="2"/>
    <x v="5"/>
    <x v="1"/>
    <x v="1"/>
    <n v="0"/>
  </r>
  <r>
    <d v="2024-03-01T00:00:00"/>
    <x v="171"/>
    <x v="3"/>
    <x v="15"/>
    <s v="Compteur 1"/>
    <s v="Compteur_1"/>
    <x v="1"/>
    <d v="1899-12-30T00:00:00"/>
    <d v="1899-12-30T00:00:00"/>
    <n v="1"/>
    <e v="#VALUE!"/>
    <n v="0"/>
    <e v="#VALUE!"/>
    <s v=""/>
    <e v="#VALUE!"/>
    <n v="0"/>
    <e v="#VALUE!"/>
    <e v="#VALUE!"/>
    <s v=""/>
    <s v=""/>
    <s v=""/>
    <n v="0"/>
    <x v="2"/>
    <x v="5"/>
    <x v="1"/>
    <x v="1"/>
    <n v="0"/>
  </r>
  <r>
    <d v="2024-04-01T00:00:00"/>
    <x v="172"/>
    <x v="4"/>
    <x v="15"/>
    <s v="Compteur 1"/>
    <s v="Compteur_1"/>
    <x v="1"/>
    <d v="1899-12-30T00:00:00"/>
    <d v="1899-12-30T00:00:00"/>
    <n v="1"/>
    <e v="#VALUE!"/>
    <n v="0"/>
    <e v="#VALUE!"/>
    <s v=""/>
    <e v="#VALUE!"/>
    <n v="0"/>
    <e v="#VALUE!"/>
    <e v="#VALUE!"/>
    <s v=""/>
    <s v=""/>
    <s v=""/>
    <n v="0"/>
    <x v="2"/>
    <x v="5"/>
    <x v="1"/>
    <x v="1"/>
    <n v="0"/>
  </r>
  <r>
    <d v="2024-05-01T00:00:00"/>
    <x v="173"/>
    <x v="5"/>
    <x v="15"/>
    <s v="Compteur 1"/>
    <s v="Compteur_1"/>
    <x v="1"/>
    <d v="1899-12-30T00:00:00"/>
    <d v="1899-12-30T00:00:00"/>
    <n v="1"/>
    <e v="#VALUE!"/>
    <n v="0"/>
    <e v="#VALUE!"/>
    <s v=""/>
    <e v="#VALUE!"/>
    <n v="0"/>
    <e v="#VALUE!"/>
    <e v="#VALUE!"/>
    <s v=""/>
    <s v=""/>
    <s v=""/>
    <n v="0"/>
    <x v="2"/>
    <x v="5"/>
    <x v="1"/>
    <x v="1"/>
    <n v="0"/>
  </r>
  <r>
    <d v="2024-06-01T00:00:00"/>
    <x v="174"/>
    <x v="6"/>
    <x v="15"/>
    <s v="Compteur 1"/>
    <s v="Compteur_1"/>
    <x v="1"/>
    <d v="1899-12-30T00:00:00"/>
    <d v="1899-12-30T00:00:00"/>
    <n v="1"/>
    <e v="#VALUE!"/>
    <n v="0"/>
    <e v="#VALUE!"/>
    <s v=""/>
    <e v="#VALUE!"/>
    <n v="0"/>
    <e v="#VALUE!"/>
    <e v="#VALUE!"/>
    <s v=""/>
    <s v=""/>
    <s v=""/>
    <n v="0"/>
    <x v="2"/>
    <x v="5"/>
    <x v="1"/>
    <x v="1"/>
    <n v="0"/>
  </r>
  <r>
    <d v="2024-07-01T00:00:00"/>
    <x v="175"/>
    <x v="7"/>
    <x v="15"/>
    <s v="Compteur 1"/>
    <s v="Compteur_1"/>
    <x v="1"/>
    <d v="1899-12-30T00:00:00"/>
    <d v="1899-12-30T00:00:00"/>
    <n v="1"/>
    <e v="#VALUE!"/>
    <n v="0"/>
    <e v="#VALUE!"/>
    <s v=""/>
    <e v="#VALUE!"/>
    <n v="0"/>
    <e v="#VALUE!"/>
    <e v="#VALUE!"/>
    <s v=""/>
    <s v=""/>
    <s v=""/>
    <n v="0"/>
    <x v="2"/>
    <x v="5"/>
    <x v="1"/>
    <x v="1"/>
    <n v="0"/>
  </r>
  <r>
    <d v="2024-08-01T00:00:00"/>
    <x v="176"/>
    <x v="8"/>
    <x v="15"/>
    <s v="Compteur 1"/>
    <s v="Compteur_1"/>
    <x v="1"/>
    <d v="1899-12-30T00:00:00"/>
    <d v="1899-12-30T00:00:00"/>
    <n v="1"/>
    <e v="#VALUE!"/>
    <n v="0"/>
    <e v="#VALUE!"/>
    <s v=""/>
    <e v="#VALUE!"/>
    <n v="0"/>
    <e v="#VALUE!"/>
    <e v="#VALUE!"/>
    <s v=""/>
    <s v=""/>
    <s v=""/>
    <n v="0"/>
    <x v="2"/>
    <x v="5"/>
    <x v="1"/>
    <x v="1"/>
    <n v="0"/>
  </r>
  <r>
    <d v="2024-09-01T00:00:00"/>
    <x v="177"/>
    <x v="9"/>
    <x v="15"/>
    <s v="Compteur 1"/>
    <s v="Compteur_1"/>
    <x v="1"/>
    <d v="1899-12-30T00:00:00"/>
    <d v="1899-12-30T00:00:00"/>
    <n v="1"/>
    <e v="#VALUE!"/>
    <n v="0"/>
    <e v="#VALUE!"/>
    <s v=""/>
    <e v="#VALUE!"/>
    <n v="0"/>
    <e v="#VALUE!"/>
    <e v="#VALUE!"/>
    <s v=""/>
    <s v=""/>
    <s v=""/>
    <n v="0"/>
    <x v="2"/>
    <x v="5"/>
    <x v="1"/>
    <x v="1"/>
    <n v="0"/>
  </r>
  <r>
    <d v="2024-10-01T00:00:00"/>
    <x v="178"/>
    <x v="10"/>
    <x v="15"/>
    <s v="Compteur 1"/>
    <s v="Compteur_1"/>
    <x v="1"/>
    <d v="1899-12-30T00:00:00"/>
    <d v="1899-12-30T00:00:00"/>
    <n v="1"/>
    <e v="#VALUE!"/>
    <n v="0"/>
    <e v="#VALUE!"/>
    <s v=""/>
    <e v="#VALUE!"/>
    <n v="0"/>
    <e v="#VALUE!"/>
    <e v="#VALUE!"/>
    <s v=""/>
    <s v=""/>
    <s v=""/>
    <n v="0"/>
    <x v="2"/>
    <x v="5"/>
    <x v="1"/>
    <x v="1"/>
    <n v="0"/>
  </r>
  <r>
    <d v="2024-11-01T00:00:00"/>
    <x v="179"/>
    <x v="11"/>
    <x v="15"/>
    <s v="Compteur 1"/>
    <s v="Compteur_1"/>
    <x v="1"/>
    <d v="1899-12-30T00:00:00"/>
    <d v="1899-12-30T00:00:00"/>
    <n v="1"/>
    <e v="#VALUE!"/>
    <n v="0"/>
    <e v="#VALUE!"/>
    <s v=""/>
    <e v="#VALUE!"/>
    <n v="0"/>
    <e v="#VALUE!"/>
    <e v="#VALUE!"/>
    <s v=""/>
    <s v=""/>
    <s v=""/>
    <n v="0"/>
    <x v="2"/>
    <x v="5"/>
    <x v="1"/>
    <x v="1"/>
    <n v="0"/>
  </r>
  <r>
    <d v="2024-12-01T00:00:00"/>
    <x v="180"/>
    <x v="12"/>
    <x v="15"/>
    <s v="Compteur 1"/>
    <s v="Compteur_1"/>
    <x v="1"/>
    <d v="1899-12-30T00:00:00"/>
    <d v="1899-12-30T00:00:00"/>
    <n v="1"/>
    <e v="#VALUE!"/>
    <n v="0"/>
    <e v="#VALUE!"/>
    <s v=""/>
    <e v="#VALUE!"/>
    <n v="0"/>
    <e v="#VALUE!"/>
    <e v="#VALUE!"/>
    <s v=""/>
    <s v=""/>
    <s v=""/>
    <n v="0"/>
    <x v="2"/>
    <x v="5"/>
    <x v="1"/>
    <x v="1"/>
    <n v="0"/>
  </r>
  <r>
    <d v="2025-01-01T00:00:00"/>
    <x v="181"/>
    <x v="1"/>
    <x v="16"/>
    <s v="Compteur 1"/>
    <s v="Compteur_1"/>
    <x v="1"/>
    <d v="1899-12-30T00:00:00"/>
    <d v="1899-12-30T00:00:00"/>
    <n v="1"/>
    <e v="#VALUE!"/>
    <n v="0"/>
    <e v="#VALUE!"/>
    <s v=""/>
    <e v="#VALUE!"/>
    <n v="0"/>
    <e v="#VALUE!"/>
    <e v="#VALUE!"/>
    <s v=""/>
    <s v=""/>
    <s v=""/>
    <n v="0"/>
    <x v="2"/>
    <x v="5"/>
    <x v="1"/>
    <x v="1"/>
    <n v="0"/>
  </r>
  <r>
    <d v="2025-02-01T00:00:00"/>
    <x v="182"/>
    <x v="2"/>
    <x v="16"/>
    <s v="Compteur 1"/>
    <s v="Compteur_1"/>
    <x v="1"/>
    <d v="1899-12-30T00:00:00"/>
    <d v="1899-12-30T00:00:00"/>
    <n v="1"/>
    <e v="#VALUE!"/>
    <n v="0"/>
    <e v="#VALUE!"/>
    <s v=""/>
    <e v="#VALUE!"/>
    <n v="0"/>
    <e v="#VALUE!"/>
    <e v="#VALUE!"/>
    <s v=""/>
    <s v=""/>
    <s v=""/>
    <n v="0"/>
    <x v="2"/>
    <x v="5"/>
    <x v="1"/>
    <x v="1"/>
    <n v="0"/>
  </r>
  <r>
    <d v="2025-03-01T00:00:00"/>
    <x v="183"/>
    <x v="3"/>
    <x v="16"/>
    <s v="Compteur 1"/>
    <s v="Compteur_1"/>
    <x v="1"/>
    <d v="1899-12-30T00:00:00"/>
    <d v="1899-12-30T00:00:00"/>
    <n v="1"/>
    <e v="#VALUE!"/>
    <n v="0"/>
    <e v="#VALUE!"/>
    <s v=""/>
    <e v="#VALUE!"/>
    <n v="0"/>
    <e v="#VALUE!"/>
    <e v="#VALUE!"/>
    <s v=""/>
    <s v=""/>
    <s v=""/>
    <n v="0"/>
    <x v="2"/>
    <x v="5"/>
    <x v="1"/>
    <x v="1"/>
    <n v="0"/>
  </r>
  <r>
    <d v="2025-04-01T00:00:00"/>
    <x v="184"/>
    <x v="4"/>
    <x v="16"/>
    <s v="Compteur 1"/>
    <s v="Compteur_1"/>
    <x v="1"/>
    <d v="1899-12-30T00:00:00"/>
    <d v="1899-12-30T00:00:00"/>
    <n v="1"/>
    <e v="#VALUE!"/>
    <n v="0"/>
    <e v="#VALUE!"/>
    <s v=""/>
    <e v="#VALUE!"/>
    <n v="0"/>
    <e v="#VALUE!"/>
    <e v="#VALUE!"/>
    <s v=""/>
    <s v=""/>
    <s v=""/>
    <n v="0"/>
    <x v="2"/>
    <x v="5"/>
    <x v="1"/>
    <x v="1"/>
    <n v="0"/>
  </r>
  <r>
    <d v="2025-05-01T00:00:00"/>
    <x v="185"/>
    <x v="5"/>
    <x v="16"/>
    <s v="Compteur 1"/>
    <s v="Compteur_1"/>
    <x v="1"/>
    <d v="1899-12-30T00:00:00"/>
    <d v="1899-12-30T00:00:00"/>
    <n v="1"/>
    <e v="#VALUE!"/>
    <n v="0"/>
    <e v="#VALUE!"/>
    <s v=""/>
    <e v="#VALUE!"/>
    <n v="0"/>
    <e v="#VALUE!"/>
    <e v="#VALUE!"/>
    <s v=""/>
    <s v=""/>
    <s v=""/>
    <n v="0"/>
    <x v="2"/>
    <x v="5"/>
    <x v="1"/>
    <x v="1"/>
    <n v="0"/>
  </r>
  <r>
    <d v="2025-06-01T00:00:00"/>
    <x v="186"/>
    <x v="6"/>
    <x v="16"/>
    <s v="Compteur 1"/>
    <s v="Compteur_1"/>
    <x v="1"/>
    <d v="1899-12-30T00:00:00"/>
    <d v="1899-12-30T00:00:00"/>
    <n v="1"/>
    <e v="#VALUE!"/>
    <n v="0"/>
    <e v="#VALUE!"/>
    <s v=""/>
    <e v="#VALUE!"/>
    <n v="0"/>
    <e v="#VALUE!"/>
    <e v="#VALUE!"/>
    <s v=""/>
    <s v=""/>
    <s v=""/>
    <n v="0"/>
    <x v="2"/>
    <x v="5"/>
    <x v="1"/>
    <x v="1"/>
    <n v="0"/>
  </r>
  <r>
    <d v="2025-07-01T00:00:00"/>
    <x v="187"/>
    <x v="7"/>
    <x v="16"/>
    <s v="Compteur 1"/>
    <s v="Compteur_1"/>
    <x v="1"/>
    <d v="1899-12-30T00:00:00"/>
    <d v="1899-12-30T00:00:00"/>
    <n v="1"/>
    <e v="#VALUE!"/>
    <n v="0"/>
    <e v="#VALUE!"/>
    <s v=""/>
    <e v="#VALUE!"/>
    <n v="0"/>
    <e v="#VALUE!"/>
    <e v="#VALUE!"/>
    <s v=""/>
    <s v=""/>
    <s v=""/>
    <n v="0"/>
    <x v="2"/>
    <x v="5"/>
    <x v="1"/>
    <x v="1"/>
    <n v="0"/>
  </r>
  <r>
    <d v="2025-08-01T00:00:00"/>
    <x v="188"/>
    <x v="8"/>
    <x v="16"/>
    <s v="Compteur 1"/>
    <s v="Compteur_1"/>
    <x v="1"/>
    <d v="1899-12-30T00:00:00"/>
    <d v="1899-12-30T00:00:00"/>
    <n v="1"/>
    <e v="#VALUE!"/>
    <n v="0"/>
    <e v="#VALUE!"/>
    <s v=""/>
    <e v="#VALUE!"/>
    <n v="0"/>
    <e v="#VALUE!"/>
    <e v="#VALUE!"/>
    <s v=""/>
    <s v=""/>
    <s v=""/>
    <n v="0"/>
    <x v="2"/>
    <x v="5"/>
    <x v="1"/>
    <x v="1"/>
    <n v="0"/>
  </r>
  <r>
    <d v="2025-09-01T00:00:00"/>
    <x v="189"/>
    <x v="9"/>
    <x v="16"/>
    <s v="Compteur 1"/>
    <s v="Compteur_1"/>
    <x v="1"/>
    <d v="1899-12-30T00:00:00"/>
    <d v="1899-12-30T00:00:00"/>
    <n v="1"/>
    <e v="#VALUE!"/>
    <n v="0"/>
    <e v="#VALUE!"/>
    <s v=""/>
    <e v="#VALUE!"/>
    <n v="0"/>
    <e v="#VALUE!"/>
    <e v="#VALUE!"/>
    <s v=""/>
    <s v=""/>
    <s v=""/>
    <n v="0"/>
    <x v="2"/>
    <x v="5"/>
    <x v="1"/>
    <x v="1"/>
    <n v="0"/>
  </r>
  <r>
    <d v="2025-10-01T00:00:00"/>
    <x v="190"/>
    <x v="10"/>
    <x v="16"/>
    <s v="Compteur 1"/>
    <s v="Compteur_1"/>
    <x v="1"/>
    <d v="1899-12-30T00:00:00"/>
    <d v="1899-12-30T00:00:00"/>
    <n v="1"/>
    <e v="#VALUE!"/>
    <n v="0"/>
    <e v="#VALUE!"/>
    <s v=""/>
    <e v="#VALUE!"/>
    <n v="0"/>
    <e v="#VALUE!"/>
    <e v="#VALUE!"/>
    <s v=""/>
    <s v=""/>
    <s v=""/>
    <n v="0"/>
    <x v="2"/>
    <x v="5"/>
    <x v="1"/>
    <x v="1"/>
    <n v="0"/>
  </r>
  <r>
    <d v="2025-11-01T00:00:00"/>
    <x v="191"/>
    <x v="11"/>
    <x v="16"/>
    <s v="Compteur 1"/>
    <s v="Compteur_1"/>
    <x v="1"/>
    <d v="1899-12-30T00:00:00"/>
    <d v="1899-12-30T00:00:00"/>
    <n v="1"/>
    <e v="#VALUE!"/>
    <n v="0"/>
    <e v="#VALUE!"/>
    <s v=""/>
    <e v="#VALUE!"/>
    <n v="0"/>
    <e v="#VALUE!"/>
    <e v="#VALUE!"/>
    <s v=""/>
    <s v=""/>
    <s v=""/>
    <n v="0"/>
    <x v="2"/>
    <x v="5"/>
    <x v="1"/>
    <x v="1"/>
    <n v="0"/>
  </r>
  <r>
    <d v="2025-12-01T00:00:00"/>
    <x v="192"/>
    <x v="12"/>
    <x v="16"/>
    <s v="Compteur 1"/>
    <s v="Compteur_1"/>
    <x v="1"/>
    <d v="1899-12-30T00:00:00"/>
    <d v="1899-12-30T00:00:00"/>
    <n v="1"/>
    <e v="#VALUE!"/>
    <n v="0"/>
    <e v="#VALUE!"/>
    <s v=""/>
    <e v="#VALUE!"/>
    <n v="0"/>
    <e v="#VALUE!"/>
    <e v="#VALUE!"/>
    <s v=""/>
    <s v=""/>
    <s v=""/>
    <n v="0"/>
    <x v="2"/>
    <x v="5"/>
    <x v="1"/>
    <x v="1"/>
    <n v="0"/>
  </r>
  <r>
    <d v="2010-01-01T00:00:00"/>
    <x v="1"/>
    <x v="1"/>
    <x v="1"/>
    <s v="Compteur 2"/>
    <s v="Compteur_2"/>
    <x v="1"/>
    <d v="1899-12-30T00:00:00"/>
    <e v="#NUM!"/>
    <n v="1"/>
    <e v="#VALUE!"/>
    <e v="#NUM!"/>
    <e v="#VALUE!"/>
    <s v=""/>
    <e v="#VALUE!"/>
    <e v="#NUM!"/>
    <e v="#VALUE!"/>
    <e v="#VALUE!"/>
    <s v=""/>
    <s v=""/>
    <s v=""/>
    <n v="0"/>
    <x v="2"/>
    <x v="5"/>
    <x v="1"/>
    <x v="1"/>
    <n v="487.6"/>
  </r>
  <r>
    <d v="2010-02-01T00:00:00"/>
    <x v="2"/>
    <x v="2"/>
    <x v="1"/>
    <s v="Compteur 2"/>
    <s v="Compteur_2"/>
    <x v="1"/>
    <d v="1899-12-30T00:00:00"/>
    <e v="#NUM!"/>
    <n v="1"/>
    <e v="#VALUE!"/>
    <e v="#NUM!"/>
    <e v="#VALUE!"/>
    <s v=""/>
    <e v="#VALUE!"/>
    <e v="#NUM!"/>
    <e v="#VALUE!"/>
    <e v="#VALUE!"/>
    <s v=""/>
    <s v=""/>
    <s v=""/>
    <n v="0"/>
    <x v="2"/>
    <x v="5"/>
    <x v="1"/>
    <x v="1"/>
    <n v="370.3"/>
  </r>
  <r>
    <d v="2010-03-01T00:00:00"/>
    <x v="3"/>
    <x v="3"/>
    <x v="1"/>
    <s v="Compteur 2"/>
    <s v="Compteur_2"/>
    <x v="1"/>
    <d v="1899-12-30T00:00:00"/>
    <e v="#NUM!"/>
    <n v="1"/>
    <e v="#VALUE!"/>
    <e v="#NUM!"/>
    <e v="#VALUE!"/>
    <s v=""/>
    <e v="#VALUE!"/>
    <e v="#NUM!"/>
    <e v="#VALUE!"/>
    <e v="#VALUE!"/>
    <s v=""/>
    <s v=""/>
    <s v=""/>
    <n v="0"/>
    <x v="2"/>
    <x v="5"/>
    <x v="1"/>
    <x v="1"/>
    <n v="312.8"/>
  </r>
  <r>
    <d v="2010-04-01T00:00:00"/>
    <x v="4"/>
    <x v="4"/>
    <x v="1"/>
    <s v="Compteur 2"/>
    <s v="Compteur_2"/>
    <x v="1"/>
    <d v="1899-12-30T00:00:00"/>
    <e v="#NUM!"/>
    <n v="1"/>
    <e v="#VALUE!"/>
    <e v="#NUM!"/>
    <e v="#VALUE!"/>
    <s v=""/>
    <e v="#VALUE!"/>
    <e v="#NUM!"/>
    <e v="#VALUE!"/>
    <e v="#VALUE!"/>
    <s v=""/>
    <s v=""/>
    <s v=""/>
    <n v="0"/>
    <x v="2"/>
    <x v="5"/>
    <x v="1"/>
    <x v="1"/>
    <n v="199.2"/>
  </r>
  <r>
    <d v="2010-05-01T00:00:00"/>
    <x v="5"/>
    <x v="5"/>
    <x v="1"/>
    <s v="Compteur 2"/>
    <s v="Compteur_2"/>
    <x v="1"/>
    <d v="1899-12-30T00:00:00"/>
    <e v="#NUM!"/>
    <n v="1"/>
    <e v="#VALUE!"/>
    <e v="#NUM!"/>
    <e v="#VALUE!"/>
    <s v=""/>
    <e v="#VALUE!"/>
    <e v="#NUM!"/>
    <e v="#VALUE!"/>
    <e v="#VALUE!"/>
    <s v=""/>
    <s v=""/>
    <s v=""/>
    <n v="0"/>
    <x v="2"/>
    <x v="5"/>
    <x v="1"/>
    <x v="1"/>
    <n v="155.4"/>
  </r>
  <r>
    <d v="2010-06-01T00:00:00"/>
    <x v="6"/>
    <x v="6"/>
    <x v="1"/>
    <s v="Compteur 2"/>
    <s v="Compteur_2"/>
    <x v="1"/>
    <d v="1899-12-30T00:00:00"/>
    <e v="#NUM!"/>
    <n v="1"/>
    <e v="#VALUE!"/>
    <e v="#NUM!"/>
    <e v="#VALUE!"/>
    <s v=""/>
    <e v="#VALUE!"/>
    <e v="#NUM!"/>
    <e v="#VALUE!"/>
    <e v="#VALUE!"/>
    <s v=""/>
    <s v=""/>
    <s v=""/>
    <n v="0"/>
    <x v="2"/>
    <x v="5"/>
    <x v="1"/>
    <x v="1"/>
    <n v="46.7"/>
  </r>
  <r>
    <d v="2010-07-01T00:00:00"/>
    <x v="7"/>
    <x v="7"/>
    <x v="1"/>
    <s v="Compteur 2"/>
    <s v="Compteur_2"/>
    <x v="1"/>
    <d v="1899-12-30T00:00:00"/>
    <e v="#NUM!"/>
    <n v="1"/>
    <e v="#VALUE!"/>
    <e v="#NUM!"/>
    <e v="#VALUE!"/>
    <s v=""/>
    <e v="#VALUE!"/>
    <e v="#NUM!"/>
    <e v="#VALUE!"/>
    <e v="#VALUE!"/>
    <s v=""/>
    <s v=""/>
    <s v=""/>
    <n v="0"/>
    <x v="2"/>
    <x v="5"/>
    <x v="1"/>
    <x v="1"/>
    <n v="22.2"/>
  </r>
  <r>
    <d v="2010-08-01T00:00:00"/>
    <x v="8"/>
    <x v="8"/>
    <x v="1"/>
    <s v="Compteur 2"/>
    <s v="Compteur_2"/>
    <x v="1"/>
    <d v="1899-12-30T00:00:00"/>
    <e v="#NUM!"/>
    <n v="1"/>
    <e v="#VALUE!"/>
    <e v="#NUM!"/>
    <e v="#VALUE!"/>
    <s v=""/>
    <e v="#VALUE!"/>
    <e v="#NUM!"/>
    <e v="#VALUE!"/>
    <e v="#VALUE!"/>
    <s v=""/>
    <s v=""/>
    <s v=""/>
    <n v="0"/>
    <x v="2"/>
    <x v="5"/>
    <x v="1"/>
    <x v="1"/>
    <n v="41.5"/>
  </r>
  <r>
    <d v="2010-09-01T00:00:00"/>
    <x v="9"/>
    <x v="9"/>
    <x v="1"/>
    <s v="Compteur 2"/>
    <s v="Compteur_2"/>
    <x v="1"/>
    <d v="1899-12-30T00:00:00"/>
    <e v="#NUM!"/>
    <n v="1"/>
    <e v="#VALUE!"/>
    <e v="#NUM!"/>
    <e v="#VALUE!"/>
    <s v=""/>
    <e v="#VALUE!"/>
    <e v="#NUM!"/>
    <e v="#VALUE!"/>
    <e v="#VALUE!"/>
    <s v=""/>
    <s v=""/>
    <s v=""/>
    <n v="0"/>
    <x v="2"/>
    <x v="5"/>
    <x v="1"/>
    <x v="1"/>
    <n v="95.4"/>
  </r>
  <r>
    <d v="2010-10-01T00:00:00"/>
    <x v="10"/>
    <x v="10"/>
    <x v="1"/>
    <s v="Compteur 2"/>
    <s v="Compteur_2"/>
    <x v="1"/>
    <d v="1899-12-30T00:00:00"/>
    <e v="#NUM!"/>
    <n v="1"/>
    <e v="#VALUE!"/>
    <e v="#NUM!"/>
    <e v="#VALUE!"/>
    <s v=""/>
    <e v="#VALUE!"/>
    <e v="#NUM!"/>
    <e v="#VALUE!"/>
    <e v="#VALUE!"/>
    <s v=""/>
    <s v=""/>
    <s v=""/>
    <n v="0"/>
    <x v="2"/>
    <x v="5"/>
    <x v="1"/>
    <x v="1"/>
    <n v="190.1"/>
  </r>
  <r>
    <d v="2010-11-01T00:00:00"/>
    <x v="11"/>
    <x v="11"/>
    <x v="1"/>
    <s v="Compteur 2"/>
    <s v="Compteur_2"/>
    <x v="1"/>
    <d v="1899-12-30T00:00:00"/>
    <e v="#NUM!"/>
    <n v="1"/>
    <e v="#VALUE!"/>
    <e v="#NUM!"/>
    <e v="#VALUE!"/>
    <s v=""/>
    <e v="#VALUE!"/>
    <e v="#NUM!"/>
    <e v="#VALUE!"/>
    <e v="#VALUE!"/>
    <s v=""/>
    <s v=""/>
    <s v=""/>
    <n v="0"/>
    <x v="2"/>
    <x v="5"/>
    <x v="1"/>
    <x v="1"/>
    <n v="320.89999999999998"/>
  </r>
  <r>
    <d v="2010-12-01T00:00:00"/>
    <x v="12"/>
    <x v="12"/>
    <x v="1"/>
    <s v="Compteur 2"/>
    <s v="Compteur_2"/>
    <x v="1"/>
    <d v="1899-12-30T00:00:00"/>
    <e v="#NUM!"/>
    <n v="1"/>
    <e v="#VALUE!"/>
    <e v="#NUM!"/>
    <e v="#VALUE!"/>
    <s v=""/>
    <e v="#VALUE!"/>
    <e v="#NUM!"/>
    <e v="#VALUE!"/>
    <e v="#VALUE!"/>
    <s v=""/>
    <s v=""/>
    <s v=""/>
    <n v="0"/>
    <x v="2"/>
    <x v="5"/>
    <x v="1"/>
    <x v="1"/>
    <n v="500.7"/>
  </r>
  <r>
    <d v="2011-01-01T00:00:00"/>
    <x v="13"/>
    <x v="1"/>
    <x v="2"/>
    <s v="Compteur 2"/>
    <s v="Compteur_2"/>
    <x v="1"/>
    <d v="1899-12-30T00:00:00"/>
    <e v="#NUM!"/>
    <n v="1"/>
    <e v="#VALUE!"/>
    <e v="#NUM!"/>
    <e v="#VALUE!"/>
    <s v=""/>
    <e v="#VALUE!"/>
    <e v="#NUM!"/>
    <e v="#VALUE!"/>
    <e v="#VALUE!"/>
    <s v=""/>
    <s v=""/>
    <s v=""/>
    <n v="0"/>
    <x v="2"/>
    <x v="5"/>
    <x v="1"/>
    <x v="1"/>
    <n v="392.2"/>
  </r>
  <r>
    <d v="2011-02-01T00:00:00"/>
    <x v="14"/>
    <x v="2"/>
    <x v="2"/>
    <s v="Compteur 2"/>
    <s v="Compteur_2"/>
    <x v="1"/>
    <d v="1899-12-30T00:00:00"/>
    <e v="#NUM!"/>
    <n v="1"/>
    <e v="#VALUE!"/>
    <e v="#NUM!"/>
    <e v="#VALUE!"/>
    <s v=""/>
    <e v="#VALUE!"/>
    <e v="#NUM!"/>
    <e v="#VALUE!"/>
    <e v="#VALUE!"/>
    <s v=""/>
    <s v=""/>
    <s v=""/>
    <n v="0"/>
    <x v="2"/>
    <x v="5"/>
    <x v="1"/>
    <x v="1"/>
    <n v="299.10000000000002"/>
  </r>
  <r>
    <d v="2011-03-01T00:00:00"/>
    <x v="15"/>
    <x v="3"/>
    <x v="2"/>
    <s v="Compteur 2"/>
    <s v="Compteur_2"/>
    <x v="1"/>
    <d v="1899-12-30T00:00:00"/>
    <e v="#NUM!"/>
    <n v="1"/>
    <e v="#VALUE!"/>
    <e v="#NUM!"/>
    <e v="#VALUE!"/>
    <s v=""/>
    <e v="#VALUE!"/>
    <e v="#NUM!"/>
    <e v="#VALUE!"/>
    <e v="#VALUE!"/>
    <s v=""/>
    <s v=""/>
    <s v=""/>
    <n v="0"/>
    <x v="2"/>
    <x v="5"/>
    <x v="1"/>
    <x v="1"/>
    <n v="266.5"/>
  </r>
  <r>
    <d v="2011-04-01T00:00:00"/>
    <x v="16"/>
    <x v="4"/>
    <x v="2"/>
    <s v="Compteur 2"/>
    <s v="Compteur_2"/>
    <x v="1"/>
    <d v="1899-12-30T00:00:00"/>
    <e v="#NUM!"/>
    <n v="1"/>
    <e v="#VALUE!"/>
    <e v="#NUM!"/>
    <e v="#VALUE!"/>
    <s v=""/>
    <e v="#VALUE!"/>
    <e v="#NUM!"/>
    <e v="#VALUE!"/>
    <e v="#VALUE!"/>
    <s v=""/>
    <s v=""/>
    <s v=""/>
    <n v="0"/>
    <x v="2"/>
    <x v="5"/>
    <x v="1"/>
    <x v="1"/>
    <n v="136.19999999999999"/>
  </r>
  <r>
    <d v="2011-05-01T00:00:00"/>
    <x v="17"/>
    <x v="5"/>
    <x v="2"/>
    <s v="Compteur 2"/>
    <s v="Compteur_2"/>
    <x v="1"/>
    <d v="1899-12-30T00:00:00"/>
    <e v="#NUM!"/>
    <n v="1"/>
    <e v="#VALUE!"/>
    <e v="#NUM!"/>
    <e v="#VALUE!"/>
    <s v=""/>
    <e v="#VALUE!"/>
    <e v="#NUM!"/>
    <e v="#VALUE!"/>
    <e v="#VALUE!"/>
    <s v=""/>
    <s v=""/>
    <s v=""/>
    <n v="0"/>
    <x v="2"/>
    <x v="5"/>
    <x v="1"/>
    <x v="1"/>
    <n v="91.9"/>
  </r>
  <r>
    <d v="2011-06-01T00:00:00"/>
    <x v="18"/>
    <x v="6"/>
    <x v="2"/>
    <s v="Compteur 2"/>
    <s v="Compteur_2"/>
    <x v="1"/>
    <d v="1899-12-30T00:00:00"/>
    <e v="#NUM!"/>
    <n v="1"/>
    <e v="#VALUE!"/>
    <e v="#NUM!"/>
    <e v="#VALUE!"/>
    <s v=""/>
    <e v="#VALUE!"/>
    <e v="#NUM!"/>
    <e v="#VALUE!"/>
    <e v="#VALUE!"/>
    <s v=""/>
    <s v=""/>
    <s v=""/>
    <n v="0"/>
    <x v="2"/>
    <x v="5"/>
    <x v="1"/>
    <x v="1"/>
    <n v="55.8"/>
  </r>
  <r>
    <d v="2011-07-01T00:00:00"/>
    <x v="19"/>
    <x v="7"/>
    <x v="2"/>
    <s v="Compteur 2"/>
    <s v="Compteur_2"/>
    <x v="1"/>
    <d v="1899-12-30T00:00:00"/>
    <e v="#NUM!"/>
    <n v="1"/>
    <e v="#VALUE!"/>
    <e v="#NUM!"/>
    <e v="#VALUE!"/>
    <s v=""/>
    <e v="#VALUE!"/>
    <e v="#NUM!"/>
    <e v="#VALUE!"/>
    <e v="#VALUE!"/>
    <s v=""/>
    <s v=""/>
    <s v=""/>
    <n v="0"/>
    <x v="2"/>
    <x v="5"/>
    <x v="1"/>
    <x v="1"/>
    <n v="50.8"/>
  </r>
  <r>
    <d v="2011-08-01T00:00:00"/>
    <x v="20"/>
    <x v="8"/>
    <x v="2"/>
    <s v="Compteur 2"/>
    <s v="Compteur_2"/>
    <x v="1"/>
    <d v="1899-12-30T00:00:00"/>
    <e v="#NUM!"/>
    <n v="1"/>
    <e v="#VALUE!"/>
    <e v="#NUM!"/>
    <e v="#VALUE!"/>
    <s v=""/>
    <e v="#VALUE!"/>
    <e v="#NUM!"/>
    <e v="#VALUE!"/>
    <e v="#VALUE!"/>
    <s v=""/>
    <s v=""/>
    <s v=""/>
    <n v="0"/>
    <x v="2"/>
    <x v="5"/>
    <x v="1"/>
    <x v="1"/>
    <n v="34.700000000000003"/>
  </r>
  <r>
    <d v="2011-09-01T00:00:00"/>
    <x v="21"/>
    <x v="9"/>
    <x v="2"/>
    <s v="Compteur 2"/>
    <s v="Compteur_2"/>
    <x v="1"/>
    <d v="1899-12-30T00:00:00"/>
    <e v="#NUM!"/>
    <n v="1"/>
    <e v="#VALUE!"/>
    <e v="#NUM!"/>
    <e v="#VALUE!"/>
    <s v=""/>
    <e v="#VALUE!"/>
    <e v="#NUM!"/>
    <e v="#VALUE!"/>
    <e v="#VALUE!"/>
    <s v=""/>
    <s v=""/>
    <s v=""/>
    <n v="0"/>
    <x v="2"/>
    <x v="5"/>
    <x v="1"/>
    <x v="1"/>
    <n v="51.3"/>
  </r>
  <r>
    <d v="2011-10-01T00:00:00"/>
    <x v="22"/>
    <x v="10"/>
    <x v="2"/>
    <s v="Compteur 2"/>
    <s v="Compteur_2"/>
    <x v="1"/>
    <d v="1899-12-30T00:00:00"/>
    <e v="#NUM!"/>
    <n v="1"/>
    <e v="#VALUE!"/>
    <e v="#NUM!"/>
    <e v="#VALUE!"/>
    <s v=""/>
    <e v="#VALUE!"/>
    <e v="#NUM!"/>
    <e v="#VALUE!"/>
    <e v="#VALUE!"/>
    <s v=""/>
    <s v=""/>
    <s v=""/>
    <n v="0"/>
    <x v="2"/>
    <x v="5"/>
    <x v="1"/>
    <x v="1"/>
    <n v="145.6"/>
  </r>
  <r>
    <d v="2011-11-01T00:00:00"/>
    <x v="23"/>
    <x v="11"/>
    <x v="2"/>
    <s v="Compteur 2"/>
    <s v="Compteur_2"/>
    <x v="1"/>
    <d v="1899-12-30T00:00:00"/>
    <e v="#NUM!"/>
    <n v="1"/>
    <e v="#VALUE!"/>
    <e v="#NUM!"/>
    <e v="#VALUE!"/>
    <s v=""/>
    <e v="#VALUE!"/>
    <e v="#NUM!"/>
    <e v="#VALUE!"/>
    <e v="#VALUE!"/>
    <s v=""/>
    <s v=""/>
    <s v=""/>
    <n v="0"/>
    <x v="2"/>
    <x v="5"/>
    <x v="1"/>
    <x v="1"/>
    <n v="205.3"/>
  </r>
  <r>
    <d v="2011-12-01T00:00:00"/>
    <x v="24"/>
    <x v="12"/>
    <x v="2"/>
    <s v="Compteur 2"/>
    <s v="Compteur_2"/>
    <x v="1"/>
    <d v="1899-12-30T00:00:00"/>
    <e v="#NUM!"/>
    <n v="1"/>
    <e v="#VALUE!"/>
    <e v="#NUM!"/>
    <e v="#VALUE!"/>
    <s v=""/>
    <e v="#VALUE!"/>
    <e v="#NUM!"/>
    <e v="#VALUE!"/>
    <e v="#VALUE!"/>
    <s v=""/>
    <s v=""/>
    <s v=""/>
    <n v="0"/>
    <x v="2"/>
    <x v="5"/>
    <x v="1"/>
    <x v="1"/>
    <n v="307.5"/>
  </r>
  <r>
    <d v="2012-01-01T00:00:00"/>
    <x v="25"/>
    <x v="1"/>
    <x v="3"/>
    <s v="Compteur 2"/>
    <s v="Compteur_2"/>
    <x v="1"/>
    <d v="1899-12-30T00:00:00"/>
    <e v="#NUM!"/>
    <n v="1"/>
    <e v="#VALUE!"/>
    <e v="#NUM!"/>
    <e v="#VALUE!"/>
    <s v=""/>
    <e v="#VALUE!"/>
    <e v="#NUM!"/>
    <e v="#VALUE!"/>
    <e v="#VALUE!"/>
    <s v=""/>
    <s v=""/>
    <s v=""/>
    <n v="0"/>
    <x v="2"/>
    <x v="5"/>
    <x v="1"/>
    <x v="1"/>
    <n v="348.8"/>
  </r>
  <r>
    <d v="2012-02-01T00:00:00"/>
    <x v="26"/>
    <x v="2"/>
    <x v="3"/>
    <s v="Compteur 2"/>
    <s v="Compteur_2"/>
    <x v="1"/>
    <d v="1899-12-30T00:00:00"/>
    <e v="#NUM!"/>
    <n v="1"/>
    <e v="#VALUE!"/>
    <e v="#NUM!"/>
    <e v="#VALUE!"/>
    <s v=""/>
    <e v="#VALUE!"/>
    <e v="#NUM!"/>
    <e v="#VALUE!"/>
    <e v="#VALUE!"/>
    <s v=""/>
    <s v=""/>
    <s v=""/>
    <n v="0"/>
    <x v="2"/>
    <x v="5"/>
    <x v="1"/>
    <x v="1"/>
    <n v="469.8"/>
  </r>
  <r>
    <d v="2012-03-01T00:00:00"/>
    <x v="27"/>
    <x v="3"/>
    <x v="3"/>
    <s v="Compteur 2"/>
    <s v="Compteur_2"/>
    <x v="1"/>
    <d v="1899-12-30T00:00:00"/>
    <e v="#NUM!"/>
    <n v="1"/>
    <e v="#VALUE!"/>
    <e v="#NUM!"/>
    <e v="#VALUE!"/>
    <s v=""/>
    <e v="#VALUE!"/>
    <e v="#NUM!"/>
    <e v="#VALUE!"/>
    <e v="#VALUE!"/>
    <s v=""/>
    <s v=""/>
    <s v=""/>
    <n v="0"/>
    <x v="2"/>
    <x v="5"/>
    <x v="1"/>
    <x v="1"/>
    <n v="247.3"/>
  </r>
  <r>
    <d v="2012-04-01T00:00:00"/>
    <x v="28"/>
    <x v="4"/>
    <x v="3"/>
    <s v="Compteur 2"/>
    <s v="Compteur_2"/>
    <x v="1"/>
    <d v="1899-12-30T00:00:00"/>
    <e v="#NUM!"/>
    <n v="1"/>
    <e v="#VALUE!"/>
    <e v="#NUM!"/>
    <e v="#VALUE!"/>
    <s v=""/>
    <e v="#VALUE!"/>
    <e v="#NUM!"/>
    <e v="#VALUE!"/>
    <e v="#VALUE!"/>
    <s v=""/>
    <s v=""/>
    <s v=""/>
    <n v="0"/>
    <x v="2"/>
    <x v="5"/>
    <x v="1"/>
    <x v="1"/>
    <n v="253.8"/>
  </r>
  <r>
    <d v="2012-05-01T00:00:00"/>
    <x v="29"/>
    <x v="5"/>
    <x v="3"/>
    <s v="Compteur 2"/>
    <s v="Compteur_2"/>
    <x v="1"/>
    <d v="1899-12-30T00:00:00"/>
    <e v="#NUM!"/>
    <n v="1"/>
    <e v="#VALUE!"/>
    <e v="#NUM!"/>
    <e v="#VALUE!"/>
    <s v=""/>
    <e v="#VALUE!"/>
    <e v="#NUM!"/>
    <e v="#VALUE!"/>
    <e v="#VALUE!"/>
    <s v=""/>
    <s v=""/>
    <s v=""/>
    <n v="0"/>
    <x v="2"/>
    <x v="5"/>
    <x v="1"/>
    <x v="1"/>
    <n v="113.8"/>
  </r>
  <r>
    <d v="2012-06-01T00:00:00"/>
    <x v="30"/>
    <x v="6"/>
    <x v="3"/>
    <s v="Compteur 2"/>
    <s v="Compteur_2"/>
    <x v="1"/>
    <d v="1899-12-30T00:00:00"/>
    <e v="#NUM!"/>
    <n v="1"/>
    <e v="#VALUE!"/>
    <e v="#NUM!"/>
    <e v="#VALUE!"/>
    <s v=""/>
    <e v="#VALUE!"/>
    <e v="#NUM!"/>
    <e v="#VALUE!"/>
    <e v="#VALUE!"/>
    <s v=""/>
    <s v=""/>
    <s v=""/>
    <n v="0"/>
    <x v="2"/>
    <x v="5"/>
    <x v="1"/>
    <x v="1"/>
    <n v="59.4"/>
  </r>
  <r>
    <d v="2012-07-01T00:00:00"/>
    <x v="31"/>
    <x v="7"/>
    <x v="3"/>
    <s v="Compteur 2"/>
    <s v="Compteur_2"/>
    <x v="1"/>
    <d v="1899-12-30T00:00:00"/>
    <e v="#NUM!"/>
    <n v="1"/>
    <e v="#VALUE!"/>
    <e v="#NUM!"/>
    <e v="#VALUE!"/>
    <s v=""/>
    <e v="#VALUE!"/>
    <e v="#NUM!"/>
    <e v="#VALUE!"/>
    <e v="#VALUE!"/>
    <s v=""/>
    <s v=""/>
    <s v=""/>
    <n v="0"/>
    <x v="2"/>
    <x v="5"/>
    <x v="1"/>
    <x v="1"/>
    <n v="48.9"/>
  </r>
  <r>
    <d v="2012-08-01T00:00:00"/>
    <x v="32"/>
    <x v="8"/>
    <x v="3"/>
    <s v="Compteur 2"/>
    <s v="Compteur_2"/>
    <x v="1"/>
    <d v="1899-12-30T00:00:00"/>
    <e v="#NUM!"/>
    <n v="1"/>
    <e v="#VALUE!"/>
    <e v="#NUM!"/>
    <e v="#VALUE!"/>
    <s v=""/>
    <e v="#VALUE!"/>
    <e v="#NUM!"/>
    <e v="#VALUE!"/>
    <e v="#VALUE!"/>
    <s v=""/>
    <s v=""/>
    <s v=""/>
    <n v="0"/>
    <x v="2"/>
    <x v="5"/>
    <x v="1"/>
    <x v="1"/>
    <n v="28.8"/>
  </r>
  <r>
    <d v="2012-09-01T00:00:00"/>
    <x v="33"/>
    <x v="9"/>
    <x v="3"/>
    <s v="Compteur 2"/>
    <s v="Compteur_2"/>
    <x v="1"/>
    <d v="1899-12-30T00:00:00"/>
    <e v="#NUM!"/>
    <n v="1"/>
    <e v="#VALUE!"/>
    <e v="#NUM!"/>
    <e v="#VALUE!"/>
    <s v=""/>
    <e v="#VALUE!"/>
    <e v="#NUM!"/>
    <e v="#VALUE!"/>
    <e v="#VALUE!"/>
    <s v=""/>
    <s v=""/>
    <s v=""/>
    <n v="0"/>
    <x v="2"/>
    <x v="5"/>
    <x v="1"/>
    <x v="1"/>
    <n v="108.1"/>
  </r>
  <r>
    <d v="2012-10-01T00:00:00"/>
    <x v="34"/>
    <x v="10"/>
    <x v="3"/>
    <s v="Compteur 2"/>
    <s v="Compteur_2"/>
    <x v="1"/>
    <d v="1899-12-30T00:00:00"/>
    <e v="#NUM!"/>
    <n v="1"/>
    <e v="#VALUE!"/>
    <e v="#NUM!"/>
    <e v="#VALUE!"/>
    <s v=""/>
    <e v="#VALUE!"/>
    <e v="#NUM!"/>
    <e v="#VALUE!"/>
    <e v="#VALUE!"/>
    <s v=""/>
    <s v=""/>
    <s v=""/>
    <n v="0"/>
    <x v="2"/>
    <x v="5"/>
    <x v="1"/>
    <x v="1"/>
    <n v="161.69999999999999"/>
  </r>
  <r>
    <d v="2012-11-01T00:00:00"/>
    <x v="35"/>
    <x v="11"/>
    <x v="3"/>
    <s v="Compteur 2"/>
    <s v="Compteur_2"/>
    <x v="1"/>
    <d v="1899-12-30T00:00:00"/>
    <e v="#NUM!"/>
    <n v="1"/>
    <e v="#VALUE!"/>
    <e v="#NUM!"/>
    <e v="#VALUE!"/>
    <s v=""/>
    <e v="#VALUE!"/>
    <e v="#NUM!"/>
    <e v="#VALUE!"/>
    <e v="#VALUE!"/>
    <s v=""/>
    <s v=""/>
    <s v=""/>
    <n v="0"/>
    <x v="2"/>
    <x v="5"/>
    <x v="1"/>
    <x v="1"/>
    <n v="300.39999999999998"/>
  </r>
  <r>
    <d v="2012-12-01T00:00:00"/>
    <x v="36"/>
    <x v="12"/>
    <x v="3"/>
    <s v="Compteur 2"/>
    <s v="Compteur_2"/>
    <x v="1"/>
    <d v="1899-12-30T00:00:00"/>
    <e v="#NUM!"/>
    <n v="1"/>
    <e v="#VALUE!"/>
    <e v="#NUM!"/>
    <e v="#VALUE!"/>
    <s v=""/>
    <e v="#VALUE!"/>
    <e v="#NUM!"/>
    <e v="#VALUE!"/>
    <e v="#VALUE!"/>
    <s v=""/>
    <s v=""/>
    <s v=""/>
    <n v="0"/>
    <x v="2"/>
    <x v="5"/>
    <x v="1"/>
    <x v="1"/>
    <n v="333.7"/>
  </r>
  <r>
    <d v="2013-01-01T00:00:00"/>
    <x v="37"/>
    <x v="1"/>
    <x v="4"/>
    <s v="Compteur 2"/>
    <s v="Compteur_2"/>
    <x v="1"/>
    <d v="1899-12-30T00:00:00"/>
    <e v="#NUM!"/>
    <n v="1"/>
    <e v="#VALUE!"/>
    <e v="#NUM!"/>
    <e v="#VALUE!"/>
    <s v=""/>
    <e v="#VALUE!"/>
    <e v="#NUM!"/>
    <e v="#VALUE!"/>
    <e v="#VALUE!"/>
    <s v=""/>
    <s v=""/>
    <s v=""/>
    <n v="0"/>
    <x v="2"/>
    <x v="5"/>
    <x v="1"/>
    <x v="1"/>
    <n v="409.5"/>
  </r>
  <r>
    <d v="2013-02-01T00:00:00"/>
    <x v="38"/>
    <x v="2"/>
    <x v="4"/>
    <s v="Compteur 2"/>
    <s v="Compteur_2"/>
    <x v="1"/>
    <d v="1899-12-30T00:00:00"/>
    <e v="#NUM!"/>
    <n v="1"/>
    <e v="#VALUE!"/>
    <e v="#NUM!"/>
    <e v="#VALUE!"/>
    <s v=""/>
    <e v="#VALUE!"/>
    <e v="#NUM!"/>
    <e v="#VALUE!"/>
    <e v="#VALUE!"/>
    <s v=""/>
    <s v=""/>
    <s v=""/>
    <n v="0"/>
    <x v="2"/>
    <x v="5"/>
    <x v="1"/>
    <x v="1"/>
    <n v="389.8"/>
  </r>
  <r>
    <d v="2013-03-01T00:00:00"/>
    <x v="39"/>
    <x v="3"/>
    <x v="4"/>
    <s v="Compteur 2"/>
    <s v="Compteur_2"/>
    <x v="1"/>
    <d v="1899-12-30T00:00:00"/>
    <e v="#NUM!"/>
    <n v="1"/>
    <e v="#VALUE!"/>
    <e v="#NUM!"/>
    <e v="#VALUE!"/>
    <s v=""/>
    <e v="#VALUE!"/>
    <e v="#NUM!"/>
    <e v="#VALUE!"/>
    <e v="#VALUE!"/>
    <s v=""/>
    <s v=""/>
    <s v=""/>
    <n v="0"/>
    <x v="2"/>
    <x v="5"/>
    <x v="1"/>
    <x v="1"/>
    <n v="360.4"/>
  </r>
  <r>
    <d v="2013-04-01T00:00:00"/>
    <x v="40"/>
    <x v="4"/>
    <x v="4"/>
    <s v="Compteur 2"/>
    <s v="Compteur_2"/>
    <x v="1"/>
    <d v="1899-12-30T00:00:00"/>
    <e v="#NUM!"/>
    <n v="1"/>
    <e v="#VALUE!"/>
    <e v="#NUM!"/>
    <e v="#VALUE!"/>
    <s v=""/>
    <e v="#VALUE!"/>
    <e v="#NUM!"/>
    <e v="#VALUE!"/>
    <e v="#VALUE!"/>
    <s v=""/>
    <s v=""/>
    <s v=""/>
    <n v="0"/>
    <x v="2"/>
    <x v="5"/>
    <x v="1"/>
    <x v="1"/>
    <n v="247.2"/>
  </r>
  <r>
    <d v="2013-05-01T00:00:00"/>
    <x v="41"/>
    <x v="5"/>
    <x v="4"/>
    <s v="Compteur 2"/>
    <s v="Compteur_2"/>
    <x v="1"/>
    <d v="1899-12-30T00:00:00"/>
    <e v="#NUM!"/>
    <n v="1"/>
    <e v="#VALUE!"/>
    <e v="#NUM!"/>
    <e v="#VALUE!"/>
    <s v=""/>
    <e v="#VALUE!"/>
    <e v="#NUM!"/>
    <e v="#VALUE!"/>
    <e v="#VALUE!"/>
    <s v=""/>
    <s v=""/>
    <s v=""/>
    <n v="0"/>
    <x v="2"/>
    <x v="5"/>
    <x v="1"/>
    <x v="1"/>
    <n v="175.2"/>
  </r>
  <r>
    <d v="2013-06-01T00:00:00"/>
    <x v="42"/>
    <x v="6"/>
    <x v="4"/>
    <s v="Compteur 2"/>
    <s v="Compteur_2"/>
    <x v="1"/>
    <d v="1899-12-30T00:00:00"/>
    <e v="#NUM!"/>
    <n v="1"/>
    <e v="#VALUE!"/>
    <e v="#NUM!"/>
    <e v="#VALUE!"/>
    <s v=""/>
    <e v="#VALUE!"/>
    <e v="#NUM!"/>
    <e v="#VALUE!"/>
    <e v="#VALUE!"/>
    <s v=""/>
    <s v=""/>
    <s v=""/>
    <n v="0"/>
    <x v="2"/>
    <x v="5"/>
    <x v="1"/>
    <x v="1"/>
    <n v="68"/>
  </r>
  <r>
    <d v="2013-07-01T00:00:00"/>
    <x v="43"/>
    <x v="7"/>
    <x v="4"/>
    <s v="Compteur 2"/>
    <s v="Compteur_2"/>
    <x v="1"/>
    <d v="1899-12-30T00:00:00"/>
    <e v="#NUM!"/>
    <n v="1"/>
    <e v="#VALUE!"/>
    <e v="#NUM!"/>
    <e v="#VALUE!"/>
    <s v=""/>
    <e v="#VALUE!"/>
    <e v="#NUM!"/>
    <e v="#VALUE!"/>
    <e v="#VALUE!"/>
    <s v=""/>
    <s v=""/>
    <s v=""/>
    <n v="0"/>
    <x v="2"/>
    <x v="5"/>
    <x v="1"/>
    <x v="1"/>
    <n v="13.3"/>
  </r>
  <r>
    <d v="2013-08-01T00:00:00"/>
    <x v="44"/>
    <x v="8"/>
    <x v="4"/>
    <s v="Compteur 2"/>
    <s v="Compteur_2"/>
    <x v="1"/>
    <d v="1899-12-30T00:00:00"/>
    <e v="#NUM!"/>
    <n v="1"/>
    <e v="#VALUE!"/>
    <e v="#NUM!"/>
    <e v="#VALUE!"/>
    <s v=""/>
    <e v="#VALUE!"/>
    <e v="#NUM!"/>
    <e v="#VALUE!"/>
    <e v="#VALUE!"/>
    <s v=""/>
    <s v=""/>
    <s v=""/>
    <n v="0"/>
    <x v="2"/>
    <x v="5"/>
    <x v="1"/>
    <x v="1"/>
    <n v="38.5"/>
  </r>
  <r>
    <d v="2013-09-01T00:00:00"/>
    <x v="45"/>
    <x v="9"/>
    <x v="4"/>
    <s v="Compteur 2"/>
    <s v="Compteur_2"/>
    <x v="1"/>
    <d v="1899-12-30T00:00:00"/>
    <e v="#NUM!"/>
    <n v="1"/>
    <e v="#VALUE!"/>
    <e v="#NUM!"/>
    <e v="#VALUE!"/>
    <s v=""/>
    <e v="#VALUE!"/>
    <e v="#NUM!"/>
    <e v="#VALUE!"/>
    <e v="#VALUE!"/>
    <s v=""/>
    <s v=""/>
    <s v=""/>
    <n v="0"/>
    <x v="2"/>
    <x v="5"/>
    <x v="1"/>
    <x v="1"/>
    <n v="69.2"/>
  </r>
  <r>
    <d v="2013-10-01T00:00:00"/>
    <x v="46"/>
    <x v="10"/>
    <x v="4"/>
    <s v="Compteur 2"/>
    <s v="Compteur_2"/>
    <x v="1"/>
    <d v="1899-12-30T00:00:00"/>
    <e v="#NUM!"/>
    <n v="1"/>
    <e v="#VALUE!"/>
    <e v="#NUM!"/>
    <e v="#VALUE!"/>
    <s v=""/>
    <e v="#VALUE!"/>
    <e v="#NUM!"/>
    <e v="#VALUE!"/>
    <e v="#VALUE!"/>
    <s v=""/>
    <s v=""/>
    <s v=""/>
    <n v="0"/>
    <x v="2"/>
    <x v="5"/>
    <x v="1"/>
    <x v="1"/>
    <n v="122.6"/>
  </r>
  <r>
    <d v="2013-11-01T00:00:00"/>
    <x v="47"/>
    <x v="11"/>
    <x v="4"/>
    <s v="Compteur 2"/>
    <s v="Compteur_2"/>
    <x v="1"/>
    <d v="1899-12-30T00:00:00"/>
    <e v="#NUM!"/>
    <n v="1"/>
    <e v="#VALUE!"/>
    <e v="#NUM!"/>
    <e v="#VALUE!"/>
    <s v=""/>
    <e v="#VALUE!"/>
    <e v="#NUM!"/>
    <e v="#VALUE!"/>
    <e v="#VALUE!"/>
    <s v=""/>
    <s v=""/>
    <s v=""/>
    <n v="0"/>
    <x v="2"/>
    <x v="5"/>
    <x v="1"/>
    <x v="1"/>
    <n v="311.10000000000002"/>
  </r>
  <r>
    <d v="2013-12-01T00:00:00"/>
    <x v="48"/>
    <x v="12"/>
    <x v="4"/>
    <s v="Compteur 2"/>
    <s v="Compteur_2"/>
    <x v="1"/>
    <d v="1899-12-30T00:00:00"/>
    <e v="#NUM!"/>
    <n v="1"/>
    <e v="#VALUE!"/>
    <e v="#NUM!"/>
    <e v="#VALUE!"/>
    <s v=""/>
    <e v="#VALUE!"/>
    <e v="#NUM!"/>
    <e v="#VALUE!"/>
    <e v="#VALUE!"/>
    <s v=""/>
    <s v=""/>
    <s v=""/>
    <n v="0"/>
    <x v="2"/>
    <x v="5"/>
    <x v="1"/>
    <x v="1"/>
    <n v="380.4"/>
  </r>
  <r>
    <d v="2014-01-01T00:00:00"/>
    <x v="49"/>
    <x v="1"/>
    <x v="5"/>
    <s v="Compteur 2"/>
    <s v="Compteur_2"/>
    <x v="1"/>
    <d v="1899-12-30T00:00:00"/>
    <e v="#NUM!"/>
    <n v="1"/>
    <e v="#VALUE!"/>
    <e v="#NUM!"/>
    <e v="#VALUE!"/>
    <s v=""/>
    <e v="#VALUE!"/>
    <e v="#NUM!"/>
    <e v="#VALUE!"/>
    <e v="#VALUE!"/>
    <s v=""/>
    <s v=""/>
    <s v=""/>
    <n v="0"/>
    <x v="2"/>
    <x v="5"/>
    <x v="1"/>
    <x v="1"/>
    <n v="320.5"/>
  </r>
  <r>
    <d v="2014-02-01T00:00:00"/>
    <x v="50"/>
    <x v="2"/>
    <x v="5"/>
    <s v="Compteur 2"/>
    <s v="Compteur_2"/>
    <x v="1"/>
    <d v="1899-12-30T00:00:00"/>
    <e v="#NUM!"/>
    <n v="1"/>
    <e v="#VALUE!"/>
    <e v="#NUM!"/>
    <e v="#VALUE!"/>
    <s v=""/>
    <e v="#VALUE!"/>
    <e v="#NUM!"/>
    <e v="#VALUE!"/>
    <e v="#VALUE!"/>
    <s v=""/>
    <s v=""/>
    <s v=""/>
    <n v="0"/>
    <x v="2"/>
    <x v="5"/>
    <x v="1"/>
    <x v="1"/>
    <n v="281.3"/>
  </r>
  <r>
    <d v="2014-03-01T00:00:00"/>
    <x v="51"/>
    <x v="3"/>
    <x v="5"/>
    <s v="Compteur 2"/>
    <s v="Compteur_2"/>
    <x v="1"/>
    <d v="1899-12-30T00:00:00"/>
    <e v="#NUM!"/>
    <n v="1"/>
    <e v="#VALUE!"/>
    <e v="#NUM!"/>
    <e v="#VALUE!"/>
    <s v=""/>
    <e v="#VALUE!"/>
    <e v="#NUM!"/>
    <e v="#VALUE!"/>
    <e v="#VALUE!"/>
    <s v=""/>
    <s v=""/>
    <s v=""/>
    <n v="0"/>
    <x v="2"/>
    <x v="5"/>
    <x v="1"/>
    <x v="1"/>
    <n v="263.89999999999998"/>
  </r>
  <r>
    <d v="2014-04-01T00:00:00"/>
    <x v="52"/>
    <x v="4"/>
    <x v="5"/>
    <s v="Compteur 2"/>
    <s v="Compteur_2"/>
    <x v="1"/>
    <d v="1899-12-30T00:00:00"/>
    <e v="#NUM!"/>
    <n v="1"/>
    <e v="#VALUE!"/>
    <e v="#NUM!"/>
    <e v="#VALUE!"/>
    <s v=""/>
    <e v="#VALUE!"/>
    <e v="#NUM!"/>
    <e v="#VALUE!"/>
    <e v="#VALUE!"/>
    <s v=""/>
    <s v=""/>
    <s v=""/>
    <n v="0"/>
    <x v="2"/>
    <x v="5"/>
    <x v="1"/>
    <x v="1"/>
    <n v="174.2"/>
  </r>
  <r>
    <d v="2014-05-01T00:00:00"/>
    <x v="53"/>
    <x v="5"/>
    <x v="5"/>
    <s v="Compteur 2"/>
    <s v="Compteur_2"/>
    <x v="1"/>
    <d v="1899-12-30T00:00:00"/>
    <e v="#NUM!"/>
    <n v="1"/>
    <e v="#VALUE!"/>
    <e v="#NUM!"/>
    <e v="#VALUE!"/>
    <s v=""/>
    <e v="#VALUE!"/>
    <e v="#NUM!"/>
    <e v="#VALUE!"/>
    <e v="#VALUE!"/>
    <s v=""/>
    <s v=""/>
    <s v=""/>
    <n v="0"/>
    <x v="2"/>
    <x v="5"/>
    <x v="1"/>
    <x v="1"/>
    <n v="134.5"/>
  </r>
  <r>
    <d v="2014-06-01T00:00:00"/>
    <x v="54"/>
    <x v="6"/>
    <x v="5"/>
    <s v="Compteur 2"/>
    <s v="Compteur_2"/>
    <x v="1"/>
    <d v="1899-12-30T00:00:00"/>
    <e v="#NUM!"/>
    <n v="1"/>
    <e v="#VALUE!"/>
    <e v="#NUM!"/>
    <e v="#VALUE!"/>
    <s v=""/>
    <e v="#VALUE!"/>
    <e v="#NUM!"/>
    <e v="#VALUE!"/>
    <e v="#VALUE!"/>
    <s v=""/>
    <s v=""/>
    <s v=""/>
    <n v="0"/>
    <x v="2"/>
    <x v="5"/>
    <x v="1"/>
    <x v="1"/>
    <n v="48.5"/>
  </r>
  <r>
    <d v="2014-07-01T00:00:00"/>
    <x v="55"/>
    <x v="7"/>
    <x v="5"/>
    <s v="Compteur 2"/>
    <s v="Compteur_2"/>
    <x v="1"/>
    <d v="1899-12-30T00:00:00"/>
    <e v="#NUM!"/>
    <n v="1"/>
    <e v="#VALUE!"/>
    <e v="#NUM!"/>
    <e v="#VALUE!"/>
    <s v=""/>
    <e v="#VALUE!"/>
    <e v="#NUM!"/>
    <e v="#VALUE!"/>
    <e v="#VALUE!"/>
    <s v=""/>
    <s v=""/>
    <s v=""/>
    <n v="0"/>
    <x v="2"/>
    <x v="5"/>
    <x v="1"/>
    <x v="1"/>
    <n v="22.6"/>
  </r>
  <r>
    <d v="2014-08-01T00:00:00"/>
    <x v="56"/>
    <x v="8"/>
    <x v="5"/>
    <s v="Compteur 2"/>
    <s v="Compteur_2"/>
    <x v="1"/>
    <d v="1899-12-30T00:00:00"/>
    <e v="#NUM!"/>
    <n v="1"/>
    <e v="#VALUE!"/>
    <e v="#NUM!"/>
    <e v="#VALUE!"/>
    <s v=""/>
    <e v="#VALUE!"/>
    <e v="#NUM!"/>
    <e v="#VALUE!"/>
    <e v="#VALUE!"/>
    <s v=""/>
    <s v=""/>
    <s v=""/>
    <n v="0"/>
    <x v="2"/>
    <x v="5"/>
    <x v="1"/>
    <x v="1"/>
    <n v="51.9"/>
  </r>
  <r>
    <d v="2014-09-01T00:00:00"/>
    <x v="57"/>
    <x v="9"/>
    <x v="5"/>
    <s v="Compteur 2"/>
    <s v="Compteur_2"/>
    <x v="1"/>
    <d v="1899-12-30T00:00:00"/>
    <e v="#NUM!"/>
    <n v="1"/>
    <e v="#VALUE!"/>
    <e v="#NUM!"/>
    <e v="#VALUE!"/>
    <s v=""/>
    <e v="#VALUE!"/>
    <e v="#NUM!"/>
    <e v="#VALUE!"/>
    <e v="#VALUE!"/>
    <s v=""/>
    <s v=""/>
    <s v=""/>
    <n v="0"/>
    <x v="2"/>
    <x v="5"/>
    <x v="1"/>
    <x v="1"/>
    <n v="54.3"/>
  </r>
  <r>
    <d v="2014-10-01T00:00:00"/>
    <x v="58"/>
    <x v="10"/>
    <x v="5"/>
    <s v="Compteur 2"/>
    <s v="Compteur_2"/>
    <x v="1"/>
    <d v="1899-12-30T00:00:00"/>
    <e v="#NUM!"/>
    <n v="1"/>
    <e v="#VALUE!"/>
    <e v="#NUM!"/>
    <e v="#VALUE!"/>
    <s v=""/>
    <e v="#VALUE!"/>
    <e v="#NUM!"/>
    <e v="#VALUE!"/>
    <e v="#VALUE!"/>
    <s v=""/>
    <s v=""/>
    <s v=""/>
    <n v="0"/>
    <x v="2"/>
    <x v="5"/>
    <x v="1"/>
    <x v="1"/>
    <n v="124.2"/>
  </r>
  <r>
    <d v="2014-11-01T00:00:00"/>
    <x v="59"/>
    <x v="11"/>
    <x v="5"/>
    <s v="Compteur 2"/>
    <s v="Compteur_2"/>
    <x v="1"/>
    <d v="1899-12-30T00:00:00"/>
    <e v="#NUM!"/>
    <n v="1"/>
    <e v="#VALUE!"/>
    <e v="#NUM!"/>
    <e v="#VALUE!"/>
    <s v=""/>
    <e v="#VALUE!"/>
    <e v="#NUM!"/>
    <e v="#VALUE!"/>
    <e v="#VALUE!"/>
    <s v=""/>
    <s v=""/>
    <s v=""/>
    <n v="0"/>
    <x v="2"/>
    <x v="5"/>
    <x v="1"/>
    <x v="1"/>
    <n v="219.5"/>
  </r>
  <r>
    <d v="2014-12-01T00:00:00"/>
    <x v="60"/>
    <x v="12"/>
    <x v="5"/>
    <s v="Compteur 2"/>
    <s v="Compteur_2"/>
    <x v="1"/>
    <d v="1899-12-30T00:00:00"/>
    <e v="#NUM!"/>
    <n v="1"/>
    <e v="#VALUE!"/>
    <e v="#NUM!"/>
    <e v="#VALUE!"/>
    <s v=""/>
    <e v="#VALUE!"/>
    <e v="#NUM!"/>
    <e v="#VALUE!"/>
    <e v="#VALUE!"/>
    <s v=""/>
    <s v=""/>
    <s v=""/>
    <n v="0"/>
    <x v="2"/>
    <x v="5"/>
    <x v="1"/>
    <x v="1"/>
    <n v="374.8"/>
  </r>
  <r>
    <d v="2015-01-01T00:00:00"/>
    <x v="61"/>
    <x v="1"/>
    <x v="6"/>
    <s v="Compteur 2"/>
    <s v="Compteur_2"/>
    <x v="1"/>
    <d v="1899-12-30T00:00:00"/>
    <e v="#NUM!"/>
    <n v="1"/>
    <e v="#VALUE!"/>
    <e v="#NUM!"/>
    <e v="#VALUE!"/>
    <s v=""/>
    <e v="#VALUE!"/>
    <e v="#NUM!"/>
    <e v="#VALUE!"/>
    <e v="#VALUE!"/>
    <s v=""/>
    <s v=""/>
    <s v=""/>
    <n v="0"/>
    <x v="2"/>
    <x v="5"/>
    <x v="1"/>
    <x v="1"/>
    <n v="392.1"/>
  </r>
  <r>
    <d v="2015-02-01T00:00:00"/>
    <x v="62"/>
    <x v="2"/>
    <x v="6"/>
    <s v="Compteur 2"/>
    <s v="Compteur_2"/>
    <x v="1"/>
    <d v="1899-12-30T00:00:00"/>
    <e v="#NUM!"/>
    <n v="1"/>
    <e v="#VALUE!"/>
    <e v="#NUM!"/>
    <e v="#VALUE!"/>
    <s v=""/>
    <e v="#VALUE!"/>
    <e v="#NUM!"/>
    <e v="#VALUE!"/>
    <e v="#VALUE!"/>
    <s v=""/>
    <s v=""/>
    <s v=""/>
    <n v="0"/>
    <x v="2"/>
    <x v="5"/>
    <x v="1"/>
    <x v="1"/>
    <n v="366.9"/>
  </r>
  <r>
    <d v="2015-03-01T00:00:00"/>
    <x v="63"/>
    <x v="3"/>
    <x v="6"/>
    <s v="Compteur 2"/>
    <s v="Compteur_2"/>
    <x v="1"/>
    <d v="1899-12-30T00:00:00"/>
    <e v="#NUM!"/>
    <n v="1"/>
    <e v="#VALUE!"/>
    <e v="#NUM!"/>
    <e v="#VALUE!"/>
    <s v=""/>
    <e v="#VALUE!"/>
    <e v="#NUM!"/>
    <e v="#VALUE!"/>
    <e v="#VALUE!"/>
    <s v=""/>
    <s v=""/>
    <s v=""/>
    <n v="0"/>
    <x v="2"/>
    <x v="5"/>
    <x v="1"/>
    <x v="1"/>
    <n v="303.8"/>
  </r>
  <r>
    <d v="2015-04-01T00:00:00"/>
    <x v="64"/>
    <x v="4"/>
    <x v="6"/>
    <s v="Compteur 2"/>
    <s v="Compteur_2"/>
    <x v="1"/>
    <d v="1899-12-30T00:00:00"/>
    <e v="#NUM!"/>
    <n v="1"/>
    <e v="#VALUE!"/>
    <e v="#NUM!"/>
    <e v="#VALUE!"/>
    <s v=""/>
    <e v="#VALUE!"/>
    <e v="#NUM!"/>
    <e v="#VALUE!"/>
    <e v="#VALUE!"/>
    <s v=""/>
    <s v=""/>
    <s v=""/>
    <n v="0"/>
    <x v="2"/>
    <x v="5"/>
    <x v="1"/>
    <x v="1"/>
    <n v="166.6"/>
  </r>
  <r>
    <d v="2015-05-01T00:00:00"/>
    <x v="65"/>
    <x v="5"/>
    <x v="6"/>
    <s v="Compteur 2"/>
    <s v="Compteur_2"/>
    <x v="1"/>
    <d v="1899-12-30T00:00:00"/>
    <e v="#NUM!"/>
    <n v="1"/>
    <e v="#VALUE!"/>
    <e v="#NUM!"/>
    <e v="#VALUE!"/>
    <s v=""/>
    <e v="#VALUE!"/>
    <e v="#NUM!"/>
    <e v="#VALUE!"/>
    <e v="#VALUE!"/>
    <s v=""/>
    <s v=""/>
    <s v=""/>
    <n v="0"/>
    <x v="2"/>
    <x v="5"/>
    <x v="1"/>
    <x v="1"/>
    <n v="119.9"/>
  </r>
  <r>
    <d v="2015-06-01T00:00:00"/>
    <x v="66"/>
    <x v="6"/>
    <x v="6"/>
    <s v="Compteur 2"/>
    <s v="Compteur_2"/>
    <x v="1"/>
    <d v="1899-12-30T00:00:00"/>
    <e v="#NUM!"/>
    <n v="1"/>
    <e v="#VALUE!"/>
    <e v="#NUM!"/>
    <e v="#VALUE!"/>
    <s v=""/>
    <e v="#VALUE!"/>
    <e v="#NUM!"/>
    <e v="#VALUE!"/>
    <e v="#VALUE!"/>
    <s v=""/>
    <s v=""/>
    <s v=""/>
    <n v="0"/>
    <x v="2"/>
    <x v="5"/>
    <x v="1"/>
    <x v="1"/>
    <n v="51.8"/>
  </r>
  <r>
    <d v="2015-07-01T00:00:00"/>
    <x v="67"/>
    <x v="7"/>
    <x v="6"/>
    <s v="Compteur 2"/>
    <s v="Compteur_2"/>
    <x v="1"/>
    <d v="1899-12-30T00:00:00"/>
    <e v="#NUM!"/>
    <n v="1"/>
    <e v="#VALUE!"/>
    <e v="#NUM!"/>
    <e v="#VALUE!"/>
    <s v=""/>
    <e v="#VALUE!"/>
    <e v="#NUM!"/>
    <e v="#VALUE!"/>
    <e v="#VALUE!"/>
    <s v=""/>
    <s v=""/>
    <s v=""/>
    <n v="0"/>
    <x v="2"/>
    <x v="5"/>
    <x v="1"/>
    <x v="1"/>
    <n v="29"/>
  </r>
  <r>
    <d v="2015-08-01T00:00:00"/>
    <x v="68"/>
    <x v="8"/>
    <x v="6"/>
    <s v="Compteur 2"/>
    <s v="Compteur_2"/>
    <x v="1"/>
    <d v="1899-12-30T00:00:00"/>
    <e v="#NUM!"/>
    <n v="1"/>
    <e v="#VALUE!"/>
    <e v="#NUM!"/>
    <e v="#VALUE!"/>
    <s v=""/>
    <e v="#VALUE!"/>
    <e v="#NUM!"/>
    <e v="#VALUE!"/>
    <e v="#VALUE!"/>
    <s v=""/>
    <s v=""/>
    <s v=""/>
    <n v="0"/>
    <x v="2"/>
    <x v="5"/>
    <x v="1"/>
    <x v="1"/>
    <n v="32"/>
  </r>
  <r>
    <d v="2015-09-01T00:00:00"/>
    <x v="69"/>
    <x v="9"/>
    <x v="6"/>
    <s v="Compteur 2"/>
    <s v="Compteur_2"/>
    <x v="1"/>
    <d v="1899-12-30T00:00:00"/>
    <e v="#NUM!"/>
    <n v="1"/>
    <e v="#VALUE!"/>
    <e v="#NUM!"/>
    <e v="#VALUE!"/>
    <s v=""/>
    <e v="#VALUE!"/>
    <e v="#NUM!"/>
    <e v="#VALUE!"/>
    <e v="#VALUE!"/>
    <s v=""/>
    <s v=""/>
    <s v=""/>
    <n v="0"/>
    <x v="2"/>
    <x v="5"/>
    <x v="1"/>
    <x v="1"/>
    <n v="96.9"/>
  </r>
  <r>
    <d v="2015-10-01T00:00:00"/>
    <x v="70"/>
    <x v="10"/>
    <x v="6"/>
    <s v="Compteur 2"/>
    <s v="Compteur_2"/>
    <x v="1"/>
    <d v="1899-12-30T00:00:00"/>
    <e v="#NUM!"/>
    <n v="1"/>
    <e v="#VALUE!"/>
    <e v="#NUM!"/>
    <e v="#VALUE!"/>
    <s v=""/>
    <e v="#VALUE!"/>
    <e v="#NUM!"/>
    <e v="#VALUE!"/>
    <e v="#VALUE!"/>
    <s v=""/>
    <s v=""/>
    <s v=""/>
    <n v="0"/>
    <x v="2"/>
    <x v="5"/>
    <x v="1"/>
    <x v="1"/>
    <n v="181.1"/>
  </r>
  <r>
    <d v="2015-11-01T00:00:00"/>
    <x v="71"/>
    <x v="11"/>
    <x v="6"/>
    <s v="Compteur 2"/>
    <s v="Compteur_2"/>
    <x v="1"/>
    <d v="1899-12-30T00:00:00"/>
    <e v="#NUM!"/>
    <n v="1"/>
    <e v="#VALUE!"/>
    <e v="#NUM!"/>
    <e v="#VALUE!"/>
    <s v=""/>
    <e v="#VALUE!"/>
    <e v="#NUM!"/>
    <e v="#VALUE!"/>
    <e v="#VALUE!"/>
    <s v=""/>
    <s v=""/>
    <s v=""/>
    <n v="0"/>
    <x v="2"/>
    <x v="5"/>
    <x v="1"/>
    <x v="1"/>
    <n v="191.1"/>
  </r>
  <r>
    <d v="2015-12-01T00:00:00"/>
    <x v="72"/>
    <x v="12"/>
    <x v="6"/>
    <s v="Compteur 2"/>
    <s v="Compteur_2"/>
    <x v="1"/>
    <d v="1899-12-30T00:00:00"/>
    <e v="#NUM!"/>
    <n v="1"/>
    <e v="#VALUE!"/>
    <e v="#NUM!"/>
    <e v="#VALUE!"/>
    <s v=""/>
    <e v="#VALUE!"/>
    <e v="#NUM!"/>
    <e v="#VALUE!"/>
    <e v="#VALUE!"/>
    <s v=""/>
    <s v=""/>
    <s v=""/>
    <n v="0"/>
    <x v="2"/>
    <x v="5"/>
    <x v="1"/>
    <x v="1"/>
    <n v="258.5"/>
  </r>
  <r>
    <d v="2016-01-01T00:00:00"/>
    <x v="73"/>
    <x v="1"/>
    <x v="7"/>
    <s v="Compteur 2"/>
    <s v="Compteur_2"/>
    <x v="1"/>
    <d v="1899-12-30T00:00:00"/>
    <e v="#NUM!"/>
    <n v="1"/>
    <e v="#VALUE!"/>
    <e v="#NUM!"/>
    <e v="#VALUE!"/>
    <s v=""/>
    <e v="#VALUE!"/>
    <e v="#NUM!"/>
    <e v="#VALUE!"/>
    <e v="#VALUE!"/>
    <s v=""/>
    <s v=""/>
    <s v=""/>
    <n v="0"/>
    <x v="2"/>
    <x v="5"/>
    <x v="1"/>
    <x v="1"/>
    <n v="348.4"/>
  </r>
  <r>
    <d v="2016-02-01T00:00:00"/>
    <x v="74"/>
    <x v="2"/>
    <x v="7"/>
    <s v="Compteur 2"/>
    <s v="Compteur_2"/>
    <x v="1"/>
    <d v="1899-12-30T00:00:00"/>
    <e v="#NUM!"/>
    <n v="1"/>
    <e v="#VALUE!"/>
    <e v="#NUM!"/>
    <e v="#VALUE!"/>
    <s v=""/>
    <e v="#VALUE!"/>
    <e v="#NUM!"/>
    <e v="#VALUE!"/>
    <e v="#VALUE!"/>
    <s v=""/>
    <s v=""/>
    <s v=""/>
    <n v="0"/>
    <x v="2"/>
    <x v="5"/>
    <x v="1"/>
    <x v="1"/>
    <n v="321.2"/>
  </r>
  <r>
    <d v="2016-03-01T00:00:00"/>
    <x v="75"/>
    <x v="3"/>
    <x v="7"/>
    <s v="Compteur 2"/>
    <s v="Compteur_2"/>
    <x v="1"/>
    <d v="1899-12-30T00:00:00"/>
    <e v="#NUM!"/>
    <n v="1"/>
    <e v="#VALUE!"/>
    <e v="#NUM!"/>
    <e v="#VALUE!"/>
    <s v=""/>
    <e v="#VALUE!"/>
    <e v="#NUM!"/>
    <e v="#VALUE!"/>
    <e v="#VALUE!"/>
    <s v=""/>
    <s v=""/>
    <s v=""/>
    <n v="0"/>
    <x v="2"/>
    <x v="5"/>
    <x v="1"/>
    <x v="1"/>
    <n v="328.3"/>
  </r>
  <r>
    <d v="2016-04-01T00:00:00"/>
    <x v="76"/>
    <x v="4"/>
    <x v="7"/>
    <s v="Compteur 2"/>
    <s v="Compteur_2"/>
    <x v="1"/>
    <d v="1899-12-30T00:00:00"/>
    <e v="#NUM!"/>
    <n v="1"/>
    <e v="#VALUE!"/>
    <e v="#NUM!"/>
    <e v="#VALUE!"/>
    <s v=""/>
    <e v="#VALUE!"/>
    <e v="#NUM!"/>
    <e v="#VALUE!"/>
    <e v="#VALUE!"/>
    <s v=""/>
    <s v=""/>
    <s v=""/>
    <n v="0"/>
    <x v="2"/>
    <x v="5"/>
    <x v="1"/>
    <x v="1"/>
    <n v="252.6"/>
  </r>
  <r>
    <d v="2016-05-01T00:00:00"/>
    <x v="77"/>
    <x v="5"/>
    <x v="7"/>
    <s v="Compteur 2"/>
    <s v="Compteur_2"/>
    <x v="1"/>
    <d v="1899-12-30T00:00:00"/>
    <e v="#NUM!"/>
    <n v="1"/>
    <e v="#VALUE!"/>
    <e v="#NUM!"/>
    <e v="#VALUE!"/>
    <s v=""/>
    <e v="#VALUE!"/>
    <e v="#NUM!"/>
    <e v="#VALUE!"/>
    <e v="#VALUE!"/>
    <s v=""/>
    <s v=""/>
    <s v=""/>
    <n v="0"/>
    <x v="2"/>
    <x v="5"/>
    <x v="1"/>
    <x v="1"/>
    <n v="124.3"/>
  </r>
  <r>
    <d v="2016-06-01T00:00:00"/>
    <x v="78"/>
    <x v="6"/>
    <x v="7"/>
    <s v="Compteur 2"/>
    <s v="Compteur_2"/>
    <x v="1"/>
    <d v="1899-12-30T00:00:00"/>
    <e v="#NUM!"/>
    <n v="1"/>
    <e v="#VALUE!"/>
    <e v="#NUM!"/>
    <e v="#VALUE!"/>
    <s v=""/>
    <e v="#VALUE!"/>
    <e v="#NUM!"/>
    <e v="#VALUE!"/>
    <e v="#VALUE!"/>
    <s v=""/>
    <s v=""/>
    <s v=""/>
    <n v="0"/>
    <x v="2"/>
    <x v="5"/>
    <x v="1"/>
    <x v="1"/>
    <n v="47.7"/>
  </r>
  <r>
    <d v="2016-07-01T00:00:00"/>
    <x v="79"/>
    <x v="7"/>
    <x v="7"/>
    <s v="Compteur 2"/>
    <s v="Compteur_2"/>
    <x v="1"/>
    <d v="1899-12-30T00:00:00"/>
    <e v="#NUM!"/>
    <n v="1"/>
    <e v="#VALUE!"/>
    <e v="#NUM!"/>
    <e v="#VALUE!"/>
    <s v=""/>
    <e v="#VALUE!"/>
    <e v="#NUM!"/>
    <e v="#VALUE!"/>
    <e v="#VALUE!"/>
    <s v=""/>
    <s v=""/>
    <s v=""/>
    <n v="0"/>
    <x v="2"/>
    <x v="5"/>
    <x v="1"/>
    <x v="1"/>
    <n v="32.299999999999997"/>
  </r>
  <r>
    <d v="2016-08-01T00:00:00"/>
    <x v="80"/>
    <x v="8"/>
    <x v="7"/>
    <s v="Compteur 2"/>
    <s v="Compteur_2"/>
    <x v="1"/>
    <d v="1899-12-30T00:00:00"/>
    <e v="#NUM!"/>
    <n v="1"/>
    <e v="#VALUE!"/>
    <e v="#NUM!"/>
    <e v="#VALUE!"/>
    <s v=""/>
    <e v="#VALUE!"/>
    <e v="#NUM!"/>
    <e v="#VALUE!"/>
    <e v="#VALUE!"/>
    <s v=""/>
    <s v=""/>
    <s v=""/>
    <n v="0"/>
    <x v="2"/>
    <x v="5"/>
    <x v="1"/>
    <x v="1"/>
    <n v="33.799999999999997"/>
  </r>
  <r>
    <d v="2016-09-01T00:00:00"/>
    <x v="81"/>
    <x v="9"/>
    <x v="7"/>
    <s v="Compteur 2"/>
    <s v="Compteur_2"/>
    <x v="1"/>
    <d v="1899-12-30T00:00:00"/>
    <e v="#NUM!"/>
    <n v="1"/>
    <e v="#VALUE!"/>
    <e v="#NUM!"/>
    <e v="#VALUE!"/>
    <s v=""/>
    <e v="#VALUE!"/>
    <e v="#NUM!"/>
    <e v="#VALUE!"/>
    <e v="#VALUE!"/>
    <s v=""/>
    <s v=""/>
    <s v=""/>
    <n v="0"/>
    <x v="2"/>
    <x v="5"/>
    <x v="1"/>
    <x v="1"/>
    <n v="43.5"/>
  </r>
  <r>
    <d v="2016-10-01T00:00:00"/>
    <x v="82"/>
    <x v="10"/>
    <x v="7"/>
    <s v="Compteur 2"/>
    <s v="Compteur_2"/>
    <x v="1"/>
    <d v="1899-12-30T00:00:00"/>
    <e v="#NUM!"/>
    <n v="1"/>
    <e v="#VALUE!"/>
    <e v="#NUM!"/>
    <e v="#VALUE!"/>
    <s v=""/>
    <e v="#VALUE!"/>
    <e v="#NUM!"/>
    <e v="#VALUE!"/>
    <e v="#VALUE!"/>
    <s v=""/>
    <s v=""/>
    <s v=""/>
    <n v="0"/>
    <x v="2"/>
    <x v="5"/>
    <x v="1"/>
    <x v="1"/>
    <n v="202.6"/>
  </r>
  <r>
    <d v="2016-11-01T00:00:00"/>
    <x v="83"/>
    <x v="11"/>
    <x v="7"/>
    <s v="Compteur 2"/>
    <s v="Compteur_2"/>
    <x v="1"/>
    <d v="1899-12-30T00:00:00"/>
    <e v="#NUM!"/>
    <n v="1"/>
    <e v="#VALUE!"/>
    <e v="#NUM!"/>
    <e v="#VALUE!"/>
    <s v=""/>
    <e v="#VALUE!"/>
    <e v="#NUM!"/>
    <e v="#VALUE!"/>
    <e v="#VALUE!"/>
    <s v=""/>
    <s v=""/>
    <s v=""/>
    <n v="0"/>
    <x v="2"/>
    <x v="5"/>
    <x v="1"/>
    <x v="1"/>
    <n v="289.2"/>
  </r>
  <r>
    <d v="2016-12-01T00:00:00"/>
    <x v="84"/>
    <x v="12"/>
    <x v="7"/>
    <s v="Compteur 2"/>
    <s v="Compteur_2"/>
    <x v="1"/>
    <d v="1899-12-30T00:00:00"/>
    <e v="#NUM!"/>
    <n v="1"/>
    <e v="#VALUE!"/>
    <e v="#NUM!"/>
    <e v="#VALUE!"/>
    <s v=""/>
    <e v="#VALUE!"/>
    <e v="#NUM!"/>
    <e v="#VALUE!"/>
    <e v="#VALUE!"/>
    <s v=""/>
    <s v=""/>
    <s v=""/>
    <n v="0"/>
    <x v="2"/>
    <x v="5"/>
    <x v="1"/>
    <x v="1"/>
    <n v="370.4"/>
  </r>
  <r>
    <d v="2017-01-01T00:00:00"/>
    <x v="85"/>
    <x v="1"/>
    <x v="8"/>
    <s v="Compteur 2"/>
    <s v="Compteur_2"/>
    <x v="1"/>
    <d v="1899-12-30T00:00:00"/>
    <e v="#NUM!"/>
    <n v="1"/>
    <e v="#VALUE!"/>
    <e v="#NUM!"/>
    <e v="#VALUE!"/>
    <s v=""/>
    <e v="#VALUE!"/>
    <e v="#NUM!"/>
    <e v="#VALUE!"/>
    <e v="#VALUE!"/>
    <s v=""/>
    <s v=""/>
    <s v=""/>
    <n v="0"/>
    <x v="2"/>
    <x v="5"/>
    <x v="1"/>
    <x v="1"/>
    <n v="451.9"/>
  </r>
  <r>
    <d v="2017-02-01T00:00:00"/>
    <x v="86"/>
    <x v="2"/>
    <x v="8"/>
    <s v="Compteur 2"/>
    <s v="Compteur_2"/>
    <x v="1"/>
    <d v="1899-12-30T00:00:00"/>
    <e v="#NUM!"/>
    <n v="1"/>
    <e v="#VALUE!"/>
    <e v="#NUM!"/>
    <e v="#VALUE!"/>
    <s v=""/>
    <e v="#VALUE!"/>
    <e v="#NUM!"/>
    <e v="#VALUE!"/>
    <e v="#VALUE!"/>
    <s v=""/>
    <s v=""/>
    <s v=""/>
    <n v="0"/>
    <x v="2"/>
    <x v="5"/>
    <x v="1"/>
    <x v="1"/>
    <n v="287.8"/>
  </r>
  <r>
    <d v="2017-03-01T00:00:00"/>
    <x v="87"/>
    <x v="3"/>
    <x v="8"/>
    <s v="Compteur 2"/>
    <s v="Compteur_2"/>
    <x v="1"/>
    <d v="1899-12-30T00:00:00"/>
    <e v="#NUM!"/>
    <n v="1"/>
    <e v="#VALUE!"/>
    <e v="#NUM!"/>
    <e v="#VALUE!"/>
    <s v=""/>
    <e v="#VALUE!"/>
    <e v="#NUM!"/>
    <e v="#VALUE!"/>
    <e v="#VALUE!"/>
    <s v=""/>
    <s v=""/>
    <s v=""/>
    <n v="0"/>
    <x v="2"/>
    <x v="5"/>
    <x v="1"/>
    <x v="1"/>
    <n v="226.3"/>
  </r>
  <r>
    <d v="2017-04-01T00:00:00"/>
    <x v="88"/>
    <x v="4"/>
    <x v="8"/>
    <s v="Compteur 2"/>
    <s v="Compteur_2"/>
    <x v="1"/>
    <d v="1899-12-30T00:00:00"/>
    <e v="#NUM!"/>
    <n v="1"/>
    <e v="#VALUE!"/>
    <e v="#NUM!"/>
    <e v="#VALUE!"/>
    <s v=""/>
    <e v="#VALUE!"/>
    <e v="#NUM!"/>
    <e v="#VALUE!"/>
    <e v="#VALUE!"/>
    <s v=""/>
    <s v=""/>
    <s v=""/>
    <n v="0"/>
    <x v="2"/>
    <x v="5"/>
    <x v="1"/>
    <x v="1"/>
    <n v="227.8"/>
  </r>
  <r>
    <d v="2017-05-01T00:00:00"/>
    <x v="89"/>
    <x v="5"/>
    <x v="8"/>
    <s v="Compteur 2"/>
    <s v="Compteur_2"/>
    <x v="1"/>
    <d v="1899-12-30T00:00:00"/>
    <e v="#NUM!"/>
    <n v="1"/>
    <e v="#VALUE!"/>
    <e v="#NUM!"/>
    <e v="#VALUE!"/>
    <s v=""/>
    <e v="#VALUE!"/>
    <e v="#NUM!"/>
    <e v="#VALUE!"/>
    <e v="#VALUE!"/>
    <s v=""/>
    <s v=""/>
    <s v=""/>
    <n v="0"/>
    <x v="2"/>
    <x v="5"/>
    <x v="1"/>
    <x v="1"/>
    <n v="98"/>
  </r>
  <r>
    <d v="2017-06-01T00:00:00"/>
    <x v="90"/>
    <x v="6"/>
    <x v="8"/>
    <s v="Compteur 2"/>
    <s v="Compteur_2"/>
    <x v="1"/>
    <d v="1899-12-30T00:00:00"/>
    <e v="#NUM!"/>
    <n v="1"/>
    <e v="#VALUE!"/>
    <e v="#NUM!"/>
    <e v="#VALUE!"/>
    <s v=""/>
    <e v="#VALUE!"/>
    <e v="#NUM!"/>
    <e v="#VALUE!"/>
    <e v="#VALUE!"/>
    <s v=""/>
    <s v=""/>
    <s v=""/>
    <n v="0"/>
    <x v="2"/>
    <x v="5"/>
    <x v="1"/>
    <x v="1"/>
    <n v="30.9"/>
  </r>
  <r>
    <d v="2017-07-01T00:00:00"/>
    <x v="91"/>
    <x v="7"/>
    <x v="8"/>
    <s v="Compteur 2"/>
    <s v="Compteur_2"/>
    <x v="1"/>
    <d v="1899-12-30T00:00:00"/>
    <e v="#NUM!"/>
    <n v="1"/>
    <e v="#VALUE!"/>
    <e v="#NUM!"/>
    <e v="#VALUE!"/>
    <s v=""/>
    <e v="#VALUE!"/>
    <e v="#NUM!"/>
    <e v="#VALUE!"/>
    <e v="#VALUE!"/>
    <s v=""/>
    <s v=""/>
    <s v=""/>
    <n v="0"/>
    <x v="2"/>
    <x v="5"/>
    <x v="1"/>
    <x v="1"/>
    <n v="23.6"/>
  </r>
  <r>
    <d v="2017-08-01T00:00:00"/>
    <x v="92"/>
    <x v="8"/>
    <x v="8"/>
    <s v="Compteur 2"/>
    <s v="Compteur_2"/>
    <x v="1"/>
    <d v="1899-12-30T00:00:00"/>
    <e v="#NUM!"/>
    <n v="1"/>
    <e v="#VALUE!"/>
    <e v="#NUM!"/>
    <e v="#VALUE!"/>
    <s v=""/>
    <e v="#VALUE!"/>
    <e v="#NUM!"/>
    <e v="#VALUE!"/>
    <e v="#VALUE!"/>
    <s v=""/>
    <s v=""/>
    <s v=""/>
    <n v="0"/>
    <x v="2"/>
    <x v="5"/>
    <x v="1"/>
    <x v="1"/>
    <n v="32.200000000000003"/>
  </r>
  <r>
    <d v="2017-09-01T00:00:00"/>
    <x v="93"/>
    <x v="9"/>
    <x v="8"/>
    <s v="Compteur 2"/>
    <s v="Compteur_2"/>
    <x v="1"/>
    <d v="1899-12-30T00:00:00"/>
    <e v="#NUM!"/>
    <n v="1"/>
    <e v="#VALUE!"/>
    <e v="#NUM!"/>
    <e v="#VALUE!"/>
    <s v=""/>
    <e v="#VALUE!"/>
    <e v="#NUM!"/>
    <e v="#VALUE!"/>
    <e v="#VALUE!"/>
    <s v=""/>
    <s v=""/>
    <s v=""/>
    <n v="0"/>
    <x v="2"/>
    <x v="5"/>
    <x v="1"/>
    <x v="1"/>
    <n v="82.3"/>
  </r>
  <r>
    <d v="2017-10-01T00:00:00"/>
    <x v="94"/>
    <x v="10"/>
    <x v="8"/>
    <s v="Compteur 2"/>
    <s v="Compteur_2"/>
    <x v="1"/>
    <d v="1899-12-30T00:00:00"/>
    <e v="#NUM!"/>
    <n v="1"/>
    <e v="#VALUE!"/>
    <e v="#NUM!"/>
    <e v="#VALUE!"/>
    <s v=""/>
    <e v="#VALUE!"/>
    <e v="#NUM!"/>
    <e v="#VALUE!"/>
    <e v="#VALUE!"/>
    <s v=""/>
    <s v=""/>
    <s v=""/>
    <n v="0"/>
    <x v="2"/>
    <x v="5"/>
    <x v="1"/>
    <x v="1"/>
    <n v="126.4"/>
  </r>
  <r>
    <d v="2017-11-01T00:00:00"/>
    <x v="95"/>
    <x v="11"/>
    <x v="8"/>
    <s v="Compteur 2"/>
    <s v="Compteur_2"/>
    <x v="1"/>
    <d v="1899-12-30T00:00:00"/>
    <e v="#NUM!"/>
    <n v="1"/>
    <e v="#VALUE!"/>
    <e v="#NUM!"/>
    <e v="#VALUE!"/>
    <s v=""/>
    <e v="#VALUE!"/>
    <e v="#NUM!"/>
    <e v="#VALUE!"/>
    <e v="#VALUE!"/>
    <s v=""/>
    <s v=""/>
    <s v=""/>
    <n v="0"/>
    <x v="2"/>
    <x v="5"/>
    <x v="1"/>
    <x v="1"/>
    <n v="289.89999999999998"/>
  </r>
  <r>
    <d v="2017-12-01T00:00:00"/>
    <x v="96"/>
    <x v="12"/>
    <x v="8"/>
    <s v="Compteur 2"/>
    <s v="Compteur_2"/>
    <x v="1"/>
    <d v="1899-12-30T00:00:00"/>
    <e v="#NUM!"/>
    <n v="1"/>
    <e v="#VALUE!"/>
    <e v="#NUM!"/>
    <e v="#VALUE!"/>
    <s v=""/>
    <e v="#VALUE!"/>
    <e v="#NUM!"/>
    <e v="#VALUE!"/>
    <e v="#VALUE!"/>
    <s v=""/>
    <s v=""/>
    <s v=""/>
    <n v="0"/>
    <x v="2"/>
    <x v="5"/>
    <x v="1"/>
    <x v="1"/>
    <n v="366.2"/>
  </r>
  <r>
    <d v="2018-01-01T00:00:00"/>
    <x v="97"/>
    <x v="1"/>
    <x v="9"/>
    <s v="Compteur 2"/>
    <s v="Compteur_2"/>
    <x v="1"/>
    <d v="1899-12-30T00:00:00"/>
    <e v="#NUM!"/>
    <n v="1"/>
    <e v="#VALUE!"/>
    <e v="#NUM!"/>
    <e v="#VALUE!"/>
    <s v=""/>
    <e v="#VALUE!"/>
    <e v="#NUM!"/>
    <e v="#VALUE!"/>
    <e v="#VALUE!"/>
    <s v=""/>
    <s v=""/>
    <s v=""/>
    <n v="0"/>
    <x v="2"/>
    <x v="5"/>
    <x v="1"/>
    <x v="1"/>
    <n v="298.60000000000002"/>
  </r>
  <r>
    <d v="2018-02-01T00:00:00"/>
    <x v="98"/>
    <x v="2"/>
    <x v="9"/>
    <s v="Compteur 2"/>
    <s v="Compteur_2"/>
    <x v="1"/>
    <d v="1899-12-30T00:00:00"/>
    <e v="#NUM!"/>
    <n v="1"/>
    <e v="#VALUE!"/>
    <e v="#NUM!"/>
    <e v="#VALUE!"/>
    <s v=""/>
    <e v="#VALUE!"/>
    <e v="#NUM!"/>
    <e v="#VALUE!"/>
    <e v="#VALUE!"/>
    <s v=""/>
    <s v=""/>
    <s v=""/>
    <n v="0"/>
    <x v="2"/>
    <x v="5"/>
    <x v="1"/>
    <x v="1"/>
    <n v="415.2"/>
  </r>
  <r>
    <d v="2018-03-01T00:00:00"/>
    <x v="99"/>
    <x v="3"/>
    <x v="9"/>
    <s v="Compteur 2"/>
    <s v="Compteur_2"/>
    <x v="1"/>
    <d v="1899-12-30T00:00:00"/>
    <e v="#NUM!"/>
    <n v="1"/>
    <e v="#VALUE!"/>
    <e v="#NUM!"/>
    <e v="#VALUE!"/>
    <s v=""/>
    <e v="#VALUE!"/>
    <e v="#NUM!"/>
    <e v="#VALUE!"/>
    <e v="#VALUE!"/>
    <s v=""/>
    <s v=""/>
    <s v=""/>
    <n v="0"/>
    <x v="2"/>
    <x v="5"/>
    <x v="1"/>
    <x v="1"/>
    <n v="305.39999999999998"/>
  </r>
  <r>
    <d v="2018-04-01T00:00:00"/>
    <x v="100"/>
    <x v="4"/>
    <x v="9"/>
    <s v="Compteur 2"/>
    <s v="Compteur_2"/>
    <x v="1"/>
    <d v="1899-12-30T00:00:00"/>
    <e v="#NUM!"/>
    <n v="1"/>
    <e v="#VALUE!"/>
    <e v="#NUM!"/>
    <e v="#VALUE!"/>
    <s v=""/>
    <e v="#VALUE!"/>
    <e v="#NUM!"/>
    <e v="#VALUE!"/>
    <e v="#VALUE!"/>
    <s v=""/>
    <s v=""/>
    <s v=""/>
    <n v="0"/>
    <x v="2"/>
    <x v="5"/>
    <x v="1"/>
    <x v="1"/>
    <n v="152.19999999999999"/>
  </r>
  <r>
    <d v="2018-05-01T00:00:00"/>
    <x v="101"/>
    <x v="5"/>
    <x v="9"/>
    <s v="Compteur 2"/>
    <s v="Compteur_2"/>
    <x v="1"/>
    <d v="1899-12-30T00:00:00"/>
    <e v="#NUM!"/>
    <n v="1"/>
    <e v="#VALUE!"/>
    <e v="#NUM!"/>
    <e v="#VALUE!"/>
    <s v=""/>
    <e v="#VALUE!"/>
    <e v="#NUM!"/>
    <e v="#VALUE!"/>
    <e v="#VALUE!"/>
    <s v=""/>
    <s v=""/>
    <s v=""/>
    <n v="0"/>
    <x v="2"/>
    <x v="5"/>
    <x v="1"/>
    <x v="1"/>
    <n v="95.8"/>
  </r>
  <r>
    <d v="2018-06-01T00:00:00"/>
    <x v="102"/>
    <x v="6"/>
    <x v="9"/>
    <s v="Compteur 2"/>
    <s v="Compteur_2"/>
    <x v="1"/>
    <d v="1899-12-30T00:00:00"/>
    <e v="#NUM!"/>
    <n v="1"/>
    <e v="#VALUE!"/>
    <e v="#NUM!"/>
    <e v="#VALUE!"/>
    <s v=""/>
    <e v="#VALUE!"/>
    <e v="#NUM!"/>
    <e v="#VALUE!"/>
    <e v="#VALUE!"/>
    <s v=""/>
    <s v=""/>
    <s v=""/>
    <n v="0"/>
    <x v="2"/>
    <x v="5"/>
    <x v="1"/>
    <x v="1"/>
    <n v="25.4"/>
  </r>
  <r>
    <d v="2018-07-01T00:00:00"/>
    <x v="103"/>
    <x v="7"/>
    <x v="9"/>
    <s v="Compteur 2"/>
    <s v="Compteur_2"/>
    <x v="1"/>
    <d v="1899-12-30T00:00:00"/>
    <e v="#NUM!"/>
    <n v="1"/>
    <e v="#VALUE!"/>
    <e v="#NUM!"/>
    <e v="#VALUE!"/>
    <s v=""/>
    <e v="#VALUE!"/>
    <e v="#NUM!"/>
    <e v="#VALUE!"/>
    <e v="#VALUE!"/>
    <s v=""/>
    <s v=""/>
    <s v=""/>
    <n v="0"/>
    <x v="2"/>
    <x v="5"/>
    <x v="1"/>
    <x v="1"/>
    <n v="5.9"/>
  </r>
  <r>
    <d v="2018-08-01T00:00:00"/>
    <x v="104"/>
    <x v="8"/>
    <x v="9"/>
    <s v="Compteur 2"/>
    <s v="Compteur_2"/>
    <x v="1"/>
    <d v="1899-12-30T00:00:00"/>
    <e v="#NUM!"/>
    <n v="1"/>
    <e v="#VALUE!"/>
    <e v="#NUM!"/>
    <e v="#VALUE!"/>
    <s v=""/>
    <e v="#VALUE!"/>
    <e v="#NUM!"/>
    <e v="#VALUE!"/>
    <e v="#VALUE!"/>
    <s v=""/>
    <s v=""/>
    <s v=""/>
    <n v="0"/>
    <x v="2"/>
    <x v="5"/>
    <x v="1"/>
    <x v="1"/>
    <n v="26"/>
  </r>
  <r>
    <d v="2018-09-01T00:00:00"/>
    <x v="105"/>
    <x v="9"/>
    <x v="9"/>
    <s v="Compteur 2"/>
    <s v="Compteur_2"/>
    <x v="1"/>
    <d v="1899-12-30T00:00:00"/>
    <e v="#NUM!"/>
    <n v="1"/>
    <e v="#VALUE!"/>
    <e v="#NUM!"/>
    <e v="#VALUE!"/>
    <s v=""/>
    <e v="#VALUE!"/>
    <e v="#NUM!"/>
    <e v="#VALUE!"/>
    <e v="#VALUE!"/>
    <s v=""/>
    <s v=""/>
    <s v=""/>
    <n v="0"/>
    <x v="2"/>
    <x v="5"/>
    <x v="1"/>
    <x v="1"/>
    <n v="73.599999999999994"/>
  </r>
  <r>
    <d v="2018-10-01T00:00:00"/>
    <x v="106"/>
    <x v="10"/>
    <x v="9"/>
    <s v="Compteur 2"/>
    <s v="Compteur_2"/>
    <x v="1"/>
    <d v="1899-12-30T00:00:00"/>
    <e v="#NUM!"/>
    <n v="1"/>
    <e v="#VALUE!"/>
    <e v="#NUM!"/>
    <e v="#VALUE!"/>
    <s v=""/>
    <e v="#VALUE!"/>
    <e v="#NUM!"/>
    <e v="#VALUE!"/>
    <e v="#VALUE!"/>
    <s v=""/>
    <s v=""/>
    <s v=""/>
    <n v="0"/>
    <x v="2"/>
    <x v="5"/>
    <x v="1"/>
    <x v="1"/>
    <n v="157.5"/>
  </r>
  <r>
    <d v="2018-11-01T00:00:00"/>
    <x v="107"/>
    <x v="11"/>
    <x v="9"/>
    <s v="Compteur 2"/>
    <s v="Compteur_2"/>
    <x v="1"/>
    <d v="1899-12-30T00:00:00"/>
    <e v="#NUM!"/>
    <n v="1"/>
    <e v="#VALUE!"/>
    <e v="#NUM!"/>
    <e v="#VALUE!"/>
    <s v=""/>
    <e v="#VALUE!"/>
    <e v="#NUM!"/>
    <e v="#VALUE!"/>
    <e v="#VALUE!"/>
    <s v=""/>
    <s v=""/>
    <s v=""/>
    <n v="0"/>
    <x v="2"/>
    <x v="5"/>
    <x v="1"/>
    <x v="1"/>
    <n v="278"/>
  </r>
  <r>
    <d v="2018-12-01T00:00:00"/>
    <x v="108"/>
    <x v="12"/>
    <x v="9"/>
    <s v="Compteur 2"/>
    <s v="Compteur_2"/>
    <x v="1"/>
    <d v="1899-12-30T00:00:00"/>
    <e v="#NUM!"/>
    <n v="1"/>
    <e v="#VALUE!"/>
    <e v="#NUM!"/>
    <e v="#VALUE!"/>
    <s v=""/>
    <e v="#VALUE!"/>
    <e v="#NUM!"/>
    <e v="#VALUE!"/>
    <e v="#VALUE!"/>
    <s v=""/>
    <s v=""/>
    <s v=""/>
    <n v="0"/>
    <x v="2"/>
    <x v="5"/>
    <x v="1"/>
    <x v="1"/>
    <n v="319.2"/>
  </r>
  <r>
    <d v="2019-01-01T00:00:00"/>
    <x v="109"/>
    <x v="1"/>
    <x v="10"/>
    <s v="Compteur 2"/>
    <s v="Compteur_2"/>
    <x v="1"/>
    <d v="1899-12-30T00:00:00"/>
    <e v="#NUM!"/>
    <n v="1"/>
    <e v="#VALUE!"/>
    <e v="#NUM!"/>
    <e v="#VALUE!"/>
    <s v=""/>
    <e v="#VALUE!"/>
    <e v="#NUM!"/>
    <e v="#VALUE!"/>
    <e v="#VALUE!"/>
    <s v=""/>
    <s v=""/>
    <s v=""/>
    <n v="0"/>
    <x v="2"/>
    <x v="5"/>
    <x v="1"/>
    <x v="1"/>
    <n v="402.2"/>
  </r>
  <r>
    <d v="2019-02-01T00:00:00"/>
    <x v="110"/>
    <x v="2"/>
    <x v="10"/>
    <s v="Compteur 2"/>
    <s v="Compteur_2"/>
    <x v="1"/>
    <d v="1899-12-30T00:00:00"/>
    <e v="#NUM!"/>
    <n v="1"/>
    <e v="#VALUE!"/>
    <e v="#NUM!"/>
    <e v="#VALUE!"/>
    <s v=""/>
    <e v="#VALUE!"/>
    <e v="#NUM!"/>
    <e v="#VALUE!"/>
    <e v="#VALUE!"/>
    <s v=""/>
    <s v=""/>
    <s v=""/>
    <n v="0"/>
    <x v="2"/>
    <x v="5"/>
    <x v="1"/>
    <x v="1"/>
    <n v="297.3"/>
  </r>
  <r>
    <d v="2019-03-01T00:00:00"/>
    <x v="111"/>
    <x v="3"/>
    <x v="10"/>
    <s v="Compteur 2"/>
    <s v="Compteur_2"/>
    <x v="1"/>
    <d v="1899-12-30T00:00:00"/>
    <e v="#NUM!"/>
    <n v="1"/>
    <e v="#VALUE!"/>
    <e v="#NUM!"/>
    <e v="#VALUE!"/>
    <s v=""/>
    <e v="#VALUE!"/>
    <e v="#NUM!"/>
    <e v="#VALUE!"/>
    <e v="#VALUE!"/>
    <s v=""/>
    <s v=""/>
    <s v=""/>
    <n v="0"/>
    <x v="2"/>
    <x v="5"/>
    <x v="1"/>
    <x v="1"/>
    <n v="260.39999999999998"/>
  </r>
  <r>
    <d v="2019-04-01T00:00:00"/>
    <x v="112"/>
    <x v="4"/>
    <x v="10"/>
    <s v="Compteur 2"/>
    <s v="Compteur_2"/>
    <x v="1"/>
    <d v="1899-12-30T00:00:00"/>
    <e v="#NUM!"/>
    <n v="1"/>
    <e v="#VALUE!"/>
    <e v="#NUM!"/>
    <e v="#VALUE!"/>
    <s v=""/>
    <e v="#VALUE!"/>
    <e v="#NUM!"/>
    <e v="#VALUE!"/>
    <e v="#VALUE!"/>
    <s v=""/>
    <s v=""/>
    <s v=""/>
    <n v="0"/>
    <x v="2"/>
    <x v="5"/>
    <x v="1"/>
    <x v="1"/>
    <n v="201.4"/>
  </r>
  <r>
    <d v="2019-05-01T00:00:00"/>
    <x v="113"/>
    <x v="5"/>
    <x v="10"/>
    <s v="Compteur 2"/>
    <s v="Compteur_2"/>
    <x v="1"/>
    <d v="1899-12-30T00:00:00"/>
    <e v="#NUM!"/>
    <n v="1"/>
    <e v="#VALUE!"/>
    <e v="#NUM!"/>
    <e v="#VALUE!"/>
    <s v=""/>
    <e v="#VALUE!"/>
    <e v="#NUM!"/>
    <e v="#VALUE!"/>
    <e v="#VALUE!"/>
    <s v=""/>
    <s v=""/>
    <s v=""/>
    <n v="0"/>
    <x v="2"/>
    <x v="5"/>
    <x v="1"/>
    <x v="1"/>
    <n v="147.9"/>
  </r>
  <r>
    <d v="2019-06-01T00:00:00"/>
    <x v="114"/>
    <x v="6"/>
    <x v="10"/>
    <s v="Compteur 2"/>
    <s v="Compteur_2"/>
    <x v="1"/>
    <d v="1899-12-30T00:00:00"/>
    <e v="#NUM!"/>
    <n v="1"/>
    <e v="#VALUE!"/>
    <e v="#NUM!"/>
    <e v="#VALUE!"/>
    <s v=""/>
    <e v="#VALUE!"/>
    <e v="#NUM!"/>
    <e v="#VALUE!"/>
    <e v="#VALUE!"/>
    <s v=""/>
    <s v=""/>
    <s v=""/>
    <n v="0"/>
    <x v="2"/>
    <x v="5"/>
    <x v="1"/>
    <x v="1"/>
    <n v="54.1"/>
  </r>
  <r>
    <d v="2019-07-01T00:00:00"/>
    <x v="115"/>
    <x v="7"/>
    <x v="10"/>
    <s v="Compteur 2"/>
    <s v="Compteur_2"/>
    <x v="1"/>
    <d v="1899-12-30T00:00:00"/>
    <e v="#NUM!"/>
    <n v="1"/>
    <e v="#VALUE!"/>
    <e v="#NUM!"/>
    <e v="#VALUE!"/>
    <s v=""/>
    <e v="#VALUE!"/>
    <e v="#NUM!"/>
    <e v="#VALUE!"/>
    <e v="#VALUE!"/>
    <s v=""/>
    <s v=""/>
    <s v=""/>
    <n v="0"/>
    <x v="2"/>
    <x v="5"/>
    <x v="1"/>
    <x v="1"/>
    <n v="15.5"/>
  </r>
  <r>
    <d v="2019-08-01T00:00:00"/>
    <x v="116"/>
    <x v="8"/>
    <x v="10"/>
    <s v="Compteur 2"/>
    <s v="Compteur_2"/>
    <x v="1"/>
    <d v="1899-12-30T00:00:00"/>
    <e v="#NUM!"/>
    <n v="1"/>
    <e v="#VALUE!"/>
    <e v="#NUM!"/>
    <e v="#VALUE!"/>
    <s v=""/>
    <e v="#VALUE!"/>
    <e v="#NUM!"/>
    <e v="#VALUE!"/>
    <e v="#VALUE!"/>
    <s v=""/>
    <s v=""/>
    <s v=""/>
    <n v="0"/>
    <x v="2"/>
    <x v="5"/>
    <x v="1"/>
    <x v="1"/>
    <n v="30.2"/>
  </r>
  <r>
    <d v="2019-09-01T00:00:00"/>
    <x v="117"/>
    <x v="9"/>
    <x v="10"/>
    <s v="Compteur 2"/>
    <s v="Compteur_2"/>
    <x v="1"/>
    <d v="1899-12-30T00:00:00"/>
    <e v="#NUM!"/>
    <n v="1"/>
    <e v="#VALUE!"/>
    <e v="#NUM!"/>
    <e v="#VALUE!"/>
    <s v=""/>
    <e v="#VALUE!"/>
    <e v="#NUM!"/>
    <e v="#VALUE!"/>
    <e v="#VALUE!"/>
    <s v=""/>
    <s v=""/>
    <s v=""/>
    <n v="0"/>
    <x v="2"/>
    <x v="5"/>
    <x v="1"/>
    <x v="1"/>
    <n v="64.7"/>
  </r>
  <r>
    <d v="2019-10-01T00:00:00"/>
    <x v="118"/>
    <x v="10"/>
    <x v="10"/>
    <s v="Compteur 2"/>
    <s v="Compteur_2"/>
    <x v="1"/>
    <d v="1899-12-30T00:00:00"/>
    <e v="#NUM!"/>
    <n v="1"/>
    <e v="#VALUE!"/>
    <e v="#NUM!"/>
    <e v="#VALUE!"/>
    <s v=""/>
    <e v="#VALUE!"/>
    <e v="#NUM!"/>
    <e v="#VALUE!"/>
    <e v="#VALUE!"/>
    <s v=""/>
    <s v=""/>
    <s v=""/>
    <n v="0"/>
    <x v="2"/>
    <x v="5"/>
    <x v="1"/>
    <x v="1"/>
    <n v="128.80000000000001"/>
  </r>
  <r>
    <d v="2019-11-01T00:00:00"/>
    <x v="119"/>
    <x v="11"/>
    <x v="10"/>
    <s v="Compteur 2"/>
    <s v="Compteur_2"/>
    <x v="1"/>
    <d v="1899-12-30T00:00:00"/>
    <e v="#NUM!"/>
    <n v="1"/>
    <e v="#VALUE!"/>
    <e v="#NUM!"/>
    <e v="#VALUE!"/>
    <s v=""/>
    <e v="#VALUE!"/>
    <e v="#NUM!"/>
    <e v="#VALUE!"/>
    <e v="#VALUE!"/>
    <s v=""/>
    <s v=""/>
    <s v=""/>
    <n v="0"/>
    <x v="2"/>
    <x v="5"/>
    <x v="1"/>
    <x v="1"/>
    <n v="293.10000000000002"/>
  </r>
  <r>
    <d v="2019-12-01T00:00:00"/>
    <x v="120"/>
    <x v="12"/>
    <x v="10"/>
    <s v="Compteur 2"/>
    <s v="Compteur_2"/>
    <x v="1"/>
    <d v="1899-12-30T00:00:00"/>
    <e v="#NUM!"/>
    <n v="1"/>
    <e v="#VALUE!"/>
    <e v="#NUM!"/>
    <e v="#VALUE!"/>
    <s v=""/>
    <e v="#VALUE!"/>
    <e v="#NUM!"/>
    <e v="#VALUE!"/>
    <e v="#VALUE!"/>
    <s v=""/>
    <s v=""/>
    <s v=""/>
    <n v="0"/>
    <x v="2"/>
    <x v="5"/>
    <x v="1"/>
    <x v="1"/>
    <n v="323"/>
  </r>
  <r>
    <d v="2020-01-01T00:00:00"/>
    <x v="121"/>
    <x v="1"/>
    <x v="11"/>
    <s v="Compteur 2"/>
    <s v="Compteur_2"/>
    <x v="1"/>
    <d v="1899-12-30T00:00:00"/>
    <e v="#NUM!"/>
    <n v="1"/>
    <e v="#VALUE!"/>
    <e v="#NUM!"/>
    <e v="#VALUE!"/>
    <s v=""/>
    <e v="#VALUE!"/>
    <e v="#NUM!"/>
    <e v="#VALUE!"/>
    <e v="#VALUE!"/>
    <s v=""/>
    <s v=""/>
    <s v=""/>
    <n v="0"/>
    <x v="2"/>
    <x v="5"/>
    <x v="1"/>
    <x v="1"/>
    <n v="331.5"/>
  </r>
  <r>
    <d v="2020-02-01T00:00:00"/>
    <x v="122"/>
    <x v="2"/>
    <x v="11"/>
    <s v="Compteur 2"/>
    <s v="Compteur_2"/>
    <x v="1"/>
    <d v="1899-12-30T00:00:00"/>
    <e v="#NUM!"/>
    <n v="1"/>
    <e v="#VALUE!"/>
    <e v="#NUM!"/>
    <e v="#VALUE!"/>
    <s v=""/>
    <e v="#VALUE!"/>
    <e v="#NUM!"/>
    <e v="#VALUE!"/>
    <e v="#VALUE!"/>
    <s v=""/>
    <s v=""/>
    <s v=""/>
    <n v="0"/>
    <x v="2"/>
    <x v="5"/>
    <x v="1"/>
    <x v="1"/>
    <n v="251.6"/>
  </r>
  <r>
    <d v="2020-03-01T00:00:00"/>
    <x v="123"/>
    <x v="3"/>
    <x v="11"/>
    <s v="Compteur 2"/>
    <s v="Compteur_2"/>
    <x v="1"/>
    <d v="1899-12-30T00:00:00"/>
    <e v="#NUM!"/>
    <n v="1"/>
    <e v="#VALUE!"/>
    <e v="#NUM!"/>
    <e v="#VALUE!"/>
    <s v=""/>
    <e v="#VALUE!"/>
    <e v="#NUM!"/>
    <e v="#VALUE!"/>
    <e v="#VALUE!"/>
    <s v=""/>
    <s v=""/>
    <s v=""/>
    <n v="0"/>
    <x v="2"/>
    <x v="5"/>
    <x v="1"/>
    <x v="1"/>
    <n v="272.60000000000002"/>
  </r>
  <r>
    <d v="2020-04-01T00:00:00"/>
    <x v="124"/>
    <x v="4"/>
    <x v="11"/>
    <s v="Compteur 2"/>
    <s v="Compteur_2"/>
    <x v="1"/>
    <d v="1899-12-30T00:00:00"/>
    <e v="#NUM!"/>
    <n v="1"/>
    <e v="#VALUE!"/>
    <e v="#NUM!"/>
    <e v="#VALUE!"/>
    <s v=""/>
    <e v="#VALUE!"/>
    <e v="#NUM!"/>
    <e v="#VALUE!"/>
    <e v="#VALUE!"/>
    <s v=""/>
    <s v=""/>
    <s v=""/>
    <n v="0"/>
    <x v="2"/>
    <x v="5"/>
    <x v="1"/>
    <x v="1"/>
    <n v="126.3"/>
  </r>
  <r>
    <d v="2020-05-01T00:00:00"/>
    <x v="125"/>
    <x v="5"/>
    <x v="11"/>
    <s v="Compteur 2"/>
    <s v="Compteur_2"/>
    <x v="1"/>
    <d v="1899-12-30T00:00:00"/>
    <e v="#NUM!"/>
    <n v="1"/>
    <e v="#VALUE!"/>
    <e v="#NUM!"/>
    <e v="#VALUE!"/>
    <s v=""/>
    <e v="#VALUE!"/>
    <e v="#NUM!"/>
    <e v="#VALUE!"/>
    <e v="#VALUE!"/>
    <s v=""/>
    <s v=""/>
    <s v=""/>
    <n v="0"/>
    <x v="2"/>
    <x v="5"/>
    <x v="1"/>
    <x v="1"/>
    <n v="91.8"/>
  </r>
  <r>
    <d v="2020-06-01T00:00:00"/>
    <x v="126"/>
    <x v="6"/>
    <x v="11"/>
    <s v="Compteur 2"/>
    <s v="Compteur_2"/>
    <x v="1"/>
    <d v="1899-12-30T00:00:00"/>
    <e v="#NUM!"/>
    <n v="1"/>
    <e v="#VALUE!"/>
    <e v="#NUM!"/>
    <e v="#VALUE!"/>
    <s v=""/>
    <e v="#VALUE!"/>
    <e v="#NUM!"/>
    <e v="#VALUE!"/>
    <e v="#VALUE!"/>
    <s v=""/>
    <s v=""/>
    <s v=""/>
    <n v="0"/>
    <x v="2"/>
    <x v="5"/>
    <x v="1"/>
    <x v="1"/>
    <n v="55.6"/>
  </r>
  <r>
    <d v="2020-07-01T00:00:00"/>
    <x v="127"/>
    <x v="7"/>
    <x v="11"/>
    <s v="Compteur 2"/>
    <s v="Compteur_2"/>
    <x v="1"/>
    <d v="1899-12-30T00:00:00"/>
    <e v="#NUM!"/>
    <n v="1"/>
    <e v="#VALUE!"/>
    <e v="#NUM!"/>
    <e v="#VALUE!"/>
    <s v=""/>
    <e v="#VALUE!"/>
    <e v="#NUM!"/>
    <e v="#VALUE!"/>
    <e v="#VALUE!"/>
    <s v=""/>
    <s v=""/>
    <s v=""/>
    <n v="0"/>
    <x v="2"/>
    <x v="5"/>
    <x v="1"/>
    <x v="1"/>
    <n v="32.299999999999997"/>
  </r>
  <r>
    <d v="2020-08-01T00:00:00"/>
    <x v="128"/>
    <x v="8"/>
    <x v="11"/>
    <s v="Compteur 2"/>
    <s v="Compteur_2"/>
    <x v="1"/>
    <d v="1899-12-30T00:00:00"/>
    <e v="#NUM!"/>
    <n v="1"/>
    <e v="#VALUE!"/>
    <e v="#NUM!"/>
    <e v="#VALUE!"/>
    <s v=""/>
    <e v="#VALUE!"/>
    <e v="#NUM!"/>
    <e v="#VALUE!"/>
    <e v="#VALUE!"/>
    <s v=""/>
    <s v=""/>
    <s v=""/>
    <n v="0"/>
    <x v="2"/>
    <x v="5"/>
    <x v="1"/>
    <x v="1"/>
    <n v="27.8"/>
  </r>
  <r>
    <d v="2020-09-01T00:00:00"/>
    <x v="129"/>
    <x v="9"/>
    <x v="11"/>
    <s v="Compteur 2"/>
    <s v="Compteur_2"/>
    <x v="1"/>
    <d v="1899-12-30T00:00:00"/>
    <e v="#NUM!"/>
    <n v="1"/>
    <e v="#VALUE!"/>
    <e v="#NUM!"/>
    <e v="#VALUE!"/>
    <s v=""/>
    <e v="#VALUE!"/>
    <e v="#NUM!"/>
    <e v="#VALUE!"/>
    <e v="#VALUE!"/>
    <s v=""/>
    <s v=""/>
    <s v=""/>
    <n v="0"/>
    <x v="2"/>
    <x v="5"/>
    <x v="1"/>
    <x v="1"/>
    <n v="56.6"/>
  </r>
  <r>
    <d v="2020-10-01T00:00:00"/>
    <x v="130"/>
    <x v="10"/>
    <x v="11"/>
    <s v="Compteur 2"/>
    <s v="Compteur_2"/>
    <x v="1"/>
    <d v="1899-12-30T00:00:00"/>
    <e v="#NUM!"/>
    <n v="1"/>
    <e v="#VALUE!"/>
    <e v="#NUM!"/>
    <e v="#VALUE!"/>
    <s v=""/>
    <e v="#VALUE!"/>
    <e v="#NUM!"/>
    <e v="#VALUE!"/>
    <e v="#VALUE!"/>
    <s v=""/>
    <s v=""/>
    <s v=""/>
    <n v="0"/>
    <x v="2"/>
    <x v="5"/>
    <x v="1"/>
    <x v="1"/>
    <n v="159.30000000000001"/>
  </r>
  <r>
    <d v="2020-11-01T00:00:00"/>
    <x v="131"/>
    <x v="11"/>
    <x v="11"/>
    <s v="Compteur 2"/>
    <s v="Compteur_2"/>
    <x v="1"/>
    <d v="1899-12-30T00:00:00"/>
    <e v="#NUM!"/>
    <n v="1"/>
    <e v="#VALUE!"/>
    <e v="#NUM!"/>
    <e v="#VALUE!"/>
    <s v=""/>
    <e v="#VALUE!"/>
    <e v="#NUM!"/>
    <e v="#VALUE!"/>
    <e v="#VALUE!"/>
    <s v=""/>
    <s v=""/>
    <s v=""/>
    <n v="0"/>
    <x v="2"/>
    <x v="5"/>
    <x v="1"/>
    <x v="1"/>
    <n v="237.3"/>
  </r>
  <r>
    <d v="2020-12-01T00:00:00"/>
    <x v="132"/>
    <x v="12"/>
    <x v="11"/>
    <s v="Compteur 2"/>
    <s v="Compteur_2"/>
    <x v="1"/>
    <d v="1899-12-30T00:00:00"/>
    <e v="#NUM!"/>
    <n v="1"/>
    <e v="#VALUE!"/>
    <e v="#NUM!"/>
    <e v="#VALUE!"/>
    <s v=""/>
    <e v="#VALUE!"/>
    <e v="#NUM!"/>
    <e v="#VALUE!"/>
    <e v="#VALUE!"/>
    <s v=""/>
    <s v=""/>
    <s v=""/>
    <n v="0"/>
    <x v="2"/>
    <x v="5"/>
    <x v="1"/>
    <x v="1"/>
    <n v="334.4"/>
  </r>
  <r>
    <d v="2021-01-01T00:00:00"/>
    <x v="133"/>
    <x v="1"/>
    <x v="12"/>
    <s v="Compteur 2"/>
    <s v="Compteur_2"/>
    <x v="1"/>
    <d v="1899-12-30T00:00:00"/>
    <e v="#NUM!"/>
    <n v="1"/>
    <e v="#VALUE!"/>
    <e v="#NUM!"/>
    <e v="#VALUE!"/>
    <s v=""/>
    <e v="#VALUE!"/>
    <e v="#NUM!"/>
    <e v="#VALUE!"/>
    <e v="#VALUE!"/>
    <s v=""/>
    <s v=""/>
    <s v=""/>
    <n v="0"/>
    <x v="2"/>
    <x v="5"/>
    <x v="1"/>
    <x v="1"/>
    <n v="380.1"/>
  </r>
  <r>
    <d v="2021-02-01T00:00:00"/>
    <x v="134"/>
    <x v="2"/>
    <x v="12"/>
    <s v="Compteur 2"/>
    <s v="Compteur_2"/>
    <x v="1"/>
    <d v="1899-12-30T00:00:00"/>
    <e v="#NUM!"/>
    <n v="1"/>
    <e v="#VALUE!"/>
    <e v="#NUM!"/>
    <e v="#VALUE!"/>
    <s v=""/>
    <e v="#VALUE!"/>
    <e v="#NUM!"/>
    <e v="#VALUE!"/>
    <e v="#VALUE!"/>
    <s v=""/>
    <s v=""/>
    <s v=""/>
    <n v="0"/>
    <x v="2"/>
    <x v="5"/>
    <x v="1"/>
    <x v="1"/>
    <n v="299.5"/>
  </r>
  <r>
    <d v="2021-03-01T00:00:00"/>
    <x v="135"/>
    <x v="3"/>
    <x v="12"/>
    <s v="Compteur 2"/>
    <s v="Compteur_2"/>
    <x v="1"/>
    <d v="1899-12-30T00:00:00"/>
    <e v="#NUM!"/>
    <n v="1"/>
    <e v="#VALUE!"/>
    <e v="#NUM!"/>
    <e v="#VALUE!"/>
    <s v=""/>
    <e v="#VALUE!"/>
    <e v="#NUM!"/>
    <e v="#VALUE!"/>
    <e v="#VALUE!"/>
    <s v=""/>
    <s v=""/>
    <s v=""/>
    <n v="0"/>
    <x v="2"/>
    <x v="5"/>
    <x v="1"/>
    <x v="1"/>
    <n v="303.89999999999998"/>
  </r>
  <r>
    <d v="2021-04-01T00:00:00"/>
    <x v="136"/>
    <x v="4"/>
    <x v="12"/>
    <s v="Compteur 2"/>
    <s v="Compteur_2"/>
    <x v="1"/>
    <d v="1899-12-30T00:00:00"/>
    <e v="#NUM!"/>
    <n v="1"/>
    <e v="#VALUE!"/>
    <e v="#NUM!"/>
    <e v="#VALUE!"/>
    <s v=""/>
    <e v="#VALUE!"/>
    <e v="#NUM!"/>
    <e v="#VALUE!"/>
    <e v="#VALUE!"/>
    <s v=""/>
    <s v=""/>
    <s v=""/>
    <n v="0"/>
    <x v="2"/>
    <x v="5"/>
    <x v="1"/>
    <x v="1"/>
    <n v="242.8"/>
  </r>
  <r>
    <d v="2021-05-01T00:00:00"/>
    <x v="137"/>
    <x v="5"/>
    <x v="12"/>
    <s v="Compteur 2"/>
    <s v="Compteur_2"/>
    <x v="1"/>
    <d v="1899-12-30T00:00:00"/>
    <e v="#NUM!"/>
    <n v="1"/>
    <e v="#VALUE!"/>
    <e v="#NUM!"/>
    <e v="#VALUE!"/>
    <s v=""/>
    <e v="#VALUE!"/>
    <e v="#NUM!"/>
    <e v="#VALUE!"/>
    <e v="#VALUE!"/>
    <s v=""/>
    <s v=""/>
    <s v=""/>
    <n v="0"/>
    <x v="2"/>
    <x v="5"/>
    <x v="1"/>
    <x v="1"/>
    <n v="159.4"/>
  </r>
  <r>
    <d v="2021-06-01T00:00:00"/>
    <x v="138"/>
    <x v="6"/>
    <x v="12"/>
    <s v="Compteur 2"/>
    <s v="Compteur_2"/>
    <x v="1"/>
    <d v="1899-12-30T00:00:00"/>
    <e v="#NUM!"/>
    <n v="1"/>
    <e v="#VALUE!"/>
    <e v="#NUM!"/>
    <e v="#VALUE!"/>
    <s v=""/>
    <e v="#VALUE!"/>
    <e v="#NUM!"/>
    <e v="#VALUE!"/>
    <e v="#VALUE!"/>
    <s v=""/>
    <s v=""/>
    <s v=""/>
    <n v="0"/>
    <x v="2"/>
    <x v="5"/>
    <x v="1"/>
    <x v="1"/>
    <n v="29.9"/>
  </r>
  <r>
    <d v="2021-07-01T00:00:00"/>
    <x v="139"/>
    <x v="7"/>
    <x v="12"/>
    <s v="Compteur 2"/>
    <s v="Compteur_2"/>
    <x v="1"/>
    <d v="1899-12-30T00:00:00"/>
    <e v="#NUM!"/>
    <n v="1"/>
    <e v="#VALUE!"/>
    <e v="#NUM!"/>
    <e v="#VALUE!"/>
    <s v=""/>
    <e v="#VALUE!"/>
    <e v="#NUM!"/>
    <e v="#VALUE!"/>
    <e v="#VALUE!"/>
    <s v=""/>
    <s v=""/>
    <s v=""/>
    <n v="0"/>
    <x v="2"/>
    <x v="5"/>
    <x v="1"/>
    <x v="1"/>
    <n v="22.4"/>
  </r>
  <r>
    <d v="2021-08-01T00:00:00"/>
    <x v="140"/>
    <x v="8"/>
    <x v="12"/>
    <s v="Compteur 2"/>
    <s v="Compteur_2"/>
    <x v="1"/>
    <d v="1899-12-30T00:00:00"/>
    <e v="#NUM!"/>
    <n v="1"/>
    <e v="#VALUE!"/>
    <e v="#NUM!"/>
    <e v="#VALUE!"/>
    <s v=""/>
    <e v="#VALUE!"/>
    <e v="#NUM!"/>
    <e v="#VALUE!"/>
    <e v="#VALUE!"/>
    <s v=""/>
    <s v=""/>
    <s v=""/>
    <n v="0"/>
    <x v="2"/>
    <x v="5"/>
    <x v="1"/>
    <x v="1"/>
    <n v="35.9"/>
  </r>
  <r>
    <d v="2021-09-01T00:00:00"/>
    <x v="141"/>
    <x v="9"/>
    <x v="12"/>
    <s v="Compteur 2"/>
    <s v="Compteur_2"/>
    <x v="1"/>
    <d v="1899-12-30T00:00:00"/>
    <e v="#NUM!"/>
    <n v="1"/>
    <e v="#VALUE!"/>
    <e v="#NUM!"/>
    <e v="#VALUE!"/>
    <s v=""/>
    <e v="#VALUE!"/>
    <e v="#NUM!"/>
    <e v="#VALUE!"/>
    <e v="#VALUE!"/>
    <s v=""/>
    <s v=""/>
    <s v=""/>
    <n v="0"/>
    <x v="2"/>
    <x v="5"/>
    <x v="1"/>
    <x v="1"/>
    <n v="47.8"/>
  </r>
  <r>
    <d v="2021-10-01T00:00:00"/>
    <x v="142"/>
    <x v="10"/>
    <x v="12"/>
    <s v="Compteur 2"/>
    <s v="Compteur_2"/>
    <x v="1"/>
    <d v="1899-12-30T00:00:00"/>
    <e v="#NUM!"/>
    <n v="1"/>
    <e v="#VALUE!"/>
    <e v="#NUM!"/>
    <e v="#VALUE!"/>
    <s v=""/>
    <e v="#VALUE!"/>
    <e v="#NUM!"/>
    <e v="#VALUE!"/>
    <e v="#VALUE!"/>
    <s v=""/>
    <s v=""/>
    <s v=""/>
    <n v="0"/>
    <x v="2"/>
    <x v="5"/>
    <x v="1"/>
    <x v="1"/>
    <n v="170.5"/>
  </r>
  <r>
    <d v="2021-11-01T00:00:00"/>
    <x v="143"/>
    <x v="11"/>
    <x v="12"/>
    <s v="Compteur 2"/>
    <s v="Compteur_2"/>
    <x v="1"/>
    <d v="1899-12-30T00:00:00"/>
    <e v="#NUM!"/>
    <n v="1"/>
    <e v="#VALUE!"/>
    <e v="#NUM!"/>
    <e v="#VALUE!"/>
    <s v=""/>
    <e v="#VALUE!"/>
    <e v="#NUM!"/>
    <e v="#VALUE!"/>
    <e v="#VALUE!"/>
    <s v=""/>
    <s v=""/>
    <s v=""/>
    <n v="0"/>
    <x v="2"/>
    <x v="5"/>
    <x v="1"/>
    <x v="1"/>
    <n v="326.8"/>
  </r>
  <r>
    <d v="2021-12-01T00:00:00"/>
    <x v="144"/>
    <x v="12"/>
    <x v="12"/>
    <s v="Compteur 2"/>
    <s v="Compteur_2"/>
    <x v="1"/>
    <d v="1899-12-30T00:00:00"/>
    <e v="#NUM!"/>
    <n v="1"/>
    <e v="#VALUE!"/>
    <e v="#NUM!"/>
    <e v="#VALUE!"/>
    <s v=""/>
    <e v="#VALUE!"/>
    <e v="#NUM!"/>
    <e v="#VALUE!"/>
    <e v="#VALUE!"/>
    <s v=""/>
    <s v=""/>
    <s v=""/>
    <n v="0"/>
    <x v="2"/>
    <x v="5"/>
    <x v="1"/>
    <x v="1"/>
    <n v="336.7"/>
  </r>
  <r>
    <d v="2022-01-01T00:00:00"/>
    <x v="145"/>
    <x v="1"/>
    <x v="13"/>
    <s v="Compteur 2"/>
    <s v="Compteur_2"/>
    <x v="1"/>
    <d v="1899-12-30T00:00:00"/>
    <e v="#NUM!"/>
    <n v="1"/>
    <e v="#VALUE!"/>
    <e v="#NUM!"/>
    <e v="#VALUE!"/>
    <s v=""/>
    <e v="#VALUE!"/>
    <e v="#NUM!"/>
    <e v="#VALUE!"/>
    <e v="#VALUE!"/>
    <s v=""/>
    <s v=""/>
    <s v=""/>
    <n v="0"/>
    <x v="2"/>
    <x v="5"/>
    <x v="1"/>
    <x v="1"/>
    <n v="396.3"/>
  </r>
  <r>
    <d v="2022-02-01T00:00:00"/>
    <x v="146"/>
    <x v="2"/>
    <x v="13"/>
    <s v="Compteur 2"/>
    <s v="Compteur_2"/>
    <x v="1"/>
    <d v="1899-12-30T00:00:00"/>
    <e v="#NUM!"/>
    <n v="1"/>
    <e v="#VALUE!"/>
    <e v="#NUM!"/>
    <e v="#VALUE!"/>
    <s v=""/>
    <e v="#VALUE!"/>
    <e v="#NUM!"/>
    <e v="#VALUE!"/>
    <e v="#VALUE!"/>
    <s v=""/>
    <s v=""/>
    <s v=""/>
    <n v="0"/>
    <x v="2"/>
    <x v="5"/>
    <x v="1"/>
    <x v="1"/>
    <n v="286.10000000000002"/>
  </r>
  <r>
    <d v="2022-03-01T00:00:00"/>
    <x v="147"/>
    <x v="3"/>
    <x v="13"/>
    <s v="Compteur 2"/>
    <s v="Compteur_2"/>
    <x v="1"/>
    <d v="1899-12-30T00:00:00"/>
    <e v="#NUM!"/>
    <n v="1"/>
    <e v="#VALUE!"/>
    <e v="#NUM!"/>
    <e v="#VALUE!"/>
    <s v=""/>
    <e v="#VALUE!"/>
    <e v="#NUM!"/>
    <e v="#VALUE!"/>
    <e v="#VALUE!"/>
    <s v=""/>
    <s v=""/>
    <s v=""/>
    <n v="0"/>
    <x v="2"/>
    <x v="5"/>
    <x v="1"/>
    <x v="1"/>
    <n v="239.8"/>
  </r>
  <r>
    <d v="2022-04-01T00:00:00"/>
    <x v="148"/>
    <x v="4"/>
    <x v="13"/>
    <s v="Compteur 2"/>
    <s v="Compteur_2"/>
    <x v="1"/>
    <d v="1899-12-30T00:00:00"/>
    <e v="#NUM!"/>
    <n v="1"/>
    <e v="#VALUE!"/>
    <e v="#NUM!"/>
    <e v="#VALUE!"/>
    <s v=""/>
    <e v="#VALUE!"/>
    <e v="#NUM!"/>
    <e v="#VALUE!"/>
    <e v="#VALUE!"/>
    <s v=""/>
    <s v=""/>
    <s v=""/>
    <n v="0"/>
    <x v="2"/>
    <x v="5"/>
    <x v="1"/>
    <x v="1"/>
    <n v="192.3"/>
  </r>
  <r>
    <d v="2022-05-01T00:00:00"/>
    <x v="149"/>
    <x v="5"/>
    <x v="13"/>
    <s v="Compteur 2"/>
    <s v="Compteur_2"/>
    <x v="1"/>
    <d v="1899-12-30T00:00:00"/>
    <e v="#NUM!"/>
    <n v="1"/>
    <e v="#VALUE!"/>
    <e v="#NUM!"/>
    <e v="#VALUE!"/>
    <s v=""/>
    <e v="#VALUE!"/>
    <e v="#NUM!"/>
    <e v="#VALUE!"/>
    <e v="#VALUE!"/>
    <s v=""/>
    <s v=""/>
    <s v=""/>
    <n v="0"/>
    <x v="2"/>
    <x v="5"/>
    <x v="1"/>
    <x v="1"/>
    <n v="81.8"/>
  </r>
  <r>
    <d v="2022-06-01T00:00:00"/>
    <x v="150"/>
    <x v="6"/>
    <x v="13"/>
    <s v="Compteur 2"/>
    <s v="Compteur_2"/>
    <x v="1"/>
    <d v="1899-12-30T00:00:00"/>
    <e v="#NUM!"/>
    <n v="1"/>
    <e v="#VALUE!"/>
    <e v="#NUM!"/>
    <e v="#VALUE!"/>
    <s v=""/>
    <e v="#VALUE!"/>
    <e v="#NUM!"/>
    <e v="#VALUE!"/>
    <e v="#VALUE!"/>
    <s v=""/>
    <s v=""/>
    <s v=""/>
    <n v="0"/>
    <x v="2"/>
    <x v="5"/>
    <x v="1"/>
    <x v="1"/>
    <n v="35.5"/>
  </r>
  <r>
    <d v="2022-07-01T00:00:00"/>
    <x v="151"/>
    <x v="7"/>
    <x v="13"/>
    <s v="Compteur 2"/>
    <s v="Compteur_2"/>
    <x v="1"/>
    <d v="1899-12-30T00:00:00"/>
    <e v="#NUM!"/>
    <n v="1"/>
    <e v="#VALUE!"/>
    <e v="#NUM!"/>
    <e v="#VALUE!"/>
    <s v=""/>
    <e v="#VALUE!"/>
    <e v="#NUM!"/>
    <e v="#VALUE!"/>
    <e v="#VALUE!"/>
    <s v=""/>
    <s v=""/>
    <s v=""/>
    <n v="0"/>
    <x v="2"/>
    <x v="5"/>
    <x v="1"/>
    <x v="1"/>
    <n v="18.8"/>
  </r>
  <r>
    <d v="2022-08-01T00:00:00"/>
    <x v="152"/>
    <x v="8"/>
    <x v="13"/>
    <s v="Compteur 2"/>
    <s v="Compteur_2"/>
    <x v="1"/>
    <d v="1899-12-30T00:00:00"/>
    <e v="#NUM!"/>
    <n v="1"/>
    <e v="#VALUE!"/>
    <e v="#NUM!"/>
    <e v="#VALUE!"/>
    <s v=""/>
    <e v="#VALUE!"/>
    <e v="#NUM!"/>
    <e v="#VALUE!"/>
    <e v="#VALUE!"/>
    <s v=""/>
    <s v=""/>
    <s v=""/>
    <n v="0"/>
    <x v="2"/>
    <x v="5"/>
    <x v="1"/>
    <x v="1"/>
    <n v="10.7"/>
  </r>
  <r>
    <d v="2022-09-01T00:00:00"/>
    <x v="153"/>
    <x v="9"/>
    <x v="13"/>
    <s v="Compteur 2"/>
    <s v="Compteur_2"/>
    <x v="1"/>
    <d v="1899-12-30T00:00:00"/>
    <e v="#NUM!"/>
    <n v="1"/>
    <e v="#VALUE!"/>
    <e v="#NUM!"/>
    <e v="#VALUE!"/>
    <s v=""/>
    <e v="#VALUE!"/>
    <e v="#NUM!"/>
    <e v="#VALUE!"/>
    <e v="#VALUE!"/>
    <s v=""/>
    <s v=""/>
    <s v=""/>
    <n v="0"/>
    <x v="2"/>
    <x v="5"/>
    <x v="1"/>
    <x v="1"/>
    <n v="74.7"/>
  </r>
  <r>
    <d v="2022-10-01T00:00:00"/>
    <x v="154"/>
    <x v="10"/>
    <x v="13"/>
    <s v="Compteur 2"/>
    <s v="Compteur_2"/>
    <x v="1"/>
    <d v="1899-12-30T00:00:00"/>
    <e v="#NUM!"/>
    <n v="1"/>
    <e v="#VALUE!"/>
    <e v="#NUM!"/>
    <e v="#VALUE!"/>
    <s v=""/>
    <e v="#VALUE!"/>
    <e v="#NUM!"/>
    <e v="#VALUE!"/>
    <e v="#VALUE!"/>
    <s v=""/>
    <s v=""/>
    <s v=""/>
    <n v="0"/>
    <x v="2"/>
    <x v="5"/>
    <x v="1"/>
    <x v="1"/>
    <n v="73"/>
  </r>
  <r>
    <d v="2022-11-01T00:00:00"/>
    <x v="155"/>
    <x v="11"/>
    <x v="13"/>
    <s v="Compteur 2"/>
    <s v="Compteur_2"/>
    <x v="1"/>
    <d v="1899-12-30T00:00:00"/>
    <e v="#NUM!"/>
    <n v="1"/>
    <e v="#VALUE!"/>
    <e v="#NUM!"/>
    <e v="#VALUE!"/>
    <s v=""/>
    <e v="#VALUE!"/>
    <e v="#NUM!"/>
    <e v="#VALUE!"/>
    <e v="#VALUE!"/>
    <s v=""/>
    <s v=""/>
    <s v=""/>
    <n v="0"/>
    <x v="2"/>
    <x v="5"/>
    <x v="1"/>
    <x v="1"/>
    <n v="227.5"/>
  </r>
  <r>
    <d v="2022-12-01T00:00:00"/>
    <x v="156"/>
    <x v="12"/>
    <x v="13"/>
    <s v="Compteur 2"/>
    <s v="Compteur_2"/>
    <x v="1"/>
    <d v="1899-12-30T00:00:00"/>
    <e v="#NUM!"/>
    <n v="1"/>
    <e v="#VALUE!"/>
    <e v="#NUM!"/>
    <e v="#VALUE!"/>
    <s v=""/>
    <e v="#VALUE!"/>
    <e v="#NUM!"/>
    <e v="#VALUE!"/>
    <e v="#VALUE!"/>
    <s v=""/>
    <s v=""/>
    <s v=""/>
    <n v="0"/>
    <x v="2"/>
    <x v="5"/>
    <x v="1"/>
    <x v="1"/>
    <n v="380.8"/>
  </r>
  <r>
    <d v="2023-01-01T00:00:00"/>
    <x v="157"/>
    <x v="1"/>
    <x v="14"/>
    <s v="Compteur 2"/>
    <s v="Compteur_2"/>
    <x v="1"/>
    <d v="1899-12-30T00:00:00"/>
    <e v="#NUM!"/>
    <n v="1"/>
    <e v="#VALUE!"/>
    <e v="#NUM!"/>
    <e v="#VALUE!"/>
    <s v=""/>
    <e v="#VALUE!"/>
    <e v="#NUM!"/>
    <e v="#VALUE!"/>
    <e v="#VALUE!"/>
    <s v=""/>
    <s v=""/>
    <s v=""/>
    <n v="0"/>
    <x v="2"/>
    <x v="5"/>
    <x v="1"/>
    <x v="1"/>
    <n v="356.1"/>
  </r>
  <r>
    <d v="2023-02-01T00:00:00"/>
    <x v="158"/>
    <x v="2"/>
    <x v="14"/>
    <s v="Compteur 2"/>
    <s v="Compteur_2"/>
    <x v="1"/>
    <d v="1899-12-30T00:00:00"/>
    <e v="#NUM!"/>
    <n v="1"/>
    <e v="#VALUE!"/>
    <e v="#NUM!"/>
    <e v="#VALUE!"/>
    <s v=""/>
    <e v="#VALUE!"/>
    <e v="#NUM!"/>
    <e v="#VALUE!"/>
    <e v="#VALUE!"/>
    <s v=""/>
    <s v=""/>
    <s v=""/>
    <n v="0"/>
    <x v="2"/>
    <x v="5"/>
    <x v="1"/>
    <x v="1"/>
    <n v="314.10000000000002"/>
  </r>
  <r>
    <d v="2023-03-01T00:00:00"/>
    <x v="159"/>
    <x v="3"/>
    <x v="14"/>
    <s v="Compteur 2"/>
    <s v="Compteur_2"/>
    <x v="1"/>
    <d v="1899-12-30T00:00:00"/>
    <e v="#NUM!"/>
    <n v="1"/>
    <e v="#VALUE!"/>
    <e v="#NUM!"/>
    <e v="#VALUE!"/>
    <s v=""/>
    <e v="#VALUE!"/>
    <e v="#NUM!"/>
    <e v="#VALUE!"/>
    <e v="#VALUE!"/>
    <s v=""/>
    <s v=""/>
    <s v=""/>
    <n v="0"/>
    <x v="2"/>
    <x v="5"/>
    <x v="1"/>
    <x v="1"/>
    <n v="251.3"/>
  </r>
  <r>
    <d v="2023-04-01T00:00:00"/>
    <x v="160"/>
    <x v="4"/>
    <x v="14"/>
    <s v="Compteur 2"/>
    <s v="Compteur_2"/>
    <x v="1"/>
    <d v="1899-12-30T00:00:00"/>
    <e v="#NUM!"/>
    <n v="1"/>
    <e v="#VALUE!"/>
    <e v="#NUM!"/>
    <e v="#VALUE!"/>
    <s v=""/>
    <e v="#VALUE!"/>
    <e v="#NUM!"/>
    <e v="#VALUE!"/>
    <e v="#VALUE!"/>
    <s v=""/>
    <s v=""/>
    <s v=""/>
    <n v="0"/>
    <x v="2"/>
    <x v="5"/>
    <x v="1"/>
    <x v="1"/>
    <n v="198"/>
  </r>
  <r>
    <d v="2023-05-01T00:00:00"/>
    <x v="161"/>
    <x v="5"/>
    <x v="14"/>
    <s v="Compteur 2"/>
    <s v="Compteur_2"/>
    <x v="1"/>
    <d v="1899-12-30T00:00:00"/>
    <e v="#NUM!"/>
    <n v="1"/>
    <e v="#VALUE!"/>
    <e v="#NUM!"/>
    <e v="#VALUE!"/>
    <s v=""/>
    <e v="#VALUE!"/>
    <e v="#NUM!"/>
    <e v="#VALUE!"/>
    <e v="#VALUE!"/>
    <s v=""/>
    <s v=""/>
    <s v=""/>
    <n v="0"/>
    <x v="2"/>
    <x v="5"/>
    <x v="1"/>
    <x v="1"/>
    <n v="86.4"/>
  </r>
  <r>
    <d v="2023-06-01T00:00:00"/>
    <x v="162"/>
    <x v="6"/>
    <x v="14"/>
    <s v="Compteur 2"/>
    <s v="Compteur_2"/>
    <x v="1"/>
    <d v="1899-12-30T00:00:00"/>
    <e v="#NUM!"/>
    <n v="1"/>
    <e v="#VALUE!"/>
    <e v="#NUM!"/>
    <e v="#VALUE!"/>
    <s v=""/>
    <e v="#VALUE!"/>
    <e v="#NUM!"/>
    <e v="#VALUE!"/>
    <e v="#VALUE!"/>
    <s v=""/>
    <s v=""/>
    <s v=""/>
    <n v="0"/>
    <x v="2"/>
    <x v="5"/>
    <x v="1"/>
    <x v="1"/>
    <n v="17.3"/>
  </r>
  <r>
    <d v="2023-07-01T00:00:00"/>
    <x v="163"/>
    <x v="7"/>
    <x v="14"/>
    <s v="Compteur 2"/>
    <s v="Compteur_2"/>
    <x v="1"/>
    <d v="1899-12-30T00:00:00"/>
    <e v="#NUM!"/>
    <n v="1"/>
    <e v="#VALUE!"/>
    <e v="#NUM!"/>
    <e v="#VALUE!"/>
    <s v=""/>
    <e v="#VALUE!"/>
    <e v="#NUM!"/>
    <e v="#VALUE!"/>
    <e v="#VALUE!"/>
    <s v=""/>
    <s v=""/>
    <s v=""/>
    <n v="0"/>
    <x v="2"/>
    <x v="5"/>
    <x v="1"/>
    <x v="1"/>
    <n v="24.1"/>
  </r>
  <r>
    <d v="2023-08-01T00:00:00"/>
    <x v="164"/>
    <x v="8"/>
    <x v="14"/>
    <s v="Compteur 2"/>
    <s v="Compteur_2"/>
    <x v="1"/>
    <d v="1899-12-30T00:00:00"/>
    <e v="#NUM!"/>
    <n v="1"/>
    <e v="#VALUE!"/>
    <e v="#NUM!"/>
    <e v="#VALUE!"/>
    <s v=""/>
    <e v="#VALUE!"/>
    <e v="#NUM!"/>
    <e v="#VALUE!"/>
    <e v="#VALUE!"/>
    <s v=""/>
    <s v=""/>
    <s v=""/>
    <n v="0"/>
    <x v="2"/>
    <x v="5"/>
    <x v="1"/>
    <x v="1"/>
    <n v="27.9"/>
  </r>
  <r>
    <d v="2023-09-01T00:00:00"/>
    <x v="165"/>
    <x v="9"/>
    <x v="14"/>
    <s v="Compteur 2"/>
    <s v="Compteur_2"/>
    <x v="1"/>
    <d v="1899-12-30T00:00:00"/>
    <e v="#NUM!"/>
    <n v="1"/>
    <e v="#VALUE!"/>
    <e v="#NUM!"/>
    <e v="#VALUE!"/>
    <s v=""/>
    <e v="#VALUE!"/>
    <e v="#NUM!"/>
    <e v="#VALUE!"/>
    <e v="#VALUE!"/>
    <s v=""/>
    <s v=""/>
    <s v=""/>
    <n v="0"/>
    <x v="2"/>
    <x v="5"/>
    <x v="1"/>
    <x v="1"/>
    <n v="30.5"/>
  </r>
  <r>
    <d v="2023-10-01T00:00:00"/>
    <x v="166"/>
    <x v="10"/>
    <x v="14"/>
    <s v="Compteur 2"/>
    <s v="Compteur_2"/>
    <x v="1"/>
    <d v="1899-12-30T00:00:00"/>
    <e v="#NUM!"/>
    <n v="1"/>
    <e v="#VALUE!"/>
    <e v="#NUM!"/>
    <e v="#VALUE!"/>
    <s v=""/>
    <e v="#VALUE!"/>
    <e v="#NUM!"/>
    <e v="#VALUE!"/>
    <e v="#VALUE!"/>
    <s v=""/>
    <s v=""/>
    <s v=""/>
    <n v="0"/>
    <x v="2"/>
    <x v="5"/>
    <x v="1"/>
    <x v="1"/>
    <n v="115.8"/>
  </r>
  <r>
    <d v="2023-11-01T00:00:00"/>
    <x v="167"/>
    <x v="11"/>
    <x v="14"/>
    <s v="Compteur 2"/>
    <s v="Compteur_2"/>
    <x v="1"/>
    <d v="1899-12-30T00:00:00"/>
    <e v="#NUM!"/>
    <n v="1"/>
    <e v="#VALUE!"/>
    <e v="#NUM!"/>
    <e v="#VALUE!"/>
    <s v=""/>
    <e v="#VALUE!"/>
    <e v="#NUM!"/>
    <e v="#VALUE!"/>
    <e v="#VALUE!"/>
    <s v=""/>
    <s v=""/>
    <s v=""/>
    <n v="0"/>
    <x v="2"/>
    <x v="5"/>
    <x v="1"/>
    <x v="1"/>
    <n v="239.8"/>
  </r>
  <r>
    <d v="2023-12-01T00:00:00"/>
    <x v="168"/>
    <x v="12"/>
    <x v="14"/>
    <s v="Compteur 2"/>
    <s v="Compteur_2"/>
    <x v="1"/>
    <d v="1899-12-30T00:00:00"/>
    <e v="#NUM!"/>
    <n v="1"/>
    <e v="#VALUE!"/>
    <e v="#NUM!"/>
    <e v="#VALUE!"/>
    <s v=""/>
    <e v="#VALUE!"/>
    <e v="#NUM!"/>
    <e v="#VALUE!"/>
    <e v="#VALUE!"/>
    <s v=""/>
    <s v=""/>
    <s v=""/>
    <n v="0"/>
    <x v="2"/>
    <x v="5"/>
    <x v="1"/>
    <x v="1"/>
    <n v="300.89999999999998"/>
  </r>
  <r>
    <d v="2024-01-01T00:00:00"/>
    <x v="169"/>
    <x v="1"/>
    <x v="15"/>
    <s v="Compteur 2"/>
    <s v="Compteur_2"/>
    <x v="1"/>
    <d v="1899-12-30T00:00:00"/>
    <e v="#NUM!"/>
    <n v="1"/>
    <e v="#VALUE!"/>
    <e v="#NUM!"/>
    <e v="#VALUE!"/>
    <s v=""/>
    <e v="#VALUE!"/>
    <e v="#NUM!"/>
    <e v="#VALUE!"/>
    <e v="#VALUE!"/>
    <s v=""/>
    <s v=""/>
    <s v=""/>
    <n v="0"/>
    <x v="2"/>
    <x v="5"/>
    <x v="1"/>
    <x v="1"/>
    <n v="0"/>
  </r>
  <r>
    <d v="2024-02-01T00:00:00"/>
    <x v="170"/>
    <x v="2"/>
    <x v="15"/>
    <s v="Compteur 2"/>
    <s v="Compteur_2"/>
    <x v="1"/>
    <d v="1899-12-30T00:00:00"/>
    <e v="#NUM!"/>
    <n v="1"/>
    <e v="#VALUE!"/>
    <e v="#NUM!"/>
    <e v="#VALUE!"/>
    <s v=""/>
    <e v="#VALUE!"/>
    <e v="#NUM!"/>
    <e v="#VALUE!"/>
    <e v="#VALUE!"/>
    <s v=""/>
    <s v=""/>
    <s v=""/>
    <n v="0"/>
    <x v="2"/>
    <x v="5"/>
    <x v="1"/>
    <x v="1"/>
    <n v="0"/>
  </r>
  <r>
    <d v="2024-03-01T00:00:00"/>
    <x v="171"/>
    <x v="3"/>
    <x v="15"/>
    <s v="Compteur 2"/>
    <s v="Compteur_2"/>
    <x v="1"/>
    <d v="1899-12-30T00:00:00"/>
    <e v="#NUM!"/>
    <n v="1"/>
    <e v="#VALUE!"/>
    <e v="#NUM!"/>
    <e v="#VALUE!"/>
    <s v=""/>
    <e v="#VALUE!"/>
    <e v="#NUM!"/>
    <e v="#VALUE!"/>
    <e v="#VALUE!"/>
    <s v=""/>
    <s v=""/>
    <s v=""/>
    <n v="0"/>
    <x v="2"/>
    <x v="5"/>
    <x v="1"/>
    <x v="1"/>
    <n v="0"/>
  </r>
  <r>
    <d v="2024-04-01T00:00:00"/>
    <x v="172"/>
    <x v="4"/>
    <x v="15"/>
    <s v="Compteur 2"/>
    <s v="Compteur_2"/>
    <x v="1"/>
    <d v="1899-12-30T00:00:00"/>
    <e v="#NUM!"/>
    <n v="1"/>
    <e v="#VALUE!"/>
    <e v="#NUM!"/>
    <e v="#VALUE!"/>
    <s v=""/>
    <e v="#VALUE!"/>
    <e v="#NUM!"/>
    <e v="#VALUE!"/>
    <e v="#VALUE!"/>
    <s v=""/>
    <s v=""/>
    <s v=""/>
    <n v="0"/>
    <x v="2"/>
    <x v="5"/>
    <x v="1"/>
    <x v="1"/>
    <n v="0"/>
  </r>
  <r>
    <d v="2024-05-01T00:00:00"/>
    <x v="173"/>
    <x v="5"/>
    <x v="15"/>
    <s v="Compteur 2"/>
    <s v="Compteur_2"/>
    <x v="1"/>
    <d v="1899-12-30T00:00:00"/>
    <e v="#NUM!"/>
    <n v="1"/>
    <e v="#VALUE!"/>
    <e v="#NUM!"/>
    <e v="#VALUE!"/>
    <s v=""/>
    <e v="#VALUE!"/>
    <e v="#NUM!"/>
    <e v="#VALUE!"/>
    <e v="#VALUE!"/>
    <s v=""/>
    <s v=""/>
    <s v=""/>
    <n v="0"/>
    <x v="2"/>
    <x v="5"/>
    <x v="1"/>
    <x v="1"/>
    <n v="0"/>
  </r>
  <r>
    <d v="2024-06-01T00:00:00"/>
    <x v="174"/>
    <x v="6"/>
    <x v="15"/>
    <s v="Compteur 2"/>
    <s v="Compteur_2"/>
    <x v="1"/>
    <d v="1899-12-30T00:00:00"/>
    <e v="#NUM!"/>
    <n v="1"/>
    <e v="#VALUE!"/>
    <e v="#NUM!"/>
    <e v="#VALUE!"/>
    <s v=""/>
    <e v="#VALUE!"/>
    <e v="#NUM!"/>
    <e v="#VALUE!"/>
    <e v="#VALUE!"/>
    <s v=""/>
    <s v=""/>
    <s v=""/>
    <n v="0"/>
    <x v="2"/>
    <x v="5"/>
    <x v="1"/>
    <x v="1"/>
    <n v="0"/>
  </r>
  <r>
    <d v="2024-07-01T00:00:00"/>
    <x v="175"/>
    <x v="7"/>
    <x v="15"/>
    <s v="Compteur 2"/>
    <s v="Compteur_2"/>
    <x v="1"/>
    <d v="1899-12-30T00:00:00"/>
    <e v="#NUM!"/>
    <n v="1"/>
    <e v="#VALUE!"/>
    <e v="#NUM!"/>
    <e v="#VALUE!"/>
    <s v=""/>
    <e v="#VALUE!"/>
    <e v="#NUM!"/>
    <e v="#VALUE!"/>
    <e v="#VALUE!"/>
    <s v=""/>
    <s v=""/>
    <s v=""/>
    <n v="0"/>
    <x v="2"/>
    <x v="5"/>
    <x v="1"/>
    <x v="1"/>
    <n v="0"/>
  </r>
  <r>
    <d v="2024-08-01T00:00:00"/>
    <x v="176"/>
    <x v="8"/>
    <x v="15"/>
    <s v="Compteur 2"/>
    <s v="Compteur_2"/>
    <x v="1"/>
    <d v="1899-12-30T00:00:00"/>
    <e v="#NUM!"/>
    <n v="1"/>
    <e v="#VALUE!"/>
    <e v="#NUM!"/>
    <e v="#VALUE!"/>
    <s v=""/>
    <e v="#VALUE!"/>
    <e v="#NUM!"/>
    <e v="#VALUE!"/>
    <e v="#VALUE!"/>
    <s v=""/>
    <s v=""/>
    <s v=""/>
    <n v="0"/>
    <x v="2"/>
    <x v="5"/>
    <x v="1"/>
    <x v="1"/>
    <n v="0"/>
  </r>
  <r>
    <d v="2024-09-01T00:00:00"/>
    <x v="177"/>
    <x v="9"/>
    <x v="15"/>
    <s v="Compteur 2"/>
    <s v="Compteur_2"/>
    <x v="1"/>
    <d v="1899-12-30T00:00:00"/>
    <e v="#NUM!"/>
    <n v="1"/>
    <e v="#VALUE!"/>
    <e v="#NUM!"/>
    <e v="#VALUE!"/>
    <s v=""/>
    <e v="#VALUE!"/>
    <e v="#NUM!"/>
    <e v="#VALUE!"/>
    <e v="#VALUE!"/>
    <s v=""/>
    <s v=""/>
    <s v=""/>
    <n v="0"/>
    <x v="2"/>
    <x v="5"/>
    <x v="1"/>
    <x v="1"/>
    <n v="0"/>
  </r>
  <r>
    <d v="2024-10-01T00:00:00"/>
    <x v="178"/>
    <x v="10"/>
    <x v="15"/>
    <s v="Compteur 2"/>
    <s v="Compteur_2"/>
    <x v="1"/>
    <d v="1899-12-30T00:00:00"/>
    <e v="#NUM!"/>
    <n v="1"/>
    <e v="#VALUE!"/>
    <e v="#NUM!"/>
    <e v="#VALUE!"/>
    <s v=""/>
    <e v="#VALUE!"/>
    <e v="#NUM!"/>
    <e v="#VALUE!"/>
    <e v="#VALUE!"/>
    <s v=""/>
    <s v=""/>
    <s v=""/>
    <n v="0"/>
    <x v="2"/>
    <x v="5"/>
    <x v="1"/>
    <x v="1"/>
    <n v="0"/>
  </r>
  <r>
    <d v="2024-11-01T00:00:00"/>
    <x v="179"/>
    <x v="11"/>
    <x v="15"/>
    <s v="Compteur 2"/>
    <s v="Compteur_2"/>
    <x v="1"/>
    <d v="1899-12-30T00:00:00"/>
    <e v="#NUM!"/>
    <n v="1"/>
    <e v="#VALUE!"/>
    <e v="#NUM!"/>
    <e v="#VALUE!"/>
    <s v=""/>
    <e v="#VALUE!"/>
    <e v="#NUM!"/>
    <e v="#VALUE!"/>
    <e v="#VALUE!"/>
    <s v=""/>
    <s v=""/>
    <s v=""/>
    <n v="0"/>
    <x v="2"/>
    <x v="5"/>
    <x v="1"/>
    <x v="1"/>
    <n v="0"/>
  </r>
  <r>
    <d v="2024-12-01T00:00:00"/>
    <x v="180"/>
    <x v="12"/>
    <x v="15"/>
    <s v="Compteur 2"/>
    <s v="Compteur_2"/>
    <x v="1"/>
    <d v="1899-12-30T00:00:00"/>
    <e v="#NUM!"/>
    <n v="1"/>
    <e v="#VALUE!"/>
    <e v="#NUM!"/>
    <e v="#VALUE!"/>
    <s v=""/>
    <e v="#VALUE!"/>
    <e v="#NUM!"/>
    <e v="#VALUE!"/>
    <e v="#VALUE!"/>
    <s v=""/>
    <s v=""/>
    <s v=""/>
    <n v="0"/>
    <x v="2"/>
    <x v="5"/>
    <x v="1"/>
    <x v="1"/>
    <n v="0"/>
  </r>
  <r>
    <d v="2025-01-01T00:00:00"/>
    <x v="181"/>
    <x v="1"/>
    <x v="16"/>
    <s v="Compteur 2"/>
    <s v="Compteur_2"/>
    <x v="1"/>
    <d v="1899-12-30T00:00:00"/>
    <e v="#NUM!"/>
    <n v="1"/>
    <e v="#VALUE!"/>
    <e v="#NUM!"/>
    <e v="#VALUE!"/>
    <s v=""/>
    <e v="#VALUE!"/>
    <e v="#NUM!"/>
    <e v="#VALUE!"/>
    <e v="#VALUE!"/>
    <s v=""/>
    <s v=""/>
    <s v=""/>
    <n v="0"/>
    <x v="2"/>
    <x v="5"/>
    <x v="1"/>
    <x v="1"/>
    <n v="0"/>
  </r>
  <r>
    <d v="2025-02-01T00:00:00"/>
    <x v="182"/>
    <x v="2"/>
    <x v="16"/>
    <s v="Compteur 2"/>
    <s v="Compteur_2"/>
    <x v="1"/>
    <d v="1899-12-30T00:00:00"/>
    <e v="#NUM!"/>
    <n v="1"/>
    <e v="#VALUE!"/>
    <e v="#NUM!"/>
    <e v="#VALUE!"/>
    <s v=""/>
    <e v="#VALUE!"/>
    <e v="#NUM!"/>
    <e v="#VALUE!"/>
    <e v="#VALUE!"/>
    <s v=""/>
    <s v=""/>
    <s v=""/>
    <n v="0"/>
    <x v="2"/>
    <x v="5"/>
    <x v="1"/>
    <x v="1"/>
    <n v="0"/>
  </r>
  <r>
    <d v="2025-03-01T00:00:00"/>
    <x v="183"/>
    <x v="3"/>
    <x v="16"/>
    <s v="Compteur 2"/>
    <s v="Compteur_2"/>
    <x v="1"/>
    <d v="1899-12-30T00:00:00"/>
    <e v="#NUM!"/>
    <n v="1"/>
    <e v="#VALUE!"/>
    <e v="#NUM!"/>
    <e v="#VALUE!"/>
    <s v=""/>
    <e v="#VALUE!"/>
    <e v="#NUM!"/>
    <e v="#VALUE!"/>
    <e v="#VALUE!"/>
    <s v=""/>
    <s v=""/>
    <s v=""/>
    <n v="0"/>
    <x v="2"/>
    <x v="5"/>
    <x v="1"/>
    <x v="1"/>
    <n v="0"/>
  </r>
  <r>
    <d v="2025-04-01T00:00:00"/>
    <x v="184"/>
    <x v="4"/>
    <x v="16"/>
    <s v="Compteur 2"/>
    <s v="Compteur_2"/>
    <x v="1"/>
    <d v="1899-12-30T00:00:00"/>
    <e v="#NUM!"/>
    <n v="1"/>
    <e v="#VALUE!"/>
    <e v="#NUM!"/>
    <e v="#VALUE!"/>
    <s v=""/>
    <e v="#VALUE!"/>
    <e v="#NUM!"/>
    <e v="#VALUE!"/>
    <e v="#VALUE!"/>
    <s v=""/>
    <s v=""/>
    <s v=""/>
    <n v="0"/>
    <x v="2"/>
    <x v="5"/>
    <x v="1"/>
    <x v="1"/>
    <n v="0"/>
  </r>
  <r>
    <d v="2025-05-01T00:00:00"/>
    <x v="185"/>
    <x v="5"/>
    <x v="16"/>
    <s v="Compteur 2"/>
    <s v="Compteur_2"/>
    <x v="1"/>
    <d v="1899-12-30T00:00:00"/>
    <e v="#NUM!"/>
    <n v="1"/>
    <e v="#VALUE!"/>
    <e v="#NUM!"/>
    <e v="#VALUE!"/>
    <s v=""/>
    <e v="#VALUE!"/>
    <e v="#NUM!"/>
    <e v="#VALUE!"/>
    <e v="#VALUE!"/>
    <s v=""/>
    <s v=""/>
    <s v=""/>
    <n v="0"/>
    <x v="2"/>
    <x v="5"/>
    <x v="1"/>
    <x v="1"/>
    <n v="0"/>
  </r>
  <r>
    <d v="2025-06-01T00:00:00"/>
    <x v="186"/>
    <x v="6"/>
    <x v="16"/>
    <s v="Compteur 2"/>
    <s v="Compteur_2"/>
    <x v="1"/>
    <d v="1899-12-30T00:00:00"/>
    <e v="#NUM!"/>
    <n v="1"/>
    <e v="#VALUE!"/>
    <e v="#NUM!"/>
    <e v="#VALUE!"/>
    <s v=""/>
    <e v="#VALUE!"/>
    <e v="#NUM!"/>
    <e v="#VALUE!"/>
    <e v="#VALUE!"/>
    <s v=""/>
    <s v=""/>
    <s v=""/>
    <n v="0"/>
    <x v="2"/>
    <x v="5"/>
    <x v="1"/>
    <x v="1"/>
    <n v="0"/>
  </r>
  <r>
    <d v="2025-07-01T00:00:00"/>
    <x v="187"/>
    <x v="7"/>
    <x v="16"/>
    <s v="Compteur 2"/>
    <s v="Compteur_2"/>
    <x v="1"/>
    <d v="1899-12-30T00:00:00"/>
    <e v="#NUM!"/>
    <n v="1"/>
    <e v="#VALUE!"/>
    <e v="#NUM!"/>
    <e v="#VALUE!"/>
    <s v=""/>
    <e v="#VALUE!"/>
    <e v="#NUM!"/>
    <e v="#VALUE!"/>
    <e v="#VALUE!"/>
    <s v=""/>
    <s v=""/>
    <s v=""/>
    <n v="0"/>
    <x v="2"/>
    <x v="5"/>
    <x v="1"/>
    <x v="1"/>
    <n v="0"/>
  </r>
  <r>
    <d v="2025-08-01T00:00:00"/>
    <x v="188"/>
    <x v="8"/>
    <x v="16"/>
    <s v="Compteur 2"/>
    <s v="Compteur_2"/>
    <x v="1"/>
    <d v="1899-12-30T00:00:00"/>
    <e v="#NUM!"/>
    <n v="1"/>
    <e v="#VALUE!"/>
    <e v="#NUM!"/>
    <e v="#VALUE!"/>
    <s v=""/>
    <e v="#VALUE!"/>
    <e v="#NUM!"/>
    <e v="#VALUE!"/>
    <e v="#VALUE!"/>
    <s v=""/>
    <s v=""/>
    <s v=""/>
    <n v="0"/>
    <x v="2"/>
    <x v="5"/>
    <x v="1"/>
    <x v="1"/>
    <n v="0"/>
  </r>
  <r>
    <d v="2025-09-01T00:00:00"/>
    <x v="189"/>
    <x v="9"/>
    <x v="16"/>
    <s v="Compteur 2"/>
    <s v="Compteur_2"/>
    <x v="1"/>
    <d v="1899-12-30T00:00:00"/>
    <e v="#NUM!"/>
    <n v="1"/>
    <e v="#VALUE!"/>
    <e v="#NUM!"/>
    <e v="#VALUE!"/>
    <s v=""/>
    <e v="#VALUE!"/>
    <e v="#NUM!"/>
    <e v="#VALUE!"/>
    <e v="#VALUE!"/>
    <s v=""/>
    <s v=""/>
    <s v=""/>
    <n v="0"/>
    <x v="2"/>
    <x v="5"/>
    <x v="1"/>
    <x v="1"/>
    <n v="0"/>
  </r>
  <r>
    <d v="2025-10-01T00:00:00"/>
    <x v="190"/>
    <x v="10"/>
    <x v="16"/>
    <s v="Compteur 2"/>
    <s v="Compteur_2"/>
    <x v="1"/>
    <d v="1899-12-30T00:00:00"/>
    <e v="#NUM!"/>
    <n v="1"/>
    <e v="#VALUE!"/>
    <e v="#NUM!"/>
    <e v="#VALUE!"/>
    <s v=""/>
    <e v="#VALUE!"/>
    <e v="#NUM!"/>
    <e v="#VALUE!"/>
    <e v="#VALUE!"/>
    <s v=""/>
    <s v=""/>
    <s v=""/>
    <n v="0"/>
    <x v="2"/>
    <x v="5"/>
    <x v="1"/>
    <x v="1"/>
    <n v="0"/>
  </r>
  <r>
    <d v="2025-11-01T00:00:00"/>
    <x v="191"/>
    <x v="11"/>
    <x v="16"/>
    <s v="Compteur 2"/>
    <s v="Compteur_2"/>
    <x v="1"/>
    <d v="1899-12-30T00:00:00"/>
    <e v="#NUM!"/>
    <n v="1"/>
    <e v="#VALUE!"/>
    <e v="#NUM!"/>
    <e v="#VALUE!"/>
    <s v=""/>
    <e v="#VALUE!"/>
    <e v="#NUM!"/>
    <e v="#VALUE!"/>
    <e v="#VALUE!"/>
    <s v=""/>
    <s v=""/>
    <s v=""/>
    <n v="0"/>
    <x v="2"/>
    <x v="5"/>
    <x v="1"/>
    <x v="1"/>
    <n v="0"/>
  </r>
  <r>
    <d v="2025-12-01T00:00:00"/>
    <x v="192"/>
    <x v="12"/>
    <x v="16"/>
    <s v="Compteur 2"/>
    <s v="Compteur_2"/>
    <x v="1"/>
    <d v="1899-12-30T00:00:00"/>
    <e v="#NUM!"/>
    <n v="1"/>
    <e v="#VALUE!"/>
    <e v="#NUM!"/>
    <e v="#VALUE!"/>
    <s v=""/>
    <e v="#VALUE!"/>
    <e v="#NUM!"/>
    <e v="#VALUE!"/>
    <e v="#VALUE!"/>
    <s v=""/>
    <s v=""/>
    <s v=""/>
    <n v="0"/>
    <x v="2"/>
    <x v="5"/>
    <x v="1"/>
    <x v="1"/>
    <n v="0"/>
  </r>
  <r>
    <d v="2010-01-01T00:00:00"/>
    <x v="1"/>
    <x v="1"/>
    <x v="1"/>
    <s v="Compteur 3"/>
    <s v="Compteur_3"/>
    <x v="1"/>
    <d v="1899-12-30T00:00:00"/>
    <d v="1899-12-30T00:00:00"/>
    <n v="1"/>
    <e v="#VALUE!"/>
    <n v="0"/>
    <e v="#VALUE!"/>
    <s v=""/>
    <e v="#VALUE!"/>
    <n v="0"/>
    <e v="#VALUE!"/>
    <e v="#VALUE!"/>
    <s v=""/>
    <s v=""/>
    <s v=""/>
    <n v="0"/>
    <x v="2"/>
    <x v="5"/>
    <x v="1"/>
    <x v="1"/>
    <n v="487.6"/>
  </r>
  <r>
    <d v="2010-02-01T00:00:00"/>
    <x v="2"/>
    <x v="2"/>
    <x v="1"/>
    <s v="Compteur 3"/>
    <s v="Compteur_3"/>
    <x v="1"/>
    <d v="1899-12-30T00:00:00"/>
    <d v="1899-12-30T00:00:00"/>
    <n v="1"/>
    <e v="#VALUE!"/>
    <n v="0"/>
    <e v="#VALUE!"/>
    <s v=""/>
    <e v="#VALUE!"/>
    <n v="0"/>
    <e v="#VALUE!"/>
    <e v="#VALUE!"/>
    <s v=""/>
    <s v=""/>
    <s v=""/>
    <n v="0"/>
    <x v="2"/>
    <x v="5"/>
    <x v="1"/>
    <x v="1"/>
    <n v="370.3"/>
  </r>
  <r>
    <d v="2010-03-01T00:00:00"/>
    <x v="3"/>
    <x v="3"/>
    <x v="1"/>
    <s v="Compteur 3"/>
    <s v="Compteur_3"/>
    <x v="1"/>
    <d v="1899-12-30T00:00:00"/>
    <d v="1899-12-30T00:00:00"/>
    <n v="1"/>
    <e v="#VALUE!"/>
    <n v="0"/>
    <e v="#VALUE!"/>
    <s v=""/>
    <e v="#VALUE!"/>
    <n v="0"/>
    <e v="#VALUE!"/>
    <e v="#VALUE!"/>
    <s v=""/>
    <s v=""/>
    <s v=""/>
    <n v="0"/>
    <x v="2"/>
    <x v="5"/>
    <x v="1"/>
    <x v="1"/>
    <n v="312.8"/>
  </r>
  <r>
    <d v="2010-04-01T00:00:00"/>
    <x v="4"/>
    <x v="4"/>
    <x v="1"/>
    <s v="Compteur 3"/>
    <s v="Compteur_3"/>
    <x v="1"/>
    <d v="1899-12-30T00:00:00"/>
    <d v="1899-12-30T00:00:00"/>
    <n v="1"/>
    <e v="#VALUE!"/>
    <n v="0"/>
    <e v="#VALUE!"/>
    <s v=""/>
    <e v="#VALUE!"/>
    <n v="0"/>
    <e v="#VALUE!"/>
    <e v="#VALUE!"/>
    <s v=""/>
    <s v=""/>
    <s v=""/>
    <n v="0"/>
    <x v="2"/>
    <x v="5"/>
    <x v="1"/>
    <x v="1"/>
    <n v="199.2"/>
  </r>
  <r>
    <d v="2010-05-01T00:00:00"/>
    <x v="5"/>
    <x v="5"/>
    <x v="1"/>
    <s v="Compteur 3"/>
    <s v="Compteur_3"/>
    <x v="1"/>
    <d v="1899-12-30T00:00:00"/>
    <d v="1899-12-30T00:00:00"/>
    <n v="1"/>
    <e v="#VALUE!"/>
    <n v="0"/>
    <e v="#VALUE!"/>
    <s v=""/>
    <e v="#VALUE!"/>
    <n v="0"/>
    <e v="#VALUE!"/>
    <e v="#VALUE!"/>
    <s v=""/>
    <s v=""/>
    <s v=""/>
    <n v="0"/>
    <x v="2"/>
    <x v="5"/>
    <x v="1"/>
    <x v="1"/>
    <n v="155.4"/>
  </r>
  <r>
    <d v="2010-06-01T00:00:00"/>
    <x v="6"/>
    <x v="6"/>
    <x v="1"/>
    <s v="Compteur 3"/>
    <s v="Compteur_3"/>
    <x v="1"/>
    <d v="1899-12-30T00:00:00"/>
    <d v="1899-12-30T00:00:00"/>
    <n v="1"/>
    <e v="#VALUE!"/>
    <n v="0"/>
    <e v="#VALUE!"/>
    <s v=""/>
    <e v="#VALUE!"/>
    <n v="0"/>
    <e v="#VALUE!"/>
    <e v="#VALUE!"/>
    <s v=""/>
    <s v=""/>
    <s v=""/>
    <n v="0"/>
    <x v="2"/>
    <x v="5"/>
    <x v="1"/>
    <x v="1"/>
    <n v="46.7"/>
  </r>
  <r>
    <d v="2010-07-01T00:00:00"/>
    <x v="7"/>
    <x v="7"/>
    <x v="1"/>
    <s v="Compteur 3"/>
    <s v="Compteur_3"/>
    <x v="1"/>
    <d v="1899-12-30T00:00:00"/>
    <d v="1899-12-30T00:00:00"/>
    <n v="1"/>
    <e v="#VALUE!"/>
    <n v="0"/>
    <e v="#VALUE!"/>
    <s v=""/>
    <e v="#VALUE!"/>
    <n v="0"/>
    <e v="#VALUE!"/>
    <e v="#VALUE!"/>
    <s v=""/>
    <s v=""/>
    <s v=""/>
    <n v="0"/>
    <x v="2"/>
    <x v="5"/>
    <x v="1"/>
    <x v="1"/>
    <n v="22.2"/>
  </r>
  <r>
    <d v="2010-08-01T00:00:00"/>
    <x v="8"/>
    <x v="8"/>
    <x v="1"/>
    <s v="Compteur 3"/>
    <s v="Compteur_3"/>
    <x v="1"/>
    <d v="1899-12-30T00:00:00"/>
    <d v="1899-12-30T00:00:00"/>
    <n v="1"/>
    <e v="#VALUE!"/>
    <n v="0"/>
    <e v="#VALUE!"/>
    <s v=""/>
    <e v="#VALUE!"/>
    <n v="0"/>
    <e v="#VALUE!"/>
    <e v="#VALUE!"/>
    <s v=""/>
    <s v=""/>
    <s v=""/>
    <n v="0"/>
    <x v="2"/>
    <x v="5"/>
    <x v="1"/>
    <x v="1"/>
    <n v="41.5"/>
  </r>
  <r>
    <d v="2010-09-01T00:00:00"/>
    <x v="9"/>
    <x v="9"/>
    <x v="1"/>
    <s v="Compteur 3"/>
    <s v="Compteur_3"/>
    <x v="1"/>
    <d v="1899-12-30T00:00:00"/>
    <d v="1899-12-30T00:00:00"/>
    <n v="1"/>
    <e v="#VALUE!"/>
    <n v="0"/>
    <e v="#VALUE!"/>
    <s v=""/>
    <e v="#VALUE!"/>
    <n v="0"/>
    <e v="#VALUE!"/>
    <e v="#VALUE!"/>
    <s v=""/>
    <s v=""/>
    <s v=""/>
    <n v="0"/>
    <x v="2"/>
    <x v="5"/>
    <x v="1"/>
    <x v="1"/>
    <n v="95.4"/>
  </r>
  <r>
    <d v="2010-10-01T00:00:00"/>
    <x v="10"/>
    <x v="10"/>
    <x v="1"/>
    <s v="Compteur 3"/>
    <s v="Compteur_3"/>
    <x v="1"/>
    <d v="1899-12-30T00:00:00"/>
    <d v="1899-12-30T00:00:00"/>
    <n v="1"/>
    <e v="#VALUE!"/>
    <n v="0"/>
    <e v="#VALUE!"/>
    <s v=""/>
    <e v="#VALUE!"/>
    <n v="0"/>
    <e v="#VALUE!"/>
    <e v="#VALUE!"/>
    <s v=""/>
    <s v=""/>
    <s v=""/>
    <n v="0"/>
    <x v="2"/>
    <x v="5"/>
    <x v="1"/>
    <x v="1"/>
    <n v="190.1"/>
  </r>
  <r>
    <d v="2010-11-01T00:00:00"/>
    <x v="11"/>
    <x v="11"/>
    <x v="1"/>
    <s v="Compteur 3"/>
    <s v="Compteur_3"/>
    <x v="1"/>
    <d v="1899-12-30T00:00:00"/>
    <d v="1899-12-30T00:00:00"/>
    <n v="1"/>
    <e v="#VALUE!"/>
    <n v="0"/>
    <e v="#VALUE!"/>
    <s v=""/>
    <e v="#VALUE!"/>
    <n v="0"/>
    <e v="#VALUE!"/>
    <e v="#VALUE!"/>
    <s v=""/>
    <s v=""/>
    <s v=""/>
    <n v="0"/>
    <x v="2"/>
    <x v="5"/>
    <x v="1"/>
    <x v="1"/>
    <n v="320.89999999999998"/>
  </r>
  <r>
    <d v="2010-12-01T00:00:00"/>
    <x v="12"/>
    <x v="12"/>
    <x v="1"/>
    <s v="Compteur 3"/>
    <s v="Compteur_3"/>
    <x v="1"/>
    <d v="1899-12-30T00:00:00"/>
    <d v="1899-12-30T00:00:00"/>
    <n v="1"/>
    <e v="#VALUE!"/>
    <n v="0"/>
    <e v="#VALUE!"/>
    <s v=""/>
    <e v="#VALUE!"/>
    <n v="0"/>
    <e v="#VALUE!"/>
    <e v="#VALUE!"/>
    <s v=""/>
    <s v=""/>
    <s v=""/>
    <n v="0"/>
    <x v="2"/>
    <x v="5"/>
    <x v="1"/>
    <x v="1"/>
    <n v="500.7"/>
  </r>
  <r>
    <d v="2011-01-01T00:00:00"/>
    <x v="13"/>
    <x v="1"/>
    <x v="2"/>
    <s v="Compteur 3"/>
    <s v="Compteur_3"/>
    <x v="1"/>
    <d v="1899-12-30T00:00:00"/>
    <d v="1899-12-30T00:00:00"/>
    <n v="1"/>
    <e v="#VALUE!"/>
    <n v="0"/>
    <e v="#VALUE!"/>
    <s v=""/>
    <e v="#VALUE!"/>
    <n v="0"/>
    <e v="#VALUE!"/>
    <e v="#VALUE!"/>
    <s v=""/>
    <s v=""/>
    <s v=""/>
    <n v="0"/>
    <x v="2"/>
    <x v="5"/>
    <x v="1"/>
    <x v="1"/>
    <n v="392.2"/>
  </r>
  <r>
    <d v="2011-02-01T00:00:00"/>
    <x v="14"/>
    <x v="2"/>
    <x v="2"/>
    <s v="Compteur 3"/>
    <s v="Compteur_3"/>
    <x v="1"/>
    <d v="1899-12-30T00:00:00"/>
    <d v="1899-12-30T00:00:00"/>
    <n v="1"/>
    <e v="#VALUE!"/>
    <n v="0"/>
    <e v="#VALUE!"/>
    <s v=""/>
    <e v="#VALUE!"/>
    <n v="0"/>
    <e v="#VALUE!"/>
    <e v="#VALUE!"/>
    <s v=""/>
    <s v=""/>
    <s v=""/>
    <n v="0"/>
    <x v="2"/>
    <x v="5"/>
    <x v="1"/>
    <x v="1"/>
    <n v="299.10000000000002"/>
  </r>
  <r>
    <d v="2011-03-01T00:00:00"/>
    <x v="15"/>
    <x v="3"/>
    <x v="2"/>
    <s v="Compteur 3"/>
    <s v="Compteur_3"/>
    <x v="1"/>
    <d v="1899-12-30T00:00:00"/>
    <d v="1899-12-30T00:00:00"/>
    <n v="1"/>
    <e v="#VALUE!"/>
    <n v="0"/>
    <e v="#VALUE!"/>
    <s v=""/>
    <e v="#VALUE!"/>
    <n v="0"/>
    <e v="#VALUE!"/>
    <e v="#VALUE!"/>
    <s v=""/>
    <s v=""/>
    <s v=""/>
    <n v="0"/>
    <x v="2"/>
    <x v="5"/>
    <x v="1"/>
    <x v="1"/>
    <n v="266.5"/>
  </r>
  <r>
    <d v="2011-04-01T00:00:00"/>
    <x v="16"/>
    <x v="4"/>
    <x v="2"/>
    <s v="Compteur 3"/>
    <s v="Compteur_3"/>
    <x v="1"/>
    <d v="1899-12-30T00:00:00"/>
    <d v="1899-12-30T00:00:00"/>
    <n v="1"/>
    <e v="#VALUE!"/>
    <n v="0"/>
    <e v="#VALUE!"/>
    <s v=""/>
    <e v="#VALUE!"/>
    <n v="0"/>
    <e v="#VALUE!"/>
    <e v="#VALUE!"/>
    <s v=""/>
    <s v=""/>
    <s v=""/>
    <n v="0"/>
    <x v="2"/>
    <x v="5"/>
    <x v="1"/>
    <x v="1"/>
    <n v="136.19999999999999"/>
  </r>
  <r>
    <d v="2011-05-01T00:00:00"/>
    <x v="17"/>
    <x v="5"/>
    <x v="2"/>
    <s v="Compteur 3"/>
    <s v="Compteur_3"/>
    <x v="1"/>
    <d v="1899-12-30T00:00:00"/>
    <d v="1899-12-30T00:00:00"/>
    <n v="1"/>
    <e v="#VALUE!"/>
    <n v="0"/>
    <e v="#VALUE!"/>
    <s v=""/>
    <e v="#VALUE!"/>
    <n v="0"/>
    <e v="#VALUE!"/>
    <e v="#VALUE!"/>
    <s v=""/>
    <s v=""/>
    <s v=""/>
    <n v="0"/>
    <x v="2"/>
    <x v="5"/>
    <x v="1"/>
    <x v="1"/>
    <n v="91.9"/>
  </r>
  <r>
    <d v="2011-06-01T00:00:00"/>
    <x v="18"/>
    <x v="6"/>
    <x v="2"/>
    <s v="Compteur 3"/>
    <s v="Compteur_3"/>
    <x v="1"/>
    <d v="1899-12-30T00:00:00"/>
    <d v="1899-12-30T00:00:00"/>
    <n v="1"/>
    <e v="#VALUE!"/>
    <n v="0"/>
    <e v="#VALUE!"/>
    <s v=""/>
    <e v="#VALUE!"/>
    <n v="0"/>
    <e v="#VALUE!"/>
    <e v="#VALUE!"/>
    <s v=""/>
    <s v=""/>
    <s v=""/>
    <n v="0"/>
    <x v="2"/>
    <x v="5"/>
    <x v="1"/>
    <x v="1"/>
    <n v="55.8"/>
  </r>
  <r>
    <d v="2011-07-01T00:00:00"/>
    <x v="19"/>
    <x v="7"/>
    <x v="2"/>
    <s v="Compteur 3"/>
    <s v="Compteur_3"/>
    <x v="1"/>
    <d v="1899-12-30T00:00:00"/>
    <d v="1899-12-30T00:00:00"/>
    <n v="1"/>
    <e v="#VALUE!"/>
    <n v="0"/>
    <e v="#VALUE!"/>
    <s v=""/>
    <e v="#VALUE!"/>
    <n v="0"/>
    <e v="#VALUE!"/>
    <e v="#VALUE!"/>
    <s v=""/>
    <s v=""/>
    <s v=""/>
    <n v="0"/>
    <x v="2"/>
    <x v="5"/>
    <x v="1"/>
    <x v="1"/>
    <n v="50.8"/>
  </r>
  <r>
    <d v="2011-08-01T00:00:00"/>
    <x v="20"/>
    <x v="8"/>
    <x v="2"/>
    <s v="Compteur 3"/>
    <s v="Compteur_3"/>
    <x v="1"/>
    <d v="1899-12-30T00:00:00"/>
    <d v="1899-12-30T00:00:00"/>
    <n v="1"/>
    <e v="#VALUE!"/>
    <n v="0"/>
    <e v="#VALUE!"/>
    <s v=""/>
    <e v="#VALUE!"/>
    <n v="0"/>
    <e v="#VALUE!"/>
    <e v="#VALUE!"/>
    <s v=""/>
    <s v=""/>
    <s v=""/>
    <n v="0"/>
    <x v="2"/>
    <x v="5"/>
    <x v="1"/>
    <x v="1"/>
    <n v="34.700000000000003"/>
  </r>
  <r>
    <d v="2011-09-01T00:00:00"/>
    <x v="21"/>
    <x v="9"/>
    <x v="2"/>
    <s v="Compteur 3"/>
    <s v="Compteur_3"/>
    <x v="1"/>
    <d v="1899-12-30T00:00:00"/>
    <d v="1899-12-30T00:00:00"/>
    <n v="1"/>
    <e v="#VALUE!"/>
    <n v="0"/>
    <e v="#VALUE!"/>
    <s v=""/>
    <e v="#VALUE!"/>
    <n v="0"/>
    <e v="#VALUE!"/>
    <e v="#VALUE!"/>
    <s v=""/>
    <s v=""/>
    <s v=""/>
    <n v="0"/>
    <x v="2"/>
    <x v="5"/>
    <x v="1"/>
    <x v="1"/>
    <n v="51.3"/>
  </r>
  <r>
    <d v="2011-10-01T00:00:00"/>
    <x v="22"/>
    <x v="10"/>
    <x v="2"/>
    <s v="Compteur 3"/>
    <s v="Compteur_3"/>
    <x v="1"/>
    <d v="1899-12-30T00:00:00"/>
    <d v="1899-12-30T00:00:00"/>
    <n v="1"/>
    <e v="#VALUE!"/>
    <n v="0"/>
    <e v="#VALUE!"/>
    <s v=""/>
    <e v="#VALUE!"/>
    <n v="0"/>
    <e v="#VALUE!"/>
    <e v="#VALUE!"/>
    <s v=""/>
    <s v=""/>
    <s v=""/>
    <n v="0"/>
    <x v="2"/>
    <x v="5"/>
    <x v="1"/>
    <x v="1"/>
    <n v="145.6"/>
  </r>
  <r>
    <d v="2011-11-01T00:00:00"/>
    <x v="23"/>
    <x v="11"/>
    <x v="2"/>
    <s v="Compteur 3"/>
    <s v="Compteur_3"/>
    <x v="1"/>
    <d v="1899-12-30T00:00:00"/>
    <d v="1899-12-30T00:00:00"/>
    <n v="1"/>
    <e v="#VALUE!"/>
    <n v="0"/>
    <e v="#VALUE!"/>
    <s v=""/>
    <e v="#VALUE!"/>
    <n v="0"/>
    <e v="#VALUE!"/>
    <e v="#VALUE!"/>
    <s v=""/>
    <s v=""/>
    <s v=""/>
    <n v="0"/>
    <x v="2"/>
    <x v="5"/>
    <x v="1"/>
    <x v="1"/>
    <n v="205.3"/>
  </r>
  <r>
    <d v="2011-12-01T00:00:00"/>
    <x v="24"/>
    <x v="12"/>
    <x v="2"/>
    <s v="Compteur 3"/>
    <s v="Compteur_3"/>
    <x v="1"/>
    <d v="1899-12-30T00:00:00"/>
    <d v="1899-12-30T00:00:00"/>
    <n v="1"/>
    <e v="#VALUE!"/>
    <n v="0"/>
    <e v="#VALUE!"/>
    <s v=""/>
    <e v="#VALUE!"/>
    <n v="0"/>
    <e v="#VALUE!"/>
    <e v="#VALUE!"/>
    <s v=""/>
    <s v=""/>
    <s v=""/>
    <n v="0"/>
    <x v="2"/>
    <x v="5"/>
    <x v="1"/>
    <x v="1"/>
    <n v="307.5"/>
  </r>
  <r>
    <d v="2012-01-01T00:00:00"/>
    <x v="25"/>
    <x v="1"/>
    <x v="3"/>
    <s v="Compteur 3"/>
    <s v="Compteur_3"/>
    <x v="1"/>
    <d v="1899-12-30T00:00:00"/>
    <d v="1899-12-30T00:00:00"/>
    <n v="1"/>
    <e v="#VALUE!"/>
    <n v="0"/>
    <e v="#VALUE!"/>
    <s v=""/>
    <e v="#VALUE!"/>
    <n v="0"/>
    <e v="#VALUE!"/>
    <e v="#VALUE!"/>
    <s v=""/>
    <s v=""/>
    <s v=""/>
    <n v="0"/>
    <x v="2"/>
    <x v="5"/>
    <x v="1"/>
    <x v="1"/>
    <n v="348.8"/>
  </r>
  <r>
    <d v="2012-02-01T00:00:00"/>
    <x v="26"/>
    <x v="2"/>
    <x v="3"/>
    <s v="Compteur 3"/>
    <s v="Compteur_3"/>
    <x v="1"/>
    <d v="1899-12-30T00:00:00"/>
    <d v="1899-12-30T00:00:00"/>
    <n v="1"/>
    <e v="#VALUE!"/>
    <n v="0"/>
    <e v="#VALUE!"/>
    <s v=""/>
    <e v="#VALUE!"/>
    <n v="0"/>
    <e v="#VALUE!"/>
    <e v="#VALUE!"/>
    <s v=""/>
    <s v=""/>
    <s v=""/>
    <n v="0"/>
    <x v="2"/>
    <x v="5"/>
    <x v="1"/>
    <x v="1"/>
    <n v="469.8"/>
  </r>
  <r>
    <d v="2012-03-01T00:00:00"/>
    <x v="27"/>
    <x v="3"/>
    <x v="3"/>
    <s v="Compteur 3"/>
    <s v="Compteur_3"/>
    <x v="1"/>
    <d v="1899-12-30T00:00:00"/>
    <d v="1899-12-30T00:00:00"/>
    <n v="1"/>
    <e v="#VALUE!"/>
    <n v="0"/>
    <e v="#VALUE!"/>
    <s v=""/>
    <e v="#VALUE!"/>
    <n v="0"/>
    <e v="#VALUE!"/>
    <e v="#VALUE!"/>
    <s v=""/>
    <s v=""/>
    <s v=""/>
    <n v="0"/>
    <x v="2"/>
    <x v="5"/>
    <x v="1"/>
    <x v="1"/>
    <n v="247.3"/>
  </r>
  <r>
    <d v="2012-04-01T00:00:00"/>
    <x v="28"/>
    <x v="4"/>
    <x v="3"/>
    <s v="Compteur 3"/>
    <s v="Compteur_3"/>
    <x v="1"/>
    <d v="1899-12-30T00:00:00"/>
    <d v="1899-12-30T00:00:00"/>
    <n v="1"/>
    <e v="#VALUE!"/>
    <n v="0"/>
    <e v="#VALUE!"/>
    <s v=""/>
    <e v="#VALUE!"/>
    <n v="0"/>
    <e v="#VALUE!"/>
    <e v="#VALUE!"/>
    <s v=""/>
    <s v=""/>
    <s v=""/>
    <n v="0"/>
    <x v="2"/>
    <x v="5"/>
    <x v="1"/>
    <x v="1"/>
    <n v="253.8"/>
  </r>
  <r>
    <d v="2012-05-01T00:00:00"/>
    <x v="29"/>
    <x v="5"/>
    <x v="3"/>
    <s v="Compteur 3"/>
    <s v="Compteur_3"/>
    <x v="1"/>
    <d v="1899-12-30T00:00:00"/>
    <d v="1899-12-30T00:00:00"/>
    <n v="1"/>
    <e v="#VALUE!"/>
    <n v="0"/>
    <e v="#VALUE!"/>
    <s v=""/>
    <e v="#VALUE!"/>
    <n v="0"/>
    <e v="#VALUE!"/>
    <e v="#VALUE!"/>
    <s v=""/>
    <s v=""/>
    <s v=""/>
    <n v="0"/>
    <x v="2"/>
    <x v="5"/>
    <x v="1"/>
    <x v="1"/>
    <n v="113.8"/>
  </r>
  <r>
    <d v="2012-06-01T00:00:00"/>
    <x v="30"/>
    <x v="6"/>
    <x v="3"/>
    <s v="Compteur 3"/>
    <s v="Compteur_3"/>
    <x v="1"/>
    <d v="1899-12-30T00:00:00"/>
    <d v="1899-12-30T00:00:00"/>
    <n v="1"/>
    <e v="#VALUE!"/>
    <n v="0"/>
    <e v="#VALUE!"/>
    <s v=""/>
    <e v="#VALUE!"/>
    <n v="0"/>
    <e v="#VALUE!"/>
    <e v="#VALUE!"/>
    <s v=""/>
    <s v=""/>
    <s v=""/>
    <n v="0"/>
    <x v="2"/>
    <x v="5"/>
    <x v="1"/>
    <x v="1"/>
    <n v="59.4"/>
  </r>
  <r>
    <d v="2012-07-01T00:00:00"/>
    <x v="31"/>
    <x v="7"/>
    <x v="3"/>
    <s v="Compteur 3"/>
    <s v="Compteur_3"/>
    <x v="1"/>
    <d v="1899-12-30T00:00:00"/>
    <d v="1899-12-30T00:00:00"/>
    <n v="1"/>
    <e v="#VALUE!"/>
    <n v="0"/>
    <e v="#VALUE!"/>
    <s v=""/>
    <e v="#VALUE!"/>
    <n v="0"/>
    <e v="#VALUE!"/>
    <e v="#VALUE!"/>
    <s v=""/>
    <s v=""/>
    <s v=""/>
    <n v="0"/>
    <x v="2"/>
    <x v="5"/>
    <x v="1"/>
    <x v="1"/>
    <n v="48.9"/>
  </r>
  <r>
    <d v="2012-08-01T00:00:00"/>
    <x v="32"/>
    <x v="8"/>
    <x v="3"/>
    <s v="Compteur 3"/>
    <s v="Compteur_3"/>
    <x v="1"/>
    <d v="1899-12-30T00:00:00"/>
    <d v="1899-12-30T00:00:00"/>
    <n v="1"/>
    <e v="#VALUE!"/>
    <n v="0"/>
    <e v="#VALUE!"/>
    <s v=""/>
    <e v="#VALUE!"/>
    <n v="0"/>
    <e v="#VALUE!"/>
    <e v="#VALUE!"/>
    <s v=""/>
    <s v=""/>
    <s v=""/>
    <n v="0"/>
    <x v="2"/>
    <x v="5"/>
    <x v="1"/>
    <x v="1"/>
    <n v="28.8"/>
  </r>
  <r>
    <d v="2012-09-01T00:00:00"/>
    <x v="33"/>
    <x v="9"/>
    <x v="3"/>
    <s v="Compteur 3"/>
    <s v="Compteur_3"/>
    <x v="1"/>
    <d v="1899-12-30T00:00:00"/>
    <d v="1899-12-30T00:00:00"/>
    <n v="1"/>
    <e v="#VALUE!"/>
    <n v="0"/>
    <e v="#VALUE!"/>
    <s v=""/>
    <e v="#VALUE!"/>
    <n v="0"/>
    <e v="#VALUE!"/>
    <e v="#VALUE!"/>
    <s v=""/>
    <s v=""/>
    <s v=""/>
    <n v="0"/>
    <x v="2"/>
    <x v="5"/>
    <x v="1"/>
    <x v="1"/>
    <n v="108.1"/>
  </r>
  <r>
    <d v="2012-10-01T00:00:00"/>
    <x v="34"/>
    <x v="10"/>
    <x v="3"/>
    <s v="Compteur 3"/>
    <s v="Compteur_3"/>
    <x v="1"/>
    <d v="1899-12-30T00:00:00"/>
    <d v="1899-12-30T00:00:00"/>
    <n v="1"/>
    <e v="#VALUE!"/>
    <n v="0"/>
    <e v="#VALUE!"/>
    <s v=""/>
    <e v="#VALUE!"/>
    <n v="0"/>
    <e v="#VALUE!"/>
    <e v="#VALUE!"/>
    <s v=""/>
    <s v=""/>
    <s v=""/>
    <n v="0"/>
    <x v="2"/>
    <x v="5"/>
    <x v="1"/>
    <x v="1"/>
    <n v="161.69999999999999"/>
  </r>
  <r>
    <d v="2012-11-01T00:00:00"/>
    <x v="35"/>
    <x v="11"/>
    <x v="3"/>
    <s v="Compteur 3"/>
    <s v="Compteur_3"/>
    <x v="1"/>
    <d v="1899-12-30T00:00:00"/>
    <d v="1899-12-30T00:00:00"/>
    <n v="1"/>
    <e v="#VALUE!"/>
    <n v="0"/>
    <e v="#VALUE!"/>
    <s v=""/>
    <e v="#VALUE!"/>
    <n v="0"/>
    <e v="#VALUE!"/>
    <e v="#VALUE!"/>
    <s v=""/>
    <s v=""/>
    <s v=""/>
    <n v="0"/>
    <x v="2"/>
    <x v="5"/>
    <x v="1"/>
    <x v="1"/>
    <n v="300.39999999999998"/>
  </r>
  <r>
    <d v="2012-12-01T00:00:00"/>
    <x v="36"/>
    <x v="12"/>
    <x v="3"/>
    <s v="Compteur 3"/>
    <s v="Compteur_3"/>
    <x v="1"/>
    <d v="1899-12-30T00:00:00"/>
    <d v="1899-12-30T00:00:00"/>
    <n v="1"/>
    <e v="#VALUE!"/>
    <n v="0"/>
    <e v="#VALUE!"/>
    <s v=""/>
    <e v="#VALUE!"/>
    <n v="0"/>
    <e v="#VALUE!"/>
    <e v="#VALUE!"/>
    <s v=""/>
    <s v=""/>
    <s v=""/>
    <n v="0"/>
    <x v="2"/>
    <x v="5"/>
    <x v="1"/>
    <x v="1"/>
    <n v="333.7"/>
  </r>
  <r>
    <d v="2013-01-01T00:00:00"/>
    <x v="37"/>
    <x v="1"/>
    <x v="4"/>
    <s v="Compteur 3"/>
    <s v="Compteur_3"/>
    <x v="1"/>
    <d v="1899-12-30T00:00:00"/>
    <d v="1899-12-30T00:00:00"/>
    <n v="1"/>
    <e v="#VALUE!"/>
    <n v="0"/>
    <e v="#VALUE!"/>
    <s v=""/>
    <e v="#VALUE!"/>
    <n v="0"/>
    <e v="#VALUE!"/>
    <e v="#VALUE!"/>
    <s v=""/>
    <s v=""/>
    <s v=""/>
    <n v="0"/>
    <x v="2"/>
    <x v="5"/>
    <x v="1"/>
    <x v="1"/>
    <n v="409.5"/>
  </r>
  <r>
    <d v="2013-02-01T00:00:00"/>
    <x v="38"/>
    <x v="2"/>
    <x v="4"/>
    <s v="Compteur 3"/>
    <s v="Compteur_3"/>
    <x v="1"/>
    <d v="1899-12-30T00:00:00"/>
    <d v="1899-12-30T00:00:00"/>
    <n v="1"/>
    <e v="#VALUE!"/>
    <n v="0"/>
    <e v="#VALUE!"/>
    <s v=""/>
    <e v="#VALUE!"/>
    <n v="0"/>
    <e v="#VALUE!"/>
    <e v="#VALUE!"/>
    <s v=""/>
    <s v=""/>
    <s v=""/>
    <n v="0"/>
    <x v="2"/>
    <x v="5"/>
    <x v="1"/>
    <x v="1"/>
    <n v="389.8"/>
  </r>
  <r>
    <d v="2013-03-01T00:00:00"/>
    <x v="39"/>
    <x v="3"/>
    <x v="4"/>
    <s v="Compteur 3"/>
    <s v="Compteur_3"/>
    <x v="1"/>
    <d v="1899-12-30T00:00:00"/>
    <d v="1899-12-30T00:00:00"/>
    <n v="1"/>
    <e v="#VALUE!"/>
    <n v="0"/>
    <e v="#VALUE!"/>
    <s v=""/>
    <e v="#VALUE!"/>
    <n v="0"/>
    <e v="#VALUE!"/>
    <e v="#VALUE!"/>
    <s v=""/>
    <s v=""/>
    <s v=""/>
    <n v="0"/>
    <x v="2"/>
    <x v="5"/>
    <x v="1"/>
    <x v="1"/>
    <n v="360.4"/>
  </r>
  <r>
    <d v="2013-04-01T00:00:00"/>
    <x v="40"/>
    <x v="4"/>
    <x v="4"/>
    <s v="Compteur 3"/>
    <s v="Compteur_3"/>
    <x v="1"/>
    <d v="1899-12-30T00:00:00"/>
    <d v="1899-12-30T00:00:00"/>
    <n v="1"/>
    <e v="#VALUE!"/>
    <n v="0"/>
    <e v="#VALUE!"/>
    <s v=""/>
    <e v="#VALUE!"/>
    <n v="0"/>
    <e v="#VALUE!"/>
    <e v="#VALUE!"/>
    <s v=""/>
    <s v=""/>
    <s v=""/>
    <n v="0"/>
    <x v="2"/>
    <x v="5"/>
    <x v="1"/>
    <x v="1"/>
    <n v="247.2"/>
  </r>
  <r>
    <d v="2013-05-01T00:00:00"/>
    <x v="41"/>
    <x v="5"/>
    <x v="4"/>
    <s v="Compteur 3"/>
    <s v="Compteur_3"/>
    <x v="1"/>
    <d v="1899-12-30T00:00:00"/>
    <d v="1899-12-30T00:00:00"/>
    <n v="1"/>
    <e v="#VALUE!"/>
    <n v="0"/>
    <e v="#VALUE!"/>
    <s v=""/>
    <e v="#VALUE!"/>
    <n v="0"/>
    <e v="#VALUE!"/>
    <e v="#VALUE!"/>
    <s v=""/>
    <s v=""/>
    <s v=""/>
    <n v="0"/>
    <x v="2"/>
    <x v="5"/>
    <x v="1"/>
    <x v="1"/>
    <n v="175.2"/>
  </r>
  <r>
    <d v="2013-06-01T00:00:00"/>
    <x v="42"/>
    <x v="6"/>
    <x v="4"/>
    <s v="Compteur 3"/>
    <s v="Compteur_3"/>
    <x v="1"/>
    <d v="1899-12-30T00:00:00"/>
    <d v="1899-12-30T00:00:00"/>
    <n v="1"/>
    <e v="#VALUE!"/>
    <n v="0"/>
    <e v="#VALUE!"/>
    <s v=""/>
    <e v="#VALUE!"/>
    <n v="0"/>
    <e v="#VALUE!"/>
    <e v="#VALUE!"/>
    <s v=""/>
    <s v=""/>
    <s v=""/>
    <n v="0"/>
    <x v="2"/>
    <x v="5"/>
    <x v="1"/>
    <x v="1"/>
    <n v="68"/>
  </r>
  <r>
    <d v="2013-07-01T00:00:00"/>
    <x v="43"/>
    <x v="7"/>
    <x v="4"/>
    <s v="Compteur 3"/>
    <s v="Compteur_3"/>
    <x v="1"/>
    <d v="1899-12-30T00:00:00"/>
    <d v="1899-12-30T00:00:00"/>
    <n v="1"/>
    <e v="#VALUE!"/>
    <n v="0"/>
    <e v="#VALUE!"/>
    <s v=""/>
    <e v="#VALUE!"/>
    <n v="0"/>
    <e v="#VALUE!"/>
    <e v="#VALUE!"/>
    <s v=""/>
    <s v=""/>
    <s v=""/>
    <n v="0"/>
    <x v="2"/>
    <x v="5"/>
    <x v="1"/>
    <x v="1"/>
    <n v="13.3"/>
  </r>
  <r>
    <d v="2013-08-01T00:00:00"/>
    <x v="44"/>
    <x v="8"/>
    <x v="4"/>
    <s v="Compteur 3"/>
    <s v="Compteur_3"/>
    <x v="1"/>
    <d v="1899-12-30T00:00:00"/>
    <d v="1899-12-30T00:00:00"/>
    <n v="1"/>
    <e v="#VALUE!"/>
    <n v="0"/>
    <e v="#VALUE!"/>
    <s v=""/>
    <e v="#VALUE!"/>
    <n v="0"/>
    <e v="#VALUE!"/>
    <e v="#VALUE!"/>
    <s v=""/>
    <s v=""/>
    <s v=""/>
    <n v="0"/>
    <x v="2"/>
    <x v="5"/>
    <x v="1"/>
    <x v="1"/>
    <n v="38.5"/>
  </r>
  <r>
    <d v="2013-09-01T00:00:00"/>
    <x v="45"/>
    <x v="9"/>
    <x v="4"/>
    <s v="Compteur 3"/>
    <s v="Compteur_3"/>
    <x v="1"/>
    <d v="1899-12-30T00:00:00"/>
    <d v="1899-12-30T00:00:00"/>
    <n v="1"/>
    <e v="#VALUE!"/>
    <n v="0"/>
    <e v="#VALUE!"/>
    <s v=""/>
    <e v="#VALUE!"/>
    <n v="0"/>
    <e v="#VALUE!"/>
    <e v="#VALUE!"/>
    <s v=""/>
    <s v=""/>
    <s v=""/>
    <n v="0"/>
    <x v="2"/>
    <x v="5"/>
    <x v="1"/>
    <x v="1"/>
    <n v="69.2"/>
  </r>
  <r>
    <d v="2013-10-01T00:00:00"/>
    <x v="46"/>
    <x v="10"/>
    <x v="4"/>
    <s v="Compteur 3"/>
    <s v="Compteur_3"/>
    <x v="1"/>
    <d v="1899-12-30T00:00:00"/>
    <d v="1899-12-30T00:00:00"/>
    <n v="1"/>
    <e v="#VALUE!"/>
    <n v="0"/>
    <e v="#VALUE!"/>
    <s v=""/>
    <e v="#VALUE!"/>
    <n v="0"/>
    <e v="#VALUE!"/>
    <e v="#VALUE!"/>
    <s v=""/>
    <s v=""/>
    <s v=""/>
    <n v="0"/>
    <x v="2"/>
    <x v="5"/>
    <x v="1"/>
    <x v="1"/>
    <n v="122.6"/>
  </r>
  <r>
    <d v="2013-11-01T00:00:00"/>
    <x v="47"/>
    <x v="11"/>
    <x v="4"/>
    <s v="Compteur 3"/>
    <s v="Compteur_3"/>
    <x v="1"/>
    <d v="1899-12-30T00:00:00"/>
    <d v="1899-12-30T00:00:00"/>
    <n v="1"/>
    <e v="#VALUE!"/>
    <n v="0"/>
    <e v="#VALUE!"/>
    <s v=""/>
    <e v="#VALUE!"/>
    <n v="0"/>
    <e v="#VALUE!"/>
    <e v="#VALUE!"/>
    <s v=""/>
    <s v=""/>
    <s v=""/>
    <n v="0"/>
    <x v="2"/>
    <x v="5"/>
    <x v="1"/>
    <x v="1"/>
    <n v="311.10000000000002"/>
  </r>
  <r>
    <d v="2013-12-01T00:00:00"/>
    <x v="48"/>
    <x v="12"/>
    <x v="4"/>
    <s v="Compteur 3"/>
    <s v="Compteur_3"/>
    <x v="1"/>
    <d v="1899-12-30T00:00:00"/>
    <d v="1899-12-30T00:00:00"/>
    <n v="1"/>
    <e v="#VALUE!"/>
    <n v="0"/>
    <e v="#VALUE!"/>
    <s v=""/>
    <e v="#VALUE!"/>
    <n v="0"/>
    <e v="#VALUE!"/>
    <e v="#VALUE!"/>
    <s v=""/>
    <s v=""/>
    <s v=""/>
    <n v="0"/>
    <x v="2"/>
    <x v="5"/>
    <x v="1"/>
    <x v="1"/>
    <n v="380.4"/>
  </r>
  <r>
    <d v="2014-01-01T00:00:00"/>
    <x v="49"/>
    <x v="1"/>
    <x v="5"/>
    <s v="Compteur 3"/>
    <s v="Compteur_3"/>
    <x v="1"/>
    <d v="1899-12-30T00:00:00"/>
    <d v="1899-12-30T00:00:00"/>
    <n v="1"/>
    <e v="#VALUE!"/>
    <n v="0"/>
    <e v="#VALUE!"/>
    <s v=""/>
    <e v="#VALUE!"/>
    <n v="0"/>
    <e v="#VALUE!"/>
    <e v="#VALUE!"/>
    <s v=""/>
    <s v=""/>
    <s v=""/>
    <n v="0"/>
    <x v="2"/>
    <x v="5"/>
    <x v="1"/>
    <x v="1"/>
    <n v="320.5"/>
  </r>
  <r>
    <d v="2014-02-01T00:00:00"/>
    <x v="50"/>
    <x v="2"/>
    <x v="5"/>
    <s v="Compteur 3"/>
    <s v="Compteur_3"/>
    <x v="1"/>
    <d v="1899-12-30T00:00:00"/>
    <d v="1899-12-30T00:00:00"/>
    <n v="1"/>
    <e v="#VALUE!"/>
    <n v="0"/>
    <e v="#VALUE!"/>
    <s v=""/>
    <e v="#VALUE!"/>
    <n v="0"/>
    <e v="#VALUE!"/>
    <e v="#VALUE!"/>
    <s v=""/>
    <s v=""/>
    <s v=""/>
    <n v="0"/>
    <x v="2"/>
    <x v="5"/>
    <x v="1"/>
    <x v="1"/>
    <n v="281.3"/>
  </r>
  <r>
    <d v="2014-03-01T00:00:00"/>
    <x v="51"/>
    <x v="3"/>
    <x v="5"/>
    <s v="Compteur 3"/>
    <s v="Compteur_3"/>
    <x v="1"/>
    <d v="1899-12-30T00:00:00"/>
    <d v="1899-12-30T00:00:00"/>
    <n v="1"/>
    <e v="#VALUE!"/>
    <n v="0"/>
    <e v="#VALUE!"/>
    <s v=""/>
    <e v="#VALUE!"/>
    <n v="0"/>
    <e v="#VALUE!"/>
    <e v="#VALUE!"/>
    <s v=""/>
    <s v=""/>
    <s v=""/>
    <n v="0"/>
    <x v="2"/>
    <x v="5"/>
    <x v="1"/>
    <x v="1"/>
    <n v="263.89999999999998"/>
  </r>
  <r>
    <d v="2014-04-01T00:00:00"/>
    <x v="52"/>
    <x v="4"/>
    <x v="5"/>
    <s v="Compteur 3"/>
    <s v="Compteur_3"/>
    <x v="1"/>
    <d v="1899-12-30T00:00:00"/>
    <d v="1899-12-30T00:00:00"/>
    <n v="1"/>
    <e v="#VALUE!"/>
    <n v="0"/>
    <e v="#VALUE!"/>
    <s v=""/>
    <e v="#VALUE!"/>
    <n v="0"/>
    <e v="#VALUE!"/>
    <e v="#VALUE!"/>
    <s v=""/>
    <s v=""/>
    <s v=""/>
    <n v="0"/>
    <x v="2"/>
    <x v="5"/>
    <x v="1"/>
    <x v="1"/>
    <n v="174.2"/>
  </r>
  <r>
    <d v="2014-05-01T00:00:00"/>
    <x v="53"/>
    <x v="5"/>
    <x v="5"/>
    <s v="Compteur 3"/>
    <s v="Compteur_3"/>
    <x v="1"/>
    <d v="1899-12-30T00:00:00"/>
    <d v="1899-12-30T00:00:00"/>
    <n v="1"/>
    <e v="#VALUE!"/>
    <n v="0"/>
    <e v="#VALUE!"/>
    <s v=""/>
    <e v="#VALUE!"/>
    <n v="0"/>
    <e v="#VALUE!"/>
    <e v="#VALUE!"/>
    <s v=""/>
    <s v=""/>
    <s v=""/>
    <n v="0"/>
    <x v="2"/>
    <x v="5"/>
    <x v="1"/>
    <x v="1"/>
    <n v="134.5"/>
  </r>
  <r>
    <d v="2014-06-01T00:00:00"/>
    <x v="54"/>
    <x v="6"/>
    <x v="5"/>
    <s v="Compteur 3"/>
    <s v="Compteur_3"/>
    <x v="1"/>
    <d v="1899-12-30T00:00:00"/>
    <d v="1899-12-30T00:00:00"/>
    <n v="1"/>
    <e v="#VALUE!"/>
    <n v="0"/>
    <e v="#VALUE!"/>
    <s v=""/>
    <e v="#VALUE!"/>
    <n v="0"/>
    <e v="#VALUE!"/>
    <e v="#VALUE!"/>
    <s v=""/>
    <s v=""/>
    <s v=""/>
    <n v="0"/>
    <x v="2"/>
    <x v="5"/>
    <x v="1"/>
    <x v="1"/>
    <n v="48.5"/>
  </r>
  <r>
    <d v="2014-07-01T00:00:00"/>
    <x v="55"/>
    <x v="7"/>
    <x v="5"/>
    <s v="Compteur 3"/>
    <s v="Compteur_3"/>
    <x v="1"/>
    <d v="1899-12-30T00:00:00"/>
    <d v="1899-12-30T00:00:00"/>
    <n v="1"/>
    <e v="#VALUE!"/>
    <n v="0"/>
    <e v="#VALUE!"/>
    <s v=""/>
    <e v="#VALUE!"/>
    <n v="0"/>
    <e v="#VALUE!"/>
    <e v="#VALUE!"/>
    <s v=""/>
    <s v=""/>
    <s v=""/>
    <n v="0"/>
    <x v="2"/>
    <x v="5"/>
    <x v="1"/>
    <x v="1"/>
    <n v="22.6"/>
  </r>
  <r>
    <d v="2014-08-01T00:00:00"/>
    <x v="56"/>
    <x v="8"/>
    <x v="5"/>
    <s v="Compteur 3"/>
    <s v="Compteur_3"/>
    <x v="1"/>
    <d v="1899-12-30T00:00:00"/>
    <d v="1899-12-30T00:00:00"/>
    <n v="1"/>
    <e v="#VALUE!"/>
    <n v="0"/>
    <e v="#VALUE!"/>
    <s v=""/>
    <e v="#VALUE!"/>
    <n v="0"/>
    <e v="#VALUE!"/>
    <e v="#VALUE!"/>
    <s v=""/>
    <s v=""/>
    <s v=""/>
    <n v="0"/>
    <x v="2"/>
    <x v="5"/>
    <x v="1"/>
    <x v="1"/>
    <n v="51.9"/>
  </r>
  <r>
    <d v="2014-09-01T00:00:00"/>
    <x v="57"/>
    <x v="9"/>
    <x v="5"/>
    <s v="Compteur 3"/>
    <s v="Compteur_3"/>
    <x v="1"/>
    <d v="1899-12-30T00:00:00"/>
    <d v="1899-12-30T00:00:00"/>
    <n v="1"/>
    <e v="#VALUE!"/>
    <n v="0"/>
    <e v="#VALUE!"/>
    <s v=""/>
    <e v="#VALUE!"/>
    <n v="0"/>
    <e v="#VALUE!"/>
    <e v="#VALUE!"/>
    <s v=""/>
    <s v=""/>
    <s v=""/>
    <n v="0"/>
    <x v="2"/>
    <x v="5"/>
    <x v="1"/>
    <x v="1"/>
    <n v="54.3"/>
  </r>
  <r>
    <d v="2014-10-01T00:00:00"/>
    <x v="58"/>
    <x v="10"/>
    <x v="5"/>
    <s v="Compteur 3"/>
    <s v="Compteur_3"/>
    <x v="1"/>
    <d v="1899-12-30T00:00:00"/>
    <d v="1899-12-30T00:00:00"/>
    <n v="1"/>
    <e v="#VALUE!"/>
    <n v="0"/>
    <e v="#VALUE!"/>
    <s v=""/>
    <e v="#VALUE!"/>
    <n v="0"/>
    <e v="#VALUE!"/>
    <e v="#VALUE!"/>
    <s v=""/>
    <s v=""/>
    <s v=""/>
    <n v="0"/>
    <x v="2"/>
    <x v="5"/>
    <x v="1"/>
    <x v="1"/>
    <n v="124.2"/>
  </r>
  <r>
    <d v="2014-11-01T00:00:00"/>
    <x v="59"/>
    <x v="11"/>
    <x v="5"/>
    <s v="Compteur 3"/>
    <s v="Compteur_3"/>
    <x v="1"/>
    <d v="1899-12-30T00:00:00"/>
    <d v="1899-12-30T00:00:00"/>
    <n v="1"/>
    <e v="#VALUE!"/>
    <n v="0"/>
    <e v="#VALUE!"/>
    <s v=""/>
    <e v="#VALUE!"/>
    <n v="0"/>
    <e v="#VALUE!"/>
    <e v="#VALUE!"/>
    <s v=""/>
    <s v=""/>
    <s v=""/>
    <n v="0"/>
    <x v="2"/>
    <x v="5"/>
    <x v="1"/>
    <x v="1"/>
    <n v="219.5"/>
  </r>
  <r>
    <d v="2014-12-01T00:00:00"/>
    <x v="60"/>
    <x v="12"/>
    <x v="5"/>
    <s v="Compteur 3"/>
    <s v="Compteur_3"/>
    <x v="1"/>
    <d v="1899-12-30T00:00:00"/>
    <d v="1899-12-30T00:00:00"/>
    <n v="1"/>
    <e v="#VALUE!"/>
    <n v="0"/>
    <e v="#VALUE!"/>
    <s v=""/>
    <e v="#VALUE!"/>
    <n v="0"/>
    <e v="#VALUE!"/>
    <e v="#VALUE!"/>
    <s v=""/>
    <s v=""/>
    <s v=""/>
    <n v="0"/>
    <x v="2"/>
    <x v="5"/>
    <x v="1"/>
    <x v="1"/>
    <n v="374.8"/>
  </r>
  <r>
    <d v="2015-01-01T00:00:00"/>
    <x v="61"/>
    <x v="1"/>
    <x v="6"/>
    <s v="Compteur 3"/>
    <s v="Compteur_3"/>
    <x v="1"/>
    <d v="1899-12-30T00:00:00"/>
    <d v="1899-12-30T00:00:00"/>
    <n v="1"/>
    <e v="#VALUE!"/>
    <n v="0"/>
    <e v="#VALUE!"/>
    <s v=""/>
    <e v="#VALUE!"/>
    <n v="0"/>
    <e v="#VALUE!"/>
    <e v="#VALUE!"/>
    <s v=""/>
    <s v=""/>
    <s v=""/>
    <n v="0"/>
    <x v="2"/>
    <x v="5"/>
    <x v="1"/>
    <x v="1"/>
    <n v="392.1"/>
  </r>
  <r>
    <d v="2015-02-01T00:00:00"/>
    <x v="62"/>
    <x v="2"/>
    <x v="6"/>
    <s v="Compteur 3"/>
    <s v="Compteur_3"/>
    <x v="1"/>
    <d v="1899-12-30T00:00:00"/>
    <d v="1899-12-30T00:00:00"/>
    <n v="1"/>
    <e v="#VALUE!"/>
    <n v="0"/>
    <e v="#VALUE!"/>
    <s v=""/>
    <e v="#VALUE!"/>
    <n v="0"/>
    <e v="#VALUE!"/>
    <e v="#VALUE!"/>
    <s v=""/>
    <s v=""/>
    <s v=""/>
    <n v="0"/>
    <x v="2"/>
    <x v="5"/>
    <x v="1"/>
    <x v="1"/>
    <n v="366.9"/>
  </r>
  <r>
    <d v="2015-03-01T00:00:00"/>
    <x v="63"/>
    <x v="3"/>
    <x v="6"/>
    <s v="Compteur 3"/>
    <s v="Compteur_3"/>
    <x v="1"/>
    <d v="1899-12-30T00:00:00"/>
    <d v="1899-12-30T00:00:00"/>
    <n v="1"/>
    <e v="#VALUE!"/>
    <n v="0"/>
    <e v="#VALUE!"/>
    <s v=""/>
    <e v="#VALUE!"/>
    <n v="0"/>
    <e v="#VALUE!"/>
    <e v="#VALUE!"/>
    <s v=""/>
    <s v=""/>
    <s v=""/>
    <n v="0"/>
    <x v="2"/>
    <x v="5"/>
    <x v="1"/>
    <x v="1"/>
    <n v="303.8"/>
  </r>
  <r>
    <d v="2015-04-01T00:00:00"/>
    <x v="64"/>
    <x v="4"/>
    <x v="6"/>
    <s v="Compteur 3"/>
    <s v="Compteur_3"/>
    <x v="1"/>
    <d v="1899-12-30T00:00:00"/>
    <d v="1899-12-30T00:00:00"/>
    <n v="1"/>
    <e v="#VALUE!"/>
    <n v="0"/>
    <e v="#VALUE!"/>
    <s v=""/>
    <e v="#VALUE!"/>
    <n v="0"/>
    <e v="#VALUE!"/>
    <e v="#VALUE!"/>
    <s v=""/>
    <s v=""/>
    <s v=""/>
    <n v="0"/>
    <x v="2"/>
    <x v="5"/>
    <x v="1"/>
    <x v="1"/>
    <n v="166.6"/>
  </r>
  <r>
    <d v="2015-05-01T00:00:00"/>
    <x v="65"/>
    <x v="5"/>
    <x v="6"/>
    <s v="Compteur 3"/>
    <s v="Compteur_3"/>
    <x v="1"/>
    <d v="1899-12-30T00:00:00"/>
    <d v="1899-12-30T00:00:00"/>
    <n v="1"/>
    <e v="#VALUE!"/>
    <n v="0"/>
    <e v="#VALUE!"/>
    <s v=""/>
    <e v="#VALUE!"/>
    <n v="0"/>
    <e v="#VALUE!"/>
    <e v="#VALUE!"/>
    <s v=""/>
    <s v=""/>
    <s v=""/>
    <n v="0"/>
    <x v="2"/>
    <x v="5"/>
    <x v="1"/>
    <x v="1"/>
    <n v="119.9"/>
  </r>
  <r>
    <d v="2015-06-01T00:00:00"/>
    <x v="66"/>
    <x v="6"/>
    <x v="6"/>
    <s v="Compteur 3"/>
    <s v="Compteur_3"/>
    <x v="1"/>
    <d v="1899-12-30T00:00:00"/>
    <d v="1899-12-30T00:00:00"/>
    <n v="1"/>
    <e v="#VALUE!"/>
    <n v="0"/>
    <e v="#VALUE!"/>
    <s v=""/>
    <e v="#VALUE!"/>
    <n v="0"/>
    <e v="#VALUE!"/>
    <e v="#VALUE!"/>
    <s v=""/>
    <s v=""/>
    <s v=""/>
    <n v="0"/>
    <x v="2"/>
    <x v="5"/>
    <x v="1"/>
    <x v="1"/>
    <n v="51.8"/>
  </r>
  <r>
    <d v="2015-07-01T00:00:00"/>
    <x v="67"/>
    <x v="7"/>
    <x v="6"/>
    <s v="Compteur 3"/>
    <s v="Compteur_3"/>
    <x v="1"/>
    <d v="1899-12-30T00:00:00"/>
    <d v="1899-12-30T00:00:00"/>
    <n v="1"/>
    <e v="#VALUE!"/>
    <n v="0"/>
    <e v="#VALUE!"/>
    <s v=""/>
    <e v="#VALUE!"/>
    <n v="0"/>
    <e v="#VALUE!"/>
    <e v="#VALUE!"/>
    <s v=""/>
    <s v=""/>
    <s v=""/>
    <n v="0"/>
    <x v="2"/>
    <x v="5"/>
    <x v="1"/>
    <x v="1"/>
    <n v="29"/>
  </r>
  <r>
    <d v="2015-08-01T00:00:00"/>
    <x v="68"/>
    <x v="8"/>
    <x v="6"/>
    <s v="Compteur 3"/>
    <s v="Compteur_3"/>
    <x v="1"/>
    <d v="1899-12-30T00:00:00"/>
    <d v="1899-12-30T00:00:00"/>
    <n v="1"/>
    <e v="#VALUE!"/>
    <n v="0"/>
    <e v="#VALUE!"/>
    <s v=""/>
    <e v="#VALUE!"/>
    <n v="0"/>
    <e v="#VALUE!"/>
    <e v="#VALUE!"/>
    <s v=""/>
    <s v=""/>
    <s v=""/>
    <n v="0"/>
    <x v="2"/>
    <x v="5"/>
    <x v="1"/>
    <x v="1"/>
    <n v="32"/>
  </r>
  <r>
    <d v="2015-09-01T00:00:00"/>
    <x v="69"/>
    <x v="9"/>
    <x v="6"/>
    <s v="Compteur 3"/>
    <s v="Compteur_3"/>
    <x v="1"/>
    <d v="1899-12-30T00:00:00"/>
    <d v="1899-12-30T00:00:00"/>
    <n v="1"/>
    <e v="#VALUE!"/>
    <n v="0"/>
    <e v="#VALUE!"/>
    <s v=""/>
    <e v="#VALUE!"/>
    <n v="0"/>
    <e v="#VALUE!"/>
    <e v="#VALUE!"/>
    <s v=""/>
    <s v=""/>
    <s v=""/>
    <n v="0"/>
    <x v="2"/>
    <x v="5"/>
    <x v="1"/>
    <x v="1"/>
    <n v="96.9"/>
  </r>
  <r>
    <d v="2015-10-01T00:00:00"/>
    <x v="70"/>
    <x v="10"/>
    <x v="6"/>
    <s v="Compteur 3"/>
    <s v="Compteur_3"/>
    <x v="1"/>
    <d v="1899-12-30T00:00:00"/>
    <d v="1899-12-30T00:00:00"/>
    <n v="1"/>
    <e v="#VALUE!"/>
    <n v="0"/>
    <e v="#VALUE!"/>
    <s v=""/>
    <e v="#VALUE!"/>
    <n v="0"/>
    <e v="#VALUE!"/>
    <e v="#VALUE!"/>
    <s v=""/>
    <s v=""/>
    <s v=""/>
    <n v="0"/>
    <x v="2"/>
    <x v="5"/>
    <x v="1"/>
    <x v="1"/>
    <n v="181.1"/>
  </r>
  <r>
    <d v="2015-11-01T00:00:00"/>
    <x v="71"/>
    <x v="11"/>
    <x v="6"/>
    <s v="Compteur 3"/>
    <s v="Compteur_3"/>
    <x v="1"/>
    <d v="1899-12-30T00:00:00"/>
    <d v="1899-12-30T00:00:00"/>
    <n v="1"/>
    <e v="#VALUE!"/>
    <n v="0"/>
    <e v="#VALUE!"/>
    <s v=""/>
    <e v="#VALUE!"/>
    <n v="0"/>
    <e v="#VALUE!"/>
    <e v="#VALUE!"/>
    <s v=""/>
    <s v=""/>
    <s v=""/>
    <n v="0"/>
    <x v="2"/>
    <x v="5"/>
    <x v="1"/>
    <x v="1"/>
    <n v="191.1"/>
  </r>
  <r>
    <d v="2015-12-01T00:00:00"/>
    <x v="72"/>
    <x v="12"/>
    <x v="6"/>
    <s v="Compteur 3"/>
    <s v="Compteur_3"/>
    <x v="1"/>
    <d v="1899-12-30T00:00:00"/>
    <d v="1899-12-30T00:00:00"/>
    <n v="1"/>
    <e v="#VALUE!"/>
    <n v="0"/>
    <e v="#VALUE!"/>
    <s v=""/>
    <e v="#VALUE!"/>
    <n v="0"/>
    <e v="#VALUE!"/>
    <e v="#VALUE!"/>
    <s v=""/>
    <s v=""/>
    <s v=""/>
    <n v="0"/>
    <x v="2"/>
    <x v="5"/>
    <x v="1"/>
    <x v="1"/>
    <n v="258.5"/>
  </r>
  <r>
    <d v="2016-01-01T00:00:00"/>
    <x v="73"/>
    <x v="1"/>
    <x v="7"/>
    <s v="Compteur 3"/>
    <s v="Compteur_3"/>
    <x v="1"/>
    <d v="1899-12-30T00:00:00"/>
    <d v="1899-12-30T00:00:00"/>
    <n v="1"/>
    <e v="#VALUE!"/>
    <n v="0"/>
    <e v="#VALUE!"/>
    <s v=""/>
    <e v="#VALUE!"/>
    <n v="0"/>
    <e v="#VALUE!"/>
    <e v="#VALUE!"/>
    <s v=""/>
    <s v=""/>
    <s v=""/>
    <n v="0"/>
    <x v="2"/>
    <x v="5"/>
    <x v="1"/>
    <x v="1"/>
    <n v="348.4"/>
  </r>
  <r>
    <d v="2016-02-01T00:00:00"/>
    <x v="74"/>
    <x v="2"/>
    <x v="7"/>
    <s v="Compteur 3"/>
    <s v="Compteur_3"/>
    <x v="1"/>
    <d v="1899-12-30T00:00:00"/>
    <d v="1899-12-30T00:00:00"/>
    <n v="1"/>
    <e v="#VALUE!"/>
    <n v="0"/>
    <e v="#VALUE!"/>
    <s v=""/>
    <e v="#VALUE!"/>
    <n v="0"/>
    <e v="#VALUE!"/>
    <e v="#VALUE!"/>
    <s v=""/>
    <s v=""/>
    <s v=""/>
    <n v="0"/>
    <x v="2"/>
    <x v="5"/>
    <x v="1"/>
    <x v="1"/>
    <n v="321.2"/>
  </r>
  <r>
    <d v="2016-03-01T00:00:00"/>
    <x v="75"/>
    <x v="3"/>
    <x v="7"/>
    <s v="Compteur 3"/>
    <s v="Compteur_3"/>
    <x v="1"/>
    <d v="1899-12-30T00:00:00"/>
    <d v="1899-12-30T00:00:00"/>
    <n v="1"/>
    <e v="#VALUE!"/>
    <n v="0"/>
    <e v="#VALUE!"/>
    <s v=""/>
    <e v="#VALUE!"/>
    <n v="0"/>
    <e v="#VALUE!"/>
    <e v="#VALUE!"/>
    <s v=""/>
    <s v=""/>
    <s v=""/>
    <n v="0"/>
    <x v="2"/>
    <x v="5"/>
    <x v="1"/>
    <x v="1"/>
    <n v="328.3"/>
  </r>
  <r>
    <d v="2016-04-01T00:00:00"/>
    <x v="76"/>
    <x v="4"/>
    <x v="7"/>
    <s v="Compteur 3"/>
    <s v="Compteur_3"/>
    <x v="1"/>
    <d v="1899-12-30T00:00:00"/>
    <d v="1899-12-30T00:00:00"/>
    <n v="1"/>
    <e v="#VALUE!"/>
    <n v="0"/>
    <e v="#VALUE!"/>
    <s v=""/>
    <e v="#VALUE!"/>
    <n v="0"/>
    <e v="#VALUE!"/>
    <e v="#VALUE!"/>
    <s v=""/>
    <s v=""/>
    <s v=""/>
    <n v="0"/>
    <x v="2"/>
    <x v="5"/>
    <x v="1"/>
    <x v="1"/>
    <n v="252.6"/>
  </r>
  <r>
    <d v="2016-05-01T00:00:00"/>
    <x v="77"/>
    <x v="5"/>
    <x v="7"/>
    <s v="Compteur 3"/>
    <s v="Compteur_3"/>
    <x v="1"/>
    <d v="1899-12-30T00:00:00"/>
    <d v="1899-12-30T00:00:00"/>
    <n v="1"/>
    <e v="#VALUE!"/>
    <n v="0"/>
    <e v="#VALUE!"/>
    <s v=""/>
    <e v="#VALUE!"/>
    <n v="0"/>
    <e v="#VALUE!"/>
    <e v="#VALUE!"/>
    <s v=""/>
    <s v=""/>
    <s v=""/>
    <n v="0"/>
    <x v="2"/>
    <x v="5"/>
    <x v="1"/>
    <x v="1"/>
    <n v="124.3"/>
  </r>
  <r>
    <d v="2016-06-01T00:00:00"/>
    <x v="78"/>
    <x v="6"/>
    <x v="7"/>
    <s v="Compteur 3"/>
    <s v="Compteur_3"/>
    <x v="1"/>
    <d v="1899-12-30T00:00:00"/>
    <d v="1899-12-30T00:00:00"/>
    <n v="1"/>
    <e v="#VALUE!"/>
    <n v="0"/>
    <e v="#VALUE!"/>
    <s v=""/>
    <e v="#VALUE!"/>
    <n v="0"/>
    <e v="#VALUE!"/>
    <e v="#VALUE!"/>
    <s v=""/>
    <s v=""/>
    <s v=""/>
    <n v="0"/>
    <x v="2"/>
    <x v="5"/>
    <x v="1"/>
    <x v="1"/>
    <n v="47.7"/>
  </r>
  <r>
    <d v="2016-07-01T00:00:00"/>
    <x v="79"/>
    <x v="7"/>
    <x v="7"/>
    <s v="Compteur 3"/>
    <s v="Compteur_3"/>
    <x v="1"/>
    <d v="1899-12-30T00:00:00"/>
    <d v="1899-12-30T00:00:00"/>
    <n v="1"/>
    <e v="#VALUE!"/>
    <n v="0"/>
    <e v="#VALUE!"/>
    <s v=""/>
    <e v="#VALUE!"/>
    <n v="0"/>
    <e v="#VALUE!"/>
    <e v="#VALUE!"/>
    <s v=""/>
    <s v=""/>
    <s v=""/>
    <n v="0"/>
    <x v="2"/>
    <x v="5"/>
    <x v="1"/>
    <x v="1"/>
    <n v="32.299999999999997"/>
  </r>
  <r>
    <d v="2016-08-01T00:00:00"/>
    <x v="80"/>
    <x v="8"/>
    <x v="7"/>
    <s v="Compteur 3"/>
    <s v="Compteur_3"/>
    <x v="1"/>
    <d v="1899-12-30T00:00:00"/>
    <d v="1899-12-30T00:00:00"/>
    <n v="1"/>
    <e v="#VALUE!"/>
    <n v="0"/>
    <e v="#VALUE!"/>
    <s v=""/>
    <e v="#VALUE!"/>
    <n v="0"/>
    <e v="#VALUE!"/>
    <e v="#VALUE!"/>
    <s v=""/>
    <s v=""/>
    <s v=""/>
    <n v="0"/>
    <x v="2"/>
    <x v="5"/>
    <x v="1"/>
    <x v="1"/>
    <n v="33.799999999999997"/>
  </r>
  <r>
    <d v="2016-09-01T00:00:00"/>
    <x v="81"/>
    <x v="9"/>
    <x v="7"/>
    <s v="Compteur 3"/>
    <s v="Compteur_3"/>
    <x v="1"/>
    <d v="1899-12-30T00:00:00"/>
    <d v="1899-12-30T00:00:00"/>
    <n v="1"/>
    <e v="#VALUE!"/>
    <n v="0"/>
    <e v="#VALUE!"/>
    <s v=""/>
    <e v="#VALUE!"/>
    <n v="0"/>
    <e v="#VALUE!"/>
    <e v="#VALUE!"/>
    <s v=""/>
    <s v=""/>
    <s v=""/>
    <n v="0"/>
    <x v="2"/>
    <x v="5"/>
    <x v="1"/>
    <x v="1"/>
    <n v="43.5"/>
  </r>
  <r>
    <d v="2016-10-01T00:00:00"/>
    <x v="82"/>
    <x v="10"/>
    <x v="7"/>
    <s v="Compteur 3"/>
    <s v="Compteur_3"/>
    <x v="1"/>
    <d v="1899-12-30T00:00:00"/>
    <d v="1899-12-30T00:00:00"/>
    <n v="1"/>
    <e v="#VALUE!"/>
    <n v="0"/>
    <e v="#VALUE!"/>
    <s v=""/>
    <e v="#VALUE!"/>
    <n v="0"/>
    <e v="#VALUE!"/>
    <e v="#VALUE!"/>
    <s v=""/>
    <s v=""/>
    <s v=""/>
    <n v="0"/>
    <x v="2"/>
    <x v="5"/>
    <x v="1"/>
    <x v="1"/>
    <n v="202.6"/>
  </r>
  <r>
    <d v="2016-11-01T00:00:00"/>
    <x v="83"/>
    <x v="11"/>
    <x v="7"/>
    <s v="Compteur 3"/>
    <s v="Compteur_3"/>
    <x v="1"/>
    <d v="1899-12-30T00:00:00"/>
    <d v="1899-12-30T00:00:00"/>
    <n v="1"/>
    <e v="#VALUE!"/>
    <n v="0"/>
    <e v="#VALUE!"/>
    <s v=""/>
    <e v="#VALUE!"/>
    <n v="0"/>
    <e v="#VALUE!"/>
    <e v="#VALUE!"/>
    <s v=""/>
    <s v=""/>
    <s v=""/>
    <n v="0"/>
    <x v="2"/>
    <x v="5"/>
    <x v="1"/>
    <x v="1"/>
    <n v="289.2"/>
  </r>
  <r>
    <d v="2016-12-01T00:00:00"/>
    <x v="84"/>
    <x v="12"/>
    <x v="7"/>
    <s v="Compteur 3"/>
    <s v="Compteur_3"/>
    <x v="1"/>
    <d v="1899-12-30T00:00:00"/>
    <d v="1899-12-30T00:00:00"/>
    <n v="1"/>
    <e v="#VALUE!"/>
    <n v="0"/>
    <e v="#VALUE!"/>
    <s v=""/>
    <e v="#VALUE!"/>
    <n v="0"/>
    <e v="#VALUE!"/>
    <e v="#VALUE!"/>
    <s v=""/>
    <s v=""/>
    <s v=""/>
    <n v="0"/>
    <x v="2"/>
    <x v="5"/>
    <x v="1"/>
    <x v="1"/>
    <n v="370.4"/>
  </r>
  <r>
    <d v="2017-01-01T00:00:00"/>
    <x v="85"/>
    <x v="1"/>
    <x v="8"/>
    <s v="Compteur 3"/>
    <s v="Compteur_3"/>
    <x v="1"/>
    <d v="1899-12-30T00:00:00"/>
    <d v="1899-12-30T00:00:00"/>
    <n v="1"/>
    <e v="#VALUE!"/>
    <n v="0"/>
    <e v="#VALUE!"/>
    <s v=""/>
    <e v="#VALUE!"/>
    <n v="0"/>
    <e v="#VALUE!"/>
    <e v="#VALUE!"/>
    <s v=""/>
    <s v=""/>
    <s v=""/>
    <n v="0"/>
    <x v="2"/>
    <x v="5"/>
    <x v="1"/>
    <x v="1"/>
    <n v="451.9"/>
  </r>
  <r>
    <d v="2017-02-01T00:00:00"/>
    <x v="86"/>
    <x v="2"/>
    <x v="8"/>
    <s v="Compteur 3"/>
    <s v="Compteur_3"/>
    <x v="1"/>
    <d v="1899-12-30T00:00:00"/>
    <d v="1899-12-30T00:00:00"/>
    <n v="1"/>
    <e v="#VALUE!"/>
    <n v="0"/>
    <e v="#VALUE!"/>
    <s v=""/>
    <e v="#VALUE!"/>
    <n v="0"/>
    <e v="#VALUE!"/>
    <e v="#VALUE!"/>
    <s v=""/>
    <s v=""/>
    <s v=""/>
    <n v="0"/>
    <x v="2"/>
    <x v="5"/>
    <x v="1"/>
    <x v="1"/>
    <n v="287.8"/>
  </r>
  <r>
    <d v="2017-03-01T00:00:00"/>
    <x v="87"/>
    <x v="3"/>
    <x v="8"/>
    <s v="Compteur 3"/>
    <s v="Compteur_3"/>
    <x v="1"/>
    <d v="1899-12-30T00:00:00"/>
    <d v="1899-12-30T00:00:00"/>
    <n v="1"/>
    <e v="#VALUE!"/>
    <n v="0"/>
    <e v="#VALUE!"/>
    <s v=""/>
    <e v="#VALUE!"/>
    <n v="0"/>
    <e v="#VALUE!"/>
    <e v="#VALUE!"/>
    <s v=""/>
    <s v=""/>
    <s v=""/>
    <n v="0"/>
    <x v="2"/>
    <x v="5"/>
    <x v="1"/>
    <x v="1"/>
    <n v="226.3"/>
  </r>
  <r>
    <d v="2017-04-01T00:00:00"/>
    <x v="88"/>
    <x v="4"/>
    <x v="8"/>
    <s v="Compteur 3"/>
    <s v="Compteur_3"/>
    <x v="1"/>
    <d v="1899-12-30T00:00:00"/>
    <d v="1899-12-30T00:00:00"/>
    <n v="1"/>
    <e v="#VALUE!"/>
    <n v="0"/>
    <e v="#VALUE!"/>
    <s v=""/>
    <e v="#VALUE!"/>
    <n v="0"/>
    <e v="#VALUE!"/>
    <e v="#VALUE!"/>
    <s v=""/>
    <s v=""/>
    <s v=""/>
    <n v="0"/>
    <x v="2"/>
    <x v="5"/>
    <x v="1"/>
    <x v="1"/>
    <n v="227.8"/>
  </r>
  <r>
    <d v="2017-05-01T00:00:00"/>
    <x v="89"/>
    <x v="5"/>
    <x v="8"/>
    <s v="Compteur 3"/>
    <s v="Compteur_3"/>
    <x v="1"/>
    <d v="1899-12-30T00:00:00"/>
    <d v="1899-12-30T00:00:00"/>
    <n v="1"/>
    <e v="#VALUE!"/>
    <n v="0"/>
    <e v="#VALUE!"/>
    <s v=""/>
    <e v="#VALUE!"/>
    <n v="0"/>
    <e v="#VALUE!"/>
    <e v="#VALUE!"/>
    <s v=""/>
    <s v=""/>
    <s v=""/>
    <n v="0"/>
    <x v="2"/>
    <x v="5"/>
    <x v="1"/>
    <x v="1"/>
    <n v="98"/>
  </r>
  <r>
    <d v="2017-06-01T00:00:00"/>
    <x v="90"/>
    <x v="6"/>
    <x v="8"/>
    <s v="Compteur 3"/>
    <s v="Compteur_3"/>
    <x v="1"/>
    <d v="1899-12-30T00:00:00"/>
    <d v="1899-12-30T00:00:00"/>
    <n v="1"/>
    <e v="#VALUE!"/>
    <n v="0"/>
    <e v="#VALUE!"/>
    <s v=""/>
    <e v="#VALUE!"/>
    <n v="0"/>
    <e v="#VALUE!"/>
    <e v="#VALUE!"/>
    <s v=""/>
    <s v=""/>
    <s v=""/>
    <n v="0"/>
    <x v="2"/>
    <x v="5"/>
    <x v="1"/>
    <x v="1"/>
    <n v="30.9"/>
  </r>
  <r>
    <d v="2017-07-01T00:00:00"/>
    <x v="91"/>
    <x v="7"/>
    <x v="8"/>
    <s v="Compteur 3"/>
    <s v="Compteur_3"/>
    <x v="1"/>
    <d v="1899-12-30T00:00:00"/>
    <d v="1899-12-30T00:00:00"/>
    <n v="1"/>
    <e v="#VALUE!"/>
    <n v="0"/>
    <e v="#VALUE!"/>
    <s v=""/>
    <e v="#VALUE!"/>
    <n v="0"/>
    <e v="#VALUE!"/>
    <e v="#VALUE!"/>
    <s v=""/>
    <s v=""/>
    <s v=""/>
    <n v="0"/>
    <x v="2"/>
    <x v="5"/>
    <x v="1"/>
    <x v="1"/>
    <n v="23.6"/>
  </r>
  <r>
    <d v="2017-08-01T00:00:00"/>
    <x v="92"/>
    <x v="8"/>
    <x v="8"/>
    <s v="Compteur 3"/>
    <s v="Compteur_3"/>
    <x v="1"/>
    <d v="1899-12-30T00:00:00"/>
    <d v="1899-12-30T00:00:00"/>
    <n v="1"/>
    <e v="#VALUE!"/>
    <n v="0"/>
    <e v="#VALUE!"/>
    <s v=""/>
    <e v="#VALUE!"/>
    <n v="0"/>
    <e v="#VALUE!"/>
    <e v="#VALUE!"/>
    <s v=""/>
    <s v=""/>
    <s v=""/>
    <n v="0"/>
    <x v="2"/>
    <x v="5"/>
    <x v="1"/>
    <x v="1"/>
    <n v="32.200000000000003"/>
  </r>
  <r>
    <d v="2017-09-01T00:00:00"/>
    <x v="93"/>
    <x v="9"/>
    <x v="8"/>
    <s v="Compteur 3"/>
    <s v="Compteur_3"/>
    <x v="1"/>
    <d v="1899-12-30T00:00:00"/>
    <d v="1899-12-30T00:00:00"/>
    <n v="1"/>
    <e v="#VALUE!"/>
    <n v="0"/>
    <e v="#VALUE!"/>
    <s v=""/>
    <e v="#VALUE!"/>
    <n v="0"/>
    <e v="#VALUE!"/>
    <e v="#VALUE!"/>
    <s v=""/>
    <s v=""/>
    <s v=""/>
    <n v="0"/>
    <x v="2"/>
    <x v="5"/>
    <x v="1"/>
    <x v="1"/>
    <n v="82.3"/>
  </r>
  <r>
    <d v="2017-10-01T00:00:00"/>
    <x v="94"/>
    <x v="10"/>
    <x v="8"/>
    <s v="Compteur 3"/>
    <s v="Compteur_3"/>
    <x v="1"/>
    <d v="1899-12-30T00:00:00"/>
    <d v="1899-12-30T00:00:00"/>
    <n v="1"/>
    <e v="#VALUE!"/>
    <n v="0"/>
    <e v="#VALUE!"/>
    <s v=""/>
    <e v="#VALUE!"/>
    <n v="0"/>
    <e v="#VALUE!"/>
    <e v="#VALUE!"/>
    <s v=""/>
    <s v=""/>
    <s v=""/>
    <n v="0"/>
    <x v="2"/>
    <x v="5"/>
    <x v="1"/>
    <x v="1"/>
    <n v="126.4"/>
  </r>
  <r>
    <d v="2017-11-01T00:00:00"/>
    <x v="95"/>
    <x v="11"/>
    <x v="8"/>
    <s v="Compteur 3"/>
    <s v="Compteur_3"/>
    <x v="1"/>
    <d v="1899-12-30T00:00:00"/>
    <d v="1899-12-30T00:00:00"/>
    <n v="1"/>
    <e v="#VALUE!"/>
    <n v="0"/>
    <e v="#VALUE!"/>
    <s v=""/>
    <e v="#VALUE!"/>
    <n v="0"/>
    <e v="#VALUE!"/>
    <e v="#VALUE!"/>
    <s v=""/>
    <s v=""/>
    <s v=""/>
    <n v="0"/>
    <x v="2"/>
    <x v="5"/>
    <x v="1"/>
    <x v="1"/>
    <n v="289.89999999999998"/>
  </r>
  <r>
    <d v="2017-12-01T00:00:00"/>
    <x v="96"/>
    <x v="12"/>
    <x v="8"/>
    <s v="Compteur 3"/>
    <s v="Compteur_3"/>
    <x v="1"/>
    <d v="1899-12-30T00:00:00"/>
    <d v="1899-12-30T00:00:00"/>
    <n v="1"/>
    <e v="#VALUE!"/>
    <n v="0"/>
    <e v="#VALUE!"/>
    <s v=""/>
    <e v="#VALUE!"/>
    <n v="0"/>
    <e v="#VALUE!"/>
    <e v="#VALUE!"/>
    <s v=""/>
    <s v=""/>
    <s v=""/>
    <n v="0"/>
    <x v="2"/>
    <x v="5"/>
    <x v="1"/>
    <x v="1"/>
    <n v="366.2"/>
  </r>
  <r>
    <d v="2018-01-01T00:00:00"/>
    <x v="97"/>
    <x v="1"/>
    <x v="9"/>
    <s v="Compteur 3"/>
    <s v="Compteur_3"/>
    <x v="1"/>
    <d v="1899-12-30T00:00:00"/>
    <d v="1899-12-30T00:00:00"/>
    <n v="1"/>
    <e v="#VALUE!"/>
    <n v="0"/>
    <e v="#VALUE!"/>
    <s v=""/>
    <e v="#VALUE!"/>
    <n v="0"/>
    <e v="#VALUE!"/>
    <e v="#VALUE!"/>
    <s v=""/>
    <s v=""/>
    <s v=""/>
    <n v="0"/>
    <x v="2"/>
    <x v="5"/>
    <x v="1"/>
    <x v="1"/>
    <n v="298.60000000000002"/>
  </r>
  <r>
    <d v="2018-02-01T00:00:00"/>
    <x v="98"/>
    <x v="2"/>
    <x v="9"/>
    <s v="Compteur 3"/>
    <s v="Compteur_3"/>
    <x v="1"/>
    <d v="1899-12-30T00:00:00"/>
    <d v="1899-12-30T00:00:00"/>
    <n v="1"/>
    <e v="#VALUE!"/>
    <n v="0"/>
    <e v="#VALUE!"/>
    <s v=""/>
    <e v="#VALUE!"/>
    <n v="0"/>
    <e v="#VALUE!"/>
    <e v="#VALUE!"/>
    <s v=""/>
    <s v=""/>
    <s v=""/>
    <n v="0"/>
    <x v="2"/>
    <x v="5"/>
    <x v="1"/>
    <x v="1"/>
    <n v="415.2"/>
  </r>
  <r>
    <d v="2018-03-01T00:00:00"/>
    <x v="99"/>
    <x v="3"/>
    <x v="9"/>
    <s v="Compteur 3"/>
    <s v="Compteur_3"/>
    <x v="1"/>
    <d v="1899-12-30T00:00:00"/>
    <d v="1899-12-30T00:00:00"/>
    <n v="1"/>
    <e v="#VALUE!"/>
    <n v="0"/>
    <e v="#VALUE!"/>
    <s v=""/>
    <e v="#VALUE!"/>
    <n v="0"/>
    <e v="#VALUE!"/>
    <e v="#VALUE!"/>
    <s v=""/>
    <s v=""/>
    <s v=""/>
    <n v="0"/>
    <x v="2"/>
    <x v="5"/>
    <x v="1"/>
    <x v="1"/>
    <n v="305.39999999999998"/>
  </r>
  <r>
    <d v="2018-04-01T00:00:00"/>
    <x v="100"/>
    <x v="4"/>
    <x v="9"/>
    <s v="Compteur 3"/>
    <s v="Compteur_3"/>
    <x v="1"/>
    <d v="1899-12-30T00:00:00"/>
    <d v="1899-12-30T00:00:00"/>
    <n v="1"/>
    <e v="#VALUE!"/>
    <n v="0"/>
    <e v="#VALUE!"/>
    <s v=""/>
    <e v="#VALUE!"/>
    <n v="0"/>
    <e v="#VALUE!"/>
    <e v="#VALUE!"/>
    <s v=""/>
    <s v=""/>
    <s v=""/>
    <n v="0"/>
    <x v="2"/>
    <x v="5"/>
    <x v="1"/>
    <x v="1"/>
    <n v="152.19999999999999"/>
  </r>
  <r>
    <d v="2018-05-01T00:00:00"/>
    <x v="101"/>
    <x v="5"/>
    <x v="9"/>
    <s v="Compteur 3"/>
    <s v="Compteur_3"/>
    <x v="1"/>
    <d v="1899-12-30T00:00:00"/>
    <d v="1899-12-30T00:00:00"/>
    <n v="1"/>
    <e v="#VALUE!"/>
    <n v="0"/>
    <e v="#VALUE!"/>
    <s v=""/>
    <e v="#VALUE!"/>
    <n v="0"/>
    <e v="#VALUE!"/>
    <e v="#VALUE!"/>
    <s v=""/>
    <s v=""/>
    <s v=""/>
    <n v="0"/>
    <x v="2"/>
    <x v="5"/>
    <x v="1"/>
    <x v="1"/>
    <n v="95.8"/>
  </r>
  <r>
    <d v="2018-06-01T00:00:00"/>
    <x v="102"/>
    <x v="6"/>
    <x v="9"/>
    <s v="Compteur 3"/>
    <s v="Compteur_3"/>
    <x v="1"/>
    <d v="1899-12-30T00:00:00"/>
    <d v="1899-12-30T00:00:00"/>
    <n v="1"/>
    <e v="#VALUE!"/>
    <n v="0"/>
    <e v="#VALUE!"/>
    <s v=""/>
    <e v="#VALUE!"/>
    <n v="0"/>
    <e v="#VALUE!"/>
    <e v="#VALUE!"/>
    <s v=""/>
    <s v=""/>
    <s v=""/>
    <n v="0"/>
    <x v="2"/>
    <x v="5"/>
    <x v="1"/>
    <x v="1"/>
    <n v="25.4"/>
  </r>
  <r>
    <d v="2018-07-01T00:00:00"/>
    <x v="103"/>
    <x v="7"/>
    <x v="9"/>
    <s v="Compteur 3"/>
    <s v="Compteur_3"/>
    <x v="1"/>
    <d v="1899-12-30T00:00:00"/>
    <d v="1899-12-30T00:00:00"/>
    <n v="1"/>
    <e v="#VALUE!"/>
    <n v="0"/>
    <e v="#VALUE!"/>
    <s v=""/>
    <e v="#VALUE!"/>
    <n v="0"/>
    <e v="#VALUE!"/>
    <e v="#VALUE!"/>
    <s v=""/>
    <s v=""/>
    <s v=""/>
    <n v="0"/>
    <x v="2"/>
    <x v="5"/>
    <x v="1"/>
    <x v="1"/>
    <n v="5.9"/>
  </r>
  <r>
    <d v="2018-08-01T00:00:00"/>
    <x v="104"/>
    <x v="8"/>
    <x v="9"/>
    <s v="Compteur 3"/>
    <s v="Compteur_3"/>
    <x v="1"/>
    <d v="1899-12-30T00:00:00"/>
    <d v="1899-12-30T00:00:00"/>
    <n v="1"/>
    <e v="#VALUE!"/>
    <n v="0"/>
    <e v="#VALUE!"/>
    <s v=""/>
    <e v="#VALUE!"/>
    <n v="0"/>
    <e v="#VALUE!"/>
    <e v="#VALUE!"/>
    <s v=""/>
    <s v=""/>
    <s v=""/>
    <n v="0"/>
    <x v="2"/>
    <x v="5"/>
    <x v="1"/>
    <x v="1"/>
    <n v="26"/>
  </r>
  <r>
    <d v="2018-09-01T00:00:00"/>
    <x v="105"/>
    <x v="9"/>
    <x v="9"/>
    <s v="Compteur 3"/>
    <s v="Compteur_3"/>
    <x v="1"/>
    <d v="1899-12-30T00:00:00"/>
    <d v="1899-12-30T00:00:00"/>
    <n v="1"/>
    <e v="#VALUE!"/>
    <n v="0"/>
    <e v="#VALUE!"/>
    <s v=""/>
    <e v="#VALUE!"/>
    <n v="0"/>
    <e v="#VALUE!"/>
    <e v="#VALUE!"/>
    <s v=""/>
    <s v=""/>
    <s v=""/>
    <n v="0"/>
    <x v="2"/>
    <x v="5"/>
    <x v="1"/>
    <x v="1"/>
    <n v="73.599999999999994"/>
  </r>
  <r>
    <d v="2018-10-01T00:00:00"/>
    <x v="106"/>
    <x v="10"/>
    <x v="9"/>
    <s v="Compteur 3"/>
    <s v="Compteur_3"/>
    <x v="1"/>
    <d v="1899-12-30T00:00:00"/>
    <d v="1899-12-30T00:00:00"/>
    <n v="1"/>
    <e v="#VALUE!"/>
    <n v="0"/>
    <e v="#VALUE!"/>
    <s v=""/>
    <e v="#VALUE!"/>
    <n v="0"/>
    <e v="#VALUE!"/>
    <e v="#VALUE!"/>
    <s v=""/>
    <s v=""/>
    <s v=""/>
    <n v="0"/>
    <x v="2"/>
    <x v="5"/>
    <x v="1"/>
    <x v="1"/>
    <n v="157.5"/>
  </r>
  <r>
    <d v="2018-11-01T00:00:00"/>
    <x v="107"/>
    <x v="11"/>
    <x v="9"/>
    <s v="Compteur 3"/>
    <s v="Compteur_3"/>
    <x v="1"/>
    <d v="1899-12-30T00:00:00"/>
    <d v="1899-12-30T00:00:00"/>
    <n v="1"/>
    <e v="#VALUE!"/>
    <n v="0"/>
    <e v="#VALUE!"/>
    <s v=""/>
    <e v="#VALUE!"/>
    <n v="0"/>
    <e v="#VALUE!"/>
    <e v="#VALUE!"/>
    <s v=""/>
    <s v=""/>
    <s v=""/>
    <n v="0"/>
    <x v="2"/>
    <x v="5"/>
    <x v="1"/>
    <x v="1"/>
    <n v="278"/>
  </r>
  <r>
    <d v="2018-12-01T00:00:00"/>
    <x v="108"/>
    <x v="12"/>
    <x v="9"/>
    <s v="Compteur 3"/>
    <s v="Compteur_3"/>
    <x v="1"/>
    <d v="1899-12-30T00:00:00"/>
    <d v="1899-12-30T00:00:00"/>
    <n v="1"/>
    <e v="#VALUE!"/>
    <n v="0"/>
    <e v="#VALUE!"/>
    <s v=""/>
    <e v="#VALUE!"/>
    <n v="0"/>
    <e v="#VALUE!"/>
    <e v="#VALUE!"/>
    <s v=""/>
    <s v=""/>
    <s v=""/>
    <n v="0"/>
    <x v="2"/>
    <x v="5"/>
    <x v="1"/>
    <x v="1"/>
    <n v="319.2"/>
  </r>
  <r>
    <d v="2019-01-01T00:00:00"/>
    <x v="109"/>
    <x v="1"/>
    <x v="10"/>
    <s v="Compteur 3"/>
    <s v="Compteur_3"/>
    <x v="1"/>
    <d v="1899-12-30T00:00:00"/>
    <d v="1899-12-30T00:00:00"/>
    <n v="1"/>
    <e v="#VALUE!"/>
    <n v="0"/>
    <e v="#VALUE!"/>
    <s v=""/>
    <e v="#VALUE!"/>
    <n v="0"/>
    <e v="#VALUE!"/>
    <e v="#VALUE!"/>
    <s v=""/>
    <s v=""/>
    <s v=""/>
    <n v="0"/>
    <x v="2"/>
    <x v="5"/>
    <x v="1"/>
    <x v="1"/>
    <n v="402.2"/>
  </r>
  <r>
    <d v="2019-02-01T00:00:00"/>
    <x v="110"/>
    <x v="2"/>
    <x v="10"/>
    <s v="Compteur 3"/>
    <s v="Compteur_3"/>
    <x v="1"/>
    <d v="1899-12-30T00:00:00"/>
    <d v="1899-12-30T00:00:00"/>
    <n v="1"/>
    <e v="#VALUE!"/>
    <n v="0"/>
    <e v="#VALUE!"/>
    <s v=""/>
    <e v="#VALUE!"/>
    <n v="0"/>
    <e v="#VALUE!"/>
    <e v="#VALUE!"/>
    <s v=""/>
    <s v=""/>
    <s v=""/>
    <n v="0"/>
    <x v="2"/>
    <x v="5"/>
    <x v="1"/>
    <x v="1"/>
    <n v="297.3"/>
  </r>
  <r>
    <d v="2019-03-01T00:00:00"/>
    <x v="111"/>
    <x v="3"/>
    <x v="10"/>
    <s v="Compteur 3"/>
    <s v="Compteur_3"/>
    <x v="1"/>
    <d v="1899-12-30T00:00:00"/>
    <d v="1899-12-30T00:00:00"/>
    <n v="1"/>
    <e v="#VALUE!"/>
    <n v="0"/>
    <e v="#VALUE!"/>
    <s v=""/>
    <e v="#VALUE!"/>
    <n v="0"/>
    <e v="#VALUE!"/>
    <e v="#VALUE!"/>
    <s v=""/>
    <s v=""/>
    <s v=""/>
    <n v="0"/>
    <x v="2"/>
    <x v="5"/>
    <x v="1"/>
    <x v="1"/>
    <n v="260.39999999999998"/>
  </r>
  <r>
    <d v="2019-04-01T00:00:00"/>
    <x v="112"/>
    <x v="4"/>
    <x v="10"/>
    <s v="Compteur 3"/>
    <s v="Compteur_3"/>
    <x v="1"/>
    <d v="1899-12-30T00:00:00"/>
    <d v="1899-12-30T00:00:00"/>
    <n v="1"/>
    <e v="#VALUE!"/>
    <n v="0"/>
    <e v="#VALUE!"/>
    <s v=""/>
    <e v="#VALUE!"/>
    <n v="0"/>
    <e v="#VALUE!"/>
    <e v="#VALUE!"/>
    <s v=""/>
    <s v=""/>
    <s v=""/>
    <n v="0"/>
    <x v="2"/>
    <x v="5"/>
    <x v="1"/>
    <x v="1"/>
    <n v="201.4"/>
  </r>
  <r>
    <d v="2019-05-01T00:00:00"/>
    <x v="113"/>
    <x v="5"/>
    <x v="10"/>
    <s v="Compteur 3"/>
    <s v="Compteur_3"/>
    <x v="1"/>
    <d v="1899-12-30T00:00:00"/>
    <d v="1899-12-30T00:00:00"/>
    <n v="1"/>
    <e v="#VALUE!"/>
    <n v="0"/>
    <e v="#VALUE!"/>
    <s v=""/>
    <e v="#VALUE!"/>
    <n v="0"/>
    <e v="#VALUE!"/>
    <e v="#VALUE!"/>
    <s v=""/>
    <s v=""/>
    <s v=""/>
    <n v="0"/>
    <x v="2"/>
    <x v="5"/>
    <x v="1"/>
    <x v="1"/>
    <n v="147.9"/>
  </r>
  <r>
    <d v="2019-06-01T00:00:00"/>
    <x v="114"/>
    <x v="6"/>
    <x v="10"/>
    <s v="Compteur 3"/>
    <s v="Compteur_3"/>
    <x v="1"/>
    <d v="1899-12-30T00:00:00"/>
    <d v="1899-12-30T00:00:00"/>
    <n v="1"/>
    <e v="#VALUE!"/>
    <n v="0"/>
    <e v="#VALUE!"/>
    <s v=""/>
    <e v="#VALUE!"/>
    <n v="0"/>
    <e v="#VALUE!"/>
    <e v="#VALUE!"/>
    <s v=""/>
    <s v=""/>
    <s v=""/>
    <n v="0"/>
    <x v="2"/>
    <x v="5"/>
    <x v="1"/>
    <x v="1"/>
    <n v="54.1"/>
  </r>
  <r>
    <d v="2019-07-01T00:00:00"/>
    <x v="115"/>
    <x v="7"/>
    <x v="10"/>
    <s v="Compteur 3"/>
    <s v="Compteur_3"/>
    <x v="1"/>
    <d v="1899-12-30T00:00:00"/>
    <d v="1899-12-30T00:00:00"/>
    <n v="1"/>
    <e v="#VALUE!"/>
    <n v="0"/>
    <e v="#VALUE!"/>
    <s v=""/>
    <e v="#VALUE!"/>
    <n v="0"/>
    <e v="#VALUE!"/>
    <e v="#VALUE!"/>
    <s v=""/>
    <s v=""/>
    <s v=""/>
    <n v="0"/>
    <x v="2"/>
    <x v="5"/>
    <x v="1"/>
    <x v="1"/>
    <n v="15.5"/>
  </r>
  <r>
    <d v="2019-08-01T00:00:00"/>
    <x v="116"/>
    <x v="8"/>
    <x v="10"/>
    <s v="Compteur 3"/>
    <s v="Compteur_3"/>
    <x v="1"/>
    <d v="1899-12-30T00:00:00"/>
    <d v="1899-12-30T00:00:00"/>
    <n v="1"/>
    <e v="#VALUE!"/>
    <n v="0"/>
    <e v="#VALUE!"/>
    <s v=""/>
    <e v="#VALUE!"/>
    <n v="0"/>
    <e v="#VALUE!"/>
    <e v="#VALUE!"/>
    <s v=""/>
    <s v=""/>
    <s v=""/>
    <n v="0"/>
    <x v="2"/>
    <x v="5"/>
    <x v="1"/>
    <x v="1"/>
    <n v="30.2"/>
  </r>
  <r>
    <d v="2019-09-01T00:00:00"/>
    <x v="117"/>
    <x v="9"/>
    <x v="10"/>
    <s v="Compteur 3"/>
    <s v="Compteur_3"/>
    <x v="1"/>
    <d v="1899-12-30T00:00:00"/>
    <d v="1899-12-30T00:00:00"/>
    <n v="1"/>
    <e v="#VALUE!"/>
    <n v="0"/>
    <e v="#VALUE!"/>
    <s v=""/>
    <e v="#VALUE!"/>
    <n v="0"/>
    <e v="#VALUE!"/>
    <e v="#VALUE!"/>
    <s v=""/>
    <s v=""/>
    <s v=""/>
    <n v="0"/>
    <x v="2"/>
    <x v="5"/>
    <x v="1"/>
    <x v="1"/>
    <n v="64.7"/>
  </r>
  <r>
    <d v="2019-10-01T00:00:00"/>
    <x v="118"/>
    <x v="10"/>
    <x v="10"/>
    <s v="Compteur 3"/>
    <s v="Compteur_3"/>
    <x v="1"/>
    <d v="1899-12-30T00:00:00"/>
    <d v="1899-12-30T00:00:00"/>
    <n v="1"/>
    <e v="#VALUE!"/>
    <n v="0"/>
    <e v="#VALUE!"/>
    <s v=""/>
    <e v="#VALUE!"/>
    <n v="0"/>
    <e v="#VALUE!"/>
    <e v="#VALUE!"/>
    <s v=""/>
    <s v=""/>
    <s v=""/>
    <n v="0"/>
    <x v="2"/>
    <x v="5"/>
    <x v="1"/>
    <x v="1"/>
    <n v="128.80000000000001"/>
  </r>
  <r>
    <d v="2019-11-01T00:00:00"/>
    <x v="119"/>
    <x v="11"/>
    <x v="10"/>
    <s v="Compteur 3"/>
    <s v="Compteur_3"/>
    <x v="1"/>
    <d v="1899-12-30T00:00:00"/>
    <d v="1899-12-30T00:00:00"/>
    <n v="1"/>
    <e v="#VALUE!"/>
    <n v="0"/>
    <e v="#VALUE!"/>
    <s v=""/>
    <e v="#VALUE!"/>
    <n v="0"/>
    <e v="#VALUE!"/>
    <e v="#VALUE!"/>
    <s v=""/>
    <s v=""/>
    <s v=""/>
    <n v="0"/>
    <x v="2"/>
    <x v="5"/>
    <x v="1"/>
    <x v="1"/>
    <n v="293.10000000000002"/>
  </r>
  <r>
    <d v="2019-12-01T00:00:00"/>
    <x v="120"/>
    <x v="12"/>
    <x v="10"/>
    <s v="Compteur 3"/>
    <s v="Compteur_3"/>
    <x v="1"/>
    <d v="1899-12-30T00:00:00"/>
    <d v="1899-12-30T00:00:00"/>
    <n v="1"/>
    <e v="#VALUE!"/>
    <n v="0"/>
    <e v="#VALUE!"/>
    <s v=""/>
    <e v="#VALUE!"/>
    <n v="0"/>
    <e v="#VALUE!"/>
    <e v="#VALUE!"/>
    <s v=""/>
    <s v=""/>
    <s v=""/>
    <n v="0"/>
    <x v="2"/>
    <x v="5"/>
    <x v="1"/>
    <x v="1"/>
    <n v="323"/>
  </r>
  <r>
    <d v="2020-01-01T00:00:00"/>
    <x v="121"/>
    <x v="1"/>
    <x v="11"/>
    <s v="Compteur 3"/>
    <s v="Compteur_3"/>
    <x v="1"/>
    <d v="1899-12-30T00:00:00"/>
    <d v="1899-12-30T00:00:00"/>
    <n v="1"/>
    <e v="#VALUE!"/>
    <n v="0"/>
    <e v="#VALUE!"/>
    <s v=""/>
    <e v="#VALUE!"/>
    <n v="0"/>
    <e v="#VALUE!"/>
    <e v="#VALUE!"/>
    <s v=""/>
    <s v=""/>
    <s v=""/>
    <n v="0"/>
    <x v="2"/>
    <x v="5"/>
    <x v="1"/>
    <x v="1"/>
    <n v="331.5"/>
  </r>
  <r>
    <d v="2020-02-01T00:00:00"/>
    <x v="122"/>
    <x v="2"/>
    <x v="11"/>
    <s v="Compteur 3"/>
    <s v="Compteur_3"/>
    <x v="1"/>
    <d v="1899-12-30T00:00:00"/>
    <d v="1899-12-30T00:00:00"/>
    <n v="1"/>
    <e v="#VALUE!"/>
    <n v="0"/>
    <e v="#VALUE!"/>
    <s v=""/>
    <e v="#VALUE!"/>
    <n v="0"/>
    <e v="#VALUE!"/>
    <e v="#VALUE!"/>
    <s v=""/>
    <s v=""/>
    <s v=""/>
    <n v="0"/>
    <x v="2"/>
    <x v="5"/>
    <x v="1"/>
    <x v="1"/>
    <n v="251.6"/>
  </r>
  <r>
    <d v="2020-03-01T00:00:00"/>
    <x v="123"/>
    <x v="3"/>
    <x v="11"/>
    <s v="Compteur 3"/>
    <s v="Compteur_3"/>
    <x v="1"/>
    <d v="1899-12-30T00:00:00"/>
    <d v="1899-12-30T00:00:00"/>
    <n v="1"/>
    <e v="#VALUE!"/>
    <n v="0"/>
    <e v="#VALUE!"/>
    <s v=""/>
    <e v="#VALUE!"/>
    <n v="0"/>
    <e v="#VALUE!"/>
    <e v="#VALUE!"/>
    <s v=""/>
    <s v=""/>
    <s v=""/>
    <n v="0"/>
    <x v="2"/>
    <x v="5"/>
    <x v="1"/>
    <x v="1"/>
    <n v="272.60000000000002"/>
  </r>
  <r>
    <d v="2020-04-01T00:00:00"/>
    <x v="124"/>
    <x v="4"/>
    <x v="11"/>
    <s v="Compteur 3"/>
    <s v="Compteur_3"/>
    <x v="1"/>
    <d v="1899-12-30T00:00:00"/>
    <d v="1899-12-30T00:00:00"/>
    <n v="1"/>
    <e v="#VALUE!"/>
    <n v="0"/>
    <e v="#VALUE!"/>
    <s v=""/>
    <e v="#VALUE!"/>
    <n v="0"/>
    <e v="#VALUE!"/>
    <e v="#VALUE!"/>
    <s v=""/>
    <s v=""/>
    <s v=""/>
    <n v="0"/>
    <x v="2"/>
    <x v="5"/>
    <x v="1"/>
    <x v="1"/>
    <n v="126.3"/>
  </r>
  <r>
    <d v="2020-05-01T00:00:00"/>
    <x v="125"/>
    <x v="5"/>
    <x v="11"/>
    <s v="Compteur 3"/>
    <s v="Compteur_3"/>
    <x v="1"/>
    <d v="1899-12-30T00:00:00"/>
    <d v="1899-12-30T00:00:00"/>
    <n v="1"/>
    <e v="#VALUE!"/>
    <n v="0"/>
    <e v="#VALUE!"/>
    <s v=""/>
    <e v="#VALUE!"/>
    <n v="0"/>
    <e v="#VALUE!"/>
    <e v="#VALUE!"/>
    <s v=""/>
    <s v=""/>
    <s v=""/>
    <n v="0"/>
    <x v="2"/>
    <x v="5"/>
    <x v="1"/>
    <x v="1"/>
    <n v="91.8"/>
  </r>
  <r>
    <d v="2020-06-01T00:00:00"/>
    <x v="126"/>
    <x v="6"/>
    <x v="11"/>
    <s v="Compteur 3"/>
    <s v="Compteur_3"/>
    <x v="1"/>
    <d v="1899-12-30T00:00:00"/>
    <d v="1899-12-30T00:00:00"/>
    <n v="1"/>
    <e v="#VALUE!"/>
    <n v="0"/>
    <e v="#VALUE!"/>
    <s v=""/>
    <e v="#VALUE!"/>
    <n v="0"/>
    <e v="#VALUE!"/>
    <e v="#VALUE!"/>
    <s v=""/>
    <s v=""/>
    <s v=""/>
    <n v="0"/>
    <x v="2"/>
    <x v="5"/>
    <x v="1"/>
    <x v="1"/>
    <n v="55.6"/>
  </r>
  <r>
    <d v="2020-07-01T00:00:00"/>
    <x v="127"/>
    <x v="7"/>
    <x v="11"/>
    <s v="Compteur 3"/>
    <s v="Compteur_3"/>
    <x v="1"/>
    <d v="1899-12-30T00:00:00"/>
    <d v="1899-12-30T00:00:00"/>
    <n v="1"/>
    <e v="#VALUE!"/>
    <n v="0"/>
    <e v="#VALUE!"/>
    <s v=""/>
    <e v="#VALUE!"/>
    <n v="0"/>
    <e v="#VALUE!"/>
    <e v="#VALUE!"/>
    <s v=""/>
    <s v=""/>
    <s v=""/>
    <n v="0"/>
    <x v="2"/>
    <x v="5"/>
    <x v="1"/>
    <x v="1"/>
    <n v="32.299999999999997"/>
  </r>
  <r>
    <d v="2020-08-01T00:00:00"/>
    <x v="128"/>
    <x v="8"/>
    <x v="11"/>
    <s v="Compteur 3"/>
    <s v="Compteur_3"/>
    <x v="1"/>
    <d v="1899-12-30T00:00:00"/>
    <d v="1899-12-30T00:00:00"/>
    <n v="1"/>
    <e v="#VALUE!"/>
    <n v="0"/>
    <e v="#VALUE!"/>
    <s v=""/>
    <e v="#VALUE!"/>
    <n v="0"/>
    <e v="#VALUE!"/>
    <e v="#VALUE!"/>
    <s v=""/>
    <s v=""/>
    <s v=""/>
    <n v="0"/>
    <x v="2"/>
    <x v="5"/>
    <x v="1"/>
    <x v="1"/>
    <n v="27.8"/>
  </r>
  <r>
    <d v="2020-09-01T00:00:00"/>
    <x v="129"/>
    <x v="9"/>
    <x v="11"/>
    <s v="Compteur 3"/>
    <s v="Compteur_3"/>
    <x v="1"/>
    <d v="1899-12-30T00:00:00"/>
    <d v="1899-12-30T00:00:00"/>
    <n v="1"/>
    <e v="#VALUE!"/>
    <n v="0"/>
    <e v="#VALUE!"/>
    <s v=""/>
    <e v="#VALUE!"/>
    <n v="0"/>
    <e v="#VALUE!"/>
    <e v="#VALUE!"/>
    <s v=""/>
    <s v=""/>
    <s v=""/>
    <n v="0"/>
    <x v="2"/>
    <x v="5"/>
    <x v="1"/>
    <x v="1"/>
    <n v="56.6"/>
  </r>
  <r>
    <d v="2020-10-01T00:00:00"/>
    <x v="130"/>
    <x v="10"/>
    <x v="11"/>
    <s v="Compteur 3"/>
    <s v="Compteur_3"/>
    <x v="1"/>
    <d v="1899-12-30T00:00:00"/>
    <d v="1899-12-30T00:00:00"/>
    <n v="1"/>
    <e v="#VALUE!"/>
    <n v="0"/>
    <e v="#VALUE!"/>
    <s v=""/>
    <e v="#VALUE!"/>
    <n v="0"/>
    <e v="#VALUE!"/>
    <e v="#VALUE!"/>
    <s v=""/>
    <s v=""/>
    <s v=""/>
    <n v="0"/>
    <x v="2"/>
    <x v="5"/>
    <x v="1"/>
    <x v="1"/>
    <n v="159.30000000000001"/>
  </r>
  <r>
    <d v="2020-11-01T00:00:00"/>
    <x v="131"/>
    <x v="11"/>
    <x v="11"/>
    <s v="Compteur 3"/>
    <s v="Compteur_3"/>
    <x v="1"/>
    <d v="1899-12-30T00:00:00"/>
    <d v="1899-12-30T00:00:00"/>
    <n v="1"/>
    <e v="#VALUE!"/>
    <n v="0"/>
    <e v="#VALUE!"/>
    <s v=""/>
    <e v="#VALUE!"/>
    <n v="0"/>
    <e v="#VALUE!"/>
    <e v="#VALUE!"/>
    <s v=""/>
    <s v=""/>
    <s v=""/>
    <n v="0"/>
    <x v="2"/>
    <x v="5"/>
    <x v="1"/>
    <x v="1"/>
    <n v="237.3"/>
  </r>
  <r>
    <d v="2020-12-01T00:00:00"/>
    <x v="132"/>
    <x v="12"/>
    <x v="11"/>
    <s v="Compteur 3"/>
    <s v="Compteur_3"/>
    <x v="1"/>
    <d v="1899-12-30T00:00:00"/>
    <d v="1899-12-30T00:00:00"/>
    <n v="1"/>
    <e v="#VALUE!"/>
    <n v="0"/>
    <e v="#VALUE!"/>
    <s v=""/>
    <e v="#VALUE!"/>
    <n v="0"/>
    <e v="#VALUE!"/>
    <e v="#VALUE!"/>
    <s v=""/>
    <s v=""/>
    <s v=""/>
    <n v="0"/>
    <x v="2"/>
    <x v="5"/>
    <x v="1"/>
    <x v="1"/>
    <n v="334.4"/>
  </r>
  <r>
    <d v="2021-01-01T00:00:00"/>
    <x v="133"/>
    <x v="1"/>
    <x v="12"/>
    <s v="Compteur 3"/>
    <s v="Compteur_3"/>
    <x v="1"/>
    <d v="1899-12-30T00:00:00"/>
    <d v="1899-12-30T00:00:00"/>
    <n v="1"/>
    <e v="#VALUE!"/>
    <n v="0"/>
    <e v="#VALUE!"/>
    <s v=""/>
    <e v="#VALUE!"/>
    <n v="0"/>
    <e v="#VALUE!"/>
    <e v="#VALUE!"/>
    <s v=""/>
    <s v=""/>
    <s v=""/>
    <n v="0"/>
    <x v="2"/>
    <x v="5"/>
    <x v="1"/>
    <x v="1"/>
    <n v="380.1"/>
  </r>
  <r>
    <d v="2021-02-01T00:00:00"/>
    <x v="134"/>
    <x v="2"/>
    <x v="12"/>
    <s v="Compteur 3"/>
    <s v="Compteur_3"/>
    <x v="1"/>
    <d v="1899-12-30T00:00:00"/>
    <d v="1899-12-30T00:00:00"/>
    <n v="1"/>
    <e v="#VALUE!"/>
    <n v="0"/>
    <e v="#VALUE!"/>
    <s v=""/>
    <e v="#VALUE!"/>
    <n v="0"/>
    <e v="#VALUE!"/>
    <e v="#VALUE!"/>
    <s v=""/>
    <s v=""/>
    <s v=""/>
    <n v="0"/>
    <x v="2"/>
    <x v="5"/>
    <x v="1"/>
    <x v="1"/>
    <n v="299.5"/>
  </r>
  <r>
    <d v="2021-03-01T00:00:00"/>
    <x v="135"/>
    <x v="3"/>
    <x v="12"/>
    <s v="Compteur 3"/>
    <s v="Compteur_3"/>
    <x v="1"/>
    <d v="1899-12-30T00:00:00"/>
    <d v="1899-12-30T00:00:00"/>
    <n v="1"/>
    <e v="#VALUE!"/>
    <n v="0"/>
    <e v="#VALUE!"/>
    <s v=""/>
    <e v="#VALUE!"/>
    <n v="0"/>
    <e v="#VALUE!"/>
    <e v="#VALUE!"/>
    <s v=""/>
    <s v=""/>
    <s v=""/>
    <n v="0"/>
    <x v="2"/>
    <x v="5"/>
    <x v="1"/>
    <x v="1"/>
    <n v="303.89999999999998"/>
  </r>
  <r>
    <d v="2021-04-01T00:00:00"/>
    <x v="136"/>
    <x v="4"/>
    <x v="12"/>
    <s v="Compteur 3"/>
    <s v="Compteur_3"/>
    <x v="1"/>
    <d v="1899-12-30T00:00:00"/>
    <d v="1899-12-30T00:00:00"/>
    <n v="1"/>
    <e v="#VALUE!"/>
    <n v="0"/>
    <e v="#VALUE!"/>
    <s v=""/>
    <e v="#VALUE!"/>
    <n v="0"/>
    <e v="#VALUE!"/>
    <e v="#VALUE!"/>
    <s v=""/>
    <s v=""/>
    <s v=""/>
    <n v="0"/>
    <x v="2"/>
    <x v="5"/>
    <x v="1"/>
    <x v="1"/>
    <n v="242.8"/>
  </r>
  <r>
    <d v="2021-05-01T00:00:00"/>
    <x v="137"/>
    <x v="5"/>
    <x v="12"/>
    <s v="Compteur 3"/>
    <s v="Compteur_3"/>
    <x v="1"/>
    <d v="1899-12-30T00:00:00"/>
    <d v="1899-12-30T00:00:00"/>
    <n v="1"/>
    <e v="#VALUE!"/>
    <n v="0"/>
    <e v="#VALUE!"/>
    <s v=""/>
    <e v="#VALUE!"/>
    <n v="0"/>
    <e v="#VALUE!"/>
    <e v="#VALUE!"/>
    <s v=""/>
    <s v=""/>
    <s v=""/>
    <n v="0"/>
    <x v="2"/>
    <x v="5"/>
    <x v="1"/>
    <x v="1"/>
    <n v="159.4"/>
  </r>
  <r>
    <d v="2021-06-01T00:00:00"/>
    <x v="138"/>
    <x v="6"/>
    <x v="12"/>
    <s v="Compteur 3"/>
    <s v="Compteur_3"/>
    <x v="1"/>
    <d v="1899-12-30T00:00:00"/>
    <d v="1899-12-30T00:00:00"/>
    <n v="1"/>
    <e v="#VALUE!"/>
    <n v="0"/>
    <e v="#VALUE!"/>
    <s v=""/>
    <e v="#VALUE!"/>
    <n v="0"/>
    <e v="#VALUE!"/>
    <e v="#VALUE!"/>
    <s v=""/>
    <s v=""/>
    <s v=""/>
    <n v="0"/>
    <x v="2"/>
    <x v="5"/>
    <x v="1"/>
    <x v="1"/>
    <n v="29.9"/>
  </r>
  <r>
    <d v="2021-07-01T00:00:00"/>
    <x v="139"/>
    <x v="7"/>
    <x v="12"/>
    <s v="Compteur 3"/>
    <s v="Compteur_3"/>
    <x v="1"/>
    <d v="1899-12-30T00:00:00"/>
    <d v="1899-12-30T00:00:00"/>
    <n v="1"/>
    <e v="#VALUE!"/>
    <n v="0"/>
    <e v="#VALUE!"/>
    <s v=""/>
    <e v="#VALUE!"/>
    <n v="0"/>
    <e v="#VALUE!"/>
    <e v="#VALUE!"/>
    <s v=""/>
    <s v=""/>
    <s v=""/>
    <n v="0"/>
    <x v="2"/>
    <x v="5"/>
    <x v="1"/>
    <x v="1"/>
    <n v="22.4"/>
  </r>
  <r>
    <d v="2021-08-01T00:00:00"/>
    <x v="140"/>
    <x v="8"/>
    <x v="12"/>
    <s v="Compteur 3"/>
    <s v="Compteur_3"/>
    <x v="1"/>
    <d v="1899-12-30T00:00:00"/>
    <d v="1899-12-30T00:00:00"/>
    <n v="1"/>
    <e v="#VALUE!"/>
    <n v="0"/>
    <e v="#VALUE!"/>
    <s v=""/>
    <e v="#VALUE!"/>
    <n v="0"/>
    <e v="#VALUE!"/>
    <e v="#VALUE!"/>
    <s v=""/>
    <s v=""/>
    <s v=""/>
    <n v="0"/>
    <x v="2"/>
    <x v="5"/>
    <x v="1"/>
    <x v="1"/>
    <n v="35.9"/>
  </r>
  <r>
    <d v="2021-09-01T00:00:00"/>
    <x v="141"/>
    <x v="9"/>
    <x v="12"/>
    <s v="Compteur 3"/>
    <s v="Compteur_3"/>
    <x v="1"/>
    <d v="1899-12-30T00:00:00"/>
    <d v="1899-12-30T00:00:00"/>
    <n v="1"/>
    <e v="#VALUE!"/>
    <n v="0"/>
    <e v="#VALUE!"/>
    <s v=""/>
    <e v="#VALUE!"/>
    <n v="0"/>
    <e v="#VALUE!"/>
    <e v="#VALUE!"/>
    <s v=""/>
    <s v=""/>
    <s v=""/>
    <n v="0"/>
    <x v="2"/>
    <x v="5"/>
    <x v="1"/>
    <x v="1"/>
    <n v="47.8"/>
  </r>
  <r>
    <d v="2021-10-01T00:00:00"/>
    <x v="142"/>
    <x v="10"/>
    <x v="12"/>
    <s v="Compteur 3"/>
    <s v="Compteur_3"/>
    <x v="1"/>
    <d v="1899-12-30T00:00:00"/>
    <d v="1899-12-30T00:00:00"/>
    <n v="1"/>
    <e v="#VALUE!"/>
    <n v="0"/>
    <e v="#VALUE!"/>
    <s v=""/>
    <e v="#VALUE!"/>
    <n v="0"/>
    <e v="#VALUE!"/>
    <e v="#VALUE!"/>
    <s v=""/>
    <s v=""/>
    <s v=""/>
    <n v="0"/>
    <x v="2"/>
    <x v="5"/>
    <x v="1"/>
    <x v="1"/>
    <n v="170.5"/>
  </r>
  <r>
    <d v="2021-11-01T00:00:00"/>
    <x v="143"/>
    <x v="11"/>
    <x v="12"/>
    <s v="Compteur 3"/>
    <s v="Compteur_3"/>
    <x v="1"/>
    <d v="1899-12-30T00:00:00"/>
    <d v="1899-12-30T00:00:00"/>
    <n v="1"/>
    <e v="#VALUE!"/>
    <n v="0"/>
    <e v="#VALUE!"/>
    <s v=""/>
    <e v="#VALUE!"/>
    <n v="0"/>
    <e v="#VALUE!"/>
    <e v="#VALUE!"/>
    <s v=""/>
    <s v=""/>
    <s v=""/>
    <n v="0"/>
    <x v="2"/>
    <x v="5"/>
    <x v="1"/>
    <x v="1"/>
    <n v="326.8"/>
  </r>
  <r>
    <d v="2021-12-01T00:00:00"/>
    <x v="144"/>
    <x v="12"/>
    <x v="12"/>
    <s v="Compteur 3"/>
    <s v="Compteur_3"/>
    <x v="1"/>
    <d v="1899-12-30T00:00:00"/>
    <d v="1899-12-30T00:00:00"/>
    <n v="1"/>
    <e v="#VALUE!"/>
    <n v="0"/>
    <e v="#VALUE!"/>
    <s v=""/>
    <e v="#VALUE!"/>
    <n v="0"/>
    <e v="#VALUE!"/>
    <e v="#VALUE!"/>
    <s v=""/>
    <s v=""/>
    <s v=""/>
    <n v="0"/>
    <x v="2"/>
    <x v="5"/>
    <x v="1"/>
    <x v="1"/>
    <n v="336.7"/>
  </r>
  <r>
    <d v="2022-01-01T00:00:00"/>
    <x v="145"/>
    <x v="1"/>
    <x v="13"/>
    <s v="Compteur 3"/>
    <s v="Compteur_3"/>
    <x v="1"/>
    <d v="1899-12-30T00:00:00"/>
    <d v="1899-12-30T00:00:00"/>
    <n v="1"/>
    <e v="#VALUE!"/>
    <n v="0"/>
    <e v="#VALUE!"/>
    <s v=""/>
    <e v="#VALUE!"/>
    <n v="0"/>
    <e v="#VALUE!"/>
    <e v="#VALUE!"/>
    <s v=""/>
    <s v=""/>
    <s v=""/>
    <n v="0"/>
    <x v="2"/>
    <x v="5"/>
    <x v="1"/>
    <x v="1"/>
    <n v="396.3"/>
  </r>
  <r>
    <d v="2022-02-01T00:00:00"/>
    <x v="146"/>
    <x v="2"/>
    <x v="13"/>
    <s v="Compteur 3"/>
    <s v="Compteur_3"/>
    <x v="1"/>
    <d v="1899-12-30T00:00:00"/>
    <d v="1899-12-30T00:00:00"/>
    <n v="1"/>
    <e v="#VALUE!"/>
    <n v="0"/>
    <e v="#VALUE!"/>
    <s v=""/>
    <e v="#VALUE!"/>
    <n v="0"/>
    <e v="#VALUE!"/>
    <e v="#VALUE!"/>
    <s v=""/>
    <s v=""/>
    <s v=""/>
    <n v="0"/>
    <x v="2"/>
    <x v="5"/>
    <x v="1"/>
    <x v="1"/>
    <n v="286.10000000000002"/>
  </r>
  <r>
    <d v="2022-03-01T00:00:00"/>
    <x v="147"/>
    <x v="3"/>
    <x v="13"/>
    <s v="Compteur 3"/>
    <s v="Compteur_3"/>
    <x v="1"/>
    <d v="1899-12-30T00:00:00"/>
    <d v="1899-12-30T00:00:00"/>
    <n v="1"/>
    <e v="#VALUE!"/>
    <n v="0"/>
    <e v="#VALUE!"/>
    <s v=""/>
    <e v="#VALUE!"/>
    <n v="0"/>
    <e v="#VALUE!"/>
    <e v="#VALUE!"/>
    <s v=""/>
    <s v=""/>
    <s v=""/>
    <n v="0"/>
    <x v="2"/>
    <x v="5"/>
    <x v="1"/>
    <x v="1"/>
    <n v="239.8"/>
  </r>
  <r>
    <d v="2022-04-01T00:00:00"/>
    <x v="148"/>
    <x v="4"/>
    <x v="13"/>
    <s v="Compteur 3"/>
    <s v="Compteur_3"/>
    <x v="1"/>
    <d v="1899-12-30T00:00:00"/>
    <d v="1899-12-30T00:00:00"/>
    <n v="1"/>
    <e v="#VALUE!"/>
    <n v="0"/>
    <e v="#VALUE!"/>
    <s v=""/>
    <e v="#VALUE!"/>
    <n v="0"/>
    <e v="#VALUE!"/>
    <e v="#VALUE!"/>
    <s v=""/>
    <s v=""/>
    <s v=""/>
    <n v="0"/>
    <x v="2"/>
    <x v="5"/>
    <x v="1"/>
    <x v="1"/>
    <n v="192.3"/>
  </r>
  <r>
    <d v="2022-05-01T00:00:00"/>
    <x v="149"/>
    <x v="5"/>
    <x v="13"/>
    <s v="Compteur 3"/>
    <s v="Compteur_3"/>
    <x v="1"/>
    <d v="1899-12-30T00:00:00"/>
    <d v="1899-12-30T00:00:00"/>
    <n v="1"/>
    <e v="#VALUE!"/>
    <n v="0"/>
    <e v="#VALUE!"/>
    <s v=""/>
    <e v="#VALUE!"/>
    <n v="0"/>
    <e v="#VALUE!"/>
    <e v="#VALUE!"/>
    <s v=""/>
    <s v=""/>
    <s v=""/>
    <n v="0"/>
    <x v="2"/>
    <x v="5"/>
    <x v="1"/>
    <x v="1"/>
    <n v="81.8"/>
  </r>
  <r>
    <d v="2022-06-01T00:00:00"/>
    <x v="150"/>
    <x v="6"/>
    <x v="13"/>
    <s v="Compteur 3"/>
    <s v="Compteur_3"/>
    <x v="1"/>
    <d v="1899-12-30T00:00:00"/>
    <d v="1899-12-30T00:00:00"/>
    <n v="1"/>
    <e v="#VALUE!"/>
    <n v="0"/>
    <e v="#VALUE!"/>
    <s v=""/>
    <e v="#VALUE!"/>
    <n v="0"/>
    <e v="#VALUE!"/>
    <e v="#VALUE!"/>
    <s v=""/>
    <s v=""/>
    <s v=""/>
    <n v="0"/>
    <x v="2"/>
    <x v="5"/>
    <x v="1"/>
    <x v="1"/>
    <n v="35.5"/>
  </r>
  <r>
    <d v="2022-07-01T00:00:00"/>
    <x v="151"/>
    <x v="7"/>
    <x v="13"/>
    <s v="Compteur 3"/>
    <s v="Compteur_3"/>
    <x v="1"/>
    <d v="1899-12-30T00:00:00"/>
    <d v="1899-12-30T00:00:00"/>
    <n v="1"/>
    <e v="#VALUE!"/>
    <n v="0"/>
    <e v="#VALUE!"/>
    <s v=""/>
    <e v="#VALUE!"/>
    <n v="0"/>
    <e v="#VALUE!"/>
    <e v="#VALUE!"/>
    <s v=""/>
    <s v=""/>
    <s v=""/>
    <n v="0"/>
    <x v="2"/>
    <x v="5"/>
    <x v="1"/>
    <x v="1"/>
    <n v="18.8"/>
  </r>
  <r>
    <d v="2022-08-01T00:00:00"/>
    <x v="152"/>
    <x v="8"/>
    <x v="13"/>
    <s v="Compteur 3"/>
    <s v="Compteur_3"/>
    <x v="1"/>
    <d v="1899-12-30T00:00:00"/>
    <d v="1899-12-30T00:00:00"/>
    <n v="1"/>
    <e v="#VALUE!"/>
    <n v="0"/>
    <e v="#VALUE!"/>
    <s v=""/>
    <e v="#VALUE!"/>
    <n v="0"/>
    <e v="#VALUE!"/>
    <e v="#VALUE!"/>
    <s v=""/>
    <s v=""/>
    <s v=""/>
    <n v="0"/>
    <x v="2"/>
    <x v="5"/>
    <x v="1"/>
    <x v="1"/>
    <n v="10.7"/>
  </r>
  <r>
    <d v="2022-09-01T00:00:00"/>
    <x v="153"/>
    <x v="9"/>
    <x v="13"/>
    <s v="Compteur 3"/>
    <s v="Compteur_3"/>
    <x v="1"/>
    <d v="1899-12-30T00:00:00"/>
    <d v="1899-12-30T00:00:00"/>
    <n v="1"/>
    <e v="#VALUE!"/>
    <n v="0"/>
    <e v="#VALUE!"/>
    <s v=""/>
    <e v="#VALUE!"/>
    <n v="0"/>
    <e v="#VALUE!"/>
    <e v="#VALUE!"/>
    <s v=""/>
    <s v=""/>
    <s v=""/>
    <n v="0"/>
    <x v="2"/>
    <x v="5"/>
    <x v="1"/>
    <x v="1"/>
    <n v="74.7"/>
  </r>
  <r>
    <d v="2022-10-01T00:00:00"/>
    <x v="154"/>
    <x v="10"/>
    <x v="13"/>
    <s v="Compteur 3"/>
    <s v="Compteur_3"/>
    <x v="1"/>
    <d v="1899-12-30T00:00:00"/>
    <d v="1899-12-30T00:00:00"/>
    <n v="1"/>
    <e v="#VALUE!"/>
    <n v="0"/>
    <e v="#VALUE!"/>
    <s v=""/>
    <e v="#VALUE!"/>
    <n v="0"/>
    <e v="#VALUE!"/>
    <e v="#VALUE!"/>
    <s v=""/>
    <s v=""/>
    <s v=""/>
    <n v="0"/>
    <x v="2"/>
    <x v="5"/>
    <x v="1"/>
    <x v="1"/>
    <n v="73"/>
  </r>
  <r>
    <d v="2022-11-01T00:00:00"/>
    <x v="155"/>
    <x v="11"/>
    <x v="13"/>
    <s v="Compteur 3"/>
    <s v="Compteur_3"/>
    <x v="1"/>
    <d v="1899-12-30T00:00:00"/>
    <d v="1899-12-30T00:00:00"/>
    <n v="1"/>
    <e v="#VALUE!"/>
    <n v="0"/>
    <e v="#VALUE!"/>
    <s v=""/>
    <e v="#VALUE!"/>
    <n v="0"/>
    <e v="#VALUE!"/>
    <e v="#VALUE!"/>
    <s v=""/>
    <s v=""/>
    <s v=""/>
    <n v="0"/>
    <x v="2"/>
    <x v="5"/>
    <x v="1"/>
    <x v="1"/>
    <n v="227.5"/>
  </r>
  <r>
    <d v="2022-12-01T00:00:00"/>
    <x v="156"/>
    <x v="12"/>
    <x v="13"/>
    <s v="Compteur 3"/>
    <s v="Compteur_3"/>
    <x v="1"/>
    <d v="1899-12-30T00:00:00"/>
    <d v="1899-12-30T00:00:00"/>
    <n v="1"/>
    <e v="#VALUE!"/>
    <n v="0"/>
    <e v="#VALUE!"/>
    <s v=""/>
    <e v="#VALUE!"/>
    <n v="0"/>
    <e v="#VALUE!"/>
    <e v="#VALUE!"/>
    <s v=""/>
    <s v=""/>
    <s v=""/>
    <n v="0"/>
    <x v="2"/>
    <x v="5"/>
    <x v="1"/>
    <x v="1"/>
    <n v="380.8"/>
  </r>
  <r>
    <d v="2023-01-01T00:00:00"/>
    <x v="157"/>
    <x v="1"/>
    <x v="14"/>
    <s v="Compteur 3"/>
    <s v="Compteur_3"/>
    <x v="1"/>
    <d v="1899-12-30T00:00:00"/>
    <d v="1899-12-30T00:00:00"/>
    <n v="1"/>
    <e v="#VALUE!"/>
    <n v="0"/>
    <e v="#VALUE!"/>
    <s v=""/>
    <e v="#VALUE!"/>
    <n v="0"/>
    <e v="#VALUE!"/>
    <e v="#VALUE!"/>
    <s v=""/>
    <s v=""/>
    <s v=""/>
    <n v="0"/>
    <x v="2"/>
    <x v="5"/>
    <x v="1"/>
    <x v="1"/>
    <n v="356.1"/>
  </r>
  <r>
    <d v="2023-02-01T00:00:00"/>
    <x v="158"/>
    <x v="2"/>
    <x v="14"/>
    <s v="Compteur 3"/>
    <s v="Compteur_3"/>
    <x v="1"/>
    <d v="1899-12-30T00:00:00"/>
    <d v="1899-12-30T00:00:00"/>
    <n v="1"/>
    <e v="#VALUE!"/>
    <n v="0"/>
    <e v="#VALUE!"/>
    <s v=""/>
    <e v="#VALUE!"/>
    <n v="0"/>
    <e v="#VALUE!"/>
    <e v="#VALUE!"/>
    <s v=""/>
    <s v=""/>
    <s v=""/>
    <n v="0"/>
    <x v="2"/>
    <x v="5"/>
    <x v="1"/>
    <x v="1"/>
    <n v="314.10000000000002"/>
  </r>
  <r>
    <d v="2023-03-01T00:00:00"/>
    <x v="159"/>
    <x v="3"/>
    <x v="14"/>
    <s v="Compteur 3"/>
    <s v="Compteur_3"/>
    <x v="1"/>
    <d v="1899-12-30T00:00:00"/>
    <d v="1899-12-30T00:00:00"/>
    <n v="1"/>
    <e v="#VALUE!"/>
    <n v="0"/>
    <e v="#VALUE!"/>
    <s v=""/>
    <e v="#VALUE!"/>
    <n v="0"/>
    <e v="#VALUE!"/>
    <e v="#VALUE!"/>
    <s v=""/>
    <s v=""/>
    <s v=""/>
    <n v="0"/>
    <x v="2"/>
    <x v="5"/>
    <x v="1"/>
    <x v="1"/>
    <n v="251.3"/>
  </r>
  <r>
    <d v="2023-04-01T00:00:00"/>
    <x v="160"/>
    <x v="4"/>
    <x v="14"/>
    <s v="Compteur 3"/>
    <s v="Compteur_3"/>
    <x v="1"/>
    <d v="1899-12-30T00:00:00"/>
    <d v="1899-12-30T00:00:00"/>
    <n v="1"/>
    <e v="#VALUE!"/>
    <n v="0"/>
    <e v="#VALUE!"/>
    <s v=""/>
    <e v="#VALUE!"/>
    <n v="0"/>
    <e v="#VALUE!"/>
    <e v="#VALUE!"/>
    <s v=""/>
    <s v=""/>
    <s v=""/>
    <n v="0"/>
    <x v="2"/>
    <x v="5"/>
    <x v="1"/>
    <x v="1"/>
    <n v="198"/>
  </r>
  <r>
    <d v="2023-05-01T00:00:00"/>
    <x v="161"/>
    <x v="5"/>
    <x v="14"/>
    <s v="Compteur 3"/>
    <s v="Compteur_3"/>
    <x v="1"/>
    <d v="1899-12-30T00:00:00"/>
    <d v="1899-12-30T00:00:00"/>
    <n v="1"/>
    <e v="#VALUE!"/>
    <n v="0"/>
    <e v="#VALUE!"/>
    <s v=""/>
    <e v="#VALUE!"/>
    <n v="0"/>
    <e v="#VALUE!"/>
    <e v="#VALUE!"/>
    <s v=""/>
    <s v=""/>
    <s v=""/>
    <n v="0"/>
    <x v="2"/>
    <x v="5"/>
    <x v="1"/>
    <x v="1"/>
    <n v="86.4"/>
  </r>
  <r>
    <d v="2023-06-01T00:00:00"/>
    <x v="162"/>
    <x v="6"/>
    <x v="14"/>
    <s v="Compteur 3"/>
    <s v="Compteur_3"/>
    <x v="1"/>
    <d v="1899-12-30T00:00:00"/>
    <d v="1899-12-30T00:00:00"/>
    <n v="1"/>
    <e v="#VALUE!"/>
    <n v="0"/>
    <e v="#VALUE!"/>
    <s v=""/>
    <e v="#VALUE!"/>
    <n v="0"/>
    <e v="#VALUE!"/>
    <e v="#VALUE!"/>
    <s v=""/>
    <s v=""/>
    <s v=""/>
    <n v="0"/>
    <x v="2"/>
    <x v="5"/>
    <x v="1"/>
    <x v="1"/>
    <n v="17.3"/>
  </r>
  <r>
    <d v="2023-07-01T00:00:00"/>
    <x v="163"/>
    <x v="7"/>
    <x v="14"/>
    <s v="Compteur 3"/>
    <s v="Compteur_3"/>
    <x v="1"/>
    <d v="1899-12-30T00:00:00"/>
    <d v="1899-12-30T00:00:00"/>
    <n v="1"/>
    <e v="#VALUE!"/>
    <n v="0"/>
    <e v="#VALUE!"/>
    <s v=""/>
    <e v="#VALUE!"/>
    <n v="0"/>
    <e v="#VALUE!"/>
    <e v="#VALUE!"/>
    <s v=""/>
    <s v=""/>
    <s v=""/>
    <n v="0"/>
    <x v="2"/>
    <x v="5"/>
    <x v="1"/>
    <x v="1"/>
    <n v="24.1"/>
  </r>
  <r>
    <d v="2023-08-01T00:00:00"/>
    <x v="164"/>
    <x v="8"/>
    <x v="14"/>
    <s v="Compteur 3"/>
    <s v="Compteur_3"/>
    <x v="1"/>
    <d v="1899-12-30T00:00:00"/>
    <d v="1899-12-30T00:00:00"/>
    <n v="1"/>
    <e v="#VALUE!"/>
    <n v="0"/>
    <e v="#VALUE!"/>
    <s v=""/>
    <e v="#VALUE!"/>
    <n v="0"/>
    <e v="#VALUE!"/>
    <e v="#VALUE!"/>
    <s v=""/>
    <s v=""/>
    <s v=""/>
    <n v="0"/>
    <x v="2"/>
    <x v="5"/>
    <x v="1"/>
    <x v="1"/>
    <n v="27.9"/>
  </r>
  <r>
    <d v="2023-09-01T00:00:00"/>
    <x v="165"/>
    <x v="9"/>
    <x v="14"/>
    <s v="Compteur 3"/>
    <s v="Compteur_3"/>
    <x v="1"/>
    <d v="1899-12-30T00:00:00"/>
    <d v="1899-12-30T00:00:00"/>
    <n v="1"/>
    <e v="#VALUE!"/>
    <n v="0"/>
    <e v="#VALUE!"/>
    <s v=""/>
    <e v="#VALUE!"/>
    <n v="0"/>
    <e v="#VALUE!"/>
    <e v="#VALUE!"/>
    <s v=""/>
    <s v=""/>
    <s v=""/>
    <n v="0"/>
    <x v="2"/>
    <x v="5"/>
    <x v="1"/>
    <x v="1"/>
    <n v="30.5"/>
  </r>
  <r>
    <d v="2023-10-01T00:00:00"/>
    <x v="166"/>
    <x v="10"/>
    <x v="14"/>
    <s v="Compteur 3"/>
    <s v="Compteur_3"/>
    <x v="1"/>
    <d v="1899-12-30T00:00:00"/>
    <d v="1899-12-30T00:00:00"/>
    <n v="1"/>
    <e v="#VALUE!"/>
    <n v="0"/>
    <e v="#VALUE!"/>
    <s v=""/>
    <e v="#VALUE!"/>
    <n v="0"/>
    <e v="#VALUE!"/>
    <e v="#VALUE!"/>
    <s v=""/>
    <s v=""/>
    <s v=""/>
    <n v="0"/>
    <x v="2"/>
    <x v="5"/>
    <x v="1"/>
    <x v="1"/>
    <n v="115.8"/>
  </r>
  <r>
    <d v="2023-11-01T00:00:00"/>
    <x v="167"/>
    <x v="11"/>
    <x v="14"/>
    <s v="Compteur 3"/>
    <s v="Compteur_3"/>
    <x v="1"/>
    <d v="1899-12-30T00:00:00"/>
    <d v="1899-12-30T00:00:00"/>
    <n v="1"/>
    <e v="#VALUE!"/>
    <n v="0"/>
    <e v="#VALUE!"/>
    <s v=""/>
    <e v="#VALUE!"/>
    <n v="0"/>
    <e v="#VALUE!"/>
    <e v="#VALUE!"/>
    <s v=""/>
    <s v=""/>
    <s v=""/>
    <n v="0"/>
    <x v="2"/>
    <x v="5"/>
    <x v="1"/>
    <x v="1"/>
    <n v="239.8"/>
  </r>
  <r>
    <d v="2023-12-01T00:00:00"/>
    <x v="168"/>
    <x v="12"/>
    <x v="14"/>
    <s v="Compteur 3"/>
    <s v="Compteur_3"/>
    <x v="1"/>
    <d v="1899-12-30T00:00:00"/>
    <d v="1899-12-30T00:00:00"/>
    <n v="1"/>
    <e v="#VALUE!"/>
    <n v="0"/>
    <e v="#VALUE!"/>
    <s v=""/>
    <e v="#VALUE!"/>
    <n v="0"/>
    <e v="#VALUE!"/>
    <e v="#VALUE!"/>
    <s v=""/>
    <s v=""/>
    <s v=""/>
    <n v="0"/>
    <x v="2"/>
    <x v="5"/>
    <x v="1"/>
    <x v="1"/>
    <n v="300.89999999999998"/>
  </r>
  <r>
    <d v="2024-01-01T00:00:00"/>
    <x v="169"/>
    <x v="1"/>
    <x v="15"/>
    <s v="Compteur 3"/>
    <s v="Compteur_3"/>
    <x v="1"/>
    <d v="1899-12-30T00:00:00"/>
    <d v="1899-12-30T00:00:00"/>
    <n v="1"/>
    <e v="#VALUE!"/>
    <n v="0"/>
    <e v="#VALUE!"/>
    <s v=""/>
    <e v="#VALUE!"/>
    <n v="0"/>
    <e v="#VALUE!"/>
    <e v="#VALUE!"/>
    <s v=""/>
    <s v=""/>
    <s v=""/>
    <n v="0"/>
    <x v="2"/>
    <x v="5"/>
    <x v="1"/>
    <x v="1"/>
    <n v="0"/>
  </r>
  <r>
    <d v="2024-02-01T00:00:00"/>
    <x v="170"/>
    <x v="2"/>
    <x v="15"/>
    <s v="Compteur 3"/>
    <s v="Compteur_3"/>
    <x v="1"/>
    <d v="1899-12-30T00:00:00"/>
    <d v="1899-12-30T00:00:00"/>
    <n v="1"/>
    <e v="#VALUE!"/>
    <n v="0"/>
    <e v="#VALUE!"/>
    <s v=""/>
    <e v="#VALUE!"/>
    <n v="0"/>
    <e v="#VALUE!"/>
    <e v="#VALUE!"/>
    <s v=""/>
    <s v=""/>
    <s v=""/>
    <n v="0"/>
    <x v="2"/>
    <x v="5"/>
    <x v="1"/>
    <x v="1"/>
    <n v="0"/>
  </r>
  <r>
    <d v="2024-03-01T00:00:00"/>
    <x v="171"/>
    <x v="3"/>
    <x v="15"/>
    <s v="Compteur 3"/>
    <s v="Compteur_3"/>
    <x v="1"/>
    <d v="1899-12-30T00:00:00"/>
    <d v="1899-12-30T00:00:00"/>
    <n v="1"/>
    <e v="#VALUE!"/>
    <n v="0"/>
    <e v="#VALUE!"/>
    <s v=""/>
    <e v="#VALUE!"/>
    <n v="0"/>
    <e v="#VALUE!"/>
    <e v="#VALUE!"/>
    <s v=""/>
    <s v=""/>
    <s v=""/>
    <n v="0"/>
    <x v="2"/>
    <x v="5"/>
    <x v="1"/>
    <x v="1"/>
    <n v="0"/>
  </r>
  <r>
    <d v="2024-04-01T00:00:00"/>
    <x v="172"/>
    <x v="4"/>
    <x v="15"/>
    <s v="Compteur 3"/>
    <s v="Compteur_3"/>
    <x v="1"/>
    <d v="1899-12-30T00:00:00"/>
    <d v="1899-12-30T00:00:00"/>
    <n v="1"/>
    <e v="#VALUE!"/>
    <n v="0"/>
    <e v="#VALUE!"/>
    <s v=""/>
    <e v="#VALUE!"/>
    <n v="0"/>
    <e v="#VALUE!"/>
    <e v="#VALUE!"/>
    <s v=""/>
    <s v=""/>
    <s v=""/>
    <n v="0"/>
    <x v="2"/>
    <x v="5"/>
    <x v="1"/>
    <x v="1"/>
    <n v="0"/>
  </r>
  <r>
    <d v="2024-05-01T00:00:00"/>
    <x v="173"/>
    <x v="5"/>
    <x v="15"/>
    <s v="Compteur 3"/>
    <s v="Compteur_3"/>
    <x v="1"/>
    <d v="1899-12-30T00:00:00"/>
    <d v="1899-12-30T00:00:00"/>
    <n v="1"/>
    <e v="#VALUE!"/>
    <n v="0"/>
    <e v="#VALUE!"/>
    <s v=""/>
    <e v="#VALUE!"/>
    <n v="0"/>
    <e v="#VALUE!"/>
    <e v="#VALUE!"/>
    <s v=""/>
    <s v=""/>
    <s v=""/>
    <n v="0"/>
    <x v="2"/>
    <x v="5"/>
    <x v="1"/>
    <x v="1"/>
    <n v="0"/>
  </r>
  <r>
    <d v="2024-06-01T00:00:00"/>
    <x v="174"/>
    <x v="6"/>
    <x v="15"/>
    <s v="Compteur 3"/>
    <s v="Compteur_3"/>
    <x v="1"/>
    <d v="1899-12-30T00:00:00"/>
    <d v="1899-12-30T00:00:00"/>
    <n v="1"/>
    <e v="#VALUE!"/>
    <n v="0"/>
    <e v="#VALUE!"/>
    <s v=""/>
    <e v="#VALUE!"/>
    <n v="0"/>
    <e v="#VALUE!"/>
    <e v="#VALUE!"/>
    <s v=""/>
    <s v=""/>
    <s v=""/>
    <n v="0"/>
    <x v="2"/>
    <x v="5"/>
    <x v="1"/>
    <x v="1"/>
    <n v="0"/>
  </r>
  <r>
    <d v="2024-07-01T00:00:00"/>
    <x v="175"/>
    <x v="7"/>
    <x v="15"/>
    <s v="Compteur 3"/>
    <s v="Compteur_3"/>
    <x v="1"/>
    <d v="1899-12-30T00:00:00"/>
    <d v="1899-12-30T00:00:00"/>
    <n v="1"/>
    <e v="#VALUE!"/>
    <n v="0"/>
    <e v="#VALUE!"/>
    <s v=""/>
    <e v="#VALUE!"/>
    <n v="0"/>
    <e v="#VALUE!"/>
    <e v="#VALUE!"/>
    <s v=""/>
    <s v=""/>
    <s v=""/>
    <n v="0"/>
    <x v="2"/>
    <x v="5"/>
    <x v="1"/>
    <x v="1"/>
    <n v="0"/>
  </r>
  <r>
    <d v="2024-08-01T00:00:00"/>
    <x v="176"/>
    <x v="8"/>
    <x v="15"/>
    <s v="Compteur 3"/>
    <s v="Compteur_3"/>
    <x v="1"/>
    <d v="1899-12-30T00:00:00"/>
    <d v="1899-12-30T00:00:00"/>
    <n v="1"/>
    <e v="#VALUE!"/>
    <n v="0"/>
    <e v="#VALUE!"/>
    <s v=""/>
    <e v="#VALUE!"/>
    <n v="0"/>
    <e v="#VALUE!"/>
    <e v="#VALUE!"/>
    <s v=""/>
    <s v=""/>
    <s v=""/>
    <n v="0"/>
    <x v="2"/>
    <x v="5"/>
    <x v="1"/>
    <x v="1"/>
    <n v="0"/>
  </r>
  <r>
    <d v="2024-09-01T00:00:00"/>
    <x v="177"/>
    <x v="9"/>
    <x v="15"/>
    <s v="Compteur 3"/>
    <s v="Compteur_3"/>
    <x v="1"/>
    <d v="1899-12-30T00:00:00"/>
    <d v="1899-12-30T00:00:00"/>
    <n v="1"/>
    <e v="#VALUE!"/>
    <n v="0"/>
    <e v="#VALUE!"/>
    <s v=""/>
    <e v="#VALUE!"/>
    <n v="0"/>
    <e v="#VALUE!"/>
    <e v="#VALUE!"/>
    <s v=""/>
    <s v=""/>
    <s v=""/>
    <n v="0"/>
    <x v="2"/>
    <x v="5"/>
    <x v="1"/>
    <x v="1"/>
    <n v="0"/>
  </r>
  <r>
    <d v="2024-10-01T00:00:00"/>
    <x v="178"/>
    <x v="10"/>
    <x v="15"/>
    <s v="Compteur 3"/>
    <s v="Compteur_3"/>
    <x v="1"/>
    <d v="1899-12-30T00:00:00"/>
    <d v="1899-12-30T00:00:00"/>
    <n v="1"/>
    <e v="#VALUE!"/>
    <n v="0"/>
    <e v="#VALUE!"/>
    <s v=""/>
    <e v="#VALUE!"/>
    <n v="0"/>
    <e v="#VALUE!"/>
    <e v="#VALUE!"/>
    <s v=""/>
    <s v=""/>
    <s v=""/>
    <n v="0"/>
    <x v="2"/>
    <x v="5"/>
    <x v="1"/>
    <x v="1"/>
    <n v="0"/>
  </r>
  <r>
    <d v="2024-11-01T00:00:00"/>
    <x v="179"/>
    <x v="11"/>
    <x v="15"/>
    <s v="Compteur 3"/>
    <s v="Compteur_3"/>
    <x v="1"/>
    <d v="1899-12-30T00:00:00"/>
    <d v="1899-12-30T00:00:00"/>
    <n v="1"/>
    <e v="#VALUE!"/>
    <n v="0"/>
    <e v="#VALUE!"/>
    <s v=""/>
    <e v="#VALUE!"/>
    <n v="0"/>
    <e v="#VALUE!"/>
    <e v="#VALUE!"/>
    <s v=""/>
    <s v=""/>
    <s v=""/>
    <n v="0"/>
    <x v="2"/>
    <x v="5"/>
    <x v="1"/>
    <x v="1"/>
    <n v="0"/>
  </r>
  <r>
    <d v="2024-12-01T00:00:00"/>
    <x v="180"/>
    <x v="12"/>
    <x v="15"/>
    <s v="Compteur 3"/>
    <s v="Compteur_3"/>
    <x v="1"/>
    <d v="1899-12-30T00:00:00"/>
    <d v="1899-12-30T00:00:00"/>
    <n v="1"/>
    <e v="#VALUE!"/>
    <n v="0"/>
    <e v="#VALUE!"/>
    <s v=""/>
    <e v="#VALUE!"/>
    <n v="0"/>
    <e v="#VALUE!"/>
    <e v="#VALUE!"/>
    <s v=""/>
    <s v=""/>
    <s v=""/>
    <n v="0"/>
    <x v="2"/>
    <x v="5"/>
    <x v="1"/>
    <x v="1"/>
    <n v="0"/>
  </r>
  <r>
    <d v="2025-01-01T00:00:00"/>
    <x v="181"/>
    <x v="1"/>
    <x v="16"/>
    <s v="Compteur 3"/>
    <s v="Compteur_3"/>
    <x v="1"/>
    <d v="1899-12-30T00:00:00"/>
    <d v="1899-12-30T00:00:00"/>
    <n v="1"/>
    <e v="#VALUE!"/>
    <n v="0"/>
    <e v="#VALUE!"/>
    <s v=""/>
    <e v="#VALUE!"/>
    <n v="0"/>
    <e v="#VALUE!"/>
    <e v="#VALUE!"/>
    <s v=""/>
    <s v=""/>
    <s v=""/>
    <n v="0"/>
    <x v="2"/>
    <x v="5"/>
    <x v="1"/>
    <x v="1"/>
    <n v="0"/>
  </r>
  <r>
    <d v="2025-02-01T00:00:00"/>
    <x v="182"/>
    <x v="2"/>
    <x v="16"/>
    <s v="Compteur 3"/>
    <s v="Compteur_3"/>
    <x v="1"/>
    <d v="1899-12-30T00:00:00"/>
    <d v="1899-12-30T00:00:00"/>
    <n v="1"/>
    <e v="#VALUE!"/>
    <n v="0"/>
    <e v="#VALUE!"/>
    <s v=""/>
    <e v="#VALUE!"/>
    <n v="0"/>
    <e v="#VALUE!"/>
    <e v="#VALUE!"/>
    <s v=""/>
    <s v=""/>
    <s v=""/>
    <n v="0"/>
    <x v="2"/>
    <x v="5"/>
    <x v="1"/>
    <x v="1"/>
    <n v="0"/>
  </r>
  <r>
    <d v="2025-03-01T00:00:00"/>
    <x v="183"/>
    <x v="3"/>
    <x v="16"/>
    <s v="Compteur 3"/>
    <s v="Compteur_3"/>
    <x v="1"/>
    <d v="1899-12-30T00:00:00"/>
    <d v="1899-12-30T00:00:00"/>
    <n v="1"/>
    <e v="#VALUE!"/>
    <n v="0"/>
    <e v="#VALUE!"/>
    <s v=""/>
    <e v="#VALUE!"/>
    <n v="0"/>
    <e v="#VALUE!"/>
    <e v="#VALUE!"/>
    <s v=""/>
    <s v=""/>
    <s v=""/>
    <n v="0"/>
    <x v="2"/>
    <x v="5"/>
    <x v="1"/>
    <x v="1"/>
    <n v="0"/>
  </r>
  <r>
    <d v="2025-04-01T00:00:00"/>
    <x v="184"/>
    <x v="4"/>
    <x v="16"/>
    <s v="Compteur 3"/>
    <s v="Compteur_3"/>
    <x v="1"/>
    <d v="1899-12-30T00:00:00"/>
    <d v="1899-12-30T00:00:00"/>
    <n v="1"/>
    <e v="#VALUE!"/>
    <n v="0"/>
    <e v="#VALUE!"/>
    <s v=""/>
    <e v="#VALUE!"/>
    <n v="0"/>
    <e v="#VALUE!"/>
    <e v="#VALUE!"/>
    <s v=""/>
    <s v=""/>
    <s v=""/>
    <n v="0"/>
    <x v="2"/>
    <x v="5"/>
    <x v="1"/>
    <x v="1"/>
    <n v="0"/>
  </r>
  <r>
    <d v="2025-05-01T00:00:00"/>
    <x v="185"/>
    <x v="5"/>
    <x v="16"/>
    <s v="Compteur 3"/>
    <s v="Compteur_3"/>
    <x v="1"/>
    <d v="1899-12-30T00:00:00"/>
    <d v="1899-12-30T00:00:00"/>
    <n v="1"/>
    <e v="#VALUE!"/>
    <n v="0"/>
    <e v="#VALUE!"/>
    <s v=""/>
    <e v="#VALUE!"/>
    <n v="0"/>
    <e v="#VALUE!"/>
    <e v="#VALUE!"/>
    <s v=""/>
    <s v=""/>
    <s v=""/>
    <n v="0"/>
    <x v="2"/>
    <x v="5"/>
    <x v="1"/>
    <x v="1"/>
    <n v="0"/>
  </r>
  <r>
    <d v="2025-06-01T00:00:00"/>
    <x v="186"/>
    <x v="6"/>
    <x v="16"/>
    <s v="Compteur 3"/>
    <s v="Compteur_3"/>
    <x v="1"/>
    <d v="1899-12-30T00:00:00"/>
    <d v="1899-12-30T00:00:00"/>
    <n v="1"/>
    <e v="#VALUE!"/>
    <n v="0"/>
    <e v="#VALUE!"/>
    <s v=""/>
    <e v="#VALUE!"/>
    <n v="0"/>
    <e v="#VALUE!"/>
    <e v="#VALUE!"/>
    <s v=""/>
    <s v=""/>
    <s v=""/>
    <n v="0"/>
    <x v="2"/>
    <x v="5"/>
    <x v="1"/>
    <x v="1"/>
    <n v="0"/>
  </r>
  <r>
    <d v="2025-07-01T00:00:00"/>
    <x v="187"/>
    <x v="7"/>
    <x v="16"/>
    <s v="Compteur 3"/>
    <s v="Compteur_3"/>
    <x v="1"/>
    <d v="1899-12-30T00:00:00"/>
    <d v="1899-12-30T00:00:00"/>
    <n v="1"/>
    <e v="#VALUE!"/>
    <n v="0"/>
    <e v="#VALUE!"/>
    <s v=""/>
    <e v="#VALUE!"/>
    <n v="0"/>
    <e v="#VALUE!"/>
    <e v="#VALUE!"/>
    <s v=""/>
    <s v=""/>
    <s v=""/>
    <n v="0"/>
    <x v="2"/>
    <x v="5"/>
    <x v="1"/>
    <x v="1"/>
    <n v="0"/>
  </r>
  <r>
    <d v="2025-08-01T00:00:00"/>
    <x v="188"/>
    <x v="8"/>
    <x v="16"/>
    <s v="Compteur 3"/>
    <s v="Compteur_3"/>
    <x v="1"/>
    <d v="1899-12-30T00:00:00"/>
    <d v="1899-12-30T00:00:00"/>
    <n v="1"/>
    <e v="#VALUE!"/>
    <n v="0"/>
    <e v="#VALUE!"/>
    <s v=""/>
    <e v="#VALUE!"/>
    <n v="0"/>
    <e v="#VALUE!"/>
    <e v="#VALUE!"/>
    <s v=""/>
    <s v=""/>
    <s v=""/>
    <n v="0"/>
    <x v="2"/>
    <x v="5"/>
    <x v="1"/>
    <x v="1"/>
    <n v="0"/>
  </r>
  <r>
    <d v="2025-09-01T00:00:00"/>
    <x v="189"/>
    <x v="9"/>
    <x v="16"/>
    <s v="Compteur 3"/>
    <s v="Compteur_3"/>
    <x v="1"/>
    <d v="1899-12-30T00:00:00"/>
    <d v="1899-12-30T00:00:00"/>
    <n v="1"/>
    <e v="#VALUE!"/>
    <n v="0"/>
    <e v="#VALUE!"/>
    <s v=""/>
    <e v="#VALUE!"/>
    <n v="0"/>
    <e v="#VALUE!"/>
    <e v="#VALUE!"/>
    <s v=""/>
    <s v=""/>
    <s v=""/>
    <n v="0"/>
    <x v="2"/>
    <x v="5"/>
    <x v="1"/>
    <x v="1"/>
    <n v="0"/>
  </r>
  <r>
    <d v="2025-10-01T00:00:00"/>
    <x v="190"/>
    <x v="10"/>
    <x v="16"/>
    <s v="Compteur 3"/>
    <s v="Compteur_3"/>
    <x v="1"/>
    <d v="1899-12-30T00:00:00"/>
    <d v="1899-12-30T00:00:00"/>
    <n v="1"/>
    <e v="#VALUE!"/>
    <n v="0"/>
    <e v="#VALUE!"/>
    <s v=""/>
    <e v="#VALUE!"/>
    <n v="0"/>
    <e v="#VALUE!"/>
    <e v="#VALUE!"/>
    <s v=""/>
    <s v=""/>
    <s v=""/>
    <n v="0"/>
    <x v="2"/>
    <x v="5"/>
    <x v="1"/>
    <x v="1"/>
    <n v="0"/>
  </r>
  <r>
    <d v="2025-11-01T00:00:00"/>
    <x v="191"/>
    <x v="11"/>
    <x v="16"/>
    <s v="Compteur 3"/>
    <s v="Compteur_3"/>
    <x v="1"/>
    <d v="1899-12-30T00:00:00"/>
    <d v="1899-12-30T00:00:00"/>
    <n v="1"/>
    <e v="#VALUE!"/>
    <n v="0"/>
    <e v="#VALUE!"/>
    <s v=""/>
    <e v="#VALUE!"/>
    <n v="0"/>
    <e v="#VALUE!"/>
    <e v="#VALUE!"/>
    <s v=""/>
    <s v=""/>
    <s v=""/>
    <n v="0"/>
    <x v="2"/>
    <x v="5"/>
    <x v="1"/>
    <x v="1"/>
    <n v="0"/>
  </r>
  <r>
    <d v="2025-12-01T00:00:00"/>
    <x v="192"/>
    <x v="12"/>
    <x v="16"/>
    <s v="Compteur 3"/>
    <s v="Compteur_3"/>
    <x v="1"/>
    <d v="1899-12-30T00:00:00"/>
    <d v="1899-12-30T00:00:00"/>
    <n v="1"/>
    <e v="#VALUE!"/>
    <n v="0"/>
    <e v="#VALUE!"/>
    <s v=""/>
    <e v="#VALUE!"/>
    <n v="0"/>
    <e v="#VALUE!"/>
    <e v="#VALUE!"/>
    <s v=""/>
    <s v=""/>
    <s v=""/>
    <n v="0"/>
    <x v="2"/>
    <x v="5"/>
    <x v="1"/>
    <x v="1"/>
    <n v="0"/>
  </r>
  <r>
    <d v="2010-01-01T00:00:00"/>
    <x v="1"/>
    <x v="1"/>
    <x v="1"/>
    <s v="Compteur 4"/>
    <s v="Compteur_4"/>
    <x v="1"/>
    <d v="1899-12-30T00:00:00"/>
    <d v="1899-12-30T00:00:00"/>
    <n v="1"/>
    <e v="#VALUE!"/>
    <n v="0"/>
    <e v="#VALUE!"/>
    <s v=""/>
    <e v="#VALUE!"/>
    <n v="0"/>
    <e v="#VALUE!"/>
    <e v="#VALUE!"/>
    <s v=""/>
    <s v=""/>
    <s v=""/>
    <n v="0"/>
    <x v="2"/>
    <x v="5"/>
    <x v="1"/>
    <x v="1"/>
    <n v="487.6"/>
  </r>
  <r>
    <d v="2010-02-01T00:00:00"/>
    <x v="2"/>
    <x v="2"/>
    <x v="1"/>
    <s v="Compteur 4"/>
    <s v="Compteur_4"/>
    <x v="1"/>
    <d v="1899-12-30T00:00:00"/>
    <d v="1899-12-30T00:00:00"/>
    <n v="1"/>
    <e v="#VALUE!"/>
    <n v="0"/>
    <e v="#VALUE!"/>
    <s v=""/>
    <e v="#VALUE!"/>
    <n v="0"/>
    <e v="#VALUE!"/>
    <e v="#VALUE!"/>
    <s v=""/>
    <s v=""/>
    <s v=""/>
    <n v="0"/>
    <x v="2"/>
    <x v="5"/>
    <x v="1"/>
    <x v="1"/>
    <n v="370.3"/>
  </r>
  <r>
    <d v="2010-03-01T00:00:00"/>
    <x v="3"/>
    <x v="3"/>
    <x v="1"/>
    <s v="Compteur 4"/>
    <s v="Compteur_4"/>
    <x v="1"/>
    <d v="1899-12-30T00:00:00"/>
    <d v="1899-12-30T00:00:00"/>
    <n v="1"/>
    <e v="#VALUE!"/>
    <n v="0"/>
    <e v="#VALUE!"/>
    <s v=""/>
    <e v="#VALUE!"/>
    <n v="0"/>
    <e v="#VALUE!"/>
    <e v="#VALUE!"/>
    <s v=""/>
    <s v=""/>
    <s v=""/>
    <n v="0"/>
    <x v="2"/>
    <x v="5"/>
    <x v="1"/>
    <x v="1"/>
    <n v="312.8"/>
  </r>
  <r>
    <d v="2010-04-01T00:00:00"/>
    <x v="4"/>
    <x v="4"/>
    <x v="1"/>
    <s v="Compteur 4"/>
    <s v="Compteur_4"/>
    <x v="1"/>
    <d v="1899-12-30T00:00:00"/>
    <d v="1899-12-30T00:00:00"/>
    <n v="1"/>
    <e v="#VALUE!"/>
    <n v="0"/>
    <e v="#VALUE!"/>
    <s v=""/>
    <e v="#VALUE!"/>
    <n v="0"/>
    <e v="#VALUE!"/>
    <e v="#VALUE!"/>
    <s v=""/>
    <s v=""/>
    <s v=""/>
    <n v="0"/>
    <x v="2"/>
    <x v="5"/>
    <x v="1"/>
    <x v="1"/>
    <n v="199.2"/>
  </r>
  <r>
    <d v="2010-05-01T00:00:00"/>
    <x v="5"/>
    <x v="5"/>
    <x v="1"/>
    <s v="Compteur 4"/>
    <s v="Compteur_4"/>
    <x v="1"/>
    <d v="1899-12-30T00:00:00"/>
    <d v="1899-12-30T00:00:00"/>
    <n v="1"/>
    <e v="#VALUE!"/>
    <n v="0"/>
    <e v="#VALUE!"/>
    <s v=""/>
    <e v="#VALUE!"/>
    <n v="0"/>
    <e v="#VALUE!"/>
    <e v="#VALUE!"/>
    <s v=""/>
    <s v=""/>
    <s v=""/>
    <n v="0"/>
    <x v="2"/>
    <x v="5"/>
    <x v="1"/>
    <x v="1"/>
    <n v="155.4"/>
  </r>
  <r>
    <d v="2010-06-01T00:00:00"/>
    <x v="6"/>
    <x v="6"/>
    <x v="1"/>
    <s v="Compteur 4"/>
    <s v="Compteur_4"/>
    <x v="1"/>
    <d v="1899-12-30T00:00:00"/>
    <d v="1899-12-30T00:00:00"/>
    <n v="1"/>
    <e v="#VALUE!"/>
    <n v="0"/>
    <e v="#VALUE!"/>
    <s v=""/>
    <e v="#VALUE!"/>
    <n v="0"/>
    <e v="#VALUE!"/>
    <e v="#VALUE!"/>
    <s v=""/>
    <s v=""/>
    <s v=""/>
    <n v="0"/>
    <x v="2"/>
    <x v="5"/>
    <x v="1"/>
    <x v="1"/>
    <n v="46.7"/>
  </r>
  <r>
    <d v="2010-07-01T00:00:00"/>
    <x v="7"/>
    <x v="7"/>
    <x v="1"/>
    <s v="Compteur 4"/>
    <s v="Compteur_4"/>
    <x v="1"/>
    <d v="1899-12-30T00:00:00"/>
    <d v="1899-12-30T00:00:00"/>
    <n v="1"/>
    <e v="#VALUE!"/>
    <n v="0"/>
    <e v="#VALUE!"/>
    <s v=""/>
    <e v="#VALUE!"/>
    <n v="0"/>
    <e v="#VALUE!"/>
    <e v="#VALUE!"/>
    <s v=""/>
    <s v=""/>
    <s v=""/>
    <n v="0"/>
    <x v="2"/>
    <x v="5"/>
    <x v="1"/>
    <x v="1"/>
    <n v="22.2"/>
  </r>
  <r>
    <d v="2010-08-01T00:00:00"/>
    <x v="8"/>
    <x v="8"/>
    <x v="1"/>
    <s v="Compteur 4"/>
    <s v="Compteur_4"/>
    <x v="1"/>
    <d v="1899-12-30T00:00:00"/>
    <d v="1899-12-30T00:00:00"/>
    <n v="1"/>
    <e v="#VALUE!"/>
    <n v="0"/>
    <e v="#VALUE!"/>
    <s v=""/>
    <e v="#VALUE!"/>
    <n v="0"/>
    <e v="#VALUE!"/>
    <e v="#VALUE!"/>
    <s v=""/>
    <s v=""/>
    <s v=""/>
    <n v="0"/>
    <x v="2"/>
    <x v="5"/>
    <x v="1"/>
    <x v="1"/>
    <n v="41.5"/>
  </r>
  <r>
    <d v="2010-09-01T00:00:00"/>
    <x v="9"/>
    <x v="9"/>
    <x v="1"/>
    <s v="Compteur 4"/>
    <s v="Compteur_4"/>
    <x v="1"/>
    <d v="1899-12-30T00:00:00"/>
    <d v="1899-12-30T00:00:00"/>
    <n v="1"/>
    <e v="#VALUE!"/>
    <n v="0"/>
    <e v="#VALUE!"/>
    <s v=""/>
    <e v="#VALUE!"/>
    <n v="0"/>
    <e v="#VALUE!"/>
    <e v="#VALUE!"/>
    <s v=""/>
    <s v=""/>
    <s v=""/>
    <n v="0"/>
    <x v="2"/>
    <x v="5"/>
    <x v="1"/>
    <x v="1"/>
    <n v="95.4"/>
  </r>
  <r>
    <d v="2010-10-01T00:00:00"/>
    <x v="10"/>
    <x v="10"/>
    <x v="1"/>
    <s v="Compteur 4"/>
    <s v="Compteur_4"/>
    <x v="1"/>
    <d v="1899-12-30T00:00:00"/>
    <d v="1899-12-30T00:00:00"/>
    <n v="1"/>
    <e v="#VALUE!"/>
    <n v="0"/>
    <e v="#VALUE!"/>
    <s v=""/>
    <e v="#VALUE!"/>
    <n v="0"/>
    <e v="#VALUE!"/>
    <e v="#VALUE!"/>
    <s v=""/>
    <s v=""/>
    <s v=""/>
    <n v="0"/>
    <x v="2"/>
    <x v="5"/>
    <x v="1"/>
    <x v="1"/>
    <n v="190.1"/>
  </r>
  <r>
    <d v="2010-11-01T00:00:00"/>
    <x v="11"/>
    <x v="11"/>
    <x v="1"/>
    <s v="Compteur 4"/>
    <s v="Compteur_4"/>
    <x v="1"/>
    <d v="1899-12-30T00:00:00"/>
    <d v="1899-12-30T00:00:00"/>
    <n v="1"/>
    <e v="#VALUE!"/>
    <n v="0"/>
    <e v="#VALUE!"/>
    <s v=""/>
    <e v="#VALUE!"/>
    <n v="0"/>
    <e v="#VALUE!"/>
    <e v="#VALUE!"/>
    <s v=""/>
    <s v=""/>
    <s v=""/>
    <n v="0"/>
    <x v="2"/>
    <x v="5"/>
    <x v="1"/>
    <x v="1"/>
    <n v="320.89999999999998"/>
  </r>
  <r>
    <d v="2010-12-01T00:00:00"/>
    <x v="12"/>
    <x v="12"/>
    <x v="1"/>
    <s v="Compteur 4"/>
    <s v="Compteur_4"/>
    <x v="1"/>
    <d v="1899-12-30T00:00:00"/>
    <d v="1899-12-30T00:00:00"/>
    <n v="1"/>
    <e v="#VALUE!"/>
    <n v="0"/>
    <e v="#VALUE!"/>
    <s v=""/>
    <e v="#VALUE!"/>
    <n v="0"/>
    <e v="#VALUE!"/>
    <e v="#VALUE!"/>
    <s v=""/>
    <s v=""/>
    <s v=""/>
    <n v="0"/>
    <x v="2"/>
    <x v="5"/>
    <x v="1"/>
    <x v="1"/>
    <n v="500.7"/>
  </r>
  <r>
    <d v="2011-01-01T00:00:00"/>
    <x v="13"/>
    <x v="1"/>
    <x v="2"/>
    <s v="Compteur 4"/>
    <s v="Compteur_4"/>
    <x v="1"/>
    <d v="1899-12-30T00:00:00"/>
    <d v="1899-12-30T00:00:00"/>
    <n v="1"/>
    <e v="#VALUE!"/>
    <n v="0"/>
    <e v="#VALUE!"/>
    <s v=""/>
    <e v="#VALUE!"/>
    <n v="0"/>
    <e v="#VALUE!"/>
    <e v="#VALUE!"/>
    <s v=""/>
    <s v=""/>
    <s v=""/>
    <n v="0"/>
    <x v="2"/>
    <x v="5"/>
    <x v="1"/>
    <x v="1"/>
    <n v="392.2"/>
  </r>
  <r>
    <d v="2011-02-01T00:00:00"/>
    <x v="14"/>
    <x v="2"/>
    <x v="2"/>
    <s v="Compteur 4"/>
    <s v="Compteur_4"/>
    <x v="1"/>
    <d v="1899-12-30T00:00:00"/>
    <d v="1899-12-30T00:00:00"/>
    <n v="1"/>
    <e v="#VALUE!"/>
    <n v="0"/>
    <e v="#VALUE!"/>
    <s v=""/>
    <e v="#VALUE!"/>
    <n v="0"/>
    <e v="#VALUE!"/>
    <e v="#VALUE!"/>
    <s v=""/>
    <s v=""/>
    <s v=""/>
    <n v="0"/>
    <x v="2"/>
    <x v="5"/>
    <x v="1"/>
    <x v="1"/>
    <n v="299.10000000000002"/>
  </r>
  <r>
    <d v="2011-03-01T00:00:00"/>
    <x v="15"/>
    <x v="3"/>
    <x v="2"/>
    <s v="Compteur 4"/>
    <s v="Compteur_4"/>
    <x v="1"/>
    <d v="1899-12-30T00:00:00"/>
    <d v="1899-12-30T00:00:00"/>
    <n v="1"/>
    <e v="#VALUE!"/>
    <n v="0"/>
    <e v="#VALUE!"/>
    <s v=""/>
    <e v="#VALUE!"/>
    <n v="0"/>
    <e v="#VALUE!"/>
    <e v="#VALUE!"/>
    <s v=""/>
    <s v=""/>
    <s v=""/>
    <n v="0"/>
    <x v="2"/>
    <x v="5"/>
    <x v="1"/>
    <x v="1"/>
    <n v="266.5"/>
  </r>
  <r>
    <d v="2011-04-01T00:00:00"/>
    <x v="16"/>
    <x v="4"/>
    <x v="2"/>
    <s v="Compteur 4"/>
    <s v="Compteur_4"/>
    <x v="1"/>
    <d v="1899-12-30T00:00:00"/>
    <d v="1899-12-30T00:00:00"/>
    <n v="1"/>
    <e v="#VALUE!"/>
    <n v="0"/>
    <e v="#VALUE!"/>
    <s v=""/>
    <e v="#VALUE!"/>
    <n v="0"/>
    <e v="#VALUE!"/>
    <e v="#VALUE!"/>
    <s v=""/>
    <s v=""/>
    <s v=""/>
    <n v="0"/>
    <x v="2"/>
    <x v="5"/>
    <x v="1"/>
    <x v="1"/>
    <n v="136.19999999999999"/>
  </r>
  <r>
    <d v="2011-05-01T00:00:00"/>
    <x v="17"/>
    <x v="5"/>
    <x v="2"/>
    <s v="Compteur 4"/>
    <s v="Compteur_4"/>
    <x v="1"/>
    <d v="1899-12-30T00:00:00"/>
    <d v="1899-12-30T00:00:00"/>
    <n v="1"/>
    <e v="#VALUE!"/>
    <n v="0"/>
    <e v="#VALUE!"/>
    <s v=""/>
    <e v="#VALUE!"/>
    <n v="0"/>
    <e v="#VALUE!"/>
    <e v="#VALUE!"/>
    <s v=""/>
    <s v=""/>
    <s v=""/>
    <n v="0"/>
    <x v="2"/>
    <x v="5"/>
    <x v="1"/>
    <x v="1"/>
    <n v="91.9"/>
  </r>
  <r>
    <d v="2011-06-01T00:00:00"/>
    <x v="18"/>
    <x v="6"/>
    <x v="2"/>
    <s v="Compteur 4"/>
    <s v="Compteur_4"/>
    <x v="1"/>
    <d v="1899-12-30T00:00:00"/>
    <d v="1899-12-30T00:00:00"/>
    <n v="1"/>
    <e v="#VALUE!"/>
    <n v="0"/>
    <e v="#VALUE!"/>
    <s v=""/>
    <e v="#VALUE!"/>
    <n v="0"/>
    <e v="#VALUE!"/>
    <e v="#VALUE!"/>
    <s v=""/>
    <s v=""/>
    <s v=""/>
    <n v="0"/>
    <x v="2"/>
    <x v="5"/>
    <x v="1"/>
    <x v="1"/>
    <n v="55.8"/>
  </r>
  <r>
    <d v="2011-07-01T00:00:00"/>
    <x v="19"/>
    <x v="7"/>
    <x v="2"/>
    <s v="Compteur 4"/>
    <s v="Compteur_4"/>
    <x v="1"/>
    <d v="1899-12-30T00:00:00"/>
    <d v="1899-12-30T00:00:00"/>
    <n v="1"/>
    <e v="#VALUE!"/>
    <n v="0"/>
    <e v="#VALUE!"/>
    <s v=""/>
    <e v="#VALUE!"/>
    <n v="0"/>
    <e v="#VALUE!"/>
    <e v="#VALUE!"/>
    <s v=""/>
    <s v=""/>
    <s v=""/>
    <n v="0"/>
    <x v="2"/>
    <x v="5"/>
    <x v="1"/>
    <x v="1"/>
    <n v="50.8"/>
  </r>
  <r>
    <d v="2011-08-01T00:00:00"/>
    <x v="20"/>
    <x v="8"/>
    <x v="2"/>
    <s v="Compteur 4"/>
    <s v="Compteur_4"/>
    <x v="1"/>
    <d v="1899-12-30T00:00:00"/>
    <d v="1899-12-30T00:00:00"/>
    <n v="1"/>
    <e v="#VALUE!"/>
    <n v="0"/>
    <e v="#VALUE!"/>
    <s v=""/>
    <e v="#VALUE!"/>
    <n v="0"/>
    <e v="#VALUE!"/>
    <e v="#VALUE!"/>
    <s v=""/>
    <s v=""/>
    <s v=""/>
    <n v="0"/>
    <x v="2"/>
    <x v="5"/>
    <x v="1"/>
    <x v="1"/>
    <n v="34.700000000000003"/>
  </r>
  <r>
    <d v="2011-09-01T00:00:00"/>
    <x v="21"/>
    <x v="9"/>
    <x v="2"/>
    <s v="Compteur 4"/>
    <s v="Compteur_4"/>
    <x v="1"/>
    <d v="1899-12-30T00:00:00"/>
    <d v="1899-12-30T00:00:00"/>
    <n v="1"/>
    <e v="#VALUE!"/>
    <n v="0"/>
    <e v="#VALUE!"/>
    <s v=""/>
    <e v="#VALUE!"/>
    <n v="0"/>
    <e v="#VALUE!"/>
    <e v="#VALUE!"/>
    <s v=""/>
    <s v=""/>
    <s v=""/>
    <n v="0"/>
    <x v="2"/>
    <x v="5"/>
    <x v="1"/>
    <x v="1"/>
    <n v="51.3"/>
  </r>
  <r>
    <d v="2011-10-01T00:00:00"/>
    <x v="22"/>
    <x v="10"/>
    <x v="2"/>
    <s v="Compteur 4"/>
    <s v="Compteur_4"/>
    <x v="1"/>
    <d v="1899-12-30T00:00:00"/>
    <d v="1899-12-30T00:00:00"/>
    <n v="1"/>
    <e v="#VALUE!"/>
    <n v="0"/>
    <e v="#VALUE!"/>
    <s v=""/>
    <e v="#VALUE!"/>
    <n v="0"/>
    <e v="#VALUE!"/>
    <e v="#VALUE!"/>
    <s v=""/>
    <s v=""/>
    <s v=""/>
    <n v="0"/>
    <x v="2"/>
    <x v="5"/>
    <x v="1"/>
    <x v="1"/>
    <n v="145.6"/>
  </r>
  <r>
    <d v="2011-11-01T00:00:00"/>
    <x v="23"/>
    <x v="11"/>
    <x v="2"/>
    <s v="Compteur 4"/>
    <s v="Compteur_4"/>
    <x v="1"/>
    <d v="1899-12-30T00:00:00"/>
    <d v="1899-12-30T00:00:00"/>
    <n v="1"/>
    <e v="#VALUE!"/>
    <n v="0"/>
    <e v="#VALUE!"/>
    <s v=""/>
    <e v="#VALUE!"/>
    <n v="0"/>
    <e v="#VALUE!"/>
    <e v="#VALUE!"/>
    <s v=""/>
    <s v=""/>
    <s v=""/>
    <n v="0"/>
    <x v="2"/>
    <x v="5"/>
    <x v="1"/>
    <x v="1"/>
    <n v="205.3"/>
  </r>
  <r>
    <d v="2011-12-01T00:00:00"/>
    <x v="24"/>
    <x v="12"/>
    <x v="2"/>
    <s v="Compteur 4"/>
    <s v="Compteur_4"/>
    <x v="1"/>
    <d v="1899-12-30T00:00:00"/>
    <d v="1899-12-30T00:00:00"/>
    <n v="1"/>
    <e v="#VALUE!"/>
    <n v="0"/>
    <e v="#VALUE!"/>
    <s v=""/>
    <e v="#VALUE!"/>
    <n v="0"/>
    <e v="#VALUE!"/>
    <e v="#VALUE!"/>
    <s v=""/>
    <s v=""/>
    <s v=""/>
    <n v="0"/>
    <x v="2"/>
    <x v="5"/>
    <x v="1"/>
    <x v="1"/>
    <n v="307.5"/>
  </r>
  <r>
    <d v="2012-01-01T00:00:00"/>
    <x v="25"/>
    <x v="1"/>
    <x v="3"/>
    <s v="Compteur 4"/>
    <s v="Compteur_4"/>
    <x v="1"/>
    <d v="1899-12-30T00:00:00"/>
    <d v="1899-12-30T00:00:00"/>
    <n v="1"/>
    <e v="#VALUE!"/>
    <n v="0"/>
    <e v="#VALUE!"/>
    <s v=""/>
    <e v="#VALUE!"/>
    <n v="0"/>
    <e v="#VALUE!"/>
    <e v="#VALUE!"/>
    <s v=""/>
    <s v=""/>
    <s v=""/>
    <n v="0"/>
    <x v="2"/>
    <x v="5"/>
    <x v="1"/>
    <x v="1"/>
    <n v="348.8"/>
  </r>
  <r>
    <d v="2012-02-01T00:00:00"/>
    <x v="26"/>
    <x v="2"/>
    <x v="3"/>
    <s v="Compteur 4"/>
    <s v="Compteur_4"/>
    <x v="1"/>
    <d v="1899-12-30T00:00:00"/>
    <d v="1899-12-30T00:00:00"/>
    <n v="1"/>
    <e v="#VALUE!"/>
    <n v="0"/>
    <e v="#VALUE!"/>
    <s v=""/>
    <e v="#VALUE!"/>
    <n v="0"/>
    <e v="#VALUE!"/>
    <e v="#VALUE!"/>
    <s v=""/>
    <s v=""/>
    <s v=""/>
    <n v="0"/>
    <x v="2"/>
    <x v="5"/>
    <x v="1"/>
    <x v="1"/>
    <n v="469.8"/>
  </r>
  <r>
    <d v="2012-03-01T00:00:00"/>
    <x v="27"/>
    <x v="3"/>
    <x v="3"/>
    <s v="Compteur 4"/>
    <s v="Compteur_4"/>
    <x v="1"/>
    <d v="1899-12-30T00:00:00"/>
    <d v="1899-12-30T00:00:00"/>
    <n v="1"/>
    <e v="#VALUE!"/>
    <n v="0"/>
    <e v="#VALUE!"/>
    <s v=""/>
    <e v="#VALUE!"/>
    <n v="0"/>
    <e v="#VALUE!"/>
    <e v="#VALUE!"/>
    <s v=""/>
    <s v=""/>
    <s v=""/>
    <n v="0"/>
    <x v="2"/>
    <x v="5"/>
    <x v="1"/>
    <x v="1"/>
    <n v="247.3"/>
  </r>
  <r>
    <d v="2012-04-01T00:00:00"/>
    <x v="28"/>
    <x v="4"/>
    <x v="3"/>
    <s v="Compteur 4"/>
    <s v="Compteur_4"/>
    <x v="1"/>
    <d v="1899-12-30T00:00:00"/>
    <d v="1899-12-30T00:00:00"/>
    <n v="1"/>
    <e v="#VALUE!"/>
    <n v="0"/>
    <e v="#VALUE!"/>
    <s v=""/>
    <e v="#VALUE!"/>
    <n v="0"/>
    <e v="#VALUE!"/>
    <e v="#VALUE!"/>
    <s v=""/>
    <s v=""/>
    <s v=""/>
    <n v="0"/>
    <x v="2"/>
    <x v="5"/>
    <x v="1"/>
    <x v="1"/>
    <n v="253.8"/>
  </r>
  <r>
    <d v="2012-05-01T00:00:00"/>
    <x v="29"/>
    <x v="5"/>
    <x v="3"/>
    <s v="Compteur 4"/>
    <s v="Compteur_4"/>
    <x v="1"/>
    <d v="1899-12-30T00:00:00"/>
    <d v="1899-12-30T00:00:00"/>
    <n v="1"/>
    <e v="#VALUE!"/>
    <n v="0"/>
    <e v="#VALUE!"/>
    <s v=""/>
    <e v="#VALUE!"/>
    <n v="0"/>
    <e v="#VALUE!"/>
    <e v="#VALUE!"/>
    <s v=""/>
    <s v=""/>
    <s v=""/>
    <n v="0"/>
    <x v="2"/>
    <x v="5"/>
    <x v="1"/>
    <x v="1"/>
    <n v="113.8"/>
  </r>
  <r>
    <d v="2012-06-01T00:00:00"/>
    <x v="30"/>
    <x v="6"/>
    <x v="3"/>
    <s v="Compteur 4"/>
    <s v="Compteur_4"/>
    <x v="1"/>
    <d v="1899-12-30T00:00:00"/>
    <d v="1899-12-30T00:00:00"/>
    <n v="1"/>
    <e v="#VALUE!"/>
    <n v="0"/>
    <e v="#VALUE!"/>
    <s v=""/>
    <e v="#VALUE!"/>
    <n v="0"/>
    <e v="#VALUE!"/>
    <e v="#VALUE!"/>
    <s v=""/>
    <s v=""/>
    <s v=""/>
    <n v="0"/>
    <x v="2"/>
    <x v="5"/>
    <x v="1"/>
    <x v="1"/>
    <n v="59.4"/>
  </r>
  <r>
    <d v="2012-07-01T00:00:00"/>
    <x v="31"/>
    <x v="7"/>
    <x v="3"/>
    <s v="Compteur 4"/>
    <s v="Compteur_4"/>
    <x v="1"/>
    <d v="1899-12-30T00:00:00"/>
    <d v="1899-12-30T00:00:00"/>
    <n v="1"/>
    <e v="#VALUE!"/>
    <n v="0"/>
    <e v="#VALUE!"/>
    <s v=""/>
    <e v="#VALUE!"/>
    <n v="0"/>
    <e v="#VALUE!"/>
    <e v="#VALUE!"/>
    <s v=""/>
    <s v=""/>
    <s v=""/>
    <n v="0"/>
    <x v="2"/>
    <x v="5"/>
    <x v="1"/>
    <x v="1"/>
    <n v="48.9"/>
  </r>
  <r>
    <d v="2012-08-01T00:00:00"/>
    <x v="32"/>
    <x v="8"/>
    <x v="3"/>
    <s v="Compteur 4"/>
    <s v="Compteur_4"/>
    <x v="1"/>
    <d v="1899-12-30T00:00:00"/>
    <d v="1899-12-30T00:00:00"/>
    <n v="1"/>
    <e v="#VALUE!"/>
    <n v="0"/>
    <e v="#VALUE!"/>
    <s v=""/>
    <e v="#VALUE!"/>
    <n v="0"/>
    <e v="#VALUE!"/>
    <e v="#VALUE!"/>
    <s v=""/>
    <s v=""/>
    <s v=""/>
    <n v="0"/>
    <x v="2"/>
    <x v="5"/>
    <x v="1"/>
    <x v="1"/>
    <n v="28.8"/>
  </r>
  <r>
    <d v="2012-09-01T00:00:00"/>
    <x v="33"/>
    <x v="9"/>
    <x v="3"/>
    <s v="Compteur 4"/>
    <s v="Compteur_4"/>
    <x v="1"/>
    <d v="1899-12-30T00:00:00"/>
    <d v="1899-12-30T00:00:00"/>
    <n v="1"/>
    <e v="#VALUE!"/>
    <n v="0"/>
    <e v="#VALUE!"/>
    <s v=""/>
    <e v="#VALUE!"/>
    <n v="0"/>
    <e v="#VALUE!"/>
    <e v="#VALUE!"/>
    <s v=""/>
    <s v=""/>
    <s v=""/>
    <n v="0"/>
    <x v="2"/>
    <x v="5"/>
    <x v="1"/>
    <x v="1"/>
    <n v="108.1"/>
  </r>
  <r>
    <d v="2012-10-01T00:00:00"/>
    <x v="34"/>
    <x v="10"/>
    <x v="3"/>
    <s v="Compteur 4"/>
    <s v="Compteur_4"/>
    <x v="1"/>
    <d v="1899-12-30T00:00:00"/>
    <d v="1899-12-30T00:00:00"/>
    <n v="1"/>
    <e v="#VALUE!"/>
    <n v="0"/>
    <e v="#VALUE!"/>
    <s v=""/>
    <e v="#VALUE!"/>
    <n v="0"/>
    <e v="#VALUE!"/>
    <e v="#VALUE!"/>
    <s v=""/>
    <s v=""/>
    <s v=""/>
    <n v="0"/>
    <x v="2"/>
    <x v="5"/>
    <x v="1"/>
    <x v="1"/>
    <n v="161.69999999999999"/>
  </r>
  <r>
    <d v="2012-11-01T00:00:00"/>
    <x v="35"/>
    <x v="11"/>
    <x v="3"/>
    <s v="Compteur 4"/>
    <s v="Compteur_4"/>
    <x v="1"/>
    <d v="1899-12-30T00:00:00"/>
    <d v="1899-12-30T00:00:00"/>
    <n v="1"/>
    <e v="#VALUE!"/>
    <n v="0"/>
    <e v="#VALUE!"/>
    <s v=""/>
    <e v="#VALUE!"/>
    <n v="0"/>
    <e v="#VALUE!"/>
    <e v="#VALUE!"/>
    <s v=""/>
    <s v=""/>
    <s v=""/>
    <n v="0"/>
    <x v="2"/>
    <x v="5"/>
    <x v="1"/>
    <x v="1"/>
    <n v="300.39999999999998"/>
  </r>
  <r>
    <d v="2012-12-01T00:00:00"/>
    <x v="36"/>
    <x v="12"/>
    <x v="3"/>
    <s v="Compteur 4"/>
    <s v="Compteur_4"/>
    <x v="1"/>
    <d v="1899-12-30T00:00:00"/>
    <d v="1899-12-30T00:00:00"/>
    <n v="1"/>
    <e v="#VALUE!"/>
    <n v="0"/>
    <e v="#VALUE!"/>
    <s v=""/>
    <e v="#VALUE!"/>
    <n v="0"/>
    <e v="#VALUE!"/>
    <e v="#VALUE!"/>
    <s v=""/>
    <s v=""/>
    <s v=""/>
    <n v="0"/>
    <x v="2"/>
    <x v="5"/>
    <x v="1"/>
    <x v="1"/>
    <n v="333.7"/>
  </r>
  <r>
    <d v="2013-01-01T00:00:00"/>
    <x v="37"/>
    <x v="1"/>
    <x v="4"/>
    <s v="Compteur 4"/>
    <s v="Compteur_4"/>
    <x v="1"/>
    <d v="1899-12-30T00:00:00"/>
    <d v="1899-12-30T00:00:00"/>
    <n v="1"/>
    <e v="#VALUE!"/>
    <n v="0"/>
    <e v="#VALUE!"/>
    <s v=""/>
    <e v="#VALUE!"/>
    <n v="0"/>
    <e v="#VALUE!"/>
    <e v="#VALUE!"/>
    <s v=""/>
    <s v=""/>
    <s v=""/>
    <n v="0"/>
    <x v="2"/>
    <x v="5"/>
    <x v="1"/>
    <x v="1"/>
    <n v="409.5"/>
  </r>
  <r>
    <d v="2013-02-01T00:00:00"/>
    <x v="38"/>
    <x v="2"/>
    <x v="4"/>
    <s v="Compteur 4"/>
    <s v="Compteur_4"/>
    <x v="1"/>
    <d v="1899-12-30T00:00:00"/>
    <d v="1899-12-30T00:00:00"/>
    <n v="1"/>
    <e v="#VALUE!"/>
    <n v="0"/>
    <e v="#VALUE!"/>
    <s v=""/>
    <e v="#VALUE!"/>
    <n v="0"/>
    <e v="#VALUE!"/>
    <e v="#VALUE!"/>
    <s v=""/>
    <s v=""/>
    <s v=""/>
    <n v="0"/>
    <x v="2"/>
    <x v="5"/>
    <x v="1"/>
    <x v="1"/>
    <n v="389.8"/>
  </r>
  <r>
    <d v="2013-03-01T00:00:00"/>
    <x v="39"/>
    <x v="3"/>
    <x v="4"/>
    <s v="Compteur 4"/>
    <s v="Compteur_4"/>
    <x v="1"/>
    <d v="1899-12-30T00:00:00"/>
    <d v="1899-12-30T00:00:00"/>
    <n v="1"/>
    <e v="#VALUE!"/>
    <n v="0"/>
    <e v="#VALUE!"/>
    <s v=""/>
    <e v="#VALUE!"/>
    <n v="0"/>
    <e v="#VALUE!"/>
    <e v="#VALUE!"/>
    <s v=""/>
    <s v=""/>
    <s v=""/>
    <n v="0"/>
    <x v="2"/>
    <x v="5"/>
    <x v="1"/>
    <x v="1"/>
    <n v="360.4"/>
  </r>
  <r>
    <d v="2013-04-01T00:00:00"/>
    <x v="40"/>
    <x v="4"/>
    <x v="4"/>
    <s v="Compteur 4"/>
    <s v="Compteur_4"/>
    <x v="1"/>
    <d v="1899-12-30T00:00:00"/>
    <d v="1899-12-30T00:00:00"/>
    <n v="1"/>
    <e v="#VALUE!"/>
    <n v="0"/>
    <e v="#VALUE!"/>
    <s v=""/>
    <e v="#VALUE!"/>
    <n v="0"/>
    <e v="#VALUE!"/>
    <e v="#VALUE!"/>
    <s v=""/>
    <s v=""/>
    <s v=""/>
    <n v="0"/>
    <x v="2"/>
    <x v="5"/>
    <x v="1"/>
    <x v="1"/>
    <n v="247.2"/>
  </r>
  <r>
    <d v="2013-05-01T00:00:00"/>
    <x v="41"/>
    <x v="5"/>
    <x v="4"/>
    <s v="Compteur 4"/>
    <s v="Compteur_4"/>
    <x v="1"/>
    <d v="1899-12-30T00:00:00"/>
    <d v="1899-12-30T00:00:00"/>
    <n v="1"/>
    <e v="#VALUE!"/>
    <n v="0"/>
    <e v="#VALUE!"/>
    <s v=""/>
    <e v="#VALUE!"/>
    <n v="0"/>
    <e v="#VALUE!"/>
    <e v="#VALUE!"/>
    <s v=""/>
    <s v=""/>
    <s v=""/>
    <n v="0"/>
    <x v="2"/>
    <x v="5"/>
    <x v="1"/>
    <x v="1"/>
    <n v="175.2"/>
  </r>
  <r>
    <d v="2013-06-01T00:00:00"/>
    <x v="42"/>
    <x v="6"/>
    <x v="4"/>
    <s v="Compteur 4"/>
    <s v="Compteur_4"/>
    <x v="1"/>
    <d v="1899-12-30T00:00:00"/>
    <d v="1899-12-30T00:00:00"/>
    <n v="1"/>
    <e v="#VALUE!"/>
    <n v="0"/>
    <e v="#VALUE!"/>
    <s v=""/>
    <e v="#VALUE!"/>
    <n v="0"/>
    <e v="#VALUE!"/>
    <e v="#VALUE!"/>
    <s v=""/>
    <s v=""/>
    <s v=""/>
    <n v="0"/>
    <x v="2"/>
    <x v="5"/>
    <x v="1"/>
    <x v="1"/>
    <n v="68"/>
  </r>
  <r>
    <d v="2013-07-01T00:00:00"/>
    <x v="43"/>
    <x v="7"/>
    <x v="4"/>
    <s v="Compteur 4"/>
    <s v="Compteur_4"/>
    <x v="1"/>
    <d v="1899-12-30T00:00:00"/>
    <d v="1899-12-30T00:00:00"/>
    <n v="1"/>
    <e v="#VALUE!"/>
    <n v="0"/>
    <e v="#VALUE!"/>
    <s v=""/>
    <e v="#VALUE!"/>
    <n v="0"/>
    <e v="#VALUE!"/>
    <e v="#VALUE!"/>
    <s v=""/>
    <s v=""/>
    <s v=""/>
    <n v="0"/>
    <x v="2"/>
    <x v="5"/>
    <x v="1"/>
    <x v="1"/>
    <n v="13.3"/>
  </r>
  <r>
    <d v="2013-08-01T00:00:00"/>
    <x v="44"/>
    <x v="8"/>
    <x v="4"/>
    <s v="Compteur 4"/>
    <s v="Compteur_4"/>
    <x v="1"/>
    <d v="1899-12-30T00:00:00"/>
    <d v="1899-12-30T00:00:00"/>
    <n v="1"/>
    <e v="#VALUE!"/>
    <n v="0"/>
    <e v="#VALUE!"/>
    <s v=""/>
    <e v="#VALUE!"/>
    <n v="0"/>
    <e v="#VALUE!"/>
    <e v="#VALUE!"/>
    <s v=""/>
    <s v=""/>
    <s v=""/>
    <n v="0"/>
    <x v="2"/>
    <x v="5"/>
    <x v="1"/>
    <x v="1"/>
    <n v="38.5"/>
  </r>
  <r>
    <d v="2013-09-01T00:00:00"/>
    <x v="45"/>
    <x v="9"/>
    <x v="4"/>
    <s v="Compteur 4"/>
    <s v="Compteur_4"/>
    <x v="1"/>
    <d v="1899-12-30T00:00:00"/>
    <d v="1899-12-30T00:00:00"/>
    <n v="1"/>
    <e v="#VALUE!"/>
    <n v="0"/>
    <e v="#VALUE!"/>
    <s v=""/>
    <e v="#VALUE!"/>
    <n v="0"/>
    <e v="#VALUE!"/>
    <e v="#VALUE!"/>
    <s v=""/>
    <s v=""/>
    <s v=""/>
    <n v="0"/>
    <x v="2"/>
    <x v="5"/>
    <x v="1"/>
    <x v="1"/>
    <n v="69.2"/>
  </r>
  <r>
    <d v="2013-10-01T00:00:00"/>
    <x v="46"/>
    <x v="10"/>
    <x v="4"/>
    <s v="Compteur 4"/>
    <s v="Compteur_4"/>
    <x v="1"/>
    <d v="1899-12-30T00:00:00"/>
    <d v="1899-12-30T00:00:00"/>
    <n v="1"/>
    <e v="#VALUE!"/>
    <n v="0"/>
    <e v="#VALUE!"/>
    <s v=""/>
    <e v="#VALUE!"/>
    <n v="0"/>
    <e v="#VALUE!"/>
    <e v="#VALUE!"/>
    <s v=""/>
    <s v=""/>
    <s v=""/>
    <n v="0"/>
    <x v="2"/>
    <x v="5"/>
    <x v="1"/>
    <x v="1"/>
    <n v="122.6"/>
  </r>
  <r>
    <d v="2013-11-01T00:00:00"/>
    <x v="47"/>
    <x v="11"/>
    <x v="4"/>
    <s v="Compteur 4"/>
    <s v="Compteur_4"/>
    <x v="1"/>
    <d v="1899-12-30T00:00:00"/>
    <d v="1899-12-30T00:00:00"/>
    <n v="1"/>
    <e v="#VALUE!"/>
    <n v="0"/>
    <e v="#VALUE!"/>
    <s v=""/>
    <e v="#VALUE!"/>
    <n v="0"/>
    <e v="#VALUE!"/>
    <e v="#VALUE!"/>
    <s v=""/>
    <s v=""/>
    <s v=""/>
    <n v="0"/>
    <x v="2"/>
    <x v="5"/>
    <x v="1"/>
    <x v="1"/>
    <n v="311.10000000000002"/>
  </r>
  <r>
    <d v="2013-12-01T00:00:00"/>
    <x v="48"/>
    <x v="12"/>
    <x v="4"/>
    <s v="Compteur 4"/>
    <s v="Compteur_4"/>
    <x v="1"/>
    <d v="1899-12-30T00:00:00"/>
    <d v="1899-12-30T00:00:00"/>
    <n v="1"/>
    <e v="#VALUE!"/>
    <n v="0"/>
    <e v="#VALUE!"/>
    <s v=""/>
    <e v="#VALUE!"/>
    <n v="0"/>
    <e v="#VALUE!"/>
    <e v="#VALUE!"/>
    <s v=""/>
    <s v=""/>
    <s v=""/>
    <n v="0"/>
    <x v="2"/>
    <x v="5"/>
    <x v="1"/>
    <x v="1"/>
    <n v="380.4"/>
  </r>
  <r>
    <d v="2014-01-01T00:00:00"/>
    <x v="49"/>
    <x v="1"/>
    <x v="5"/>
    <s v="Compteur 4"/>
    <s v="Compteur_4"/>
    <x v="1"/>
    <d v="1899-12-30T00:00:00"/>
    <d v="1899-12-30T00:00:00"/>
    <n v="1"/>
    <e v="#VALUE!"/>
    <n v="0"/>
    <e v="#VALUE!"/>
    <s v=""/>
    <e v="#VALUE!"/>
    <n v="0"/>
    <e v="#VALUE!"/>
    <e v="#VALUE!"/>
    <s v=""/>
    <s v=""/>
    <s v=""/>
    <n v="0"/>
    <x v="2"/>
    <x v="5"/>
    <x v="1"/>
    <x v="1"/>
    <n v="320.5"/>
  </r>
  <r>
    <d v="2014-02-01T00:00:00"/>
    <x v="50"/>
    <x v="2"/>
    <x v="5"/>
    <s v="Compteur 4"/>
    <s v="Compteur_4"/>
    <x v="1"/>
    <d v="1899-12-30T00:00:00"/>
    <d v="1899-12-30T00:00:00"/>
    <n v="1"/>
    <e v="#VALUE!"/>
    <n v="0"/>
    <e v="#VALUE!"/>
    <s v=""/>
    <e v="#VALUE!"/>
    <n v="0"/>
    <e v="#VALUE!"/>
    <e v="#VALUE!"/>
    <s v=""/>
    <s v=""/>
    <s v=""/>
    <n v="0"/>
    <x v="2"/>
    <x v="5"/>
    <x v="1"/>
    <x v="1"/>
    <n v="281.3"/>
  </r>
  <r>
    <d v="2014-03-01T00:00:00"/>
    <x v="51"/>
    <x v="3"/>
    <x v="5"/>
    <s v="Compteur 4"/>
    <s v="Compteur_4"/>
    <x v="1"/>
    <d v="1899-12-30T00:00:00"/>
    <d v="1899-12-30T00:00:00"/>
    <n v="1"/>
    <e v="#VALUE!"/>
    <n v="0"/>
    <e v="#VALUE!"/>
    <s v=""/>
    <e v="#VALUE!"/>
    <n v="0"/>
    <e v="#VALUE!"/>
    <e v="#VALUE!"/>
    <s v=""/>
    <s v=""/>
    <s v=""/>
    <n v="0"/>
    <x v="2"/>
    <x v="5"/>
    <x v="1"/>
    <x v="1"/>
    <n v="263.89999999999998"/>
  </r>
  <r>
    <d v="2014-04-01T00:00:00"/>
    <x v="52"/>
    <x v="4"/>
    <x v="5"/>
    <s v="Compteur 4"/>
    <s v="Compteur_4"/>
    <x v="1"/>
    <d v="1899-12-30T00:00:00"/>
    <d v="1899-12-30T00:00:00"/>
    <n v="1"/>
    <e v="#VALUE!"/>
    <n v="0"/>
    <e v="#VALUE!"/>
    <s v=""/>
    <e v="#VALUE!"/>
    <n v="0"/>
    <e v="#VALUE!"/>
    <e v="#VALUE!"/>
    <s v=""/>
    <s v=""/>
    <s v=""/>
    <n v="0"/>
    <x v="2"/>
    <x v="5"/>
    <x v="1"/>
    <x v="1"/>
    <n v="174.2"/>
  </r>
  <r>
    <d v="2014-05-01T00:00:00"/>
    <x v="53"/>
    <x v="5"/>
    <x v="5"/>
    <s v="Compteur 4"/>
    <s v="Compteur_4"/>
    <x v="1"/>
    <d v="1899-12-30T00:00:00"/>
    <d v="1899-12-30T00:00:00"/>
    <n v="1"/>
    <e v="#VALUE!"/>
    <n v="0"/>
    <e v="#VALUE!"/>
    <s v=""/>
    <e v="#VALUE!"/>
    <n v="0"/>
    <e v="#VALUE!"/>
    <e v="#VALUE!"/>
    <s v=""/>
    <s v=""/>
    <s v=""/>
    <n v="0"/>
    <x v="2"/>
    <x v="5"/>
    <x v="1"/>
    <x v="1"/>
    <n v="134.5"/>
  </r>
  <r>
    <d v="2014-06-01T00:00:00"/>
    <x v="54"/>
    <x v="6"/>
    <x v="5"/>
    <s v="Compteur 4"/>
    <s v="Compteur_4"/>
    <x v="1"/>
    <d v="1899-12-30T00:00:00"/>
    <d v="1899-12-30T00:00:00"/>
    <n v="1"/>
    <e v="#VALUE!"/>
    <n v="0"/>
    <e v="#VALUE!"/>
    <s v=""/>
    <e v="#VALUE!"/>
    <n v="0"/>
    <e v="#VALUE!"/>
    <e v="#VALUE!"/>
    <s v=""/>
    <s v=""/>
    <s v=""/>
    <n v="0"/>
    <x v="2"/>
    <x v="5"/>
    <x v="1"/>
    <x v="1"/>
    <n v="48.5"/>
  </r>
  <r>
    <d v="2014-07-01T00:00:00"/>
    <x v="55"/>
    <x v="7"/>
    <x v="5"/>
    <s v="Compteur 4"/>
    <s v="Compteur_4"/>
    <x v="1"/>
    <d v="1899-12-30T00:00:00"/>
    <d v="1899-12-30T00:00:00"/>
    <n v="1"/>
    <e v="#VALUE!"/>
    <n v="0"/>
    <e v="#VALUE!"/>
    <s v=""/>
    <e v="#VALUE!"/>
    <n v="0"/>
    <e v="#VALUE!"/>
    <e v="#VALUE!"/>
    <s v=""/>
    <s v=""/>
    <s v=""/>
    <n v="0"/>
    <x v="2"/>
    <x v="5"/>
    <x v="1"/>
    <x v="1"/>
    <n v="22.6"/>
  </r>
  <r>
    <d v="2014-08-01T00:00:00"/>
    <x v="56"/>
    <x v="8"/>
    <x v="5"/>
    <s v="Compteur 4"/>
    <s v="Compteur_4"/>
    <x v="1"/>
    <d v="1899-12-30T00:00:00"/>
    <d v="1899-12-30T00:00:00"/>
    <n v="1"/>
    <e v="#VALUE!"/>
    <n v="0"/>
    <e v="#VALUE!"/>
    <s v=""/>
    <e v="#VALUE!"/>
    <n v="0"/>
    <e v="#VALUE!"/>
    <e v="#VALUE!"/>
    <s v=""/>
    <s v=""/>
    <s v=""/>
    <n v="0"/>
    <x v="2"/>
    <x v="5"/>
    <x v="1"/>
    <x v="1"/>
    <n v="51.9"/>
  </r>
  <r>
    <d v="2014-09-01T00:00:00"/>
    <x v="57"/>
    <x v="9"/>
    <x v="5"/>
    <s v="Compteur 4"/>
    <s v="Compteur_4"/>
    <x v="1"/>
    <d v="1899-12-30T00:00:00"/>
    <d v="1899-12-30T00:00:00"/>
    <n v="1"/>
    <e v="#VALUE!"/>
    <n v="0"/>
    <e v="#VALUE!"/>
    <s v=""/>
    <e v="#VALUE!"/>
    <n v="0"/>
    <e v="#VALUE!"/>
    <e v="#VALUE!"/>
    <s v=""/>
    <s v=""/>
    <s v=""/>
    <n v="0"/>
    <x v="2"/>
    <x v="5"/>
    <x v="1"/>
    <x v="1"/>
    <n v="54.3"/>
  </r>
  <r>
    <d v="2014-10-01T00:00:00"/>
    <x v="58"/>
    <x v="10"/>
    <x v="5"/>
    <s v="Compteur 4"/>
    <s v="Compteur_4"/>
    <x v="1"/>
    <d v="1899-12-30T00:00:00"/>
    <d v="1899-12-30T00:00:00"/>
    <n v="1"/>
    <e v="#VALUE!"/>
    <n v="0"/>
    <e v="#VALUE!"/>
    <s v=""/>
    <e v="#VALUE!"/>
    <n v="0"/>
    <e v="#VALUE!"/>
    <e v="#VALUE!"/>
    <s v=""/>
    <s v=""/>
    <s v=""/>
    <n v="0"/>
    <x v="2"/>
    <x v="5"/>
    <x v="1"/>
    <x v="1"/>
    <n v="124.2"/>
  </r>
  <r>
    <d v="2014-11-01T00:00:00"/>
    <x v="59"/>
    <x v="11"/>
    <x v="5"/>
    <s v="Compteur 4"/>
    <s v="Compteur_4"/>
    <x v="1"/>
    <d v="1899-12-30T00:00:00"/>
    <d v="1899-12-30T00:00:00"/>
    <n v="1"/>
    <e v="#VALUE!"/>
    <n v="0"/>
    <e v="#VALUE!"/>
    <s v=""/>
    <e v="#VALUE!"/>
    <n v="0"/>
    <e v="#VALUE!"/>
    <e v="#VALUE!"/>
    <s v=""/>
    <s v=""/>
    <s v=""/>
    <n v="0"/>
    <x v="2"/>
    <x v="5"/>
    <x v="1"/>
    <x v="1"/>
    <n v="219.5"/>
  </r>
  <r>
    <d v="2014-12-01T00:00:00"/>
    <x v="60"/>
    <x v="12"/>
    <x v="5"/>
    <s v="Compteur 4"/>
    <s v="Compteur_4"/>
    <x v="1"/>
    <d v="1899-12-30T00:00:00"/>
    <d v="1899-12-30T00:00:00"/>
    <n v="1"/>
    <e v="#VALUE!"/>
    <n v="0"/>
    <e v="#VALUE!"/>
    <s v=""/>
    <e v="#VALUE!"/>
    <n v="0"/>
    <e v="#VALUE!"/>
    <e v="#VALUE!"/>
    <s v=""/>
    <s v=""/>
    <s v=""/>
    <n v="0"/>
    <x v="2"/>
    <x v="5"/>
    <x v="1"/>
    <x v="1"/>
    <n v="374.8"/>
  </r>
  <r>
    <d v="2015-01-01T00:00:00"/>
    <x v="61"/>
    <x v="1"/>
    <x v="6"/>
    <s v="Compteur 4"/>
    <s v="Compteur_4"/>
    <x v="1"/>
    <d v="1899-12-30T00:00:00"/>
    <d v="1899-12-30T00:00:00"/>
    <n v="1"/>
    <e v="#VALUE!"/>
    <n v="0"/>
    <e v="#VALUE!"/>
    <s v=""/>
    <e v="#VALUE!"/>
    <n v="0"/>
    <e v="#VALUE!"/>
    <e v="#VALUE!"/>
    <s v=""/>
    <s v=""/>
    <s v=""/>
    <n v="0"/>
    <x v="2"/>
    <x v="5"/>
    <x v="1"/>
    <x v="1"/>
    <n v="392.1"/>
  </r>
  <r>
    <d v="2015-02-01T00:00:00"/>
    <x v="62"/>
    <x v="2"/>
    <x v="6"/>
    <s v="Compteur 4"/>
    <s v="Compteur_4"/>
    <x v="1"/>
    <d v="1899-12-30T00:00:00"/>
    <d v="1899-12-30T00:00:00"/>
    <n v="1"/>
    <e v="#VALUE!"/>
    <n v="0"/>
    <e v="#VALUE!"/>
    <s v=""/>
    <e v="#VALUE!"/>
    <n v="0"/>
    <e v="#VALUE!"/>
    <e v="#VALUE!"/>
    <s v=""/>
    <s v=""/>
    <s v=""/>
    <n v="0"/>
    <x v="2"/>
    <x v="5"/>
    <x v="1"/>
    <x v="1"/>
    <n v="366.9"/>
  </r>
  <r>
    <d v="2015-03-01T00:00:00"/>
    <x v="63"/>
    <x v="3"/>
    <x v="6"/>
    <s v="Compteur 4"/>
    <s v="Compteur_4"/>
    <x v="1"/>
    <d v="1899-12-30T00:00:00"/>
    <d v="1899-12-30T00:00:00"/>
    <n v="1"/>
    <e v="#VALUE!"/>
    <n v="0"/>
    <e v="#VALUE!"/>
    <s v=""/>
    <e v="#VALUE!"/>
    <n v="0"/>
    <e v="#VALUE!"/>
    <e v="#VALUE!"/>
    <s v=""/>
    <s v=""/>
    <s v=""/>
    <n v="0"/>
    <x v="2"/>
    <x v="5"/>
    <x v="1"/>
    <x v="1"/>
    <n v="303.8"/>
  </r>
  <r>
    <d v="2015-04-01T00:00:00"/>
    <x v="64"/>
    <x v="4"/>
    <x v="6"/>
    <s v="Compteur 4"/>
    <s v="Compteur_4"/>
    <x v="1"/>
    <d v="1899-12-30T00:00:00"/>
    <d v="1899-12-30T00:00:00"/>
    <n v="1"/>
    <e v="#VALUE!"/>
    <n v="0"/>
    <e v="#VALUE!"/>
    <s v=""/>
    <e v="#VALUE!"/>
    <n v="0"/>
    <e v="#VALUE!"/>
    <e v="#VALUE!"/>
    <s v=""/>
    <s v=""/>
    <s v=""/>
    <n v="0"/>
    <x v="2"/>
    <x v="5"/>
    <x v="1"/>
    <x v="1"/>
    <n v="166.6"/>
  </r>
  <r>
    <d v="2015-05-01T00:00:00"/>
    <x v="65"/>
    <x v="5"/>
    <x v="6"/>
    <s v="Compteur 4"/>
    <s v="Compteur_4"/>
    <x v="1"/>
    <d v="1899-12-30T00:00:00"/>
    <d v="1899-12-30T00:00:00"/>
    <n v="1"/>
    <e v="#VALUE!"/>
    <n v="0"/>
    <e v="#VALUE!"/>
    <s v=""/>
    <e v="#VALUE!"/>
    <n v="0"/>
    <e v="#VALUE!"/>
    <e v="#VALUE!"/>
    <s v=""/>
    <s v=""/>
    <s v=""/>
    <n v="0"/>
    <x v="2"/>
    <x v="5"/>
    <x v="1"/>
    <x v="1"/>
    <n v="119.9"/>
  </r>
  <r>
    <d v="2015-06-01T00:00:00"/>
    <x v="66"/>
    <x v="6"/>
    <x v="6"/>
    <s v="Compteur 4"/>
    <s v="Compteur_4"/>
    <x v="1"/>
    <d v="1899-12-30T00:00:00"/>
    <d v="1899-12-30T00:00:00"/>
    <n v="1"/>
    <e v="#VALUE!"/>
    <n v="0"/>
    <e v="#VALUE!"/>
    <s v=""/>
    <e v="#VALUE!"/>
    <n v="0"/>
    <e v="#VALUE!"/>
    <e v="#VALUE!"/>
    <s v=""/>
    <s v=""/>
    <s v=""/>
    <n v="0"/>
    <x v="2"/>
    <x v="5"/>
    <x v="1"/>
    <x v="1"/>
    <n v="51.8"/>
  </r>
  <r>
    <d v="2015-07-01T00:00:00"/>
    <x v="67"/>
    <x v="7"/>
    <x v="6"/>
    <s v="Compteur 4"/>
    <s v="Compteur_4"/>
    <x v="1"/>
    <d v="1899-12-30T00:00:00"/>
    <d v="1899-12-30T00:00:00"/>
    <n v="1"/>
    <e v="#VALUE!"/>
    <n v="0"/>
    <e v="#VALUE!"/>
    <s v=""/>
    <e v="#VALUE!"/>
    <n v="0"/>
    <e v="#VALUE!"/>
    <e v="#VALUE!"/>
    <s v=""/>
    <s v=""/>
    <s v=""/>
    <n v="0"/>
    <x v="2"/>
    <x v="5"/>
    <x v="1"/>
    <x v="1"/>
    <n v="29"/>
  </r>
  <r>
    <d v="2015-08-01T00:00:00"/>
    <x v="68"/>
    <x v="8"/>
    <x v="6"/>
    <s v="Compteur 4"/>
    <s v="Compteur_4"/>
    <x v="1"/>
    <d v="1899-12-30T00:00:00"/>
    <d v="1899-12-30T00:00:00"/>
    <n v="1"/>
    <e v="#VALUE!"/>
    <n v="0"/>
    <e v="#VALUE!"/>
    <s v=""/>
    <e v="#VALUE!"/>
    <n v="0"/>
    <e v="#VALUE!"/>
    <e v="#VALUE!"/>
    <s v=""/>
    <s v=""/>
    <s v=""/>
    <n v="0"/>
    <x v="2"/>
    <x v="5"/>
    <x v="1"/>
    <x v="1"/>
    <n v="32"/>
  </r>
  <r>
    <d v="2015-09-01T00:00:00"/>
    <x v="69"/>
    <x v="9"/>
    <x v="6"/>
    <s v="Compteur 4"/>
    <s v="Compteur_4"/>
    <x v="1"/>
    <d v="1899-12-30T00:00:00"/>
    <d v="1899-12-30T00:00:00"/>
    <n v="1"/>
    <e v="#VALUE!"/>
    <n v="0"/>
    <e v="#VALUE!"/>
    <s v=""/>
    <e v="#VALUE!"/>
    <n v="0"/>
    <e v="#VALUE!"/>
    <e v="#VALUE!"/>
    <s v=""/>
    <s v=""/>
    <s v=""/>
    <n v="0"/>
    <x v="2"/>
    <x v="5"/>
    <x v="1"/>
    <x v="1"/>
    <n v="96.9"/>
  </r>
  <r>
    <d v="2015-10-01T00:00:00"/>
    <x v="70"/>
    <x v="10"/>
    <x v="6"/>
    <s v="Compteur 4"/>
    <s v="Compteur_4"/>
    <x v="1"/>
    <d v="1899-12-30T00:00:00"/>
    <d v="1899-12-30T00:00:00"/>
    <n v="1"/>
    <e v="#VALUE!"/>
    <n v="0"/>
    <e v="#VALUE!"/>
    <s v=""/>
    <e v="#VALUE!"/>
    <n v="0"/>
    <e v="#VALUE!"/>
    <e v="#VALUE!"/>
    <s v=""/>
    <s v=""/>
    <s v=""/>
    <n v="0"/>
    <x v="2"/>
    <x v="5"/>
    <x v="1"/>
    <x v="1"/>
    <n v="181.1"/>
  </r>
  <r>
    <d v="2015-11-01T00:00:00"/>
    <x v="71"/>
    <x v="11"/>
    <x v="6"/>
    <s v="Compteur 4"/>
    <s v="Compteur_4"/>
    <x v="1"/>
    <d v="1899-12-30T00:00:00"/>
    <d v="1899-12-30T00:00:00"/>
    <n v="1"/>
    <e v="#VALUE!"/>
    <n v="0"/>
    <e v="#VALUE!"/>
    <s v=""/>
    <e v="#VALUE!"/>
    <n v="0"/>
    <e v="#VALUE!"/>
    <e v="#VALUE!"/>
    <s v=""/>
    <s v=""/>
    <s v=""/>
    <n v="0"/>
    <x v="2"/>
    <x v="5"/>
    <x v="1"/>
    <x v="1"/>
    <n v="191.1"/>
  </r>
  <r>
    <d v="2015-12-01T00:00:00"/>
    <x v="72"/>
    <x v="12"/>
    <x v="6"/>
    <s v="Compteur 4"/>
    <s v="Compteur_4"/>
    <x v="1"/>
    <d v="1899-12-30T00:00:00"/>
    <d v="1899-12-30T00:00:00"/>
    <n v="1"/>
    <e v="#VALUE!"/>
    <n v="0"/>
    <e v="#VALUE!"/>
    <s v=""/>
    <e v="#VALUE!"/>
    <n v="0"/>
    <e v="#VALUE!"/>
    <e v="#VALUE!"/>
    <s v=""/>
    <s v=""/>
    <s v=""/>
    <n v="0"/>
    <x v="2"/>
    <x v="5"/>
    <x v="1"/>
    <x v="1"/>
    <n v="258.5"/>
  </r>
  <r>
    <d v="2016-01-01T00:00:00"/>
    <x v="73"/>
    <x v="1"/>
    <x v="7"/>
    <s v="Compteur 4"/>
    <s v="Compteur_4"/>
    <x v="1"/>
    <d v="1899-12-30T00:00:00"/>
    <d v="1899-12-30T00:00:00"/>
    <n v="1"/>
    <e v="#VALUE!"/>
    <n v="0"/>
    <e v="#VALUE!"/>
    <s v=""/>
    <e v="#VALUE!"/>
    <n v="0"/>
    <e v="#VALUE!"/>
    <e v="#VALUE!"/>
    <s v=""/>
    <s v=""/>
    <s v=""/>
    <n v="0"/>
    <x v="2"/>
    <x v="5"/>
    <x v="1"/>
    <x v="1"/>
    <n v="348.4"/>
  </r>
  <r>
    <d v="2016-02-01T00:00:00"/>
    <x v="74"/>
    <x v="2"/>
    <x v="7"/>
    <s v="Compteur 4"/>
    <s v="Compteur_4"/>
    <x v="1"/>
    <d v="1899-12-30T00:00:00"/>
    <d v="1899-12-30T00:00:00"/>
    <n v="1"/>
    <e v="#VALUE!"/>
    <n v="0"/>
    <e v="#VALUE!"/>
    <s v=""/>
    <e v="#VALUE!"/>
    <n v="0"/>
    <e v="#VALUE!"/>
    <e v="#VALUE!"/>
    <s v=""/>
    <s v=""/>
    <s v=""/>
    <n v="0"/>
    <x v="2"/>
    <x v="5"/>
    <x v="1"/>
    <x v="1"/>
    <n v="321.2"/>
  </r>
  <r>
    <d v="2016-03-01T00:00:00"/>
    <x v="75"/>
    <x v="3"/>
    <x v="7"/>
    <s v="Compteur 4"/>
    <s v="Compteur_4"/>
    <x v="1"/>
    <d v="1899-12-30T00:00:00"/>
    <d v="1899-12-30T00:00:00"/>
    <n v="1"/>
    <e v="#VALUE!"/>
    <n v="0"/>
    <e v="#VALUE!"/>
    <s v=""/>
    <e v="#VALUE!"/>
    <n v="0"/>
    <e v="#VALUE!"/>
    <e v="#VALUE!"/>
    <s v=""/>
    <s v=""/>
    <s v=""/>
    <n v="0"/>
    <x v="2"/>
    <x v="5"/>
    <x v="1"/>
    <x v="1"/>
    <n v="328.3"/>
  </r>
  <r>
    <d v="2016-04-01T00:00:00"/>
    <x v="76"/>
    <x v="4"/>
    <x v="7"/>
    <s v="Compteur 4"/>
    <s v="Compteur_4"/>
    <x v="1"/>
    <d v="1899-12-30T00:00:00"/>
    <d v="1899-12-30T00:00:00"/>
    <n v="1"/>
    <e v="#VALUE!"/>
    <n v="0"/>
    <e v="#VALUE!"/>
    <s v=""/>
    <e v="#VALUE!"/>
    <n v="0"/>
    <e v="#VALUE!"/>
    <e v="#VALUE!"/>
    <s v=""/>
    <s v=""/>
    <s v=""/>
    <n v="0"/>
    <x v="2"/>
    <x v="5"/>
    <x v="1"/>
    <x v="1"/>
    <n v="252.6"/>
  </r>
  <r>
    <d v="2016-05-01T00:00:00"/>
    <x v="77"/>
    <x v="5"/>
    <x v="7"/>
    <s v="Compteur 4"/>
    <s v="Compteur_4"/>
    <x v="1"/>
    <d v="1899-12-30T00:00:00"/>
    <d v="1899-12-30T00:00:00"/>
    <n v="1"/>
    <e v="#VALUE!"/>
    <n v="0"/>
    <e v="#VALUE!"/>
    <s v=""/>
    <e v="#VALUE!"/>
    <n v="0"/>
    <e v="#VALUE!"/>
    <e v="#VALUE!"/>
    <s v=""/>
    <s v=""/>
    <s v=""/>
    <n v="0"/>
    <x v="2"/>
    <x v="5"/>
    <x v="1"/>
    <x v="1"/>
    <n v="124.3"/>
  </r>
  <r>
    <d v="2016-06-01T00:00:00"/>
    <x v="78"/>
    <x v="6"/>
    <x v="7"/>
    <s v="Compteur 4"/>
    <s v="Compteur_4"/>
    <x v="1"/>
    <d v="1899-12-30T00:00:00"/>
    <d v="1899-12-30T00:00:00"/>
    <n v="1"/>
    <e v="#VALUE!"/>
    <n v="0"/>
    <e v="#VALUE!"/>
    <s v=""/>
    <e v="#VALUE!"/>
    <n v="0"/>
    <e v="#VALUE!"/>
    <e v="#VALUE!"/>
    <s v=""/>
    <s v=""/>
    <s v=""/>
    <n v="0"/>
    <x v="2"/>
    <x v="5"/>
    <x v="1"/>
    <x v="1"/>
    <n v="47.7"/>
  </r>
  <r>
    <d v="2016-07-01T00:00:00"/>
    <x v="79"/>
    <x v="7"/>
    <x v="7"/>
    <s v="Compteur 4"/>
    <s v="Compteur_4"/>
    <x v="1"/>
    <d v="1899-12-30T00:00:00"/>
    <d v="1899-12-30T00:00:00"/>
    <n v="1"/>
    <e v="#VALUE!"/>
    <n v="0"/>
    <e v="#VALUE!"/>
    <s v=""/>
    <e v="#VALUE!"/>
    <n v="0"/>
    <e v="#VALUE!"/>
    <e v="#VALUE!"/>
    <s v=""/>
    <s v=""/>
    <s v=""/>
    <n v="0"/>
    <x v="2"/>
    <x v="5"/>
    <x v="1"/>
    <x v="1"/>
    <n v="32.299999999999997"/>
  </r>
  <r>
    <d v="2016-08-01T00:00:00"/>
    <x v="80"/>
    <x v="8"/>
    <x v="7"/>
    <s v="Compteur 4"/>
    <s v="Compteur_4"/>
    <x v="1"/>
    <d v="1899-12-30T00:00:00"/>
    <d v="1899-12-30T00:00:00"/>
    <n v="1"/>
    <e v="#VALUE!"/>
    <n v="0"/>
    <e v="#VALUE!"/>
    <s v=""/>
    <e v="#VALUE!"/>
    <n v="0"/>
    <e v="#VALUE!"/>
    <e v="#VALUE!"/>
    <s v=""/>
    <s v=""/>
    <s v=""/>
    <n v="0"/>
    <x v="2"/>
    <x v="5"/>
    <x v="1"/>
    <x v="1"/>
    <n v="33.799999999999997"/>
  </r>
  <r>
    <d v="2016-09-01T00:00:00"/>
    <x v="81"/>
    <x v="9"/>
    <x v="7"/>
    <s v="Compteur 4"/>
    <s v="Compteur_4"/>
    <x v="1"/>
    <d v="1899-12-30T00:00:00"/>
    <d v="1899-12-30T00:00:00"/>
    <n v="1"/>
    <e v="#VALUE!"/>
    <n v="0"/>
    <e v="#VALUE!"/>
    <s v=""/>
    <e v="#VALUE!"/>
    <n v="0"/>
    <e v="#VALUE!"/>
    <e v="#VALUE!"/>
    <s v=""/>
    <s v=""/>
    <s v=""/>
    <n v="0"/>
    <x v="2"/>
    <x v="5"/>
    <x v="1"/>
    <x v="1"/>
    <n v="43.5"/>
  </r>
  <r>
    <d v="2016-10-01T00:00:00"/>
    <x v="82"/>
    <x v="10"/>
    <x v="7"/>
    <s v="Compteur 4"/>
    <s v="Compteur_4"/>
    <x v="1"/>
    <d v="1899-12-30T00:00:00"/>
    <d v="1899-12-30T00:00:00"/>
    <n v="1"/>
    <e v="#VALUE!"/>
    <n v="0"/>
    <e v="#VALUE!"/>
    <s v=""/>
    <e v="#VALUE!"/>
    <n v="0"/>
    <e v="#VALUE!"/>
    <e v="#VALUE!"/>
    <s v=""/>
    <s v=""/>
    <s v=""/>
    <n v="0"/>
    <x v="2"/>
    <x v="5"/>
    <x v="1"/>
    <x v="1"/>
    <n v="202.6"/>
  </r>
  <r>
    <d v="2016-11-01T00:00:00"/>
    <x v="83"/>
    <x v="11"/>
    <x v="7"/>
    <s v="Compteur 4"/>
    <s v="Compteur_4"/>
    <x v="1"/>
    <d v="1899-12-30T00:00:00"/>
    <d v="1899-12-30T00:00:00"/>
    <n v="1"/>
    <e v="#VALUE!"/>
    <n v="0"/>
    <e v="#VALUE!"/>
    <s v=""/>
    <e v="#VALUE!"/>
    <n v="0"/>
    <e v="#VALUE!"/>
    <e v="#VALUE!"/>
    <s v=""/>
    <s v=""/>
    <s v=""/>
    <n v="0"/>
    <x v="2"/>
    <x v="5"/>
    <x v="1"/>
    <x v="1"/>
    <n v="289.2"/>
  </r>
  <r>
    <d v="2016-12-01T00:00:00"/>
    <x v="84"/>
    <x v="12"/>
    <x v="7"/>
    <s v="Compteur 4"/>
    <s v="Compteur_4"/>
    <x v="1"/>
    <d v="1899-12-30T00:00:00"/>
    <d v="1899-12-30T00:00:00"/>
    <n v="1"/>
    <e v="#VALUE!"/>
    <n v="0"/>
    <e v="#VALUE!"/>
    <s v=""/>
    <e v="#VALUE!"/>
    <n v="0"/>
    <e v="#VALUE!"/>
    <e v="#VALUE!"/>
    <s v=""/>
    <s v=""/>
    <s v=""/>
    <n v="0"/>
    <x v="2"/>
    <x v="5"/>
    <x v="1"/>
    <x v="1"/>
    <n v="370.4"/>
  </r>
  <r>
    <d v="2017-01-01T00:00:00"/>
    <x v="85"/>
    <x v="1"/>
    <x v="8"/>
    <s v="Compteur 4"/>
    <s v="Compteur_4"/>
    <x v="1"/>
    <d v="1899-12-30T00:00:00"/>
    <d v="1899-12-30T00:00:00"/>
    <n v="1"/>
    <e v="#VALUE!"/>
    <n v="0"/>
    <e v="#VALUE!"/>
    <s v=""/>
    <e v="#VALUE!"/>
    <n v="0"/>
    <e v="#VALUE!"/>
    <e v="#VALUE!"/>
    <s v=""/>
    <s v=""/>
    <s v=""/>
    <n v="0"/>
    <x v="2"/>
    <x v="5"/>
    <x v="1"/>
    <x v="1"/>
    <n v="451.9"/>
  </r>
  <r>
    <d v="2017-02-01T00:00:00"/>
    <x v="86"/>
    <x v="2"/>
    <x v="8"/>
    <s v="Compteur 4"/>
    <s v="Compteur_4"/>
    <x v="1"/>
    <d v="1899-12-30T00:00:00"/>
    <d v="1899-12-30T00:00:00"/>
    <n v="1"/>
    <e v="#VALUE!"/>
    <n v="0"/>
    <e v="#VALUE!"/>
    <s v=""/>
    <e v="#VALUE!"/>
    <n v="0"/>
    <e v="#VALUE!"/>
    <e v="#VALUE!"/>
    <s v=""/>
    <s v=""/>
    <s v=""/>
    <n v="0"/>
    <x v="2"/>
    <x v="5"/>
    <x v="1"/>
    <x v="1"/>
    <n v="287.8"/>
  </r>
  <r>
    <d v="2017-03-01T00:00:00"/>
    <x v="87"/>
    <x v="3"/>
    <x v="8"/>
    <s v="Compteur 4"/>
    <s v="Compteur_4"/>
    <x v="1"/>
    <d v="1899-12-30T00:00:00"/>
    <d v="1899-12-30T00:00:00"/>
    <n v="1"/>
    <e v="#VALUE!"/>
    <n v="0"/>
    <e v="#VALUE!"/>
    <s v=""/>
    <e v="#VALUE!"/>
    <n v="0"/>
    <e v="#VALUE!"/>
    <e v="#VALUE!"/>
    <s v=""/>
    <s v=""/>
    <s v=""/>
    <n v="0"/>
    <x v="2"/>
    <x v="5"/>
    <x v="1"/>
    <x v="1"/>
    <n v="226.3"/>
  </r>
  <r>
    <d v="2017-04-01T00:00:00"/>
    <x v="88"/>
    <x v="4"/>
    <x v="8"/>
    <s v="Compteur 4"/>
    <s v="Compteur_4"/>
    <x v="1"/>
    <d v="1899-12-30T00:00:00"/>
    <d v="1899-12-30T00:00:00"/>
    <n v="1"/>
    <e v="#VALUE!"/>
    <n v="0"/>
    <e v="#VALUE!"/>
    <s v=""/>
    <e v="#VALUE!"/>
    <n v="0"/>
    <e v="#VALUE!"/>
    <e v="#VALUE!"/>
    <s v=""/>
    <s v=""/>
    <s v=""/>
    <n v="0"/>
    <x v="2"/>
    <x v="5"/>
    <x v="1"/>
    <x v="1"/>
    <n v="227.8"/>
  </r>
  <r>
    <d v="2017-05-01T00:00:00"/>
    <x v="89"/>
    <x v="5"/>
    <x v="8"/>
    <s v="Compteur 4"/>
    <s v="Compteur_4"/>
    <x v="1"/>
    <d v="1899-12-30T00:00:00"/>
    <d v="1899-12-30T00:00:00"/>
    <n v="1"/>
    <e v="#VALUE!"/>
    <n v="0"/>
    <e v="#VALUE!"/>
    <s v=""/>
    <e v="#VALUE!"/>
    <n v="0"/>
    <e v="#VALUE!"/>
    <e v="#VALUE!"/>
    <s v=""/>
    <s v=""/>
    <s v=""/>
    <n v="0"/>
    <x v="2"/>
    <x v="5"/>
    <x v="1"/>
    <x v="1"/>
    <n v="98"/>
  </r>
  <r>
    <d v="2017-06-01T00:00:00"/>
    <x v="90"/>
    <x v="6"/>
    <x v="8"/>
    <s v="Compteur 4"/>
    <s v="Compteur_4"/>
    <x v="1"/>
    <d v="1899-12-30T00:00:00"/>
    <d v="1899-12-30T00:00:00"/>
    <n v="1"/>
    <e v="#VALUE!"/>
    <n v="0"/>
    <e v="#VALUE!"/>
    <s v=""/>
    <e v="#VALUE!"/>
    <n v="0"/>
    <e v="#VALUE!"/>
    <e v="#VALUE!"/>
    <s v=""/>
    <s v=""/>
    <s v=""/>
    <n v="0"/>
    <x v="2"/>
    <x v="5"/>
    <x v="1"/>
    <x v="1"/>
    <n v="30.9"/>
  </r>
  <r>
    <d v="2017-07-01T00:00:00"/>
    <x v="91"/>
    <x v="7"/>
    <x v="8"/>
    <s v="Compteur 4"/>
    <s v="Compteur_4"/>
    <x v="1"/>
    <d v="1899-12-30T00:00:00"/>
    <d v="1899-12-30T00:00:00"/>
    <n v="1"/>
    <e v="#VALUE!"/>
    <n v="0"/>
    <e v="#VALUE!"/>
    <s v=""/>
    <e v="#VALUE!"/>
    <n v="0"/>
    <e v="#VALUE!"/>
    <e v="#VALUE!"/>
    <s v=""/>
    <s v=""/>
    <s v=""/>
    <n v="0"/>
    <x v="2"/>
    <x v="5"/>
    <x v="1"/>
    <x v="1"/>
    <n v="23.6"/>
  </r>
  <r>
    <d v="2017-08-01T00:00:00"/>
    <x v="92"/>
    <x v="8"/>
    <x v="8"/>
    <s v="Compteur 4"/>
    <s v="Compteur_4"/>
    <x v="1"/>
    <d v="1899-12-30T00:00:00"/>
    <d v="1899-12-30T00:00:00"/>
    <n v="1"/>
    <e v="#VALUE!"/>
    <n v="0"/>
    <e v="#VALUE!"/>
    <s v=""/>
    <e v="#VALUE!"/>
    <n v="0"/>
    <e v="#VALUE!"/>
    <e v="#VALUE!"/>
    <s v=""/>
    <s v=""/>
    <s v=""/>
    <n v="0"/>
    <x v="2"/>
    <x v="5"/>
    <x v="1"/>
    <x v="1"/>
    <n v="32.200000000000003"/>
  </r>
  <r>
    <d v="2017-09-01T00:00:00"/>
    <x v="93"/>
    <x v="9"/>
    <x v="8"/>
    <s v="Compteur 4"/>
    <s v="Compteur_4"/>
    <x v="1"/>
    <d v="1899-12-30T00:00:00"/>
    <d v="1899-12-30T00:00:00"/>
    <n v="1"/>
    <e v="#VALUE!"/>
    <n v="0"/>
    <e v="#VALUE!"/>
    <s v=""/>
    <e v="#VALUE!"/>
    <n v="0"/>
    <e v="#VALUE!"/>
    <e v="#VALUE!"/>
    <s v=""/>
    <s v=""/>
    <s v=""/>
    <n v="0"/>
    <x v="2"/>
    <x v="5"/>
    <x v="1"/>
    <x v="1"/>
    <n v="82.3"/>
  </r>
  <r>
    <d v="2017-10-01T00:00:00"/>
    <x v="94"/>
    <x v="10"/>
    <x v="8"/>
    <s v="Compteur 4"/>
    <s v="Compteur_4"/>
    <x v="1"/>
    <d v="1899-12-30T00:00:00"/>
    <d v="1899-12-30T00:00:00"/>
    <n v="1"/>
    <e v="#VALUE!"/>
    <n v="0"/>
    <e v="#VALUE!"/>
    <s v=""/>
    <e v="#VALUE!"/>
    <n v="0"/>
    <e v="#VALUE!"/>
    <e v="#VALUE!"/>
    <s v=""/>
    <s v=""/>
    <s v=""/>
    <n v="0"/>
    <x v="2"/>
    <x v="5"/>
    <x v="1"/>
    <x v="1"/>
    <n v="126.4"/>
  </r>
  <r>
    <d v="2017-11-01T00:00:00"/>
    <x v="95"/>
    <x v="11"/>
    <x v="8"/>
    <s v="Compteur 4"/>
    <s v="Compteur_4"/>
    <x v="1"/>
    <d v="1899-12-30T00:00:00"/>
    <d v="1899-12-30T00:00:00"/>
    <n v="1"/>
    <e v="#VALUE!"/>
    <n v="0"/>
    <e v="#VALUE!"/>
    <s v=""/>
    <e v="#VALUE!"/>
    <n v="0"/>
    <e v="#VALUE!"/>
    <e v="#VALUE!"/>
    <s v=""/>
    <s v=""/>
    <s v=""/>
    <n v="0"/>
    <x v="2"/>
    <x v="5"/>
    <x v="1"/>
    <x v="1"/>
    <n v="289.89999999999998"/>
  </r>
  <r>
    <d v="2017-12-01T00:00:00"/>
    <x v="96"/>
    <x v="12"/>
    <x v="8"/>
    <s v="Compteur 4"/>
    <s v="Compteur_4"/>
    <x v="1"/>
    <d v="1899-12-30T00:00:00"/>
    <d v="1899-12-30T00:00:00"/>
    <n v="1"/>
    <e v="#VALUE!"/>
    <n v="0"/>
    <e v="#VALUE!"/>
    <s v=""/>
    <e v="#VALUE!"/>
    <n v="0"/>
    <e v="#VALUE!"/>
    <e v="#VALUE!"/>
    <s v=""/>
    <s v=""/>
    <s v=""/>
    <n v="0"/>
    <x v="2"/>
    <x v="5"/>
    <x v="1"/>
    <x v="1"/>
    <n v="366.2"/>
  </r>
  <r>
    <d v="2018-01-01T00:00:00"/>
    <x v="97"/>
    <x v="1"/>
    <x v="9"/>
    <s v="Compteur 4"/>
    <s v="Compteur_4"/>
    <x v="1"/>
    <d v="1899-12-30T00:00:00"/>
    <d v="1899-12-30T00:00:00"/>
    <n v="1"/>
    <e v="#VALUE!"/>
    <n v="0"/>
    <e v="#VALUE!"/>
    <s v=""/>
    <e v="#VALUE!"/>
    <n v="0"/>
    <e v="#VALUE!"/>
    <e v="#VALUE!"/>
    <s v=""/>
    <s v=""/>
    <s v=""/>
    <n v="0"/>
    <x v="2"/>
    <x v="5"/>
    <x v="1"/>
    <x v="1"/>
    <n v="298.60000000000002"/>
  </r>
  <r>
    <d v="2018-02-01T00:00:00"/>
    <x v="98"/>
    <x v="2"/>
    <x v="9"/>
    <s v="Compteur 4"/>
    <s v="Compteur_4"/>
    <x v="1"/>
    <d v="1899-12-30T00:00:00"/>
    <d v="1899-12-30T00:00:00"/>
    <n v="1"/>
    <e v="#VALUE!"/>
    <n v="0"/>
    <e v="#VALUE!"/>
    <s v=""/>
    <e v="#VALUE!"/>
    <n v="0"/>
    <e v="#VALUE!"/>
    <e v="#VALUE!"/>
    <s v=""/>
    <s v=""/>
    <s v=""/>
    <n v="0"/>
    <x v="2"/>
    <x v="5"/>
    <x v="1"/>
    <x v="1"/>
    <n v="415.2"/>
  </r>
  <r>
    <d v="2018-03-01T00:00:00"/>
    <x v="99"/>
    <x v="3"/>
    <x v="9"/>
    <s v="Compteur 4"/>
    <s v="Compteur_4"/>
    <x v="1"/>
    <d v="1899-12-30T00:00:00"/>
    <d v="1899-12-30T00:00:00"/>
    <n v="1"/>
    <e v="#VALUE!"/>
    <n v="0"/>
    <e v="#VALUE!"/>
    <s v=""/>
    <e v="#VALUE!"/>
    <n v="0"/>
    <e v="#VALUE!"/>
    <e v="#VALUE!"/>
    <s v=""/>
    <s v=""/>
    <s v=""/>
    <n v="0"/>
    <x v="2"/>
    <x v="5"/>
    <x v="1"/>
    <x v="1"/>
    <n v="305.39999999999998"/>
  </r>
  <r>
    <d v="2018-04-01T00:00:00"/>
    <x v="100"/>
    <x v="4"/>
    <x v="9"/>
    <s v="Compteur 4"/>
    <s v="Compteur_4"/>
    <x v="1"/>
    <d v="1899-12-30T00:00:00"/>
    <d v="1899-12-30T00:00:00"/>
    <n v="1"/>
    <e v="#VALUE!"/>
    <n v="0"/>
    <e v="#VALUE!"/>
    <s v=""/>
    <e v="#VALUE!"/>
    <n v="0"/>
    <e v="#VALUE!"/>
    <e v="#VALUE!"/>
    <s v=""/>
    <s v=""/>
    <s v=""/>
    <n v="0"/>
    <x v="2"/>
    <x v="5"/>
    <x v="1"/>
    <x v="1"/>
    <n v="152.19999999999999"/>
  </r>
  <r>
    <d v="2018-05-01T00:00:00"/>
    <x v="101"/>
    <x v="5"/>
    <x v="9"/>
    <s v="Compteur 4"/>
    <s v="Compteur_4"/>
    <x v="1"/>
    <d v="1899-12-30T00:00:00"/>
    <d v="1899-12-30T00:00:00"/>
    <n v="1"/>
    <e v="#VALUE!"/>
    <n v="0"/>
    <e v="#VALUE!"/>
    <s v=""/>
    <e v="#VALUE!"/>
    <n v="0"/>
    <e v="#VALUE!"/>
    <e v="#VALUE!"/>
    <s v=""/>
    <s v=""/>
    <s v=""/>
    <n v="0"/>
    <x v="2"/>
    <x v="5"/>
    <x v="1"/>
    <x v="1"/>
    <n v="95.8"/>
  </r>
  <r>
    <d v="2018-06-01T00:00:00"/>
    <x v="102"/>
    <x v="6"/>
    <x v="9"/>
    <s v="Compteur 4"/>
    <s v="Compteur_4"/>
    <x v="1"/>
    <d v="1899-12-30T00:00:00"/>
    <d v="1899-12-30T00:00:00"/>
    <n v="1"/>
    <e v="#VALUE!"/>
    <n v="0"/>
    <e v="#VALUE!"/>
    <s v=""/>
    <e v="#VALUE!"/>
    <n v="0"/>
    <e v="#VALUE!"/>
    <e v="#VALUE!"/>
    <s v=""/>
    <s v=""/>
    <s v=""/>
    <n v="0"/>
    <x v="2"/>
    <x v="5"/>
    <x v="1"/>
    <x v="1"/>
    <n v="25.4"/>
  </r>
  <r>
    <d v="2018-07-01T00:00:00"/>
    <x v="103"/>
    <x v="7"/>
    <x v="9"/>
    <s v="Compteur 4"/>
    <s v="Compteur_4"/>
    <x v="1"/>
    <d v="1899-12-30T00:00:00"/>
    <d v="1899-12-30T00:00:00"/>
    <n v="1"/>
    <e v="#VALUE!"/>
    <n v="0"/>
    <e v="#VALUE!"/>
    <s v=""/>
    <e v="#VALUE!"/>
    <n v="0"/>
    <e v="#VALUE!"/>
    <e v="#VALUE!"/>
    <s v=""/>
    <s v=""/>
    <s v=""/>
    <n v="0"/>
    <x v="2"/>
    <x v="5"/>
    <x v="1"/>
    <x v="1"/>
    <n v="5.9"/>
  </r>
  <r>
    <d v="2018-08-01T00:00:00"/>
    <x v="104"/>
    <x v="8"/>
    <x v="9"/>
    <s v="Compteur 4"/>
    <s v="Compteur_4"/>
    <x v="1"/>
    <d v="1899-12-30T00:00:00"/>
    <d v="1899-12-30T00:00:00"/>
    <n v="1"/>
    <e v="#VALUE!"/>
    <n v="0"/>
    <e v="#VALUE!"/>
    <s v=""/>
    <e v="#VALUE!"/>
    <n v="0"/>
    <e v="#VALUE!"/>
    <e v="#VALUE!"/>
    <s v=""/>
    <s v=""/>
    <s v=""/>
    <n v="0"/>
    <x v="2"/>
    <x v="5"/>
    <x v="1"/>
    <x v="1"/>
    <n v="26"/>
  </r>
  <r>
    <d v="2018-09-01T00:00:00"/>
    <x v="105"/>
    <x v="9"/>
    <x v="9"/>
    <s v="Compteur 4"/>
    <s v="Compteur_4"/>
    <x v="1"/>
    <d v="1899-12-30T00:00:00"/>
    <d v="1899-12-30T00:00:00"/>
    <n v="1"/>
    <e v="#VALUE!"/>
    <n v="0"/>
    <e v="#VALUE!"/>
    <s v=""/>
    <e v="#VALUE!"/>
    <n v="0"/>
    <e v="#VALUE!"/>
    <e v="#VALUE!"/>
    <s v=""/>
    <s v=""/>
    <s v=""/>
    <n v="0"/>
    <x v="2"/>
    <x v="5"/>
    <x v="1"/>
    <x v="1"/>
    <n v="73.599999999999994"/>
  </r>
  <r>
    <d v="2018-10-01T00:00:00"/>
    <x v="106"/>
    <x v="10"/>
    <x v="9"/>
    <s v="Compteur 4"/>
    <s v="Compteur_4"/>
    <x v="1"/>
    <d v="1899-12-30T00:00:00"/>
    <d v="1899-12-30T00:00:00"/>
    <n v="1"/>
    <e v="#VALUE!"/>
    <n v="0"/>
    <e v="#VALUE!"/>
    <s v=""/>
    <e v="#VALUE!"/>
    <n v="0"/>
    <e v="#VALUE!"/>
    <e v="#VALUE!"/>
    <s v=""/>
    <s v=""/>
    <s v=""/>
    <n v="0"/>
    <x v="2"/>
    <x v="5"/>
    <x v="1"/>
    <x v="1"/>
    <n v="157.5"/>
  </r>
  <r>
    <d v="2018-11-01T00:00:00"/>
    <x v="107"/>
    <x v="11"/>
    <x v="9"/>
    <s v="Compteur 4"/>
    <s v="Compteur_4"/>
    <x v="1"/>
    <d v="1899-12-30T00:00:00"/>
    <d v="1899-12-30T00:00:00"/>
    <n v="1"/>
    <e v="#VALUE!"/>
    <n v="0"/>
    <e v="#VALUE!"/>
    <s v=""/>
    <e v="#VALUE!"/>
    <n v="0"/>
    <e v="#VALUE!"/>
    <e v="#VALUE!"/>
    <s v=""/>
    <s v=""/>
    <s v=""/>
    <n v="0"/>
    <x v="2"/>
    <x v="5"/>
    <x v="1"/>
    <x v="1"/>
    <n v="278"/>
  </r>
  <r>
    <d v="2018-12-01T00:00:00"/>
    <x v="108"/>
    <x v="12"/>
    <x v="9"/>
    <s v="Compteur 4"/>
    <s v="Compteur_4"/>
    <x v="1"/>
    <d v="1899-12-30T00:00:00"/>
    <d v="1899-12-30T00:00:00"/>
    <n v="1"/>
    <e v="#VALUE!"/>
    <n v="0"/>
    <e v="#VALUE!"/>
    <s v=""/>
    <e v="#VALUE!"/>
    <n v="0"/>
    <e v="#VALUE!"/>
    <e v="#VALUE!"/>
    <s v=""/>
    <s v=""/>
    <s v=""/>
    <n v="0"/>
    <x v="2"/>
    <x v="5"/>
    <x v="1"/>
    <x v="1"/>
    <n v="319.2"/>
  </r>
  <r>
    <d v="2019-01-01T00:00:00"/>
    <x v="109"/>
    <x v="1"/>
    <x v="10"/>
    <s v="Compteur 4"/>
    <s v="Compteur_4"/>
    <x v="1"/>
    <d v="1899-12-30T00:00:00"/>
    <d v="1899-12-30T00:00:00"/>
    <n v="1"/>
    <e v="#VALUE!"/>
    <n v="0"/>
    <e v="#VALUE!"/>
    <s v=""/>
    <e v="#VALUE!"/>
    <n v="0"/>
    <e v="#VALUE!"/>
    <e v="#VALUE!"/>
    <s v=""/>
    <s v=""/>
    <s v=""/>
    <n v="0"/>
    <x v="2"/>
    <x v="5"/>
    <x v="1"/>
    <x v="1"/>
    <n v="402.2"/>
  </r>
  <r>
    <d v="2019-02-01T00:00:00"/>
    <x v="110"/>
    <x v="2"/>
    <x v="10"/>
    <s v="Compteur 4"/>
    <s v="Compteur_4"/>
    <x v="1"/>
    <d v="1899-12-30T00:00:00"/>
    <d v="1899-12-30T00:00:00"/>
    <n v="1"/>
    <e v="#VALUE!"/>
    <n v="0"/>
    <e v="#VALUE!"/>
    <s v=""/>
    <e v="#VALUE!"/>
    <n v="0"/>
    <e v="#VALUE!"/>
    <e v="#VALUE!"/>
    <s v=""/>
    <s v=""/>
    <s v=""/>
    <n v="0"/>
    <x v="2"/>
    <x v="5"/>
    <x v="1"/>
    <x v="1"/>
    <n v="297.3"/>
  </r>
  <r>
    <d v="2019-03-01T00:00:00"/>
    <x v="111"/>
    <x v="3"/>
    <x v="10"/>
    <s v="Compteur 4"/>
    <s v="Compteur_4"/>
    <x v="1"/>
    <d v="1899-12-30T00:00:00"/>
    <d v="1899-12-30T00:00:00"/>
    <n v="1"/>
    <e v="#VALUE!"/>
    <n v="0"/>
    <e v="#VALUE!"/>
    <s v=""/>
    <e v="#VALUE!"/>
    <n v="0"/>
    <e v="#VALUE!"/>
    <e v="#VALUE!"/>
    <s v=""/>
    <s v=""/>
    <s v=""/>
    <n v="0"/>
    <x v="2"/>
    <x v="5"/>
    <x v="1"/>
    <x v="1"/>
    <n v="260.39999999999998"/>
  </r>
  <r>
    <d v="2019-04-01T00:00:00"/>
    <x v="112"/>
    <x v="4"/>
    <x v="10"/>
    <s v="Compteur 4"/>
    <s v="Compteur_4"/>
    <x v="1"/>
    <d v="1899-12-30T00:00:00"/>
    <d v="1899-12-30T00:00:00"/>
    <n v="1"/>
    <e v="#VALUE!"/>
    <n v="0"/>
    <e v="#VALUE!"/>
    <s v=""/>
    <e v="#VALUE!"/>
    <n v="0"/>
    <e v="#VALUE!"/>
    <e v="#VALUE!"/>
    <s v=""/>
    <s v=""/>
    <s v=""/>
    <n v="0"/>
    <x v="2"/>
    <x v="5"/>
    <x v="1"/>
    <x v="1"/>
    <n v="201.4"/>
  </r>
  <r>
    <d v="2019-05-01T00:00:00"/>
    <x v="113"/>
    <x v="5"/>
    <x v="10"/>
    <s v="Compteur 4"/>
    <s v="Compteur_4"/>
    <x v="1"/>
    <d v="1899-12-30T00:00:00"/>
    <d v="1899-12-30T00:00:00"/>
    <n v="1"/>
    <e v="#VALUE!"/>
    <n v="0"/>
    <e v="#VALUE!"/>
    <s v=""/>
    <e v="#VALUE!"/>
    <n v="0"/>
    <e v="#VALUE!"/>
    <e v="#VALUE!"/>
    <s v=""/>
    <s v=""/>
    <s v=""/>
    <n v="0"/>
    <x v="2"/>
    <x v="5"/>
    <x v="1"/>
    <x v="1"/>
    <n v="147.9"/>
  </r>
  <r>
    <d v="2019-06-01T00:00:00"/>
    <x v="114"/>
    <x v="6"/>
    <x v="10"/>
    <s v="Compteur 4"/>
    <s v="Compteur_4"/>
    <x v="1"/>
    <d v="1899-12-30T00:00:00"/>
    <d v="1899-12-30T00:00:00"/>
    <n v="1"/>
    <e v="#VALUE!"/>
    <n v="0"/>
    <e v="#VALUE!"/>
    <s v=""/>
    <e v="#VALUE!"/>
    <n v="0"/>
    <e v="#VALUE!"/>
    <e v="#VALUE!"/>
    <s v=""/>
    <s v=""/>
    <s v=""/>
    <n v="0"/>
    <x v="2"/>
    <x v="5"/>
    <x v="1"/>
    <x v="1"/>
    <n v="54.1"/>
  </r>
  <r>
    <d v="2019-07-01T00:00:00"/>
    <x v="115"/>
    <x v="7"/>
    <x v="10"/>
    <s v="Compteur 4"/>
    <s v="Compteur_4"/>
    <x v="1"/>
    <d v="1899-12-30T00:00:00"/>
    <d v="1899-12-30T00:00:00"/>
    <n v="1"/>
    <e v="#VALUE!"/>
    <n v="0"/>
    <e v="#VALUE!"/>
    <s v=""/>
    <e v="#VALUE!"/>
    <n v="0"/>
    <e v="#VALUE!"/>
    <e v="#VALUE!"/>
    <s v=""/>
    <s v=""/>
    <s v=""/>
    <n v="0"/>
    <x v="2"/>
    <x v="5"/>
    <x v="1"/>
    <x v="1"/>
    <n v="15.5"/>
  </r>
  <r>
    <d v="2019-08-01T00:00:00"/>
    <x v="116"/>
    <x v="8"/>
    <x v="10"/>
    <s v="Compteur 4"/>
    <s v="Compteur_4"/>
    <x v="1"/>
    <d v="1899-12-30T00:00:00"/>
    <d v="1899-12-30T00:00:00"/>
    <n v="1"/>
    <e v="#VALUE!"/>
    <n v="0"/>
    <e v="#VALUE!"/>
    <s v=""/>
    <e v="#VALUE!"/>
    <n v="0"/>
    <e v="#VALUE!"/>
    <e v="#VALUE!"/>
    <s v=""/>
    <s v=""/>
    <s v=""/>
    <n v="0"/>
    <x v="2"/>
    <x v="5"/>
    <x v="1"/>
    <x v="1"/>
    <n v="30.2"/>
  </r>
  <r>
    <d v="2019-09-01T00:00:00"/>
    <x v="117"/>
    <x v="9"/>
    <x v="10"/>
    <s v="Compteur 4"/>
    <s v="Compteur_4"/>
    <x v="1"/>
    <d v="1899-12-30T00:00:00"/>
    <d v="1899-12-30T00:00:00"/>
    <n v="1"/>
    <e v="#VALUE!"/>
    <n v="0"/>
    <e v="#VALUE!"/>
    <s v=""/>
    <e v="#VALUE!"/>
    <n v="0"/>
    <e v="#VALUE!"/>
    <e v="#VALUE!"/>
    <s v=""/>
    <s v=""/>
    <s v=""/>
    <n v="0"/>
    <x v="2"/>
    <x v="5"/>
    <x v="1"/>
    <x v="1"/>
    <n v="64.7"/>
  </r>
  <r>
    <d v="2019-10-01T00:00:00"/>
    <x v="118"/>
    <x v="10"/>
    <x v="10"/>
    <s v="Compteur 4"/>
    <s v="Compteur_4"/>
    <x v="1"/>
    <d v="1899-12-30T00:00:00"/>
    <d v="1899-12-30T00:00:00"/>
    <n v="1"/>
    <e v="#VALUE!"/>
    <n v="0"/>
    <e v="#VALUE!"/>
    <s v=""/>
    <e v="#VALUE!"/>
    <n v="0"/>
    <e v="#VALUE!"/>
    <e v="#VALUE!"/>
    <s v=""/>
    <s v=""/>
    <s v=""/>
    <n v="0"/>
    <x v="2"/>
    <x v="5"/>
    <x v="1"/>
    <x v="1"/>
    <n v="128.80000000000001"/>
  </r>
  <r>
    <d v="2019-11-01T00:00:00"/>
    <x v="119"/>
    <x v="11"/>
    <x v="10"/>
    <s v="Compteur 4"/>
    <s v="Compteur_4"/>
    <x v="1"/>
    <d v="1899-12-30T00:00:00"/>
    <d v="1899-12-30T00:00:00"/>
    <n v="1"/>
    <e v="#VALUE!"/>
    <n v="0"/>
    <e v="#VALUE!"/>
    <s v=""/>
    <e v="#VALUE!"/>
    <n v="0"/>
    <e v="#VALUE!"/>
    <e v="#VALUE!"/>
    <s v=""/>
    <s v=""/>
    <s v=""/>
    <n v="0"/>
    <x v="2"/>
    <x v="5"/>
    <x v="1"/>
    <x v="1"/>
    <n v="293.10000000000002"/>
  </r>
  <r>
    <d v="2019-12-01T00:00:00"/>
    <x v="120"/>
    <x v="12"/>
    <x v="10"/>
    <s v="Compteur 4"/>
    <s v="Compteur_4"/>
    <x v="1"/>
    <d v="1899-12-30T00:00:00"/>
    <d v="1899-12-30T00:00:00"/>
    <n v="1"/>
    <e v="#VALUE!"/>
    <n v="0"/>
    <e v="#VALUE!"/>
    <s v=""/>
    <e v="#VALUE!"/>
    <n v="0"/>
    <e v="#VALUE!"/>
    <e v="#VALUE!"/>
    <s v=""/>
    <s v=""/>
    <s v=""/>
    <n v="0"/>
    <x v="2"/>
    <x v="5"/>
    <x v="1"/>
    <x v="1"/>
    <n v="323"/>
  </r>
  <r>
    <d v="2020-01-01T00:00:00"/>
    <x v="121"/>
    <x v="1"/>
    <x v="11"/>
    <s v="Compteur 4"/>
    <s v="Compteur_4"/>
    <x v="1"/>
    <d v="1899-12-30T00:00:00"/>
    <d v="1899-12-30T00:00:00"/>
    <n v="1"/>
    <e v="#VALUE!"/>
    <n v="0"/>
    <e v="#VALUE!"/>
    <s v=""/>
    <e v="#VALUE!"/>
    <n v="0"/>
    <e v="#VALUE!"/>
    <e v="#VALUE!"/>
    <s v=""/>
    <s v=""/>
    <s v=""/>
    <n v="0"/>
    <x v="2"/>
    <x v="5"/>
    <x v="1"/>
    <x v="1"/>
    <n v="331.5"/>
  </r>
  <r>
    <d v="2020-02-01T00:00:00"/>
    <x v="122"/>
    <x v="2"/>
    <x v="11"/>
    <s v="Compteur 4"/>
    <s v="Compteur_4"/>
    <x v="1"/>
    <d v="1899-12-30T00:00:00"/>
    <d v="1899-12-30T00:00:00"/>
    <n v="1"/>
    <e v="#VALUE!"/>
    <n v="0"/>
    <e v="#VALUE!"/>
    <s v=""/>
    <e v="#VALUE!"/>
    <n v="0"/>
    <e v="#VALUE!"/>
    <e v="#VALUE!"/>
    <s v=""/>
    <s v=""/>
    <s v=""/>
    <n v="0"/>
    <x v="2"/>
    <x v="5"/>
    <x v="1"/>
    <x v="1"/>
    <n v="251.6"/>
  </r>
  <r>
    <d v="2020-03-01T00:00:00"/>
    <x v="123"/>
    <x v="3"/>
    <x v="11"/>
    <s v="Compteur 4"/>
    <s v="Compteur_4"/>
    <x v="1"/>
    <d v="1899-12-30T00:00:00"/>
    <d v="1899-12-30T00:00:00"/>
    <n v="1"/>
    <e v="#VALUE!"/>
    <n v="0"/>
    <e v="#VALUE!"/>
    <s v=""/>
    <e v="#VALUE!"/>
    <n v="0"/>
    <e v="#VALUE!"/>
    <e v="#VALUE!"/>
    <s v=""/>
    <s v=""/>
    <s v=""/>
    <n v="0"/>
    <x v="2"/>
    <x v="5"/>
    <x v="1"/>
    <x v="1"/>
    <n v="272.60000000000002"/>
  </r>
  <r>
    <d v="2020-04-01T00:00:00"/>
    <x v="124"/>
    <x v="4"/>
    <x v="11"/>
    <s v="Compteur 4"/>
    <s v="Compteur_4"/>
    <x v="1"/>
    <d v="1899-12-30T00:00:00"/>
    <d v="1899-12-30T00:00:00"/>
    <n v="1"/>
    <e v="#VALUE!"/>
    <n v="0"/>
    <e v="#VALUE!"/>
    <s v=""/>
    <e v="#VALUE!"/>
    <n v="0"/>
    <e v="#VALUE!"/>
    <e v="#VALUE!"/>
    <s v=""/>
    <s v=""/>
    <s v=""/>
    <n v="0"/>
    <x v="2"/>
    <x v="5"/>
    <x v="1"/>
    <x v="1"/>
    <n v="126.3"/>
  </r>
  <r>
    <d v="2020-05-01T00:00:00"/>
    <x v="125"/>
    <x v="5"/>
    <x v="11"/>
    <s v="Compteur 4"/>
    <s v="Compteur_4"/>
    <x v="1"/>
    <d v="1899-12-30T00:00:00"/>
    <d v="1899-12-30T00:00:00"/>
    <n v="1"/>
    <e v="#VALUE!"/>
    <n v="0"/>
    <e v="#VALUE!"/>
    <s v=""/>
    <e v="#VALUE!"/>
    <n v="0"/>
    <e v="#VALUE!"/>
    <e v="#VALUE!"/>
    <s v=""/>
    <s v=""/>
    <s v=""/>
    <n v="0"/>
    <x v="2"/>
    <x v="5"/>
    <x v="1"/>
    <x v="1"/>
    <n v="91.8"/>
  </r>
  <r>
    <d v="2020-06-01T00:00:00"/>
    <x v="126"/>
    <x v="6"/>
    <x v="11"/>
    <s v="Compteur 4"/>
    <s v="Compteur_4"/>
    <x v="1"/>
    <d v="1899-12-30T00:00:00"/>
    <d v="1899-12-30T00:00:00"/>
    <n v="1"/>
    <e v="#VALUE!"/>
    <n v="0"/>
    <e v="#VALUE!"/>
    <s v=""/>
    <e v="#VALUE!"/>
    <n v="0"/>
    <e v="#VALUE!"/>
    <e v="#VALUE!"/>
    <s v=""/>
    <s v=""/>
    <s v=""/>
    <n v="0"/>
    <x v="2"/>
    <x v="5"/>
    <x v="1"/>
    <x v="1"/>
    <n v="55.6"/>
  </r>
  <r>
    <d v="2020-07-01T00:00:00"/>
    <x v="127"/>
    <x v="7"/>
    <x v="11"/>
    <s v="Compteur 4"/>
    <s v="Compteur_4"/>
    <x v="1"/>
    <d v="1899-12-30T00:00:00"/>
    <d v="1899-12-30T00:00:00"/>
    <n v="1"/>
    <e v="#VALUE!"/>
    <n v="0"/>
    <e v="#VALUE!"/>
    <s v=""/>
    <e v="#VALUE!"/>
    <n v="0"/>
    <e v="#VALUE!"/>
    <e v="#VALUE!"/>
    <s v=""/>
    <s v=""/>
    <s v=""/>
    <n v="0"/>
    <x v="2"/>
    <x v="5"/>
    <x v="1"/>
    <x v="1"/>
    <n v="32.299999999999997"/>
  </r>
  <r>
    <d v="2020-08-01T00:00:00"/>
    <x v="128"/>
    <x v="8"/>
    <x v="11"/>
    <s v="Compteur 4"/>
    <s v="Compteur_4"/>
    <x v="1"/>
    <d v="1899-12-30T00:00:00"/>
    <d v="1899-12-30T00:00:00"/>
    <n v="1"/>
    <e v="#VALUE!"/>
    <n v="0"/>
    <e v="#VALUE!"/>
    <s v=""/>
    <e v="#VALUE!"/>
    <n v="0"/>
    <e v="#VALUE!"/>
    <e v="#VALUE!"/>
    <s v=""/>
    <s v=""/>
    <s v=""/>
    <n v="0"/>
    <x v="2"/>
    <x v="5"/>
    <x v="1"/>
    <x v="1"/>
    <n v="27.8"/>
  </r>
  <r>
    <d v="2020-09-01T00:00:00"/>
    <x v="129"/>
    <x v="9"/>
    <x v="11"/>
    <s v="Compteur 4"/>
    <s v="Compteur_4"/>
    <x v="1"/>
    <d v="1899-12-30T00:00:00"/>
    <d v="1899-12-30T00:00:00"/>
    <n v="1"/>
    <e v="#VALUE!"/>
    <n v="0"/>
    <e v="#VALUE!"/>
    <s v=""/>
    <e v="#VALUE!"/>
    <n v="0"/>
    <e v="#VALUE!"/>
    <e v="#VALUE!"/>
    <s v=""/>
    <s v=""/>
    <s v=""/>
    <n v="0"/>
    <x v="2"/>
    <x v="5"/>
    <x v="1"/>
    <x v="1"/>
    <n v="56.6"/>
  </r>
  <r>
    <d v="2020-10-01T00:00:00"/>
    <x v="130"/>
    <x v="10"/>
    <x v="11"/>
    <s v="Compteur 4"/>
    <s v="Compteur_4"/>
    <x v="1"/>
    <d v="1899-12-30T00:00:00"/>
    <d v="1899-12-30T00:00:00"/>
    <n v="1"/>
    <e v="#VALUE!"/>
    <n v="0"/>
    <e v="#VALUE!"/>
    <s v=""/>
    <e v="#VALUE!"/>
    <n v="0"/>
    <e v="#VALUE!"/>
    <e v="#VALUE!"/>
    <s v=""/>
    <s v=""/>
    <s v=""/>
    <n v="0"/>
    <x v="2"/>
    <x v="5"/>
    <x v="1"/>
    <x v="1"/>
    <n v="159.30000000000001"/>
  </r>
  <r>
    <d v="2020-11-01T00:00:00"/>
    <x v="131"/>
    <x v="11"/>
    <x v="11"/>
    <s v="Compteur 4"/>
    <s v="Compteur_4"/>
    <x v="1"/>
    <d v="1899-12-30T00:00:00"/>
    <d v="1899-12-30T00:00:00"/>
    <n v="1"/>
    <e v="#VALUE!"/>
    <n v="0"/>
    <e v="#VALUE!"/>
    <s v=""/>
    <e v="#VALUE!"/>
    <n v="0"/>
    <e v="#VALUE!"/>
    <e v="#VALUE!"/>
    <s v=""/>
    <s v=""/>
    <s v=""/>
    <n v="0"/>
    <x v="2"/>
    <x v="5"/>
    <x v="1"/>
    <x v="1"/>
    <n v="237.3"/>
  </r>
  <r>
    <d v="2020-12-01T00:00:00"/>
    <x v="132"/>
    <x v="12"/>
    <x v="11"/>
    <s v="Compteur 4"/>
    <s v="Compteur_4"/>
    <x v="1"/>
    <d v="1899-12-30T00:00:00"/>
    <d v="1899-12-30T00:00:00"/>
    <n v="1"/>
    <e v="#VALUE!"/>
    <n v="0"/>
    <e v="#VALUE!"/>
    <s v=""/>
    <e v="#VALUE!"/>
    <n v="0"/>
    <e v="#VALUE!"/>
    <e v="#VALUE!"/>
    <s v=""/>
    <s v=""/>
    <s v=""/>
    <n v="0"/>
    <x v="2"/>
    <x v="5"/>
    <x v="1"/>
    <x v="1"/>
    <n v="334.4"/>
  </r>
  <r>
    <d v="2021-01-01T00:00:00"/>
    <x v="133"/>
    <x v="1"/>
    <x v="12"/>
    <s v="Compteur 4"/>
    <s v="Compteur_4"/>
    <x v="1"/>
    <d v="1899-12-30T00:00:00"/>
    <d v="1899-12-30T00:00:00"/>
    <n v="1"/>
    <e v="#VALUE!"/>
    <n v="0"/>
    <e v="#VALUE!"/>
    <s v=""/>
    <e v="#VALUE!"/>
    <n v="0"/>
    <e v="#VALUE!"/>
    <e v="#VALUE!"/>
    <s v=""/>
    <s v=""/>
    <s v=""/>
    <n v="0"/>
    <x v="2"/>
    <x v="5"/>
    <x v="1"/>
    <x v="1"/>
    <n v="380.1"/>
  </r>
  <r>
    <d v="2021-02-01T00:00:00"/>
    <x v="134"/>
    <x v="2"/>
    <x v="12"/>
    <s v="Compteur 4"/>
    <s v="Compteur_4"/>
    <x v="1"/>
    <d v="1899-12-30T00:00:00"/>
    <d v="1899-12-30T00:00:00"/>
    <n v="1"/>
    <e v="#VALUE!"/>
    <n v="0"/>
    <e v="#VALUE!"/>
    <s v=""/>
    <e v="#VALUE!"/>
    <n v="0"/>
    <e v="#VALUE!"/>
    <e v="#VALUE!"/>
    <s v=""/>
    <s v=""/>
    <s v=""/>
    <n v="0"/>
    <x v="2"/>
    <x v="5"/>
    <x v="1"/>
    <x v="1"/>
    <n v="299.5"/>
  </r>
  <r>
    <d v="2021-03-01T00:00:00"/>
    <x v="135"/>
    <x v="3"/>
    <x v="12"/>
    <s v="Compteur 4"/>
    <s v="Compteur_4"/>
    <x v="1"/>
    <d v="1899-12-30T00:00:00"/>
    <d v="1899-12-30T00:00:00"/>
    <n v="1"/>
    <e v="#VALUE!"/>
    <n v="0"/>
    <e v="#VALUE!"/>
    <s v=""/>
    <e v="#VALUE!"/>
    <n v="0"/>
    <e v="#VALUE!"/>
    <e v="#VALUE!"/>
    <s v=""/>
    <s v=""/>
    <s v=""/>
    <n v="0"/>
    <x v="2"/>
    <x v="5"/>
    <x v="1"/>
    <x v="1"/>
    <n v="303.89999999999998"/>
  </r>
  <r>
    <d v="2021-04-01T00:00:00"/>
    <x v="136"/>
    <x v="4"/>
    <x v="12"/>
    <s v="Compteur 4"/>
    <s v="Compteur_4"/>
    <x v="1"/>
    <d v="1899-12-30T00:00:00"/>
    <d v="1899-12-30T00:00:00"/>
    <n v="1"/>
    <e v="#VALUE!"/>
    <n v="0"/>
    <e v="#VALUE!"/>
    <s v=""/>
    <e v="#VALUE!"/>
    <n v="0"/>
    <e v="#VALUE!"/>
    <e v="#VALUE!"/>
    <s v=""/>
    <s v=""/>
    <s v=""/>
    <n v="0"/>
    <x v="2"/>
    <x v="5"/>
    <x v="1"/>
    <x v="1"/>
    <n v="242.8"/>
  </r>
  <r>
    <d v="2021-05-01T00:00:00"/>
    <x v="137"/>
    <x v="5"/>
    <x v="12"/>
    <s v="Compteur 4"/>
    <s v="Compteur_4"/>
    <x v="1"/>
    <d v="1899-12-30T00:00:00"/>
    <d v="1899-12-30T00:00:00"/>
    <n v="1"/>
    <e v="#VALUE!"/>
    <n v="0"/>
    <e v="#VALUE!"/>
    <s v=""/>
    <e v="#VALUE!"/>
    <n v="0"/>
    <e v="#VALUE!"/>
    <e v="#VALUE!"/>
    <s v=""/>
    <s v=""/>
    <s v=""/>
    <n v="0"/>
    <x v="2"/>
    <x v="5"/>
    <x v="1"/>
    <x v="1"/>
    <n v="159.4"/>
  </r>
  <r>
    <d v="2021-06-01T00:00:00"/>
    <x v="138"/>
    <x v="6"/>
    <x v="12"/>
    <s v="Compteur 4"/>
    <s v="Compteur_4"/>
    <x v="1"/>
    <d v="1899-12-30T00:00:00"/>
    <d v="1899-12-30T00:00:00"/>
    <n v="1"/>
    <e v="#VALUE!"/>
    <n v="0"/>
    <e v="#VALUE!"/>
    <s v=""/>
    <e v="#VALUE!"/>
    <n v="0"/>
    <e v="#VALUE!"/>
    <e v="#VALUE!"/>
    <s v=""/>
    <s v=""/>
    <s v=""/>
    <n v="0"/>
    <x v="2"/>
    <x v="5"/>
    <x v="1"/>
    <x v="1"/>
    <n v="29.9"/>
  </r>
  <r>
    <d v="2021-07-01T00:00:00"/>
    <x v="139"/>
    <x v="7"/>
    <x v="12"/>
    <s v="Compteur 4"/>
    <s v="Compteur_4"/>
    <x v="1"/>
    <d v="1899-12-30T00:00:00"/>
    <d v="1899-12-30T00:00:00"/>
    <n v="1"/>
    <e v="#VALUE!"/>
    <n v="0"/>
    <e v="#VALUE!"/>
    <s v=""/>
    <e v="#VALUE!"/>
    <n v="0"/>
    <e v="#VALUE!"/>
    <e v="#VALUE!"/>
    <s v=""/>
    <s v=""/>
    <s v=""/>
    <n v="0"/>
    <x v="2"/>
    <x v="5"/>
    <x v="1"/>
    <x v="1"/>
    <n v="22.4"/>
  </r>
  <r>
    <d v="2021-08-01T00:00:00"/>
    <x v="140"/>
    <x v="8"/>
    <x v="12"/>
    <s v="Compteur 4"/>
    <s v="Compteur_4"/>
    <x v="1"/>
    <d v="1899-12-30T00:00:00"/>
    <d v="1899-12-30T00:00:00"/>
    <n v="1"/>
    <e v="#VALUE!"/>
    <n v="0"/>
    <e v="#VALUE!"/>
    <s v=""/>
    <e v="#VALUE!"/>
    <n v="0"/>
    <e v="#VALUE!"/>
    <e v="#VALUE!"/>
    <s v=""/>
    <s v=""/>
    <s v=""/>
    <n v="0"/>
    <x v="2"/>
    <x v="5"/>
    <x v="1"/>
    <x v="1"/>
    <n v="35.9"/>
  </r>
  <r>
    <d v="2021-09-01T00:00:00"/>
    <x v="141"/>
    <x v="9"/>
    <x v="12"/>
    <s v="Compteur 4"/>
    <s v="Compteur_4"/>
    <x v="1"/>
    <d v="1899-12-30T00:00:00"/>
    <d v="1899-12-30T00:00:00"/>
    <n v="1"/>
    <e v="#VALUE!"/>
    <n v="0"/>
    <e v="#VALUE!"/>
    <s v=""/>
    <e v="#VALUE!"/>
    <n v="0"/>
    <e v="#VALUE!"/>
    <e v="#VALUE!"/>
    <s v=""/>
    <s v=""/>
    <s v=""/>
    <n v="0"/>
    <x v="2"/>
    <x v="5"/>
    <x v="1"/>
    <x v="1"/>
    <n v="47.8"/>
  </r>
  <r>
    <d v="2021-10-01T00:00:00"/>
    <x v="142"/>
    <x v="10"/>
    <x v="12"/>
    <s v="Compteur 4"/>
    <s v="Compteur_4"/>
    <x v="1"/>
    <d v="1899-12-30T00:00:00"/>
    <d v="1899-12-30T00:00:00"/>
    <n v="1"/>
    <e v="#VALUE!"/>
    <n v="0"/>
    <e v="#VALUE!"/>
    <s v=""/>
    <e v="#VALUE!"/>
    <n v="0"/>
    <e v="#VALUE!"/>
    <e v="#VALUE!"/>
    <s v=""/>
    <s v=""/>
    <s v=""/>
    <n v="0"/>
    <x v="2"/>
    <x v="5"/>
    <x v="1"/>
    <x v="1"/>
    <n v="170.5"/>
  </r>
  <r>
    <d v="2021-11-01T00:00:00"/>
    <x v="143"/>
    <x v="11"/>
    <x v="12"/>
    <s v="Compteur 4"/>
    <s v="Compteur_4"/>
    <x v="1"/>
    <d v="1899-12-30T00:00:00"/>
    <d v="1899-12-30T00:00:00"/>
    <n v="1"/>
    <e v="#VALUE!"/>
    <n v="0"/>
    <e v="#VALUE!"/>
    <s v=""/>
    <e v="#VALUE!"/>
    <n v="0"/>
    <e v="#VALUE!"/>
    <e v="#VALUE!"/>
    <s v=""/>
    <s v=""/>
    <s v=""/>
    <n v="0"/>
    <x v="2"/>
    <x v="5"/>
    <x v="1"/>
    <x v="1"/>
    <n v="326.8"/>
  </r>
  <r>
    <d v="2021-12-01T00:00:00"/>
    <x v="144"/>
    <x v="12"/>
    <x v="12"/>
    <s v="Compteur 4"/>
    <s v="Compteur_4"/>
    <x v="1"/>
    <d v="1899-12-30T00:00:00"/>
    <d v="1899-12-30T00:00:00"/>
    <n v="1"/>
    <e v="#VALUE!"/>
    <n v="0"/>
    <e v="#VALUE!"/>
    <s v=""/>
    <e v="#VALUE!"/>
    <n v="0"/>
    <e v="#VALUE!"/>
    <e v="#VALUE!"/>
    <s v=""/>
    <s v=""/>
    <s v=""/>
    <n v="0"/>
    <x v="2"/>
    <x v="5"/>
    <x v="1"/>
    <x v="1"/>
    <n v="336.7"/>
  </r>
  <r>
    <d v="2022-01-01T00:00:00"/>
    <x v="145"/>
    <x v="1"/>
    <x v="13"/>
    <s v="Compteur 4"/>
    <s v="Compteur_4"/>
    <x v="1"/>
    <d v="1899-12-30T00:00:00"/>
    <d v="1899-12-30T00:00:00"/>
    <n v="1"/>
    <e v="#VALUE!"/>
    <n v="0"/>
    <e v="#VALUE!"/>
    <s v=""/>
    <e v="#VALUE!"/>
    <n v="0"/>
    <e v="#VALUE!"/>
    <e v="#VALUE!"/>
    <s v=""/>
    <s v=""/>
    <s v=""/>
    <n v="0"/>
    <x v="2"/>
    <x v="5"/>
    <x v="1"/>
    <x v="1"/>
    <n v="396.3"/>
  </r>
  <r>
    <d v="2022-02-01T00:00:00"/>
    <x v="146"/>
    <x v="2"/>
    <x v="13"/>
    <s v="Compteur 4"/>
    <s v="Compteur_4"/>
    <x v="1"/>
    <d v="1899-12-30T00:00:00"/>
    <d v="1899-12-30T00:00:00"/>
    <n v="1"/>
    <e v="#VALUE!"/>
    <n v="0"/>
    <e v="#VALUE!"/>
    <s v=""/>
    <e v="#VALUE!"/>
    <n v="0"/>
    <e v="#VALUE!"/>
    <e v="#VALUE!"/>
    <s v=""/>
    <s v=""/>
    <s v=""/>
    <n v="0"/>
    <x v="2"/>
    <x v="5"/>
    <x v="1"/>
    <x v="1"/>
    <n v="286.10000000000002"/>
  </r>
  <r>
    <d v="2022-03-01T00:00:00"/>
    <x v="147"/>
    <x v="3"/>
    <x v="13"/>
    <s v="Compteur 4"/>
    <s v="Compteur_4"/>
    <x v="1"/>
    <d v="1899-12-30T00:00:00"/>
    <d v="1899-12-30T00:00:00"/>
    <n v="1"/>
    <e v="#VALUE!"/>
    <n v="0"/>
    <e v="#VALUE!"/>
    <s v=""/>
    <e v="#VALUE!"/>
    <n v="0"/>
    <e v="#VALUE!"/>
    <e v="#VALUE!"/>
    <s v=""/>
    <s v=""/>
    <s v=""/>
    <n v="0"/>
    <x v="2"/>
    <x v="5"/>
    <x v="1"/>
    <x v="1"/>
    <n v="239.8"/>
  </r>
  <r>
    <d v="2022-04-01T00:00:00"/>
    <x v="148"/>
    <x v="4"/>
    <x v="13"/>
    <s v="Compteur 4"/>
    <s v="Compteur_4"/>
    <x v="1"/>
    <d v="1899-12-30T00:00:00"/>
    <d v="1899-12-30T00:00:00"/>
    <n v="1"/>
    <e v="#VALUE!"/>
    <n v="0"/>
    <e v="#VALUE!"/>
    <s v=""/>
    <e v="#VALUE!"/>
    <n v="0"/>
    <e v="#VALUE!"/>
    <e v="#VALUE!"/>
    <s v=""/>
    <s v=""/>
    <s v=""/>
    <n v="0"/>
    <x v="2"/>
    <x v="5"/>
    <x v="1"/>
    <x v="1"/>
    <n v="192.3"/>
  </r>
  <r>
    <d v="2022-05-01T00:00:00"/>
    <x v="149"/>
    <x v="5"/>
    <x v="13"/>
    <s v="Compteur 4"/>
    <s v="Compteur_4"/>
    <x v="1"/>
    <d v="1899-12-30T00:00:00"/>
    <d v="1899-12-30T00:00:00"/>
    <n v="1"/>
    <e v="#VALUE!"/>
    <n v="0"/>
    <e v="#VALUE!"/>
    <s v=""/>
    <e v="#VALUE!"/>
    <n v="0"/>
    <e v="#VALUE!"/>
    <e v="#VALUE!"/>
    <s v=""/>
    <s v=""/>
    <s v=""/>
    <n v="0"/>
    <x v="2"/>
    <x v="5"/>
    <x v="1"/>
    <x v="1"/>
    <n v="81.8"/>
  </r>
  <r>
    <d v="2022-06-01T00:00:00"/>
    <x v="150"/>
    <x v="6"/>
    <x v="13"/>
    <s v="Compteur 4"/>
    <s v="Compteur_4"/>
    <x v="1"/>
    <d v="1899-12-30T00:00:00"/>
    <d v="1899-12-30T00:00:00"/>
    <n v="1"/>
    <e v="#VALUE!"/>
    <n v="0"/>
    <e v="#VALUE!"/>
    <s v=""/>
    <e v="#VALUE!"/>
    <n v="0"/>
    <e v="#VALUE!"/>
    <e v="#VALUE!"/>
    <s v=""/>
    <s v=""/>
    <s v=""/>
    <n v="0"/>
    <x v="2"/>
    <x v="5"/>
    <x v="1"/>
    <x v="1"/>
    <n v="35.5"/>
  </r>
  <r>
    <d v="2022-07-01T00:00:00"/>
    <x v="151"/>
    <x v="7"/>
    <x v="13"/>
    <s v="Compteur 4"/>
    <s v="Compteur_4"/>
    <x v="1"/>
    <d v="1899-12-30T00:00:00"/>
    <d v="1899-12-30T00:00:00"/>
    <n v="1"/>
    <e v="#VALUE!"/>
    <n v="0"/>
    <e v="#VALUE!"/>
    <s v=""/>
    <e v="#VALUE!"/>
    <n v="0"/>
    <e v="#VALUE!"/>
    <e v="#VALUE!"/>
    <s v=""/>
    <s v=""/>
    <s v=""/>
    <n v="0"/>
    <x v="2"/>
    <x v="5"/>
    <x v="1"/>
    <x v="1"/>
    <n v="18.8"/>
  </r>
  <r>
    <d v="2022-08-01T00:00:00"/>
    <x v="152"/>
    <x v="8"/>
    <x v="13"/>
    <s v="Compteur 4"/>
    <s v="Compteur_4"/>
    <x v="1"/>
    <d v="1899-12-30T00:00:00"/>
    <d v="1899-12-30T00:00:00"/>
    <n v="1"/>
    <e v="#VALUE!"/>
    <n v="0"/>
    <e v="#VALUE!"/>
    <s v=""/>
    <e v="#VALUE!"/>
    <n v="0"/>
    <e v="#VALUE!"/>
    <e v="#VALUE!"/>
    <s v=""/>
    <s v=""/>
    <s v=""/>
    <n v="0"/>
    <x v="2"/>
    <x v="5"/>
    <x v="1"/>
    <x v="1"/>
    <n v="10.7"/>
  </r>
  <r>
    <d v="2022-09-01T00:00:00"/>
    <x v="153"/>
    <x v="9"/>
    <x v="13"/>
    <s v="Compteur 4"/>
    <s v="Compteur_4"/>
    <x v="1"/>
    <d v="1899-12-30T00:00:00"/>
    <d v="1899-12-30T00:00:00"/>
    <n v="1"/>
    <e v="#VALUE!"/>
    <n v="0"/>
    <e v="#VALUE!"/>
    <s v=""/>
    <e v="#VALUE!"/>
    <n v="0"/>
    <e v="#VALUE!"/>
    <e v="#VALUE!"/>
    <s v=""/>
    <s v=""/>
    <s v=""/>
    <n v="0"/>
    <x v="2"/>
    <x v="5"/>
    <x v="1"/>
    <x v="1"/>
    <n v="74.7"/>
  </r>
  <r>
    <d v="2022-10-01T00:00:00"/>
    <x v="154"/>
    <x v="10"/>
    <x v="13"/>
    <s v="Compteur 4"/>
    <s v="Compteur_4"/>
    <x v="1"/>
    <d v="1899-12-30T00:00:00"/>
    <d v="1899-12-30T00:00:00"/>
    <n v="1"/>
    <e v="#VALUE!"/>
    <n v="0"/>
    <e v="#VALUE!"/>
    <s v=""/>
    <e v="#VALUE!"/>
    <n v="0"/>
    <e v="#VALUE!"/>
    <e v="#VALUE!"/>
    <s v=""/>
    <s v=""/>
    <s v=""/>
    <n v="0"/>
    <x v="2"/>
    <x v="5"/>
    <x v="1"/>
    <x v="1"/>
    <n v="73"/>
  </r>
  <r>
    <d v="2022-11-01T00:00:00"/>
    <x v="155"/>
    <x v="11"/>
    <x v="13"/>
    <s v="Compteur 4"/>
    <s v="Compteur_4"/>
    <x v="1"/>
    <d v="1899-12-30T00:00:00"/>
    <d v="1899-12-30T00:00:00"/>
    <n v="1"/>
    <e v="#VALUE!"/>
    <n v="0"/>
    <e v="#VALUE!"/>
    <s v=""/>
    <e v="#VALUE!"/>
    <n v="0"/>
    <e v="#VALUE!"/>
    <e v="#VALUE!"/>
    <s v=""/>
    <s v=""/>
    <s v=""/>
    <n v="0"/>
    <x v="2"/>
    <x v="5"/>
    <x v="1"/>
    <x v="1"/>
    <n v="227.5"/>
  </r>
  <r>
    <d v="2022-12-01T00:00:00"/>
    <x v="156"/>
    <x v="12"/>
    <x v="13"/>
    <s v="Compteur 4"/>
    <s v="Compteur_4"/>
    <x v="1"/>
    <d v="1899-12-30T00:00:00"/>
    <d v="1899-12-30T00:00:00"/>
    <n v="1"/>
    <e v="#VALUE!"/>
    <n v="0"/>
    <e v="#VALUE!"/>
    <s v=""/>
    <e v="#VALUE!"/>
    <n v="0"/>
    <e v="#VALUE!"/>
    <e v="#VALUE!"/>
    <s v=""/>
    <s v=""/>
    <s v=""/>
    <n v="0"/>
    <x v="2"/>
    <x v="5"/>
    <x v="1"/>
    <x v="1"/>
    <n v="380.8"/>
  </r>
  <r>
    <d v="2023-01-01T00:00:00"/>
    <x v="157"/>
    <x v="1"/>
    <x v="14"/>
    <s v="Compteur 4"/>
    <s v="Compteur_4"/>
    <x v="1"/>
    <d v="1899-12-30T00:00:00"/>
    <d v="1899-12-30T00:00:00"/>
    <n v="1"/>
    <e v="#VALUE!"/>
    <n v="0"/>
    <e v="#VALUE!"/>
    <s v=""/>
    <e v="#VALUE!"/>
    <n v="0"/>
    <e v="#VALUE!"/>
    <e v="#VALUE!"/>
    <s v=""/>
    <s v=""/>
    <s v=""/>
    <n v="0"/>
    <x v="2"/>
    <x v="5"/>
    <x v="1"/>
    <x v="1"/>
    <n v="356.1"/>
  </r>
  <r>
    <d v="2023-02-01T00:00:00"/>
    <x v="158"/>
    <x v="2"/>
    <x v="14"/>
    <s v="Compteur 4"/>
    <s v="Compteur_4"/>
    <x v="1"/>
    <d v="1899-12-30T00:00:00"/>
    <d v="1899-12-30T00:00:00"/>
    <n v="1"/>
    <e v="#VALUE!"/>
    <n v="0"/>
    <e v="#VALUE!"/>
    <s v=""/>
    <e v="#VALUE!"/>
    <n v="0"/>
    <e v="#VALUE!"/>
    <e v="#VALUE!"/>
    <s v=""/>
    <s v=""/>
    <s v=""/>
    <n v="0"/>
    <x v="2"/>
    <x v="5"/>
    <x v="1"/>
    <x v="1"/>
    <n v="314.10000000000002"/>
  </r>
  <r>
    <d v="2023-03-01T00:00:00"/>
    <x v="159"/>
    <x v="3"/>
    <x v="14"/>
    <s v="Compteur 4"/>
    <s v="Compteur_4"/>
    <x v="1"/>
    <d v="1899-12-30T00:00:00"/>
    <d v="1899-12-30T00:00:00"/>
    <n v="1"/>
    <e v="#VALUE!"/>
    <n v="0"/>
    <e v="#VALUE!"/>
    <s v=""/>
    <e v="#VALUE!"/>
    <n v="0"/>
    <e v="#VALUE!"/>
    <e v="#VALUE!"/>
    <s v=""/>
    <s v=""/>
    <s v=""/>
    <n v="0"/>
    <x v="2"/>
    <x v="5"/>
    <x v="1"/>
    <x v="1"/>
    <n v="251.3"/>
  </r>
  <r>
    <d v="2023-04-01T00:00:00"/>
    <x v="160"/>
    <x v="4"/>
    <x v="14"/>
    <s v="Compteur 4"/>
    <s v="Compteur_4"/>
    <x v="1"/>
    <d v="1899-12-30T00:00:00"/>
    <d v="1899-12-30T00:00:00"/>
    <n v="1"/>
    <e v="#VALUE!"/>
    <n v="0"/>
    <e v="#VALUE!"/>
    <s v=""/>
    <e v="#VALUE!"/>
    <n v="0"/>
    <e v="#VALUE!"/>
    <e v="#VALUE!"/>
    <s v=""/>
    <s v=""/>
    <s v=""/>
    <n v="0"/>
    <x v="2"/>
    <x v="5"/>
    <x v="1"/>
    <x v="1"/>
    <n v="198"/>
  </r>
  <r>
    <d v="2023-05-01T00:00:00"/>
    <x v="161"/>
    <x v="5"/>
    <x v="14"/>
    <s v="Compteur 4"/>
    <s v="Compteur_4"/>
    <x v="1"/>
    <d v="1899-12-30T00:00:00"/>
    <d v="1899-12-30T00:00:00"/>
    <n v="1"/>
    <e v="#VALUE!"/>
    <n v="0"/>
    <e v="#VALUE!"/>
    <s v=""/>
    <e v="#VALUE!"/>
    <n v="0"/>
    <e v="#VALUE!"/>
    <e v="#VALUE!"/>
    <s v=""/>
    <s v=""/>
    <s v=""/>
    <n v="0"/>
    <x v="2"/>
    <x v="5"/>
    <x v="1"/>
    <x v="1"/>
    <n v="86.4"/>
  </r>
  <r>
    <d v="2023-06-01T00:00:00"/>
    <x v="162"/>
    <x v="6"/>
    <x v="14"/>
    <s v="Compteur 4"/>
    <s v="Compteur_4"/>
    <x v="1"/>
    <d v="1899-12-30T00:00:00"/>
    <d v="1899-12-30T00:00:00"/>
    <n v="1"/>
    <e v="#VALUE!"/>
    <n v="0"/>
    <e v="#VALUE!"/>
    <s v=""/>
    <e v="#VALUE!"/>
    <n v="0"/>
    <e v="#VALUE!"/>
    <e v="#VALUE!"/>
    <s v=""/>
    <s v=""/>
    <s v=""/>
    <n v="0"/>
    <x v="2"/>
    <x v="5"/>
    <x v="1"/>
    <x v="1"/>
    <n v="17.3"/>
  </r>
  <r>
    <d v="2023-07-01T00:00:00"/>
    <x v="163"/>
    <x v="7"/>
    <x v="14"/>
    <s v="Compteur 4"/>
    <s v="Compteur_4"/>
    <x v="1"/>
    <d v="1899-12-30T00:00:00"/>
    <d v="1899-12-30T00:00:00"/>
    <n v="1"/>
    <e v="#VALUE!"/>
    <n v="0"/>
    <e v="#VALUE!"/>
    <s v=""/>
    <e v="#VALUE!"/>
    <n v="0"/>
    <e v="#VALUE!"/>
    <e v="#VALUE!"/>
    <s v=""/>
    <s v=""/>
    <s v=""/>
    <n v="0"/>
    <x v="2"/>
    <x v="5"/>
    <x v="1"/>
    <x v="1"/>
    <n v="24.1"/>
  </r>
  <r>
    <d v="2023-08-01T00:00:00"/>
    <x v="164"/>
    <x v="8"/>
    <x v="14"/>
    <s v="Compteur 4"/>
    <s v="Compteur_4"/>
    <x v="1"/>
    <d v="1899-12-30T00:00:00"/>
    <d v="1899-12-30T00:00:00"/>
    <n v="1"/>
    <e v="#VALUE!"/>
    <n v="0"/>
    <e v="#VALUE!"/>
    <s v=""/>
    <e v="#VALUE!"/>
    <n v="0"/>
    <e v="#VALUE!"/>
    <e v="#VALUE!"/>
    <s v=""/>
    <s v=""/>
    <s v=""/>
    <n v="0"/>
    <x v="2"/>
    <x v="5"/>
    <x v="1"/>
    <x v="1"/>
    <n v="27.9"/>
  </r>
  <r>
    <d v="2023-09-01T00:00:00"/>
    <x v="165"/>
    <x v="9"/>
    <x v="14"/>
    <s v="Compteur 4"/>
    <s v="Compteur_4"/>
    <x v="1"/>
    <d v="1899-12-30T00:00:00"/>
    <d v="1899-12-30T00:00:00"/>
    <n v="1"/>
    <e v="#VALUE!"/>
    <n v="0"/>
    <e v="#VALUE!"/>
    <s v=""/>
    <e v="#VALUE!"/>
    <n v="0"/>
    <e v="#VALUE!"/>
    <e v="#VALUE!"/>
    <s v=""/>
    <s v=""/>
    <s v=""/>
    <n v="0"/>
    <x v="2"/>
    <x v="5"/>
    <x v="1"/>
    <x v="1"/>
    <n v="30.5"/>
  </r>
  <r>
    <d v="2023-10-01T00:00:00"/>
    <x v="166"/>
    <x v="10"/>
    <x v="14"/>
    <s v="Compteur 4"/>
    <s v="Compteur_4"/>
    <x v="1"/>
    <d v="1899-12-30T00:00:00"/>
    <d v="1899-12-30T00:00:00"/>
    <n v="1"/>
    <e v="#VALUE!"/>
    <n v="0"/>
    <e v="#VALUE!"/>
    <s v=""/>
    <e v="#VALUE!"/>
    <n v="0"/>
    <e v="#VALUE!"/>
    <e v="#VALUE!"/>
    <s v=""/>
    <s v=""/>
    <s v=""/>
    <n v="0"/>
    <x v="2"/>
    <x v="5"/>
    <x v="1"/>
    <x v="1"/>
    <n v="115.8"/>
  </r>
  <r>
    <d v="2023-11-01T00:00:00"/>
    <x v="167"/>
    <x v="11"/>
    <x v="14"/>
    <s v="Compteur 4"/>
    <s v="Compteur_4"/>
    <x v="1"/>
    <d v="1899-12-30T00:00:00"/>
    <d v="1899-12-30T00:00:00"/>
    <n v="1"/>
    <e v="#VALUE!"/>
    <n v="0"/>
    <e v="#VALUE!"/>
    <s v=""/>
    <e v="#VALUE!"/>
    <n v="0"/>
    <e v="#VALUE!"/>
    <e v="#VALUE!"/>
    <s v=""/>
    <s v=""/>
    <s v=""/>
    <n v="0"/>
    <x v="2"/>
    <x v="5"/>
    <x v="1"/>
    <x v="1"/>
    <n v="239.8"/>
  </r>
  <r>
    <d v="2023-12-01T00:00:00"/>
    <x v="168"/>
    <x v="12"/>
    <x v="14"/>
    <s v="Compteur 4"/>
    <s v="Compteur_4"/>
    <x v="1"/>
    <d v="1899-12-30T00:00:00"/>
    <d v="1899-12-30T00:00:00"/>
    <n v="1"/>
    <e v="#VALUE!"/>
    <n v="0"/>
    <e v="#VALUE!"/>
    <s v=""/>
    <e v="#VALUE!"/>
    <n v="0"/>
    <e v="#VALUE!"/>
    <e v="#VALUE!"/>
    <s v=""/>
    <s v=""/>
    <s v=""/>
    <n v="0"/>
    <x v="2"/>
    <x v="5"/>
    <x v="1"/>
    <x v="1"/>
    <n v="300.89999999999998"/>
  </r>
  <r>
    <d v="2024-01-01T00:00:00"/>
    <x v="169"/>
    <x v="1"/>
    <x v="15"/>
    <s v="Compteur 4"/>
    <s v="Compteur_4"/>
    <x v="1"/>
    <d v="1899-12-30T00:00:00"/>
    <d v="1899-12-30T00:00:00"/>
    <n v="1"/>
    <e v="#VALUE!"/>
    <n v="0"/>
    <e v="#VALUE!"/>
    <s v=""/>
    <e v="#VALUE!"/>
    <n v="0"/>
    <e v="#VALUE!"/>
    <e v="#VALUE!"/>
    <s v=""/>
    <s v=""/>
    <s v=""/>
    <n v="0"/>
    <x v="2"/>
    <x v="5"/>
    <x v="1"/>
    <x v="1"/>
    <n v="0"/>
  </r>
  <r>
    <d v="2024-02-01T00:00:00"/>
    <x v="170"/>
    <x v="2"/>
    <x v="15"/>
    <s v="Compteur 4"/>
    <s v="Compteur_4"/>
    <x v="1"/>
    <d v="1899-12-30T00:00:00"/>
    <d v="1899-12-30T00:00:00"/>
    <n v="1"/>
    <e v="#VALUE!"/>
    <n v="0"/>
    <e v="#VALUE!"/>
    <s v=""/>
    <e v="#VALUE!"/>
    <n v="0"/>
    <e v="#VALUE!"/>
    <e v="#VALUE!"/>
    <s v=""/>
    <s v=""/>
    <s v=""/>
    <n v="0"/>
    <x v="2"/>
    <x v="5"/>
    <x v="1"/>
    <x v="1"/>
    <n v="0"/>
  </r>
  <r>
    <d v="2024-03-01T00:00:00"/>
    <x v="171"/>
    <x v="3"/>
    <x v="15"/>
    <s v="Compteur 4"/>
    <s v="Compteur_4"/>
    <x v="1"/>
    <d v="1899-12-30T00:00:00"/>
    <d v="1899-12-30T00:00:00"/>
    <n v="1"/>
    <e v="#VALUE!"/>
    <n v="0"/>
    <e v="#VALUE!"/>
    <s v=""/>
    <e v="#VALUE!"/>
    <n v="0"/>
    <e v="#VALUE!"/>
    <e v="#VALUE!"/>
    <s v=""/>
    <s v=""/>
    <s v=""/>
    <n v="0"/>
    <x v="2"/>
    <x v="5"/>
    <x v="1"/>
    <x v="1"/>
    <n v="0"/>
  </r>
  <r>
    <d v="2024-04-01T00:00:00"/>
    <x v="172"/>
    <x v="4"/>
    <x v="15"/>
    <s v="Compteur 4"/>
    <s v="Compteur_4"/>
    <x v="1"/>
    <d v="1899-12-30T00:00:00"/>
    <d v="1899-12-30T00:00:00"/>
    <n v="1"/>
    <e v="#VALUE!"/>
    <n v="0"/>
    <e v="#VALUE!"/>
    <s v=""/>
    <e v="#VALUE!"/>
    <n v="0"/>
    <e v="#VALUE!"/>
    <e v="#VALUE!"/>
    <s v=""/>
    <s v=""/>
    <s v=""/>
    <n v="0"/>
    <x v="2"/>
    <x v="5"/>
    <x v="1"/>
    <x v="1"/>
    <n v="0"/>
  </r>
  <r>
    <d v="2024-05-01T00:00:00"/>
    <x v="173"/>
    <x v="5"/>
    <x v="15"/>
    <s v="Compteur 4"/>
    <s v="Compteur_4"/>
    <x v="1"/>
    <d v="1899-12-30T00:00:00"/>
    <d v="1899-12-30T00:00:00"/>
    <n v="1"/>
    <e v="#VALUE!"/>
    <n v="0"/>
    <e v="#VALUE!"/>
    <s v=""/>
    <e v="#VALUE!"/>
    <n v="0"/>
    <e v="#VALUE!"/>
    <e v="#VALUE!"/>
    <s v=""/>
    <s v=""/>
    <s v=""/>
    <n v="0"/>
    <x v="2"/>
    <x v="5"/>
    <x v="1"/>
    <x v="1"/>
    <n v="0"/>
  </r>
  <r>
    <d v="2024-06-01T00:00:00"/>
    <x v="174"/>
    <x v="6"/>
    <x v="15"/>
    <s v="Compteur 4"/>
    <s v="Compteur_4"/>
    <x v="1"/>
    <d v="1899-12-30T00:00:00"/>
    <d v="1899-12-30T00:00:00"/>
    <n v="1"/>
    <e v="#VALUE!"/>
    <n v="0"/>
    <e v="#VALUE!"/>
    <s v=""/>
    <e v="#VALUE!"/>
    <n v="0"/>
    <e v="#VALUE!"/>
    <e v="#VALUE!"/>
    <s v=""/>
    <s v=""/>
    <s v=""/>
    <n v="0"/>
    <x v="2"/>
    <x v="5"/>
    <x v="1"/>
    <x v="1"/>
    <n v="0"/>
  </r>
  <r>
    <d v="2024-07-01T00:00:00"/>
    <x v="175"/>
    <x v="7"/>
    <x v="15"/>
    <s v="Compteur 4"/>
    <s v="Compteur_4"/>
    <x v="1"/>
    <d v="1899-12-30T00:00:00"/>
    <d v="1899-12-30T00:00:00"/>
    <n v="1"/>
    <e v="#VALUE!"/>
    <n v="0"/>
    <e v="#VALUE!"/>
    <s v=""/>
    <e v="#VALUE!"/>
    <n v="0"/>
    <e v="#VALUE!"/>
    <e v="#VALUE!"/>
    <s v=""/>
    <s v=""/>
    <s v=""/>
    <n v="0"/>
    <x v="2"/>
    <x v="5"/>
    <x v="1"/>
    <x v="1"/>
    <n v="0"/>
  </r>
  <r>
    <d v="2024-08-01T00:00:00"/>
    <x v="176"/>
    <x v="8"/>
    <x v="15"/>
    <s v="Compteur 4"/>
    <s v="Compteur_4"/>
    <x v="1"/>
    <d v="1899-12-30T00:00:00"/>
    <d v="1899-12-30T00:00:00"/>
    <n v="1"/>
    <e v="#VALUE!"/>
    <n v="0"/>
    <e v="#VALUE!"/>
    <s v=""/>
    <e v="#VALUE!"/>
    <n v="0"/>
    <e v="#VALUE!"/>
    <e v="#VALUE!"/>
    <s v=""/>
    <s v=""/>
    <s v=""/>
    <n v="0"/>
    <x v="2"/>
    <x v="5"/>
    <x v="1"/>
    <x v="1"/>
    <n v="0"/>
  </r>
  <r>
    <d v="2024-09-01T00:00:00"/>
    <x v="177"/>
    <x v="9"/>
    <x v="15"/>
    <s v="Compteur 4"/>
    <s v="Compteur_4"/>
    <x v="1"/>
    <d v="1899-12-30T00:00:00"/>
    <d v="1899-12-30T00:00:00"/>
    <n v="1"/>
    <e v="#VALUE!"/>
    <n v="0"/>
    <e v="#VALUE!"/>
    <s v=""/>
    <e v="#VALUE!"/>
    <n v="0"/>
    <e v="#VALUE!"/>
    <e v="#VALUE!"/>
    <s v=""/>
    <s v=""/>
    <s v=""/>
    <n v="0"/>
    <x v="2"/>
    <x v="5"/>
    <x v="1"/>
    <x v="1"/>
    <n v="0"/>
  </r>
  <r>
    <d v="2024-10-01T00:00:00"/>
    <x v="178"/>
    <x v="10"/>
    <x v="15"/>
    <s v="Compteur 4"/>
    <s v="Compteur_4"/>
    <x v="1"/>
    <d v="1899-12-30T00:00:00"/>
    <d v="1899-12-30T00:00:00"/>
    <n v="1"/>
    <e v="#VALUE!"/>
    <n v="0"/>
    <e v="#VALUE!"/>
    <s v=""/>
    <e v="#VALUE!"/>
    <n v="0"/>
    <e v="#VALUE!"/>
    <e v="#VALUE!"/>
    <s v=""/>
    <s v=""/>
    <s v=""/>
    <n v="0"/>
    <x v="2"/>
    <x v="5"/>
    <x v="1"/>
    <x v="1"/>
    <n v="0"/>
  </r>
  <r>
    <d v="2024-11-01T00:00:00"/>
    <x v="179"/>
    <x v="11"/>
    <x v="15"/>
    <s v="Compteur 4"/>
    <s v="Compteur_4"/>
    <x v="1"/>
    <d v="1899-12-30T00:00:00"/>
    <d v="1899-12-30T00:00:00"/>
    <n v="1"/>
    <e v="#VALUE!"/>
    <n v="0"/>
    <e v="#VALUE!"/>
    <s v=""/>
    <e v="#VALUE!"/>
    <n v="0"/>
    <e v="#VALUE!"/>
    <e v="#VALUE!"/>
    <s v=""/>
    <s v=""/>
    <s v=""/>
    <n v="0"/>
    <x v="2"/>
    <x v="5"/>
    <x v="1"/>
    <x v="1"/>
    <n v="0"/>
  </r>
  <r>
    <d v="2024-12-01T00:00:00"/>
    <x v="180"/>
    <x v="12"/>
    <x v="15"/>
    <s v="Compteur 4"/>
    <s v="Compteur_4"/>
    <x v="1"/>
    <d v="1899-12-30T00:00:00"/>
    <d v="1899-12-30T00:00:00"/>
    <n v="1"/>
    <e v="#VALUE!"/>
    <n v="0"/>
    <e v="#VALUE!"/>
    <s v=""/>
    <e v="#VALUE!"/>
    <n v="0"/>
    <e v="#VALUE!"/>
    <e v="#VALUE!"/>
    <s v=""/>
    <s v=""/>
    <s v=""/>
    <n v="0"/>
    <x v="2"/>
    <x v="5"/>
    <x v="1"/>
    <x v="1"/>
    <n v="0"/>
  </r>
  <r>
    <d v="2025-01-01T00:00:00"/>
    <x v="181"/>
    <x v="1"/>
    <x v="16"/>
    <s v="Compteur 4"/>
    <s v="Compteur_4"/>
    <x v="1"/>
    <d v="1899-12-30T00:00:00"/>
    <d v="1899-12-30T00:00:00"/>
    <n v="1"/>
    <e v="#VALUE!"/>
    <n v="0"/>
    <e v="#VALUE!"/>
    <s v=""/>
    <e v="#VALUE!"/>
    <n v="0"/>
    <e v="#VALUE!"/>
    <e v="#VALUE!"/>
    <s v=""/>
    <s v=""/>
    <s v=""/>
    <n v="0"/>
    <x v="2"/>
    <x v="5"/>
    <x v="1"/>
    <x v="1"/>
    <n v="0"/>
  </r>
  <r>
    <d v="2025-02-01T00:00:00"/>
    <x v="182"/>
    <x v="2"/>
    <x v="16"/>
    <s v="Compteur 4"/>
    <s v="Compteur_4"/>
    <x v="1"/>
    <d v="1899-12-30T00:00:00"/>
    <d v="1899-12-30T00:00:00"/>
    <n v="1"/>
    <e v="#VALUE!"/>
    <n v="0"/>
    <e v="#VALUE!"/>
    <s v=""/>
    <e v="#VALUE!"/>
    <n v="0"/>
    <e v="#VALUE!"/>
    <e v="#VALUE!"/>
    <s v=""/>
    <s v=""/>
    <s v=""/>
    <n v="0"/>
    <x v="2"/>
    <x v="5"/>
    <x v="1"/>
    <x v="1"/>
    <n v="0"/>
  </r>
  <r>
    <d v="2025-03-01T00:00:00"/>
    <x v="183"/>
    <x v="3"/>
    <x v="16"/>
    <s v="Compteur 4"/>
    <s v="Compteur_4"/>
    <x v="1"/>
    <d v="1899-12-30T00:00:00"/>
    <d v="1899-12-30T00:00:00"/>
    <n v="1"/>
    <e v="#VALUE!"/>
    <n v="0"/>
    <e v="#VALUE!"/>
    <s v=""/>
    <e v="#VALUE!"/>
    <n v="0"/>
    <e v="#VALUE!"/>
    <e v="#VALUE!"/>
    <s v=""/>
    <s v=""/>
    <s v=""/>
    <n v="0"/>
    <x v="2"/>
    <x v="5"/>
    <x v="1"/>
    <x v="1"/>
    <n v="0"/>
  </r>
  <r>
    <d v="2025-04-01T00:00:00"/>
    <x v="184"/>
    <x v="4"/>
    <x v="16"/>
    <s v="Compteur 4"/>
    <s v="Compteur_4"/>
    <x v="1"/>
    <d v="1899-12-30T00:00:00"/>
    <d v="1899-12-30T00:00:00"/>
    <n v="1"/>
    <e v="#VALUE!"/>
    <n v="0"/>
    <e v="#VALUE!"/>
    <s v=""/>
    <e v="#VALUE!"/>
    <n v="0"/>
    <e v="#VALUE!"/>
    <e v="#VALUE!"/>
    <s v=""/>
    <s v=""/>
    <s v=""/>
    <n v="0"/>
    <x v="2"/>
    <x v="5"/>
    <x v="1"/>
    <x v="1"/>
    <n v="0"/>
  </r>
  <r>
    <d v="2025-05-01T00:00:00"/>
    <x v="185"/>
    <x v="5"/>
    <x v="16"/>
    <s v="Compteur 4"/>
    <s v="Compteur_4"/>
    <x v="1"/>
    <d v="1899-12-30T00:00:00"/>
    <d v="1899-12-30T00:00:00"/>
    <n v="1"/>
    <e v="#VALUE!"/>
    <n v="0"/>
    <e v="#VALUE!"/>
    <s v=""/>
    <e v="#VALUE!"/>
    <n v="0"/>
    <e v="#VALUE!"/>
    <e v="#VALUE!"/>
    <s v=""/>
    <s v=""/>
    <s v=""/>
    <n v="0"/>
    <x v="2"/>
    <x v="5"/>
    <x v="1"/>
    <x v="1"/>
    <n v="0"/>
  </r>
  <r>
    <d v="2025-06-01T00:00:00"/>
    <x v="186"/>
    <x v="6"/>
    <x v="16"/>
    <s v="Compteur 4"/>
    <s v="Compteur_4"/>
    <x v="1"/>
    <d v="1899-12-30T00:00:00"/>
    <d v="1899-12-30T00:00:00"/>
    <n v="1"/>
    <e v="#VALUE!"/>
    <n v="0"/>
    <e v="#VALUE!"/>
    <s v=""/>
    <e v="#VALUE!"/>
    <n v="0"/>
    <e v="#VALUE!"/>
    <e v="#VALUE!"/>
    <s v=""/>
    <s v=""/>
    <s v=""/>
    <n v="0"/>
    <x v="2"/>
    <x v="5"/>
    <x v="1"/>
    <x v="1"/>
    <n v="0"/>
  </r>
  <r>
    <d v="2025-07-01T00:00:00"/>
    <x v="187"/>
    <x v="7"/>
    <x v="16"/>
    <s v="Compteur 4"/>
    <s v="Compteur_4"/>
    <x v="1"/>
    <d v="1899-12-30T00:00:00"/>
    <d v="1899-12-30T00:00:00"/>
    <n v="1"/>
    <e v="#VALUE!"/>
    <n v="0"/>
    <e v="#VALUE!"/>
    <s v=""/>
    <e v="#VALUE!"/>
    <n v="0"/>
    <e v="#VALUE!"/>
    <e v="#VALUE!"/>
    <s v=""/>
    <s v=""/>
    <s v=""/>
    <n v="0"/>
    <x v="2"/>
    <x v="5"/>
    <x v="1"/>
    <x v="1"/>
    <n v="0"/>
  </r>
  <r>
    <d v="2025-08-01T00:00:00"/>
    <x v="188"/>
    <x v="8"/>
    <x v="16"/>
    <s v="Compteur 4"/>
    <s v="Compteur_4"/>
    <x v="1"/>
    <d v="1899-12-30T00:00:00"/>
    <d v="1899-12-30T00:00:00"/>
    <n v="1"/>
    <e v="#VALUE!"/>
    <n v="0"/>
    <e v="#VALUE!"/>
    <s v=""/>
    <e v="#VALUE!"/>
    <n v="0"/>
    <e v="#VALUE!"/>
    <e v="#VALUE!"/>
    <s v=""/>
    <s v=""/>
    <s v=""/>
    <n v="0"/>
    <x v="2"/>
    <x v="5"/>
    <x v="1"/>
    <x v="1"/>
    <n v="0"/>
  </r>
  <r>
    <d v="2025-09-01T00:00:00"/>
    <x v="189"/>
    <x v="9"/>
    <x v="16"/>
    <s v="Compteur 4"/>
    <s v="Compteur_4"/>
    <x v="1"/>
    <d v="1899-12-30T00:00:00"/>
    <d v="1899-12-30T00:00:00"/>
    <n v="1"/>
    <e v="#VALUE!"/>
    <n v="0"/>
    <e v="#VALUE!"/>
    <s v=""/>
    <e v="#VALUE!"/>
    <n v="0"/>
    <e v="#VALUE!"/>
    <e v="#VALUE!"/>
    <s v=""/>
    <s v=""/>
    <s v=""/>
    <n v="0"/>
    <x v="2"/>
    <x v="5"/>
    <x v="1"/>
    <x v="1"/>
    <n v="0"/>
  </r>
  <r>
    <d v="2025-10-01T00:00:00"/>
    <x v="190"/>
    <x v="10"/>
    <x v="16"/>
    <s v="Compteur 4"/>
    <s v="Compteur_4"/>
    <x v="1"/>
    <d v="1899-12-30T00:00:00"/>
    <d v="1899-12-30T00:00:00"/>
    <n v="1"/>
    <e v="#VALUE!"/>
    <n v="0"/>
    <e v="#VALUE!"/>
    <s v=""/>
    <e v="#VALUE!"/>
    <n v="0"/>
    <e v="#VALUE!"/>
    <e v="#VALUE!"/>
    <s v=""/>
    <s v=""/>
    <s v=""/>
    <n v="0"/>
    <x v="2"/>
    <x v="5"/>
    <x v="1"/>
    <x v="1"/>
    <n v="0"/>
  </r>
  <r>
    <d v="2025-11-01T00:00:00"/>
    <x v="191"/>
    <x v="11"/>
    <x v="16"/>
    <s v="Compteur 4"/>
    <s v="Compteur_4"/>
    <x v="1"/>
    <d v="1899-12-30T00:00:00"/>
    <d v="1899-12-30T00:00:00"/>
    <n v="1"/>
    <e v="#VALUE!"/>
    <n v="0"/>
    <e v="#VALUE!"/>
    <s v=""/>
    <e v="#VALUE!"/>
    <n v="0"/>
    <e v="#VALUE!"/>
    <e v="#VALUE!"/>
    <s v=""/>
    <s v=""/>
    <s v=""/>
    <n v="0"/>
    <x v="2"/>
    <x v="5"/>
    <x v="1"/>
    <x v="1"/>
    <n v="0"/>
  </r>
  <r>
    <d v="2025-12-01T00:00:00"/>
    <x v="192"/>
    <x v="12"/>
    <x v="16"/>
    <s v="Compteur 4"/>
    <s v="Compteur_4"/>
    <x v="1"/>
    <d v="1899-12-30T00:00:00"/>
    <d v="1899-12-30T00:00:00"/>
    <n v="1"/>
    <e v="#VALUE!"/>
    <n v="0"/>
    <e v="#VALUE!"/>
    <s v=""/>
    <e v="#VALUE!"/>
    <n v="0"/>
    <e v="#VALUE!"/>
    <e v="#VALUE!"/>
    <s v=""/>
    <s v=""/>
    <s v=""/>
    <n v="0"/>
    <x v="2"/>
    <x v="5"/>
    <x v="1"/>
    <x v="1"/>
    <n v="0"/>
  </r>
  <r>
    <d v="2010-01-01T00:00:00"/>
    <x v="1"/>
    <x v="1"/>
    <x v="1"/>
    <s v="Compteur 5"/>
    <s v="Compteur_5"/>
    <x v="1"/>
    <d v="1899-12-30T00:00:00"/>
    <d v="1899-12-30T00:00:00"/>
    <n v="1"/>
    <e v="#VALUE!"/>
    <n v="0"/>
    <e v="#VALUE!"/>
    <s v=""/>
    <e v="#VALUE!"/>
    <n v="0"/>
    <e v="#VALUE!"/>
    <e v="#VALUE!"/>
    <s v=""/>
    <s v=""/>
    <s v=""/>
    <n v="0"/>
    <x v="2"/>
    <x v="5"/>
    <x v="1"/>
    <x v="1"/>
    <n v="487.6"/>
  </r>
  <r>
    <d v="2010-02-01T00:00:00"/>
    <x v="2"/>
    <x v="2"/>
    <x v="1"/>
    <s v="Compteur 5"/>
    <s v="Compteur_5"/>
    <x v="1"/>
    <d v="1899-12-30T00:00:00"/>
    <d v="1899-12-30T00:00:00"/>
    <n v="1"/>
    <e v="#VALUE!"/>
    <n v="0"/>
    <e v="#VALUE!"/>
    <s v=""/>
    <e v="#VALUE!"/>
    <n v="0"/>
    <e v="#VALUE!"/>
    <e v="#VALUE!"/>
    <s v=""/>
    <s v=""/>
    <s v=""/>
    <n v="0"/>
    <x v="2"/>
    <x v="5"/>
    <x v="1"/>
    <x v="1"/>
    <n v="370.3"/>
  </r>
  <r>
    <d v="2010-03-01T00:00:00"/>
    <x v="3"/>
    <x v="3"/>
    <x v="1"/>
    <s v="Compteur 5"/>
    <s v="Compteur_5"/>
    <x v="1"/>
    <d v="1899-12-30T00:00:00"/>
    <d v="1899-12-30T00:00:00"/>
    <n v="1"/>
    <e v="#VALUE!"/>
    <n v="0"/>
    <e v="#VALUE!"/>
    <s v=""/>
    <e v="#VALUE!"/>
    <n v="0"/>
    <e v="#VALUE!"/>
    <e v="#VALUE!"/>
    <s v=""/>
    <s v=""/>
    <s v=""/>
    <n v="0"/>
    <x v="2"/>
    <x v="5"/>
    <x v="1"/>
    <x v="1"/>
    <n v="312.8"/>
  </r>
  <r>
    <d v="2010-04-01T00:00:00"/>
    <x v="4"/>
    <x v="4"/>
    <x v="1"/>
    <s v="Compteur 5"/>
    <s v="Compteur_5"/>
    <x v="1"/>
    <d v="1899-12-30T00:00:00"/>
    <d v="1899-12-30T00:00:00"/>
    <n v="1"/>
    <e v="#VALUE!"/>
    <n v="0"/>
    <e v="#VALUE!"/>
    <s v=""/>
    <e v="#VALUE!"/>
    <n v="0"/>
    <e v="#VALUE!"/>
    <e v="#VALUE!"/>
    <s v=""/>
    <s v=""/>
    <s v=""/>
    <n v="0"/>
    <x v="2"/>
    <x v="5"/>
    <x v="1"/>
    <x v="1"/>
    <n v="199.2"/>
  </r>
  <r>
    <d v="2010-05-01T00:00:00"/>
    <x v="5"/>
    <x v="5"/>
    <x v="1"/>
    <s v="Compteur 5"/>
    <s v="Compteur_5"/>
    <x v="1"/>
    <d v="1899-12-30T00:00:00"/>
    <d v="1899-12-30T00:00:00"/>
    <n v="1"/>
    <e v="#VALUE!"/>
    <n v="0"/>
    <e v="#VALUE!"/>
    <s v=""/>
    <e v="#VALUE!"/>
    <n v="0"/>
    <e v="#VALUE!"/>
    <e v="#VALUE!"/>
    <s v=""/>
    <s v=""/>
    <s v=""/>
    <n v="0"/>
    <x v="2"/>
    <x v="5"/>
    <x v="1"/>
    <x v="1"/>
    <n v="155.4"/>
  </r>
  <r>
    <d v="2010-06-01T00:00:00"/>
    <x v="6"/>
    <x v="6"/>
    <x v="1"/>
    <s v="Compteur 5"/>
    <s v="Compteur_5"/>
    <x v="1"/>
    <d v="1899-12-30T00:00:00"/>
    <d v="1899-12-30T00:00:00"/>
    <n v="1"/>
    <e v="#VALUE!"/>
    <n v="0"/>
    <e v="#VALUE!"/>
    <s v=""/>
    <e v="#VALUE!"/>
    <n v="0"/>
    <e v="#VALUE!"/>
    <e v="#VALUE!"/>
    <s v=""/>
    <s v=""/>
    <s v=""/>
    <n v="0"/>
    <x v="2"/>
    <x v="5"/>
    <x v="1"/>
    <x v="1"/>
    <n v="46.7"/>
  </r>
  <r>
    <d v="2010-07-01T00:00:00"/>
    <x v="7"/>
    <x v="7"/>
    <x v="1"/>
    <s v="Compteur 5"/>
    <s v="Compteur_5"/>
    <x v="1"/>
    <d v="1899-12-30T00:00:00"/>
    <d v="1899-12-30T00:00:00"/>
    <n v="1"/>
    <e v="#VALUE!"/>
    <n v="0"/>
    <e v="#VALUE!"/>
    <s v=""/>
    <e v="#VALUE!"/>
    <n v="0"/>
    <e v="#VALUE!"/>
    <e v="#VALUE!"/>
    <s v=""/>
    <s v=""/>
    <s v=""/>
    <n v="0"/>
    <x v="2"/>
    <x v="5"/>
    <x v="1"/>
    <x v="1"/>
    <n v="22.2"/>
  </r>
  <r>
    <d v="2010-08-01T00:00:00"/>
    <x v="8"/>
    <x v="8"/>
    <x v="1"/>
    <s v="Compteur 5"/>
    <s v="Compteur_5"/>
    <x v="1"/>
    <d v="1899-12-30T00:00:00"/>
    <d v="1899-12-30T00:00:00"/>
    <n v="1"/>
    <e v="#VALUE!"/>
    <n v="0"/>
    <e v="#VALUE!"/>
    <s v=""/>
    <e v="#VALUE!"/>
    <n v="0"/>
    <e v="#VALUE!"/>
    <e v="#VALUE!"/>
    <s v=""/>
    <s v=""/>
    <s v=""/>
    <n v="0"/>
    <x v="2"/>
    <x v="5"/>
    <x v="1"/>
    <x v="1"/>
    <n v="41.5"/>
  </r>
  <r>
    <d v="2010-09-01T00:00:00"/>
    <x v="9"/>
    <x v="9"/>
    <x v="1"/>
    <s v="Compteur 5"/>
    <s v="Compteur_5"/>
    <x v="1"/>
    <d v="1899-12-30T00:00:00"/>
    <d v="1899-12-30T00:00:00"/>
    <n v="1"/>
    <e v="#VALUE!"/>
    <n v="0"/>
    <e v="#VALUE!"/>
    <s v=""/>
    <e v="#VALUE!"/>
    <n v="0"/>
    <e v="#VALUE!"/>
    <e v="#VALUE!"/>
    <s v=""/>
    <s v=""/>
    <s v=""/>
    <n v="0"/>
    <x v="2"/>
    <x v="5"/>
    <x v="1"/>
    <x v="1"/>
    <n v="95.4"/>
  </r>
  <r>
    <d v="2010-10-01T00:00:00"/>
    <x v="10"/>
    <x v="10"/>
    <x v="1"/>
    <s v="Compteur 5"/>
    <s v="Compteur_5"/>
    <x v="1"/>
    <d v="1899-12-30T00:00:00"/>
    <d v="1899-12-30T00:00:00"/>
    <n v="1"/>
    <e v="#VALUE!"/>
    <n v="0"/>
    <e v="#VALUE!"/>
    <s v=""/>
    <e v="#VALUE!"/>
    <n v="0"/>
    <e v="#VALUE!"/>
    <e v="#VALUE!"/>
    <s v=""/>
    <s v=""/>
    <s v=""/>
    <n v="0"/>
    <x v="2"/>
    <x v="5"/>
    <x v="1"/>
    <x v="1"/>
    <n v="190.1"/>
  </r>
  <r>
    <d v="2010-11-01T00:00:00"/>
    <x v="11"/>
    <x v="11"/>
    <x v="1"/>
    <s v="Compteur 5"/>
    <s v="Compteur_5"/>
    <x v="1"/>
    <d v="1899-12-30T00:00:00"/>
    <d v="1899-12-30T00:00:00"/>
    <n v="1"/>
    <e v="#VALUE!"/>
    <n v="0"/>
    <e v="#VALUE!"/>
    <s v=""/>
    <e v="#VALUE!"/>
    <n v="0"/>
    <e v="#VALUE!"/>
    <e v="#VALUE!"/>
    <s v=""/>
    <s v=""/>
    <s v=""/>
    <n v="0"/>
    <x v="2"/>
    <x v="5"/>
    <x v="1"/>
    <x v="1"/>
    <n v="320.89999999999998"/>
  </r>
  <r>
    <d v="2010-12-01T00:00:00"/>
    <x v="12"/>
    <x v="12"/>
    <x v="1"/>
    <s v="Compteur 5"/>
    <s v="Compteur_5"/>
    <x v="1"/>
    <d v="1899-12-30T00:00:00"/>
    <d v="1899-12-30T00:00:00"/>
    <n v="1"/>
    <e v="#VALUE!"/>
    <n v="0"/>
    <e v="#VALUE!"/>
    <s v=""/>
    <e v="#VALUE!"/>
    <n v="0"/>
    <e v="#VALUE!"/>
    <e v="#VALUE!"/>
    <s v=""/>
    <s v=""/>
    <s v=""/>
    <n v="0"/>
    <x v="2"/>
    <x v="5"/>
    <x v="1"/>
    <x v="1"/>
    <n v="500.7"/>
  </r>
  <r>
    <d v="2011-01-01T00:00:00"/>
    <x v="13"/>
    <x v="1"/>
    <x v="2"/>
    <s v="Compteur 5"/>
    <s v="Compteur_5"/>
    <x v="1"/>
    <d v="1899-12-30T00:00:00"/>
    <d v="1899-12-30T00:00:00"/>
    <n v="1"/>
    <e v="#VALUE!"/>
    <n v="0"/>
    <e v="#VALUE!"/>
    <s v=""/>
    <e v="#VALUE!"/>
    <n v="0"/>
    <e v="#VALUE!"/>
    <e v="#VALUE!"/>
    <s v=""/>
    <s v=""/>
    <s v=""/>
    <n v="0"/>
    <x v="2"/>
    <x v="5"/>
    <x v="1"/>
    <x v="1"/>
    <n v="392.2"/>
  </r>
  <r>
    <d v="2011-02-01T00:00:00"/>
    <x v="14"/>
    <x v="2"/>
    <x v="2"/>
    <s v="Compteur 5"/>
    <s v="Compteur_5"/>
    <x v="1"/>
    <d v="1899-12-30T00:00:00"/>
    <d v="1899-12-30T00:00:00"/>
    <n v="1"/>
    <e v="#VALUE!"/>
    <n v="0"/>
    <e v="#VALUE!"/>
    <s v=""/>
    <e v="#VALUE!"/>
    <n v="0"/>
    <e v="#VALUE!"/>
    <e v="#VALUE!"/>
    <s v=""/>
    <s v=""/>
    <s v=""/>
    <n v="0"/>
    <x v="2"/>
    <x v="5"/>
    <x v="1"/>
    <x v="1"/>
    <n v="299.10000000000002"/>
  </r>
  <r>
    <d v="2011-03-01T00:00:00"/>
    <x v="15"/>
    <x v="3"/>
    <x v="2"/>
    <s v="Compteur 5"/>
    <s v="Compteur_5"/>
    <x v="1"/>
    <d v="1899-12-30T00:00:00"/>
    <d v="1899-12-30T00:00:00"/>
    <n v="1"/>
    <e v="#VALUE!"/>
    <n v="0"/>
    <e v="#VALUE!"/>
    <s v=""/>
    <e v="#VALUE!"/>
    <n v="0"/>
    <e v="#VALUE!"/>
    <e v="#VALUE!"/>
    <s v=""/>
    <s v=""/>
    <s v=""/>
    <n v="0"/>
    <x v="2"/>
    <x v="5"/>
    <x v="1"/>
    <x v="1"/>
    <n v="266.5"/>
  </r>
  <r>
    <d v="2011-04-01T00:00:00"/>
    <x v="16"/>
    <x v="4"/>
    <x v="2"/>
    <s v="Compteur 5"/>
    <s v="Compteur_5"/>
    <x v="1"/>
    <d v="1899-12-30T00:00:00"/>
    <d v="1899-12-30T00:00:00"/>
    <n v="1"/>
    <e v="#VALUE!"/>
    <n v="0"/>
    <e v="#VALUE!"/>
    <s v=""/>
    <e v="#VALUE!"/>
    <n v="0"/>
    <e v="#VALUE!"/>
    <e v="#VALUE!"/>
    <s v=""/>
    <s v=""/>
    <s v=""/>
    <n v="0"/>
    <x v="2"/>
    <x v="5"/>
    <x v="1"/>
    <x v="1"/>
    <n v="136.19999999999999"/>
  </r>
  <r>
    <d v="2011-05-01T00:00:00"/>
    <x v="17"/>
    <x v="5"/>
    <x v="2"/>
    <s v="Compteur 5"/>
    <s v="Compteur_5"/>
    <x v="1"/>
    <d v="1899-12-30T00:00:00"/>
    <d v="1899-12-30T00:00:00"/>
    <n v="1"/>
    <e v="#VALUE!"/>
    <n v="0"/>
    <e v="#VALUE!"/>
    <s v=""/>
    <e v="#VALUE!"/>
    <n v="0"/>
    <e v="#VALUE!"/>
    <e v="#VALUE!"/>
    <s v=""/>
    <s v=""/>
    <s v=""/>
    <n v="0"/>
    <x v="2"/>
    <x v="5"/>
    <x v="1"/>
    <x v="1"/>
    <n v="91.9"/>
  </r>
  <r>
    <d v="2011-06-01T00:00:00"/>
    <x v="18"/>
    <x v="6"/>
    <x v="2"/>
    <s v="Compteur 5"/>
    <s v="Compteur_5"/>
    <x v="1"/>
    <d v="1899-12-30T00:00:00"/>
    <d v="1899-12-30T00:00:00"/>
    <n v="1"/>
    <e v="#VALUE!"/>
    <n v="0"/>
    <e v="#VALUE!"/>
    <s v=""/>
    <e v="#VALUE!"/>
    <n v="0"/>
    <e v="#VALUE!"/>
    <e v="#VALUE!"/>
    <s v=""/>
    <s v=""/>
    <s v=""/>
    <n v="0"/>
    <x v="2"/>
    <x v="5"/>
    <x v="1"/>
    <x v="1"/>
    <n v="55.8"/>
  </r>
  <r>
    <d v="2011-07-01T00:00:00"/>
    <x v="19"/>
    <x v="7"/>
    <x v="2"/>
    <s v="Compteur 5"/>
    <s v="Compteur_5"/>
    <x v="1"/>
    <d v="1899-12-30T00:00:00"/>
    <d v="1899-12-30T00:00:00"/>
    <n v="1"/>
    <e v="#VALUE!"/>
    <n v="0"/>
    <e v="#VALUE!"/>
    <s v=""/>
    <e v="#VALUE!"/>
    <n v="0"/>
    <e v="#VALUE!"/>
    <e v="#VALUE!"/>
    <s v=""/>
    <s v=""/>
    <s v=""/>
    <n v="0"/>
    <x v="2"/>
    <x v="5"/>
    <x v="1"/>
    <x v="1"/>
    <n v="50.8"/>
  </r>
  <r>
    <d v="2011-08-01T00:00:00"/>
    <x v="20"/>
    <x v="8"/>
    <x v="2"/>
    <s v="Compteur 5"/>
    <s v="Compteur_5"/>
    <x v="1"/>
    <d v="1899-12-30T00:00:00"/>
    <d v="1899-12-30T00:00:00"/>
    <n v="1"/>
    <e v="#VALUE!"/>
    <n v="0"/>
    <e v="#VALUE!"/>
    <s v=""/>
    <e v="#VALUE!"/>
    <n v="0"/>
    <e v="#VALUE!"/>
    <e v="#VALUE!"/>
    <s v=""/>
    <s v=""/>
    <s v=""/>
    <n v="0"/>
    <x v="2"/>
    <x v="5"/>
    <x v="1"/>
    <x v="1"/>
    <n v="34.700000000000003"/>
  </r>
  <r>
    <d v="2011-09-01T00:00:00"/>
    <x v="21"/>
    <x v="9"/>
    <x v="2"/>
    <s v="Compteur 5"/>
    <s v="Compteur_5"/>
    <x v="1"/>
    <d v="1899-12-30T00:00:00"/>
    <d v="1899-12-30T00:00:00"/>
    <n v="1"/>
    <e v="#VALUE!"/>
    <n v="0"/>
    <e v="#VALUE!"/>
    <s v=""/>
    <e v="#VALUE!"/>
    <n v="0"/>
    <e v="#VALUE!"/>
    <e v="#VALUE!"/>
    <s v=""/>
    <s v=""/>
    <s v=""/>
    <n v="0"/>
    <x v="2"/>
    <x v="5"/>
    <x v="1"/>
    <x v="1"/>
    <n v="51.3"/>
  </r>
  <r>
    <d v="2011-10-01T00:00:00"/>
    <x v="22"/>
    <x v="10"/>
    <x v="2"/>
    <s v="Compteur 5"/>
    <s v="Compteur_5"/>
    <x v="1"/>
    <d v="1899-12-30T00:00:00"/>
    <d v="1899-12-30T00:00:00"/>
    <n v="1"/>
    <e v="#VALUE!"/>
    <n v="0"/>
    <e v="#VALUE!"/>
    <s v=""/>
    <e v="#VALUE!"/>
    <n v="0"/>
    <e v="#VALUE!"/>
    <e v="#VALUE!"/>
    <s v=""/>
    <s v=""/>
    <s v=""/>
    <n v="0"/>
    <x v="2"/>
    <x v="5"/>
    <x v="1"/>
    <x v="1"/>
    <n v="145.6"/>
  </r>
  <r>
    <d v="2011-11-01T00:00:00"/>
    <x v="23"/>
    <x v="11"/>
    <x v="2"/>
    <s v="Compteur 5"/>
    <s v="Compteur_5"/>
    <x v="1"/>
    <d v="1899-12-30T00:00:00"/>
    <d v="1899-12-30T00:00:00"/>
    <n v="1"/>
    <e v="#VALUE!"/>
    <n v="0"/>
    <e v="#VALUE!"/>
    <s v=""/>
    <e v="#VALUE!"/>
    <n v="0"/>
    <e v="#VALUE!"/>
    <e v="#VALUE!"/>
    <s v=""/>
    <s v=""/>
    <s v=""/>
    <n v="0"/>
    <x v="2"/>
    <x v="5"/>
    <x v="1"/>
    <x v="1"/>
    <n v="205.3"/>
  </r>
  <r>
    <d v="2011-12-01T00:00:00"/>
    <x v="24"/>
    <x v="12"/>
    <x v="2"/>
    <s v="Compteur 5"/>
    <s v="Compteur_5"/>
    <x v="1"/>
    <d v="1899-12-30T00:00:00"/>
    <d v="1899-12-30T00:00:00"/>
    <n v="1"/>
    <e v="#VALUE!"/>
    <n v="0"/>
    <e v="#VALUE!"/>
    <s v=""/>
    <e v="#VALUE!"/>
    <n v="0"/>
    <e v="#VALUE!"/>
    <e v="#VALUE!"/>
    <s v=""/>
    <s v=""/>
    <s v=""/>
    <n v="0"/>
    <x v="2"/>
    <x v="5"/>
    <x v="1"/>
    <x v="1"/>
    <n v="307.5"/>
  </r>
  <r>
    <d v="2012-01-01T00:00:00"/>
    <x v="25"/>
    <x v="1"/>
    <x v="3"/>
    <s v="Compteur 5"/>
    <s v="Compteur_5"/>
    <x v="1"/>
    <d v="1899-12-30T00:00:00"/>
    <d v="1899-12-30T00:00:00"/>
    <n v="1"/>
    <e v="#VALUE!"/>
    <n v="0"/>
    <e v="#VALUE!"/>
    <s v=""/>
    <e v="#VALUE!"/>
    <n v="0"/>
    <e v="#VALUE!"/>
    <e v="#VALUE!"/>
    <s v=""/>
    <s v=""/>
    <s v=""/>
    <n v="0"/>
    <x v="2"/>
    <x v="5"/>
    <x v="1"/>
    <x v="1"/>
    <n v="348.8"/>
  </r>
  <r>
    <d v="2012-02-01T00:00:00"/>
    <x v="26"/>
    <x v="2"/>
    <x v="3"/>
    <s v="Compteur 5"/>
    <s v="Compteur_5"/>
    <x v="1"/>
    <d v="1899-12-30T00:00:00"/>
    <d v="1899-12-30T00:00:00"/>
    <n v="1"/>
    <e v="#VALUE!"/>
    <n v="0"/>
    <e v="#VALUE!"/>
    <s v=""/>
    <e v="#VALUE!"/>
    <n v="0"/>
    <e v="#VALUE!"/>
    <e v="#VALUE!"/>
    <s v=""/>
    <s v=""/>
    <s v=""/>
    <n v="0"/>
    <x v="2"/>
    <x v="5"/>
    <x v="1"/>
    <x v="1"/>
    <n v="469.8"/>
  </r>
  <r>
    <d v="2012-03-01T00:00:00"/>
    <x v="27"/>
    <x v="3"/>
    <x v="3"/>
    <s v="Compteur 5"/>
    <s v="Compteur_5"/>
    <x v="1"/>
    <d v="1899-12-30T00:00:00"/>
    <d v="1899-12-30T00:00:00"/>
    <n v="1"/>
    <e v="#VALUE!"/>
    <n v="0"/>
    <e v="#VALUE!"/>
    <s v=""/>
    <e v="#VALUE!"/>
    <n v="0"/>
    <e v="#VALUE!"/>
    <e v="#VALUE!"/>
    <s v=""/>
    <s v=""/>
    <s v=""/>
    <n v="0"/>
    <x v="2"/>
    <x v="5"/>
    <x v="1"/>
    <x v="1"/>
    <n v="247.3"/>
  </r>
  <r>
    <d v="2012-04-01T00:00:00"/>
    <x v="28"/>
    <x v="4"/>
    <x v="3"/>
    <s v="Compteur 5"/>
    <s v="Compteur_5"/>
    <x v="1"/>
    <d v="1899-12-30T00:00:00"/>
    <d v="1899-12-30T00:00:00"/>
    <n v="1"/>
    <e v="#VALUE!"/>
    <n v="0"/>
    <e v="#VALUE!"/>
    <s v=""/>
    <e v="#VALUE!"/>
    <n v="0"/>
    <e v="#VALUE!"/>
    <e v="#VALUE!"/>
    <s v=""/>
    <s v=""/>
    <s v=""/>
    <n v="0"/>
    <x v="2"/>
    <x v="5"/>
    <x v="1"/>
    <x v="1"/>
    <n v="253.8"/>
  </r>
  <r>
    <d v="2012-05-01T00:00:00"/>
    <x v="29"/>
    <x v="5"/>
    <x v="3"/>
    <s v="Compteur 5"/>
    <s v="Compteur_5"/>
    <x v="1"/>
    <d v="1899-12-30T00:00:00"/>
    <d v="1899-12-30T00:00:00"/>
    <n v="1"/>
    <e v="#VALUE!"/>
    <n v="0"/>
    <e v="#VALUE!"/>
    <s v=""/>
    <e v="#VALUE!"/>
    <n v="0"/>
    <e v="#VALUE!"/>
    <e v="#VALUE!"/>
    <s v=""/>
    <s v=""/>
    <s v=""/>
    <n v="0"/>
    <x v="2"/>
    <x v="5"/>
    <x v="1"/>
    <x v="1"/>
    <n v="113.8"/>
  </r>
  <r>
    <d v="2012-06-01T00:00:00"/>
    <x v="30"/>
    <x v="6"/>
    <x v="3"/>
    <s v="Compteur 5"/>
    <s v="Compteur_5"/>
    <x v="1"/>
    <d v="1899-12-30T00:00:00"/>
    <d v="1899-12-30T00:00:00"/>
    <n v="1"/>
    <e v="#VALUE!"/>
    <n v="0"/>
    <e v="#VALUE!"/>
    <s v=""/>
    <e v="#VALUE!"/>
    <n v="0"/>
    <e v="#VALUE!"/>
    <e v="#VALUE!"/>
    <s v=""/>
    <s v=""/>
    <s v=""/>
    <n v="0"/>
    <x v="2"/>
    <x v="5"/>
    <x v="1"/>
    <x v="1"/>
    <n v="59.4"/>
  </r>
  <r>
    <d v="2012-07-01T00:00:00"/>
    <x v="31"/>
    <x v="7"/>
    <x v="3"/>
    <s v="Compteur 5"/>
    <s v="Compteur_5"/>
    <x v="1"/>
    <d v="1899-12-30T00:00:00"/>
    <d v="1899-12-30T00:00:00"/>
    <n v="1"/>
    <e v="#VALUE!"/>
    <n v="0"/>
    <e v="#VALUE!"/>
    <s v=""/>
    <e v="#VALUE!"/>
    <n v="0"/>
    <e v="#VALUE!"/>
    <e v="#VALUE!"/>
    <s v=""/>
    <s v=""/>
    <s v=""/>
    <n v="0"/>
    <x v="2"/>
    <x v="5"/>
    <x v="1"/>
    <x v="1"/>
    <n v="48.9"/>
  </r>
  <r>
    <d v="2012-08-01T00:00:00"/>
    <x v="32"/>
    <x v="8"/>
    <x v="3"/>
    <s v="Compteur 5"/>
    <s v="Compteur_5"/>
    <x v="1"/>
    <d v="1899-12-30T00:00:00"/>
    <d v="1899-12-30T00:00:00"/>
    <n v="1"/>
    <e v="#VALUE!"/>
    <n v="0"/>
    <e v="#VALUE!"/>
    <s v=""/>
    <e v="#VALUE!"/>
    <n v="0"/>
    <e v="#VALUE!"/>
    <e v="#VALUE!"/>
    <s v=""/>
    <s v=""/>
    <s v=""/>
    <n v="0"/>
    <x v="2"/>
    <x v="5"/>
    <x v="1"/>
    <x v="1"/>
    <n v="28.8"/>
  </r>
  <r>
    <d v="2012-09-01T00:00:00"/>
    <x v="33"/>
    <x v="9"/>
    <x v="3"/>
    <s v="Compteur 5"/>
    <s v="Compteur_5"/>
    <x v="1"/>
    <d v="1899-12-30T00:00:00"/>
    <d v="1899-12-30T00:00:00"/>
    <n v="1"/>
    <e v="#VALUE!"/>
    <n v="0"/>
    <e v="#VALUE!"/>
    <s v=""/>
    <e v="#VALUE!"/>
    <n v="0"/>
    <e v="#VALUE!"/>
    <e v="#VALUE!"/>
    <s v=""/>
    <s v=""/>
    <s v=""/>
    <n v="0"/>
    <x v="2"/>
    <x v="5"/>
    <x v="1"/>
    <x v="1"/>
    <n v="108.1"/>
  </r>
  <r>
    <d v="2012-10-01T00:00:00"/>
    <x v="34"/>
    <x v="10"/>
    <x v="3"/>
    <s v="Compteur 5"/>
    <s v="Compteur_5"/>
    <x v="1"/>
    <d v="1899-12-30T00:00:00"/>
    <d v="1899-12-30T00:00:00"/>
    <n v="1"/>
    <e v="#VALUE!"/>
    <n v="0"/>
    <e v="#VALUE!"/>
    <s v=""/>
    <e v="#VALUE!"/>
    <n v="0"/>
    <e v="#VALUE!"/>
    <e v="#VALUE!"/>
    <s v=""/>
    <s v=""/>
    <s v=""/>
    <n v="0"/>
    <x v="2"/>
    <x v="5"/>
    <x v="1"/>
    <x v="1"/>
    <n v="161.69999999999999"/>
  </r>
  <r>
    <d v="2012-11-01T00:00:00"/>
    <x v="35"/>
    <x v="11"/>
    <x v="3"/>
    <s v="Compteur 5"/>
    <s v="Compteur_5"/>
    <x v="1"/>
    <d v="1899-12-30T00:00:00"/>
    <d v="1899-12-30T00:00:00"/>
    <n v="1"/>
    <e v="#VALUE!"/>
    <n v="0"/>
    <e v="#VALUE!"/>
    <s v=""/>
    <e v="#VALUE!"/>
    <n v="0"/>
    <e v="#VALUE!"/>
    <e v="#VALUE!"/>
    <s v=""/>
    <s v=""/>
    <s v=""/>
    <n v="0"/>
    <x v="2"/>
    <x v="5"/>
    <x v="1"/>
    <x v="1"/>
    <n v="300.39999999999998"/>
  </r>
  <r>
    <d v="2012-12-01T00:00:00"/>
    <x v="36"/>
    <x v="12"/>
    <x v="3"/>
    <s v="Compteur 5"/>
    <s v="Compteur_5"/>
    <x v="1"/>
    <d v="1899-12-30T00:00:00"/>
    <d v="1899-12-30T00:00:00"/>
    <n v="1"/>
    <e v="#VALUE!"/>
    <n v="0"/>
    <e v="#VALUE!"/>
    <s v=""/>
    <e v="#VALUE!"/>
    <n v="0"/>
    <e v="#VALUE!"/>
    <e v="#VALUE!"/>
    <s v=""/>
    <s v=""/>
    <s v=""/>
    <n v="0"/>
    <x v="2"/>
    <x v="5"/>
    <x v="1"/>
    <x v="1"/>
    <n v="333.7"/>
  </r>
  <r>
    <d v="2013-01-01T00:00:00"/>
    <x v="37"/>
    <x v="1"/>
    <x v="4"/>
    <s v="Compteur 5"/>
    <s v="Compteur_5"/>
    <x v="1"/>
    <d v="1899-12-30T00:00:00"/>
    <d v="1899-12-30T00:00:00"/>
    <n v="1"/>
    <e v="#VALUE!"/>
    <n v="0"/>
    <e v="#VALUE!"/>
    <s v=""/>
    <e v="#VALUE!"/>
    <n v="0"/>
    <e v="#VALUE!"/>
    <e v="#VALUE!"/>
    <s v=""/>
    <s v=""/>
    <s v=""/>
    <n v="0"/>
    <x v="2"/>
    <x v="5"/>
    <x v="1"/>
    <x v="1"/>
    <n v="409.5"/>
  </r>
  <r>
    <d v="2013-02-01T00:00:00"/>
    <x v="38"/>
    <x v="2"/>
    <x v="4"/>
    <s v="Compteur 5"/>
    <s v="Compteur_5"/>
    <x v="1"/>
    <d v="1899-12-30T00:00:00"/>
    <d v="1899-12-30T00:00:00"/>
    <n v="1"/>
    <e v="#VALUE!"/>
    <n v="0"/>
    <e v="#VALUE!"/>
    <s v=""/>
    <e v="#VALUE!"/>
    <n v="0"/>
    <e v="#VALUE!"/>
    <e v="#VALUE!"/>
    <s v=""/>
    <s v=""/>
    <s v=""/>
    <n v="0"/>
    <x v="2"/>
    <x v="5"/>
    <x v="1"/>
    <x v="1"/>
    <n v="389.8"/>
  </r>
  <r>
    <d v="2013-03-01T00:00:00"/>
    <x v="39"/>
    <x v="3"/>
    <x v="4"/>
    <s v="Compteur 5"/>
    <s v="Compteur_5"/>
    <x v="1"/>
    <d v="1899-12-30T00:00:00"/>
    <d v="1899-12-30T00:00:00"/>
    <n v="1"/>
    <e v="#VALUE!"/>
    <n v="0"/>
    <e v="#VALUE!"/>
    <s v=""/>
    <e v="#VALUE!"/>
    <n v="0"/>
    <e v="#VALUE!"/>
    <e v="#VALUE!"/>
    <s v=""/>
    <s v=""/>
    <s v=""/>
    <n v="0"/>
    <x v="2"/>
    <x v="5"/>
    <x v="1"/>
    <x v="1"/>
    <n v="360.4"/>
  </r>
  <r>
    <d v="2013-04-01T00:00:00"/>
    <x v="40"/>
    <x v="4"/>
    <x v="4"/>
    <s v="Compteur 5"/>
    <s v="Compteur_5"/>
    <x v="1"/>
    <d v="1899-12-30T00:00:00"/>
    <d v="1899-12-30T00:00:00"/>
    <n v="1"/>
    <e v="#VALUE!"/>
    <n v="0"/>
    <e v="#VALUE!"/>
    <s v=""/>
    <e v="#VALUE!"/>
    <n v="0"/>
    <e v="#VALUE!"/>
    <e v="#VALUE!"/>
    <s v=""/>
    <s v=""/>
    <s v=""/>
    <n v="0"/>
    <x v="2"/>
    <x v="5"/>
    <x v="1"/>
    <x v="1"/>
    <n v="247.2"/>
  </r>
  <r>
    <d v="2013-05-01T00:00:00"/>
    <x v="41"/>
    <x v="5"/>
    <x v="4"/>
    <s v="Compteur 5"/>
    <s v="Compteur_5"/>
    <x v="1"/>
    <d v="1899-12-30T00:00:00"/>
    <d v="1899-12-30T00:00:00"/>
    <n v="1"/>
    <e v="#VALUE!"/>
    <n v="0"/>
    <e v="#VALUE!"/>
    <s v=""/>
    <e v="#VALUE!"/>
    <n v="0"/>
    <e v="#VALUE!"/>
    <e v="#VALUE!"/>
    <s v=""/>
    <s v=""/>
    <s v=""/>
    <n v="0"/>
    <x v="2"/>
    <x v="5"/>
    <x v="1"/>
    <x v="1"/>
    <n v="175.2"/>
  </r>
  <r>
    <d v="2013-06-01T00:00:00"/>
    <x v="42"/>
    <x v="6"/>
    <x v="4"/>
    <s v="Compteur 5"/>
    <s v="Compteur_5"/>
    <x v="1"/>
    <d v="1899-12-30T00:00:00"/>
    <d v="1899-12-30T00:00:00"/>
    <n v="1"/>
    <e v="#VALUE!"/>
    <n v="0"/>
    <e v="#VALUE!"/>
    <s v=""/>
    <e v="#VALUE!"/>
    <n v="0"/>
    <e v="#VALUE!"/>
    <e v="#VALUE!"/>
    <s v=""/>
    <s v=""/>
    <s v=""/>
    <n v="0"/>
    <x v="2"/>
    <x v="5"/>
    <x v="1"/>
    <x v="1"/>
    <n v="68"/>
  </r>
  <r>
    <d v="2013-07-01T00:00:00"/>
    <x v="43"/>
    <x v="7"/>
    <x v="4"/>
    <s v="Compteur 5"/>
    <s v="Compteur_5"/>
    <x v="1"/>
    <d v="1899-12-30T00:00:00"/>
    <d v="1899-12-30T00:00:00"/>
    <n v="1"/>
    <e v="#VALUE!"/>
    <n v="0"/>
    <e v="#VALUE!"/>
    <s v=""/>
    <e v="#VALUE!"/>
    <n v="0"/>
    <e v="#VALUE!"/>
    <e v="#VALUE!"/>
    <s v=""/>
    <s v=""/>
    <s v=""/>
    <n v="0"/>
    <x v="2"/>
    <x v="5"/>
    <x v="1"/>
    <x v="1"/>
    <n v="13.3"/>
  </r>
  <r>
    <d v="2013-08-01T00:00:00"/>
    <x v="44"/>
    <x v="8"/>
    <x v="4"/>
    <s v="Compteur 5"/>
    <s v="Compteur_5"/>
    <x v="1"/>
    <d v="1899-12-30T00:00:00"/>
    <d v="1899-12-30T00:00:00"/>
    <n v="1"/>
    <e v="#VALUE!"/>
    <n v="0"/>
    <e v="#VALUE!"/>
    <s v=""/>
    <e v="#VALUE!"/>
    <n v="0"/>
    <e v="#VALUE!"/>
    <e v="#VALUE!"/>
    <s v=""/>
    <s v=""/>
    <s v=""/>
    <n v="0"/>
    <x v="2"/>
    <x v="5"/>
    <x v="1"/>
    <x v="1"/>
    <n v="38.5"/>
  </r>
  <r>
    <d v="2013-09-01T00:00:00"/>
    <x v="45"/>
    <x v="9"/>
    <x v="4"/>
    <s v="Compteur 5"/>
    <s v="Compteur_5"/>
    <x v="1"/>
    <d v="1899-12-30T00:00:00"/>
    <d v="1899-12-30T00:00:00"/>
    <n v="1"/>
    <e v="#VALUE!"/>
    <n v="0"/>
    <e v="#VALUE!"/>
    <s v=""/>
    <e v="#VALUE!"/>
    <n v="0"/>
    <e v="#VALUE!"/>
    <e v="#VALUE!"/>
    <s v=""/>
    <s v=""/>
    <s v=""/>
    <n v="0"/>
    <x v="2"/>
    <x v="5"/>
    <x v="1"/>
    <x v="1"/>
    <n v="69.2"/>
  </r>
  <r>
    <d v="2013-10-01T00:00:00"/>
    <x v="46"/>
    <x v="10"/>
    <x v="4"/>
    <s v="Compteur 5"/>
    <s v="Compteur_5"/>
    <x v="1"/>
    <d v="1899-12-30T00:00:00"/>
    <d v="1899-12-30T00:00:00"/>
    <n v="1"/>
    <e v="#VALUE!"/>
    <n v="0"/>
    <e v="#VALUE!"/>
    <s v=""/>
    <e v="#VALUE!"/>
    <n v="0"/>
    <e v="#VALUE!"/>
    <e v="#VALUE!"/>
    <s v=""/>
    <s v=""/>
    <s v=""/>
    <n v="0"/>
    <x v="2"/>
    <x v="5"/>
    <x v="1"/>
    <x v="1"/>
    <n v="122.6"/>
  </r>
  <r>
    <d v="2013-11-01T00:00:00"/>
    <x v="47"/>
    <x v="11"/>
    <x v="4"/>
    <s v="Compteur 5"/>
    <s v="Compteur_5"/>
    <x v="1"/>
    <d v="1899-12-30T00:00:00"/>
    <d v="1899-12-30T00:00:00"/>
    <n v="1"/>
    <e v="#VALUE!"/>
    <n v="0"/>
    <e v="#VALUE!"/>
    <s v=""/>
    <e v="#VALUE!"/>
    <n v="0"/>
    <e v="#VALUE!"/>
    <e v="#VALUE!"/>
    <s v=""/>
    <s v=""/>
    <s v=""/>
    <n v="0"/>
    <x v="2"/>
    <x v="5"/>
    <x v="1"/>
    <x v="1"/>
    <n v="311.10000000000002"/>
  </r>
  <r>
    <d v="2013-12-01T00:00:00"/>
    <x v="48"/>
    <x v="12"/>
    <x v="4"/>
    <s v="Compteur 5"/>
    <s v="Compteur_5"/>
    <x v="1"/>
    <d v="1899-12-30T00:00:00"/>
    <d v="1899-12-30T00:00:00"/>
    <n v="1"/>
    <e v="#VALUE!"/>
    <n v="0"/>
    <e v="#VALUE!"/>
    <s v=""/>
    <e v="#VALUE!"/>
    <n v="0"/>
    <e v="#VALUE!"/>
    <e v="#VALUE!"/>
    <s v=""/>
    <s v=""/>
    <s v=""/>
    <n v="0"/>
    <x v="2"/>
    <x v="5"/>
    <x v="1"/>
    <x v="1"/>
    <n v="380.4"/>
  </r>
  <r>
    <d v="2014-01-01T00:00:00"/>
    <x v="49"/>
    <x v="1"/>
    <x v="5"/>
    <s v="Compteur 5"/>
    <s v="Compteur_5"/>
    <x v="1"/>
    <d v="1899-12-30T00:00:00"/>
    <d v="1899-12-30T00:00:00"/>
    <n v="1"/>
    <e v="#VALUE!"/>
    <n v="0"/>
    <e v="#VALUE!"/>
    <s v=""/>
    <e v="#VALUE!"/>
    <n v="0"/>
    <e v="#VALUE!"/>
    <e v="#VALUE!"/>
    <s v=""/>
    <s v=""/>
    <s v=""/>
    <n v="0"/>
    <x v="2"/>
    <x v="5"/>
    <x v="1"/>
    <x v="1"/>
    <n v="320.5"/>
  </r>
  <r>
    <d v="2014-02-01T00:00:00"/>
    <x v="50"/>
    <x v="2"/>
    <x v="5"/>
    <s v="Compteur 5"/>
    <s v="Compteur_5"/>
    <x v="1"/>
    <d v="1899-12-30T00:00:00"/>
    <d v="1899-12-30T00:00:00"/>
    <n v="1"/>
    <e v="#VALUE!"/>
    <n v="0"/>
    <e v="#VALUE!"/>
    <s v=""/>
    <e v="#VALUE!"/>
    <n v="0"/>
    <e v="#VALUE!"/>
    <e v="#VALUE!"/>
    <s v=""/>
    <s v=""/>
    <s v=""/>
    <n v="0"/>
    <x v="2"/>
    <x v="5"/>
    <x v="1"/>
    <x v="1"/>
    <n v="281.3"/>
  </r>
  <r>
    <d v="2014-03-01T00:00:00"/>
    <x v="51"/>
    <x v="3"/>
    <x v="5"/>
    <s v="Compteur 5"/>
    <s v="Compteur_5"/>
    <x v="1"/>
    <d v="1899-12-30T00:00:00"/>
    <d v="1899-12-30T00:00:00"/>
    <n v="1"/>
    <e v="#VALUE!"/>
    <n v="0"/>
    <e v="#VALUE!"/>
    <s v=""/>
    <e v="#VALUE!"/>
    <n v="0"/>
    <e v="#VALUE!"/>
    <e v="#VALUE!"/>
    <s v=""/>
    <s v=""/>
    <s v=""/>
    <n v="0"/>
    <x v="2"/>
    <x v="5"/>
    <x v="1"/>
    <x v="1"/>
    <n v="263.89999999999998"/>
  </r>
  <r>
    <d v="2014-04-01T00:00:00"/>
    <x v="52"/>
    <x v="4"/>
    <x v="5"/>
    <s v="Compteur 5"/>
    <s v="Compteur_5"/>
    <x v="1"/>
    <d v="1899-12-30T00:00:00"/>
    <d v="1899-12-30T00:00:00"/>
    <n v="1"/>
    <e v="#VALUE!"/>
    <n v="0"/>
    <e v="#VALUE!"/>
    <s v=""/>
    <e v="#VALUE!"/>
    <n v="0"/>
    <e v="#VALUE!"/>
    <e v="#VALUE!"/>
    <s v=""/>
    <s v=""/>
    <s v=""/>
    <n v="0"/>
    <x v="2"/>
    <x v="5"/>
    <x v="1"/>
    <x v="1"/>
    <n v="174.2"/>
  </r>
  <r>
    <d v="2014-05-01T00:00:00"/>
    <x v="53"/>
    <x v="5"/>
    <x v="5"/>
    <s v="Compteur 5"/>
    <s v="Compteur_5"/>
    <x v="1"/>
    <d v="1899-12-30T00:00:00"/>
    <d v="1899-12-30T00:00:00"/>
    <n v="1"/>
    <e v="#VALUE!"/>
    <n v="0"/>
    <e v="#VALUE!"/>
    <s v=""/>
    <e v="#VALUE!"/>
    <n v="0"/>
    <e v="#VALUE!"/>
    <e v="#VALUE!"/>
    <s v=""/>
    <s v=""/>
    <s v=""/>
    <n v="0"/>
    <x v="2"/>
    <x v="5"/>
    <x v="1"/>
    <x v="1"/>
    <n v="134.5"/>
  </r>
  <r>
    <d v="2014-06-01T00:00:00"/>
    <x v="54"/>
    <x v="6"/>
    <x v="5"/>
    <s v="Compteur 5"/>
    <s v="Compteur_5"/>
    <x v="1"/>
    <d v="1899-12-30T00:00:00"/>
    <d v="1899-12-30T00:00:00"/>
    <n v="1"/>
    <e v="#VALUE!"/>
    <n v="0"/>
    <e v="#VALUE!"/>
    <s v=""/>
    <e v="#VALUE!"/>
    <n v="0"/>
    <e v="#VALUE!"/>
    <e v="#VALUE!"/>
    <s v=""/>
    <s v=""/>
    <s v=""/>
    <n v="0"/>
    <x v="2"/>
    <x v="5"/>
    <x v="1"/>
    <x v="1"/>
    <n v="48.5"/>
  </r>
  <r>
    <d v="2014-07-01T00:00:00"/>
    <x v="55"/>
    <x v="7"/>
    <x v="5"/>
    <s v="Compteur 5"/>
    <s v="Compteur_5"/>
    <x v="1"/>
    <d v="1899-12-30T00:00:00"/>
    <d v="1899-12-30T00:00:00"/>
    <n v="1"/>
    <e v="#VALUE!"/>
    <n v="0"/>
    <e v="#VALUE!"/>
    <s v=""/>
    <e v="#VALUE!"/>
    <n v="0"/>
    <e v="#VALUE!"/>
    <e v="#VALUE!"/>
    <s v=""/>
    <s v=""/>
    <s v=""/>
    <n v="0"/>
    <x v="2"/>
    <x v="5"/>
    <x v="1"/>
    <x v="1"/>
    <n v="22.6"/>
  </r>
  <r>
    <d v="2014-08-01T00:00:00"/>
    <x v="56"/>
    <x v="8"/>
    <x v="5"/>
    <s v="Compteur 5"/>
    <s v="Compteur_5"/>
    <x v="1"/>
    <d v="1899-12-30T00:00:00"/>
    <d v="1899-12-30T00:00:00"/>
    <n v="1"/>
    <e v="#VALUE!"/>
    <n v="0"/>
    <e v="#VALUE!"/>
    <s v=""/>
    <e v="#VALUE!"/>
    <n v="0"/>
    <e v="#VALUE!"/>
    <e v="#VALUE!"/>
    <s v=""/>
    <s v=""/>
    <s v=""/>
    <n v="0"/>
    <x v="2"/>
    <x v="5"/>
    <x v="1"/>
    <x v="1"/>
    <n v="51.9"/>
  </r>
  <r>
    <d v="2014-09-01T00:00:00"/>
    <x v="57"/>
    <x v="9"/>
    <x v="5"/>
    <s v="Compteur 5"/>
    <s v="Compteur_5"/>
    <x v="1"/>
    <d v="1899-12-30T00:00:00"/>
    <d v="1899-12-30T00:00:00"/>
    <n v="1"/>
    <e v="#VALUE!"/>
    <n v="0"/>
    <e v="#VALUE!"/>
    <s v=""/>
    <e v="#VALUE!"/>
    <n v="0"/>
    <e v="#VALUE!"/>
    <e v="#VALUE!"/>
    <s v=""/>
    <s v=""/>
    <s v=""/>
    <n v="0"/>
    <x v="2"/>
    <x v="5"/>
    <x v="1"/>
    <x v="1"/>
    <n v="54.3"/>
  </r>
  <r>
    <d v="2014-10-01T00:00:00"/>
    <x v="58"/>
    <x v="10"/>
    <x v="5"/>
    <s v="Compteur 5"/>
    <s v="Compteur_5"/>
    <x v="1"/>
    <d v="1899-12-30T00:00:00"/>
    <d v="1899-12-30T00:00:00"/>
    <n v="1"/>
    <e v="#VALUE!"/>
    <n v="0"/>
    <e v="#VALUE!"/>
    <s v=""/>
    <e v="#VALUE!"/>
    <n v="0"/>
    <e v="#VALUE!"/>
    <e v="#VALUE!"/>
    <s v=""/>
    <s v=""/>
    <s v=""/>
    <n v="0"/>
    <x v="2"/>
    <x v="5"/>
    <x v="1"/>
    <x v="1"/>
    <n v="124.2"/>
  </r>
  <r>
    <d v="2014-11-01T00:00:00"/>
    <x v="59"/>
    <x v="11"/>
    <x v="5"/>
    <s v="Compteur 5"/>
    <s v="Compteur_5"/>
    <x v="1"/>
    <d v="1899-12-30T00:00:00"/>
    <d v="1899-12-30T00:00:00"/>
    <n v="1"/>
    <e v="#VALUE!"/>
    <n v="0"/>
    <e v="#VALUE!"/>
    <s v=""/>
    <e v="#VALUE!"/>
    <n v="0"/>
    <e v="#VALUE!"/>
    <e v="#VALUE!"/>
    <s v=""/>
    <s v=""/>
    <s v=""/>
    <n v="0"/>
    <x v="2"/>
    <x v="5"/>
    <x v="1"/>
    <x v="1"/>
    <n v="219.5"/>
  </r>
  <r>
    <d v="2014-12-01T00:00:00"/>
    <x v="60"/>
    <x v="12"/>
    <x v="5"/>
    <s v="Compteur 5"/>
    <s v="Compteur_5"/>
    <x v="1"/>
    <d v="1899-12-30T00:00:00"/>
    <d v="1899-12-30T00:00:00"/>
    <n v="1"/>
    <e v="#VALUE!"/>
    <n v="0"/>
    <e v="#VALUE!"/>
    <s v=""/>
    <e v="#VALUE!"/>
    <n v="0"/>
    <e v="#VALUE!"/>
    <e v="#VALUE!"/>
    <s v=""/>
    <s v=""/>
    <s v=""/>
    <n v="0"/>
    <x v="2"/>
    <x v="5"/>
    <x v="1"/>
    <x v="1"/>
    <n v="374.8"/>
  </r>
  <r>
    <d v="2015-01-01T00:00:00"/>
    <x v="61"/>
    <x v="1"/>
    <x v="6"/>
    <s v="Compteur 5"/>
    <s v="Compteur_5"/>
    <x v="1"/>
    <d v="1899-12-30T00:00:00"/>
    <d v="1899-12-30T00:00:00"/>
    <n v="1"/>
    <e v="#VALUE!"/>
    <n v="0"/>
    <e v="#VALUE!"/>
    <s v=""/>
    <e v="#VALUE!"/>
    <n v="0"/>
    <e v="#VALUE!"/>
    <e v="#VALUE!"/>
    <s v=""/>
    <s v=""/>
    <s v=""/>
    <n v="0"/>
    <x v="2"/>
    <x v="5"/>
    <x v="1"/>
    <x v="1"/>
    <n v="392.1"/>
  </r>
  <r>
    <d v="2015-02-01T00:00:00"/>
    <x v="62"/>
    <x v="2"/>
    <x v="6"/>
    <s v="Compteur 5"/>
    <s v="Compteur_5"/>
    <x v="1"/>
    <d v="1899-12-30T00:00:00"/>
    <d v="1899-12-30T00:00:00"/>
    <n v="1"/>
    <e v="#VALUE!"/>
    <n v="0"/>
    <e v="#VALUE!"/>
    <s v=""/>
    <e v="#VALUE!"/>
    <n v="0"/>
    <e v="#VALUE!"/>
    <e v="#VALUE!"/>
    <s v=""/>
    <s v=""/>
    <s v=""/>
    <n v="0"/>
    <x v="2"/>
    <x v="5"/>
    <x v="1"/>
    <x v="1"/>
    <n v="366.9"/>
  </r>
  <r>
    <d v="2015-03-01T00:00:00"/>
    <x v="63"/>
    <x v="3"/>
    <x v="6"/>
    <s v="Compteur 5"/>
    <s v="Compteur_5"/>
    <x v="1"/>
    <d v="1899-12-30T00:00:00"/>
    <d v="1899-12-30T00:00:00"/>
    <n v="1"/>
    <e v="#VALUE!"/>
    <n v="0"/>
    <e v="#VALUE!"/>
    <s v=""/>
    <e v="#VALUE!"/>
    <n v="0"/>
    <e v="#VALUE!"/>
    <e v="#VALUE!"/>
    <s v=""/>
    <s v=""/>
    <s v=""/>
    <n v="0"/>
    <x v="2"/>
    <x v="5"/>
    <x v="1"/>
    <x v="1"/>
    <n v="303.8"/>
  </r>
  <r>
    <d v="2015-04-01T00:00:00"/>
    <x v="64"/>
    <x v="4"/>
    <x v="6"/>
    <s v="Compteur 5"/>
    <s v="Compteur_5"/>
    <x v="1"/>
    <d v="1899-12-30T00:00:00"/>
    <d v="1899-12-30T00:00:00"/>
    <n v="1"/>
    <e v="#VALUE!"/>
    <n v="0"/>
    <e v="#VALUE!"/>
    <s v=""/>
    <e v="#VALUE!"/>
    <n v="0"/>
    <e v="#VALUE!"/>
    <e v="#VALUE!"/>
    <s v=""/>
    <s v=""/>
    <s v=""/>
    <n v="0"/>
    <x v="2"/>
    <x v="5"/>
    <x v="1"/>
    <x v="1"/>
    <n v="166.6"/>
  </r>
  <r>
    <d v="2015-05-01T00:00:00"/>
    <x v="65"/>
    <x v="5"/>
    <x v="6"/>
    <s v="Compteur 5"/>
    <s v="Compteur_5"/>
    <x v="1"/>
    <d v="1899-12-30T00:00:00"/>
    <d v="1899-12-30T00:00:00"/>
    <n v="1"/>
    <e v="#VALUE!"/>
    <n v="0"/>
    <e v="#VALUE!"/>
    <s v=""/>
    <e v="#VALUE!"/>
    <n v="0"/>
    <e v="#VALUE!"/>
    <e v="#VALUE!"/>
    <s v=""/>
    <s v=""/>
    <s v=""/>
    <n v="0"/>
    <x v="2"/>
    <x v="5"/>
    <x v="1"/>
    <x v="1"/>
    <n v="119.9"/>
  </r>
  <r>
    <d v="2015-06-01T00:00:00"/>
    <x v="66"/>
    <x v="6"/>
    <x v="6"/>
    <s v="Compteur 5"/>
    <s v="Compteur_5"/>
    <x v="1"/>
    <d v="1899-12-30T00:00:00"/>
    <d v="1899-12-30T00:00:00"/>
    <n v="1"/>
    <e v="#VALUE!"/>
    <n v="0"/>
    <e v="#VALUE!"/>
    <s v=""/>
    <e v="#VALUE!"/>
    <n v="0"/>
    <e v="#VALUE!"/>
    <e v="#VALUE!"/>
    <s v=""/>
    <s v=""/>
    <s v=""/>
    <n v="0"/>
    <x v="2"/>
    <x v="5"/>
    <x v="1"/>
    <x v="1"/>
    <n v="51.8"/>
  </r>
  <r>
    <d v="2015-07-01T00:00:00"/>
    <x v="67"/>
    <x v="7"/>
    <x v="6"/>
    <s v="Compteur 5"/>
    <s v="Compteur_5"/>
    <x v="1"/>
    <d v="1899-12-30T00:00:00"/>
    <d v="1899-12-30T00:00:00"/>
    <n v="1"/>
    <e v="#VALUE!"/>
    <n v="0"/>
    <e v="#VALUE!"/>
    <s v=""/>
    <e v="#VALUE!"/>
    <n v="0"/>
    <e v="#VALUE!"/>
    <e v="#VALUE!"/>
    <s v=""/>
    <s v=""/>
    <s v=""/>
    <n v="0"/>
    <x v="2"/>
    <x v="5"/>
    <x v="1"/>
    <x v="1"/>
    <n v="29"/>
  </r>
  <r>
    <d v="2015-08-01T00:00:00"/>
    <x v="68"/>
    <x v="8"/>
    <x v="6"/>
    <s v="Compteur 5"/>
    <s v="Compteur_5"/>
    <x v="1"/>
    <d v="1899-12-30T00:00:00"/>
    <d v="1899-12-30T00:00:00"/>
    <n v="1"/>
    <e v="#VALUE!"/>
    <n v="0"/>
    <e v="#VALUE!"/>
    <s v=""/>
    <e v="#VALUE!"/>
    <n v="0"/>
    <e v="#VALUE!"/>
    <e v="#VALUE!"/>
    <s v=""/>
    <s v=""/>
    <s v=""/>
    <n v="0"/>
    <x v="2"/>
    <x v="5"/>
    <x v="1"/>
    <x v="1"/>
    <n v="32"/>
  </r>
  <r>
    <d v="2015-09-01T00:00:00"/>
    <x v="69"/>
    <x v="9"/>
    <x v="6"/>
    <s v="Compteur 5"/>
    <s v="Compteur_5"/>
    <x v="1"/>
    <d v="1899-12-30T00:00:00"/>
    <d v="1899-12-30T00:00:00"/>
    <n v="1"/>
    <e v="#VALUE!"/>
    <n v="0"/>
    <e v="#VALUE!"/>
    <s v=""/>
    <e v="#VALUE!"/>
    <n v="0"/>
    <e v="#VALUE!"/>
    <e v="#VALUE!"/>
    <s v=""/>
    <s v=""/>
    <s v=""/>
    <n v="0"/>
    <x v="2"/>
    <x v="5"/>
    <x v="1"/>
    <x v="1"/>
    <n v="96.9"/>
  </r>
  <r>
    <d v="2015-10-01T00:00:00"/>
    <x v="70"/>
    <x v="10"/>
    <x v="6"/>
    <s v="Compteur 5"/>
    <s v="Compteur_5"/>
    <x v="1"/>
    <d v="1899-12-30T00:00:00"/>
    <d v="1899-12-30T00:00:00"/>
    <n v="1"/>
    <e v="#VALUE!"/>
    <n v="0"/>
    <e v="#VALUE!"/>
    <s v=""/>
    <e v="#VALUE!"/>
    <n v="0"/>
    <e v="#VALUE!"/>
    <e v="#VALUE!"/>
    <s v=""/>
    <s v=""/>
    <s v=""/>
    <n v="0"/>
    <x v="2"/>
    <x v="5"/>
    <x v="1"/>
    <x v="1"/>
    <n v="181.1"/>
  </r>
  <r>
    <d v="2015-11-01T00:00:00"/>
    <x v="71"/>
    <x v="11"/>
    <x v="6"/>
    <s v="Compteur 5"/>
    <s v="Compteur_5"/>
    <x v="1"/>
    <d v="1899-12-30T00:00:00"/>
    <d v="1899-12-30T00:00:00"/>
    <n v="1"/>
    <e v="#VALUE!"/>
    <n v="0"/>
    <e v="#VALUE!"/>
    <s v=""/>
    <e v="#VALUE!"/>
    <n v="0"/>
    <e v="#VALUE!"/>
    <e v="#VALUE!"/>
    <s v=""/>
    <s v=""/>
    <s v=""/>
    <n v="0"/>
    <x v="2"/>
    <x v="5"/>
    <x v="1"/>
    <x v="1"/>
    <n v="191.1"/>
  </r>
  <r>
    <d v="2015-12-01T00:00:00"/>
    <x v="72"/>
    <x v="12"/>
    <x v="6"/>
    <s v="Compteur 5"/>
    <s v="Compteur_5"/>
    <x v="1"/>
    <d v="1899-12-30T00:00:00"/>
    <d v="1899-12-30T00:00:00"/>
    <n v="1"/>
    <e v="#VALUE!"/>
    <n v="0"/>
    <e v="#VALUE!"/>
    <s v=""/>
    <e v="#VALUE!"/>
    <n v="0"/>
    <e v="#VALUE!"/>
    <e v="#VALUE!"/>
    <s v=""/>
    <s v=""/>
    <s v=""/>
    <n v="0"/>
    <x v="2"/>
    <x v="5"/>
    <x v="1"/>
    <x v="1"/>
    <n v="258.5"/>
  </r>
  <r>
    <d v="2016-01-01T00:00:00"/>
    <x v="73"/>
    <x v="1"/>
    <x v="7"/>
    <s v="Compteur 5"/>
    <s v="Compteur_5"/>
    <x v="1"/>
    <d v="1899-12-30T00:00:00"/>
    <d v="1899-12-30T00:00:00"/>
    <n v="1"/>
    <e v="#VALUE!"/>
    <n v="0"/>
    <e v="#VALUE!"/>
    <s v=""/>
    <e v="#VALUE!"/>
    <n v="0"/>
    <e v="#VALUE!"/>
    <e v="#VALUE!"/>
    <s v=""/>
    <s v=""/>
    <s v=""/>
    <n v="0"/>
    <x v="2"/>
    <x v="5"/>
    <x v="1"/>
    <x v="1"/>
    <n v="348.4"/>
  </r>
  <r>
    <d v="2016-02-01T00:00:00"/>
    <x v="74"/>
    <x v="2"/>
    <x v="7"/>
    <s v="Compteur 5"/>
    <s v="Compteur_5"/>
    <x v="1"/>
    <d v="1899-12-30T00:00:00"/>
    <d v="1899-12-30T00:00:00"/>
    <n v="1"/>
    <e v="#VALUE!"/>
    <n v="0"/>
    <e v="#VALUE!"/>
    <s v=""/>
    <e v="#VALUE!"/>
    <n v="0"/>
    <e v="#VALUE!"/>
    <e v="#VALUE!"/>
    <s v=""/>
    <s v=""/>
    <s v=""/>
    <n v="0"/>
    <x v="2"/>
    <x v="5"/>
    <x v="1"/>
    <x v="1"/>
    <n v="321.2"/>
  </r>
  <r>
    <d v="2016-03-01T00:00:00"/>
    <x v="75"/>
    <x v="3"/>
    <x v="7"/>
    <s v="Compteur 5"/>
    <s v="Compteur_5"/>
    <x v="1"/>
    <d v="1899-12-30T00:00:00"/>
    <d v="1899-12-30T00:00:00"/>
    <n v="1"/>
    <e v="#VALUE!"/>
    <n v="0"/>
    <e v="#VALUE!"/>
    <s v=""/>
    <e v="#VALUE!"/>
    <n v="0"/>
    <e v="#VALUE!"/>
    <e v="#VALUE!"/>
    <s v=""/>
    <s v=""/>
    <s v=""/>
    <n v="0"/>
    <x v="2"/>
    <x v="5"/>
    <x v="1"/>
    <x v="1"/>
    <n v="328.3"/>
  </r>
  <r>
    <d v="2016-04-01T00:00:00"/>
    <x v="76"/>
    <x v="4"/>
    <x v="7"/>
    <s v="Compteur 5"/>
    <s v="Compteur_5"/>
    <x v="1"/>
    <d v="1899-12-30T00:00:00"/>
    <d v="1899-12-30T00:00:00"/>
    <n v="1"/>
    <e v="#VALUE!"/>
    <n v="0"/>
    <e v="#VALUE!"/>
    <s v=""/>
    <e v="#VALUE!"/>
    <n v="0"/>
    <e v="#VALUE!"/>
    <e v="#VALUE!"/>
    <s v=""/>
    <s v=""/>
    <s v=""/>
    <n v="0"/>
    <x v="2"/>
    <x v="5"/>
    <x v="1"/>
    <x v="1"/>
    <n v="252.6"/>
  </r>
  <r>
    <d v="2016-05-01T00:00:00"/>
    <x v="77"/>
    <x v="5"/>
    <x v="7"/>
    <s v="Compteur 5"/>
    <s v="Compteur_5"/>
    <x v="1"/>
    <d v="1899-12-30T00:00:00"/>
    <d v="1899-12-30T00:00:00"/>
    <n v="1"/>
    <e v="#VALUE!"/>
    <n v="0"/>
    <e v="#VALUE!"/>
    <s v=""/>
    <e v="#VALUE!"/>
    <n v="0"/>
    <e v="#VALUE!"/>
    <e v="#VALUE!"/>
    <s v=""/>
    <s v=""/>
    <s v=""/>
    <n v="0"/>
    <x v="2"/>
    <x v="5"/>
    <x v="1"/>
    <x v="1"/>
    <n v="124.3"/>
  </r>
  <r>
    <d v="2016-06-01T00:00:00"/>
    <x v="78"/>
    <x v="6"/>
    <x v="7"/>
    <s v="Compteur 5"/>
    <s v="Compteur_5"/>
    <x v="1"/>
    <d v="1899-12-30T00:00:00"/>
    <d v="1899-12-30T00:00:00"/>
    <n v="1"/>
    <e v="#VALUE!"/>
    <n v="0"/>
    <e v="#VALUE!"/>
    <s v=""/>
    <e v="#VALUE!"/>
    <n v="0"/>
    <e v="#VALUE!"/>
    <e v="#VALUE!"/>
    <s v=""/>
    <s v=""/>
    <s v=""/>
    <n v="0"/>
    <x v="2"/>
    <x v="5"/>
    <x v="1"/>
    <x v="1"/>
    <n v="47.7"/>
  </r>
  <r>
    <d v="2016-07-01T00:00:00"/>
    <x v="79"/>
    <x v="7"/>
    <x v="7"/>
    <s v="Compteur 5"/>
    <s v="Compteur_5"/>
    <x v="1"/>
    <d v="1899-12-30T00:00:00"/>
    <d v="1899-12-30T00:00:00"/>
    <n v="1"/>
    <e v="#VALUE!"/>
    <n v="0"/>
    <e v="#VALUE!"/>
    <s v=""/>
    <e v="#VALUE!"/>
    <n v="0"/>
    <e v="#VALUE!"/>
    <e v="#VALUE!"/>
    <s v=""/>
    <s v=""/>
    <s v=""/>
    <n v="0"/>
    <x v="2"/>
    <x v="5"/>
    <x v="1"/>
    <x v="1"/>
    <n v="32.299999999999997"/>
  </r>
  <r>
    <d v="2016-08-01T00:00:00"/>
    <x v="80"/>
    <x v="8"/>
    <x v="7"/>
    <s v="Compteur 5"/>
    <s v="Compteur_5"/>
    <x v="1"/>
    <d v="1899-12-30T00:00:00"/>
    <d v="1899-12-30T00:00:00"/>
    <n v="1"/>
    <e v="#VALUE!"/>
    <n v="0"/>
    <e v="#VALUE!"/>
    <s v=""/>
    <e v="#VALUE!"/>
    <n v="0"/>
    <e v="#VALUE!"/>
    <e v="#VALUE!"/>
    <s v=""/>
    <s v=""/>
    <s v=""/>
    <n v="0"/>
    <x v="2"/>
    <x v="5"/>
    <x v="1"/>
    <x v="1"/>
    <n v="33.799999999999997"/>
  </r>
  <r>
    <d v="2016-09-01T00:00:00"/>
    <x v="81"/>
    <x v="9"/>
    <x v="7"/>
    <s v="Compteur 5"/>
    <s v="Compteur_5"/>
    <x v="1"/>
    <d v="1899-12-30T00:00:00"/>
    <d v="1899-12-30T00:00:00"/>
    <n v="1"/>
    <e v="#VALUE!"/>
    <n v="0"/>
    <e v="#VALUE!"/>
    <s v=""/>
    <e v="#VALUE!"/>
    <n v="0"/>
    <e v="#VALUE!"/>
    <e v="#VALUE!"/>
    <s v=""/>
    <s v=""/>
    <s v=""/>
    <n v="0"/>
    <x v="2"/>
    <x v="5"/>
    <x v="1"/>
    <x v="1"/>
    <n v="43.5"/>
  </r>
  <r>
    <d v="2016-10-01T00:00:00"/>
    <x v="82"/>
    <x v="10"/>
    <x v="7"/>
    <s v="Compteur 5"/>
    <s v="Compteur_5"/>
    <x v="1"/>
    <d v="1899-12-30T00:00:00"/>
    <d v="1899-12-30T00:00:00"/>
    <n v="1"/>
    <e v="#VALUE!"/>
    <n v="0"/>
    <e v="#VALUE!"/>
    <s v=""/>
    <e v="#VALUE!"/>
    <n v="0"/>
    <e v="#VALUE!"/>
    <e v="#VALUE!"/>
    <s v=""/>
    <s v=""/>
    <s v=""/>
    <n v="0"/>
    <x v="2"/>
    <x v="5"/>
    <x v="1"/>
    <x v="1"/>
    <n v="202.6"/>
  </r>
  <r>
    <d v="2016-11-01T00:00:00"/>
    <x v="83"/>
    <x v="11"/>
    <x v="7"/>
    <s v="Compteur 5"/>
    <s v="Compteur_5"/>
    <x v="1"/>
    <d v="1899-12-30T00:00:00"/>
    <d v="1899-12-30T00:00:00"/>
    <n v="1"/>
    <e v="#VALUE!"/>
    <n v="0"/>
    <e v="#VALUE!"/>
    <s v=""/>
    <e v="#VALUE!"/>
    <n v="0"/>
    <e v="#VALUE!"/>
    <e v="#VALUE!"/>
    <s v=""/>
    <s v=""/>
    <s v=""/>
    <n v="0"/>
    <x v="2"/>
    <x v="5"/>
    <x v="1"/>
    <x v="1"/>
    <n v="289.2"/>
  </r>
  <r>
    <d v="2016-12-01T00:00:00"/>
    <x v="84"/>
    <x v="12"/>
    <x v="7"/>
    <s v="Compteur 5"/>
    <s v="Compteur_5"/>
    <x v="1"/>
    <d v="1899-12-30T00:00:00"/>
    <d v="1899-12-30T00:00:00"/>
    <n v="1"/>
    <e v="#VALUE!"/>
    <n v="0"/>
    <e v="#VALUE!"/>
    <s v=""/>
    <e v="#VALUE!"/>
    <n v="0"/>
    <e v="#VALUE!"/>
    <e v="#VALUE!"/>
    <s v=""/>
    <s v=""/>
    <s v=""/>
    <n v="0"/>
    <x v="2"/>
    <x v="5"/>
    <x v="1"/>
    <x v="1"/>
    <n v="370.4"/>
  </r>
  <r>
    <d v="2017-01-01T00:00:00"/>
    <x v="85"/>
    <x v="1"/>
    <x v="8"/>
    <s v="Compteur 5"/>
    <s v="Compteur_5"/>
    <x v="1"/>
    <d v="1899-12-30T00:00:00"/>
    <d v="1899-12-30T00:00:00"/>
    <n v="1"/>
    <e v="#VALUE!"/>
    <n v="0"/>
    <e v="#VALUE!"/>
    <s v=""/>
    <e v="#VALUE!"/>
    <n v="0"/>
    <e v="#VALUE!"/>
    <e v="#VALUE!"/>
    <s v=""/>
    <s v=""/>
    <s v=""/>
    <n v="0"/>
    <x v="2"/>
    <x v="5"/>
    <x v="1"/>
    <x v="1"/>
    <n v="451.9"/>
  </r>
  <r>
    <d v="2017-02-01T00:00:00"/>
    <x v="86"/>
    <x v="2"/>
    <x v="8"/>
    <s v="Compteur 5"/>
    <s v="Compteur_5"/>
    <x v="1"/>
    <d v="1899-12-30T00:00:00"/>
    <d v="1899-12-30T00:00:00"/>
    <n v="1"/>
    <e v="#VALUE!"/>
    <n v="0"/>
    <e v="#VALUE!"/>
    <s v=""/>
    <e v="#VALUE!"/>
    <n v="0"/>
    <e v="#VALUE!"/>
    <e v="#VALUE!"/>
    <s v=""/>
    <s v=""/>
    <s v=""/>
    <n v="0"/>
    <x v="2"/>
    <x v="5"/>
    <x v="1"/>
    <x v="1"/>
    <n v="287.8"/>
  </r>
  <r>
    <d v="2017-03-01T00:00:00"/>
    <x v="87"/>
    <x v="3"/>
    <x v="8"/>
    <s v="Compteur 5"/>
    <s v="Compteur_5"/>
    <x v="1"/>
    <d v="1899-12-30T00:00:00"/>
    <d v="1899-12-30T00:00:00"/>
    <n v="1"/>
    <e v="#VALUE!"/>
    <n v="0"/>
    <e v="#VALUE!"/>
    <s v=""/>
    <e v="#VALUE!"/>
    <n v="0"/>
    <e v="#VALUE!"/>
    <e v="#VALUE!"/>
    <s v=""/>
    <s v=""/>
    <s v=""/>
    <n v="0"/>
    <x v="2"/>
    <x v="5"/>
    <x v="1"/>
    <x v="1"/>
    <n v="226.3"/>
  </r>
  <r>
    <d v="2017-04-01T00:00:00"/>
    <x v="88"/>
    <x v="4"/>
    <x v="8"/>
    <s v="Compteur 5"/>
    <s v="Compteur_5"/>
    <x v="1"/>
    <d v="1899-12-30T00:00:00"/>
    <d v="1899-12-30T00:00:00"/>
    <n v="1"/>
    <e v="#VALUE!"/>
    <n v="0"/>
    <e v="#VALUE!"/>
    <s v=""/>
    <e v="#VALUE!"/>
    <n v="0"/>
    <e v="#VALUE!"/>
    <e v="#VALUE!"/>
    <s v=""/>
    <s v=""/>
    <s v=""/>
    <n v="0"/>
    <x v="2"/>
    <x v="5"/>
    <x v="1"/>
    <x v="1"/>
    <n v="227.8"/>
  </r>
  <r>
    <d v="2017-05-01T00:00:00"/>
    <x v="89"/>
    <x v="5"/>
    <x v="8"/>
    <s v="Compteur 5"/>
    <s v="Compteur_5"/>
    <x v="1"/>
    <d v="1899-12-30T00:00:00"/>
    <d v="1899-12-30T00:00:00"/>
    <n v="1"/>
    <e v="#VALUE!"/>
    <n v="0"/>
    <e v="#VALUE!"/>
    <s v=""/>
    <e v="#VALUE!"/>
    <n v="0"/>
    <e v="#VALUE!"/>
    <e v="#VALUE!"/>
    <s v=""/>
    <s v=""/>
    <s v=""/>
    <n v="0"/>
    <x v="2"/>
    <x v="5"/>
    <x v="1"/>
    <x v="1"/>
    <n v="98"/>
  </r>
  <r>
    <d v="2017-06-01T00:00:00"/>
    <x v="90"/>
    <x v="6"/>
    <x v="8"/>
    <s v="Compteur 5"/>
    <s v="Compteur_5"/>
    <x v="1"/>
    <d v="1899-12-30T00:00:00"/>
    <d v="1899-12-30T00:00:00"/>
    <n v="1"/>
    <e v="#VALUE!"/>
    <n v="0"/>
    <e v="#VALUE!"/>
    <s v=""/>
    <e v="#VALUE!"/>
    <n v="0"/>
    <e v="#VALUE!"/>
    <e v="#VALUE!"/>
    <s v=""/>
    <s v=""/>
    <s v=""/>
    <n v="0"/>
    <x v="2"/>
    <x v="5"/>
    <x v="1"/>
    <x v="1"/>
    <n v="30.9"/>
  </r>
  <r>
    <d v="2017-07-01T00:00:00"/>
    <x v="91"/>
    <x v="7"/>
    <x v="8"/>
    <s v="Compteur 5"/>
    <s v="Compteur_5"/>
    <x v="1"/>
    <d v="1899-12-30T00:00:00"/>
    <d v="1899-12-30T00:00:00"/>
    <n v="1"/>
    <e v="#VALUE!"/>
    <n v="0"/>
    <e v="#VALUE!"/>
    <s v=""/>
    <e v="#VALUE!"/>
    <n v="0"/>
    <e v="#VALUE!"/>
    <e v="#VALUE!"/>
    <s v=""/>
    <s v=""/>
    <s v=""/>
    <n v="0"/>
    <x v="2"/>
    <x v="5"/>
    <x v="1"/>
    <x v="1"/>
    <n v="23.6"/>
  </r>
  <r>
    <d v="2017-08-01T00:00:00"/>
    <x v="92"/>
    <x v="8"/>
    <x v="8"/>
    <s v="Compteur 5"/>
    <s v="Compteur_5"/>
    <x v="1"/>
    <d v="1899-12-30T00:00:00"/>
    <d v="1899-12-30T00:00:00"/>
    <n v="1"/>
    <e v="#VALUE!"/>
    <n v="0"/>
    <e v="#VALUE!"/>
    <s v=""/>
    <e v="#VALUE!"/>
    <n v="0"/>
    <e v="#VALUE!"/>
    <e v="#VALUE!"/>
    <s v=""/>
    <s v=""/>
    <s v=""/>
    <n v="0"/>
    <x v="2"/>
    <x v="5"/>
    <x v="1"/>
    <x v="1"/>
    <n v="32.200000000000003"/>
  </r>
  <r>
    <d v="2017-09-01T00:00:00"/>
    <x v="93"/>
    <x v="9"/>
    <x v="8"/>
    <s v="Compteur 5"/>
    <s v="Compteur_5"/>
    <x v="1"/>
    <d v="1899-12-30T00:00:00"/>
    <d v="1899-12-30T00:00:00"/>
    <n v="1"/>
    <e v="#VALUE!"/>
    <n v="0"/>
    <e v="#VALUE!"/>
    <s v=""/>
    <e v="#VALUE!"/>
    <n v="0"/>
    <e v="#VALUE!"/>
    <e v="#VALUE!"/>
    <s v=""/>
    <s v=""/>
    <s v=""/>
    <n v="0"/>
    <x v="2"/>
    <x v="5"/>
    <x v="1"/>
    <x v="1"/>
    <n v="82.3"/>
  </r>
  <r>
    <d v="2017-10-01T00:00:00"/>
    <x v="94"/>
    <x v="10"/>
    <x v="8"/>
    <s v="Compteur 5"/>
    <s v="Compteur_5"/>
    <x v="1"/>
    <d v="1899-12-30T00:00:00"/>
    <d v="1899-12-30T00:00:00"/>
    <n v="1"/>
    <e v="#VALUE!"/>
    <n v="0"/>
    <e v="#VALUE!"/>
    <s v=""/>
    <e v="#VALUE!"/>
    <n v="0"/>
    <e v="#VALUE!"/>
    <e v="#VALUE!"/>
    <s v=""/>
    <s v=""/>
    <s v=""/>
    <n v="0"/>
    <x v="2"/>
    <x v="5"/>
    <x v="1"/>
    <x v="1"/>
    <n v="126.4"/>
  </r>
  <r>
    <d v="2017-11-01T00:00:00"/>
    <x v="95"/>
    <x v="11"/>
    <x v="8"/>
    <s v="Compteur 5"/>
    <s v="Compteur_5"/>
    <x v="1"/>
    <d v="1899-12-30T00:00:00"/>
    <d v="1899-12-30T00:00:00"/>
    <n v="1"/>
    <e v="#VALUE!"/>
    <n v="0"/>
    <e v="#VALUE!"/>
    <s v=""/>
    <e v="#VALUE!"/>
    <n v="0"/>
    <e v="#VALUE!"/>
    <e v="#VALUE!"/>
    <s v=""/>
    <s v=""/>
    <s v=""/>
    <n v="0"/>
    <x v="2"/>
    <x v="5"/>
    <x v="1"/>
    <x v="1"/>
    <n v="289.89999999999998"/>
  </r>
  <r>
    <d v="2017-12-01T00:00:00"/>
    <x v="96"/>
    <x v="12"/>
    <x v="8"/>
    <s v="Compteur 5"/>
    <s v="Compteur_5"/>
    <x v="1"/>
    <d v="1899-12-30T00:00:00"/>
    <d v="1899-12-30T00:00:00"/>
    <n v="1"/>
    <e v="#VALUE!"/>
    <n v="0"/>
    <e v="#VALUE!"/>
    <s v=""/>
    <e v="#VALUE!"/>
    <n v="0"/>
    <e v="#VALUE!"/>
    <e v="#VALUE!"/>
    <s v=""/>
    <s v=""/>
    <s v=""/>
    <n v="0"/>
    <x v="2"/>
    <x v="5"/>
    <x v="1"/>
    <x v="1"/>
    <n v="366.2"/>
  </r>
  <r>
    <d v="2018-01-01T00:00:00"/>
    <x v="97"/>
    <x v="1"/>
    <x v="9"/>
    <s v="Compteur 5"/>
    <s v="Compteur_5"/>
    <x v="1"/>
    <d v="1899-12-30T00:00:00"/>
    <d v="1899-12-30T00:00:00"/>
    <n v="1"/>
    <e v="#VALUE!"/>
    <n v="0"/>
    <e v="#VALUE!"/>
    <s v=""/>
    <e v="#VALUE!"/>
    <n v="0"/>
    <e v="#VALUE!"/>
    <e v="#VALUE!"/>
    <s v=""/>
    <s v=""/>
    <s v=""/>
    <n v="0"/>
    <x v="2"/>
    <x v="5"/>
    <x v="1"/>
    <x v="1"/>
    <n v="298.60000000000002"/>
  </r>
  <r>
    <d v="2018-02-01T00:00:00"/>
    <x v="98"/>
    <x v="2"/>
    <x v="9"/>
    <s v="Compteur 5"/>
    <s v="Compteur_5"/>
    <x v="1"/>
    <d v="1899-12-30T00:00:00"/>
    <d v="1899-12-30T00:00:00"/>
    <n v="1"/>
    <e v="#VALUE!"/>
    <n v="0"/>
    <e v="#VALUE!"/>
    <s v=""/>
    <e v="#VALUE!"/>
    <n v="0"/>
    <e v="#VALUE!"/>
    <e v="#VALUE!"/>
    <s v=""/>
    <s v=""/>
    <s v=""/>
    <n v="0"/>
    <x v="2"/>
    <x v="5"/>
    <x v="1"/>
    <x v="1"/>
    <n v="415.2"/>
  </r>
  <r>
    <d v="2018-03-01T00:00:00"/>
    <x v="99"/>
    <x v="3"/>
    <x v="9"/>
    <s v="Compteur 5"/>
    <s v="Compteur_5"/>
    <x v="1"/>
    <d v="1899-12-30T00:00:00"/>
    <d v="1899-12-30T00:00:00"/>
    <n v="1"/>
    <e v="#VALUE!"/>
    <n v="0"/>
    <e v="#VALUE!"/>
    <s v=""/>
    <e v="#VALUE!"/>
    <n v="0"/>
    <e v="#VALUE!"/>
    <e v="#VALUE!"/>
    <s v=""/>
    <s v=""/>
    <s v=""/>
    <n v="0"/>
    <x v="2"/>
    <x v="5"/>
    <x v="1"/>
    <x v="1"/>
    <n v="305.39999999999998"/>
  </r>
  <r>
    <d v="2018-04-01T00:00:00"/>
    <x v="100"/>
    <x v="4"/>
    <x v="9"/>
    <s v="Compteur 5"/>
    <s v="Compteur_5"/>
    <x v="1"/>
    <d v="1899-12-30T00:00:00"/>
    <d v="1899-12-30T00:00:00"/>
    <n v="1"/>
    <e v="#VALUE!"/>
    <n v="0"/>
    <e v="#VALUE!"/>
    <s v=""/>
    <e v="#VALUE!"/>
    <n v="0"/>
    <e v="#VALUE!"/>
    <e v="#VALUE!"/>
    <s v=""/>
    <s v=""/>
    <s v=""/>
    <n v="0"/>
    <x v="2"/>
    <x v="5"/>
    <x v="1"/>
    <x v="1"/>
    <n v="152.19999999999999"/>
  </r>
  <r>
    <d v="2018-05-01T00:00:00"/>
    <x v="101"/>
    <x v="5"/>
    <x v="9"/>
    <s v="Compteur 5"/>
    <s v="Compteur_5"/>
    <x v="1"/>
    <d v="1899-12-30T00:00:00"/>
    <d v="1899-12-30T00:00:00"/>
    <n v="1"/>
    <e v="#VALUE!"/>
    <n v="0"/>
    <e v="#VALUE!"/>
    <s v=""/>
    <e v="#VALUE!"/>
    <n v="0"/>
    <e v="#VALUE!"/>
    <e v="#VALUE!"/>
    <s v=""/>
    <s v=""/>
    <s v=""/>
    <n v="0"/>
    <x v="2"/>
    <x v="5"/>
    <x v="1"/>
    <x v="1"/>
    <n v="95.8"/>
  </r>
  <r>
    <d v="2018-06-01T00:00:00"/>
    <x v="102"/>
    <x v="6"/>
    <x v="9"/>
    <s v="Compteur 5"/>
    <s v="Compteur_5"/>
    <x v="1"/>
    <d v="1899-12-30T00:00:00"/>
    <d v="1899-12-30T00:00:00"/>
    <n v="1"/>
    <e v="#VALUE!"/>
    <n v="0"/>
    <e v="#VALUE!"/>
    <s v=""/>
    <e v="#VALUE!"/>
    <n v="0"/>
    <e v="#VALUE!"/>
    <e v="#VALUE!"/>
    <s v=""/>
    <s v=""/>
    <s v=""/>
    <n v="0"/>
    <x v="2"/>
    <x v="5"/>
    <x v="1"/>
    <x v="1"/>
    <n v="25.4"/>
  </r>
  <r>
    <d v="2018-07-01T00:00:00"/>
    <x v="103"/>
    <x v="7"/>
    <x v="9"/>
    <s v="Compteur 5"/>
    <s v="Compteur_5"/>
    <x v="1"/>
    <d v="1899-12-30T00:00:00"/>
    <d v="1899-12-30T00:00:00"/>
    <n v="1"/>
    <e v="#VALUE!"/>
    <n v="0"/>
    <e v="#VALUE!"/>
    <s v=""/>
    <e v="#VALUE!"/>
    <n v="0"/>
    <e v="#VALUE!"/>
    <e v="#VALUE!"/>
    <s v=""/>
    <s v=""/>
    <s v=""/>
    <n v="0"/>
    <x v="2"/>
    <x v="5"/>
    <x v="1"/>
    <x v="1"/>
    <n v="5.9"/>
  </r>
  <r>
    <d v="2018-08-01T00:00:00"/>
    <x v="104"/>
    <x v="8"/>
    <x v="9"/>
    <s v="Compteur 5"/>
    <s v="Compteur_5"/>
    <x v="1"/>
    <d v="1899-12-30T00:00:00"/>
    <d v="1899-12-30T00:00:00"/>
    <n v="1"/>
    <e v="#VALUE!"/>
    <n v="0"/>
    <e v="#VALUE!"/>
    <s v=""/>
    <e v="#VALUE!"/>
    <n v="0"/>
    <e v="#VALUE!"/>
    <e v="#VALUE!"/>
    <s v=""/>
    <s v=""/>
    <s v=""/>
    <n v="0"/>
    <x v="2"/>
    <x v="5"/>
    <x v="1"/>
    <x v="1"/>
    <n v="26"/>
  </r>
  <r>
    <d v="2018-09-01T00:00:00"/>
    <x v="105"/>
    <x v="9"/>
    <x v="9"/>
    <s v="Compteur 5"/>
    <s v="Compteur_5"/>
    <x v="1"/>
    <d v="1899-12-30T00:00:00"/>
    <d v="1899-12-30T00:00:00"/>
    <n v="1"/>
    <e v="#VALUE!"/>
    <n v="0"/>
    <e v="#VALUE!"/>
    <s v=""/>
    <e v="#VALUE!"/>
    <n v="0"/>
    <e v="#VALUE!"/>
    <e v="#VALUE!"/>
    <s v=""/>
    <s v=""/>
    <s v=""/>
    <n v="0"/>
    <x v="2"/>
    <x v="5"/>
    <x v="1"/>
    <x v="1"/>
    <n v="73.599999999999994"/>
  </r>
  <r>
    <d v="2018-10-01T00:00:00"/>
    <x v="106"/>
    <x v="10"/>
    <x v="9"/>
    <s v="Compteur 5"/>
    <s v="Compteur_5"/>
    <x v="1"/>
    <d v="1899-12-30T00:00:00"/>
    <d v="1899-12-30T00:00:00"/>
    <n v="1"/>
    <e v="#VALUE!"/>
    <n v="0"/>
    <e v="#VALUE!"/>
    <s v=""/>
    <e v="#VALUE!"/>
    <n v="0"/>
    <e v="#VALUE!"/>
    <e v="#VALUE!"/>
    <s v=""/>
    <s v=""/>
    <s v=""/>
    <n v="0"/>
    <x v="2"/>
    <x v="5"/>
    <x v="1"/>
    <x v="1"/>
    <n v="157.5"/>
  </r>
  <r>
    <d v="2018-11-01T00:00:00"/>
    <x v="107"/>
    <x v="11"/>
    <x v="9"/>
    <s v="Compteur 5"/>
    <s v="Compteur_5"/>
    <x v="1"/>
    <d v="1899-12-30T00:00:00"/>
    <d v="1899-12-30T00:00:00"/>
    <n v="1"/>
    <e v="#VALUE!"/>
    <n v="0"/>
    <e v="#VALUE!"/>
    <s v=""/>
    <e v="#VALUE!"/>
    <n v="0"/>
    <e v="#VALUE!"/>
    <e v="#VALUE!"/>
    <s v=""/>
    <s v=""/>
    <s v=""/>
    <n v="0"/>
    <x v="2"/>
    <x v="5"/>
    <x v="1"/>
    <x v="1"/>
    <n v="278"/>
  </r>
  <r>
    <d v="2018-12-01T00:00:00"/>
    <x v="108"/>
    <x v="12"/>
    <x v="9"/>
    <s v="Compteur 5"/>
    <s v="Compteur_5"/>
    <x v="1"/>
    <d v="1899-12-30T00:00:00"/>
    <d v="1899-12-30T00:00:00"/>
    <n v="1"/>
    <e v="#VALUE!"/>
    <n v="0"/>
    <e v="#VALUE!"/>
    <s v=""/>
    <e v="#VALUE!"/>
    <n v="0"/>
    <e v="#VALUE!"/>
    <e v="#VALUE!"/>
    <s v=""/>
    <s v=""/>
    <s v=""/>
    <n v="0"/>
    <x v="2"/>
    <x v="5"/>
    <x v="1"/>
    <x v="1"/>
    <n v="319.2"/>
  </r>
  <r>
    <d v="2019-01-01T00:00:00"/>
    <x v="109"/>
    <x v="1"/>
    <x v="10"/>
    <s v="Compteur 5"/>
    <s v="Compteur_5"/>
    <x v="1"/>
    <d v="1899-12-30T00:00:00"/>
    <d v="1899-12-30T00:00:00"/>
    <n v="1"/>
    <e v="#VALUE!"/>
    <n v="0"/>
    <e v="#VALUE!"/>
    <s v=""/>
    <e v="#VALUE!"/>
    <n v="0"/>
    <e v="#VALUE!"/>
    <e v="#VALUE!"/>
    <s v=""/>
    <s v=""/>
    <s v=""/>
    <n v="0"/>
    <x v="2"/>
    <x v="5"/>
    <x v="1"/>
    <x v="1"/>
    <n v="402.2"/>
  </r>
  <r>
    <d v="2019-02-01T00:00:00"/>
    <x v="110"/>
    <x v="2"/>
    <x v="10"/>
    <s v="Compteur 5"/>
    <s v="Compteur_5"/>
    <x v="1"/>
    <d v="1899-12-30T00:00:00"/>
    <d v="1899-12-30T00:00:00"/>
    <n v="1"/>
    <e v="#VALUE!"/>
    <n v="0"/>
    <e v="#VALUE!"/>
    <s v=""/>
    <e v="#VALUE!"/>
    <n v="0"/>
    <e v="#VALUE!"/>
    <e v="#VALUE!"/>
    <s v=""/>
    <s v=""/>
    <s v=""/>
    <n v="0"/>
    <x v="2"/>
    <x v="5"/>
    <x v="1"/>
    <x v="1"/>
    <n v="297.3"/>
  </r>
  <r>
    <d v="2019-03-01T00:00:00"/>
    <x v="111"/>
    <x v="3"/>
    <x v="10"/>
    <s v="Compteur 5"/>
    <s v="Compteur_5"/>
    <x v="1"/>
    <d v="1899-12-30T00:00:00"/>
    <d v="1899-12-30T00:00:00"/>
    <n v="1"/>
    <e v="#VALUE!"/>
    <n v="0"/>
    <e v="#VALUE!"/>
    <s v=""/>
    <e v="#VALUE!"/>
    <n v="0"/>
    <e v="#VALUE!"/>
    <e v="#VALUE!"/>
    <s v=""/>
    <s v=""/>
    <s v=""/>
    <n v="0"/>
    <x v="2"/>
    <x v="5"/>
    <x v="1"/>
    <x v="1"/>
    <n v="260.39999999999998"/>
  </r>
  <r>
    <d v="2019-04-01T00:00:00"/>
    <x v="112"/>
    <x v="4"/>
    <x v="10"/>
    <s v="Compteur 5"/>
    <s v="Compteur_5"/>
    <x v="1"/>
    <d v="1899-12-30T00:00:00"/>
    <d v="1899-12-30T00:00:00"/>
    <n v="1"/>
    <e v="#VALUE!"/>
    <n v="0"/>
    <e v="#VALUE!"/>
    <s v=""/>
    <e v="#VALUE!"/>
    <n v="0"/>
    <e v="#VALUE!"/>
    <e v="#VALUE!"/>
    <s v=""/>
    <s v=""/>
    <s v=""/>
    <n v="0"/>
    <x v="2"/>
    <x v="5"/>
    <x v="1"/>
    <x v="1"/>
    <n v="201.4"/>
  </r>
  <r>
    <d v="2019-05-01T00:00:00"/>
    <x v="113"/>
    <x v="5"/>
    <x v="10"/>
    <s v="Compteur 5"/>
    <s v="Compteur_5"/>
    <x v="1"/>
    <d v="1899-12-30T00:00:00"/>
    <d v="1899-12-30T00:00:00"/>
    <n v="1"/>
    <e v="#VALUE!"/>
    <n v="0"/>
    <e v="#VALUE!"/>
    <s v=""/>
    <e v="#VALUE!"/>
    <n v="0"/>
    <e v="#VALUE!"/>
    <e v="#VALUE!"/>
    <s v=""/>
    <s v=""/>
    <s v=""/>
    <n v="0"/>
    <x v="2"/>
    <x v="5"/>
    <x v="1"/>
    <x v="1"/>
    <n v="147.9"/>
  </r>
  <r>
    <d v="2019-06-01T00:00:00"/>
    <x v="114"/>
    <x v="6"/>
    <x v="10"/>
    <s v="Compteur 5"/>
    <s v="Compteur_5"/>
    <x v="1"/>
    <d v="1899-12-30T00:00:00"/>
    <d v="1899-12-30T00:00:00"/>
    <n v="1"/>
    <e v="#VALUE!"/>
    <n v="0"/>
    <e v="#VALUE!"/>
    <s v=""/>
    <e v="#VALUE!"/>
    <n v="0"/>
    <e v="#VALUE!"/>
    <e v="#VALUE!"/>
    <s v=""/>
    <s v=""/>
    <s v=""/>
    <n v="0"/>
    <x v="2"/>
    <x v="5"/>
    <x v="1"/>
    <x v="1"/>
    <n v="54.1"/>
  </r>
  <r>
    <d v="2019-07-01T00:00:00"/>
    <x v="115"/>
    <x v="7"/>
    <x v="10"/>
    <s v="Compteur 5"/>
    <s v="Compteur_5"/>
    <x v="1"/>
    <d v="1899-12-30T00:00:00"/>
    <d v="1899-12-30T00:00:00"/>
    <n v="1"/>
    <e v="#VALUE!"/>
    <n v="0"/>
    <e v="#VALUE!"/>
    <s v=""/>
    <e v="#VALUE!"/>
    <n v="0"/>
    <e v="#VALUE!"/>
    <e v="#VALUE!"/>
    <s v=""/>
    <s v=""/>
    <s v=""/>
    <n v="0"/>
    <x v="2"/>
    <x v="5"/>
    <x v="1"/>
    <x v="1"/>
    <n v="15.5"/>
  </r>
  <r>
    <d v="2019-08-01T00:00:00"/>
    <x v="116"/>
    <x v="8"/>
    <x v="10"/>
    <s v="Compteur 5"/>
    <s v="Compteur_5"/>
    <x v="1"/>
    <d v="1899-12-30T00:00:00"/>
    <d v="1899-12-30T00:00:00"/>
    <n v="1"/>
    <e v="#VALUE!"/>
    <n v="0"/>
    <e v="#VALUE!"/>
    <s v=""/>
    <e v="#VALUE!"/>
    <n v="0"/>
    <e v="#VALUE!"/>
    <e v="#VALUE!"/>
    <s v=""/>
    <s v=""/>
    <s v=""/>
    <n v="0"/>
    <x v="2"/>
    <x v="5"/>
    <x v="1"/>
    <x v="1"/>
    <n v="30.2"/>
  </r>
  <r>
    <d v="2019-09-01T00:00:00"/>
    <x v="117"/>
    <x v="9"/>
    <x v="10"/>
    <s v="Compteur 5"/>
    <s v="Compteur_5"/>
    <x v="1"/>
    <d v="1899-12-30T00:00:00"/>
    <d v="1899-12-30T00:00:00"/>
    <n v="1"/>
    <e v="#VALUE!"/>
    <n v="0"/>
    <e v="#VALUE!"/>
    <s v=""/>
    <e v="#VALUE!"/>
    <n v="0"/>
    <e v="#VALUE!"/>
    <e v="#VALUE!"/>
    <s v=""/>
    <s v=""/>
    <s v=""/>
    <n v="0"/>
    <x v="2"/>
    <x v="5"/>
    <x v="1"/>
    <x v="1"/>
    <n v="64.7"/>
  </r>
  <r>
    <d v="2019-10-01T00:00:00"/>
    <x v="118"/>
    <x v="10"/>
    <x v="10"/>
    <s v="Compteur 5"/>
    <s v="Compteur_5"/>
    <x v="1"/>
    <d v="1899-12-30T00:00:00"/>
    <d v="1899-12-30T00:00:00"/>
    <n v="1"/>
    <e v="#VALUE!"/>
    <n v="0"/>
    <e v="#VALUE!"/>
    <s v=""/>
    <e v="#VALUE!"/>
    <n v="0"/>
    <e v="#VALUE!"/>
    <e v="#VALUE!"/>
    <s v=""/>
    <s v=""/>
    <s v=""/>
    <n v="0"/>
    <x v="2"/>
    <x v="5"/>
    <x v="1"/>
    <x v="1"/>
    <n v="128.80000000000001"/>
  </r>
  <r>
    <d v="2019-11-01T00:00:00"/>
    <x v="119"/>
    <x v="11"/>
    <x v="10"/>
    <s v="Compteur 5"/>
    <s v="Compteur_5"/>
    <x v="1"/>
    <d v="1899-12-30T00:00:00"/>
    <d v="1899-12-30T00:00:00"/>
    <n v="1"/>
    <e v="#VALUE!"/>
    <n v="0"/>
    <e v="#VALUE!"/>
    <s v=""/>
    <e v="#VALUE!"/>
    <n v="0"/>
    <e v="#VALUE!"/>
    <e v="#VALUE!"/>
    <s v=""/>
    <s v=""/>
    <s v=""/>
    <n v="0"/>
    <x v="2"/>
    <x v="5"/>
    <x v="1"/>
    <x v="1"/>
    <n v="293.10000000000002"/>
  </r>
  <r>
    <d v="2019-12-01T00:00:00"/>
    <x v="120"/>
    <x v="12"/>
    <x v="10"/>
    <s v="Compteur 5"/>
    <s v="Compteur_5"/>
    <x v="1"/>
    <d v="1899-12-30T00:00:00"/>
    <d v="1899-12-30T00:00:00"/>
    <n v="1"/>
    <e v="#VALUE!"/>
    <n v="0"/>
    <e v="#VALUE!"/>
    <s v=""/>
    <e v="#VALUE!"/>
    <n v="0"/>
    <e v="#VALUE!"/>
    <e v="#VALUE!"/>
    <s v=""/>
    <s v=""/>
    <s v=""/>
    <n v="0"/>
    <x v="2"/>
    <x v="5"/>
    <x v="1"/>
    <x v="1"/>
    <n v="323"/>
  </r>
  <r>
    <d v="2020-01-01T00:00:00"/>
    <x v="121"/>
    <x v="1"/>
    <x v="11"/>
    <s v="Compteur 5"/>
    <s v="Compteur_5"/>
    <x v="1"/>
    <d v="1899-12-30T00:00:00"/>
    <d v="1899-12-30T00:00:00"/>
    <n v="1"/>
    <e v="#VALUE!"/>
    <n v="0"/>
    <e v="#VALUE!"/>
    <s v=""/>
    <e v="#VALUE!"/>
    <n v="0"/>
    <e v="#VALUE!"/>
    <e v="#VALUE!"/>
    <s v=""/>
    <s v=""/>
    <s v=""/>
    <n v="0"/>
    <x v="2"/>
    <x v="5"/>
    <x v="1"/>
    <x v="1"/>
    <n v="331.5"/>
  </r>
  <r>
    <d v="2020-02-01T00:00:00"/>
    <x v="122"/>
    <x v="2"/>
    <x v="11"/>
    <s v="Compteur 5"/>
    <s v="Compteur_5"/>
    <x v="1"/>
    <d v="1899-12-30T00:00:00"/>
    <d v="1899-12-30T00:00:00"/>
    <n v="1"/>
    <e v="#VALUE!"/>
    <n v="0"/>
    <e v="#VALUE!"/>
    <s v=""/>
    <e v="#VALUE!"/>
    <n v="0"/>
    <e v="#VALUE!"/>
    <e v="#VALUE!"/>
    <s v=""/>
    <s v=""/>
    <s v=""/>
    <n v="0"/>
    <x v="2"/>
    <x v="5"/>
    <x v="1"/>
    <x v="1"/>
    <n v="251.6"/>
  </r>
  <r>
    <d v="2020-03-01T00:00:00"/>
    <x v="123"/>
    <x v="3"/>
    <x v="11"/>
    <s v="Compteur 5"/>
    <s v="Compteur_5"/>
    <x v="1"/>
    <d v="1899-12-30T00:00:00"/>
    <d v="1899-12-30T00:00:00"/>
    <n v="1"/>
    <e v="#VALUE!"/>
    <n v="0"/>
    <e v="#VALUE!"/>
    <s v=""/>
    <e v="#VALUE!"/>
    <n v="0"/>
    <e v="#VALUE!"/>
    <e v="#VALUE!"/>
    <s v=""/>
    <s v=""/>
    <s v=""/>
    <n v="0"/>
    <x v="2"/>
    <x v="5"/>
    <x v="1"/>
    <x v="1"/>
    <n v="272.60000000000002"/>
  </r>
  <r>
    <d v="2020-04-01T00:00:00"/>
    <x v="124"/>
    <x v="4"/>
    <x v="11"/>
    <s v="Compteur 5"/>
    <s v="Compteur_5"/>
    <x v="1"/>
    <d v="1899-12-30T00:00:00"/>
    <d v="1899-12-30T00:00:00"/>
    <n v="1"/>
    <e v="#VALUE!"/>
    <n v="0"/>
    <e v="#VALUE!"/>
    <s v=""/>
    <e v="#VALUE!"/>
    <n v="0"/>
    <e v="#VALUE!"/>
    <e v="#VALUE!"/>
    <s v=""/>
    <s v=""/>
    <s v=""/>
    <n v="0"/>
    <x v="2"/>
    <x v="5"/>
    <x v="1"/>
    <x v="1"/>
    <n v="126.3"/>
  </r>
  <r>
    <d v="2020-05-01T00:00:00"/>
    <x v="125"/>
    <x v="5"/>
    <x v="11"/>
    <s v="Compteur 5"/>
    <s v="Compteur_5"/>
    <x v="1"/>
    <d v="1899-12-30T00:00:00"/>
    <d v="1899-12-30T00:00:00"/>
    <n v="1"/>
    <e v="#VALUE!"/>
    <n v="0"/>
    <e v="#VALUE!"/>
    <s v=""/>
    <e v="#VALUE!"/>
    <n v="0"/>
    <e v="#VALUE!"/>
    <e v="#VALUE!"/>
    <s v=""/>
    <s v=""/>
    <s v=""/>
    <n v="0"/>
    <x v="2"/>
    <x v="5"/>
    <x v="1"/>
    <x v="1"/>
    <n v="91.8"/>
  </r>
  <r>
    <d v="2020-06-01T00:00:00"/>
    <x v="126"/>
    <x v="6"/>
    <x v="11"/>
    <s v="Compteur 5"/>
    <s v="Compteur_5"/>
    <x v="1"/>
    <d v="1899-12-30T00:00:00"/>
    <d v="1899-12-30T00:00:00"/>
    <n v="1"/>
    <e v="#VALUE!"/>
    <n v="0"/>
    <e v="#VALUE!"/>
    <s v=""/>
    <e v="#VALUE!"/>
    <n v="0"/>
    <e v="#VALUE!"/>
    <e v="#VALUE!"/>
    <s v=""/>
    <s v=""/>
    <s v=""/>
    <n v="0"/>
    <x v="2"/>
    <x v="5"/>
    <x v="1"/>
    <x v="1"/>
    <n v="55.6"/>
  </r>
  <r>
    <d v="2020-07-01T00:00:00"/>
    <x v="127"/>
    <x v="7"/>
    <x v="11"/>
    <s v="Compteur 5"/>
    <s v="Compteur_5"/>
    <x v="1"/>
    <d v="1899-12-30T00:00:00"/>
    <d v="1899-12-30T00:00:00"/>
    <n v="1"/>
    <e v="#VALUE!"/>
    <n v="0"/>
    <e v="#VALUE!"/>
    <s v=""/>
    <e v="#VALUE!"/>
    <n v="0"/>
    <e v="#VALUE!"/>
    <e v="#VALUE!"/>
    <s v=""/>
    <s v=""/>
    <s v=""/>
    <n v="0"/>
    <x v="2"/>
    <x v="5"/>
    <x v="1"/>
    <x v="1"/>
    <n v="32.299999999999997"/>
  </r>
  <r>
    <d v="2020-08-01T00:00:00"/>
    <x v="128"/>
    <x v="8"/>
    <x v="11"/>
    <s v="Compteur 5"/>
    <s v="Compteur_5"/>
    <x v="1"/>
    <d v="1899-12-30T00:00:00"/>
    <d v="1899-12-30T00:00:00"/>
    <n v="1"/>
    <e v="#VALUE!"/>
    <n v="0"/>
    <e v="#VALUE!"/>
    <s v=""/>
    <e v="#VALUE!"/>
    <n v="0"/>
    <e v="#VALUE!"/>
    <e v="#VALUE!"/>
    <s v=""/>
    <s v=""/>
    <s v=""/>
    <n v="0"/>
    <x v="2"/>
    <x v="5"/>
    <x v="1"/>
    <x v="1"/>
    <n v="27.8"/>
  </r>
  <r>
    <d v="2020-09-01T00:00:00"/>
    <x v="129"/>
    <x v="9"/>
    <x v="11"/>
    <s v="Compteur 5"/>
    <s v="Compteur_5"/>
    <x v="1"/>
    <d v="1899-12-30T00:00:00"/>
    <d v="1899-12-30T00:00:00"/>
    <n v="1"/>
    <e v="#VALUE!"/>
    <n v="0"/>
    <e v="#VALUE!"/>
    <s v=""/>
    <e v="#VALUE!"/>
    <n v="0"/>
    <e v="#VALUE!"/>
    <e v="#VALUE!"/>
    <s v=""/>
    <s v=""/>
    <s v=""/>
    <n v="0"/>
    <x v="2"/>
    <x v="5"/>
    <x v="1"/>
    <x v="1"/>
    <n v="56.6"/>
  </r>
  <r>
    <d v="2020-10-01T00:00:00"/>
    <x v="130"/>
    <x v="10"/>
    <x v="11"/>
    <s v="Compteur 5"/>
    <s v="Compteur_5"/>
    <x v="1"/>
    <d v="1899-12-30T00:00:00"/>
    <d v="1899-12-30T00:00:00"/>
    <n v="1"/>
    <e v="#VALUE!"/>
    <n v="0"/>
    <e v="#VALUE!"/>
    <s v=""/>
    <e v="#VALUE!"/>
    <n v="0"/>
    <e v="#VALUE!"/>
    <e v="#VALUE!"/>
    <s v=""/>
    <s v=""/>
    <s v=""/>
    <n v="0"/>
    <x v="2"/>
    <x v="5"/>
    <x v="1"/>
    <x v="1"/>
    <n v="159.30000000000001"/>
  </r>
  <r>
    <d v="2020-11-01T00:00:00"/>
    <x v="131"/>
    <x v="11"/>
    <x v="11"/>
    <s v="Compteur 5"/>
    <s v="Compteur_5"/>
    <x v="1"/>
    <d v="1899-12-30T00:00:00"/>
    <d v="1899-12-30T00:00:00"/>
    <n v="1"/>
    <e v="#VALUE!"/>
    <n v="0"/>
    <e v="#VALUE!"/>
    <s v=""/>
    <e v="#VALUE!"/>
    <n v="0"/>
    <e v="#VALUE!"/>
    <e v="#VALUE!"/>
    <s v=""/>
    <s v=""/>
    <s v=""/>
    <n v="0"/>
    <x v="2"/>
    <x v="5"/>
    <x v="1"/>
    <x v="1"/>
    <n v="237.3"/>
  </r>
  <r>
    <d v="2020-12-01T00:00:00"/>
    <x v="132"/>
    <x v="12"/>
    <x v="11"/>
    <s v="Compteur 5"/>
    <s v="Compteur_5"/>
    <x v="1"/>
    <d v="1899-12-30T00:00:00"/>
    <d v="1899-12-30T00:00:00"/>
    <n v="1"/>
    <e v="#VALUE!"/>
    <n v="0"/>
    <e v="#VALUE!"/>
    <s v=""/>
    <e v="#VALUE!"/>
    <n v="0"/>
    <e v="#VALUE!"/>
    <e v="#VALUE!"/>
    <s v=""/>
    <s v=""/>
    <s v=""/>
    <n v="0"/>
    <x v="2"/>
    <x v="5"/>
    <x v="1"/>
    <x v="1"/>
    <n v="334.4"/>
  </r>
  <r>
    <d v="2021-01-01T00:00:00"/>
    <x v="133"/>
    <x v="1"/>
    <x v="12"/>
    <s v="Compteur 5"/>
    <s v="Compteur_5"/>
    <x v="1"/>
    <d v="1899-12-30T00:00:00"/>
    <d v="1899-12-30T00:00:00"/>
    <n v="1"/>
    <e v="#VALUE!"/>
    <n v="0"/>
    <e v="#VALUE!"/>
    <s v=""/>
    <e v="#VALUE!"/>
    <n v="0"/>
    <e v="#VALUE!"/>
    <e v="#VALUE!"/>
    <s v=""/>
    <s v=""/>
    <s v=""/>
    <n v="0"/>
    <x v="2"/>
    <x v="5"/>
    <x v="1"/>
    <x v="1"/>
    <n v="380.1"/>
  </r>
  <r>
    <d v="2021-02-01T00:00:00"/>
    <x v="134"/>
    <x v="2"/>
    <x v="12"/>
    <s v="Compteur 5"/>
    <s v="Compteur_5"/>
    <x v="1"/>
    <d v="1899-12-30T00:00:00"/>
    <d v="1899-12-30T00:00:00"/>
    <n v="1"/>
    <e v="#VALUE!"/>
    <n v="0"/>
    <e v="#VALUE!"/>
    <s v=""/>
    <e v="#VALUE!"/>
    <n v="0"/>
    <e v="#VALUE!"/>
    <e v="#VALUE!"/>
    <s v=""/>
    <s v=""/>
    <s v=""/>
    <n v="0"/>
    <x v="2"/>
    <x v="5"/>
    <x v="1"/>
    <x v="1"/>
    <n v="299.5"/>
  </r>
  <r>
    <d v="2021-03-01T00:00:00"/>
    <x v="135"/>
    <x v="3"/>
    <x v="12"/>
    <s v="Compteur 5"/>
    <s v="Compteur_5"/>
    <x v="1"/>
    <d v="1899-12-30T00:00:00"/>
    <d v="1899-12-30T00:00:00"/>
    <n v="1"/>
    <e v="#VALUE!"/>
    <n v="0"/>
    <e v="#VALUE!"/>
    <s v=""/>
    <e v="#VALUE!"/>
    <n v="0"/>
    <e v="#VALUE!"/>
    <e v="#VALUE!"/>
    <s v=""/>
    <s v=""/>
    <s v=""/>
    <n v="0"/>
    <x v="2"/>
    <x v="5"/>
    <x v="1"/>
    <x v="1"/>
    <n v="303.89999999999998"/>
  </r>
  <r>
    <d v="2021-04-01T00:00:00"/>
    <x v="136"/>
    <x v="4"/>
    <x v="12"/>
    <s v="Compteur 5"/>
    <s v="Compteur_5"/>
    <x v="1"/>
    <d v="1899-12-30T00:00:00"/>
    <d v="1899-12-30T00:00:00"/>
    <n v="1"/>
    <e v="#VALUE!"/>
    <n v="0"/>
    <e v="#VALUE!"/>
    <s v=""/>
    <e v="#VALUE!"/>
    <n v="0"/>
    <e v="#VALUE!"/>
    <e v="#VALUE!"/>
    <s v=""/>
    <s v=""/>
    <s v=""/>
    <n v="0"/>
    <x v="2"/>
    <x v="5"/>
    <x v="1"/>
    <x v="1"/>
    <n v="242.8"/>
  </r>
  <r>
    <d v="2021-05-01T00:00:00"/>
    <x v="137"/>
    <x v="5"/>
    <x v="12"/>
    <s v="Compteur 5"/>
    <s v="Compteur_5"/>
    <x v="1"/>
    <d v="1899-12-30T00:00:00"/>
    <d v="1899-12-30T00:00:00"/>
    <n v="1"/>
    <e v="#VALUE!"/>
    <n v="0"/>
    <e v="#VALUE!"/>
    <s v=""/>
    <e v="#VALUE!"/>
    <n v="0"/>
    <e v="#VALUE!"/>
    <e v="#VALUE!"/>
    <s v=""/>
    <s v=""/>
    <s v=""/>
    <n v="0"/>
    <x v="2"/>
    <x v="5"/>
    <x v="1"/>
    <x v="1"/>
    <n v="159.4"/>
  </r>
  <r>
    <d v="2021-06-01T00:00:00"/>
    <x v="138"/>
    <x v="6"/>
    <x v="12"/>
    <s v="Compteur 5"/>
    <s v="Compteur_5"/>
    <x v="1"/>
    <d v="1899-12-30T00:00:00"/>
    <d v="1899-12-30T00:00:00"/>
    <n v="1"/>
    <e v="#VALUE!"/>
    <n v="0"/>
    <e v="#VALUE!"/>
    <s v=""/>
    <e v="#VALUE!"/>
    <n v="0"/>
    <e v="#VALUE!"/>
    <e v="#VALUE!"/>
    <s v=""/>
    <s v=""/>
    <s v=""/>
    <n v="0"/>
    <x v="2"/>
    <x v="5"/>
    <x v="1"/>
    <x v="1"/>
    <n v="29.9"/>
  </r>
  <r>
    <d v="2021-07-01T00:00:00"/>
    <x v="139"/>
    <x v="7"/>
    <x v="12"/>
    <s v="Compteur 5"/>
    <s v="Compteur_5"/>
    <x v="1"/>
    <d v="1899-12-30T00:00:00"/>
    <d v="1899-12-30T00:00:00"/>
    <n v="1"/>
    <e v="#VALUE!"/>
    <n v="0"/>
    <e v="#VALUE!"/>
    <s v=""/>
    <e v="#VALUE!"/>
    <n v="0"/>
    <e v="#VALUE!"/>
    <e v="#VALUE!"/>
    <s v=""/>
    <s v=""/>
    <s v=""/>
    <n v="0"/>
    <x v="2"/>
    <x v="5"/>
    <x v="1"/>
    <x v="1"/>
    <n v="22.4"/>
  </r>
  <r>
    <d v="2021-08-01T00:00:00"/>
    <x v="140"/>
    <x v="8"/>
    <x v="12"/>
    <s v="Compteur 5"/>
    <s v="Compteur_5"/>
    <x v="1"/>
    <d v="1899-12-30T00:00:00"/>
    <d v="1899-12-30T00:00:00"/>
    <n v="1"/>
    <e v="#VALUE!"/>
    <n v="0"/>
    <e v="#VALUE!"/>
    <s v=""/>
    <e v="#VALUE!"/>
    <n v="0"/>
    <e v="#VALUE!"/>
    <e v="#VALUE!"/>
    <s v=""/>
    <s v=""/>
    <s v=""/>
    <n v="0"/>
    <x v="2"/>
    <x v="5"/>
    <x v="1"/>
    <x v="1"/>
    <n v="35.9"/>
  </r>
  <r>
    <d v="2021-09-01T00:00:00"/>
    <x v="141"/>
    <x v="9"/>
    <x v="12"/>
    <s v="Compteur 5"/>
    <s v="Compteur_5"/>
    <x v="1"/>
    <d v="1899-12-30T00:00:00"/>
    <d v="1899-12-30T00:00:00"/>
    <n v="1"/>
    <e v="#VALUE!"/>
    <n v="0"/>
    <e v="#VALUE!"/>
    <s v=""/>
    <e v="#VALUE!"/>
    <n v="0"/>
    <e v="#VALUE!"/>
    <e v="#VALUE!"/>
    <s v=""/>
    <s v=""/>
    <s v=""/>
    <n v="0"/>
    <x v="2"/>
    <x v="5"/>
    <x v="1"/>
    <x v="1"/>
    <n v="47.8"/>
  </r>
  <r>
    <d v="2021-10-01T00:00:00"/>
    <x v="142"/>
    <x v="10"/>
    <x v="12"/>
    <s v="Compteur 5"/>
    <s v="Compteur_5"/>
    <x v="1"/>
    <d v="1899-12-30T00:00:00"/>
    <d v="1899-12-30T00:00:00"/>
    <n v="1"/>
    <e v="#VALUE!"/>
    <n v="0"/>
    <e v="#VALUE!"/>
    <s v=""/>
    <e v="#VALUE!"/>
    <n v="0"/>
    <e v="#VALUE!"/>
    <e v="#VALUE!"/>
    <s v=""/>
    <s v=""/>
    <s v=""/>
    <n v="0"/>
    <x v="2"/>
    <x v="5"/>
    <x v="1"/>
    <x v="1"/>
    <n v="170.5"/>
  </r>
  <r>
    <d v="2021-11-01T00:00:00"/>
    <x v="143"/>
    <x v="11"/>
    <x v="12"/>
    <s v="Compteur 5"/>
    <s v="Compteur_5"/>
    <x v="1"/>
    <d v="1899-12-30T00:00:00"/>
    <d v="1899-12-30T00:00:00"/>
    <n v="1"/>
    <e v="#VALUE!"/>
    <n v="0"/>
    <e v="#VALUE!"/>
    <s v=""/>
    <e v="#VALUE!"/>
    <n v="0"/>
    <e v="#VALUE!"/>
    <e v="#VALUE!"/>
    <s v=""/>
    <s v=""/>
    <s v=""/>
    <n v="0"/>
    <x v="2"/>
    <x v="5"/>
    <x v="1"/>
    <x v="1"/>
    <n v="326.8"/>
  </r>
  <r>
    <d v="2021-12-01T00:00:00"/>
    <x v="144"/>
    <x v="12"/>
    <x v="12"/>
    <s v="Compteur 5"/>
    <s v="Compteur_5"/>
    <x v="1"/>
    <d v="1899-12-30T00:00:00"/>
    <d v="1899-12-30T00:00:00"/>
    <n v="1"/>
    <e v="#VALUE!"/>
    <n v="0"/>
    <e v="#VALUE!"/>
    <s v=""/>
    <e v="#VALUE!"/>
    <n v="0"/>
    <e v="#VALUE!"/>
    <e v="#VALUE!"/>
    <s v=""/>
    <s v=""/>
    <s v=""/>
    <n v="0"/>
    <x v="2"/>
    <x v="5"/>
    <x v="1"/>
    <x v="1"/>
    <n v="336.7"/>
  </r>
  <r>
    <d v="2022-01-01T00:00:00"/>
    <x v="145"/>
    <x v="1"/>
    <x v="13"/>
    <s v="Compteur 5"/>
    <s v="Compteur_5"/>
    <x v="1"/>
    <d v="1899-12-30T00:00:00"/>
    <d v="1899-12-30T00:00:00"/>
    <n v="1"/>
    <e v="#VALUE!"/>
    <n v="0"/>
    <e v="#VALUE!"/>
    <s v=""/>
    <e v="#VALUE!"/>
    <n v="0"/>
    <e v="#VALUE!"/>
    <e v="#VALUE!"/>
    <s v=""/>
    <s v=""/>
    <s v=""/>
    <n v="0"/>
    <x v="2"/>
    <x v="5"/>
    <x v="1"/>
    <x v="1"/>
    <n v="396.3"/>
  </r>
  <r>
    <d v="2022-02-01T00:00:00"/>
    <x v="146"/>
    <x v="2"/>
    <x v="13"/>
    <s v="Compteur 5"/>
    <s v="Compteur_5"/>
    <x v="1"/>
    <d v="1899-12-30T00:00:00"/>
    <d v="1899-12-30T00:00:00"/>
    <n v="1"/>
    <e v="#VALUE!"/>
    <n v="0"/>
    <e v="#VALUE!"/>
    <s v=""/>
    <e v="#VALUE!"/>
    <n v="0"/>
    <e v="#VALUE!"/>
    <e v="#VALUE!"/>
    <s v=""/>
    <s v=""/>
    <s v=""/>
    <n v="0"/>
    <x v="2"/>
    <x v="5"/>
    <x v="1"/>
    <x v="1"/>
    <n v="286.10000000000002"/>
  </r>
  <r>
    <d v="2022-03-01T00:00:00"/>
    <x v="147"/>
    <x v="3"/>
    <x v="13"/>
    <s v="Compteur 5"/>
    <s v="Compteur_5"/>
    <x v="1"/>
    <d v="1899-12-30T00:00:00"/>
    <d v="1899-12-30T00:00:00"/>
    <n v="1"/>
    <e v="#VALUE!"/>
    <n v="0"/>
    <e v="#VALUE!"/>
    <s v=""/>
    <e v="#VALUE!"/>
    <n v="0"/>
    <e v="#VALUE!"/>
    <e v="#VALUE!"/>
    <s v=""/>
    <s v=""/>
    <s v=""/>
    <n v="0"/>
    <x v="2"/>
    <x v="5"/>
    <x v="1"/>
    <x v="1"/>
    <n v="239.8"/>
  </r>
  <r>
    <d v="2022-04-01T00:00:00"/>
    <x v="148"/>
    <x v="4"/>
    <x v="13"/>
    <s v="Compteur 5"/>
    <s v="Compteur_5"/>
    <x v="1"/>
    <d v="1899-12-30T00:00:00"/>
    <d v="1899-12-30T00:00:00"/>
    <n v="1"/>
    <e v="#VALUE!"/>
    <n v="0"/>
    <e v="#VALUE!"/>
    <s v=""/>
    <e v="#VALUE!"/>
    <n v="0"/>
    <e v="#VALUE!"/>
    <e v="#VALUE!"/>
    <s v=""/>
    <s v=""/>
    <s v=""/>
    <n v="0"/>
    <x v="2"/>
    <x v="5"/>
    <x v="1"/>
    <x v="1"/>
    <n v="192.3"/>
  </r>
  <r>
    <d v="2022-05-01T00:00:00"/>
    <x v="149"/>
    <x v="5"/>
    <x v="13"/>
    <s v="Compteur 5"/>
    <s v="Compteur_5"/>
    <x v="1"/>
    <d v="1899-12-30T00:00:00"/>
    <d v="1899-12-30T00:00:00"/>
    <n v="1"/>
    <e v="#VALUE!"/>
    <n v="0"/>
    <e v="#VALUE!"/>
    <s v=""/>
    <e v="#VALUE!"/>
    <n v="0"/>
    <e v="#VALUE!"/>
    <e v="#VALUE!"/>
    <s v=""/>
    <s v=""/>
    <s v=""/>
    <n v="0"/>
    <x v="2"/>
    <x v="5"/>
    <x v="1"/>
    <x v="1"/>
    <n v="81.8"/>
  </r>
  <r>
    <d v="2022-06-01T00:00:00"/>
    <x v="150"/>
    <x v="6"/>
    <x v="13"/>
    <s v="Compteur 5"/>
    <s v="Compteur_5"/>
    <x v="1"/>
    <d v="1899-12-30T00:00:00"/>
    <d v="1899-12-30T00:00:00"/>
    <n v="1"/>
    <e v="#VALUE!"/>
    <n v="0"/>
    <e v="#VALUE!"/>
    <s v=""/>
    <e v="#VALUE!"/>
    <n v="0"/>
    <e v="#VALUE!"/>
    <e v="#VALUE!"/>
    <s v=""/>
    <s v=""/>
    <s v=""/>
    <n v="0"/>
    <x v="2"/>
    <x v="5"/>
    <x v="1"/>
    <x v="1"/>
    <n v="35.5"/>
  </r>
  <r>
    <d v="2022-07-01T00:00:00"/>
    <x v="151"/>
    <x v="7"/>
    <x v="13"/>
    <s v="Compteur 5"/>
    <s v="Compteur_5"/>
    <x v="1"/>
    <d v="1899-12-30T00:00:00"/>
    <d v="1899-12-30T00:00:00"/>
    <n v="1"/>
    <e v="#VALUE!"/>
    <n v="0"/>
    <e v="#VALUE!"/>
    <s v=""/>
    <e v="#VALUE!"/>
    <n v="0"/>
    <e v="#VALUE!"/>
    <e v="#VALUE!"/>
    <s v=""/>
    <s v=""/>
    <s v=""/>
    <n v="0"/>
    <x v="2"/>
    <x v="5"/>
    <x v="1"/>
    <x v="1"/>
    <n v="18.8"/>
  </r>
  <r>
    <d v="2022-08-01T00:00:00"/>
    <x v="152"/>
    <x v="8"/>
    <x v="13"/>
    <s v="Compteur 5"/>
    <s v="Compteur_5"/>
    <x v="1"/>
    <d v="1899-12-30T00:00:00"/>
    <d v="1899-12-30T00:00:00"/>
    <n v="1"/>
    <e v="#VALUE!"/>
    <n v="0"/>
    <e v="#VALUE!"/>
    <s v=""/>
    <e v="#VALUE!"/>
    <n v="0"/>
    <e v="#VALUE!"/>
    <e v="#VALUE!"/>
    <s v=""/>
    <s v=""/>
    <s v=""/>
    <n v="0"/>
    <x v="2"/>
    <x v="5"/>
    <x v="1"/>
    <x v="1"/>
    <n v="10.7"/>
  </r>
  <r>
    <d v="2022-09-01T00:00:00"/>
    <x v="153"/>
    <x v="9"/>
    <x v="13"/>
    <s v="Compteur 5"/>
    <s v="Compteur_5"/>
    <x v="1"/>
    <d v="1899-12-30T00:00:00"/>
    <d v="1899-12-30T00:00:00"/>
    <n v="1"/>
    <e v="#VALUE!"/>
    <n v="0"/>
    <e v="#VALUE!"/>
    <s v=""/>
    <e v="#VALUE!"/>
    <n v="0"/>
    <e v="#VALUE!"/>
    <e v="#VALUE!"/>
    <s v=""/>
    <s v=""/>
    <s v=""/>
    <n v="0"/>
    <x v="2"/>
    <x v="5"/>
    <x v="1"/>
    <x v="1"/>
    <n v="74.7"/>
  </r>
  <r>
    <d v="2022-10-01T00:00:00"/>
    <x v="154"/>
    <x v="10"/>
    <x v="13"/>
    <s v="Compteur 5"/>
    <s v="Compteur_5"/>
    <x v="1"/>
    <d v="1899-12-30T00:00:00"/>
    <d v="1899-12-30T00:00:00"/>
    <n v="1"/>
    <e v="#VALUE!"/>
    <n v="0"/>
    <e v="#VALUE!"/>
    <s v=""/>
    <e v="#VALUE!"/>
    <n v="0"/>
    <e v="#VALUE!"/>
    <e v="#VALUE!"/>
    <s v=""/>
    <s v=""/>
    <s v=""/>
    <n v="0"/>
    <x v="2"/>
    <x v="5"/>
    <x v="1"/>
    <x v="1"/>
    <n v="73"/>
  </r>
  <r>
    <d v="2022-11-01T00:00:00"/>
    <x v="155"/>
    <x v="11"/>
    <x v="13"/>
    <s v="Compteur 5"/>
    <s v="Compteur_5"/>
    <x v="1"/>
    <d v="1899-12-30T00:00:00"/>
    <d v="1899-12-30T00:00:00"/>
    <n v="1"/>
    <e v="#VALUE!"/>
    <n v="0"/>
    <e v="#VALUE!"/>
    <s v=""/>
    <e v="#VALUE!"/>
    <n v="0"/>
    <e v="#VALUE!"/>
    <e v="#VALUE!"/>
    <s v=""/>
    <s v=""/>
    <s v=""/>
    <n v="0"/>
    <x v="2"/>
    <x v="5"/>
    <x v="1"/>
    <x v="1"/>
    <n v="227.5"/>
  </r>
  <r>
    <d v="2022-12-01T00:00:00"/>
    <x v="156"/>
    <x v="12"/>
    <x v="13"/>
    <s v="Compteur 5"/>
    <s v="Compteur_5"/>
    <x v="1"/>
    <d v="1899-12-30T00:00:00"/>
    <d v="1899-12-30T00:00:00"/>
    <n v="1"/>
    <e v="#VALUE!"/>
    <n v="0"/>
    <e v="#VALUE!"/>
    <s v=""/>
    <e v="#VALUE!"/>
    <n v="0"/>
    <e v="#VALUE!"/>
    <e v="#VALUE!"/>
    <s v=""/>
    <s v=""/>
    <s v=""/>
    <n v="0"/>
    <x v="2"/>
    <x v="5"/>
    <x v="1"/>
    <x v="1"/>
    <n v="380.8"/>
  </r>
  <r>
    <d v="2023-01-01T00:00:00"/>
    <x v="157"/>
    <x v="1"/>
    <x v="14"/>
    <s v="Compteur 5"/>
    <s v="Compteur_5"/>
    <x v="1"/>
    <d v="1899-12-30T00:00:00"/>
    <d v="1899-12-30T00:00:00"/>
    <n v="1"/>
    <e v="#VALUE!"/>
    <n v="0"/>
    <e v="#VALUE!"/>
    <s v=""/>
    <e v="#VALUE!"/>
    <n v="0"/>
    <e v="#VALUE!"/>
    <e v="#VALUE!"/>
    <s v=""/>
    <s v=""/>
    <s v=""/>
    <n v="0"/>
    <x v="2"/>
    <x v="5"/>
    <x v="1"/>
    <x v="1"/>
    <n v="356.1"/>
  </r>
  <r>
    <d v="2023-02-01T00:00:00"/>
    <x v="158"/>
    <x v="2"/>
    <x v="14"/>
    <s v="Compteur 5"/>
    <s v="Compteur_5"/>
    <x v="1"/>
    <d v="1899-12-30T00:00:00"/>
    <d v="1899-12-30T00:00:00"/>
    <n v="1"/>
    <e v="#VALUE!"/>
    <n v="0"/>
    <e v="#VALUE!"/>
    <s v=""/>
    <e v="#VALUE!"/>
    <n v="0"/>
    <e v="#VALUE!"/>
    <e v="#VALUE!"/>
    <s v=""/>
    <s v=""/>
    <s v=""/>
    <n v="0"/>
    <x v="2"/>
    <x v="5"/>
    <x v="1"/>
    <x v="1"/>
    <n v="314.10000000000002"/>
  </r>
  <r>
    <d v="2023-03-01T00:00:00"/>
    <x v="159"/>
    <x v="3"/>
    <x v="14"/>
    <s v="Compteur 5"/>
    <s v="Compteur_5"/>
    <x v="1"/>
    <d v="1899-12-30T00:00:00"/>
    <d v="1899-12-30T00:00:00"/>
    <n v="1"/>
    <e v="#VALUE!"/>
    <n v="0"/>
    <e v="#VALUE!"/>
    <s v=""/>
    <e v="#VALUE!"/>
    <n v="0"/>
    <e v="#VALUE!"/>
    <e v="#VALUE!"/>
    <s v=""/>
    <s v=""/>
    <s v=""/>
    <n v="0"/>
    <x v="2"/>
    <x v="5"/>
    <x v="1"/>
    <x v="1"/>
    <n v="251.3"/>
  </r>
  <r>
    <d v="2023-04-01T00:00:00"/>
    <x v="160"/>
    <x v="4"/>
    <x v="14"/>
    <s v="Compteur 5"/>
    <s v="Compteur_5"/>
    <x v="1"/>
    <d v="1899-12-30T00:00:00"/>
    <d v="1899-12-30T00:00:00"/>
    <n v="1"/>
    <e v="#VALUE!"/>
    <n v="0"/>
    <e v="#VALUE!"/>
    <s v=""/>
    <e v="#VALUE!"/>
    <n v="0"/>
    <e v="#VALUE!"/>
    <e v="#VALUE!"/>
    <s v=""/>
    <s v=""/>
    <s v=""/>
    <n v="0"/>
    <x v="2"/>
    <x v="5"/>
    <x v="1"/>
    <x v="1"/>
    <n v="198"/>
  </r>
  <r>
    <d v="2023-05-01T00:00:00"/>
    <x v="161"/>
    <x v="5"/>
    <x v="14"/>
    <s v="Compteur 5"/>
    <s v="Compteur_5"/>
    <x v="1"/>
    <d v="1899-12-30T00:00:00"/>
    <d v="1899-12-30T00:00:00"/>
    <n v="1"/>
    <e v="#VALUE!"/>
    <n v="0"/>
    <e v="#VALUE!"/>
    <s v=""/>
    <e v="#VALUE!"/>
    <n v="0"/>
    <e v="#VALUE!"/>
    <e v="#VALUE!"/>
    <s v=""/>
    <s v=""/>
    <s v=""/>
    <n v="0"/>
    <x v="2"/>
    <x v="5"/>
    <x v="1"/>
    <x v="1"/>
    <n v="86.4"/>
  </r>
  <r>
    <d v="2023-06-01T00:00:00"/>
    <x v="162"/>
    <x v="6"/>
    <x v="14"/>
    <s v="Compteur 5"/>
    <s v="Compteur_5"/>
    <x v="1"/>
    <d v="1899-12-30T00:00:00"/>
    <d v="1899-12-30T00:00:00"/>
    <n v="1"/>
    <e v="#VALUE!"/>
    <n v="0"/>
    <e v="#VALUE!"/>
    <s v=""/>
    <e v="#VALUE!"/>
    <n v="0"/>
    <e v="#VALUE!"/>
    <e v="#VALUE!"/>
    <s v=""/>
    <s v=""/>
    <s v=""/>
    <n v="0"/>
    <x v="2"/>
    <x v="5"/>
    <x v="1"/>
    <x v="1"/>
    <n v="17.3"/>
  </r>
  <r>
    <d v="2023-07-01T00:00:00"/>
    <x v="163"/>
    <x v="7"/>
    <x v="14"/>
    <s v="Compteur 5"/>
    <s v="Compteur_5"/>
    <x v="1"/>
    <d v="1899-12-30T00:00:00"/>
    <d v="1899-12-30T00:00:00"/>
    <n v="1"/>
    <e v="#VALUE!"/>
    <n v="0"/>
    <e v="#VALUE!"/>
    <s v=""/>
    <e v="#VALUE!"/>
    <n v="0"/>
    <e v="#VALUE!"/>
    <e v="#VALUE!"/>
    <s v=""/>
    <s v=""/>
    <s v=""/>
    <n v="0"/>
    <x v="2"/>
    <x v="5"/>
    <x v="1"/>
    <x v="1"/>
    <n v="24.1"/>
  </r>
  <r>
    <d v="2023-08-01T00:00:00"/>
    <x v="164"/>
    <x v="8"/>
    <x v="14"/>
    <s v="Compteur 5"/>
    <s v="Compteur_5"/>
    <x v="1"/>
    <d v="1899-12-30T00:00:00"/>
    <d v="1899-12-30T00:00:00"/>
    <n v="1"/>
    <e v="#VALUE!"/>
    <n v="0"/>
    <e v="#VALUE!"/>
    <s v=""/>
    <e v="#VALUE!"/>
    <n v="0"/>
    <e v="#VALUE!"/>
    <e v="#VALUE!"/>
    <s v=""/>
    <s v=""/>
    <s v=""/>
    <n v="0"/>
    <x v="2"/>
    <x v="5"/>
    <x v="1"/>
    <x v="1"/>
    <n v="27.9"/>
  </r>
  <r>
    <d v="2023-09-01T00:00:00"/>
    <x v="165"/>
    <x v="9"/>
    <x v="14"/>
    <s v="Compteur 5"/>
    <s v="Compteur_5"/>
    <x v="1"/>
    <d v="1899-12-30T00:00:00"/>
    <d v="1899-12-30T00:00:00"/>
    <n v="1"/>
    <e v="#VALUE!"/>
    <n v="0"/>
    <e v="#VALUE!"/>
    <s v=""/>
    <e v="#VALUE!"/>
    <n v="0"/>
    <e v="#VALUE!"/>
    <e v="#VALUE!"/>
    <s v=""/>
    <s v=""/>
    <s v=""/>
    <n v="0"/>
    <x v="2"/>
    <x v="5"/>
    <x v="1"/>
    <x v="1"/>
    <n v="30.5"/>
  </r>
  <r>
    <d v="2023-10-01T00:00:00"/>
    <x v="166"/>
    <x v="10"/>
    <x v="14"/>
    <s v="Compteur 5"/>
    <s v="Compteur_5"/>
    <x v="1"/>
    <d v="1899-12-30T00:00:00"/>
    <d v="1899-12-30T00:00:00"/>
    <n v="1"/>
    <e v="#VALUE!"/>
    <n v="0"/>
    <e v="#VALUE!"/>
    <s v=""/>
    <e v="#VALUE!"/>
    <n v="0"/>
    <e v="#VALUE!"/>
    <e v="#VALUE!"/>
    <s v=""/>
    <s v=""/>
    <s v=""/>
    <n v="0"/>
    <x v="2"/>
    <x v="5"/>
    <x v="1"/>
    <x v="1"/>
    <n v="115.8"/>
  </r>
  <r>
    <d v="2023-11-01T00:00:00"/>
    <x v="167"/>
    <x v="11"/>
    <x v="14"/>
    <s v="Compteur 5"/>
    <s v="Compteur_5"/>
    <x v="1"/>
    <d v="1899-12-30T00:00:00"/>
    <d v="1899-12-30T00:00:00"/>
    <n v="1"/>
    <e v="#VALUE!"/>
    <n v="0"/>
    <e v="#VALUE!"/>
    <s v=""/>
    <e v="#VALUE!"/>
    <n v="0"/>
    <e v="#VALUE!"/>
    <e v="#VALUE!"/>
    <s v=""/>
    <s v=""/>
    <s v=""/>
    <n v="0"/>
    <x v="2"/>
    <x v="5"/>
    <x v="1"/>
    <x v="1"/>
    <n v="239.8"/>
  </r>
  <r>
    <d v="2023-12-01T00:00:00"/>
    <x v="168"/>
    <x v="12"/>
    <x v="14"/>
    <s v="Compteur 5"/>
    <s v="Compteur_5"/>
    <x v="1"/>
    <d v="1899-12-30T00:00:00"/>
    <d v="1899-12-30T00:00:00"/>
    <n v="1"/>
    <e v="#VALUE!"/>
    <n v="0"/>
    <e v="#VALUE!"/>
    <s v=""/>
    <e v="#VALUE!"/>
    <n v="0"/>
    <e v="#VALUE!"/>
    <e v="#VALUE!"/>
    <s v=""/>
    <s v=""/>
    <s v=""/>
    <n v="0"/>
    <x v="2"/>
    <x v="5"/>
    <x v="1"/>
    <x v="1"/>
    <n v="300.89999999999998"/>
  </r>
  <r>
    <d v="2024-01-01T00:00:00"/>
    <x v="169"/>
    <x v="1"/>
    <x v="15"/>
    <s v="Compteur 5"/>
    <s v="Compteur_5"/>
    <x v="1"/>
    <d v="1899-12-30T00:00:00"/>
    <d v="1899-12-30T00:00:00"/>
    <n v="1"/>
    <e v="#VALUE!"/>
    <n v="0"/>
    <e v="#VALUE!"/>
    <s v=""/>
    <e v="#VALUE!"/>
    <n v="0"/>
    <e v="#VALUE!"/>
    <e v="#VALUE!"/>
    <s v=""/>
    <s v=""/>
    <s v=""/>
    <n v="0"/>
    <x v="2"/>
    <x v="5"/>
    <x v="1"/>
    <x v="1"/>
    <n v="0"/>
  </r>
  <r>
    <d v="2024-02-01T00:00:00"/>
    <x v="170"/>
    <x v="2"/>
    <x v="15"/>
    <s v="Compteur 5"/>
    <s v="Compteur_5"/>
    <x v="1"/>
    <d v="1899-12-30T00:00:00"/>
    <d v="1899-12-30T00:00:00"/>
    <n v="1"/>
    <e v="#VALUE!"/>
    <n v="0"/>
    <e v="#VALUE!"/>
    <s v=""/>
    <e v="#VALUE!"/>
    <n v="0"/>
    <e v="#VALUE!"/>
    <e v="#VALUE!"/>
    <s v=""/>
    <s v=""/>
    <s v=""/>
    <n v="0"/>
    <x v="2"/>
    <x v="5"/>
    <x v="1"/>
    <x v="1"/>
    <n v="0"/>
  </r>
  <r>
    <d v="2024-03-01T00:00:00"/>
    <x v="171"/>
    <x v="3"/>
    <x v="15"/>
    <s v="Compteur 5"/>
    <s v="Compteur_5"/>
    <x v="1"/>
    <d v="1899-12-30T00:00:00"/>
    <d v="1899-12-30T00:00:00"/>
    <n v="1"/>
    <e v="#VALUE!"/>
    <n v="0"/>
    <e v="#VALUE!"/>
    <s v=""/>
    <e v="#VALUE!"/>
    <n v="0"/>
    <e v="#VALUE!"/>
    <e v="#VALUE!"/>
    <s v=""/>
    <s v=""/>
    <s v=""/>
    <n v="0"/>
    <x v="2"/>
    <x v="5"/>
    <x v="1"/>
    <x v="1"/>
    <n v="0"/>
  </r>
  <r>
    <d v="2024-04-01T00:00:00"/>
    <x v="172"/>
    <x v="4"/>
    <x v="15"/>
    <s v="Compteur 5"/>
    <s v="Compteur_5"/>
    <x v="1"/>
    <d v="1899-12-30T00:00:00"/>
    <d v="1899-12-30T00:00:00"/>
    <n v="1"/>
    <e v="#VALUE!"/>
    <n v="0"/>
    <e v="#VALUE!"/>
    <s v=""/>
    <e v="#VALUE!"/>
    <n v="0"/>
    <e v="#VALUE!"/>
    <e v="#VALUE!"/>
    <s v=""/>
    <s v=""/>
    <s v=""/>
    <n v="0"/>
    <x v="2"/>
    <x v="5"/>
    <x v="1"/>
    <x v="1"/>
    <n v="0"/>
  </r>
  <r>
    <d v="2024-05-01T00:00:00"/>
    <x v="173"/>
    <x v="5"/>
    <x v="15"/>
    <s v="Compteur 5"/>
    <s v="Compteur_5"/>
    <x v="1"/>
    <d v="1899-12-30T00:00:00"/>
    <d v="1899-12-30T00:00:00"/>
    <n v="1"/>
    <e v="#VALUE!"/>
    <n v="0"/>
    <e v="#VALUE!"/>
    <s v=""/>
    <e v="#VALUE!"/>
    <n v="0"/>
    <e v="#VALUE!"/>
    <e v="#VALUE!"/>
    <s v=""/>
    <s v=""/>
    <s v=""/>
    <n v="0"/>
    <x v="2"/>
    <x v="5"/>
    <x v="1"/>
    <x v="1"/>
    <n v="0"/>
  </r>
  <r>
    <d v="2024-06-01T00:00:00"/>
    <x v="174"/>
    <x v="6"/>
    <x v="15"/>
    <s v="Compteur 5"/>
    <s v="Compteur_5"/>
    <x v="1"/>
    <d v="1899-12-30T00:00:00"/>
    <d v="1899-12-30T00:00:00"/>
    <n v="1"/>
    <e v="#VALUE!"/>
    <n v="0"/>
    <e v="#VALUE!"/>
    <s v=""/>
    <e v="#VALUE!"/>
    <n v="0"/>
    <e v="#VALUE!"/>
    <e v="#VALUE!"/>
    <s v=""/>
    <s v=""/>
    <s v=""/>
    <n v="0"/>
    <x v="2"/>
    <x v="5"/>
    <x v="1"/>
    <x v="1"/>
    <n v="0"/>
  </r>
  <r>
    <d v="2024-07-01T00:00:00"/>
    <x v="175"/>
    <x v="7"/>
    <x v="15"/>
    <s v="Compteur 5"/>
    <s v="Compteur_5"/>
    <x v="1"/>
    <d v="1899-12-30T00:00:00"/>
    <d v="1899-12-30T00:00:00"/>
    <n v="1"/>
    <e v="#VALUE!"/>
    <n v="0"/>
    <e v="#VALUE!"/>
    <s v=""/>
    <e v="#VALUE!"/>
    <n v="0"/>
    <e v="#VALUE!"/>
    <e v="#VALUE!"/>
    <s v=""/>
    <s v=""/>
    <s v=""/>
    <n v="0"/>
    <x v="2"/>
    <x v="5"/>
    <x v="1"/>
    <x v="1"/>
    <n v="0"/>
  </r>
  <r>
    <d v="2024-08-01T00:00:00"/>
    <x v="176"/>
    <x v="8"/>
    <x v="15"/>
    <s v="Compteur 5"/>
    <s v="Compteur_5"/>
    <x v="1"/>
    <d v="1899-12-30T00:00:00"/>
    <d v="1899-12-30T00:00:00"/>
    <n v="1"/>
    <e v="#VALUE!"/>
    <n v="0"/>
    <e v="#VALUE!"/>
    <s v=""/>
    <e v="#VALUE!"/>
    <n v="0"/>
    <e v="#VALUE!"/>
    <e v="#VALUE!"/>
    <s v=""/>
    <s v=""/>
    <s v=""/>
    <n v="0"/>
    <x v="2"/>
    <x v="5"/>
    <x v="1"/>
    <x v="1"/>
    <n v="0"/>
  </r>
  <r>
    <d v="2024-09-01T00:00:00"/>
    <x v="177"/>
    <x v="9"/>
    <x v="15"/>
    <s v="Compteur 5"/>
    <s v="Compteur_5"/>
    <x v="1"/>
    <d v="1899-12-30T00:00:00"/>
    <d v="1899-12-30T00:00:00"/>
    <n v="1"/>
    <e v="#VALUE!"/>
    <n v="0"/>
    <e v="#VALUE!"/>
    <s v=""/>
    <e v="#VALUE!"/>
    <n v="0"/>
    <e v="#VALUE!"/>
    <e v="#VALUE!"/>
    <s v=""/>
    <s v=""/>
    <s v=""/>
    <n v="0"/>
    <x v="2"/>
    <x v="5"/>
    <x v="1"/>
    <x v="1"/>
    <n v="0"/>
  </r>
  <r>
    <d v="2024-10-01T00:00:00"/>
    <x v="178"/>
    <x v="10"/>
    <x v="15"/>
    <s v="Compteur 5"/>
    <s v="Compteur_5"/>
    <x v="1"/>
    <d v="1899-12-30T00:00:00"/>
    <d v="1899-12-30T00:00:00"/>
    <n v="1"/>
    <e v="#VALUE!"/>
    <n v="0"/>
    <e v="#VALUE!"/>
    <s v=""/>
    <e v="#VALUE!"/>
    <n v="0"/>
    <e v="#VALUE!"/>
    <e v="#VALUE!"/>
    <s v=""/>
    <s v=""/>
    <s v=""/>
    <n v="0"/>
    <x v="2"/>
    <x v="5"/>
    <x v="1"/>
    <x v="1"/>
    <n v="0"/>
  </r>
  <r>
    <d v="2024-11-01T00:00:00"/>
    <x v="179"/>
    <x v="11"/>
    <x v="15"/>
    <s v="Compteur 5"/>
    <s v="Compteur_5"/>
    <x v="1"/>
    <d v="1899-12-30T00:00:00"/>
    <d v="1899-12-30T00:00:00"/>
    <n v="1"/>
    <e v="#VALUE!"/>
    <n v="0"/>
    <e v="#VALUE!"/>
    <s v=""/>
    <e v="#VALUE!"/>
    <n v="0"/>
    <e v="#VALUE!"/>
    <e v="#VALUE!"/>
    <s v=""/>
    <s v=""/>
    <s v=""/>
    <n v="0"/>
    <x v="2"/>
    <x v="5"/>
    <x v="1"/>
    <x v="1"/>
    <n v="0"/>
  </r>
  <r>
    <d v="2024-12-01T00:00:00"/>
    <x v="180"/>
    <x v="12"/>
    <x v="15"/>
    <s v="Compteur 5"/>
    <s v="Compteur_5"/>
    <x v="1"/>
    <d v="1899-12-30T00:00:00"/>
    <d v="1899-12-30T00:00:00"/>
    <n v="1"/>
    <e v="#VALUE!"/>
    <n v="0"/>
    <e v="#VALUE!"/>
    <s v=""/>
    <e v="#VALUE!"/>
    <n v="0"/>
    <e v="#VALUE!"/>
    <e v="#VALUE!"/>
    <s v=""/>
    <s v=""/>
    <s v=""/>
    <n v="0"/>
    <x v="2"/>
    <x v="5"/>
    <x v="1"/>
    <x v="1"/>
    <n v="0"/>
  </r>
  <r>
    <d v="2025-01-01T00:00:00"/>
    <x v="181"/>
    <x v="1"/>
    <x v="16"/>
    <s v="Compteur 5"/>
    <s v="Compteur_5"/>
    <x v="1"/>
    <d v="1899-12-30T00:00:00"/>
    <d v="1899-12-30T00:00:00"/>
    <n v="1"/>
    <e v="#VALUE!"/>
    <n v="0"/>
    <e v="#VALUE!"/>
    <s v=""/>
    <e v="#VALUE!"/>
    <n v="0"/>
    <e v="#VALUE!"/>
    <e v="#VALUE!"/>
    <s v=""/>
    <s v=""/>
    <s v=""/>
    <n v="0"/>
    <x v="2"/>
    <x v="5"/>
    <x v="1"/>
    <x v="1"/>
    <n v="0"/>
  </r>
  <r>
    <d v="2025-02-01T00:00:00"/>
    <x v="182"/>
    <x v="2"/>
    <x v="16"/>
    <s v="Compteur 5"/>
    <s v="Compteur_5"/>
    <x v="1"/>
    <d v="1899-12-30T00:00:00"/>
    <d v="1899-12-30T00:00:00"/>
    <n v="1"/>
    <e v="#VALUE!"/>
    <n v="0"/>
    <e v="#VALUE!"/>
    <s v=""/>
    <e v="#VALUE!"/>
    <n v="0"/>
    <e v="#VALUE!"/>
    <e v="#VALUE!"/>
    <s v=""/>
    <s v=""/>
    <s v=""/>
    <n v="0"/>
    <x v="2"/>
    <x v="5"/>
    <x v="1"/>
    <x v="1"/>
    <n v="0"/>
  </r>
  <r>
    <d v="2025-03-01T00:00:00"/>
    <x v="183"/>
    <x v="3"/>
    <x v="16"/>
    <s v="Compteur 5"/>
    <s v="Compteur_5"/>
    <x v="1"/>
    <d v="1899-12-30T00:00:00"/>
    <d v="1899-12-30T00:00:00"/>
    <n v="1"/>
    <e v="#VALUE!"/>
    <n v="0"/>
    <e v="#VALUE!"/>
    <s v=""/>
    <e v="#VALUE!"/>
    <n v="0"/>
    <e v="#VALUE!"/>
    <e v="#VALUE!"/>
    <s v=""/>
    <s v=""/>
    <s v=""/>
    <n v="0"/>
    <x v="2"/>
    <x v="5"/>
    <x v="1"/>
    <x v="1"/>
    <n v="0"/>
  </r>
  <r>
    <d v="2025-04-01T00:00:00"/>
    <x v="184"/>
    <x v="4"/>
    <x v="16"/>
    <s v="Compteur 5"/>
    <s v="Compteur_5"/>
    <x v="1"/>
    <d v="1899-12-30T00:00:00"/>
    <d v="1899-12-30T00:00:00"/>
    <n v="1"/>
    <e v="#VALUE!"/>
    <n v="0"/>
    <e v="#VALUE!"/>
    <s v=""/>
    <e v="#VALUE!"/>
    <n v="0"/>
    <e v="#VALUE!"/>
    <e v="#VALUE!"/>
    <s v=""/>
    <s v=""/>
    <s v=""/>
    <n v="0"/>
    <x v="2"/>
    <x v="5"/>
    <x v="1"/>
    <x v="1"/>
    <n v="0"/>
  </r>
  <r>
    <d v="2025-05-01T00:00:00"/>
    <x v="185"/>
    <x v="5"/>
    <x v="16"/>
    <s v="Compteur 5"/>
    <s v="Compteur_5"/>
    <x v="1"/>
    <d v="1899-12-30T00:00:00"/>
    <d v="1899-12-30T00:00:00"/>
    <n v="1"/>
    <e v="#VALUE!"/>
    <n v="0"/>
    <e v="#VALUE!"/>
    <s v=""/>
    <e v="#VALUE!"/>
    <n v="0"/>
    <e v="#VALUE!"/>
    <e v="#VALUE!"/>
    <s v=""/>
    <s v=""/>
    <s v=""/>
    <n v="0"/>
    <x v="2"/>
    <x v="5"/>
    <x v="1"/>
    <x v="1"/>
    <n v="0"/>
  </r>
  <r>
    <d v="2025-06-01T00:00:00"/>
    <x v="186"/>
    <x v="6"/>
    <x v="16"/>
    <s v="Compteur 5"/>
    <s v="Compteur_5"/>
    <x v="1"/>
    <d v="1899-12-30T00:00:00"/>
    <d v="1899-12-30T00:00:00"/>
    <n v="1"/>
    <e v="#VALUE!"/>
    <n v="0"/>
    <e v="#VALUE!"/>
    <s v=""/>
    <e v="#VALUE!"/>
    <n v="0"/>
    <e v="#VALUE!"/>
    <e v="#VALUE!"/>
    <s v=""/>
    <s v=""/>
    <s v=""/>
    <n v="0"/>
    <x v="2"/>
    <x v="5"/>
    <x v="1"/>
    <x v="1"/>
    <n v="0"/>
  </r>
  <r>
    <d v="2025-07-01T00:00:00"/>
    <x v="187"/>
    <x v="7"/>
    <x v="16"/>
    <s v="Compteur 5"/>
    <s v="Compteur_5"/>
    <x v="1"/>
    <d v="1899-12-30T00:00:00"/>
    <d v="1899-12-30T00:00:00"/>
    <n v="1"/>
    <e v="#VALUE!"/>
    <n v="0"/>
    <e v="#VALUE!"/>
    <s v=""/>
    <e v="#VALUE!"/>
    <n v="0"/>
    <e v="#VALUE!"/>
    <e v="#VALUE!"/>
    <s v=""/>
    <s v=""/>
    <s v=""/>
    <n v="0"/>
    <x v="2"/>
    <x v="5"/>
    <x v="1"/>
    <x v="1"/>
    <n v="0"/>
  </r>
  <r>
    <d v="2025-08-01T00:00:00"/>
    <x v="188"/>
    <x v="8"/>
    <x v="16"/>
    <s v="Compteur 5"/>
    <s v="Compteur_5"/>
    <x v="1"/>
    <d v="1899-12-30T00:00:00"/>
    <d v="1899-12-30T00:00:00"/>
    <n v="1"/>
    <e v="#VALUE!"/>
    <n v="0"/>
    <e v="#VALUE!"/>
    <s v=""/>
    <e v="#VALUE!"/>
    <n v="0"/>
    <e v="#VALUE!"/>
    <e v="#VALUE!"/>
    <s v=""/>
    <s v=""/>
    <s v=""/>
    <n v="0"/>
    <x v="2"/>
    <x v="5"/>
    <x v="1"/>
    <x v="1"/>
    <n v="0"/>
  </r>
  <r>
    <d v="2025-09-01T00:00:00"/>
    <x v="189"/>
    <x v="9"/>
    <x v="16"/>
    <s v="Compteur 5"/>
    <s v="Compteur_5"/>
    <x v="1"/>
    <d v="1899-12-30T00:00:00"/>
    <d v="1899-12-30T00:00:00"/>
    <n v="1"/>
    <e v="#VALUE!"/>
    <n v="0"/>
    <e v="#VALUE!"/>
    <s v=""/>
    <e v="#VALUE!"/>
    <n v="0"/>
    <e v="#VALUE!"/>
    <e v="#VALUE!"/>
    <s v=""/>
    <s v=""/>
    <s v=""/>
    <n v="0"/>
    <x v="2"/>
    <x v="5"/>
    <x v="1"/>
    <x v="1"/>
    <n v="0"/>
  </r>
  <r>
    <d v="2025-10-01T00:00:00"/>
    <x v="190"/>
    <x v="10"/>
    <x v="16"/>
    <s v="Compteur 5"/>
    <s v="Compteur_5"/>
    <x v="1"/>
    <d v="1899-12-30T00:00:00"/>
    <d v="1899-12-30T00:00:00"/>
    <n v="1"/>
    <e v="#VALUE!"/>
    <n v="0"/>
    <e v="#VALUE!"/>
    <s v=""/>
    <e v="#VALUE!"/>
    <n v="0"/>
    <e v="#VALUE!"/>
    <e v="#VALUE!"/>
    <s v=""/>
    <s v=""/>
    <s v=""/>
    <n v="0"/>
    <x v="2"/>
    <x v="5"/>
    <x v="1"/>
    <x v="1"/>
    <n v="0"/>
  </r>
  <r>
    <d v="2025-11-01T00:00:00"/>
    <x v="191"/>
    <x v="11"/>
    <x v="16"/>
    <s v="Compteur 5"/>
    <s v="Compteur_5"/>
    <x v="1"/>
    <d v="1899-12-30T00:00:00"/>
    <d v="1899-12-30T00:00:00"/>
    <n v="1"/>
    <e v="#VALUE!"/>
    <n v="0"/>
    <e v="#VALUE!"/>
    <s v=""/>
    <e v="#VALUE!"/>
    <n v="0"/>
    <e v="#VALUE!"/>
    <e v="#VALUE!"/>
    <s v=""/>
    <s v=""/>
    <s v=""/>
    <n v="0"/>
    <x v="2"/>
    <x v="5"/>
    <x v="1"/>
    <x v="1"/>
    <n v="0"/>
  </r>
  <r>
    <d v="2025-12-01T00:00:00"/>
    <x v="192"/>
    <x v="12"/>
    <x v="16"/>
    <s v="Compteur 5"/>
    <s v="Compteur_5"/>
    <x v="1"/>
    <d v="1899-12-30T00:00:00"/>
    <d v="1899-12-30T00:00:00"/>
    <n v="1"/>
    <e v="#VALUE!"/>
    <n v="0"/>
    <e v="#VALUE!"/>
    <s v=""/>
    <e v="#VALUE!"/>
    <n v="0"/>
    <e v="#VALUE!"/>
    <e v="#VALUE!"/>
    <s v=""/>
    <s v=""/>
    <s v=""/>
    <n v="0"/>
    <x v="2"/>
    <x v="5"/>
    <x v="1"/>
    <x v="1"/>
    <n v="0"/>
  </r>
  <r>
    <d v="2010-01-01T00:00:00"/>
    <x v="1"/>
    <x v="1"/>
    <x v="1"/>
    <s v="Compteur 6"/>
    <s v="Compteur_6"/>
    <x v="1"/>
    <d v="1899-12-30T00:00:00"/>
    <d v="1899-12-30T00:00:00"/>
    <n v="1"/>
    <e v="#VALUE!"/>
    <n v="0"/>
    <e v="#VALUE!"/>
    <s v=""/>
    <e v="#VALUE!"/>
    <n v="0"/>
    <e v="#VALUE!"/>
    <e v="#VALUE!"/>
    <s v=""/>
    <s v=""/>
    <s v=""/>
    <n v="0"/>
    <x v="2"/>
    <x v="5"/>
    <x v="1"/>
    <x v="1"/>
    <n v="487.6"/>
  </r>
  <r>
    <d v="2010-02-01T00:00:00"/>
    <x v="2"/>
    <x v="2"/>
    <x v="1"/>
    <s v="Compteur 6"/>
    <s v="Compteur_6"/>
    <x v="1"/>
    <d v="1899-12-30T00:00:00"/>
    <d v="1899-12-30T00:00:00"/>
    <n v="1"/>
    <e v="#VALUE!"/>
    <n v="0"/>
    <e v="#VALUE!"/>
    <s v=""/>
    <e v="#VALUE!"/>
    <n v="0"/>
    <e v="#VALUE!"/>
    <e v="#VALUE!"/>
    <s v=""/>
    <s v=""/>
    <s v=""/>
    <n v="0"/>
    <x v="2"/>
    <x v="5"/>
    <x v="1"/>
    <x v="1"/>
    <n v="370.3"/>
  </r>
  <r>
    <d v="2010-03-01T00:00:00"/>
    <x v="3"/>
    <x v="3"/>
    <x v="1"/>
    <s v="Compteur 6"/>
    <s v="Compteur_6"/>
    <x v="1"/>
    <d v="1899-12-30T00:00:00"/>
    <d v="1899-12-30T00:00:00"/>
    <n v="1"/>
    <e v="#VALUE!"/>
    <n v="0"/>
    <e v="#VALUE!"/>
    <s v=""/>
    <e v="#VALUE!"/>
    <n v="0"/>
    <e v="#VALUE!"/>
    <e v="#VALUE!"/>
    <s v=""/>
    <s v=""/>
    <s v=""/>
    <n v="0"/>
    <x v="2"/>
    <x v="5"/>
    <x v="1"/>
    <x v="1"/>
    <n v="312.8"/>
  </r>
  <r>
    <d v="2010-04-01T00:00:00"/>
    <x v="4"/>
    <x v="4"/>
    <x v="1"/>
    <s v="Compteur 6"/>
    <s v="Compteur_6"/>
    <x v="1"/>
    <d v="1899-12-30T00:00:00"/>
    <d v="1899-12-30T00:00:00"/>
    <n v="1"/>
    <e v="#VALUE!"/>
    <n v="0"/>
    <e v="#VALUE!"/>
    <s v=""/>
    <e v="#VALUE!"/>
    <n v="0"/>
    <e v="#VALUE!"/>
    <e v="#VALUE!"/>
    <s v=""/>
    <s v=""/>
    <s v=""/>
    <n v="0"/>
    <x v="2"/>
    <x v="5"/>
    <x v="1"/>
    <x v="1"/>
    <n v="199.2"/>
  </r>
  <r>
    <d v="2010-05-01T00:00:00"/>
    <x v="5"/>
    <x v="5"/>
    <x v="1"/>
    <s v="Compteur 6"/>
    <s v="Compteur_6"/>
    <x v="1"/>
    <d v="1899-12-30T00:00:00"/>
    <d v="1899-12-30T00:00:00"/>
    <n v="1"/>
    <e v="#VALUE!"/>
    <n v="0"/>
    <e v="#VALUE!"/>
    <s v=""/>
    <e v="#VALUE!"/>
    <n v="0"/>
    <e v="#VALUE!"/>
    <e v="#VALUE!"/>
    <s v=""/>
    <s v=""/>
    <s v=""/>
    <n v="0"/>
    <x v="2"/>
    <x v="5"/>
    <x v="1"/>
    <x v="1"/>
    <n v="155.4"/>
  </r>
  <r>
    <d v="2010-06-01T00:00:00"/>
    <x v="6"/>
    <x v="6"/>
    <x v="1"/>
    <s v="Compteur 6"/>
    <s v="Compteur_6"/>
    <x v="1"/>
    <d v="1899-12-30T00:00:00"/>
    <d v="1899-12-30T00:00:00"/>
    <n v="1"/>
    <e v="#VALUE!"/>
    <n v="0"/>
    <e v="#VALUE!"/>
    <s v=""/>
    <e v="#VALUE!"/>
    <n v="0"/>
    <e v="#VALUE!"/>
    <e v="#VALUE!"/>
    <s v=""/>
    <s v=""/>
    <s v=""/>
    <n v="0"/>
    <x v="2"/>
    <x v="5"/>
    <x v="1"/>
    <x v="1"/>
    <n v="46.7"/>
  </r>
  <r>
    <d v="2010-07-01T00:00:00"/>
    <x v="7"/>
    <x v="7"/>
    <x v="1"/>
    <s v="Compteur 6"/>
    <s v="Compteur_6"/>
    <x v="1"/>
    <d v="1899-12-30T00:00:00"/>
    <d v="1899-12-30T00:00:00"/>
    <n v="1"/>
    <e v="#VALUE!"/>
    <n v="0"/>
    <e v="#VALUE!"/>
    <s v=""/>
    <e v="#VALUE!"/>
    <n v="0"/>
    <e v="#VALUE!"/>
    <e v="#VALUE!"/>
    <s v=""/>
    <s v=""/>
    <s v=""/>
    <n v="0"/>
    <x v="2"/>
    <x v="5"/>
    <x v="1"/>
    <x v="1"/>
    <n v="22.2"/>
  </r>
  <r>
    <d v="2010-08-01T00:00:00"/>
    <x v="8"/>
    <x v="8"/>
    <x v="1"/>
    <s v="Compteur 6"/>
    <s v="Compteur_6"/>
    <x v="1"/>
    <d v="1899-12-30T00:00:00"/>
    <d v="1899-12-30T00:00:00"/>
    <n v="1"/>
    <e v="#VALUE!"/>
    <n v="0"/>
    <e v="#VALUE!"/>
    <s v=""/>
    <e v="#VALUE!"/>
    <n v="0"/>
    <e v="#VALUE!"/>
    <e v="#VALUE!"/>
    <s v=""/>
    <s v=""/>
    <s v=""/>
    <n v="0"/>
    <x v="2"/>
    <x v="5"/>
    <x v="1"/>
    <x v="1"/>
    <n v="41.5"/>
  </r>
  <r>
    <d v="2010-09-01T00:00:00"/>
    <x v="9"/>
    <x v="9"/>
    <x v="1"/>
    <s v="Compteur 6"/>
    <s v="Compteur_6"/>
    <x v="1"/>
    <d v="1899-12-30T00:00:00"/>
    <d v="1899-12-30T00:00:00"/>
    <n v="1"/>
    <e v="#VALUE!"/>
    <n v="0"/>
    <e v="#VALUE!"/>
    <s v=""/>
    <e v="#VALUE!"/>
    <n v="0"/>
    <e v="#VALUE!"/>
    <e v="#VALUE!"/>
    <s v=""/>
    <s v=""/>
    <s v=""/>
    <n v="0"/>
    <x v="2"/>
    <x v="5"/>
    <x v="1"/>
    <x v="1"/>
    <n v="95.4"/>
  </r>
  <r>
    <d v="2010-10-01T00:00:00"/>
    <x v="10"/>
    <x v="10"/>
    <x v="1"/>
    <s v="Compteur 6"/>
    <s v="Compteur_6"/>
    <x v="1"/>
    <d v="1899-12-30T00:00:00"/>
    <d v="1899-12-30T00:00:00"/>
    <n v="1"/>
    <e v="#VALUE!"/>
    <n v="0"/>
    <e v="#VALUE!"/>
    <s v=""/>
    <e v="#VALUE!"/>
    <n v="0"/>
    <e v="#VALUE!"/>
    <e v="#VALUE!"/>
    <s v=""/>
    <s v=""/>
    <s v=""/>
    <n v="0"/>
    <x v="2"/>
    <x v="5"/>
    <x v="1"/>
    <x v="1"/>
    <n v="190.1"/>
  </r>
  <r>
    <d v="2010-11-01T00:00:00"/>
    <x v="11"/>
    <x v="11"/>
    <x v="1"/>
    <s v="Compteur 6"/>
    <s v="Compteur_6"/>
    <x v="1"/>
    <d v="1899-12-30T00:00:00"/>
    <d v="1899-12-30T00:00:00"/>
    <n v="1"/>
    <e v="#VALUE!"/>
    <n v="0"/>
    <e v="#VALUE!"/>
    <s v=""/>
    <e v="#VALUE!"/>
    <n v="0"/>
    <e v="#VALUE!"/>
    <e v="#VALUE!"/>
    <s v=""/>
    <s v=""/>
    <s v=""/>
    <n v="0"/>
    <x v="2"/>
    <x v="5"/>
    <x v="1"/>
    <x v="1"/>
    <n v="320.89999999999998"/>
  </r>
  <r>
    <d v="2010-12-01T00:00:00"/>
    <x v="12"/>
    <x v="12"/>
    <x v="1"/>
    <s v="Compteur 6"/>
    <s v="Compteur_6"/>
    <x v="1"/>
    <d v="1899-12-30T00:00:00"/>
    <d v="1899-12-30T00:00:00"/>
    <n v="1"/>
    <e v="#VALUE!"/>
    <n v="0"/>
    <e v="#VALUE!"/>
    <s v=""/>
    <e v="#VALUE!"/>
    <n v="0"/>
    <e v="#VALUE!"/>
    <e v="#VALUE!"/>
    <s v=""/>
    <s v=""/>
    <s v=""/>
    <n v="0"/>
    <x v="2"/>
    <x v="5"/>
    <x v="1"/>
    <x v="1"/>
    <n v="500.7"/>
  </r>
  <r>
    <d v="2011-01-01T00:00:00"/>
    <x v="13"/>
    <x v="1"/>
    <x v="2"/>
    <s v="Compteur 6"/>
    <s v="Compteur_6"/>
    <x v="1"/>
    <d v="1899-12-30T00:00:00"/>
    <d v="1899-12-30T00:00:00"/>
    <n v="1"/>
    <e v="#VALUE!"/>
    <n v="0"/>
    <e v="#VALUE!"/>
    <s v=""/>
    <e v="#VALUE!"/>
    <n v="0"/>
    <e v="#VALUE!"/>
    <e v="#VALUE!"/>
    <s v=""/>
    <s v=""/>
    <s v=""/>
    <n v="0"/>
    <x v="2"/>
    <x v="5"/>
    <x v="1"/>
    <x v="1"/>
    <n v="392.2"/>
  </r>
  <r>
    <d v="2011-02-01T00:00:00"/>
    <x v="14"/>
    <x v="2"/>
    <x v="2"/>
    <s v="Compteur 6"/>
    <s v="Compteur_6"/>
    <x v="1"/>
    <d v="1899-12-30T00:00:00"/>
    <d v="1899-12-30T00:00:00"/>
    <n v="1"/>
    <e v="#VALUE!"/>
    <n v="0"/>
    <e v="#VALUE!"/>
    <s v=""/>
    <e v="#VALUE!"/>
    <n v="0"/>
    <e v="#VALUE!"/>
    <e v="#VALUE!"/>
    <s v=""/>
    <s v=""/>
    <s v=""/>
    <n v="0"/>
    <x v="2"/>
    <x v="5"/>
    <x v="1"/>
    <x v="1"/>
    <n v="299.10000000000002"/>
  </r>
  <r>
    <d v="2011-03-01T00:00:00"/>
    <x v="15"/>
    <x v="3"/>
    <x v="2"/>
    <s v="Compteur 6"/>
    <s v="Compteur_6"/>
    <x v="1"/>
    <d v="1899-12-30T00:00:00"/>
    <d v="1899-12-30T00:00:00"/>
    <n v="1"/>
    <e v="#VALUE!"/>
    <n v="0"/>
    <e v="#VALUE!"/>
    <s v=""/>
    <e v="#VALUE!"/>
    <n v="0"/>
    <e v="#VALUE!"/>
    <e v="#VALUE!"/>
    <s v=""/>
    <s v=""/>
    <s v=""/>
    <n v="0"/>
    <x v="2"/>
    <x v="5"/>
    <x v="1"/>
    <x v="1"/>
    <n v="266.5"/>
  </r>
  <r>
    <d v="2011-04-01T00:00:00"/>
    <x v="16"/>
    <x v="4"/>
    <x v="2"/>
    <s v="Compteur 6"/>
    <s v="Compteur_6"/>
    <x v="1"/>
    <d v="1899-12-30T00:00:00"/>
    <d v="1899-12-30T00:00:00"/>
    <n v="1"/>
    <e v="#VALUE!"/>
    <n v="0"/>
    <e v="#VALUE!"/>
    <s v=""/>
    <e v="#VALUE!"/>
    <n v="0"/>
    <e v="#VALUE!"/>
    <e v="#VALUE!"/>
    <s v=""/>
    <s v=""/>
    <s v=""/>
    <n v="0"/>
    <x v="2"/>
    <x v="5"/>
    <x v="1"/>
    <x v="1"/>
    <n v="136.19999999999999"/>
  </r>
  <r>
    <d v="2011-05-01T00:00:00"/>
    <x v="17"/>
    <x v="5"/>
    <x v="2"/>
    <s v="Compteur 6"/>
    <s v="Compteur_6"/>
    <x v="1"/>
    <d v="1899-12-30T00:00:00"/>
    <d v="1899-12-30T00:00:00"/>
    <n v="1"/>
    <e v="#VALUE!"/>
    <n v="0"/>
    <e v="#VALUE!"/>
    <s v=""/>
    <e v="#VALUE!"/>
    <n v="0"/>
    <e v="#VALUE!"/>
    <e v="#VALUE!"/>
    <s v=""/>
    <s v=""/>
    <s v=""/>
    <n v="0"/>
    <x v="2"/>
    <x v="5"/>
    <x v="1"/>
    <x v="1"/>
    <n v="91.9"/>
  </r>
  <r>
    <d v="2011-06-01T00:00:00"/>
    <x v="18"/>
    <x v="6"/>
    <x v="2"/>
    <s v="Compteur 6"/>
    <s v="Compteur_6"/>
    <x v="1"/>
    <d v="1899-12-30T00:00:00"/>
    <d v="1899-12-30T00:00:00"/>
    <n v="1"/>
    <e v="#VALUE!"/>
    <n v="0"/>
    <e v="#VALUE!"/>
    <s v=""/>
    <e v="#VALUE!"/>
    <n v="0"/>
    <e v="#VALUE!"/>
    <e v="#VALUE!"/>
    <s v=""/>
    <s v=""/>
    <s v=""/>
    <n v="0"/>
    <x v="2"/>
    <x v="5"/>
    <x v="1"/>
    <x v="1"/>
    <n v="55.8"/>
  </r>
  <r>
    <d v="2011-07-01T00:00:00"/>
    <x v="19"/>
    <x v="7"/>
    <x v="2"/>
    <s v="Compteur 6"/>
    <s v="Compteur_6"/>
    <x v="1"/>
    <d v="1899-12-30T00:00:00"/>
    <d v="1899-12-30T00:00:00"/>
    <n v="1"/>
    <e v="#VALUE!"/>
    <n v="0"/>
    <e v="#VALUE!"/>
    <s v=""/>
    <e v="#VALUE!"/>
    <n v="0"/>
    <e v="#VALUE!"/>
    <e v="#VALUE!"/>
    <s v=""/>
    <s v=""/>
    <s v=""/>
    <n v="0"/>
    <x v="2"/>
    <x v="5"/>
    <x v="1"/>
    <x v="1"/>
    <n v="50.8"/>
  </r>
  <r>
    <d v="2011-08-01T00:00:00"/>
    <x v="20"/>
    <x v="8"/>
    <x v="2"/>
    <s v="Compteur 6"/>
    <s v="Compteur_6"/>
    <x v="1"/>
    <d v="1899-12-30T00:00:00"/>
    <d v="1899-12-30T00:00:00"/>
    <n v="1"/>
    <e v="#VALUE!"/>
    <n v="0"/>
    <e v="#VALUE!"/>
    <s v=""/>
    <e v="#VALUE!"/>
    <n v="0"/>
    <e v="#VALUE!"/>
    <e v="#VALUE!"/>
    <s v=""/>
    <s v=""/>
    <s v=""/>
    <n v="0"/>
    <x v="2"/>
    <x v="5"/>
    <x v="1"/>
    <x v="1"/>
    <n v="34.700000000000003"/>
  </r>
  <r>
    <d v="2011-09-01T00:00:00"/>
    <x v="21"/>
    <x v="9"/>
    <x v="2"/>
    <s v="Compteur 6"/>
    <s v="Compteur_6"/>
    <x v="1"/>
    <d v="1899-12-30T00:00:00"/>
    <d v="1899-12-30T00:00:00"/>
    <n v="1"/>
    <e v="#VALUE!"/>
    <n v="0"/>
    <e v="#VALUE!"/>
    <s v=""/>
    <e v="#VALUE!"/>
    <n v="0"/>
    <e v="#VALUE!"/>
    <e v="#VALUE!"/>
    <s v=""/>
    <s v=""/>
    <s v=""/>
    <n v="0"/>
    <x v="2"/>
    <x v="5"/>
    <x v="1"/>
    <x v="1"/>
    <n v="51.3"/>
  </r>
  <r>
    <d v="2011-10-01T00:00:00"/>
    <x v="22"/>
    <x v="10"/>
    <x v="2"/>
    <s v="Compteur 6"/>
    <s v="Compteur_6"/>
    <x v="1"/>
    <d v="1899-12-30T00:00:00"/>
    <d v="1899-12-30T00:00:00"/>
    <n v="1"/>
    <e v="#VALUE!"/>
    <n v="0"/>
    <e v="#VALUE!"/>
    <s v=""/>
    <e v="#VALUE!"/>
    <n v="0"/>
    <e v="#VALUE!"/>
    <e v="#VALUE!"/>
    <s v=""/>
    <s v=""/>
    <s v=""/>
    <n v="0"/>
    <x v="2"/>
    <x v="5"/>
    <x v="1"/>
    <x v="1"/>
    <n v="145.6"/>
  </r>
  <r>
    <d v="2011-11-01T00:00:00"/>
    <x v="23"/>
    <x v="11"/>
    <x v="2"/>
    <s v="Compteur 6"/>
    <s v="Compteur_6"/>
    <x v="1"/>
    <d v="1899-12-30T00:00:00"/>
    <d v="1899-12-30T00:00:00"/>
    <n v="1"/>
    <e v="#VALUE!"/>
    <n v="0"/>
    <e v="#VALUE!"/>
    <s v=""/>
    <e v="#VALUE!"/>
    <n v="0"/>
    <e v="#VALUE!"/>
    <e v="#VALUE!"/>
    <s v=""/>
    <s v=""/>
    <s v=""/>
    <n v="0"/>
    <x v="2"/>
    <x v="5"/>
    <x v="1"/>
    <x v="1"/>
    <n v="205.3"/>
  </r>
  <r>
    <d v="2011-12-01T00:00:00"/>
    <x v="24"/>
    <x v="12"/>
    <x v="2"/>
    <s v="Compteur 6"/>
    <s v="Compteur_6"/>
    <x v="1"/>
    <d v="1899-12-30T00:00:00"/>
    <d v="1899-12-30T00:00:00"/>
    <n v="1"/>
    <e v="#VALUE!"/>
    <n v="0"/>
    <e v="#VALUE!"/>
    <s v=""/>
    <e v="#VALUE!"/>
    <n v="0"/>
    <e v="#VALUE!"/>
    <e v="#VALUE!"/>
    <s v=""/>
    <s v=""/>
    <s v=""/>
    <n v="0"/>
    <x v="2"/>
    <x v="5"/>
    <x v="1"/>
    <x v="1"/>
    <n v="307.5"/>
  </r>
  <r>
    <d v="2012-01-01T00:00:00"/>
    <x v="25"/>
    <x v="1"/>
    <x v="3"/>
    <s v="Compteur 6"/>
    <s v="Compteur_6"/>
    <x v="1"/>
    <d v="1899-12-30T00:00:00"/>
    <d v="1899-12-30T00:00:00"/>
    <n v="1"/>
    <e v="#VALUE!"/>
    <n v="0"/>
    <e v="#VALUE!"/>
    <s v=""/>
    <e v="#VALUE!"/>
    <n v="0"/>
    <e v="#VALUE!"/>
    <e v="#VALUE!"/>
    <s v=""/>
    <s v=""/>
    <s v=""/>
    <n v="0"/>
    <x v="2"/>
    <x v="5"/>
    <x v="1"/>
    <x v="1"/>
    <n v="348.8"/>
  </r>
  <r>
    <d v="2012-02-01T00:00:00"/>
    <x v="26"/>
    <x v="2"/>
    <x v="3"/>
    <s v="Compteur 6"/>
    <s v="Compteur_6"/>
    <x v="1"/>
    <d v="1899-12-30T00:00:00"/>
    <d v="1899-12-30T00:00:00"/>
    <n v="1"/>
    <e v="#VALUE!"/>
    <n v="0"/>
    <e v="#VALUE!"/>
    <s v=""/>
    <e v="#VALUE!"/>
    <n v="0"/>
    <e v="#VALUE!"/>
    <e v="#VALUE!"/>
    <s v=""/>
    <s v=""/>
    <s v=""/>
    <n v="0"/>
    <x v="2"/>
    <x v="5"/>
    <x v="1"/>
    <x v="1"/>
    <n v="469.8"/>
  </r>
  <r>
    <d v="2012-03-01T00:00:00"/>
    <x v="27"/>
    <x v="3"/>
    <x v="3"/>
    <s v="Compteur 6"/>
    <s v="Compteur_6"/>
    <x v="1"/>
    <d v="1899-12-30T00:00:00"/>
    <d v="1899-12-30T00:00:00"/>
    <n v="1"/>
    <e v="#VALUE!"/>
    <n v="0"/>
    <e v="#VALUE!"/>
    <s v=""/>
    <e v="#VALUE!"/>
    <n v="0"/>
    <e v="#VALUE!"/>
    <e v="#VALUE!"/>
    <s v=""/>
    <s v=""/>
    <s v=""/>
    <n v="0"/>
    <x v="2"/>
    <x v="5"/>
    <x v="1"/>
    <x v="1"/>
    <n v="247.3"/>
  </r>
  <r>
    <d v="2012-04-01T00:00:00"/>
    <x v="28"/>
    <x v="4"/>
    <x v="3"/>
    <s v="Compteur 6"/>
    <s v="Compteur_6"/>
    <x v="1"/>
    <d v="1899-12-30T00:00:00"/>
    <d v="1899-12-30T00:00:00"/>
    <n v="1"/>
    <e v="#VALUE!"/>
    <n v="0"/>
    <e v="#VALUE!"/>
    <s v=""/>
    <e v="#VALUE!"/>
    <n v="0"/>
    <e v="#VALUE!"/>
    <e v="#VALUE!"/>
    <s v=""/>
    <s v=""/>
    <s v=""/>
    <n v="0"/>
    <x v="2"/>
    <x v="5"/>
    <x v="1"/>
    <x v="1"/>
    <n v="253.8"/>
  </r>
  <r>
    <d v="2012-05-01T00:00:00"/>
    <x v="29"/>
    <x v="5"/>
    <x v="3"/>
    <s v="Compteur 6"/>
    <s v="Compteur_6"/>
    <x v="1"/>
    <d v="1899-12-30T00:00:00"/>
    <d v="1899-12-30T00:00:00"/>
    <n v="1"/>
    <e v="#VALUE!"/>
    <n v="0"/>
    <e v="#VALUE!"/>
    <s v=""/>
    <e v="#VALUE!"/>
    <n v="0"/>
    <e v="#VALUE!"/>
    <e v="#VALUE!"/>
    <s v=""/>
    <s v=""/>
    <s v=""/>
    <n v="0"/>
    <x v="2"/>
    <x v="5"/>
    <x v="1"/>
    <x v="1"/>
    <n v="113.8"/>
  </r>
  <r>
    <d v="2012-06-01T00:00:00"/>
    <x v="30"/>
    <x v="6"/>
    <x v="3"/>
    <s v="Compteur 6"/>
    <s v="Compteur_6"/>
    <x v="1"/>
    <d v="1899-12-30T00:00:00"/>
    <d v="1899-12-30T00:00:00"/>
    <n v="1"/>
    <e v="#VALUE!"/>
    <n v="0"/>
    <e v="#VALUE!"/>
    <s v=""/>
    <e v="#VALUE!"/>
    <n v="0"/>
    <e v="#VALUE!"/>
    <e v="#VALUE!"/>
    <s v=""/>
    <s v=""/>
    <s v=""/>
    <n v="0"/>
    <x v="2"/>
    <x v="5"/>
    <x v="1"/>
    <x v="1"/>
    <n v="59.4"/>
  </r>
  <r>
    <d v="2012-07-01T00:00:00"/>
    <x v="31"/>
    <x v="7"/>
    <x v="3"/>
    <s v="Compteur 6"/>
    <s v="Compteur_6"/>
    <x v="1"/>
    <d v="1899-12-30T00:00:00"/>
    <d v="1899-12-30T00:00:00"/>
    <n v="1"/>
    <e v="#VALUE!"/>
    <n v="0"/>
    <e v="#VALUE!"/>
    <s v=""/>
    <e v="#VALUE!"/>
    <n v="0"/>
    <e v="#VALUE!"/>
    <e v="#VALUE!"/>
    <s v=""/>
    <s v=""/>
    <s v=""/>
    <n v="0"/>
    <x v="2"/>
    <x v="5"/>
    <x v="1"/>
    <x v="1"/>
    <n v="48.9"/>
  </r>
  <r>
    <d v="2012-08-01T00:00:00"/>
    <x v="32"/>
    <x v="8"/>
    <x v="3"/>
    <s v="Compteur 6"/>
    <s v="Compteur_6"/>
    <x v="1"/>
    <d v="1899-12-30T00:00:00"/>
    <d v="1899-12-30T00:00:00"/>
    <n v="1"/>
    <e v="#VALUE!"/>
    <n v="0"/>
    <e v="#VALUE!"/>
    <s v=""/>
    <e v="#VALUE!"/>
    <n v="0"/>
    <e v="#VALUE!"/>
    <e v="#VALUE!"/>
    <s v=""/>
    <s v=""/>
    <s v=""/>
    <n v="0"/>
    <x v="2"/>
    <x v="5"/>
    <x v="1"/>
    <x v="1"/>
    <n v="28.8"/>
  </r>
  <r>
    <d v="2012-09-01T00:00:00"/>
    <x v="33"/>
    <x v="9"/>
    <x v="3"/>
    <s v="Compteur 6"/>
    <s v="Compteur_6"/>
    <x v="1"/>
    <d v="1899-12-30T00:00:00"/>
    <d v="1899-12-30T00:00:00"/>
    <n v="1"/>
    <e v="#VALUE!"/>
    <n v="0"/>
    <e v="#VALUE!"/>
    <s v=""/>
    <e v="#VALUE!"/>
    <n v="0"/>
    <e v="#VALUE!"/>
    <e v="#VALUE!"/>
    <s v=""/>
    <s v=""/>
    <s v=""/>
    <n v="0"/>
    <x v="2"/>
    <x v="5"/>
    <x v="1"/>
    <x v="1"/>
    <n v="108.1"/>
  </r>
  <r>
    <d v="2012-10-01T00:00:00"/>
    <x v="34"/>
    <x v="10"/>
    <x v="3"/>
    <s v="Compteur 6"/>
    <s v="Compteur_6"/>
    <x v="1"/>
    <d v="1899-12-30T00:00:00"/>
    <d v="1899-12-30T00:00:00"/>
    <n v="1"/>
    <e v="#VALUE!"/>
    <n v="0"/>
    <e v="#VALUE!"/>
    <s v=""/>
    <e v="#VALUE!"/>
    <n v="0"/>
    <e v="#VALUE!"/>
    <e v="#VALUE!"/>
    <s v=""/>
    <s v=""/>
    <s v=""/>
    <n v="0"/>
    <x v="2"/>
    <x v="5"/>
    <x v="1"/>
    <x v="1"/>
    <n v="161.69999999999999"/>
  </r>
  <r>
    <d v="2012-11-01T00:00:00"/>
    <x v="35"/>
    <x v="11"/>
    <x v="3"/>
    <s v="Compteur 6"/>
    <s v="Compteur_6"/>
    <x v="1"/>
    <d v="1899-12-30T00:00:00"/>
    <d v="1899-12-30T00:00:00"/>
    <n v="1"/>
    <e v="#VALUE!"/>
    <n v="0"/>
    <e v="#VALUE!"/>
    <s v=""/>
    <e v="#VALUE!"/>
    <n v="0"/>
    <e v="#VALUE!"/>
    <e v="#VALUE!"/>
    <s v=""/>
    <s v=""/>
    <s v=""/>
    <n v="0"/>
    <x v="2"/>
    <x v="5"/>
    <x v="1"/>
    <x v="1"/>
    <n v="300.39999999999998"/>
  </r>
  <r>
    <d v="2012-12-01T00:00:00"/>
    <x v="36"/>
    <x v="12"/>
    <x v="3"/>
    <s v="Compteur 6"/>
    <s v="Compteur_6"/>
    <x v="1"/>
    <d v="1899-12-30T00:00:00"/>
    <d v="1899-12-30T00:00:00"/>
    <n v="1"/>
    <e v="#VALUE!"/>
    <n v="0"/>
    <e v="#VALUE!"/>
    <s v=""/>
    <e v="#VALUE!"/>
    <n v="0"/>
    <e v="#VALUE!"/>
    <e v="#VALUE!"/>
    <s v=""/>
    <s v=""/>
    <s v=""/>
    <n v="0"/>
    <x v="2"/>
    <x v="5"/>
    <x v="1"/>
    <x v="1"/>
    <n v="333.7"/>
  </r>
  <r>
    <d v="2013-01-01T00:00:00"/>
    <x v="37"/>
    <x v="1"/>
    <x v="4"/>
    <s v="Compteur 6"/>
    <s v="Compteur_6"/>
    <x v="1"/>
    <d v="1899-12-30T00:00:00"/>
    <d v="1899-12-30T00:00:00"/>
    <n v="1"/>
    <e v="#VALUE!"/>
    <n v="0"/>
    <e v="#VALUE!"/>
    <s v=""/>
    <e v="#VALUE!"/>
    <n v="0"/>
    <e v="#VALUE!"/>
    <e v="#VALUE!"/>
    <s v=""/>
    <s v=""/>
    <s v=""/>
    <n v="0"/>
    <x v="2"/>
    <x v="5"/>
    <x v="1"/>
    <x v="1"/>
    <n v="409.5"/>
  </r>
  <r>
    <d v="2013-02-01T00:00:00"/>
    <x v="38"/>
    <x v="2"/>
    <x v="4"/>
    <s v="Compteur 6"/>
    <s v="Compteur_6"/>
    <x v="1"/>
    <d v="1899-12-30T00:00:00"/>
    <d v="1899-12-30T00:00:00"/>
    <n v="1"/>
    <e v="#VALUE!"/>
    <n v="0"/>
    <e v="#VALUE!"/>
    <s v=""/>
    <e v="#VALUE!"/>
    <n v="0"/>
    <e v="#VALUE!"/>
    <e v="#VALUE!"/>
    <s v=""/>
    <s v=""/>
    <s v=""/>
    <n v="0"/>
    <x v="2"/>
    <x v="5"/>
    <x v="1"/>
    <x v="1"/>
    <n v="389.8"/>
  </r>
  <r>
    <d v="2013-03-01T00:00:00"/>
    <x v="39"/>
    <x v="3"/>
    <x v="4"/>
    <s v="Compteur 6"/>
    <s v="Compteur_6"/>
    <x v="1"/>
    <d v="1899-12-30T00:00:00"/>
    <d v="1899-12-30T00:00:00"/>
    <n v="1"/>
    <e v="#VALUE!"/>
    <n v="0"/>
    <e v="#VALUE!"/>
    <s v=""/>
    <e v="#VALUE!"/>
    <n v="0"/>
    <e v="#VALUE!"/>
    <e v="#VALUE!"/>
    <s v=""/>
    <s v=""/>
    <s v=""/>
    <n v="0"/>
    <x v="2"/>
    <x v="5"/>
    <x v="1"/>
    <x v="1"/>
    <n v="360.4"/>
  </r>
  <r>
    <d v="2013-04-01T00:00:00"/>
    <x v="40"/>
    <x v="4"/>
    <x v="4"/>
    <s v="Compteur 6"/>
    <s v="Compteur_6"/>
    <x v="1"/>
    <d v="1899-12-30T00:00:00"/>
    <d v="1899-12-30T00:00:00"/>
    <n v="1"/>
    <e v="#VALUE!"/>
    <n v="0"/>
    <e v="#VALUE!"/>
    <s v=""/>
    <e v="#VALUE!"/>
    <n v="0"/>
    <e v="#VALUE!"/>
    <e v="#VALUE!"/>
    <s v=""/>
    <s v=""/>
    <s v=""/>
    <n v="0"/>
    <x v="2"/>
    <x v="5"/>
    <x v="1"/>
    <x v="1"/>
    <n v="247.2"/>
  </r>
  <r>
    <d v="2013-05-01T00:00:00"/>
    <x v="41"/>
    <x v="5"/>
    <x v="4"/>
    <s v="Compteur 6"/>
    <s v="Compteur_6"/>
    <x v="1"/>
    <d v="1899-12-30T00:00:00"/>
    <d v="1899-12-30T00:00:00"/>
    <n v="1"/>
    <e v="#VALUE!"/>
    <n v="0"/>
    <e v="#VALUE!"/>
    <s v=""/>
    <e v="#VALUE!"/>
    <n v="0"/>
    <e v="#VALUE!"/>
    <e v="#VALUE!"/>
    <s v=""/>
    <s v=""/>
    <s v=""/>
    <n v="0"/>
    <x v="2"/>
    <x v="5"/>
    <x v="1"/>
    <x v="1"/>
    <n v="175.2"/>
  </r>
  <r>
    <d v="2013-06-01T00:00:00"/>
    <x v="42"/>
    <x v="6"/>
    <x v="4"/>
    <s v="Compteur 6"/>
    <s v="Compteur_6"/>
    <x v="1"/>
    <d v="1899-12-30T00:00:00"/>
    <d v="1899-12-30T00:00:00"/>
    <n v="1"/>
    <e v="#VALUE!"/>
    <n v="0"/>
    <e v="#VALUE!"/>
    <s v=""/>
    <e v="#VALUE!"/>
    <n v="0"/>
    <e v="#VALUE!"/>
    <e v="#VALUE!"/>
    <s v=""/>
    <s v=""/>
    <s v=""/>
    <n v="0"/>
    <x v="2"/>
    <x v="5"/>
    <x v="1"/>
    <x v="1"/>
    <n v="68"/>
  </r>
  <r>
    <d v="2013-07-01T00:00:00"/>
    <x v="43"/>
    <x v="7"/>
    <x v="4"/>
    <s v="Compteur 6"/>
    <s v="Compteur_6"/>
    <x v="1"/>
    <d v="1899-12-30T00:00:00"/>
    <d v="1899-12-30T00:00:00"/>
    <n v="1"/>
    <e v="#VALUE!"/>
    <n v="0"/>
    <e v="#VALUE!"/>
    <s v=""/>
    <e v="#VALUE!"/>
    <n v="0"/>
    <e v="#VALUE!"/>
    <e v="#VALUE!"/>
    <s v=""/>
    <s v=""/>
    <s v=""/>
    <n v="0"/>
    <x v="2"/>
    <x v="5"/>
    <x v="1"/>
    <x v="1"/>
    <n v="13.3"/>
  </r>
  <r>
    <d v="2013-08-01T00:00:00"/>
    <x v="44"/>
    <x v="8"/>
    <x v="4"/>
    <s v="Compteur 6"/>
    <s v="Compteur_6"/>
    <x v="1"/>
    <d v="1899-12-30T00:00:00"/>
    <d v="1899-12-30T00:00:00"/>
    <n v="1"/>
    <e v="#VALUE!"/>
    <n v="0"/>
    <e v="#VALUE!"/>
    <s v=""/>
    <e v="#VALUE!"/>
    <n v="0"/>
    <e v="#VALUE!"/>
    <e v="#VALUE!"/>
    <s v=""/>
    <s v=""/>
    <s v=""/>
    <n v="0"/>
    <x v="2"/>
    <x v="5"/>
    <x v="1"/>
    <x v="1"/>
    <n v="38.5"/>
  </r>
  <r>
    <d v="2013-09-01T00:00:00"/>
    <x v="45"/>
    <x v="9"/>
    <x v="4"/>
    <s v="Compteur 6"/>
    <s v="Compteur_6"/>
    <x v="1"/>
    <d v="1899-12-30T00:00:00"/>
    <d v="1899-12-30T00:00:00"/>
    <n v="1"/>
    <e v="#VALUE!"/>
    <n v="0"/>
    <e v="#VALUE!"/>
    <s v=""/>
    <e v="#VALUE!"/>
    <n v="0"/>
    <e v="#VALUE!"/>
    <e v="#VALUE!"/>
    <s v=""/>
    <s v=""/>
    <s v=""/>
    <n v="0"/>
    <x v="2"/>
    <x v="5"/>
    <x v="1"/>
    <x v="1"/>
    <n v="69.2"/>
  </r>
  <r>
    <d v="2013-10-01T00:00:00"/>
    <x v="46"/>
    <x v="10"/>
    <x v="4"/>
    <s v="Compteur 6"/>
    <s v="Compteur_6"/>
    <x v="1"/>
    <d v="1899-12-30T00:00:00"/>
    <d v="1899-12-30T00:00:00"/>
    <n v="1"/>
    <e v="#VALUE!"/>
    <n v="0"/>
    <e v="#VALUE!"/>
    <s v=""/>
    <e v="#VALUE!"/>
    <n v="0"/>
    <e v="#VALUE!"/>
    <e v="#VALUE!"/>
    <s v=""/>
    <s v=""/>
    <s v=""/>
    <n v="0"/>
    <x v="2"/>
    <x v="5"/>
    <x v="1"/>
    <x v="1"/>
    <n v="122.6"/>
  </r>
  <r>
    <d v="2013-11-01T00:00:00"/>
    <x v="47"/>
    <x v="11"/>
    <x v="4"/>
    <s v="Compteur 6"/>
    <s v="Compteur_6"/>
    <x v="1"/>
    <d v="1899-12-30T00:00:00"/>
    <d v="1899-12-30T00:00:00"/>
    <n v="1"/>
    <e v="#VALUE!"/>
    <n v="0"/>
    <e v="#VALUE!"/>
    <s v=""/>
    <e v="#VALUE!"/>
    <n v="0"/>
    <e v="#VALUE!"/>
    <e v="#VALUE!"/>
    <s v=""/>
    <s v=""/>
    <s v=""/>
    <n v="0"/>
    <x v="2"/>
    <x v="5"/>
    <x v="1"/>
    <x v="1"/>
    <n v="311.10000000000002"/>
  </r>
  <r>
    <d v="2013-12-01T00:00:00"/>
    <x v="48"/>
    <x v="12"/>
    <x v="4"/>
    <s v="Compteur 6"/>
    <s v="Compteur_6"/>
    <x v="1"/>
    <d v="1899-12-30T00:00:00"/>
    <d v="1899-12-30T00:00:00"/>
    <n v="1"/>
    <e v="#VALUE!"/>
    <n v="0"/>
    <e v="#VALUE!"/>
    <s v=""/>
    <e v="#VALUE!"/>
    <n v="0"/>
    <e v="#VALUE!"/>
    <e v="#VALUE!"/>
    <s v=""/>
    <s v=""/>
    <s v=""/>
    <n v="0"/>
    <x v="2"/>
    <x v="5"/>
    <x v="1"/>
    <x v="1"/>
    <n v="380.4"/>
  </r>
  <r>
    <d v="2014-01-01T00:00:00"/>
    <x v="49"/>
    <x v="1"/>
    <x v="5"/>
    <s v="Compteur 6"/>
    <s v="Compteur_6"/>
    <x v="1"/>
    <d v="1899-12-30T00:00:00"/>
    <d v="1899-12-30T00:00:00"/>
    <n v="1"/>
    <e v="#VALUE!"/>
    <n v="0"/>
    <e v="#VALUE!"/>
    <s v=""/>
    <e v="#VALUE!"/>
    <n v="0"/>
    <e v="#VALUE!"/>
    <e v="#VALUE!"/>
    <s v=""/>
    <s v=""/>
    <s v=""/>
    <n v="0"/>
    <x v="2"/>
    <x v="5"/>
    <x v="1"/>
    <x v="1"/>
    <n v="320.5"/>
  </r>
  <r>
    <d v="2014-02-01T00:00:00"/>
    <x v="50"/>
    <x v="2"/>
    <x v="5"/>
    <s v="Compteur 6"/>
    <s v="Compteur_6"/>
    <x v="1"/>
    <d v="1899-12-30T00:00:00"/>
    <d v="1899-12-30T00:00:00"/>
    <n v="1"/>
    <e v="#VALUE!"/>
    <n v="0"/>
    <e v="#VALUE!"/>
    <s v=""/>
    <e v="#VALUE!"/>
    <n v="0"/>
    <e v="#VALUE!"/>
    <e v="#VALUE!"/>
    <s v=""/>
    <s v=""/>
    <s v=""/>
    <n v="0"/>
    <x v="2"/>
    <x v="5"/>
    <x v="1"/>
    <x v="1"/>
    <n v="281.3"/>
  </r>
  <r>
    <d v="2014-03-01T00:00:00"/>
    <x v="51"/>
    <x v="3"/>
    <x v="5"/>
    <s v="Compteur 6"/>
    <s v="Compteur_6"/>
    <x v="1"/>
    <d v="1899-12-30T00:00:00"/>
    <d v="1899-12-30T00:00:00"/>
    <n v="1"/>
    <e v="#VALUE!"/>
    <n v="0"/>
    <e v="#VALUE!"/>
    <s v=""/>
    <e v="#VALUE!"/>
    <n v="0"/>
    <e v="#VALUE!"/>
    <e v="#VALUE!"/>
    <s v=""/>
    <s v=""/>
    <s v=""/>
    <n v="0"/>
    <x v="2"/>
    <x v="5"/>
    <x v="1"/>
    <x v="1"/>
    <n v="263.89999999999998"/>
  </r>
  <r>
    <d v="2014-04-01T00:00:00"/>
    <x v="52"/>
    <x v="4"/>
    <x v="5"/>
    <s v="Compteur 6"/>
    <s v="Compteur_6"/>
    <x v="1"/>
    <d v="1899-12-30T00:00:00"/>
    <d v="1899-12-30T00:00:00"/>
    <n v="1"/>
    <e v="#VALUE!"/>
    <n v="0"/>
    <e v="#VALUE!"/>
    <s v=""/>
    <e v="#VALUE!"/>
    <n v="0"/>
    <e v="#VALUE!"/>
    <e v="#VALUE!"/>
    <s v=""/>
    <s v=""/>
    <s v=""/>
    <n v="0"/>
    <x v="2"/>
    <x v="5"/>
    <x v="1"/>
    <x v="1"/>
    <n v="174.2"/>
  </r>
  <r>
    <d v="2014-05-01T00:00:00"/>
    <x v="53"/>
    <x v="5"/>
    <x v="5"/>
    <s v="Compteur 6"/>
    <s v="Compteur_6"/>
    <x v="1"/>
    <d v="1899-12-30T00:00:00"/>
    <d v="1899-12-30T00:00:00"/>
    <n v="1"/>
    <e v="#VALUE!"/>
    <n v="0"/>
    <e v="#VALUE!"/>
    <s v=""/>
    <e v="#VALUE!"/>
    <n v="0"/>
    <e v="#VALUE!"/>
    <e v="#VALUE!"/>
    <s v=""/>
    <s v=""/>
    <s v=""/>
    <n v="0"/>
    <x v="2"/>
    <x v="5"/>
    <x v="1"/>
    <x v="1"/>
    <n v="134.5"/>
  </r>
  <r>
    <d v="2014-06-01T00:00:00"/>
    <x v="54"/>
    <x v="6"/>
    <x v="5"/>
    <s v="Compteur 6"/>
    <s v="Compteur_6"/>
    <x v="1"/>
    <d v="1899-12-30T00:00:00"/>
    <d v="1899-12-30T00:00:00"/>
    <n v="1"/>
    <e v="#VALUE!"/>
    <n v="0"/>
    <e v="#VALUE!"/>
    <s v=""/>
    <e v="#VALUE!"/>
    <n v="0"/>
    <e v="#VALUE!"/>
    <e v="#VALUE!"/>
    <s v=""/>
    <s v=""/>
    <s v=""/>
    <n v="0"/>
    <x v="2"/>
    <x v="5"/>
    <x v="1"/>
    <x v="1"/>
    <n v="48.5"/>
  </r>
  <r>
    <d v="2014-07-01T00:00:00"/>
    <x v="55"/>
    <x v="7"/>
    <x v="5"/>
    <s v="Compteur 6"/>
    <s v="Compteur_6"/>
    <x v="1"/>
    <d v="1899-12-30T00:00:00"/>
    <d v="1899-12-30T00:00:00"/>
    <n v="1"/>
    <e v="#VALUE!"/>
    <n v="0"/>
    <e v="#VALUE!"/>
    <s v=""/>
    <e v="#VALUE!"/>
    <n v="0"/>
    <e v="#VALUE!"/>
    <e v="#VALUE!"/>
    <s v=""/>
    <s v=""/>
    <s v=""/>
    <n v="0"/>
    <x v="2"/>
    <x v="5"/>
    <x v="1"/>
    <x v="1"/>
    <n v="22.6"/>
  </r>
  <r>
    <d v="2014-08-01T00:00:00"/>
    <x v="56"/>
    <x v="8"/>
    <x v="5"/>
    <s v="Compteur 6"/>
    <s v="Compteur_6"/>
    <x v="1"/>
    <d v="1899-12-30T00:00:00"/>
    <d v="1899-12-30T00:00:00"/>
    <n v="1"/>
    <e v="#VALUE!"/>
    <n v="0"/>
    <e v="#VALUE!"/>
    <s v=""/>
    <e v="#VALUE!"/>
    <n v="0"/>
    <e v="#VALUE!"/>
    <e v="#VALUE!"/>
    <s v=""/>
    <s v=""/>
    <s v=""/>
    <n v="0"/>
    <x v="2"/>
    <x v="5"/>
    <x v="1"/>
    <x v="1"/>
    <n v="51.9"/>
  </r>
  <r>
    <d v="2014-09-01T00:00:00"/>
    <x v="57"/>
    <x v="9"/>
    <x v="5"/>
    <s v="Compteur 6"/>
    <s v="Compteur_6"/>
    <x v="1"/>
    <d v="1899-12-30T00:00:00"/>
    <d v="1899-12-30T00:00:00"/>
    <n v="1"/>
    <e v="#VALUE!"/>
    <n v="0"/>
    <e v="#VALUE!"/>
    <s v=""/>
    <e v="#VALUE!"/>
    <n v="0"/>
    <e v="#VALUE!"/>
    <e v="#VALUE!"/>
    <s v=""/>
    <s v=""/>
    <s v=""/>
    <n v="0"/>
    <x v="2"/>
    <x v="5"/>
    <x v="1"/>
    <x v="1"/>
    <n v="54.3"/>
  </r>
  <r>
    <d v="2014-10-01T00:00:00"/>
    <x v="58"/>
    <x v="10"/>
    <x v="5"/>
    <s v="Compteur 6"/>
    <s v="Compteur_6"/>
    <x v="1"/>
    <d v="1899-12-30T00:00:00"/>
    <d v="1899-12-30T00:00:00"/>
    <n v="1"/>
    <e v="#VALUE!"/>
    <n v="0"/>
    <e v="#VALUE!"/>
    <s v=""/>
    <e v="#VALUE!"/>
    <n v="0"/>
    <e v="#VALUE!"/>
    <e v="#VALUE!"/>
    <s v=""/>
    <s v=""/>
    <s v=""/>
    <n v="0"/>
    <x v="2"/>
    <x v="5"/>
    <x v="1"/>
    <x v="1"/>
    <n v="124.2"/>
  </r>
  <r>
    <d v="2014-11-01T00:00:00"/>
    <x v="59"/>
    <x v="11"/>
    <x v="5"/>
    <s v="Compteur 6"/>
    <s v="Compteur_6"/>
    <x v="1"/>
    <d v="1899-12-30T00:00:00"/>
    <d v="1899-12-30T00:00:00"/>
    <n v="1"/>
    <e v="#VALUE!"/>
    <n v="0"/>
    <e v="#VALUE!"/>
    <s v=""/>
    <e v="#VALUE!"/>
    <n v="0"/>
    <e v="#VALUE!"/>
    <e v="#VALUE!"/>
    <s v=""/>
    <s v=""/>
    <s v=""/>
    <n v="0"/>
    <x v="2"/>
    <x v="5"/>
    <x v="1"/>
    <x v="1"/>
    <n v="219.5"/>
  </r>
  <r>
    <d v="2014-12-01T00:00:00"/>
    <x v="60"/>
    <x v="12"/>
    <x v="5"/>
    <s v="Compteur 6"/>
    <s v="Compteur_6"/>
    <x v="1"/>
    <d v="1899-12-30T00:00:00"/>
    <d v="1899-12-30T00:00:00"/>
    <n v="1"/>
    <e v="#VALUE!"/>
    <n v="0"/>
    <e v="#VALUE!"/>
    <s v=""/>
    <e v="#VALUE!"/>
    <n v="0"/>
    <e v="#VALUE!"/>
    <e v="#VALUE!"/>
    <s v=""/>
    <s v=""/>
    <s v=""/>
    <n v="0"/>
    <x v="2"/>
    <x v="5"/>
    <x v="1"/>
    <x v="1"/>
    <n v="374.8"/>
  </r>
  <r>
    <d v="2015-01-01T00:00:00"/>
    <x v="61"/>
    <x v="1"/>
    <x v="6"/>
    <s v="Compteur 6"/>
    <s v="Compteur_6"/>
    <x v="1"/>
    <d v="1899-12-30T00:00:00"/>
    <d v="1899-12-30T00:00:00"/>
    <n v="1"/>
    <e v="#VALUE!"/>
    <n v="0"/>
    <e v="#VALUE!"/>
    <s v=""/>
    <e v="#VALUE!"/>
    <n v="0"/>
    <e v="#VALUE!"/>
    <e v="#VALUE!"/>
    <s v=""/>
    <s v=""/>
    <s v=""/>
    <n v="0"/>
    <x v="2"/>
    <x v="5"/>
    <x v="1"/>
    <x v="1"/>
    <n v="392.1"/>
  </r>
  <r>
    <d v="2015-02-01T00:00:00"/>
    <x v="62"/>
    <x v="2"/>
    <x v="6"/>
    <s v="Compteur 6"/>
    <s v="Compteur_6"/>
    <x v="1"/>
    <d v="1899-12-30T00:00:00"/>
    <d v="1899-12-30T00:00:00"/>
    <n v="1"/>
    <e v="#VALUE!"/>
    <n v="0"/>
    <e v="#VALUE!"/>
    <s v=""/>
    <e v="#VALUE!"/>
    <n v="0"/>
    <e v="#VALUE!"/>
    <e v="#VALUE!"/>
    <s v=""/>
    <s v=""/>
    <s v=""/>
    <n v="0"/>
    <x v="2"/>
    <x v="5"/>
    <x v="1"/>
    <x v="1"/>
    <n v="366.9"/>
  </r>
  <r>
    <d v="2015-03-01T00:00:00"/>
    <x v="63"/>
    <x v="3"/>
    <x v="6"/>
    <s v="Compteur 6"/>
    <s v="Compteur_6"/>
    <x v="1"/>
    <d v="1899-12-30T00:00:00"/>
    <d v="1899-12-30T00:00:00"/>
    <n v="1"/>
    <e v="#VALUE!"/>
    <n v="0"/>
    <e v="#VALUE!"/>
    <s v=""/>
    <e v="#VALUE!"/>
    <n v="0"/>
    <e v="#VALUE!"/>
    <e v="#VALUE!"/>
    <s v=""/>
    <s v=""/>
    <s v=""/>
    <n v="0"/>
    <x v="2"/>
    <x v="5"/>
    <x v="1"/>
    <x v="1"/>
    <n v="303.8"/>
  </r>
  <r>
    <d v="2015-04-01T00:00:00"/>
    <x v="64"/>
    <x v="4"/>
    <x v="6"/>
    <s v="Compteur 6"/>
    <s v="Compteur_6"/>
    <x v="1"/>
    <d v="1899-12-30T00:00:00"/>
    <d v="1899-12-30T00:00:00"/>
    <n v="1"/>
    <e v="#VALUE!"/>
    <n v="0"/>
    <e v="#VALUE!"/>
    <s v=""/>
    <e v="#VALUE!"/>
    <n v="0"/>
    <e v="#VALUE!"/>
    <e v="#VALUE!"/>
    <s v=""/>
    <s v=""/>
    <s v=""/>
    <n v="0"/>
    <x v="2"/>
    <x v="5"/>
    <x v="1"/>
    <x v="1"/>
    <n v="166.6"/>
  </r>
  <r>
    <d v="2015-05-01T00:00:00"/>
    <x v="65"/>
    <x v="5"/>
    <x v="6"/>
    <s v="Compteur 6"/>
    <s v="Compteur_6"/>
    <x v="1"/>
    <d v="1899-12-30T00:00:00"/>
    <d v="1899-12-30T00:00:00"/>
    <n v="1"/>
    <e v="#VALUE!"/>
    <n v="0"/>
    <e v="#VALUE!"/>
    <s v=""/>
    <e v="#VALUE!"/>
    <n v="0"/>
    <e v="#VALUE!"/>
    <e v="#VALUE!"/>
    <s v=""/>
    <s v=""/>
    <s v=""/>
    <n v="0"/>
    <x v="2"/>
    <x v="5"/>
    <x v="1"/>
    <x v="1"/>
    <n v="119.9"/>
  </r>
  <r>
    <d v="2015-06-01T00:00:00"/>
    <x v="66"/>
    <x v="6"/>
    <x v="6"/>
    <s v="Compteur 6"/>
    <s v="Compteur_6"/>
    <x v="1"/>
    <d v="1899-12-30T00:00:00"/>
    <d v="1899-12-30T00:00:00"/>
    <n v="1"/>
    <e v="#VALUE!"/>
    <n v="0"/>
    <e v="#VALUE!"/>
    <s v=""/>
    <e v="#VALUE!"/>
    <n v="0"/>
    <e v="#VALUE!"/>
    <e v="#VALUE!"/>
    <s v=""/>
    <s v=""/>
    <s v=""/>
    <n v="0"/>
    <x v="2"/>
    <x v="5"/>
    <x v="1"/>
    <x v="1"/>
    <n v="51.8"/>
  </r>
  <r>
    <d v="2015-07-01T00:00:00"/>
    <x v="67"/>
    <x v="7"/>
    <x v="6"/>
    <s v="Compteur 6"/>
    <s v="Compteur_6"/>
    <x v="1"/>
    <d v="1899-12-30T00:00:00"/>
    <d v="1899-12-30T00:00:00"/>
    <n v="1"/>
    <e v="#VALUE!"/>
    <n v="0"/>
    <e v="#VALUE!"/>
    <s v=""/>
    <e v="#VALUE!"/>
    <n v="0"/>
    <e v="#VALUE!"/>
    <e v="#VALUE!"/>
    <s v=""/>
    <s v=""/>
    <s v=""/>
    <n v="0"/>
    <x v="2"/>
    <x v="5"/>
    <x v="1"/>
    <x v="1"/>
    <n v="29"/>
  </r>
  <r>
    <d v="2015-08-01T00:00:00"/>
    <x v="68"/>
    <x v="8"/>
    <x v="6"/>
    <s v="Compteur 6"/>
    <s v="Compteur_6"/>
    <x v="1"/>
    <d v="1899-12-30T00:00:00"/>
    <d v="1899-12-30T00:00:00"/>
    <n v="1"/>
    <e v="#VALUE!"/>
    <n v="0"/>
    <e v="#VALUE!"/>
    <s v=""/>
    <e v="#VALUE!"/>
    <n v="0"/>
    <e v="#VALUE!"/>
    <e v="#VALUE!"/>
    <s v=""/>
    <s v=""/>
    <s v=""/>
    <n v="0"/>
    <x v="2"/>
    <x v="5"/>
    <x v="1"/>
    <x v="1"/>
    <n v="32"/>
  </r>
  <r>
    <d v="2015-09-01T00:00:00"/>
    <x v="69"/>
    <x v="9"/>
    <x v="6"/>
    <s v="Compteur 6"/>
    <s v="Compteur_6"/>
    <x v="1"/>
    <d v="1899-12-30T00:00:00"/>
    <d v="1899-12-30T00:00:00"/>
    <n v="1"/>
    <e v="#VALUE!"/>
    <n v="0"/>
    <e v="#VALUE!"/>
    <s v=""/>
    <e v="#VALUE!"/>
    <n v="0"/>
    <e v="#VALUE!"/>
    <e v="#VALUE!"/>
    <s v=""/>
    <s v=""/>
    <s v=""/>
    <n v="0"/>
    <x v="2"/>
    <x v="5"/>
    <x v="1"/>
    <x v="1"/>
    <n v="96.9"/>
  </r>
  <r>
    <d v="2015-10-01T00:00:00"/>
    <x v="70"/>
    <x v="10"/>
    <x v="6"/>
    <s v="Compteur 6"/>
    <s v="Compteur_6"/>
    <x v="1"/>
    <d v="1899-12-30T00:00:00"/>
    <d v="1899-12-30T00:00:00"/>
    <n v="1"/>
    <e v="#VALUE!"/>
    <n v="0"/>
    <e v="#VALUE!"/>
    <s v=""/>
    <e v="#VALUE!"/>
    <n v="0"/>
    <e v="#VALUE!"/>
    <e v="#VALUE!"/>
    <s v=""/>
    <s v=""/>
    <s v=""/>
    <n v="0"/>
    <x v="2"/>
    <x v="5"/>
    <x v="1"/>
    <x v="1"/>
    <n v="181.1"/>
  </r>
  <r>
    <d v="2015-11-01T00:00:00"/>
    <x v="71"/>
    <x v="11"/>
    <x v="6"/>
    <s v="Compteur 6"/>
    <s v="Compteur_6"/>
    <x v="1"/>
    <d v="1899-12-30T00:00:00"/>
    <d v="1899-12-30T00:00:00"/>
    <n v="1"/>
    <e v="#VALUE!"/>
    <n v="0"/>
    <e v="#VALUE!"/>
    <s v=""/>
    <e v="#VALUE!"/>
    <n v="0"/>
    <e v="#VALUE!"/>
    <e v="#VALUE!"/>
    <s v=""/>
    <s v=""/>
    <s v=""/>
    <n v="0"/>
    <x v="2"/>
    <x v="5"/>
    <x v="1"/>
    <x v="1"/>
    <n v="191.1"/>
  </r>
  <r>
    <d v="2015-12-01T00:00:00"/>
    <x v="72"/>
    <x v="12"/>
    <x v="6"/>
    <s v="Compteur 6"/>
    <s v="Compteur_6"/>
    <x v="1"/>
    <d v="1899-12-30T00:00:00"/>
    <d v="1899-12-30T00:00:00"/>
    <n v="1"/>
    <e v="#VALUE!"/>
    <n v="0"/>
    <e v="#VALUE!"/>
    <s v=""/>
    <e v="#VALUE!"/>
    <n v="0"/>
    <e v="#VALUE!"/>
    <e v="#VALUE!"/>
    <s v=""/>
    <s v=""/>
    <s v=""/>
    <n v="0"/>
    <x v="2"/>
    <x v="5"/>
    <x v="1"/>
    <x v="1"/>
    <n v="258.5"/>
  </r>
  <r>
    <d v="2016-01-01T00:00:00"/>
    <x v="73"/>
    <x v="1"/>
    <x v="7"/>
    <s v="Compteur 6"/>
    <s v="Compteur_6"/>
    <x v="1"/>
    <d v="1899-12-30T00:00:00"/>
    <d v="1899-12-30T00:00:00"/>
    <n v="1"/>
    <e v="#VALUE!"/>
    <n v="0"/>
    <e v="#VALUE!"/>
    <s v=""/>
    <e v="#VALUE!"/>
    <n v="0"/>
    <e v="#VALUE!"/>
    <e v="#VALUE!"/>
    <s v=""/>
    <s v=""/>
    <s v=""/>
    <n v="0"/>
    <x v="2"/>
    <x v="5"/>
    <x v="1"/>
    <x v="1"/>
    <n v="348.4"/>
  </r>
  <r>
    <d v="2016-02-01T00:00:00"/>
    <x v="74"/>
    <x v="2"/>
    <x v="7"/>
    <s v="Compteur 6"/>
    <s v="Compteur_6"/>
    <x v="1"/>
    <d v="1899-12-30T00:00:00"/>
    <d v="1899-12-30T00:00:00"/>
    <n v="1"/>
    <e v="#VALUE!"/>
    <n v="0"/>
    <e v="#VALUE!"/>
    <s v=""/>
    <e v="#VALUE!"/>
    <n v="0"/>
    <e v="#VALUE!"/>
    <e v="#VALUE!"/>
    <s v=""/>
    <s v=""/>
    <s v=""/>
    <n v="0"/>
    <x v="2"/>
    <x v="5"/>
    <x v="1"/>
    <x v="1"/>
    <n v="321.2"/>
  </r>
  <r>
    <d v="2016-03-01T00:00:00"/>
    <x v="75"/>
    <x v="3"/>
    <x v="7"/>
    <s v="Compteur 6"/>
    <s v="Compteur_6"/>
    <x v="1"/>
    <d v="1899-12-30T00:00:00"/>
    <d v="1899-12-30T00:00:00"/>
    <n v="1"/>
    <e v="#VALUE!"/>
    <n v="0"/>
    <e v="#VALUE!"/>
    <s v=""/>
    <e v="#VALUE!"/>
    <n v="0"/>
    <e v="#VALUE!"/>
    <e v="#VALUE!"/>
    <s v=""/>
    <s v=""/>
    <s v=""/>
    <n v="0"/>
    <x v="2"/>
    <x v="5"/>
    <x v="1"/>
    <x v="1"/>
    <n v="328.3"/>
  </r>
  <r>
    <d v="2016-04-01T00:00:00"/>
    <x v="76"/>
    <x v="4"/>
    <x v="7"/>
    <s v="Compteur 6"/>
    <s v="Compteur_6"/>
    <x v="1"/>
    <d v="1899-12-30T00:00:00"/>
    <d v="1899-12-30T00:00:00"/>
    <n v="1"/>
    <e v="#VALUE!"/>
    <n v="0"/>
    <e v="#VALUE!"/>
    <s v=""/>
    <e v="#VALUE!"/>
    <n v="0"/>
    <e v="#VALUE!"/>
    <e v="#VALUE!"/>
    <s v=""/>
    <s v=""/>
    <s v=""/>
    <n v="0"/>
    <x v="2"/>
    <x v="5"/>
    <x v="1"/>
    <x v="1"/>
    <n v="252.6"/>
  </r>
  <r>
    <d v="2016-05-01T00:00:00"/>
    <x v="77"/>
    <x v="5"/>
    <x v="7"/>
    <s v="Compteur 6"/>
    <s v="Compteur_6"/>
    <x v="1"/>
    <d v="1899-12-30T00:00:00"/>
    <d v="1899-12-30T00:00:00"/>
    <n v="1"/>
    <e v="#VALUE!"/>
    <n v="0"/>
    <e v="#VALUE!"/>
    <s v=""/>
    <e v="#VALUE!"/>
    <n v="0"/>
    <e v="#VALUE!"/>
    <e v="#VALUE!"/>
    <s v=""/>
    <s v=""/>
    <s v=""/>
    <n v="0"/>
    <x v="2"/>
    <x v="5"/>
    <x v="1"/>
    <x v="1"/>
    <n v="124.3"/>
  </r>
  <r>
    <d v="2016-06-01T00:00:00"/>
    <x v="78"/>
    <x v="6"/>
    <x v="7"/>
    <s v="Compteur 6"/>
    <s v="Compteur_6"/>
    <x v="1"/>
    <d v="1899-12-30T00:00:00"/>
    <d v="1899-12-30T00:00:00"/>
    <n v="1"/>
    <e v="#VALUE!"/>
    <n v="0"/>
    <e v="#VALUE!"/>
    <s v=""/>
    <e v="#VALUE!"/>
    <n v="0"/>
    <e v="#VALUE!"/>
    <e v="#VALUE!"/>
    <s v=""/>
    <s v=""/>
    <s v=""/>
    <n v="0"/>
    <x v="2"/>
    <x v="5"/>
    <x v="1"/>
    <x v="1"/>
    <n v="47.7"/>
  </r>
  <r>
    <d v="2016-07-01T00:00:00"/>
    <x v="79"/>
    <x v="7"/>
    <x v="7"/>
    <s v="Compteur 6"/>
    <s v="Compteur_6"/>
    <x v="1"/>
    <d v="1899-12-30T00:00:00"/>
    <d v="1899-12-30T00:00:00"/>
    <n v="1"/>
    <e v="#VALUE!"/>
    <n v="0"/>
    <e v="#VALUE!"/>
    <s v=""/>
    <e v="#VALUE!"/>
    <n v="0"/>
    <e v="#VALUE!"/>
    <e v="#VALUE!"/>
    <s v=""/>
    <s v=""/>
    <s v=""/>
    <n v="0"/>
    <x v="2"/>
    <x v="5"/>
    <x v="1"/>
    <x v="1"/>
    <n v="32.299999999999997"/>
  </r>
  <r>
    <d v="2016-08-01T00:00:00"/>
    <x v="80"/>
    <x v="8"/>
    <x v="7"/>
    <s v="Compteur 6"/>
    <s v="Compteur_6"/>
    <x v="1"/>
    <d v="1899-12-30T00:00:00"/>
    <d v="1899-12-30T00:00:00"/>
    <n v="1"/>
    <e v="#VALUE!"/>
    <n v="0"/>
    <e v="#VALUE!"/>
    <s v=""/>
    <e v="#VALUE!"/>
    <n v="0"/>
    <e v="#VALUE!"/>
    <e v="#VALUE!"/>
    <s v=""/>
    <s v=""/>
    <s v=""/>
    <n v="0"/>
    <x v="2"/>
    <x v="5"/>
    <x v="1"/>
    <x v="1"/>
    <n v="33.799999999999997"/>
  </r>
  <r>
    <d v="2016-09-01T00:00:00"/>
    <x v="81"/>
    <x v="9"/>
    <x v="7"/>
    <s v="Compteur 6"/>
    <s v="Compteur_6"/>
    <x v="1"/>
    <d v="1899-12-30T00:00:00"/>
    <d v="1899-12-30T00:00:00"/>
    <n v="1"/>
    <e v="#VALUE!"/>
    <n v="0"/>
    <e v="#VALUE!"/>
    <s v=""/>
    <e v="#VALUE!"/>
    <n v="0"/>
    <e v="#VALUE!"/>
    <e v="#VALUE!"/>
    <s v=""/>
    <s v=""/>
    <s v=""/>
    <n v="0"/>
    <x v="2"/>
    <x v="5"/>
    <x v="1"/>
    <x v="1"/>
    <n v="43.5"/>
  </r>
  <r>
    <d v="2016-10-01T00:00:00"/>
    <x v="82"/>
    <x v="10"/>
    <x v="7"/>
    <s v="Compteur 6"/>
    <s v="Compteur_6"/>
    <x v="1"/>
    <d v="1899-12-30T00:00:00"/>
    <d v="1899-12-30T00:00:00"/>
    <n v="1"/>
    <e v="#VALUE!"/>
    <n v="0"/>
    <e v="#VALUE!"/>
    <s v=""/>
    <e v="#VALUE!"/>
    <n v="0"/>
    <e v="#VALUE!"/>
    <e v="#VALUE!"/>
    <s v=""/>
    <s v=""/>
    <s v=""/>
    <n v="0"/>
    <x v="2"/>
    <x v="5"/>
    <x v="1"/>
    <x v="1"/>
    <n v="202.6"/>
  </r>
  <r>
    <d v="2016-11-01T00:00:00"/>
    <x v="83"/>
    <x v="11"/>
    <x v="7"/>
    <s v="Compteur 6"/>
    <s v="Compteur_6"/>
    <x v="1"/>
    <d v="1899-12-30T00:00:00"/>
    <d v="1899-12-30T00:00:00"/>
    <n v="1"/>
    <e v="#VALUE!"/>
    <n v="0"/>
    <e v="#VALUE!"/>
    <s v=""/>
    <e v="#VALUE!"/>
    <n v="0"/>
    <e v="#VALUE!"/>
    <e v="#VALUE!"/>
    <s v=""/>
    <s v=""/>
    <s v=""/>
    <n v="0"/>
    <x v="2"/>
    <x v="5"/>
    <x v="1"/>
    <x v="1"/>
    <n v="289.2"/>
  </r>
  <r>
    <d v="2016-12-01T00:00:00"/>
    <x v="84"/>
    <x v="12"/>
    <x v="7"/>
    <s v="Compteur 6"/>
    <s v="Compteur_6"/>
    <x v="1"/>
    <d v="1899-12-30T00:00:00"/>
    <d v="1899-12-30T00:00:00"/>
    <n v="1"/>
    <e v="#VALUE!"/>
    <n v="0"/>
    <e v="#VALUE!"/>
    <s v=""/>
    <e v="#VALUE!"/>
    <n v="0"/>
    <e v="#VALUE!"/>
    <e v="#VALUE!"/>
    <s v=""/>
    <s v=""/>
    <s v=""/>
    <n v="0"/>
    <x v="2"/>
    <x v="5"/>
    <x v="1"/>
    <x v="1"/>
    <n v="370.4"/>
  </r>
  <r>
    <d v="2017-01-01T00:00:00"/>
    <x v="85"/>
    <x v="1"/>
    <x v="8"/>
    <s v="Compteur 6"/>
    <s v="Compteur_6"/>
    <x v="1"/>
    <d v="1899-12-30T00:00:00"/>
    <d v="1899-12-30T00:00:00"/>
    <n v="1"/>
    <e v="#VALUE!"/>
    <n v="0"/>
    <e v="#VALUE!"/>
    <s v=""/>
    <e v="#VALUE!"/>
    <n v="0"/>
    <e v="#VALUE!"/>
    <e v="#VALUE!"/>
    <s v=""/>
    <s v=""/>
    <s v=""/>
    <n v="0"/>
    <x v="2"/>
    <x v="5"/>
    <x v="1"/>
    <x v="1"/>
    <n v="451.9"/>
  </r>
  <r>
    <d v="2017-02-01T00:00:00"/>
    <x v="86"/>
    <x v="2"/>
    <x v="8"/>
    <s v="Compteur 6"/>
    <s v="Compteur_6"/>
    <x v="1"/>
    <d v="1899-12-30T00:00:00"/>
    <d v="1899-12-30T00:00:00"/>
    <n v="1"/>
    <e v="#VALUE!"/>
    <n v="0"/>
    <e v="#VALUE!"/>
    <s v=""/>
    <e v="#VALUE!"/>
    <n v="0"/>
    <e v="#VALUE!"/>
    <e v="#VALUE!"/>
    <s v=""/>
    <s v=""/>
    <s v=""/>
    <n v="0"/>
    <x v="2"/>
    <x v="5"/>
    <x v="1"/>
    <x v="1"/>
    <n v="287.8"/>
  </r>
  <r>
    <d v="2017-03-01T00:00:00"/>
    <x v="87"/>
    <x v="3"/>
    <x v="8"/>
    <s v="Compteur 6"/>
    <s v="Compteur_6"/>
    <x v="1"/>
    <d v="1899-12-30T00:00:00"/>
    <d v="1899-12-30T00:00:00"/>
    <n v="1"/>
    <e v="#VALUE!"/>
    <n v="0"/>
    <e v="#VALUE!"/>
    <s v=""/>
    <e v="#VALUE!"/>
    <n v="0"/>
    <e v="#VALUE!"/>
    <e v="#VALUE!"/>
    <s v=""/>
    <s v=""/>
    <s v=""/>
    <n v="0"/>
    <x v="2"/>
    <x v="5"/>
    <x v="1"/>
    <x v="1"/>
    <n v="226.3"/>
  </r>
  <r>
    <d v="2017-04-01T00:00:00"/>
    <x v="88"/>
    <x v="4"/>
    <x v="8"/>
    <s v="Compteur 6"/>
    <s v="Compteur_6"/>
    <x v="1"/>
    <d v="1899-12-30T00:00:00"/>
    <d v="1899-12-30T00:00:00"/>
    <n v="1"/>
    <e v="#VALUE!"/>
    <n v="0"/>
    <e v="#VALUE!"/>
    <s v=""/>
    <e v="#VALUE!"/>
    <n v="0"/>
    <e v="#VALUE!"/>
    <e v="#VALUE!"/>
    <s v=""/>
    <s v=""/>
    <s v=""/>
    <n v="0"/>
    <x v="2"/>
    <x v="5"/>
    <x v="1"/>
    <x v="1"/>
    <n v="227.8"/>
  </r>
  <r>
    <d v="2017-05-01T00:00:00"/>
    <x v="89"/>
    <x v="5"/>
    <x v="8"/>
    <s v="Compteur 6"/>
    <s v="Compteur_6"/>
    <x v="1"/>
    <d v="1899-12-30T00:00:00"/>
    <d v="1899-12-30T00:00:00"/>
    <n v="1"/>
    <e v="#VALUE!"/>
    <n v="0"/>
    <e v="#VALUE!"/>
    <s v=""/>
    <e v="#VALUE!"/>
    <n v="0"/>
    <e v="#VALUE!"/>
    <e v="#VALUE!"/>
    <s v=""/>
    <s v=""/>
    <s v=""/>
    <n v="0"/>
    <x v="2"/>
    <x v="5"/>
    <x v="1"/>
    <x v="1"/>
    <n v="98"/>
  </r>
  <r>
    <d v="2017-06-01T00:00:00"/>
    <x v="90"/>
    <x v="6"/>
    <x v="8"/>
    <s v="Compteur 6"/>
    <s v="Compteur_6"/>
    <x v="1"/>
    <d v="1899-12-30T00:00:00"/>
    <d v="1899-12-30T00:00:00"/>
    <n v="1"/>
    <e v="#VALUE!"/>
    <n v="0"/>
    <e v="#VALUE!"/>
    <s v=""/>
    <e v="#VALUE!"/>
    <n v="0"/>
    <e v="#VALUE!"/>
    <e v="#VALUE!"/>
    <s v=""/>
    <s v=""/>
    <s v=""/>
    <n v="0"/>
    <x v="2"/>
    <x v="5"/>
    <x v="1"/>
    <x v="1"/>
    <n v="30.9"/>
  </r>
  <r>
    <d v="2017-07-01T00:00:00"/>
    <x v="91"/>
    <x v="7"/>
    <x v="8"/>
    <s v="Compteur 6"/>
    <s v="Compteur_6"/>
    <x v="1"/>
    <d v="1899-12-30T00:00:00"/>
    <d v="1899-12-30T00:00:00"/>
    <n v="1"/>
    <e v="#VALUE!"/>
    <n v="0"/>
    <e v="#VALUE!"/>
    <s v=""/>
    <e v="#VALUE!"/>
    <n v="0"/>
    <e v="#VALUE!"/>
    <e v="#VALUE!"/>
    <s v=""/>
    <s v=""/>
    <s v=""/>
    <n v="0"/>
    <x v="2"/>
    <x v="5"/>
    <x v="1"/>
    <x v="1"/>
    <n v="23.6"/>
  </r>
  <r>
    <d v="2017-08-01T00:00:00"/>
    <x v="92"/>
    <x v="8"/>
    <x v="8"/>
    <s v="Compteur 6"/>
    <s v="Compteur_6"/>
    <x v="1"/>
    <d v="1899-12-30T00:00:00"/>
    <d v="1899-12-30T00:00:00"/>
    <n v="1"/>
    <e v="#VALUE!"/>
    <n v="0"/>
    <e v="#VALUE!"/>
    <s v=""/>
    <e v="#VALUE!"/>
    <n v="0"/>
    <e v="#VALUE!"/>
    <e v="#VALUE!"/>
    <s v=""/>
    <s v=""/>
    <s v=""/>
    <n v="0"/>
    <x v="2"/>
    <x v="5"/>
    <x v="1"/>
    <x v="1"/>
    <n v="32.200000000000003"/>
  </r>
  <r>
    <d v="2017-09-01T00:00:00"/>
    <x v="93"/>
    <x v="9"/>
    <x v="8"/>
    <s v="Compteur 6"/>
    <s v="Compteur_6"/>
    <x v="1"/>
    <d v="1899-12-30T00:00:00"/>
    <d v="1899-12-30T00:00:00"/>
    <n v="1"/>
    <e v="#VALUE!"/>
    <n v="0"/>
    <e v="#VALUE!"/>
    <s v=""/>
    <e v="#VALUE!"/>
    <n v="0"/>
    <e v="#VALUE!"/>
    <e v="#VALUE!"/>
    <s v=""/>
    <s v=""/>
    <s v=""/>
    <n v="0"/>
    <x v="2"/>
    <x v="5"/>
    <x v="1"/>
    <x v="1"/>
    <n v="82.3"/>
  </r>
  <r>
    <d v="2017-10-01T00:00:00"/>
    <x v="94"/>
    <x v="10"/>
    <x v="8"/>
    <s v="Compteur 6"/>
    <s v="Compteur_6"/>
    <x v="1"/>
    <d v="1899-12-30T00:00:00"/>
    <d v="1899-12-30T00:00:00"/>
    <n v="1"/>
    <e v="#VALUE!"/>
    <n v="0"/>
    <e v="#VALUE!"/>
    <s v=""/>
    <e v="#VALUE!"/>
    <n v="0"/>
    <e v="#VALUE!"/>
    <e v="#VALUE!"/>
    <s v=""/>
    <s v=""/>
    <s v=""/>
    <n v="0"/>
    <x v="2"/>
    <x v="5"/>
    <x v="1"/>
    <x v="1"/>
    <n v="126.4"/>
  </r>
  <r>
    <d v="2017-11-01T00:00:00"/>
    <x v="95"/>
    <x v="11"/>
    <x v="8"/>
    <s v="Compteur 6"/>
    <s v="Compteur_6"/>
    <x v="1"/>
    <d v="1899-12-30T00:00:00"/>
    <d v="1899-12-30T00:00:00"/>
    <n v="1"/>
    <e v="#VALUE!"/>
    <n v="0"/>
    <e v="#VALUE!"/>
    <s v=""/>
    <e v="#VALUE!"/>
    <n v="0"/>
    <e v="#VALUE!"/>
    <e v="#VALUE!"/>
    <s v=""/>
    <s v=""/>
    <s v=""/>
    <n v="0"/>
    <x v="2"/>
    <x v="5"/>
    <x v="1"/>
    <x v="1"/>
    <n v="289.89999999999998"/>
  </r>
  <r>
    <d v="2017-12-01T00:00:00"/>
    <x v="96"/>
    <x v="12"/>
    <x v="8"/>
    <s v="Compteur 6"/>
    <s v="Compteur_6"/>
    <x v="1"/>
    <d v="1899-12-30T00:00:00"/>
    <d v="1899-12-30T00:00:00"/>
    <n v="1"/>
    <e v="#VALUE!"/>
    <n v="0"/>
    <e v="#VALUE!"/>
    <s v=""/>
    <e v="#VALUE!"/>
    <n v="0"/>
    <e v="#VALUE!"/>
    <e v="#VALUE!"/>
    <s v=""/>
    <s v=""/>
    <s v=""/>
    <n v="0"/>
    <x v="2"/>
    <x v="5"/>
    <x v="1"/>
    <x v="1"/>
    <n v="366.2"/>
  </r>
  <r>
    <d v="2018-01-01T00:00:00"/>
    <x v="97"/>
    <x v="1"/>
    <x v="9"/>
    <s v="Compteur 6"/>
    <s v="Compteur_6"/>
    <x v="1"/>
    <d v="1899-12-30T00:00:00"/>
    <d v="1899-12-30T00:00:00"/>
    <n v="1"/>
    <e v="#VALUE!"/>
    <n v="0"/>
    <e v="#VALUE!"/>
    <s v=""/>
    <e v="#VALUE!"/>
    <n v="0"/>
    <e v="#VALUE!"/>
    <e v="#VALUE!"/>
    <s v=""/>
    <s v=""/>
    <s v=""/>
    <n v="0"/>
    <x v="2"/>
    <x v="5"/>
    <x v="1"/>
    <x v="1"/>
    <n v="298.60000000000002"/>
  </r>
  <r>
    <d v="2018-02-01T00:00:00"/>
    <x v="98"/>
    <x v="2"/>
    <x v="9"/>
    <s v="Compteur 6"/>
    <s v="Compteur_6"/>
    <x v="1"/>
    <d v="1899-12-30T00:00:00"/>
    <d v="1899-12-30T00:00:00"/>
    <n v="1"/>
    <e v="#VALUE!"/>
    <n v="0"/>
    <e v="#VALUE!"/>
    <s v=""/>
    <e v="#VALUE!"/>
    <n v="0"/>
    <e v="#VALUE!"/>
    <e v="#VALUE!"/>
    <s v=""/>
    <s v=""/>
    <s v=""/>
    <n v="0"/>
    <x v="2"/>
    <x v="5"/>
    <x v="1"/>
    <x v="1"/>
    <n v="415.2"/>
  </r>
  <r>
    <d v="2018-03-01T00:00:00"/>
    <x v="99"/>
    <x v="3"/>
    <x v="9"/>
    <s v="Compteur 6"/>
    <s v="Compteur_6"/>
    <x v="1"/>
    <d v="1899-12-30T00:00:00"/>
    <d v="1899-12-30T00:00:00"/>
    <n v="1"/>
    <e v="#VALUE!"/>
    <n v="0"/>
    <e v="#VALUE!"/>
    <s v=""/>
    <e v="#VALUE!"/>
    <n v="0"/>
    <e v="#VALUE!"/>
    <e v="#VALUE!"/>
    <s v=""/>
    <s v=""/>
    <s v=""/>
    <n v="0"/>
    <x v="2"/>
    <x v="5"/>
    <x v="1"/>
    <x v="1"/>
    <n v="305.39999999999998"/>
  </r>
  <r>
    <d v="2018-04-01T00:00:00"/>
    <x v="100"/>
    <x v="4"/>
    <x v="9"/>
    <s v="Compteur 6"/>
    <s v="Compteur_6"/>
    <x v="1"/>
    <d v="1899-12-30T00:00:00"/>
    <d v="1899-12-30T00:00:00"/>
    <n v="1"/>
    <e v="#VALUE!"/>
    <n v="0"/>
    <e v="#VALUE!"/>
    <s v=""/>
    <e v="#VALUE!"/>
    <n v="0"/>
    <e v="#VALUE!"/>
    <e v="#VALUE!"/>
    <s v=""/>
    <s v=""/>
    <s v=""/>
    <n v="0"/>
    <x v="2"/>
    <x v="5"/>
    <x v="1"/>
    <x v="1"/>
    <n v="152.19999999999999"/>
  </r>
  <r>
    <d v="2018-05-01T00:00:00"/>
    <x v="101"/>
    <x v="5"/>
    <x v="9"/>
    <s v="Compteur 6"/>
    <s v="Compteur_6"/>
    <x v="1"/>
    <d v="1899-12-30T00:00:00"/>
    <d v="1899-12-30T00:00:00"/>
    <n v="1"/>
    <e v="#VALUE!"/>
    <n v="0"/>
    <e v="#VALUE!"/>
    <s v=""/>
    <e v="#VALUE!"/>
    <n v="0"/>
    <e v="#VALUE!"/>
    <e v="#VALUE!"/>
    <s v=""/>
    <s v=""/>
    <s v=""/>
    <n v="0"/>
    <x v="2"/>
    <x v="5"/>
    <x v="1"/>
    <x v="1"/>
    <n v="95.8"/>
  </r>
  <r>
    <d v="2018-06-01T00:00:00"/>
    <x v="102"/>
    <x v="6"/>
    <x v="9"/>
    <s v="Compteur 6"/>
    <s v="Compteur_6"/>
    <x v="1"/>
    <d v="1899-12-30T00:00:00"/>
    <d v="1899-12-30T00:00:00"/>
    <n v="1"/>
    <e v="#VALUE!"/>
    <n v="0"/>
    <e v="#VALUE!"/>
    <s v=""/>
    <e v="#VALUE!"/>
    <n v="0"/>
    <e v="#VALUE!"/>
    <e v="#VALUE!"/>
    <s v=""/>
    <s v=""/>
    <s v=""/>
    <n v="0"/>
    <x v="2"/>
    <x v="5"/>
    <x v="1"/>
    <x v="1"/>
    <n v="25.4"/>
  </r>
  <r>
    <d v="2018-07-01T00:00:00"/>
    <x v="103"/>
    <x v="7"/>
    <x v="9"/>
    <s v="Compteur 6"/>
    <s v="Compteur_6"/>
    <x v="1"/>
    <d v="1899-12-30T00:00:00"/>
    <d v="1899-12-30T00:00:00"/>
    <n v="1"/>
    <e v="#VALUE!"/>
    <n v="0"/>
    <e v="#VALUE!"/>
    <s v=""/>
    <e v="#VALUE!"/>
    <n v="0"/>
    <e v="#VALUE!"/>
    <e v="#VALUE!"/>
    <s v=""/>
    <s v=""/>
    <s v=""/>
    <n v="0"/>
    <x v="2"/>
    <x v="5"/>
    <x v="1"/>
    <x v="1"/>
    <n v="5.9"/>
  </r>
  <r>
    <d v="2018-08-01T00:00:00"/>
    <x v="104"/>
    <x v="8"/>
    <x v="9"/>
    <s v="Compteur 6"/>
    <s v="Compteur_6"/>
    <x v="1"/>
    <d v="1899-12-30T00:00:00"/>
    <d v="1899-12-30T00:00:00"/>
    <n v="1"/>
    <e v="#VALUE!"/>
    <n v="0"/>
    <e v="#VALUE!"/>
    <s v=""/>
    <e v="#VALUE!"/>
    <n v="0"/>
    <e v="#VALUE!"/>
    <e v="#VALUE!"/>
    <s v=""/>
    <s v=""/>
    <s v=""/>
    <n v="0"/>
    <x v="2"/>
    <x v="5"/>
    <x v="1"/>
    <x v="1"/>
    <n v="26"/>
  </r>
  <r>
    <d v="2018-09-01T00:00:00"/>
    <x v="105"/>
    <x v="9"/>
    <x v="9"/>
    <s v="Compteur 6"/>
    <s v="Compteur_6"/>
    <x v="1"/>
    <d v="1899-12-30T00:00:00"/>
    <d v="1899-12-30T00:00:00"/>
    <n v="1"/>
    <e v="#VALUE!"/>
    <n v="0"/>
    <e v="#VALUE!"/>
    <s v=""/>
    <e v="#VALUE!"/>
    <n v="0"/>
    <e v="#VALUE!"/>
    <e v="#VALUE!"/>
    <s v=""/>
    <s v=""/>
    <s v=""/>
    <n v="0"/>
    <x v="2"/>
    <x v="5"/>
    <x v="1"/>
    <x v="1"/>
    <n v="73.599999999999994"/>
  </r>
  <r>
    <d v="2018-10-01T00:00:00"/>
    <x v="106"/>
    <x v="10"/>
    <x v="9"/>
    <s v="Compteur 6"/>
    <s v="Compteur_6"/>
    <x v="1"/>
    <d v="1899-12-30T00:00:00"/>
    <d v="1899-12-30T00:00:00"/>
    <n v="1"/>
    <e v="#VALUE!"/>
    <n v="0"/>
    <e v="#VALUE!"/>
    <s v=""/>
    <e v="#VALUE!"/>
    <n v="0"/>
    <e v="#VALUE!"/>
    <e v="#VALUE!"/>
    <s v=""/>
    <s v=""/>
    <s v=""/>
    <n v="0"/>
    <x v="2"/>
    <x v="5"/>
    <x v="1"/>
    <x v="1"/>
    <n v="157.5"/>
  </r>
  <r>
    <d v="2018-11-01T00:00:00"/>
    <x v="107"/>
    <x v="11"/>
    <x v="9"/>
    <s v="Compteur 6"/>
    <s v="Compteur_6"/>
    <x v="1"/>
    <d v="1899-12-30T00:00:00"/>
    <d v="1899-12-30T00:00:00"/>
    <n v="1"/>
    <e v="#VALUE!"/>
    <n v="0"/>
    <e v="#VALUE!"/>
    <s v=""/>
    <e v="#VALUE!"/>
    <n v="0"/>
    <e v="#VALUE!"/>
    <e v="#VALUE!"/>
    <s v=""/>
    <s v=""/>
    <s v=""/>
    <n v="0"/>
    <x v="2"/>
    <x v="5"/>
    <x v="1"/>
    <x v="1"/>
    <n v="278"/>
  </r>
  <r>
    <d v="2018-12-01T00:00:00"/>
    <x v="108"/>
    <x v="12"/>
    <x v="9"/>
    <s v="Compteur 6"/>
    <s v="Compteur_6"/>
    <x v="1"/>
    <d v="1899-12-30T00:00:00"/>
    <d v="1899-12-30T00:00:00"/>
    <n v="1"/>
    <e v="#VALUE!"/>
    <n v="0"/>
    <e v="#VALUE!"/>
    <s v=""/>
    <e v="#VALUE!"/>
    <n v="0"/>
    <e v="#VALUE!"/>
    <e v="#VALUE!"/>
    <s v=""/>
    <s v=""/>
    <s v=""/>
    <n v="0"/>
    <x v="2"/>
    <x v="5"/>
    <x v="1"/>
    <x v="1"/>
    <n v="319.2"/>
  </r>
  <r>
    <d v="2019-01-01T00:00:00"/>
    <x v="109"/>
    <x v="1"/>
    <x v="10"/>
    <s v="Compteur 6"/>
    <s v="Compteur_6"/>
    <x v="1"/>
    <d v="1899-12-30T00:00:00"/>
    <d v="1899-12-30T00:00:00"/>
    <n v="1"/>
    <e v="#VALUE!"/>
    <n v="0"/>
    <e v="#VALUE!"/>
    <s v=""/>
    <e v="#VALUE!"/>
    <n v="0"/>
    <e v="#VALUE!"/>
    <e v="#VALUE!"/>
    <s v=""/>
    <s v=""/>
    <s v=""/>
    <n v="0"/>
    <x v="2"/>
    <x v="5"/>
    <x v="1"/>
    <x v="1"/>
    <n v="402.2"/>
  </r>
  <r>
    <d v="2019-02-01T00:00:00"/>
    <x v="110"/>
    <x v="2"/>
    <x v="10"/>
    <s v="Compteur 6"/>
    <s v="Compteur_6"/>
    <x v="1"/>
    <d v="1899-12-30T00:00:00"/>
    <d v="1899-12-30T00:00:00"/>
    <n v="1"/>
    <e v="#VALUE!"/>
    <n v="0"/>
    <e v="#VALUE!"/>
    <s v=""/>
    <e v="#VALUE!"/>
    <n v="0"/>
    <e v="#VALUE!"/>
    <e v="#VALUE!"/>
    <s v=""/>
    <s v=""/>
    <s v=""/>
    <n v="0"/>
    <x v="2"/>
    <x v="5"/>
    <x v="1"/>
    <x v="1"/>
    <n v="297.3"/>
  </r>
  <r>
    <d v="2019-03-01T00:00:00"/>
    <x v="111"/>
    <x v="3"/>
    <x v="10"/>
    <s v="Compteur 6"/>
    <s v="Compteur_6"/>
    <x v="1"/>
    <d v="1899-12-30T00:00:00"/>
    <d v="1899-12-30T00:00:00"/>
    <n v="1"/>
    <e v="#VALUE!"/>
    <n v="0"/>
    <e v="#VALUE!"/>
    <s v=""/>
    <e v="#VALUE!"/>
    <n v="0"/>
    <e v="#VALUE!"/>
    <e v="#VALUE!"/>
    <s v=""/>
    <s v=""/>
    <s v=""/>
    <n v="0"/>
    <x v="2"/>
    <x v="5"/>
    <x v="1"/>
    <x v="1"/>
    <n v="260.39999999999998"/>
  </r>
  <r>
    <d v="2019-04-01T00:00:00"/>
    <x v="112"/>
    <x v="4"/>
    <x v="10"/>
    <s v="Compteur 6"/>
    <s v="Compteur_6"/>
    <x v="1"/>
    <d v="1899-12-30T00:00:00"/>
    <d v="1899-12-30T00:00:00"/>
    <n v="1"/>
    <e v="#VALUE!"/>
    <n v="0"/>
    <e v="#VALUE!"/>
    <s v=""/>
    <e v="#VALUE!"/>
    <n v="0"/>
    <e v="#VALUE!"/>
    <e v="#VALUE!"/>
    <s v=""/>
    <s v=""/>
    <s v=""/>
    <n v="0"/>
    <x v="2"/>
    <x v="5"/>
    <x v="1"/>
    <x v="1"/>
    <n v="201.4"/>
  </r>
  <r>
    <d v="2019-05-01T00:00:00"/>
    <x v="113"/>
    <x v="5"/>
    <x v="10"/>
    <s v="Compteur 6"/>
    <s v="Compteur_6"/>
    <x v="1"/>
    <d v="1899-12-30T00:00:00"/>
    <d v="1899-12-30T00:00:00"/>
    <n v="1"/>
    <e v="#VALUE!"/>
    <n v="0"/>
    <e v="#VALUE!"/>
    <s v=""/>
    <e v="#VALUE!"/>
    <n v="0"/>
    <e v="#VALUE!"/>
    <e v="#VALUE!"/>
    <s v=""/>
    <s v=""/>
    <s v=""/>
    <n v="0"/>
    <x v="2"/>
    <x v="5"/>
    <x v="1"/>
    <x v="1"/>
    <n v="147.9"/>
  </r>
  <r>
    <d v="2019-06-01T00:00:00"/>
    <x v="114"/>
    <x v="6"/>
    <x v="10"/>
    <s v="Compteur 6"/>
    <s v="Compteur_6"/>
    <x v="1"/>
    <d v="1899-12-30T00:00:00"/>
    <d v="1899-12-30T00:00:00"/>
    <n v="1"/>
    <e v="#VALUE!"/>
    <n v="0"/>
    <e v="#VALUE!"/>
    <s v=""/>
    <e v="#VALUE!"/>
    <n v="0"/>
    <e v="#VALUE!"/>
    <e v="#VALUE!"/>
    <s v=""/>
    <s v=""/>
    <s v=""/>
    <n v="0"/>
    <x v="2"/>
    <x v="5"/>
    <x v="1"/>
    <x v="1"/>
    <n v="54.1"/>
  </r>
  <r>
    <d v="2019-07-01T00:00:00"/>
    <x v="115"/>
    <x v="7"/>
    <x v="10"/>
    <s v="Compteur 6"/>
    <s v="Compteur_6"/>
    <x v="1"/>
    <d v="1899-12-30T00:00:00"/>
    <d v="1899-12-30T00:00:00"/>
    <n v="1"/>
    <e v="#VALUE!"/>
    <n v="0"/>
    <e v="#VALUE!"/>
    <s v=""/>
    <e v="#VALUE!"/>
    <n v="0"/>
    <e v="#VALUE!"/>
    <e v="#VALUE!"/>
    <s v=""/>
    <s v=""/>
    <s v=""/>
    <n v="0"/>
    <x v="2"/>
    <x v="5"/>
    <x v="1"/>
    <x v="1"/>
    <n v="15.5"/>
  </r>
  <r>
    <d v="2019-08-01T00:00:00"/>
    <x v="116"/>
    <x v="8"/>
    <x v="10"/>
    <s v="Compteur 6"/>
    <s v="Compteur_6"/>
    <x v="1"/>
    <d v="1899-12-30T00:00:00"/>
    <d v="1899-12-30T00:00:00"/>
    <n v="1"/>
    <e v="#VALUE!"/>
    <n v="0"/>
    <e v="#VALUE!"/>
    <s v=""/>
    <e v="#VALUE!"/>
    <n v="0"/>
    <e v="#VALUE!"/>
    <e v="#VALUE!"/>
    <s v=""/>
    <s v=""/>
    <s v=""/>
    <n v="0"/>
    <x v="2"/>
    <x v="5"/>
    <x v="1"/>
    <x v="1"/>
    <n v="30.2"/>
  </r>
  <r>
    <d v="2019-09-01T00:00:00"/>
    <x v="117"/>
    <x v="9"/>
    <x v="10"/>
    <s v="Compteur 6"/>
    <s v="Compteur_6"/>
    <x v="1"/>
    <d v="1899-12-30T00:00:00"/>
    <d v="1899-12-30T00:00:00"/>
    <n v="1"/>
    <e v="#VALUE!"/>
    <n v="0"/>
    <e v="#VALUE!"/>
    <s v=""/>
    <e v="#VALUE!"/>
    <n v="0"/>
    <e v="#VALUE!"/>
    <e v="#VALUE!"/>
    <s v=""/>
    <s v=""/>
    <s v=""/>
    <n v="0"/>
    <x v="2"/>
    <x v="5"/>
    <x v="1"/>
    <x v="1"/>
    <n v="64.7"/>
  </r>
  <r>
    <d v="2019-10-01T00:00:00"/>
    <x v="118"/>
    <x v="10"/>
    <x v="10"/>
    <s v="Compteur 6"/>
    <s v="Compteur_6"/>
    <x v="1"/>
    <d v="1899-12-30T00:00:00"/>
    <d v="1899-12-30T00:00:00"/>
    <n v="1"/>
    <e v="#VALUE!"/>
    <n v="0"/>
    <e v="#VALUE!"/>
    <s v=""/>
    <e v="#VALUE!"/>
    <n v="0"/>
    <e v="#VALUE!"/>
    <e v="#VALUE!"/>
    <s v=""/>
    <s v=""/>
    <s v=""/>
    <n v="0"/>
    <x v="2"/>
    <x v="5"/>
    <x v="1"/>
    <x v="1"/>
    <n v="128.80000000000001"/>
  </r>
  <r>
    <d v="2019-11-01T00:00:00"/>
    <x v="119"/>
    <x v="11"/>
    <x v="10"/>
    <s v="Compteur 6"/>
    <s v="Compteur_6"/>
    <x v="1"/>
    <d v="1899-12-30T00:00:00"/>
    <d v="1899-12-30T00:00:00"/>
    <n v="1"/>
    <e v="#VALUE!"/>
    <n v="0"/>
    <e v="#VALUE!"/>
    <s v=""/>
    <e v="#VALUE!"/>
    <n v="0"/>
    <e v="#VALUE!"/>
    <e v="#VALUE!"/>
    <s v=""/>
    <s v=""/>
    <s v=""/>
    <n v="0"/>
    <x v="2"/>
    <x v="5"/>
    <x v="1"/>
    <x v="1"/>
    <n v="293.10000000000002"/>
  </r>
  <r>
    <d v="2019-12-01T00:00:00"/>
    <x v="120"/>
    <x v="12"/>
    <x v="10"/>
    <s v="Compteur 6"/>
    <s v="Compteur_6"/>
    <x v="1"/>
    <d v="1899-12-30T00:00:00"/>
    <d v="1899-12-30T00:00:00"/>
    <n v="1"/>
    <e v="#VALUE!"/>
    <n v="0"/>
    <e v="#VALUE!"/>
    <s v=""/>
    <e v="#VALUE!"/>
    <n v="0"/>
    <e v="#VALUE!"/>
    <e v="#VALUE!"/>
    <s v=""/>
    <s v=""/>
    <s v=""/>
    <n v="0"/>
    <x v="2"/>
    <x v="5"/>
    <x v="1"/>
    <x v="1"/>
    <n v="323"/>
  </r>
  <r>
    <d v="2020-01-01T00:00:00"/>
    <x v="121"/>
    <x v="1"/>
    <x v="11"/>
    <s v="Compteur 6"/>
    <s v="Compteur_6"/>
    <x v="1"/>
    <d v="1899-12-30T00:00:00"/>
    <d v="1899-12-30T00:00:00"/>
    <n v="1"/>
    <e v="#VALUE!"/>
    <n v="0"/>
    <e v="#VALUE!"/>
    <s v=""/>
    <e v="#VALUE!"/>
    <n v="0"/>
    <e v="#VALUE!"/>
    <e v="#VALUE!"/>
    <s v=""/>
    <s v=""/>
    <s v=""/>
    <n v="0"/>
    <x v="2"/>
    <x v="5"/>
    <x v="1"/>
    <x v="1"/>
    <n v="331.5"/>
  </r>
  <r>
    <d v="2020-02-01T00:00:00"/>
    <x v="122"/>
    <x v="2"/>
    <x v="11"/>
    <s v="Compteur 6"/>
    <s v="Compteur_6"/>
    <x v="1"/>
    <d v="1899-12-30T00:00:00"/>
    <d v="1899-12-30T00:00:00"/>
    <n v="1"/>
    <e v="#VALUE!"/>
    <n v="0"/>
    <e v="#VALUE!"/>
    <s v=""/>
    <e v="#VALUE!"/>
    <n v="0"/>
    <e v="#VALUE!"/>
    <e v="#VALUE!"/>
    <s v=""/>
    <s v=""/>
    <s v=""/>
    <n v="0"/>
    <x v="2"/>
    <x v="5"/>
    <x v="1"/>
    <x v="1"/>
    <n v="251.6"/>
  </r>
  <r>
    <d v="2020-03-01T00:00:00"/>
    <x v="123"/>
    <x v="3"/>
    <x v="11"/>
    <s v="Compteur 6"/>
    <s v="Compteur_6"/>
    <x v="1"/>
    <d v="1899-12-30T00:00:00"/>
    <d v="1899-12-30T00:00:00"/>
    <n v="1"/>
    <e v="#VALUE!"/>
    <n v="0"/>
    <e v="#VALUE!"/>
    <s v=""/>
    <e v="#VALUE!"/>
    <n v="0"/>
    <e v="#VALUE!"/>
    <e v="#VALUE!"/>
    <s v=""/>
    <s v=""/>
    <s v=""/>
    <n v="0"/>
    <x v="2"/>
    <x v="5"/>
    <x v="1"/>
    <x v="1"/>
    <n v="272.60000000000002"/>
  </r>
  <r>
    <d v="2020-04-01T00:00:00"/>
    <x v="124"/>
    <x v="4"/>
    <x v="11"/>
    <s v="Compteur 6"/>
    <s v="Compteur_6"/>
    <x v="1"/>
    <d v="1899-12-30T00:00:00"/>
    <d v="1899-12-30T00:00:00"/>
    <n v="1"/>
    <e v="#VALUE!"/>
    <n v="0"/>
    <e v="#VALUE!"/>
    <s v=""/>
    <e v="#VALUE!"/>
    <n v="0"/>
    <e v="#VALUE!"/>
    <e v="#VALUE!"/>
    <s v=""/>
    <s v=""/>
    <s v=""/>
    <n v="0"/>
    <x v="2"/>
    <x v="5"/>
    <x v="1"/>
    <x v="1"/>
    <n v="126.3"/>
  </r>
  <r>
    <d v="2020-05-01T00:00:00"/>
    <x v="125"/>
    <x v="5"/>
    <x v="11"/>
    <s v="Compteur 6"/>
    <s v="Compteur_6"/>
    <x v="1"/>
    <d v="1899-12-30T00:00:00"/>
    <d v="1899-12-30T00:00:00"/>
    <n v="1"/>
    <e v="#VALUE!"/>
    <n v="0"/>
    <e v="#VALUE!"/>
    <s v=""/>
    <e v="#VALUE!"/>
    <n v="0"/>
    <e v="#VALUE!"/>
    <e v="#VALUE!"/>
    <s v=""/>
    <s v=""/>
    <s v=""/>
    <n v="0"/>
    <x v="2"/>
    <x v="5"/>
    <x v="1"/>
    <x v="1"/>
    <n v="91.8"/>
  </r>
  <r>
    <d v="2020-06-01T00:00:00"/>
    <x v="126"/>
    <x v="6"/>
    <x v="11"/>
    <s v="Compteur 6"/>
    <s v="Compteur_6"/>
    <x v="1"/>
    <d v="1899-12-30T00:00:00"/>
    <d v="1899-12-30T00:00:00"/>
    <n v="1"/>
    <e v="#VALUE!"/>
    <n v="0"/>
    <e v="#VALUE!"/>
    <s v=""/>
    <e v="#VALUE!"/>
    <n v="0"/>
    <e v="#VALUE!"/>
    <e v="#VALUE!"/>
    <s v=""/>
    <s v=""/>
    <s v=""/>
    <n v="0"/>
    <x v="2"/>
    <x v="5"/>
    <x v="1"/>
    <x v="1"/>
    <n v="55.6"/>
  </r>
  <r>
    <d v="2020-07-01T00:00:00"/>
    <x v="127"/>
    <x v="7"/>
    <x v="11"/>
    <s v="Compteur 6"/>
    <s v="Compteur_6"/>
    <x v="1"/>
    <d v="1899-12-30T00:00:00"/>
    <d v="1899-12-30T00:00:00"/>
    <n v="1"/>
    <e v="#VALUE!"/>
    <n v="0"/>
    <e v="#VALUE!"/>
    <s v=""/>
    <e v="#VALUE!"/>
    <n v="0"/>
    <e v="#VALUE!"/>
    <e v="#VALUE!"/>
    <s v=""/>
    <s v=""/>
    <s v=""/>
    <n v="0"/>
    <x v="2"/>
    <x v="5"/>
    <x v="1"/>
    <x v="1"/>
    <n v="32.299999999999997"/>
  </r>
  <r>
    <d v="2020-08-01T00:00:00"/>
    <x v="128"/>
    <x v="8"/>
    <x v="11"/>
    <s v="Compteur 6"/>
    <s v="Compteur_6"/>
    <x v="1"/>
    <d v="1899-12-30T00:00:00"/>
    <d v="1899-12-30T00:00:00"/>
    <n v="1"/>
    <e v="#VALUE!"/>
    <n v="0"/>
    <e v="#VALUE!"/>
    <s v=""/>
    <e v="#VALUE!"/>
    <n v="0"/>
    <e v="#VALUE!"/>
    <e v="#VALUE!"/>
    <s v=""/>
    <s v=""/>
    <s v=""/>
    <n v="0"/>
    <x v="2"/>
    <x v="5"/>
    <x v="1"/>
    <x v="1"/>
    <n v="27.8"/>
  </r>
  <r>
    <d v="2020-09-01T00:00:00"/>
    <x v="129"/>
    <x v="9"/>
    <x v="11"/>
    <s v="Compteur 6"/>
    <s v="Compteur_6"/>
    <x v="1"/>
    <d v="1899-12-30T00:00:00"/>
    <d v="1899-12-30T00:00:00"/>
    <n v="1"/>
    <e v="#VALUE!"/>
    <n v="0"/>
    <e v="#VALUE!"/>
    <s v=""/>
    <e v="#VALUE!"/>
    <n v="0"/>
    <e v="#VALUE!"/>
    <e v="#VALUE!"/>
    <s v=""/>
    <s v=""/>
    <s v=""/>
    <n v="0"/>
    <x v="2"/>
    <x v="5"/>
    <x v="1"/>
    <x v="1"/>
    <n v="56.6"/>
  </r>
  <r>
    <d v="2020-10-01T00:00:00"/>
    <x v="130"/>
    <x v="10"/>
    <x v="11"/>
    <s v="Compteur 6"/>
    <s v="Compteur_6"/>
    <x v="1"/>
    <d v="1899-12-30T00:00:00"/>
    <d v="1899-12-30T00:00:00"/>
    <n v="1"/>
    <e v="#VALUE!"/>
    <n v="0"/>
    <e v="#VALUE!"/>
    <s v=""/>
    <e v="#VALUE!"/>
    <n v="0"/>
    <e v="#VALUE!"/>
    <e v="#VALUE!"/>
    <s v=""/>
    <s v=""/>
    <s v=""/>
    <n v="0"/>
    <x v="2"/>
    <x v="5"/>
    <x v="1"/>
    <x v="1"/>
    <n v="159.30000000000001"/>
  </r>
  <r>
    <d v="2020-11-01T00:00:00"/>
    <x v="131"/>
    <x v="11"/>
    <x v="11"/>
    <s v="Compteur 6"/>
    <s v="Compteur_6"/>
    <x v="1"/>
    <d v="1899-12-30T00:00:00"/>
    <d v="1899-12-30T00:00:00"/>
    <n v="1"/>
    <e v="#VALUE!"/>
    <n v="0"/>
    <e v="#VALUE!"/>
    <s v=""/>
    <e v="#VALUE!"/>
    <n v="0"/>
    <e v="#VALUE!"/>
    <e v="#VALUE!"/>
    <s v=""/>
    <s v=""/>
    <s v=""/>
    <n v="0"/>
    <x v="2"/>
    <x v="5"/>
    <x v="1"/>
    <x v="1"/>
    <n v="237.3"/>
  </r>
  <r>
    <d v="2020-12-01T00:00:00"/>
    <x v="132"/>
    <x v="12"/>
    <x v="11"/>
    <s v="Compteur 6"/>
    <s v="Compteur_6"/>
    <x v="1"/>
    <d v="1899-12-30T00:00:00"/>
    <d v="1899-12-30T00:00:00"/>
    <n v="1"/>
    <e v="#VALUE!"/>
    <n v="0"/>
    <e v="#VALUE!"/>
    <s v=""/>
    <e v="#VALUE!"/>
    <n v="0"/>
    <e v="#VALUE!"/>
    <e v="#VALUE!"/>
    <s v=""/>
    <s v=""/>
    <s v=""/>
    <n v="0"/>
    <x v="2"/>
    <x v="5"/>
    <x v="1"/>
    <x v="1"/>
    <n v="334.4"/>
  </r>
  <r>
    <d v="2021-01-01T00:00:00"/>
    <x v="133"/>
    <x v="1"/>
    <x v="12"/>
    <s v="Compteur 6"/>
    <s v="Compteur_6"/>
    <x v="1"/>
    <d v="1899-12-30T00:00:00"/>
    <d v="1899-12-30T00:00:00"/>
    <n v="1"/>
    <e v="#VALUE!"/>
    <n v="0"/>
    <e v="#VALUE!"/>
    <s v=""/>
    <e v="#VALUE!"/>
    <n v="0"/>
    <e v="#VALUE!"/>
    <e v="#VALUE!"/>
    <s v=""/>
    <s v=""/>
    <s v=""/>
    <n v="0"/>
    <x v="2"/>
    <x v="5"/>
    <x v="1"/>
    <x v="1"/>
    <n v="380.1"/>
  </r>
  <r>
    <d v="2021-02-01T00:00:00"/>
    <x v="134"/>
    <x v="2"/>
    <x v="12"/>
    <s v="Compteur 6"/>
    <s v="Compteur_6"/>
    <x v="1"/>
    <d v="1899-12-30T00:00:00"/>
    <d v="1899-12-30T00:00:00"/>
    <n v="1"/>
    <e v="#VALUE!"/>
    <n v="0"/>
    <e v="#VALUE!"/>
    <s v=""/>
    <e v="#VALUE!"/>
    <n v="0"/>
    <e v="#VALUE!"/>
    <e v="#VALUE!"/>
    <s v=""/>
    <s v=""/>
    <s v=""/>
    <n v="0"/>
    <x v="2"/>
    <x v="5"/>
    <x v="1"/>
    <x v="1"/>
    <n v="299.5"/>
  </r>
  <r>
    <d v="2021-03-01T00:00:00"/>
    <x v="135"/>
    <x v="3"/>
    <x v="12"/>
    <s v="Compteur 6"/>
    <s v="Compteur_6"/>
    <x v="1"/>
    <d v="1899-12-30T00:00:00"/>
    <d v="1899-12-30T00:00:00"/>
    <n v="1"/>
    <e v="#VALUE!"/>
    <n v="0"/>
    <e v="#VALUE!"/>
    <s v=""/>
    <e v="#VALUE!"/>
    <n v="0"/>
    <e v="#VALUE!"/>
    <e v="#VALUE!"/>
    <s v=""/>
    <s v=""/>
    <s v=""/>
    <n v="0"/>
    <x v="2"/>
    <x v="5"/>
    <x v="1"/>
    <x v="1"/>
    <n v="303.89999999999998"/>
  </r>
  <r>
    <d v="2021-04-01T00:00:00"/>
    <x v="136"/>
    <x v="4"/>
    <x v="12"/>
    <s v="Compteur 6"/>
    <s v="Compteur_6"/>
    <x v="1"/>
    <d v="1899-12-30T00:00:00"/>
    <d v="1899-12-30T00:00:00"/>
    <n v="1"/>
    <e v="#VALUE!"/>
    <n v="0"/>
    <e v="#VALUE!"/>
    <s v=""/>
    <e v="#VALUE!"/>
    <n v="0"/>
    <e v="#VALUE!"/>
    <e v="#VALUE!"/>
    <s v=""/>
    <s v=""/>
    <s v=""/>
    <n v="0"/>
    <x v="2"/>
    <x v="5"/>
    <x v="1"/>
    <x v="1"/>
    <n v="242.8"/>
  </r>
  <r>
    <d v="2021-05-01T00:00:00"/>
    <x v="137"/>
    <x v="5"/>
    <x v="12"/>
    <s v="Compteur 6"/>
    <s v="Compteur_6"/>
    <x v="1"/>
    <d v="1899-12-30T00:00:00"/>
    <d v="1899-12-30T00:00:00"/>
    <n v="1"/>
    <e v="#VALUE!"/>
    <n v="0"/>
    <e v="#VALUE!"/>
    <s v=""/>
    <e v="#VALUE!"/>
    <n v="0"/>
    <e v="#VALUE!"/>
    <e v="#VALUE!"/>
    <s v=""/>
    <s v=""/>
    <s v=""/>
    <n v="0"/>
    <x v="2"/>
    <x v="5"/>
    <x v="1"/>
    <x v="1"/>
    <n v="159.4"/>
  </r>
  <r>
    <d v="2021-06-01T00:00:00"/>
    <x v="138"/>
    <x v="6"/>
    <x v="12"/>
    <s v="Compteur 6"/>
    <s v="Compteur_6"/>
    <x v="1"/>
    <d v="1899-12-30T00:00:00"/>
    <d v="1899-12-30T00:00:00"/>
    <n v="1"/>
    <e v="#VALUE!"/>
    <n v="0"/>
    <e v="#VALUE!"/>
    <s v=""/>
    <e v="#VALUE!"/>
    <n v="0"/>
    <e v="#VALUE!"/>
    <e v="#VALUE!"/>
    <s v=""/>
    <s v=""/>
    <s v=""/>
    <n v="0"/>
    <x v="2"/>
    <x v="5"/>
    <x v="1"/>
    <x v="1"/>
    <n v="29.9"/>
  </r>
  <r>
    <d v="2021-07-01T00:00:00"/>
    <x v="139"/>
    <x v="7"/>
    <x v="12"/>
    <s v="Compteur 6"/>
    <s v="Compteur_6"/>
    <x v="1"/>
    <d v="1899-12-30T00:00:00"/>
    <d v="1899-12-30T00:00:00"/>
    <n v="1"/>
    <e v="#VALUE!"/>
    <n v="0"/>
    <e v="#VALUE!"/>
    <s v=""/>
    <e v="#VALUE!"/>
    <n v="0"/>
    <e v="#VALUE!"/>
    <e v="#VALUE!"/>
    <s v=""/>
    <s v=""/>
    <s v=""/>
    <n v="0"/>
    <x v="2"/>
    <x v="5"/>
    <x v="1"/>
    <x v="1"/>
    <n v="22.4"/>
  </r>
  <r>
    <d v="2021-08-01T00:00:00"/>
    <x v="140"/>
    <x v="8"/>
    <x v="12"/>
    <s v="Compteur 6"/>
    <s v="Compteur_6"/>
    <x v="1"/>
    <d v="1899-12-30T00:00:00"/>
    <d v="1899-12-30T00:00:00"/>
    <n v="1"/>
    <e v="#VALUE!"/>
    <n v="0"/>
    <e v="#VALUE!"/>
    <s v=""/>
    <e v="#VALUE!"/>
    <n v="0"/>
    <e v="#VALUE!"/>
    <e v="#VALUE!"/>
    <s v=""/>
    <s v=""/>
    <s v=""/>
    <n v="0"/>
    <x v="2"/>
    <x v="5"/>
    <x v="1"/>
    <x v="1"/>
    <n v="35.9"/>
  </r>
  <r>
    <d v="2021-09-01T00:00:00"/>
    <x v="141"/>
    <x v="9"/>
    <x v="12"/>
    <s v="Compteur 6"/>
    <s v="Compteur_6"/>
    <x v="1"/>
    <d v="1899-12-30T00:00:00"/>
    <d v="1899-12-30T00:00:00"/>
    <n v="1"/>
    <e v="#VALUE!"/>
    <n v="0"/>
    <e v="#VALUE!"/>
    <s v=""/>
    <e v="#VALUE!"/>
    <n v="0"/>
    <e v="#VALUE!"/>
    <e v="#VALUE!"/>
    <s v=""/>
    <s v=""/>
    <s v=""/>
    <n v="0"/>
    <x v="2"/>
    <x v="5"/>
    <x v="1"/>
    <x v="1"/>
    <n v="47.8"/>
  </r>
  <r>
    <d v="2021-10-01T00:00:00"/>
    <x v="142"/>
    <x v="10"/>
    <x v="12"/>
    <s v="Compteur 6"/>
    <s v="Compteur_6"/>
    <x v="1"/>
    <d v="1899-12-30T00:00:00"/>
    <d v="1899-12-30T00:00:00"/>
    <n v="1"/>
    <e v="#VALUE!"/>
    <n v="0"/>
    <e v="#VALUE!"/>
    <s v=""/>
    <e v="#VALUE!"/>
    <n v="0"/>
    <e v="#VALUE!"/>
    <e v="#VALUE!"/>
    <s v=""/>
    <s v=""/>
    <s v=""/>
    <n v="0"/>
    <x v="2"/>
    <x v="5"/>
    <x v="1"/>
    <x v="1"/>
    <n v="170.5"/>
  </r>
  <r>
    <d v="2021-11-01T00:00:00"/>
    <x v="143"/>
    <x v="11"/>
    <x v="12"/>
    <s v="Compteur 6"/>
    <s v="Compteur_6"/>
    <x v="1"/>
    <d v="1899-12-30T00:00:00"/>
    <d v="1899-12-30T00:00:00"/>
    <n v="1"/>
    <e v="#VALUE!"/>
    <n v="0"/>
    <e v="#VALUE!"/>
    <s v=""/>
    <e v="#VALUE!"/>
    <n v="0"/>
    <e v="#VALUE!"/>
    <e v="#VALUE!"/>
    <s v=""/>
    <s v=""/>
    <s v=""/>
    <n v="0"/>
    <x v="2"/>
    <x v="5"/>
    <x v="1"/>
    <x v="1"/>
    <n v="326.8"/>
  </r>
  <r>
    <d v="2021-12-01T00:00:00"/>
    <x v="144"/>
    <x v="12"/>
    <x v="12"/>
    <s v="Compteur 6"/>
    <s v="Compteur_6"/>
    <x v="1"/>
    <d v="1899-12-30T00:00:00"/>
    <d v="1899-12-30T00:00:00"/>
    <n v="1"/>
    <e v="#VALUE!"/>
    <n v="0"/>
    <e v="#VALUE!"/>
    <s v=""/>
    <e v="#VALUE!"/>
    <n v="0"/>
    <e v="#VALUE!"/>
    <e v="#VALUE!"/>
    <s v=""/>
    <s v=""/>
    <s v=""/>
    <n v="0"/>
    <x v="2"/>
    <x v="5"/>
    <x v="1"/>
    <x v="1"/>
    <n v="336.7"/>
  </r>
  <r>
    <d v="2022-01-01T00:00:00"/>
    <x v="145"/>
    <x v="1"/>
    <x v="13"/>
    <s v="Compteur 6"/>
    <s v="Compteur_6"/>
    <x v="1"/>
    <d v="1899-12-30T00:00:00"/>
    <d v="1899-12-30T00:00:00"/>
    <n v="1"/>
    <e v="#VALUE!"/>
    <n v="0"/>
    <e v="#VALUE!"/>
    <s v=""/>
    <e v="#VALUE!"/>
    <n v="0"/>
    <e v="#VALUE!"/>
    <e v="#VALUE!"/>
    <s v=""/>
    <s v=""/>
    <s v=""/>
    <n v="0"/>
    <x v="2"/>
    <x v="5"/>
    <x v="1"/>
    <x v="1"/>
    <n v="396.3"/>
  </r>
  <r>
    <d v="2022-02-01T00:00:00"/>
    <x v="146"/>
    <x v="2"/>
    <x v="13"/>
    <s v="Compteur 6"/>
    <s v="Compteur_6"/>
    <x v="1"/>
    <d v="1899-12-30T00:00:00"/>
    <d v="1899-12-30T00:00:00"/>
    <n v="1"/>
    <e v="#VALUE!"/>
    <n v="0"/>
    <e v="#VALUE!"/>
    <s v=""/>
    <e v="#VALUE!"/>
    <n v="0"/>
    <e v="#VALUE!"/>
    <e v="#VALUE!"/>
    <s v=""/>
    <s v=""/>
    <s v=""/>
    <n v="0"/>
    <x v="2"/>
    <x v="5"/>
    <x v="1"/>
    <x v="1"/>
    <n v="286.10000000000002"/>
  </r>
  <r>
    <d v="2022-03-01T00:00:00"/>
    <x v="147"/>
    <x v="3"/>
    <x v="13"/>
    <s v="Compteur 6"/>
    <s v="Compteur_6"/>
    <x v="1"/>
    <d v="1899-12-30T00:00:00"/>
    <d v="1899-12-30T00:00:00"/>
    <n v="1"/>
    <e v="#VALUE!"/>
    <n v="0"/>
    <e v="#VALUE!"/>
    <s v=""/>
    <e v="#VALUE!"/>
    <n v="0"/>
    <e v="#VALUE!"/>
    <e v="#VALUE!"/>
    <s v=""/>
    <s v=""/>
    <s v=""/>
    <n v="0"/>
    <x v="2"/>
    <x v="5"/>
    <x v="1"/>
    <x v="1"/>
    <n v="239.8"/>
  </r>
  <r>
    <d v="2022-04-01T00:00:00"/>
    <x v="148"/>
    <x v="4"/>
    <x v="13"/>
    <s v="Compteur 6"/>
    <s v="Compteur_6"/>
    <x v="1"/>
    <d v="1899-12-30T00:00:00"/>
    <d v="1899-12-30T00:00:00"/>
    <n v="1"/>
    <e v="#VALUE!"/>
    <n v="0"/>
    <e v="#VALUE!"/>
    <s v=""/>
    <e v="#VALUE!"/>
    <n v="0"/>
    <e v="#VALUE!"/>
    <e v="#VALUE!"/>
    <s v=""/>
    <s v=""/>
    <s v=""/>
    <n v="0"/>
    <x v="2"/>
    <x v="5"/>
    <x v="1"/>
    <x v="1"/>
    <n v="192.3"/>
  </r>
  <r>
    <d v="2022-05-01T00:00:00"/>
    <x v="149"/>
    <x v="5"/>
    <x v="13"/>
    <s v="Compteur 6"/>
    <s v="Compteur_6"/>
    <x v="1"/>
    <d v="1899-12-30T00:00:00"/>
    <d v="1899-12-30T00:00:00"/>
    <n v="1"/>
    <e v="#VALUE!"/>
    <n v="0"/>
    <e v="#VALUE!"/>
    <s v=""/>
    <e v="#VALUE!"/>
    <n v="0"/>
    <e v="#VALUE!"/>
    <e v="#VALUE!"/>
    <s v=""/>
    <s v=""/>
    <s v=""/>
    <n v="0"/>
    <x v="2"/>
    <x v="5"/>
    <x v="1"/>
    <x v="1"/>
    <n v="81.8"/>
  </r>
  <r>
    <d v="2022-06-01T00:00:00"/>
    <x v="150"/>
    <x v="6"/>
    <x v="13"/>
    <s v="Compteur 6"/>
    <s v="Compteur_6"/>
    <x v="1"/>
    <d v="1899-12-30T00:00:00"/>
    <d v="1899-12-30T00:00:00"/>
    <n v="1"/>
    <e v="#VALUE!"/>
    <n v="0"/>
    <e v="#VALUE!"/>
    <s v=""/>
    <e v="#VALUE!"/>
    <n v="0"/>
    <e v="#VALUE!"/>
    <e v="#VALUE!"/>
    <s v=""/>
    <s v=""/>
    <s v=""/>
    <n v="0"/>
    <x v="2"/>
    <x v="5"/>
    <x v="1"/>
    <x v="1"/>
    <n v="35.5"/>
  </r>
  <r>
    <d v="2022-07-01T00:00:00"/>
    <x v="151"/>
    <x v="7"/>
    <x v="13"/>
    <s v="Compteur 6"/>
    <s v="Compteur_6"/>
    <x v="1"/>
    <d v="1899-12-30T00:00:00"/>
    <d v="1899-12-30T00:00:00"/>
    <n v="1"/>
    <e v="#VALUE!"/>
    <n v="0"/>
    <e v="#VALUE!"/>
    <s v=""/>
    <e v="#VALUE!"/>
    <n v="0"/>
    <e v="#VALUE!"/>
    <e v="#VALUE!"/>
    <s v=""/>
    <s v=""/>
    <s v=""/>
    <n v="0"/>
    <x v="2"/>
    <x v="5"/>
    <x v="1"/>
    <x v="1"/>
    <n v="18.8"/>
  </r>
  <r>
    <d v="2022-08-01T00:00:00"/>
    <x v="152"/>
    <x v="8"/>
    <x v="13"/>
    <s v="Compteur 6"/>
    <s v="Compteur_6"/>
    <x v="1"/>
    <d v="1899-12-30T00:00:00"/>
    <d v="1899-12-30T00:00:00"/>
    <n v="1"/>
    <e v="#VALUE!"/>
    <n v="0"/>
    <e v="#VALUE!"/>
    <s v=""/>
    <e v="#VALUE!"/>
    <n v="0"/>
    <e v="#VALUE!"/>
    <e v="#VALUE!"/>
    <s v=""/>
    <s v=""/>
    <s v=""/>
    <n v="0"/>
    <x v="2"/>
    <x v="5"/>
    <x v="1"/>
    <x v="1"/>
    <n v="10.7"/>
  </r>
  <r>
    <d v="2022-09-01T00:00:00"/>
    <x v="153"/>
    <x v="9"/>
    <x v="13"/>
    <s v="Compteur 6"/>
    <s v="Compteur_6"/>
    <x v="1"/>
    <d v="1899-12-30T00:00:00"/>
    <d v="1899-12-30T00:00:00"/>
    <n v="1"/>
    <e v="#VALUE!"/>
    <n v="0"/>
    <e v="#VALUE!"/>
    <s v=""/>
    <e v="#VALUE!"/>
    <n v="0"/>
    <e v="#VALUE!"/>
    <e v="#VALUE!"/>
    <s v=""/>
    <s v=""/>
    <s v=""/>
    <n v="0"/>
    <x v="2"/>
    <x v="5"/>
    <x v="1"/>
    <x v="1"/>
    <n v="74.7"/>
  </r>
  <r>
    <d v="2022-10-01T00:00:00"/>
    <x v="154"/>
    <x v="10"/>
    <x v="13"/>
    <s v="Compteur 6"/>
    <s v="Compteur_6"/>
    <x v="1"/>
    <d v="1899-12-30T00:00:00"/>
    <d v="1899-12-30T00:00:00"/>
    <n v="1"/>
    <e v="#VALUE!"/>
    <n v="0"/>
    <e v="#VALUE!"/>
    <s v=""/>
    <e v="#VALUE!"/>
    <n v="0"/>
    <e v="#VALUE!"/>
    <e v="#VALUE!"/>
    <s v=""/>
    <s v=""/>
    <s v=""/>
    <n v="0"/>
    <x v="2"/>
    <x v="5"/>
    <x v="1"/>
    <x v="1"/>
    <n v="73"/>
  </r>
  <r>
    <d v="2022-11-01T00:00:00"/>
    <x v="155"/>
    <x v="11"/>
    <x v="13"/>
    <s v="Compteur 6"/>
    <s v="Compteur_6"/>
    <x v="1"/>
    <d v="1899-12-30T00:00:00"/>
    <d v="1899-12-30T00:00:00"/>
    <n v="1"/>
    <e v="#VALUE!"/>
    <n v="0"/>
    <e v="#VALUE!"/>
    <s v=""/>
    <e v="#VALUE!"/>
    <n v="0"/>
    <e v="#VALUE!"/>
    <e v="#VALUE!"/>
    <s v=""/>
    <s v=""/>
    <s v=""/>
    <n v="0"/>
    <x v="2"/>
    <x v="5"/>
    <x v="1"/>
    <x v="1"/>
    <n v="227.5"/>
  </r>
  <r>
    <d v="2022-12-01T00:00:00"/>
    <x v="156"/>
    <x v="12"/>
    <x v="13"/>
    <s v="Compteur 6"/>
    <s v="Compteur_6"/>
    <x v="1"/>
    <d v="1899-12-30T00:00:00"/>
    <d v="1899-12-30T00:00:00"/>
    <n v="1"/>
    <e v="#VALUE!"/>
    <n v="0"/>
    <e v="#VALUE!"/>
    <s v=""/>
    <e v="#VALUE!"/>
    <n v="0"/>
    <e v="#VALUE!"/>
    <e v="#VALUE!"/>
    <s v=""/>
    <s v=""/>
    <s v=""/>
    <n v="0"/>
    <x v="2"/>
    <x v="5"/>
    <x v="1"/>
    <x v="1"/>
    <n v="380.8"/>
  </r>
  <r>
    <d v="2023-01-01T00:00:00"/>
    <x v="157"/>
    <x v="1"/>
    <x v="14"/>
    <s v="Compteur 6"/>
    <s v="Compteur_6"/>
    <x v="1"/>
    <d v="1899-12-30T00:00:00"/>
    <d v="1899-12-30T00:00:00"/>
    <n v="1"/>
    <e v="#VALUE!"/>
    <n v="0"/>
    <e v="#VALUE!"/>
    <s v=""/>
    <e v="#VALUE!"/>
    <n v="0"/>
    <e v="#VALUE!"/>
    <e v="#VALUE!"/>
    <s v=""/>
    <s v=""/>
    <s v=""/>
    <n v="0"/>
    <x v="2"/>
    <x v="5"/>
    <x v="1"/>
    <x v="1"/>
    <n v="356.1"/>
  </r>
  <r>
    <d v="2023-02-01T00:00:00"/>
    <x v="158"/>
    <x v="2"/>
    <x v="14"/>
    <s v="Compteur 6"/>
    <s v="Compteur_6"/>
    <x v="1"/>
    <d v="1899-12-30T00:00:00"/>
    <d v="1899-12-30T00:00:00"/>
    <n v="1"/>
    <e v="#VALUE!"/>
    <n v="0"/>
    <e v="#VALUE!"/>
    <s v=""/>
    <e v="#VALUE!"/>
    <n v="0"/>
    <e v="#VALUE!"/>
    <e v="#VALUE!"/>
    <s v=""/>
    <s v=""/>
    <s v=""/>
    <n v="0"/>
    <x v="2"/>
    <x v="5"/>
    <x v="1"/>
    <x v="1"/>
    <n v="314.10000000000002"/>
  </r>
  <r>
    <d v="2023-03-01T00:00:00"/>
    <x v="159"/>
    <x v="3"/>
    <x v="14"/>
    <s v="Compteur 6"/>
    <s v="Compteur_6"/>
    <x v="1"/>
    <d v="1899-12-30T00:00:00"/>
    <d v="1899-12-30T00:00:00"/>
    <n v="1"/>
    <e v="#VALUE!"/>
    <n v="0"/>
    <e v="#VALUE!"/>
    <s v=""/>
    <e v="#VALUE!"/>
    <n v="0"/>
    <e v="#VALUE!"/>
    <e v="#VALUE!"/>
    <s v=""/>
    <s v=""/>
    <s v=""/>
    <n v="0"/>
    <x v="2"/>
    <x v="5"/>
    <x v="1"/>
    <x v="1"/>
    <n v="251.3"/>
  </r>
  <r>
    <d v="2023-04-01T00:00:00"/>
    <x v="160"/>
    <x v="4"/>
    <x v="14"/>
    <s v="Compteur 6"/>
    <s v="Compteur_6"/>
    <x v="1"/>
    <d v="1899-12-30T00:00:00"/>
    <d v="1899-12-30T00:00:00"/>
    <n v="1"/>
    <e v="#VALUE!"/>
    <n v="0"/>
    <e v="#VALUE!"/>
    <s v=""/>
    <e v="#VALUE!"/>
    <n v="0"/>
    <e v="#VALUE!"/>
    <e v="#VALUE!"/>
    <s v=""/>
    <s v=""/>
    <s v=""/>
    <n v="0"/>
    <x v="2"/>
    <x v="5"/>
    <x v="1"/>
    <x v="1"/>
    <n v="198"/>
  </r>
  <r>
    <d v="2023-05-01T00:00:00"/>
    <x v="161"/>
    <x v="5"/>
    <x v="14"/>
    <s v="Compteur 6"/>
    <s v="Compteur_6"/>
    <x v="1"/>
    <d v="1899-12-30T00:00:00"/>
    <d v="1899-12-30T00:00:00"/>
    <n v="1"/>
    <e v="#VALUE!"/>
    <n v="0"/>
    <e v="#VALUE!"/>
    <s v=""/>
    <e v="#VALUE!"/>
    <n v="0"/>
    <e v="#VALUE!"/>
    <e v="#VALUE!"/>
    <s v=""/>
    <s v=""/>
    <s v=""/>
    <n v="0"/>
    <x v="2"/>
    <x v="5"/>
    <x v="1"/>
    <x v="1"/>
    <n v="86.4"/>
  </r>
  <r>
    <d v="2023-06-01T00:00:00"/>
    <x v="162"/>
    <x v="6"/>
    <x v="14"/>
    <s v="Compteur 6"/>
    <s v="Compteur_6"/>
    <x v="1"/>
    <d v="1899-12-30T00:00:00"/>
    <d v="1899-12-30T00:00:00"/>
    <n v="1"/>
    <e v="#VALUE!"/>
    <n v="0"/>
    <e v="#VALUE!"/>
    <s v=""/>
    <e v="#VALUE!"/>
    <n v="0"/>
    <e v="#VALUE!"/>
    <e v="#VALUE!"/>
    <s v=""/>
    <s v=""/>
    <s v=""/>
    <n v="0"/>
    <x v="2"/>
    <x v="5"/>
    <x v="1"/>
    <x v="1"/>
    <n v="17.3"/>
  </r>
  <r>
    <d v="2023-07-01T00:00:00"/>
    <x v="163"/>
    <x v="7"/>
    <x v="14"/>
    <s v="Compteur 6"/>
    <s v="Compteur_6"/>
    <x v="1"/>
    <d v="1899-12-30T00:00:00"/>
    <d v="1899-12-30T00:00:00"/>
    <n v="1"/>
    <e v="#VALUE!"/>
    <n v="0"/>
    <e v="#VALUE!"/>
    <s v=""/>
    <e v="#VALUE!"/>
    <n v="0"/>
    <e v="#VALUE!"/>
    <e v="#VALUE!"/>
    <s v=""/>
    <s v=""/>
    <s v=""/>
    <n v="0"/>
    <x v="2"/>
    <x v="5"/>
    <x v="1"/>
    <x v="1"/>
    <n v="24.1"/>
  </r>
  <r>
    <d v="2023-08-01T00:00:00"/>
    <x v="164"/>
    <x v="8"/>
    <x v="14"/>
    <s v="Compteur 6"/>
    <s v="Compteur_6"/>
    <x v="1"/>
    <d v="1899-12-30T00:00:00"/>
    <d v="1899-12-30T00:00:00"/>
    <n v="1"/>
    <e v="#VALUE!"/>
    <n v="0"/>
    <e v="#VALUE!"/>
    <s v=""/>
    <e v="#VALUE!"/>
    <n v="0"/>
    <e v="#VALUE!"/>
    <e v="#VALUE!"/>
    <s v=""/>
    <s v=""/>
    <s v=""/>
    <n v="0"/>
    <x v="2"/>
    <x v="5"/>
    <x v="1"/>
    <x v="1"/>
    <n v="27.9"/>
  </r>
  <r>
    <d v="2023-09-01T00:00:00"/>
    <x v="165"/>
    <x v="9"/>
    <x v="14"/>
    <s v="Compteur 6"/>
    <s v="Compteur_6"/>
    <x v="1"/>
    <d v="1899-12-30T00:00:00"/>
    <d v="1899-12-30T00:00:00"/>
    <n v="1"/>
    <e v="#VALUE!"/>
    <n v="0"/>
    <e v="#VALUE!"/>
    <s v=""/>
    <e v="#VALUE!"/>
    <n v="0"/>
    <e v="#VALUE!"/>
    <e v="#VALUE!"/>
    <s v=""/>
    <s v=""/>
    <s v=""/>
    <n v="0"/>
    <x v="2"/>
    <x v="5"/>
    <x v="1"/>
    <x v="1"/>
    <n v="30.5"/>
  </r>
  <r>
    <d v="2023-10-01T00:00:00"/>
    <x v="166"/>
    <x v="10"/>
    <x v="14"/>
    <s v="Compteur 6"/>
    <s v="Compteur_6"/>
    <x v="1"/>
    <d v="1899-12-30T00:00:00"/>
    <d v="1899-12-30T00:00:00"/>
    <n v="1"/>
    <e v="#VALUE!"/>
    <n v="0"/>
    <e v="#VALUE!"/>
    <s v=""/>
    <e v="#VALUE!"/>
    <n v="0"/>
    <e v="#VALUE!"/>
    <e v="#VALUE!"/>
    <s v=""/>
    <s v=""/>
    <s v=""/>
    <n v="0"/>
    <x v="2"/>
    <x v="5"/>
    <x v="1"/>
    <x v="1"/>
    <n v="115.8"/>
  </r>
  <r>
    <d v="2023-11-01T00:00:00"/>
    <x v="167"/>
    <x v="11"/>
    <x v="14"/>
    <s v="Compteur 6"/>
    <s v="Compteur_6"/>
    <x v="1"/>
    <d v="1899-12-30T00:00:00"/>
    <d v="1899-12-30T00:00:00"/>
    <n v="1"/>
    <e v="#VALUE!"/>
    <n v="0"/>
    <e v="#VALUE!"/>
    <s v=""/>
    <e v="#VALUE!"/>
    <n v="0"/>
    <e v="#VALUE!"/>
    <e v="#VALUE!"/>
    <s v=""/>
    <s v=""/>
    <s v=""/>
    <n v="0"/>
    <x v="2"/>
    <x v="5"/>
    <x v="1"/>
    <x v="1"/>
    <n v="239.8"/>
  </r>
  <r>
    <d v="2023-12-01T00:00:00"/>
    <x v="168"/>
    <x v="12"/>
    <x v="14"/>
    <s v="Compteur 6"/>
    <s v="Compteur_6"/>
    <x v="1"/>
    <d v="1899-12-30T00:00:00"/>
    <d v="1899-12-30T00:00:00"/>
    <n v="1"/>
    <e v="#VALUE!"/>
    <n v="0"/>
    <e v="#VALUE!"/>
    <s v=""/>
    <e v="#VALUE!"/>
    <n v="0"/>
    <e v="#VALUE!"/>
    <e v="#VALUE!"/>
    <s v=""/>
    <s v=""/>
    <s v=""/>
    <n v="0"/>
    <x v="2"/>
    <x v="5"/>
    <x v="1"/>
    <x v="1"/>
    <n v="300.89999999999998"/>
  </r>
  <r>
    <d v="2024-01-01T00:00:00"/>
    <x v="169"/>
    <x v="1"/>
    <x v="15"/>
    <s v="Compteur 6"/>
    <s v="Compteur_6"/>
    <x v="1"/>
    <d v="1899-12-30T00:00:00"/>
    <d v="1899-12-30T00:00:00"/>
    <n v="1"/>
    <e v="#VALUE!"/>
    <n v="0"/>
    <e v="#VALUE!"/>
    <s v=""/>
    <e v="#VALUE!"/>
    <n v="0"/>
    <e v="#VALUE!"/>
    <e v="#VALUE!"/>
    <s v=""/>
    <s v=""/>
    <s v=""/>
    <n v="0"/>
    <x v="2"/>
    <x v="5"/>
    <x v="1"/>
    <x v="1"/>
    <n v="0"/>
  </r>
  <r>
    <d v="2024-02-01T00:00:00"/>
    <x v="170"/>
    <x v="2"/>
    <x v="15"/>
    <s v="Compteur 6"/>
    <s v="Compteur_6"/>
    <x v="1"/>
    <d v="1899-12-30T00:00:00"/>
    <d v="1899-12-30T00:00:00"/>
    <n v="1"/>
    <e v="#VALUE!"/>
    <n v="0"/>
    <e v="#VALUE!"/>
    <s v=""/>
    <e v="#VALUE!"/>
    <n v="0"/>
    <e v="#VALUE!"/>
    <e v="#VALUE!"/>
    <s v=""/>
    <s v=""/>
    <s v=""/>
    <n v="0"/>
    <x v="2"/>
    <x v="5"/>
    <x v="1"/>
    <x v="1"/>
    <n v="0"/>
  </r>
  <r>
    <d v="2024-03-01T00:00:00"/>
    <x v="171"/>
    <x v="3"/>
    <x v="15"/>
    <s v="Compteur 6"/>
    <s v="Compteur_6"/>
    <x v="1"/>
    <d v="1899-12-30T00:00:00"/>
    <d v="1899-12-30T00:00:00"/>
    <n v="1"/>
    <e v="#VALUE!"/>
    <n v="0"/>
    <e v="#VALUE!"/>
    <s v=""/>
    <e v="#VALUE!"/>
    <n v="0"/>
    <e v="#VALUE!"/>
    <e v="#VALUE!"/>
    <s v=""/>
    <s v=""/>
    <s v=""/>
    <n v="0"/>
    <x v="2"/>
    <x v="5"/>
    <x v="1"/>
    <x v="1"/>
    <n v="0"/>
  </r>
  <r>
    <d v="2024-04-01T00:00:00"/>
    <x v="172"/>
    <x v="4"/>
    <x v="15"/>
    <s v="Compteur 6"/>
    <s v="Compteur_6"/>
    <x v="1"/>
    <d v="1899-12-30T00:00:00"/>
    <d v="1899-12-30T00:00:00"/>
    <n v="1"/>
    <e v="#VALUE!"/>
    <n v="0"/>
    <e v="#VALUE!"/>
    <s v=""/>
    <e v="#VALUE!"/>
    <n v="0"/>
    <e v="#VALUE!"/>
    <e v="#VALUE!"/>
    <s v=""/>
    <s v=""/>
    <s v=""/>
    <n v="0"/>
    <x v="2"/>
    <x v="5"/>
    <x v="1"/>
    <x v="1"/>
    <n v="0"/>
  </r>
  <r>
    <d v="2024-05-01T00:00:00"/>
    <x v="173"/>
    <x v="5"/>
    <x v="15"/>
    <s v="Compteur 6"/>
    <s v="Compteur_6"/>
    <x v="1"/>
    <d v="1899-12-30T00:00:00"/>
    <d v="1899-12-30T00:00:00"/>
    <n v="1"/>
    <e v="#VALUE!"/>
    <n v="0"/>
    <e v="#VALUE!"/>
    <s v=""/>
    <e v="#VALUE!"/>
    <n v="0"/>
    <e v="#VALUE!"/>
    <e v="#VALUE!"/>
    <s v=""/>
    <s v=""/>
    <s v=""/>
    <n v="0"/>
    <x v="2"/>
    <x v="5"/>
    <x v="1"/>
    <x v="1"/>
    <n v="0"/>
  </r>
  <r>
    <d v="2024-06-01T00:00:00"/>
    <x v="174"/>
    <x v="6"/>
    <x v="15"/>
    <s v="Compteur 6"/>
    <s v="Compteur_6"/>
    <x v="1"/>
    <d v="1899-12-30T00:00:00"/>
    <d v="1899-12-30T00:00:00"/>
    <n v="1"/>
    <e v="#VALUE!"/>
    <n v="0"/>
    <e v="#VALUE!"/>
    <s v=""/>
    <e v="#VALUE!"/>
    <n v="0"/>
    <e v="#VALUE!"/>
    <e v="#VALUE!"/>
    <s v=""/>
    <s v=""/>
    <s v=""/>
    <n v="0"/>
    <x v="2"/>
    <x v="5"/>
    <x v="1"/>
    <x v="1"/>
    <n v="0"/>
  </r>
  <r>
    <d v="2024-07-01T00:00:00"/>
    <x v="175"/>
    <x v="7"/>
    <x v="15"/>
    <s v="Compteur 6"/>
    <s v="Compteur_6"/>
    <x v="1"/>
    <d v="1899-12-30T00:00:00"/>
    <d v="1899-12-30T00:00:00"/>
    <n v="1"/>
    <e v="#VALUE!"/>
    <n v="0"/>
    <e v="#VALUE!"/>
    <s v=""/>
    <e v="#VALUE!"/>
    <n v="0"/>
    <e v="#VALUE!"/>
    <e v="#VALUE!"/>
    <s v=""/>
    <s v=""/>
    <s v=""/>
    <n v="0"/>
    <x v="2"/>
    <x v="5"/>
    <x v="1"/>
    <x v="1"/>
    <n v="0"/>
  </r>
  <r>
    <d v="2024-08-01T00:00:00"/>
    <x v="176"/>
    <x v="8"/>
    <x v="15"/>
    <s v="Compteur 6"/>
    <s v="Compteur_6"/>
    <x v="1"/>
    <d v="1899-12-30T00:00:00"/>
    <d v="1899-12-30T00:00:00"/>
    <n v="1"/>
    <e v="#VALUE!"/>
    <n v="0"/>
    <e v="#VALUE!"/>
    <s v=""/>
    <e v="#VALUE!"/>
    <n v="0"/>
    <e v="#VALUE!"/>
    <e v="#VALUE!"/>
    <s v=""/>
    <s v=""/>
    <s v=""/>
    <n v="0"/>
    <x v="2"/>
    <x v="5"/>
    <x v="1"/>
    <x v="1"/>
    <n v="0"/>
  </r>
  <r>
    <d v="2024-09-01T00:00:00"/>
    <x v="177"/>
    <x v="9"/>
    <x v="15"/>
    <s v="Compteur 6"/>
    <s v="Compteur_6"/>
    <x v="1"/>
    <d v="1899-12-30T00:00:00"/>
    <d v="1899-12-30T00:00:00"/>
    <n v="1"/>
    <e v="#VALUE!"/>
    <n v="0"/>
    <e v="#VALUE!"/>
    <s v=""/>
    <e v="#VALUE!"/>
    <n v="0"/>
    <e v="#VALUE!"/>
    <e v="#VALUE!"/>
    <s v=""/>
    <s v=""/>
    <s v=""/>
    <n v="0"/>
    <x v="2"/>
    <x v="5"/>
    <x v="1"/>
    <x v="1"/>
    <n v="0"/>
  </r>
  <r>
    <d v="2024-10-01T00:00:00"/>
    <x v="178"/>
    <x v="10"/>
    <x v="15"/>
    <s v="Compteur 6"/>
    <s v="Compteur_6"/>
    <x v="1"/>
    <d v="1899-12-30T00:00:00"/>
    <d v="1899-12-30T00:00:00"/>
    <n v="1"/>
    <e v="#VALUE!"/>
    <n v="0"/>
    <e v="#VALUE!"/>
    <s v=""/>
    <e v="#VALUE!"/>
    <n v="0"/>
    <e v="#VALUE!"/>
    <e v="#VALUE!"/>
    <s v=""/>
    <s v=""/>
    <s v=""/>
    <n v="0"/>
    <x v="2"/>
    <x v="5"/>
    <x v="1"/>
    <x v="1"/>
    <n v="0"/>
  </r>
  <r>
    <d v="2024-11-01T00:00:00"/>
    <x v="179"/>
    <x v="11"/>
    <x v="15"/>
    <s v="Compteur 6"/>
    <s v="Compteur_6"/>
    <x v="1"/>
    <d v="1899-12-30T00:00:00"/>
    <d v="1899-12-30T00:00:00"/>
    <n v="1"/>
    <e v="#VALUE!"/>
    <n v="0"/>
    <e v="#VALUE!"/>
    <s v=""/>
    <e v="#VALUE!"/>
    <n v="0"/>
    <e v="#VALUE!"/>
    <e v="#VALUE!"/>
    <s v=""/>
    <s v=""/>
    <s v=""/>
    <n v="0"/>
    <x v="2"/>
    <x v="5"/>
    <x v="1"/>
    <x v="1"/>
    <n v="0"/>
  </r>
  <r>
    <d v="2024-12-01T00:00:00"/>
    <x v="180"/>
    <x v="12"/>
    <x v="15"/>
    <s v="Compteur 6"/>
    <s v="Compteur_6"/>
    <x v="1"/>
    <d v="1899-12-30T00:00:00"/>
    <d v="1899-12-30T00:00:00"/>
    <n v="1"/>
    <e v="#VALUE!"/>
    <n v="0"/>
    <e v="#VALUE!"/>
    <s v=""/>
    <e v="#VALUE!"/>
    <n v="0"/>
    <e v="#VALUE!"/>
    <e v="#VALUE!"/>
    <s v=""/>
    <s v=""/>
    <s v=""/>
    <n v="0"/>
    <x v="2"/>
    <x v="5"/>
    <x v="1"/>
    <x v="1"/>
    <n v="0"/>
  </r>
  <r>
    <d v="2025-01-01T00:00:00"/>
    <x v="181"/>
    <x v="1"/>
    <x v="16"/>
    <s v="Compteur 6"/>
    <s v="Compteur_6"/>
    <x v="1"/>
    <d v="1899-12-30T00:00:00"/>
    <d v="1899-12-30T00:00:00"/>
    <n v="1"/>
    <e v="#VALUE!"/>
    <n v="0"/>
    <e v="#VALUE!"/>
    <s v=""/>
    <e v="#VALUE!"/>
    <n v="0"/>
    <e v="#VALUE!"/>
    <e v="#VALUE!"/>
    <s v=""/>
    <s v=""/>
    <s v=""/>
    <n v="0"/>
    <x v="2"/>
    <x v="5"/>
    <x v="1"/>
    <x v="1"/>
    <n v="0"/>
  </r>
  <r>
    <d v="2025-02-01T00:00:00"/>
    <x v="182"/>
    <x v="2"/>
    <x v="16"/>
    <s v="Compteur 6"/>
    <s v="Compteur_6"/>
    <x v="1"/>
    <d v="1899-12-30T00:00:00"/>
    <d v="1899-12-30T00:00:00"/>
    <n v="1"/>
    <e v="#VALUE!"/>
    <n v="0"/>
    <e v="#VALUE!"/>
    <s v=""/>
    <e v="#VALUE!"/>
    <n v="0"/>
    <e v="#VALUE!"/>
    <e v="#VALUE!"/>
    <s v=""/>
    <s v=""/>
    <s v=""/>
    <n v="0"/>
    <x v="2"/>
    <x v="5"/>
    <x v="1"/>
    <x v="1"/>
    <n v="0"/>
  </r>
  <r>
    <d v="2025-03-01T00:00:00"/>
    <x v="183"/>
    <x v="3"/>
    <x v="16"/>
    <s v="Compteur 6"/>
    <s v="Compteur_6"/>
    <x v="1"/>
    <d v="1899-12-30T00:00:00"/>
    <d v="1899-12-30T00:00:00"/>
    <n v="1"/>
    <e v="#VALUE!"/>
    <n v="0"/>
    <e v="#VALUE!"/>
    <s v=""/>
    <e v="#VALUE!"/>
    <n v="0"/>
    <e v="#VALUE!"/>
    <e v="#VALUE!"/>
    <s v=""/>
    <s v=""/>
    <s v=""/>
    <n v="0"/>
    <x v="2"/>
    <x v="5"/>
    <x v="1"/>
    <x v="1"/>
    <n v="0"/>
  </r>
  <r>
    <d v="2025-04-01T00:00:00"/>
    <x v="184"/>
    <x v="4"/>
    <x v="16"/>
    <s v="Compteur 6"/>
    <s v="Compteur_6"/>
    <x v="1"/>
    <d v="1899-12-30T00:00:00"/>
    <d v="1899-12-30T00:00:00"/>
    <n v="1"/>
    <e v="#VALUE!"/>
    <n v="0"/>
    <e v="#VALUE!"/>
    <s v=""/>
    <e v="#VALUE!"/>
    <n v="0"/>
    <e v="#VALUE!"/>
    <e v="#VALUE!"/>
    <s v=""/>
    <s v=""/>
    <s v=""/>
    <n v="0"/>
    <x v="2"/>
    <x v="5"/>
    <x v="1"/>
    <x v="1"/>
    <n v="0"/>
  </r>
  <r>
    <d v="2025-05-01T00:00:00"/>
    <x v="185"/>
    <x v="5"/>
    <x v="16"/>
    <s v="Compteur 6"/>
    <s v="Compteur_6"/>
    <x v="1"/>
    <d v="1899-12-30T00:00:00"/>
    <d v="1899-12-30T00:00:00"/>
    <n v="1"/>
    <e v="#VALUE!"/>
    <n v="0"/>
    <e v="#VALUE!"/>
    <s v=""/>
    <e v="#VALUE!"/>
    <n v="0"/>
    <e v="#VALUE!"/>
    <e v="#VALUE!"/>
    <s v=""/>
    <s v=""/>
    <s v=""/>
    <n v="0"/>
    <x v="2"/>
    <x v="5"/>
    <x v="1"/>
    <x v="1"/>
    <n v="0"/>
  </r>
  <r>
    <d v="2025-06-01T00:00:00"/>
    <x v="186"/>
    <x v="6"/>
    <x v="16"/>
    <s v="Compteur 6"/>
    <s v="Compteur_6"/>
    <x v="1"/>
    <d v="1899-12-30T00:00:00"/>
    <d v="1899-12-30T00:00:00"/>
    <n v="1"/>
    <e v="#VALUE!"/>
    <n v="0"/>
    <e v="#VALUE!"/>
    <s v=""/>
    <e v="#VALUE!"/>
    <n v="0"/>
    <e v="#VALUE!"/>
    <e v="#VALUE!"/>
    <s v=""/>
    <s v=""/>
    <s v=""/>
    <n v="0"/>
    <x v="2"/>
    <x v="5"/>
    <x v="1"/>
    <x v="1"/>
    <n v="0"/>
  </r>
  <r>
    <d v="2025-07-01T00:00:00"/>
    <x v="187"/>
    <x v="7"/>
    <x v="16"/>
    <s v="Compteur 6"/>
    <s v="Compteur_6"/>
    <x v="1"/>
    <d v="1899-12-30T00:00:00"/>
    <d v="1899-12-30T00:00:00"/>
    <n v="1"/>
    <e v="#VALUE!"/>
    <n v="0"/>
    <e v="#VALUE!"/>
    <s v=""/>
    <e v="#VALUE!"/>
    <n v="0"/>
    <e v="#VALUE!"/>
    <e v="#VALUE!"/>
    <s v=""/>
    <s v=""/>
    <s v=""/>
    <n v="0"/>
    <x v="2"/>
    <x v="5"/>
    <x v="1"/>
    <x v="1"/>
    <n v="0"/>
  </r>
  <r>
    <d v="2025-08-01T00:00:00"/>
    <x v="188"/>
    <x v="8"/>
    <x v="16"/>
    <s v="Compteur 6"/>
    <s v="Compteur_6"/>
    <x v="1"/>
    <d v="1899-12-30T00:00:00"/>
    <d v="1899-12-30T00:00:00"/>
    <n v="1"/>
    <e v="#VALUE!"/>
    <n v="0"/>
    <e v="#VALUE!"/>
    <s v=""/>
    <e v="#VALUE!"/>
    <n v="0"/>
    <e v="#VALUE!"/>
    <e v="#VALUE!"/>
    <s v=""/>
    <s v=""/>
    <s v=""/>
    <n v="0"/>
    <x v="2"/>
    <x v="5"/>
    <x v="1"/>
    <x v="1"/>
    <n v="0"/>
  </r>
  <r>
    <d v="2025-09-01T00:00:00"/>
    <x v="189"/>
    <x v="9"/>
    <x v="16"/>
    <s v="Compteur 6"/>
    <s v="Compteur_6"/>
    <x v="1"/>
    <d v="1899-12-30T00:00:00"/>
    <d v="1899-12-30T00:00:00"/>
    <n v="1"/>
    <e v="#VALUE!"/>
    <n v="0"/>
    <e v="#VALUE!"/>
    <s v=""/>
    <e v="#VALUE!"/>
    <n v="0"/>
    <e v="#VALUE!"/>
    <e v="#VALUE!"/>
    <s v=""/>
    <s v=""/>
    <s v=""/>
    <n v="0"/>
    <x v="2"/>
    <x v="5"/>
    <x v="1"/>
    <x v="1"/>
    <n v="0"/>
  </r>
  <r>
    <d v="2025-10-01T00:00:00"/>
    <x v="190"/>
    <x v="10"/>
    <x v="16"/>
    <s v="Compteur 6"/>
    <s v="Compteur_6"/>
    <x v="1"/>
    <d v="1899-12-30T00:00:00"/>
    <d v="1899-12-30T00:00:00"/>
    <n v="1"/>
    <e v="#VALUE!"/>
    <n v="0"/>
    <e v="#VALUE!"/>
    <s v=""/>
    <e v="#VALUE!"/>
    <n v="0"/>
    <e v="#VALUE!"/>
    <e v="#VALUE!"/>
    <s v=""/>
    <s v=""/>
    <s v=""/>
    <n v="0"/>
    <x v="2"/>
    <x v="5"/>
    <x v="1"/>
    <x v="1"/>
    <n v="0"/>
  </r>
  <r>
    <d v="2025-11-01T00:00:00"/>
    <x v="191"/>
    <x v="11"/>
    <x v="16"/>
    <s v="Compteur 6"/>
    <s v="Compteur_6"/>
    <x v="1"/>
    <d v="1899-12-30T00:00:00"/>
    <d v="1899-12-30T00:00:00"/>
    <n v="1"/>
    <e v="#VALUE!"/>
    <n v="0"/>
    <e v="#VALUE!"/>
    <s v=""/>
    <e v="#VALUE!"/>
    <n v="0"/>
    <e v="#VALUE!"/>
    <e v="#VALUE!"/>
    <s v=""/>
    <s v=""/>
    <s v=""/>
    <n v="0"/>
    <x v="2"/>
    <x v="5"/>
    <x v="1"/>
    <x v="1"/>
    <n v="0"/>
  </r>
  <r>
    <d v="2025-12-01T00:00:00"/>
    <x v="192"/>
    <x v="12"/>
    <x v="16"/>
    <s v="Compteur 6"/>
    <s v="Compteur_6"/>
    <x v="1"/>
    <d v="1899-12-30T00:00:00"/>
    <d v="1899-12-30T00:00:00"/>
    <n v="1"/>
    <e v="#VALUE!"/>
    <n v="0"/>
    <e v="#VALUE!"/>
    <s v=""/>
    <e v="#VALUE!"/>
    <n v="0"/>
    <e v="#VALUE!"/>
    <e v="#VALUE!"/>
    <s v=""/>
    <s v=""/>
    <s v=""/>
    <n v="0"/>
    <x v="2"/>
    <x v="5"/>
    <x v="1"/>
    <x v="1"/>
    <n v="0"/>
  </r>
  <r>
    <d v="2010-01-01T00:00:00"/>
    <x v="1"/>
    <x v="1"/>
    <x v="1"/>
    <s v="Compteur 7"/>
    <s v="Compteur_7"/>
    <x v="1"/>
    <d v="1899-12-30T00:00:00"/>
    <d v="1899-12-30T00:00:00"/>
    <n v="1"/>
    <e v="#VALUE!"/>
    <n v="0"/>
    <e v="#VALUE!"/>
    <s v=""/>
    <e v="#VALUE!"/>
    <n v="0"/>
    <e v="#VALUE!"/>
    <e v="#VALUE!"/>
    <s v=""/>
    <s v=""/>
    <s v=""/>
    <n v="0"/>
    <x v="2"/>
    <x v="5"/>
    <x v="1"/>
    <x v="1"/>
    <n v="487.6"/>
  </r>
  <r>
    <d v="2010-02-01T00:00:00"/>
    <x v="2"/>
    <x v="2"/>
    <x v="1"/>
    <s v="Compteur 7"/>
    <s v="Compteur_7"/>
    <x v="1"/>
    <d v="1899-12-30T00:00:00"/>
    <d v="1899-12-30T00:00:00"/>
    <n v="1"/>
    <e v="#VALUE!"/>
    <n v="0"/>
    <e v="#VALUE!"/>
    <s v=""/>
    <e v="#VALUE!"/>
    <n v="0"/>
    <e v="#VALUE!"/>
    <e v="#VALUE!"/>
    <s v=""/>
    <s v=""/>
    <s v=""/>
    <n v="0"/>
    <x v="2"/>
    <x v="5"/>
    <x v="1"/>
    <x v="1"/>
    <n v="370.3"/>
  </r>
  <r>
    <d v="2010-03-01T00:00:00"/>
    <x v="3"/>
    <x v="3"/>
    <x v="1"/>
    <s v="Compteur 7"/>
    <s v="Compteur_7"/>
    <x v="1"/>
    <d v="1899-12-30T00:00:00"/>
    <d v="1899-12-30T00:00:00"/>
    <n v="1"/>
    <e v="#VALUE!"/>
    <n v="0"/>
    <e v="#VALUE!"/>
    <s v=""/>
    <e v="#VALUE!"/>
    <n v="0"/>
    <e v="#VALUE!"/>
    <e v="#VALUE!"/>
    <s v=""/>
    <s v=""/>
    <s v=""/>
    <n v="0"/>
    <x v="2"/>
    <x v="5"/>
    <x v="1"/>
    <x v="1"/>
    <n v="312.8"/>
  </r>
  <r>
    <d v="2010-04-01T00:00:00"/>
    <x v="4"/>
    <x v="4"/>
    <x v="1"/>
    <s v="Compteur 7"/>
    <s v="Compteur_7"/>
    <x v="1"/>
    <d v="1899-12-30T00:00:00"/>
    <d v="1899-12-30T00:00:00"/>
    <n v="1"/>
    <e v="#VALUE!"/>
    <n v="0"/>
    <e v="#VALUE!"/>
    <s v=""/>
    <e v="#VALUE!"/>
    <n v="0"/>
    <e v="#VALUE!"/>
    <e v="#VALUE!"/>
    <s v=""/>
    <s v=""/>
    <s v=""/>
    <n v="0"/>
    <x v="2"/>
    <x v="5"/>
    <x v="1"/>
    <x v="1"/>
    <n v="199.2"/>
  </r>
  <r>
    <d v="2010-05-01T00:00:00"/>
    <x v="5"/>
    <x v="5"/>
    <x v="1"/>
    <s v="Compteur 7"/>
    <s v="Compteur_7"/>
    <x v="1"/>
    <d v="1899-12-30T00:00:00"/>
    <d v="1899-12-30T00:00:00"/>
    <n v="1"/>
    <e v="#VALUE!"/>
    <n v="0"/>
    <e v="#VALUE!"/>
    <s v=""/>
    <e v="#VALUE!"/>
    <n v="0"/>
    <e v="#VALUE!"/>
    <e v="#VALUE!"/>
    <s v=""/>
    <s v=""/>
    <s v=""/>
    <n v="0"/>
    <x v="2"/>
    <x v="5"/>
    <x v="1"/>
    <x v="1"/>
    <n v="155.4"/>
  </r>
  <r>
    <d v="2010-06-01T00:00:00"/>
    <x v="6"/>
    <x v="6"/>
    <x v="1"/>
    <s v="Compteur 7"/>
    <s v="Compteur_7"/>
    <x v="1"/>
    <d v="1899-12-30T00:00:00"/>
    <d v="1899-12-30T00:00:00"/>
    <n v="1"/>
    <e v="#VALUE!"/>
    <n v="0"/>
    <e v="#VALUE!"/>
    <s v=""/>
    <e v="#VALUE!"/>
    <n v="0"/>
    <e v="#VALUE!"/>
    <e v="#VALUE!"/>
    <s v=""/>
    <s v=""/>
    <s v=""/>
    <n v="0"/>
    <x v="2"/>
    <x v="5"/>
    <x v="1"/>
    <x v="1"/>
    <n v="46.7"/>
  </r>
  <r>
    <d v="2010-07-01T00:00:00"/>
    <x v="7"/>
    <x v="7"/>
    <x v="1"/>
    <s v="Compteur 7"/>
    <s v="Compteur_7"/>
    <x v="1"/>
    <d v="1899-12-30T00:00:00"/>
    <d v="1899-12-30T00:00:00"/>
    <n v="1"/>
    <e v="#VALUE!"/>
    <n v="0"/>
    <e v="#VALUE!"/>
    <s v=""/>
    <e v="#VALUE!"/>
    <n v="0"/>
    <e v="#VALUE!"/>
    <e v="#VALUE!"/>
    <s v=""/>
    <s v=""/>
    <s v=""/>
    <n v="0"/>
    <x v="2"/>
    <x v="5"/>
    <x v="1"/>
    <x v="1"/>
    <n v="22.2"/>
  </r>
  <r>
    <d v="2010-08-01T00:00:00"/>
    <x v="8"/>
    <x v="8"/>
    <x v="1"/>
    <s v="Compteur 7"/>
    <s v="Compteur_7"/>
    <x v="1"/>
    <d v="1899-12-30T00:00:00"/>
    <d v="1899-12-30T00:00:00"/>
    <n v="1"/>
    <e v="#VALUE!"/>
    <n v="0"/>
    <e v="#VALUE!"/>
    <s v=""/>
    <e v="#VALUE!"/>
    <n v="0"/>
    <e v="#VALUE!"/>
    <e v="#VALUE!"/>
    <s v=""/>
    <s v=""/>
    <s v=""/>
    <n v="0"/>
    <x v="2"/>
    <x v="5"/>
    <x v="1"/>
    <x v="1"/>
    <n v="41.5"/>
  </r>
  <r>
    <d v="2010-09-01T00:00:00"/>
    <x v="9"/>
    <x v="9"/>
    <x v="1"/>
    <s v="Compteur 7"/>
    <s v="Compteur_7"/>
    <x v="1"/>
    <d v="1899-12-30T00:00:00"/>
    <d v="1899-12-30T00:00:00"/>
    <n v="1"/>
    <e v="#VALUE!"/>
    <n v="0"/>
    <e v="#VALUE!"/>
    <s v=""/>
    <e v="#VALUE!"/>
    <n v="0"/>
    <e v="#VALUE!"/>
    <e v="#VALUE!"/>
    <s v=""/>
    <s v=""/>
    <s v=""/>
    <n v="0"/>
    <x v="2"/>
    <x v="5"/>
    <x v="1"/>
    <x v="1"/>
    <n v="95.4"/>
  </r>
  <r>
    <d v="2010-10-01T00:00:00"/>
    <x v="10"/>
    <x v="10"/>
    <x v="1"/>
    <s v="Compteur 7"/>
    <s v="Compteur_7"/>
    <x v="1"/>
    <d v="1899-12-30T00:00:00"/>
    <d v="1899-12-30T00:00:00"/>
    <n v="1"/>
    <e v="#VALUE!"/>
    <n v="0"/>
    <e v="#VALUE!"/>
    <s v=""/>
    <e v="#VALUE!"/>
    <n v="0"/>
    <e v="#VALUE!"/>
    <e v="#VALUE!"/>
    <s v=""/>
    <s v=""/>
    <s v=""/>
    <n v="0"/>
    <x v="2"/>
    <x v="5"/>
    <x v="1"/>
    <x v="1"/>
    <n v="190.1"/>
  </r>
  <r>
    <d v="2010-11-01T00:00:00"/>
    <x v="11"/>
    <x v="11"/>
    <x v="1"/>
    <s v="Compteur 7"/>
    <s v="Compteur_7"/>
    <x v="1"/>
    <d v="1899-12-30T00:00:00"/>
    <d v="1899-12-30T00:00:00"/>
    <n v="1"/>
    <e v="#VALUE!"/>
    <n v="0"/>
    <e v="#VALUE!"/>
    <s v=""/>
    <e v="#VALUE!"/>
    <n v="0"/>
    <e v="#VALUE!"/>
    <e v="#VALUE!"/>
    <s v=""/>
    <s v=""/>
    <s v=""/>
    <n v="0"/>
    <x v="2"/>
    <x v="5"/>
    <x v="1"/>
    <x v="1"/>
    <n v="320.89999999999998"/>
  </r>
  <r>
    <d v="2010-12-01T00:00:00"/>
    <x v="12"/>
    <x v="12"/>
    <x v="1"/>
    <s v="Compteur 7"/>
    <s v="Compteur_7"/>
    <x v="1"/>
    <d v="1899-12-30T00:00:00"/>
    <d v="1899-12-30T00:00:00"/>
    <n v="1"/>
    <e v="#VALUE!"/>
    <n v="0"/>
    <e v="#VALUE!"/>
    <s v=""/>
    <e v="#VALUE!"/>
    <n v="0"/>
    <e v="#VALUE!"/>
    <e v="#VALUE!"/>
    <s v=""/>
    <s v=""/>
    <s v=""/>
    <n v="0"/>
    <x v="2"/>
    <x v="5"/>
    <x v="1"/>
    <x v="1"/>
    <n v="500.7"/>
  </r>
  <r>
    <d v="2011-01-01T00:00:00"/>
    <x v="13"/>
    <x v="1"/>
    <x v="2"/>
    <s v="Compteur 7"/>
    <s v="Compteur_7"/>
    <x v="1"/>
    <d v="1899-12-30T00:00:00"/>
    <d v="1899-12-30T00:00:00"/>
    <n v="1"/>
    <e v="#VALUE!"/>
    <n v="0"/>
    <e v="#VALUE!"/>
    <s v=""/>
    <e v="#VALUE!"/>
    <n v="0"/>
    <e v="#VALUE!"/>
    <e v="#VALUE!"/>
    <s v=""/>
    <s v=""/>
    <s v=""/>
    <n v="0"/>
    <x v="2"/>
    <x v="5"/>
    <x v="1"/>
    <x v="1"/>
    <n v="392.2"/>
  </r>
  <r>
    <d v="2011-02-01T00:00:00"/>
    <x v="14"/>
    <x v="2"/>
    <x v="2"/>
    <s v="Compteur 7"/>
    <s v="Compteur_7"/>
    <x v="1"/>
    <d v="1899-12-30T00:00:00"/>
    <d v="1899-12-30T00:00:00"/>
    <n v="1"/>
    <e v="#VALUE!"/>
    <n v="0"/>
    <e v="#VALUE!"/>
    <s v=""/>
    <e v="#VALUE!"/>
    <n v="0"/>
    <e v="#VALUE!"/>
    <e v="#VALUE!"/>
    <s v=""/>
    <s v=""/>
    <s v=""/>
    <n v="0"/>
    <x v="2"/>
    <x v="5"/>
    <x v="1"/>
    <x v="1"/>
    <n v="299.10000000000002"/>
  </r>
  <r>
    <d v="2011-03-01T00:00:00"/>
    <x v="15"/>
    <x v="3"/>
    <x v="2"/>
    <s v="Compteur 7"/>
    <s v="Compteur_7"/>
    <x v="1"/>
    <d v="1899-12-30T00:00:00"/>
    <d v="1899-12-30T00:00:00"/>
    <n v="1"/>
    <e v="#VALUE!"/>
    <n v="0"/>
    <e v="#VALUE!"/>
    <s v=""/>
    <e v="#VALUE!"/>
    <n v="0"/>
    <e v="#VALUE!"/>
    <e v="#VALUE!"/>
    <s v=""/>
    <s v=""/>
    <s v=""/>
    <n v="0"/>
    <x v="2"/>
    <x v="5"/>
    <x v="1"/>
    <x v="1"/>
    <n v="266.5"/>
  </r>
  <r>
    <d v="2011-04-01T00:00:00"/>
    <x v="16"/>
    <x v="4"/>
    <x v="2"/>
    <s v="Compteur 7"/>
    <s v="Compteur_7"/>
    <x v="1"/>
    <d v="1899-12-30T00:00:00"/>
    <d v="1899-12-30T00:00:00"/>
    <n v="1"/>
    <e v="#VALUE!"/>
    <n v="0"/>
    <e v="#VALUE!"/>
    <s v=""/>
    <e v="#VALUE!"/>
    <n v="0"/>
    <e v="#VALUE!"/>
    <e v="#VALUE!"/>
    <s v=""/>
    <s v=""/>
    <s v=""/>
    <n v="0"/>
    <x v="2"/>
    <x v="5"/>
    <x v="1"/>
    <x v="1"/>
    <n v="136.19999999999999"/>
  </r>
  <r>
    <d v="2011-05-01T00:00:00"/>
    <x v="17"/>
    <x v="5"/>
    <x v="2"/>
    <s v="Compteur 7"/>
    <s v="Compteur_7"/>
    <x v="1"/>
    <d v="1899-12-30T00:00:00"/>
    <d v="1899-12-30T00:00:00"/>
    <n v="1"/>
    <e v="#VALUE!"/>
    <n v="0"/>
    <e v="#VALUE!"/>
    <s v=""/>
    <e v="#VALUE!"/>
    <n v="0"/>
    <e v="#VALUE!"/>
    <e v="#VALUE!"/>
    <s v=""/>
    <s v=""/>
    <s v=""/>
    <n v="0"/>
    <x v="2"/>
    <x v="5"/>
    <x v="1"/>
    <x v="1"/>
    <n v="91.9"/>
  </r>
  <r>
    <d v="2011-06-01T00:00:00"/>
    <x v="18"/>
    <x v="6"/>
    <x v="2"/>
    <s v="Compteur 7"/>
    <s v="Compteur_7"/>
    <x v="1"/>
    <d v="1899-12-30T00:00:00"/>
    <d v="1899-12-30T00:00:00"/>
    <n v="1"/>
    <e v="#VALUE!"/>
    <n v="0"/>
    <e v="#VALUE!"/>
    <s v=""/>
    <e v="#VALUE!"/>
    <n v="0"/>
    <e v="#VALUE!"/>
    <e v="#VALUE!"/>
    <s v=""/>
    <s v=""/>
    <s v=""/>
    <n v="0"/>
    <x v="2"/>
    <x v="5"/>
    <x v="1"/>
    <x v="1"/>
    <n v="55.8"/>
  </r>
  <r>
    <d v="2011-07-01T00:00:00"/>
    <x v="19"/>
    <x v="7"/>
    <x v="2"/>
    <s v="Compteur 7"/>
    <s v="Compteur_7"/>
    <x v="1"/>
    <d v="1899-12-30T00:00:00"/>
    <d v="1899-12-30T00:00:00"/>
    <n v="1"/>
    <e v="#VALUE!"/>
    <n v="0"/>
    <e v="#VALUE!"/>
    <s v=""/>
    <e v="#VALUE!"/>
    <n v="0"/>
    <e v="#VALUE!"/>
    <e v="#VALUE!"/>
    <s v=""/>
    <s v=""/>
    <s v=""/>
    <n v="0"/>
    <x v="2"/>
    <x v="5"/>
    <x v="1"/>
    <x v="1"/>
    <n v="50.8"/>
  </r>
  <r>
    <d v="2011-08-01T00:00:00"/>
    <x v="20"/>
    <x v="8"/>
    <x v="2"/>
    <s v="Compteur 7"/>
    <s v="Compteur_7"/>
    <x v="1"/>
    <d v="1899-12-30T00:00:00"/>
    <d v="1899-12-30T00:00:00"/>
    <n v="1"/>
    <e v="#VALUE!"/>
    <n v="0"/>
    <e v="#VALUE!"/>
    <s v=""/>
    <e v="#VALUE!"/>
    <n v="0"/>
    <e v="#VALUE!"/>
    <e v="#VALUE!"/>
    <s v=""/>
    <s v=""/>
    <s v=""/>
    <n v="0"/>
    <x v="2"/>
    <x v="5"/>
    <x v="1"/>
    <x v="1"/>
    <n v="34.700000000000003"/>
  </r>
  <r>
    <d v="2011-09-01T00:00:00"/>
    <x v="21"/>
    <x v="9"/>
    <x v="2"/>
    <s v="Compteur 7"/>
    <s v="Compteur_7"/>
    <x v="1"/>
    <d v="1899-12-30T00:00:00"/>
    <d v="1899-12-30T00:00:00"/>
    <n v="1"/>
    <e v="#VALUE!"/>
    <n v="0"/>
    <e v="#VALUE!"/>
    <s v=""/>
    <e v="#VALUE!"/>
    <n v="0"/>
    <e v="#VALUE!"/>
    <e v="#VALUE!"/>
    <s v=""/>
    <s v=""/>
    <s v=""/>
    <n v="0"/>
    <x v="2"/>
    <x v="5"/>
    <x v="1"/>
    <x v="1"/>
    <n v="51.3"/>
  </r>
  <r>
    <d v="2011-10-01T00:00:00"/>
    <x v="22"/>
    <x v="10"/>
    <x v="2"/>
    <s v="Compteur 7"/>
    <s v="Compteur_7"/>
    <x v="1"/>
    <d v="1899-12-30T00:00:00"/>
    <d v="1899-12-30T00:00:00"/>
    <n v="1"/>
    <e v="#VALUE!"/>
    <n v="0"/>
    <e v="#VALUE!"/>
    <s v=""/>
    <e v="#VALUE!"/>
    <n v="0"/>
    <e v="#VALUE!"/>
    <e v="#VALUE!"/>
    <s v=""/>
    <s v=""/>
    <s v=""/>
    <n v="0"/>
    <x v="2"/>
    <x v="5"/>
    <x v="1"/>
    <x v="1"/>
    <n v="145.6"/>
  </r>
  <r>
    <d v="2011-11-01T00:00:00"/>
    <x v="23"/>
    <x v="11"/>
    <x v="2"/>
    <s v="Compteur 7"/>
    <s v="Compteur_7"/>
    <x v="1"/>
    <d v="1899-12-30T00:00:00"/>
    <d v="1899-12-30T00:00:00"/>
    <n v="1"/>
    <e v="#VALUE!"/>
    <n v="0"/>
    <e v="#VALUE!"/>
    <s v=""/>
    <e v="#VALUE!"/>
    <n v="0"/>
    <e v="#VALUE!"/>
    <e v="#VALUE!"/>
    <s v=""/>
    <s v=""/>
    <s v=""/>
    <n v="0"/>
    <x v="2"/>
    <x v="5"/>
    <x v="1"/>
    <x v="1"/>
    <n v="205.3"/>
  </r>
  <r>
    <d v="2011-12-01T00:00:00"/>
    <x v="24"/>
    <x v="12"/>
    <x v="2"/>
    <s v="Compteur 7"/>
    <s v="Compteur_7"/>
    <x v="1"/>
    <d v="1899-12-30T00:00:00"/>
    <d v="1899-12-30T00:00:00"/>
    <n v="1"/>
    <e v="#VALUE!"/>
    <n v="0"/>
    <e v="#VALUE!"/>
    <s v=""/>
    <e v="#VALUE!"/>
    <n v="0"/>
    <e v="#VALUE!"/>
    <e v="#VALUE!"/>
    <s v=""/>
    <s v=""/>
    <s v=""/>
    <n v="0"/>
    <x v="2"/>
    <x v="5"/>
    <x v="1"/>
    <x v="1"/>
    <n v="307.5"/>
  </r>
  <r>
    <d v="2012-01-01T00:00:00"/>
    <x v="25"/>
    <x v="1"/>
    <x v="3"/>
    <s v="Compteur 7"/>
    <s v="Compteur_7"/>
    <x v="1"/>
    <d v="1899-12-30T00:00:00"/>
    <d v="1899-12-30T00:00:00"/>
    <n v="1"/>
    <e v="#VALUE!"/>
    <n v="0"/>
    <e v="#VALUE!"/>
    <s v=""/>
    <e v="#VALUE!"/>
    <n v="0"/>
    <e v="#VALUE!"/>
    <e v="#VALUE!"/>
    <s v=""/>
    <s v=""/>
    <s v=""/>
    <n v="0"/>
    <x v="2"/>
    <x v="5"/>
    <x v="1"/>
    <x v="1"/>
    <n v="348.8"/>
  </r>
  <r>
    <d v="2012-02-01T00:00:00"/>
    <x v="26"/>
    <x v="2"/>
    <x v="3"/>
    <s v="Compteur 7"/>
    <s v="Compteur_7"/>
    <x v="1"/>
    <d v="1899-12-30T00:00:00"/>
    <d v="1899-12-30T00:00:00"/>
    <n v="1"/>
    <e v="#VALUE!"/>
    <n v="0"/>
    <e v="#VALUE!"/>
    <s v=""/>
    <e v="#VALUE!"/>
    <n v="0"/>
    <e v="#VALUE!"/>
    <e v="#VALUE!"/>
    <s v=""/>
    <s v=""/>
    <s v=""/>
    <n v="0"/>
    <x v="2"/>
    <x v="5"/>
    <x v="1"/>
    <x v="1"/>
    <n v="469.8"/>
  </r>
  <r>
    <d v="2012-03-01T00:00:00"/>
    <x v="27"/>
    <x v="3"/>
    <x v="3"/>
    <s v="Compteur 7"/>
    <s v="Compteur_7"/>
    <x v="1"/>
    <d v="1899-12-30T00:00:00"/>
    <d v="1899-12-30T00:00:00"/>
    <n v="1"/>
    <e v="#VALUE!"/>
    <n v="0"/>
    <e v="#VALUE!"/>
    <s v=""/>
    <e v="#VALUE!"/>
    <n v="0"/>
    <e v="#VALUE!"/>
    <e v="#VALUE!"/>
    <s v=""/>
    <s v=""/>
    <s v=""/>
    <n v="0"/>
    <x v="2"/>
    <x v="5"/>
    <x v="1"/>
    <x v="1"/>
    <n v="247.3"/>
  </r>
  <r>
    <d v="2012-04-01T00:00:00"/>
    <x v="28"/>
    <x v="4"/>
    <x v="3"/>
    <s v="Compteur 7"/>
    <s v="Compteur_7"/>
    <x v="1"/>
    <d v="1899-12-30T00:00:00"/>
    <d v="1899-12-30T00:00:00"/>
    <n v="1"/>
    <e v="#VALUE!"/>
    <n v="0"/>
    <e v="#VALUE!"/>
    <s v=""/>
    <e v="#VALUE!"/>
    <n v="0"/>
    <e v="#VALUE!"/>
    <e v="#VALUE!"/>
    <s v=""/>
    <s v=""/>
    <s v=""/>
    <n v="0"/>
    <x v="2"/>
    <x v="5"/>
    <x v="1"/>
    <x v="1"/>
    <n v="253.8"/>
  </r>
  <r>
    <d v="2012-05-01T00:00:00"/>
    <x v="29"/>
    <x v="5"/>
    <x v="3"/>
    <s v="Compteur 7"/>
    <s v="Compteur_7"/>
    <x v="1"/>
    <d v="1899-12-30T00:00:00"/>
    <d v="1899-12-30T00:00:00"/>
    <n v="1"/>
    <e v="#VALUE!"/>
    <n v="0"/>
    <e v="#VALUE!"/>
    <s v=""/>
    <e v="#VALUE!"/>
    <n v="0"/>
    <e v="#VALUE!"/>
    <e v="#VALUE!"/>
    <s v=""/>
    <s v=""/>
    <s v=""/>
    <n v="0"/>
    <x v="2"/>
    <x v="5"/>
    <x v="1"/>
    <x v="1"/>
    <n v="113.8"/>
  </r>
  <r>
    <d v="2012-06-01T00:00:00"/>
    <x v="30"/>
    <x v="6"/>
    <x v="3"/>
    <s v="Compteur 7"/>
    <s v="Compteur_7"/>
    <x v="1"/>
    <d v="1899-12-30T00:00:00"/>
    <d v="1899-12-30T00:00:00"/>
    <n v="1"/>
    <e v="#VALUE!"/>
    <n v="0"/>
    <e v="#VALUE!"/>
    <s v=""/>
    <e v="#VALUE!"/>
    <n v="0"/>
    <e v="#VALUE!"/>
    <e v="#VALUE!"/>
    <s v=""/>
    <s v=""/>
    <s v=""/>
    <n v="0"/>
    <x v="2"/>
    <x v="5"/>
    <x v="1"/>
    <x v="1"/>
    <n v="59.4"/>
  </r>
  <r>
    <d v="2012-07-01T00:00:00"/>
    <x v="31"/>
    <x v="7"/>
    <x v="3"/>
    <s v="Compteur 7"/>
    <s v="Compteur_7"/>
    <x v="1"/>
    <d v="1899-12-30T00:00:00"/>
    <d v="1899-12-30T00:00:00"/>
    <n v="1"/>
    <e v="#VALUE!"/>
    <n v="0"/>
    <e v="#VALUE!"/>
    <s v=""/>
    <e v="#VALUE!"/>
    <n v="0"/>
    <e v="#VALUE!"/>
    <e v="#VALUE!"/>
    <s v=""/>
    <s v=""/>
    <s v=""/>
    <n v="0"/>
    <x v="2"/>
    <x v="5"/>
    <x v="1"/>
    <x v="1"/>
    <n v="48.9"/>
  </r>
  <r>
    <d v="2012-08-01T00:00:00"/>
    <x v="32"/>
    <x v="8"/>
    <x v="3"/>
    <s v="Compteur 7"/>
    <s v="Compteur_7"/>
    <x v="1"/>
    <d v="1899-12-30T00:00:00"/>
    <d v="1899-12-30T00:00:00"/>
    <n v="1"/>
    <e v="#VALUE!"/>
    <n v="0"/>
    <e v="#VALUE!"/>
    <s v=""/>
    <e v="#VALUE!"/>
    <n v="0"/>
    <e v="#VALUE!"/>
    <e v="#VALUE!"/>
    <s v=""/>
    <s v=""/>
    <s v=""/>
    <n v="0"/>
    <x v="2"/>
    <x v="5"/>
    <x v="1"/>
    <x v="1"/>
    <n v="28.8"/>
  </r>
  <r>
    <d v="2012-09-01T00:00:00"/>
    <x v="33"/>
    <x v="9"/>
    <x v="3"/>
    <s v="Compteur 7"/>
    <s v="Compteur_7"/>
    <x v="1"/>
    <d v="1899-12-30T00:00:00"/>
    <d v="1899-12-30T00:00:00"/>
    <n v="1"/>
    <e v="#VALUE!"/>
    <n v="0"/>
    <e v="#VALUE!"/>
    <s v=""/>
    <e v="#VALUE!"/>
    <n v="0"/>
    <e v="#VALUE!"/>
    <e v="#VALUE!"/>
    <s v=""/>
    <s v=""/>
    <s v=""/>
    <n v="0"/>
    <x v="2"/>
    <x v="5"/>
    <x v="1"/>
    <x v="1"/>
    <n v="108.1"/>
  </r>
  <r>
    <d v="2012-10-01T00:00:00"/>
    <x v="34"/>
    <x v="10"/>
    <x v="3"/>
    <s v="Compteur 7"/>
    <s v="Compteur_7"/>
    <x v="1"/>
    <d v="1899-12-30T00:00:00"/>
    <d v="1899-12-30T00:00:00"/>
    <n v="1"/>
    <e v="#VALUE!"/>
    <n v="0"/>
    <e v="#VALUE!"/>
    <s v=""/>
    <e v="#VALUE!"/>
    <n v="0"/>
    <e v="#VALUE!"/>
    <e v="#VALUE!"/>
    <s v=""/>
    <s v=""/>
    <s v=""/>
    <n v="0"/>
    <x v="2"/>
    <x v="5"/>
    <x v="1"/>
    <x v="1"/>
    <n v="161.69999999999999"/>
  </r>
  <r>
    <d v="2012-11-01T00:00:00"/>
    <x v="35"/>
    <x v="11"/>
    <x v="3"/>
    <s v="Compteur 7"/>
    <s v="Compteur_7"/>
    <x v="1"/>
    <d v="1899-12-30T00:00:00"/>
    <d v="1899-12-30T00:00:00"/>
    <n v="1"/>
    <e v="#VALUE!"/>
    <n v="0"/>
    <e v="#VALUE!"/>
    <s v=""/>
    <e v="#VALUE!"/>
    <n v="0"/>
    <e v="#VALUE!"/>
    <e v="#VALUE!"/>
    <s v=""/>
    <s v=""/>
    <s v=""/>
    <n v="0"/>
    <x v="2"/>
    <x v="5"/>
    <x v="1"/>
    <x v="1"/>
    <n v="300.39999999999998"/>
  </r>
  <r>
    <d v="2012-12-01T00:00:00"/>
    <x v="36"/>
    <x v="12"/>
    <x v="3"/>
    <s v="Compteur 7"/>
    <s v="Compteur_7"/>
    <x v="1"/>
    <d v="1899-12-30T00:00:00"/>
    <d v="1899-12-30T00:00:00"/>
    <n v="1"/>
    <e v="#VALUE!"/>
    <n v="0"/>
    <e v="#VALUE!"/>
    <s v=""/>
    <e v="#VALUE!"/>
    <n v="0"/>
    <e v="#VALUE!"/>
    <e v="#VALUE!"/>
    <s v=""/>
    <s v=""/>
    <s v=""/>
    <n v="0"/>
    <x v="2"/>
    <x v="5"/>
    <x v="1"/>
    <x v="1"/>
    <n v="333.7"/>
  </r>
  <r>
    <d v="2013-01-01T00:00:00"/>
    <x v="37"/>
    <x v="1"/>
    <x v="4"/>
    <s v="Compteur 7"/>
    <s v="Compteur_7"/>
    <x v="1"/>
    <d v="1899-12-30T00:00:00"/>
    <d v="1899-12-30T00:00:00"/>
    <n v="1"/>
    <e v="#VALUE!"/>
    <n v="0"/>
    <e v="#VALUE!"/>
    <s v=""/>
    <e v="#VALUE!"/>
    <n v="0"/>
    <e v="#VALUE!"/>
    <e v="#VALUE!"/>
    <s v=""/>
    <s v=""/>
    <s v=""/>
    <n v="0"/>
    <x v="2"/>
    <x v="5"/>
    <x v="1"/>
    <x v="1"/>
    <n v="409.5"/>
  </r>
  <r>
    <d v="2013-02-01T00:00:00"/>
    <x v="38"/>
    <x v="2"/>
    <x v="4"/>
    <s v="Compteur 7"/>
    <s v="Compteur_7"/>
    <x v="1"/>
    <d v="1899-12-30T00:00:00"/>
    <d v="1899-12-30T00:00:00"/>
    <n v="1"/>
    <e v="#VALUE!"/>
    <n v="0"/>
    <e v="#VALUE!"/>
    <s v=""/>
    <e v="#VALUE!"/>
    <n v="0"/>
    <e v="#VALUE!"/>
    <e v="#VALUE!"/>
    <s v=""/>
    <s v=""/>
    <s v=""/>
    <n v="0"/>
    <x v="2"/>
    <x v="5"/>
    <x v="1"/>
    <x v="1"/>
    <n v="389.8"/>
  </r>
  <r>
    <d v="2013-03-01T00:00:00"/>
    <x v="39"/>
    <x v="3"/>
    <x v="4"/>
    <s v="Compteur 7"/>
    <s v="Compteur_7"/>
    <x v="1"/>
    <d v="1899-12-30T00:00:00"/>
    <d v="1899-12-30T00:00:00"/>
    <n v="1"/>
    <e v="#VALUE!"/>
    <n v="0"/>
    <e v="#VALUE!"/>
    <s v=""/>
    <e v="#VALUE!"/>
    <n v="0"/>
    <e v="#VALUE!"/>
    <e v="#VALUE!"/>
    <s v=""/>
    <s v=""/>
    <s v=""/>
    <n v="0"/>
    <x v="2"/>
    <x v="5"/>
    <x v="1"/>
    <x v="1"/>
    <n v="360.4"/>
  </r>
  <r>
    <d v="2013-04-01T00:00:00"/>
    <x v="40"/>
    <x v="4"/>
    <x v="4"/>
    <s v="Compteur 7"/>
    <s v="Compteur_7"/>
    <x v="1"/>
    <d v="1899-12-30T00:00:00"/>
    <d v="1899-12-30T00:00:00"/>
    <n v="1"/>
    <e v="#VALUE!"/>
    <n v="0"/>
    <e v="#VALUE!"/>
    <s v=""/>
    <e v="#VALUE!"/>
    <n v="0"/>
    <e v="#VALUE!"/>
    <e v="#VALUE!"/>
    <s v=""/>
    <s v=""/>
    <s v=""/>
    <n v="0"/>
    <x v="2"/>
    <x v="5"/>
    <x v="1"/>
    <x v="1"/>
    <n v="247.2"/>
  </r>
  <r>
    <d v="2013-05-01T00:00:00"/>
    <x v="41"/>
    <x v="5"/>
    <x v="4"/>
    <s v="Compteur 7"/>
    <s v="Compteur_7"/>
    <x v="1"/>
    <d v="1899-12-30T00:00:00"/>
    <d v="1899-12-30T00:00:00"/>
    <n v="1"/>
    <e v="#VALUE!"/>
    <n v="0"/>
    <e v="#VALUE!"/>
    <s v=""/>
    <e v="#VALUE!"/>
    <n v="0"/>
    <e v="#VALUE!"/>
    <e v="#VALUE!"/>
    <s v=""/>
    <s v=""/>
    <s v=""/>
    <n v="0"/>
    <x v="2"/>
    <x v="5"/>
    <x v="1"/>
    <x v="1"/>
    <n v="175.2"/>
  </r>
  <r>
    <d v="2013-06-01T00:00:00"/>
    <x v="42"/>
    <x v="6"/>
    <x v="4"/>
    <s v="Compteur 7"/>
    <s v="Compteur_7"/>
    <x v="1"/>
    <d v="1899-12-30T00:00:00"/>
    <d v="1899-12-30T00:00:00"/>
    <n v="1"/>
    <e v="#VALUE!"/>
    <n v="0"/>
    <e v="#VALUE!"/>
    <s v=""/>
    <e v="#VALUE!"/>
    <n v="0"/>
    <e v="#VALUE!"/>
    <e v="#VALUE!"/>
    <s v=""/>
    <s v=""/>
    <s v=""/>
    <n v="0"/>
    <x v="2"/>
    <x v="5"/>
    <x v="1"/>
    <x v="1"/>
    <n v="68"/>
  </r>
  <r>
    <d v="2013-07-01T00:00:00"/>
    <x v="43"/>
    <x v="7"/>
    <x v="4"/>
    <s v="Compteur 7"/>
    <s v="Compteur_7"/>
    <x v="1"/>
    <d v="1899-12-30T00:00:00"/>
    <d v="1899-12-30T00:00:00"/>
    <n v="1"/>
    <e v="#VALUE!"/>
    <n v="0"/>
    <e v="#VALUE!"/>
    <s v=""/>
    <e v="#VALUE!"/>
    <n v="0"/>
    <e v="#VALUE!"/>
    <e v="#VALUE!"/>
    <s v=""/>
    <s v=""/>
    <s v=""/>
    <n v="0"/>
    <x v="2"/>
    <x v="5"/>
    <x v="1"/>
    <x v="1"/>
    <n v="13.3"/>
  </r>
  <r>
    <d v="2013-08-01T00:00:00"/>
    <x v="44"/>
    <x v="8"/>
    <x v="4"/>
    <s v="Compteur 7"/>
    <s v="Compteur_7"/>
    <x v="1"/>
    <d v="1899-12-30T00:00:00"/>
    <d v="1899-12-30T00:00:00"/>
    <n v="1"/>
    <e v="#VALUE!"/>
    <n v="0"/>
    <e v="#VALUE!"/>
    <s v=""/>
    <e v="#VALUE!"/>
    <n v="0"/>
    <e v="#VALUE!"/>
    <e v="#VALUE!"/>
    <s v=""/>
    <s v=""/>
    <s v=""/>
    <n v="0"/>
    <x v="2"/>
    <x v="5"/>
    <x v="1"/>
    <x v="1"/>
    <n v="38.5"/>
  </r>
  <r>
    <d v="2013-09-01T00:00:00"/>
    <x v="45"/>
    <x v="9"/>
    <x v="4"/>
    <s v="Compteur 7"/>
    <s v="Compteur_7"/>
    <x v="1"/>
    <d v="1899-12-30T00:00:00"/>
    <d v="1899-12-30T00:00:00"/>
    <n v="1"/>
    <e v="#VALUE!"/>
    <n v="0"/>
    <e v="#VALUE!"/>
    <s v=""/>
    <e v="#VALUE!"/>
    <n v="0"/>
    <e v="#VALUE!"/>
    <e v="#VALUE!"/>
    <s v=""/>
    <s v=""/>
    <s v=""/>
    <n v="0"/>
    <x v="2"/>
    <x v="5"/>
    <x v="1"/>
    <x v="1"/>
    <n v="69.2"/>
  </r>
  <r>
    <d v="2013-10-01T00:00:00"/>
    <x v="46"/>
    <x v="10"/>
    <x v="4"/>
    <s v="Compteur 7"/>
    <s v="Compteur_7"/>
    <x v="1"/>
    <d v="1899-12-30T00:00:00"/>
    <d v="1899-12-30T00:00:00"/>
    <n v="1"/>
    <e v="#VALUE!"/>
    <n v="0"/>
    <e v="#VALUE!"/>
    <s v=""/>
    <e v="#VALUE!"/>
    <n v="0"/>
    <e v="#VALUE!"/>
    <e v="#VALUE!"/>
    <s v=""/>
    <s v=""/>
    <s v=""/>
    <n v="0"/>
    <x v="2"/>
    <x v="5"/>
    <x v="1"/>
    <x v="1"/>
    <n v="122.6"/>
  </r>
  <r>
    <d v="2013-11-01T00:00:00"/>
    <x v="47"/>
    <x v="11"/>
    <x v="4"/>
    <s v="Compteur 7"/>
    <s v="Compteur_7"/>
    <x v="1"/>
    <d v="1899-12-30T00:00:00"/>
    <d v="1899-12-30T00:00:00"/>
    <n v="1"/>
    <e v="#VALUE!"/>
    <n v="0"/>
    <e v="#VALUE!"/>
    <s v=""/>
    <e v="#VALUE!"/>
    <n v="0"/>
    <e v="#VALUE!"/>
    <e v="#VALUE!"/>
    <s v=""/>
    <s v=""/>
    <s v=""/>
    <n v="0"/>
    <x v="2"/>
    <x v="5"/>
    <x v="1"/>
    <x v="1"/>
    <n v="311.10000000000002"/>
  </r>
  <r>
    <d v="2013-12-01T00:00:00"/>
    <x v="48"/>
    <x v="12"/>
    <x v="4"/>
    <s v="Compteur 7"/>
    <s v="Compteur_7"/>
    <x v="1"/>
    <d v="1899-12-30T00:00:00"/>
    <d v="1899-12-30T00:00:00"/>
    <n v="1"/>
    <e v="#VALUE!"/>
    <n v="0"/>
    <e v="#VALUE!"/>
    <s v=""/>
    <e v="#VALUE!"/>
    <n v="0"/>
    <e v="#VALUE!"/>
    <e v="#VALUE!"/>
    <s v=""/>
    <s v=""/>
    <s v=""/>
    <n v="0"/>
    <x v="2"/>
    <x v="5"/>
    <x v="1"/>
    <x v="1"/>
    <n v="380.4"/>
  </r>
  <r>
    <d v="2014-01-01T00:00:00"/>
    <x v="49"/>
    <x v="1"/>
    <x v="5"/>
    <s v="Compteur 7"/>
    <s v="Compteur_7"/>
    <x v="1"/>
    <d v="1899-12-30T00:00:00"/>
    <d v="1899-12-30T00:00:00"/>
    <n v="1"/>
    <e v="#VALUE!"/>
    <n v="0"/>
    <e v="#VALUE!"/>
    <s v=""/>
    <e v="#VALUE!"/>
    <n v="0"/>
    <e v="#VALUE!"/>
    <e v="#VALUE!"/>
    <s v=""/>
    <s v=""/>
    <s v=""/>
    <n v="0"/>
    <x v="2"/>
    <x v="5"/>
    <x v="1"/>
    <x v="1"/>
    <n v="320.5"/>
  </r>
  <r>
    <d v="2014-02-01T00:00:00"/>
    <x v="50"/>
    <x v="2"/>
    <x v="5"/>
    <s v="Compteur 7"/>
    <s v="Compteur_7"/>
    <x v="1"/>
    <d v="1899-12-30T00:00:00"/>
    <d v="1899-12-30T00:00:00"/>
    <n v="1"/>
    <e v="#VALUE!"/>
    <n v="0"/>
    <e v="#VALUE!"/>
    <s v=""/>
    <e v="#VALUE!"/>
    <n v="0"/>
    <e v="#VALUE!"/>
    <e v="#VALUE!"/>
    <s v=""/>
    <s v=""/>
    <s v=""/>
    <n v="0"/>
    <x v="2"/>
    <x v="5"/>
    <x v="1"/>
    <x v="1"/>
    <n v="281.3"/>
  </r>
  <r>
    <d v="2014-03-01T00:00:00"/>
    <x v="51"/>
    <x v="3"/>
    <x v="5"/>
    <s v="Compteur 7"/>
    <s v="Compteur_7"/>
    <x v="1"/>
    <d v="1899-12-30T00:00:00"/>
    <d v="1899-12-30T00:00:00"/>
    <n v="1"/>
    <e v="#VALUE!"/>
    <n v="0"/>
    <e v="#VALUE!"/>
    <s v=""/>
    <e v="#VALUE!"/>
    <n v="0"/>
    <e v="#VALUE!"/>
    <e v="#VALUE!"/>
    <s v=""/>
    <s v=""/>
    <s v=""/>
    <n v="0"/>
    <x v="2"/>
    <x v="5"/>
    <x v="1"/>
    <x v="1"/>
    <n v="263.89999999999998"/>
  </r>
  <r>
    <d v="2014-04-01T00:00:00"/>
    <x v="52"/>
    <x v="4"/>
    <x v="5"/>
    <s v="Compteur 7"/>
    <s v="Compteur_7"/>
    <x v="1"/>
    <d v="1899-12-30T00:00:00"/>
    <d v="1899-12-30T00:00:00"/>
    <n v="1"/>
    <e v="#VALUE!"/>
    <n v="0"/>
    <e v="#VALUE!"/>
    <s v=""/>
    <e v="#VALUE!"/>
    <n v="0"/>
    <e v="#VALUE!"/>
    <e v="#VALUE!"/>
    <s v=""/>
    <s v=""/>
    <s v=""/>
    <n v="0"/>
    <x v="2"/>
    <x v="5"/>
    <x v="1"/>
    <x v="1"/>
    <n v="174.2"/>
  </r>
  <r>
    <d v="2014-05-01T00:00:00"/>
    <x v="53"/>
    <x v="5"/>
    <x v="5"/>
    <s v="Compteur 7"/>
    <s v="Compteur_7"/>
    <x v="1"/>
    <d v="1899-12-30T00:00:00"/>
    <d v="1899-12-30T00:00:00"/>
    <n v="1"/>
    <e v="#VALUE!"/>
    <n v="0"/>
    <e v="#VALUE!"/>
    <s v=""/>
    <e v="#VALUE!"/>
    <n v="0"/>
    <e v="#VALUE!"/>
    <e v="#VALUE!"/>
    <s v=""/>
    <s v=""/>
    <s v=""/>
    <n v="0"/>
    <x v="2"/>
    <x v="5"/>
    <x v="1"/>
    <x v="1"/>
    <n v="134.5"/>
  </r>
  <r>
    <d v="2014-06-01T00:00:00"/>
    <x v="54"/>
    <x v="6"/>
    <x v="5"/>
    <s v="Compteur 7"/>
    <s v="Compteur_7"/>
    <x v="1"/>
    <d v="1899-12-30T00:00:00"/>
    <d v="1899-12-30T00:00:00"/>
    <n v="1"/>
    <e v="#VALUE!"/>
    <n v="0"/>
    <e v="#VALUE!"/>
    <s v=""/>
    <e v="#VALUE!"/>
    <n v="0"/>
    <e v="#VALUE!"/>
    <e v="#VALUE!"/>
    <s v=""/>
    <s v=""/>
    <s v=""/>
    <n v="0"/>
    <x v="2"/>
    <x v="5"/>
    <x v="1"/>
    <x v="1"/>
    <n v="48.5"/>
  </r>
  <r>
    <d v="2014-07-01T00:00:00"/>
    <x v="55"/>
    <x v="7"/>
    <x v="5"/>
    <s v="Compteur 7"/>
    <s v="Compteur_7"/>
    <x v="1"/>
    <d v="1899-12-30T00:00:00"/>
    <d v="1899-12-30T00:00:00"/>
    <n v="1"/>
    <e v="#VALUE!"/>
    <n v="0"/>
    <e v="#VALUE!"/>
    <s v=""/>
    <e v="#VALUE!"/>
    <n v="0"/>
    <e v="#VALUE!"/>
    <e v="#VALUE!"/>
    <s v=""/>
    <s v=""/>
    <s v=""/>
    <n v="0"/>
    <x v="2"/>
    <x v="5"/>
    <x v="1"/>
    <x v="1"/>
    <n v="22.6"/>
  </r>
  <r>
    <d v="2014-08-01T00:00:00"/>
    <x v="56"/>
    <x v="8"/>
    <x v="5"/>
    <s v="Compteur 7"/>
    <s v="Compteur_7"/>
    <x v="1"/>
    <d v="1899-12-30T00:00:00"/>
    <d v="1899-12-30T00:00:00"/>
    <n v="1"/>
    <e v="#VALUE!"/>
    <n v="0"/>
    <e v="#VALUE!"/>
    <s v=""/>
    <e v="#VALUE!"/>
    <n v="0"/>
    <e v="#VALUE!"/>
    <e v="#VALUE!"/>
    <s v=""/>
    <s v=""/>
    <s v=""/>
    <n v="0"/>
    <x v="2"/>
    <x v="5"/>
    <x v="1"/>
    <x v="1"/>
    <n v="51.9"/>
  </r>
  <r>
    <d v="2014-09-01T00:00:00"/>
    <x v="57"/>
    <x v="9"/>
    <x v="5"/>
    <s v="Compteur 7"/>
    <s v="Compteur_7"/>
    <x v="1"/>
    <d v="1899-12-30T00:00:00"/>
    <d v="1899-12-30T00:00:00"/>
    <n v="1"/>
    <e v="#VALUE!"/>
    <n v="0"/>
    <e v="#VALUE!"/>
    <s v=""/>
    <e v="#VALUE!"/>
    <n v="0"/>
    <e v="#VALUE!"/>
    <e v="#VALUE!"/>
    <s v=""/>
    <s v=""/>
    <s v=""/>
    <n v="0"/>
    <x v="2"/>
    <x v="5"/>
    <x v="1"/>
    <x v="1"/>
    <n v="54.3"/>
  </r>
  <r>
    <d v="2014-10-01T00:00:00"/>
    <x v="58"/>
    <x v="10"/>
    <x v="5"/>
    <s v="Compteur 7"/>
    <s v="Compteur_7"/>
    <x v="1"/>
    <d v="1899-12-30T00:00:00"/>
    <d v="1899-12-30T00:00:00"/>
    <n v="1"/>
    <e v="#VALUE!"/>
    <n v="0"/>
    <e v="#VALUE!"/>
    <s v=""/>
    <e v="#VALUE!"/>
    <n v="0"/>
    <e v="#VALUE!"/>
    <e v="#VALUE!"/>
    <s v=""/>
    <s v=""/>
    <s v=""/>
    <n v="0"/>
    <x v="2"/>
    <x v="5"/>
    <x v="1"/>
    <x v="1"/>
    <n v="124.2"/>
  </r>
  <r>
    <d v="2014-11-01T00:00:00"/>
    <x v="59"/>
    <x v="11"/>
    <x v="5"/>
    <s v="Compteur 7"/>
    <s v="Compteur_7"/>
    <x v="1"/>
    <d v="1899-12-30T00:00:00"/>
    <d v="1899-12-30T00:00:00"/>
    <n v="1"/>
    <e v="#VALUE!"/>
    <n v="0"/>
    <e v="#VALUE!"/>
    <s v=""/>
    <e v="#VALUE!"/>
    <n v="0"/>
    <e v="#VALUE!"/>
    <e v="#VALUE!"/>
    <s v=""/>
    <s v=""/>
    <s v=""/>
    <n v="0"/>
    <x v="2"/>
    <x v="5"/>
    <x v="1"/>
    <x v="1"/>
    <n v="219.5"/>
  </r>
  <r>
    <d v="2014-12-01T00:00:00"/>
    <x v="60"/>
    <x v="12"/>
    <x v="5"/>
    <s v="Compteur 7"/>
    <s v="Compteur_7"/>
    <x v="1"/>
    <d v="1899-12-30T00:00:00"/>
    <d v="1899-12-30T00:00:00"/>
    <n v="1"/>
    <e v="#VALUE!"/>
    <n v="0"/>
    <e v="#VALUE!"/>
    <s v=""/>
    <e v="#VALUE!"/>
    <n v="0"/>
    <e v="#VALUE!"/>
    <e v="#VALUE!"/>
    <s v=""/>
    <s v=""/>
    <s v=""/>
    <n v="0"/>
    <x v="2"/>
    <x v="5"/>
    <x v="1"/>
    <x v="1"/>
    <n v="374.8"/>
  </r>
  <r>
    <d v="2015-01-01T00:00:00"/>
    <x v="61"/>
    <x v="1"/>
    <x v="6"/>
    <s v="Compteur 7"/>
    <s v="Compteur_7"/>
    <x v="1"/>
    <d v="1899-12-30T00:00:00"/>
    <d v="1899-12-30T00:00:00"/>
    <n v="1"/>
    <e v="#VALUE!"/>
    <n v="0"/>
    <e v="#VALUE!"/>
    <s v=""/>
    <e v="#VALUE!"/>
    <n v="0"/>
    <e v="#VALUE!"/>
    <e v="#VALUE!"/>
    <s v=""/>
    <s v=""/>
    <s v=""/>
    <n v="0"/>
    <x v="2"/>
    <x v="5"/>
    <x v="1"/>
    <x v="1"/>
    <n v="392.1"/>
  </r>
  <r>
    <d v="2015-02-01T00:00:00"/>
    <x v="62"/>
    <x v="2"/>
    <x v="6"/>
    <s v="Compteur 7"/>
    <s v="Compteur_7"/>
    <x v="1"/>
    <d v="1899-12-30T00:00:00"/>
    <d v="1899-12-30T00:00:00"/>
    <n v="1"/>
    <e v="#VALUE!"/>
    <n v="0"/>
    <e v="#VALUE!"/>
    <s v=""/>
    <e v="#VALUE!"/>
    <n v="0"/>
    <e v="#VALUE!"/>
    <e v="#VALUE!"/>
    <s v=""/>
    <s v=""/>
    <s v=""/>
    <n v="0"/>
    <x v="2"/>
    <x v="5"/>
    <x v="1"/>
    <x v="1"/>
    <n v="366.9"/>
  </r>
  <r>
    <d v="2015-03-01T00:00:00"/>
    <x v="63"/>
    <x v="3"/>
    <x v="6"/>
    <s v="Compteur 7"/>
    <s v="Compteur_7"/>
    <x v="1"/>
    <d v="1899-12-30T00:00:00"/>
    <d v="1899-12-30T00:00:00"/>
    <n v="1"/>
    <e v="#VALUE!"/>
    <n v="0"/>
    <e v="#VALUE!"/>
    <s v=""/>
    <e v="#VALUE!"/>
    <n v="0"/>
    <e v="#VALUE!"/>
    <e v="#VALUE!"/>
    <s v=""/>
    <s v=""/>
    <s v=""/>
    <n v="0"/>
    <x v="2"/>
    <x v="5"/>
    <x v="1"/>
    <x v="1"/>
    <n v="303.8"/>
  </r>
  <r>
    <d v="2015-04-01T00:00:00"/>
    <x v="64"/>
    <x v="4"/>
    <x v="6"/>
    <s v="Compteur 7"/>
    <s v="Compteur_7"/>
    <x v="1"/>
    <d v="1899-12-30T00:00:00"/>
    <d v="1899-12-30T00:00:00"/>
    <n v="1"/>
    <e v="#VALUE!"/>
    <n v="0"/>
    <e v="#VALUE!"/>
    <s v=""/>
    <e v="#VALUE!"/>
    <n v="0"/>
    <e v="#VALUE!"/>
    <e v="#VALUE!"/>
    <s v=""/>
    <s v=""/>
    <s v=""/>
    <n v="0"/>
    <x v="2"/>
    <x v="5"/>
    <x v="1"/>
    <x v="1"/>
    <n v="166.6"/>
  </r>
  <r>
    <d v="2015-05-01T00:00:00"/>
    <x v="65"/>
    <x v="5"/>
    <x v="6"/>
    <s v="Compteur 7"/>
    <s v="Compteur_7"/>
    <x v="1"/>
    <d v="1899-12-30T00:00:00"/>
    <d v="1899-12-30T00:00:00"/>
    <n v="1"/>
    <e v="#VALUE!"/>
    <n v="0"/>
    <e v="#VALUE!"/>
    <s v=""/>
    <e v="#VALUE!"/>
    <n v="0"/>
    <e v="#VALUE!"/>
    <e v="#VALUE!"/>
    <s v=""/>
    <s v=""/>
    <s v=""/>
    <n v="0"/>
    <x v="2"/>
    <x v="5"/>
    <x v="1"/>
    <x v="1"/>
    <n v="119.9"/>
  </r>
  <r>
    <d v="2015-06-01T00:00:00"/>
    <x v="66"/>
    <x v="6"/>
    <x v="6"/>
    <s v="Compteur 7"/>
    <s v="Compteur_7"/>
    <x v="1"/>
    <d v="1899-12-30T00:00:00"/>
    <d v="1899-12-30T00:00:00"/>
    <n v="1"/>
    <e v="#VALUE!"/>
    <n v="0"/>
    <e v="#VALUE!"/>
    <s v=""/>
    <e v="#VALUE!"/>
    <n v="0"/>
    <e v="#VALUE!"/>
    <e v="#VALUE!"/>
    <s v=""/>
    <s v=""/>
    <s v=""/>
    <n v="0"/>
    <x v="2"/>
    <x v="5"/>
    <x v="1"/>
    <x v="1"/>
    <n v="51.8"/>
  </r>
  <r>
    <d v="2015-07-01T00:00:00"/>
    <x v="67"/>
    <x v="7"/>
    <x v="6"/>
    <s v="Compteur 7"/>
    <s v="Compteur_7"/>
    <x v="1"/>
    <d v="1899-12-30T00:00:00"/>
    <d v="1899-12-30T00:00:00"/>
    <n v="1"/>
    <e v="#VALUE!"/>
    <n v="0"/>
    <e v="#VALUE!"/>
    <s v=""/>
    <e v="#VALUE!"/>
    <n v="0"/>
    <e v="#VALUE!"/>
    <e v="#VALUE!"/>
    <s v=""/>
    <s v=""/>
    <s v=""/>
    <n v="0"/>
    <x v="2"/>
    <x v="5"/>
    <x v="1"/>
    <x v="1"/>
    <n v="29"/>
  </r>
  <r>
    <d v="2015-08-01T00:00:00"/>
    <x v="68"/>
    <x v="8"/>
    <x v="6"/>
    <s v="Compteur 7"/>
    <s v="Compteur_7"/>
    <x v="1"/>
    <d v="1899-12-30T00:00:00"/>
    <d v="1899-12-30T00:00:00"/>
    <n v="1"/>
    <e v="#VALUE!"/>
    <n v="0"/>
    <e v="#VALUE!"/>
    <s v=""/>
    <e v="#VALUE!"/>
    <n v="0"/>
    <e v="#VALUE!"/>
    <e v="#VALUE!"/>
    <s v=""/>
    <s v=""/>
    <s v=""/>
    <n v="0"/>
    <x v="2"/>
    <x v="5"/>
    <x v="1"/>
    <x v="1"/>
    <n v="32"/>
  </r>
  <r>
    <d v="2015-09-01T00:00:00"/>
    <x v="69"/>
    <x v="9"/>
    <x v="6"/>
    <s v="Compteur 7"/>
    <s v="Compteur_7"/>
    <x v="1"/>
    <d v="1899-12-30T00:00:00"/>
    <d v="1899-12-30T00:00:00"/>
    <n v="1"/>
    <e v="#VALUE!"/>
    <n v="0"/>
    <e v="#VALUE!"/>
    <s v=""/>
    <e v="#VALUE!"/>
    <n v="0"/>
    <e v="#VALUE!"/>
    <e v="#VALUE!"/>
    <s v=""/>
    <s v=""/>
    <s v=""/>
    <n v="0"/>
    <x v="2"/>
    <x v="5"/>
    <x v="1"/>
    <x v="1"/>
    <n v="96.9"/>
  </r>
  <r>
    <d v="2015-10-01T00:00:00"/>
    <x v="70"/>
    <x v="10"/>
    <x v="6"/>
    <s v="Compteur 7"/>
    <s v="Compteur_7"/>
    <x v="1"/>
    <d v="1899-12-30T00:00:00"/>
    <d v="1899-12-30T00:00:00"/>
    <n v="1"/>
    <e v="#VALUE!"/>
    <n v="0"/>
    <e v="#VALUE!"/>
    <s v=""/>
    <e v="#VALUE!"/>
    <n v="0"/>
    <e v="#VALUE!"/>
    <e v="#VALUE!"/>
    <s v=""/>
    <s v=""/>
    <s v=""/>
    <n v="0"/>
    <x v="2"/>
    <x v="5"/>
    <x v="1"/>
    <x v="1"/>
    <n v="181.1"/>
  </r>
  <r>
    <d v="2015-11-01T00:00:00"/>
    <x v="71"/>
    <x v="11"/>
    <x v="6"/>
    <s v="Compteur 7"/>
    <s v="Compteur_7"/>
    <x v="1"/>
    <d v="1899-12-30T00:00:00"/>
    <d v="1899-12-30T00:00:00"/>
    <n v="1"/>
    <e v="#VALUE!"/>
    <n v="0"/>
    <e v="#VALUE!"/>
    <s v=""/>
    <e v="#VALUE!"/>
    <n v="0"/>
    <e v="#VALUE!"/>
    <e v="#VALUE!"/>
    <s v=""/>
    <s v=""/>
    <s v=""/>
    <n v="0"/>
    <x v="2"/>
    <x v="5"/>
    <x v="1"/>
    <x v="1"/>
    <n v="191.1"/>
  </r>
  <r>
    <d v="2015-12-01T00:00:00"/>
    <x v="72"/>
    <x v="12"/>
    <x v="6"/>
    <s v="Compteur 7"/>
    <s v="Compteur_7"/>
    <x v="1"/>
    <d v="1899-12-30T00:00:00"/>
    <d v="1899-12-30T00:00:00"/>
    <n v="1"/>
    <e v="#VALUE!"/>
    <n v="0"/>
    <e v="#VALUE!"/>
    <s v=""/>
    <e v="#VALUE!"/>
    <n v="0"/>
    <e v="#VALUE!"/>
    <e v="#VALUE!"/>
    <s v=""/>
    <s v=""/>
    <s v=""/>
    <n v="0"/>
    <x v="2"/>
    <x v="5"/>
    <x v="1"/>
    <x v="1"/>
    <n v="258.5"/>
  </r>
  <r>
    <d v="2016-01-01T00:00:00"/>
    <x v="73"/>
    <x v="1"/>
    <x v="7"/>
    <s v="Compteur 7"/>
    <s v="Compteur_7"/>
    <x v="1"/>
    <d v="1899-12-30T00:00:00"/>
    <d v="1899-12-30T00:00:00"/>
    <n v="1"/>
    <e v="#VALUE!"/>
    <n v="0"/>
    <e v="#VALUE!"/>
    <s v=""/>
    <e v="#VALUE!"/>
    <n v="0"/>
    <e v="#VALUE!"/>
    <e v="#VALUE!"/>
    <s v=""/>
    <s v=""/>
    <s v=""/>
    <n v="0"/>
    <x v="2"/>
    <x v="5"/>
    <x v="1"/>
    <x v="1"/>
    <n v="348.4"/>
  </r>
  <r>
    <d v="2016-02-01T00:00:00"/>
    <x v="74"/>
    <x v="2"/>
    <x v="7"/>
    <s v="Compteur 7"/>
    <s v="Compteur_7"/>
    <x v="1"/>
    <d v="1899-12-30T00:00:00"/>
    <d v="1899-12-30T00:00:00"/>
    <n v="1"/>
    <e v="#VALUE!"/>
    <n v="0"/>
    <e v="#VALUE!"/>
    <s v=""/>
    <e v="#VALUE!"/>
    <n v="0"/>
    <e v="#VALUE!"/>
    <e v="#VALUE!"/>
    <s v=""/>
    <s v=""/>
    <s v=""/>
    <n v="0"/>
    <x v="2"/>
    <x v="5"/>
    <x v="1"/>
    <x v="1"/>
    <n v="321.2"/>
  </r>
  <r>
    <d v="2016-03-01T00:00:00"/>
    <x v="75"/>
    <x v="3"/>
    <x v="7"/>
    <s v="Compteur 7"/>
    <s v="Compteur_7"/>
    <x v="1"/>
    <d v="1899-12-30T00:00:00"/>
    <d v="1899-12-30T00:00:00"/>
    <n v="1"/>
    <e v="#VALUE!"/>
    <n v="0"/>
    <e v="#VALUE!"/>
    <s v=""/>
    <e v="#VALUE!"/>
    <n v="0"/>
    <e v="#VALUE!"/>
    <e v="#VALUE!"/>
    <s v=""/>
    <s v=""/>
    <s v=""/>
    <n v="0"/>
    <x v="2"/>
    <x v="5"/>
    <x v="1"/>
    <x v="1"/>
    <n v="328.3"/>
  </r>
  <r>
    <d v="2016-04-01T00:00:00"/>
    <x v="76"/>
    <x v="4"/>
    <x v="7"/>
    <s v="Compteur 7"/>
    <s v="Compteur_7"/>
    <x v="1"/>
    <d v="1899-12-30T00:00:00"/>
    <d v="1899-12-30T00:00:00"/>
    <n v="1"/>
    <e v="#VALUE!"/>
    <n v="0"/>
    <e v="#VALUE!"/>
    <s v=""/>
    <e v="#VALUE!"/>
    <n v="0"/>
    <e v="#VALUE!"/>
    <e v="#VALUE!"/>
    <s v=""/>
    <s v=""/>
    <s v=""/>
    <n v="0"/>
    <x v="2"/>
    <x v="5"/>
    <x v="1"/>
    <x v="1"/>
    <n v="252.6"/>
  </r>
  <r>
    <d v="2016-05-01T00:00:00"/>
    <x v="77"/>
    <x v="5"/>
    <x v="7"/>
    <s v="Compteur 7"/>
    <s v="Compteur_7"/>
    <x v="1"/>
    <d v="1899-12-30T00:00:00"/>
    <d v="1899-12-30T00:00:00"/>
    <n v="1"/>
    <e v="#VALUE!"/>
    <n v="0"/>
    <e v="#VALUE!"/>
    <s v=""/>
    <e v="#VALUE!"/>
    <n v="0"/>
    <e v="#VALUE!"/>
    <e v="#VALUE!"/>
    <s v=""/>
    <s v=""/>
    <s v=""/>
    <n v="0"/>
    <x v="2"/>
    <x v="5"/>
    <x v="1"/>
    <x v="1"/>
    <n v="124.3"/>
  </r>
  <r>
    <d v="2016-06-01T00:00:00"/>
    <x v="78"/>
    <x v="6"/>
    <x v="7"/>
    <s v="Compteur 7"/>
    <s v="Compteur_7"/>
    <x v="1"/>
    <d v="1899-12-30T00:00:00"/>
    <d v="1899-12-30T00:00:00"/>
    <n v="1"/>
    <e v="#VALUE!"/>
    <n v="0"/>
    <e v="#VALUE!"/>
    <s v=""/>
    <e v="#VALUE!"/>
    <n v="0"/>
    <e v="#VALUE!"/>
    <e v="#VALUE!"/>
    <s v=""/>
    <s v=""/>
    <s v=""/>
    <n v="0"/>
    <x v="2"/>
    <x v="5"/>
    <x v="1"/>
    <x v="1"/>
    <n v="47.7"/>
  </r>
  <r>
    <d v="2016-07-01T00:00:00"/>
    <x v="79"/>
    <x v="7"/>
    <x v="7"/>
    <s v="Compteur 7"/>
    <s v="Compteur_7"/>
    <x v="1"/>
    <d v="1899-12-30T00:00:00"/>
    <d v="1899-12-30T00:00:00"/>
    <n v="1"/>
    <e v="#VALUE!"/>
    <n v="0"/>
    <e v="#VALUE!"/>
    <s v=""/>
    <e v="#VALUE!"/>
    <n v="0"/>
    <e v="#VALUE!"/>
    <e v="#VALUE!"/>
    <s v=""/>
    <s v=""/>
    <s v=""/>
    <n v="0"/>
    <x v="2"/>
    <x v="5"/>
    <x v="1"/>
    <x v="1"/>
    <n v="32.299999999999997"/>
  </r>
  <r>
    <d v="2016-08-01T00:00:00"/>
    <x v="80"/>
    <x v="8"/>
    <x v="7"/>
    <s v="Compteur 7"/>
    <s v="Compteur_7"/>
    <x v="1"/>
    <d v="1899-12-30T00:00:00"/>
    <d v="1899-12-30T00:00:00"/>
    <n v="1"/>
    <e v="#VALUE!"/>
    <n v="0"/>
    <e v="#VALUE!"/>
    <s v=""/>
    <e v="#VALUE!"/>
    <n v="0"/>
    <e v="#VALUE!"/>
    <e v="#VALUE!"/>
    <s v=""/>
    <s v=""/>
    <s v=""/>
    <n v="0"/>
    <x v="2"/>
    <x v="5"/>
    <x v="1"/>
    <x v="1"/>
    <n v="33.799999999999997"/>
  </r>
  <r>
    <d v="2016-09-01T00:00:00"/>
    <x v="81"/>
    <x v="9"/>
    <x v="7"/>
    <s v="Compteur 7"/>
    <s v="Compteur_7"/>
    <x v="1"/>
    <d v="1899-12-30T00:00:00"/>
    <d v="1899-12-30T00:00:00"/>
    <n v="1"/>
    <e v="#VALUE!"/>
    <n v="0"/>
    <e v="#VALUE!"/>
    <s v=""/>
    <e v="#VALUE!"/>
    <n v="0"/>
    <e v="#VALUE!"/>
    <e v="#VALUE!"/>
    <s v=""/>
    <s v=""/>
    <s v=""/>
    <n v="0"/>
    <x v="2"/>
    <x v="5"/>
    <x v="1"/>
    <x v="1"/>
    <n v="43.5"/>
  </r>
  <r>
    <d v="2016-10-01T00:00:00"/>
    <x v="82"/>
    <x v="10"/>
    <x v="7"/>
    <s v="Compteur 7"/>
    <s v="Compteur_7"/>
    <x v="1"/>
    <d v="1899-12-30T00:00:00"/>
    <d v="1899-12-30T00:00:00"/>
    <n v="1"/>
    <e v="#VALUE!"/>
    <n v="0"/>
    <e v="#VALUE!"/>
    <s v=""/>
    <e v="#VALUE!"/>
    <n v="0"/>
    <e v="#VALUE!"/>
    <e v="#VALUE!"/>
    <s v=""/>
    <s v=""/>
    <s v=""/>
    <n v="0"/>
    <x v="2"/>
    <x v="5"/>
    <x v="1"/>
    <x v="1"/>
    <n v="202.6"/>
  </r>
  <r>
    <d v="2016-11-01T00:00:00"/>
    <x v="83"/>
    <x v="11"/>
    <x v="7"/>
    <s v="Compteur 7"/>
    <s v="Compteur_7"/>
    <x v="1"/>
    <d v="1899-12-30T00:00:00"/>
    <d v="1899-12-30T00:00:00"/>
    <n v="1"/>
    <e v="#VALUE!"/>
    <n v="0"/>
    <e v="#VALUE!"/>
    <s v=""/>
    <e v="#VALUE!"/>
    <n v="0"/>
    <e v="#VALUE!"/>
    <e v="#VALUE!"/>
    <s v=""/>
    <s v=""/>
    <s v=""/>
    <n v="0"/>
    <x v="2"/>
    <x v="5"/>
    <x v="1"/>
    <x v="1"/>
    <n v="289.2"/>
  </r>
  <r>
    <d v="2016-12-01T00:00:00"/>
    <x v="84"/>
    <x v="12"/>
    <x v="7"/>
    <s v="Compteur 7"/>
    <s v="Compteur_7"/>
    <x v="1"/>
    <d v="1899-12-30T00:00:00"/>
    <d v="1899-12-30T00:00:00"/>
    <n v="1"/>
    <e v="#VALUE!"/>
    <n v="0"/>
    <e v="#VALUE!"/>
    <s v=""/>
    <e v="#VALUE!"/>
    <n v="0"/>
    <e v="#VALUE!"/>
    <e v="#VALUE!"/>
    <s v=""/>
    <s v=""/>
    <s v=""/>
    <n v="0"/>
    <x v="2"/>
    <x v="5"/>
    <x v="1"/>
    <x v="1"/>
    <n v="370.4"/>
  </r>
  <r>
    <d v="2017-01-01T00:00:00"/>
    <x v="85"/>
    <x v="1"/>
    <x v="8"/>
    <s v="Compteur 7"/>
    <s v="Compteur_7"/>
    <x v="1"/>
    <d v="1899-12-30T00:00:00"/>
    <d v="1899-12-30T00:00:00"/>
    <n v="1"/>
    <e v="#VALUE!"/>
    <n v="0"/>
    <e v="#VALUE!"/>
    <s v=""/>
    <e v="#VALUE!"/>
    <n v="0"/>
    <e v="#VALUE!"/>
    <e v="#VALUE!"/>
    <s v=""/>
    <s v=""/>
    <s v=""/>
    <n v="0"/>
    <x v="2"/>
    <x v="5"/>
    <x v="1"/>
    <x v="1"/>
    <n v="451.9"/>
  </r>
  <r>
    <d v="2017-02-01T00:00:00"/>
    <x v="86"/>
    <x v="2"/>
    <x v="8"/>
    <s v="Compteur 7"/>
    <s v="Compteur_7"/>
    <x v="1"/>
    <d v="1899-12-30T00:00:00"/>
    <d v="1899-12-30T00:00:00"/>
    <n v="1"/>
    <e v="#VALUE!"/>
    <n v="0"/>
    <e v="#VALUE!"/>
    <s v=""/>
    <e v="#VALUE!"/>
    <n v="0"/>
    <e v="#VALUE!"/>
    <e v="#VALUE!"/>
    <s v=""/>
    <s v=""/>
    <s v=""/>
    <n v="0"/>
    <x v="2"/>
    <x v="5"/>
    <x v="1"/>
    <x v="1"/>
    <n v="287.8"/>
  </r>
  <r>
    <d v="2017-03-01T00:00:00"/>
    <x v="87"/>
    <x v="3"/>
    <x v="8"/>
    <s v="Compteur 7"/>
    <s v="Compteur_7"/>
    <x v="1"/>
    <d v="1899-12-30T00:00:00"/>
    <d v="1899-12-30T00:00:00"/>
    <n v="1"/>
    <e v="#VALUE!"/>
    <n v="0"/>
    <e v="#VALUE!"/>
    <s v=""/>
    <e v="#VALUE!"/>
    <n v="0"/>
    <e v="#VALUE!"/>
    <e v="#VALUE!"/>
    <s v=""/>
    <s v=""/>
    <s v=""/>
    <n v="0"/>
    <x v="2"/>
    <x v="5"/>
    <x v="1"/>
    <x v="1"/>
    <n v="226.3"/>
  </r>
  <r>
    <d v="2017-04-01T00:00:00"/>
    <x v="88"/>
    <x v="4"/>
    <x v="8"/>
    <s v="Compteur 7"/>
    <s v="Compteur_7"/>
    <x v="1"/>
    <d v="1899-12-30T00:00:00"/>
    <d v="1899-12-30T00:00:00"/>
    <n v="1"/>
    <e v="#VALUE!"/>
    <n v="0"/>
    <e v="#VALUE!"/>
    <s v=""/>
    <e v="#VALUE!"/>
    <n v="0"/>
    <e v="#VALUE!"/>
    <e v="#VALUE!"/>
    <s v=""/>
    <s v=""/>
    <s v=""/>
    <n v="0"/>
    <x v="2"/>
    <x v="5"/>
    <x v="1"/>
    <x v="1"/>
    <n v="227.8"/>
  </r>
  <r>
    <d v="2017-05-01T00:00:00"/>
    <x v="89"/>
    <x v="5"/>
    <x v="8"/>
    <s v="Compteur 7"/>
    <s v="Compteur_7"/>
    <x v="1"/>
    <d v="1899-12-30T00:00:00"/>
    <d v="1899-12-30T00:00:00"/>
    <n v="1"/>
    <e v="#VALUE!"/>
    <n v="0"/>
    <e v="#VALUE!"/>
    <s v=""/>
    <e v="#VALUE!"/>
    <n v="0"/>
    <e v="#VALUE!"/>
    <e v="#VALUE!"/>
    <s v=""/>
    <s v=""/>
    <s v=""/>
    <n v="0"/>
    <x v="2"/>
    <x v="5"/>
    <x v="1"/>
    <x v="1"/>
    <n v="98"/>
  </r>
  <r>
    <d v="2017-06-01T00:00:00"/>
    <x v="90"/>
    <x v="6"/>
    <x v="8"/>
    <s v="Compteur 7"/>
    <s v="Compteur_7"/>
    <x v="1"/>
    <d v="1899-12-30T00:00:00"/>
    <d v="1899-12-30T00:00:00"/>
    <n v="1"/>
    <e v="#VALUE!"/>
    <n v="0"/>
    <e v="#VALUE!"/>
    <s v=""/>
    <e v="#VALUE!"/>
    <n v="0"/>
    <e v="#VALUE!"/>
    <e v="#VALUE!"/>
    <s v=""/>
    <s v=""/>
    <s v=""/>
    <n v="0"/>
    <x v="2"/>
    <x v="5"/>
    <x v="1"/>
    <x v="1"/>
    <n v="30.9"/>
  </r>
  <r>
    <d v="2017-07-01T00:00:00"/>
    <x v="91"/>
    <x v="7"/>
    <x v="8"/>
    <s v="Compteur 7"/>
    <s v="Compteur_7"/>
    <x v="1"/>
    <d v="1899-12-30T00:00:00"/>
    <d v="1899-12-30T00:00:00"/>
    <n v="1"/>
    <e v="#VALUE!"/>
    <n v="0"/>
    <e v="#VALUE!"/>
    <s v=""/>
    <e v="#VALUE!"/>
    <n v="0"/>
    <e v="#VALUE!"/>
    <e v="#VALUE!"/>
    <s v=""/>
    <s v=""/>
    <s v=""/>
    <n v="0"/>
    <x v="2"/>
    <x v="5"/>
    <x v="1"/>
    <x v="1"/>
    <n v="23.6"/>
  </r>
  <r>
    <d v="2017-08-01T00:00:00"/>
    <x v="92"/>
    <x v="8"/>
    <x v="8"/>
    <s v="Compteur 7"/>
    <s v="Compteur_7"/>
    <x v="1"/>
    <d v="1899-12-30T00:00:00"/>
    <d v="1899-12-30T00:00:00"/>
    <n v="1"/>
    <e v="#VALUE!"/>
    <n v="0"/>
    <e v="#VALUE!"/>
    <s v=""/>
    <e v="#VALUE!"/>
    <n v="0"/>
    <e v="#VALUE!"/>
    <e v="#VALUE!"/>
    <s v=""/>
    <s v=""/>
    <s v=""/>
    <n v="0"/>
    <x v="2"/>
    <x v="5"/>
    <x v="1"/>
    <x v="1"/>
    <n v="32.200000000000003"/>
  </r>
  <r>
    <d v="2017-09-01T00:00:00"/>
    <x v="93"/>
    <x v="9"/>
    <x v="8"/>
    <s v="Compteur 7"/>
    <s v="Compteur_7"/>
    <x v="1"/>
    <d v="1899-12-30T00:00:00"/>
    <d v="1899-12-30T00:00:00"/>
    <n v="1"/>
    <e v="#VALUE!"/>
    <n v="0"/>
    <e v="#VALUE!"/>
    <s v=""/>
    <e v="#VALUE!"/>
    <n v="0"/>
    <e v="#VALUE!"/>
    <e v="#VALUE!"/>
    <s v=""/>
    <s v=""/>
    <s v=""/>
    <n v="0"/>
    <x v="2"/>
    <x v="5"/>
    <x v="1"/>
    <x v="1"/>
    <n v="82.3"/>
  </r>
  <r>
    <d v="2017-10-01T00:00:00"/>
    <x v="94"/>
    <x v="10"/>
    <x v="8"/>
    <s v="Compteur 7"/>
    <s v="Compteur_7"/>
    <x v="1"/>
    <d v="1899-12-30T00:00:00"/>
    <d v="1899-12-30T00:00:00"/>
    <n v="1"/>
    <e v="#VALUE!"/>
    <n v="0"/>
    <e v="#VALUE!"/>
    <s v=""/>
    <e v="#VALUE!"/>
    <n v="0"/>
    <e v="#VALUE!"/>
    <e v="#VALUE!"/>
    <s v=""/>
    <s v=""/>
    <s v=""/>
    <n v="0"/>
    <x v="2"/>
    <x v="5"/>
    <x v="1"/>
    <x v="1"/>
    <n v="126.4"/>
  </r>
  <r>
    <d v="2017-11-01T00:00:00"/>
    <x v="95"/>
    <x v="11"/>
    <x v="8"/>
    <s v="Compteur 7"/>
    <s v="Compteur_7"/>
    <x v="1"/>
    <d v="1899-12-30T00:00:00"/>
    <d v="1899-12-30T00:00:00"/>
    <n v="1"/>
    <e v="#VALUE!"/>
    <n v="0"/>
    <e v="#VALUE!"/>
    <s v=""/>
    <e v="#VALUE!"/>
    <n v="0"/>
    <e v="#VALUE!"/>
    <e v="#VALUE!"/>
    <s v=""/>
    <s v=""/>
    <s v=""/>
    <n v="0"/>
    <x v="2"/>
    <x v="5"/>
    <x v="1"/>
    <x v="1"/>
    <n v="289.89999999999998"/>
  </r>
  <r>
    <d v="2017-12-01T00:00:00"/>
    <x v="96"/>
    <x v="12"/>
    <x v="8"/>
    <s v="Compteur 7"/>
    <s v="Compteur_7"/>
    <x v="1"/>
    <d v="1899-12-30T00:00:00"/>
    <d v="1899-12-30T00:00:00"/>
    <n v="1"/>
    <e v="#VALUE!"/>
    <n v="0"/>
    <e v="#VALUE!"/>
    <s v=""/>
    <e v="#VALUE!"/>
    <n v="0"/>
    <e v="#VALUE!"/>
    <e v="#VALUE!"/>
    <s v=""/>
    <s v=""/>
    <s v=""/>
    <n v="0"/>
    <x v="2"/>
    <x v="5"/>
    <x v="1"/>
    <x v="1"/>
    <n v="366.2"/>
  </r>
  <r>
    <d v="2018-01-01T00:00:00"/>
    <x v="97"/>
    <x v="1"/>
    <x v="9"/>
    <s v="Compteur 7"/>
    <s v="Compteur_7"/>
    <x v="1"/>
    <d v="1899-12-30T00:00:00"/>
    <d v="1899-12-30T00:00:00"/>
    <n v="1"/>
    <e v="#VALUE!"/>
    <n v="0"/>
    <e v="#VALUE!"/>
    <s v=""/>
    <e v="#VALUE!"/>
    <n v="0"/>
    <e v="#VALUE!"/>
    <e v="#VALUE!"/>
    <s v=""/>
    <s v=""/>
    <s v=""/>
    <n v="0"/>
    <x v="2"/>
    <x v="5"/>
    <x v="1"/>
    <x v="1"/>
    <n v="298.60000000000002"/>
  </r>
  <r>
    <d v="2018-02-01T00:00:00"/>
    <x v="98"/>
    <x v="2"/>
    <x v="9"/>
    <s v="Compteur 7"/>
    <s v="Compteur_7"/>
    <x v="1"/>
    <d v="1899-12-30T00:00:00"/>
    <d v="1899-12-30T00:00:00"/>
    <n v="1"/>
    <e v="#VALUE!"/>
    <n v="0"/>
    <e v="#VALUE!"/>
    <s v=""/>
    <e v="#VALUE!"/>
    <n v="0"/>
    <e v="#VALUE!"/>
    <e v="#VALUE!"/>
    <s v=""/>
    <s v=""/>
    <s v=""/>
    <n v="0"/>
    <x v="2"/>
    <x v="5"/>
    <x v="1"/>
    <x v="1"/>
    <n v="415.2"/>
  </r>
  <r>
    <d v="2018-03-01T00:00:00"/>
    <x v="99"/>
    <x v="3"/>
    <x v="9"/>
    <s v="Compteur 7"/>
    <s v="Compteur_7"/>
    <x v="1"/>
    <d v="1899-12-30T00:00:00"/>
    <d v="1899-12-30T00:00:00"/>
    <n v="1"/>
    <e v="#VALUE!"/>
    <n v="0"/>
    <e v="#VALUE!"/>
    <s v=""/>
    <e v="#VALUE!"/>
    <n v="0"/>
    <e v="#VALUE!"/>
    <e v="#VALUE!"/>
    <s v=""/>
    <s v=""/>
    <s v=""/>
    <n v="0"/>
    <x v="2"/>
    <x v="5"/>
    <x v="1"/>
    <x v="1"/>
    <n v="305.39999999999998"/>
  </r>
  <r>
    <d v="2018-04-01T00:00:00"/>
    <x v="100"/>
    <x v="4"/>
    <x v="9"/>
    <s v="Compteur 7"/>
    <s v="Compteur_7"/>
    <x v="1"/>
    <d v="1899-12-30T00:00:00"/>
    <d v="1899-12-30T00:00:00"/>
    <n v="1"/>
    <e v="#VALUE!"/>
    <n v="0"/>
    <e v="#VALUE!"/>
    <s v=""/>
    <e v="#VALUE!"/>
    <n v="0"/>
    <e v="#VALUE!"/>
    <e v="#VALUE!"/>
    <s v=""/>
    <s v=""/>
    <s v=""/>
    <n v="0"/>
    <x v="2"/>
    <x v="5"/>
    <x v="1"/>
    <x v="1"/>
    <n v="152.19999999999999"/>
  </r>
  <r>
    <d v="2018-05-01T00:00:00"/>
    <x v="101"/>
    <x v="5"/>
    <x v="9"/>
    <s v="Compteur 7"/>
    <s v="Compteur_7"/>
    <x v="1"/>
    <d v="1899-12-30T00:00:00"/>
    <d v="1899-12-30T00:00:00"/>
    <n v="1"/>
    <e v="#VALUE!"/>
    <n v="0"/>
    <e v="#VALUE!"/>
    <s v=""/>
    <e v="#VALUE!"/>
    <n v="0"/>
    <e v="#VALUE!"/>
    <e v="#VALUE!"/>
    <s v=""/>
    <s v=""/>
    <s v=""/>
    <n v="0"/>
    <x v="2"/>
    <x v="5"/>
    <x v="1"/>
    <x v="1"/>
    <n v="95.8"/>
  </r>
  <r>
    <d v="2018-06-01T00:00:00"/>
    <x v="102"/>
    <x v="6"/>
    <x v="9"/>
    <s v="Compteur 7"/>
    <s v="Compteur_7"/>
    <x v="1"/>
    <d v="1899-12-30T00:00:00"/>
    <d v="1899-12-30T00:00:00"/>
    <n v="1"/>
    <e v="#VALUE!"/>
    <n v="0"/>
    <e v="#VALUE!"/>
    <s v=""/>
    <e v="#VALUE!"/>
    <n v="0"/>
    <e v="#VALUE!"/>
    <e v="#VALUE!"/>
    <s v=""/>
    <s v=""/>
    <s v=""/>
    <n v="0"/>
    <x v="2"/>
    <x v="5"/>
    <x v="1"/>
    <x v="1"/>
    <n v="25.4"/>
  </r>
  <r>
    <d v="2018-07-01T00:00:00"/>
    <x v="103"/>
    <x v="7"/>
    <x v="9"/>
    <s v="Compteur 7"/>
    <s v="Compteur_7"/>
    <x v="1"/>
    <d v="1899-12-30T00:00:00"/>
    <d v="1899-12-30T00:00:00"/>
    <n v="1"/>
    <e v="#VALUE!"/>
    <n v="0"/>
    <e v="#VALUE!"/>
    <s v=""/>
    <e v="#VALUE!"/>
    <n v="0"/>
    <e v="#VALUE!"/>
    <e v="#VALUE!"/>
    <s v=""/>
    <s v=""/>
    <s v=""/>
    <n v="0"/>
    <x v="2"/>
    <x v="5"/>
    <x v="1"/>
    <x v="1"/>
    <n v="5.9"/>
  </r>
  <r>
    <d v="2018-08-01T00:00:00"/>
    <x v="104"/>
    <x v="8"/>
    <x v="9"/>
    <s v="Compteur 7"/>
    <s v="Compteur_7"/>
    <x v="1"/>
    <d v="1899-12-30T00:00:00"/>
    <d v="1899-12-30T00:00:00"/>
    <n v="1"/>
    <e v="#VALUE!"/>
    <n v="0"/>
    <e v="#VALUE!"/>
    <s v=""/>
    <e v="#VALUE!"/>
    <n v="0"/>
    <e v="#VALUE!"/>
    <e v="#VALUE!"/>
    <s v=""/>
    <s v=""/>
    <s v=""/>
    <n v="0"/>
    <x v="2"/>
    <x v="5"/>
    <x v="1"/>
    <x v="1"/>
    <n v="26"/>
  </r>
  <r>
    <d v="2018-09-01T00:00:00"/>
    <x v="105"/>
    <x v="9"/>
    <x v="9"/>
    <s v="Compteur 7"/>
    <s v="Compteur_7"/>
    <x v="1"/>
    <d v="1899-12-30T00:00:00"/>
    <d v="1899-12-30T00:00:00"/>
    <n v="1"/>
    <e v="#VALUE!"/>
    <n v="0"/>
    <e v="#VALUE!"/>
    <s v=""/>
    <e v="#VALUE!"/>
    <n v="0"/>
    <e v="#VALUE!"/>
    <e v="#VALUE!"/>
    <s v=""/>
    <s v=""/>
    <s v=""/>
    <n v="0"/>
    <x v="2"/>
    <x v="5"/>
    <x v="1"/>
    <x v="1"/>
    <n v="73.599999999999994"/>
  </r>
  <r>
    <d v="2018-10-01T00:00:00"/>
    <x v="106"/>
    <x v="10"/>
    <x v="9"/>
    <s v="Compteur 7"/>
    <s v="Compteur_7"/>
    <x v="1"/>
    <d v="1899-12-30T00:00:00"/>
    <d v="1899-12-30T00:00:00"/>
    <n v="1"/>
    <e v="#VALUE!"/>
    <n v="0"/>
    <e v="#VALUE!"/>
    <s v=""/>
    <e v="#VALUE!"/>
    <n v="0"/>
    <e v="#VALUE!"/>
    <e v="#VALUE!"/>
    <s v=""/>
    <s v=""/>
    <s v=""/>
    <n v="0"/>
    <x v="2"/>
    <x v="5"/>
    <x v="1"/>
    <x v="1"/>
    <n v="157.5"/>
  </r>
  <r>
    <d v="2018-11-01T00:00:00"/>
    <x v="107"/>
    <x v="11"/>
    <x v="9"/>
    <s v="Compteur 7"/>
    <s v="Compteur_7"/>
    <x v="1"/>
    <d v="1899-12-30T00:00:00"/>
    <d v="1899-12-30T00:00:00"/>
    <n v="1"/>
    <e v="#VALUE!"/>
    <n v="0"/>
    <e v="#VALUE!"/>
    <s v=""/>
    <e v="#VALUE!"/>
    <n v="0"/>
    <e v="#VALUE!"/>
    <e v="#VALUE!"/>
    <s v=""/>
    <s v=""/>
    <s v=""/>
    <n v="0"/>
    <x v="2"/>
    <x v="5"/>
    <x v="1"/>
    <x v="1"/>
    <n v="278"/>
  </r>
  <r>
    <d v="2018-12-01T00:00:00"/>
    <x v="108"/>
    <x v="12"/>
    <x v="9"/>
    <s v="Compteur 7"/>
    <s v="Compteur_7"/>
    <x v="1"/>
    <d v="1899-12-30T00:00:00"/>
    <d v="1899-12-30T00:00:00"/>
    <n v="1"/>
    <e v="#VALUE!"/>
    <n v="0"/>
    <e v="#VALUE!"/>
    <s v=""/>
    <e v="#VALUE!"/>
    <n v="0"/>
    <e v="#VALUE!"/>
    <e v="#VALUE!"/>
    <s v=""/>
    <s v=""/>
    <s v=""/>
    <n v="0"/>
    <x v="2"/>
    <x v="5"/>
    <x v="1"/>
    <x v="1"/>
    <n v="319.2"/>
  </r>
  <r>
    <d v="2019-01-01T00:00:00"/>
    <x v="109"/>
    <x v="1"/>
    <x v="10"/>
    <s v="Compteur 7"/>
    <s v="Compteur_7"/>
    <x v="1"/>
    <d v="1899-12-30T00:00:00"/>
    <d v="1899-12-30T00:00:00"/>
    <n v="1"/>
    <e v="#VALUE!"/>
    <n v="0"/>
    <e v="#VALUE!"/>
    <s v=""/>
    <e v="#VALUE!"/>
    <n v="0"/>
    <e v="#VALUE!"/>
    <e v="#VALUE!"/>
    <s v=""/>
    <s v=""/>
    <s v=""/>
    <n v="0"/>
    <x v="2"/>
    <x v="5"/>
    <x v="1"/>
    <x v="1"/>
    <n v="402.2"/>
  </r>
  <r>
    <d v="2019-02-01T00:00:00"/>
    <x v="110"/>
    <x v="2"/>
    <x v="10"/>
    <s v="Compteur 7"/>
    <s v="Compteur_7"/>
    <x v="1"/>
    <d v="1899-12-30T00:00:00"/>
    <d v="1899-12-30T00:00:00"/>
    <n v="1"/>
    <e v="#VALUE!"/>
    <n v="0"/>
    <e v="#VALUE!"/>
    <s v=""/>
    <e v="#VALUE!"/>
    <n v="0"/>
    <e v="#VALUE!"/>
    <e v="#VALUE!"/>
    <s v=""/>
    <s v=""/>
    <s v=""/>
    <n v="0"/>
    <x v="2"/>
    <x v="5"/>
    <x v="1"/>
    <x v="1"/>
    <n v="297.3"/>
  </r>
  <r>
    <d v="2019-03-01T00:00:00"/>
    <x v="111"/>
    <x v="3"/>
    <x v="10"/>
    <s v="Compteur 7"/>
    <s v="Compteur_7"/>
    <x v="1"/>
    <d v="1899-12-30T00:00:00"/>
    <d v="1899-12-30T00:00:00"/>
    <n v="1"/>
    <e v="#VALUE!"/>
    <n v="0"/>
    <e v="#VALUE!"/>
    <s v=""/>
    <e v="#VALUE!"/>
    <n v="0"/>
    <e v="#VALUE!"/>
    <e v="#VALUE!"/>
    <s v=""/>
    <s v=""/>
    <s v=""/>
    <n v="0"/>
    <x v="2"/>
    <x v="5"/>
    <x v="1"/>
    <x v="1"/>
    <n v="260.39999999999998"/>
  </r>
  <r>
    <d v="2019-04-01T00:00:00"/>
    <x v="112"/>
    <x v="4"/>
    <x v="10"/>
    <s v="Compteur 7"/>
    <s v="Compteur_7"/>
    <x v="1"/>
    <d v="1899-12-30T00:00:00"/>
    <d v="1899-12-30T00:00:00"/>
    <n v="1"/>
    <e v="#VALUE!"/>
    <n v="0"/>
    <e v="#VALUE!"/>
    <s v=""/>
    <e v="#VALUE!"/>
    <n v="0"/>
    <e v="#VALUE!"/>
    <e v="#VALUE!"/>
    <s v=""/>
    <s v=""/>
    <s v=""/>
    <n v="0"/>
    <x v="2"/>
    <x v="5"/>
    <x v="1"/>
    <x v="1"/>
    <n v="201.4"/>
  </r>
  <r>
    <d v="2019-05-01T00:00:00"/>
    <x v="113"/>
    <x v="5"/>
    <x v="10"/>
    <s v="Compteur 7"/>
    <s v="Compteur_7"/>
    <x v="1"/>
    <d v="1899-12-30T00:00:00"/>
    <d v="1899-12-30T00:00:00"/>
    <n v="1"/>
    <e v="#VALUE!"/>
    <n v="0"/>
    <e v="#VALUE!"/>
    <s v=""/>
    <e v="#VALUE!"/>
    <n v="0"/>
    <e v="#VALUE!"/>
    <e v="#VALUE!"/>
    <s v=""/>
    <s v=""/>
    <s v=""/>
    <n v="0"/>
    <x v="2"/>
    <x v="5"/>
    <x v="1"/>
    <x v="1"/>
    <n v="147.9"/>
  </r>
  <r>
    <d v="2019-06-01T00:00:00"/>
    <x v="114"/>
    <x v="6"/>
    <x v="10"/>
    <s v="Compteur 7"/>
    <s v="Compteur_7"/>
    <x v="1"/>
    <d v="1899-12-30T00:00:00"/>
    <d v="1899-12-30T00:00:00"/>
    <n v="1"/>
    <e v="#VALUE!"/>
    <n v="0"/>
    <e v="#VALUE!"/>
    <s v=""/>
    <e v="#VALUE!"/>
    <n v="0"/>
    <e v="#VALUE!"/>
    <e v="#VALUE!"/>
    <s v=""/>
    <s v=""/>
    <s v=""/>
    <n v="0"/>
    <x v="2"/>
    <x v="5"/>
    <x v="1"/>
    <x v="1"/>
    <n v="54.1"/>
  </r>
  <r>
    <d v="2019-07-01T00:00:00"/>
    <x v="115"/>
    <x v="7"/>
    <x v="10"/>
    <s v="Compteur 7"/>
    <s v="Compteur_7"/>
    <x v="1"/>
    <d v="1899-12-30T00:00:00"/>
    <d v="1899-12-30T00:00:00"/>
    <n v="1"/>
    <e v="#VALUE!"/>
    <n v="0"/>
    <e v="#VALUE!"/>
    <s v=""/>
    <e v="#VALUE!"/>
    <n v="0"/>
    <e v="#VALUE!"/>
    <e v="#VALUE!"/>
    <s v=""/>
    <s v=""/>
    <s v=""/>
    <n v="0"/>
    <x v="2"/>
    <x v="5"/>
    <x v="1"/>
    <x v="1"/>
    <n v="15.5"/>
  </r>
  <r>
    <d v="2019-08-01T00:00:00"/>
    <x v="116"/>
    <x v="8"/>
    <x v="10"/>
    <s v="Compteur 7"/>
    <s v="Compteur_7"/>
    <x v="1"/>
    <d v="1899-12-30T00:00:00"/>
    <d v="1899-12-30T00:00:00"/>
    <n v="1"/>
    <e v="#VALUE!"/>
    <n v="0"/>
    <e v="#VALUE!"/>
    <s v=""/>
    <e v="#VALUE!"/>
    <n v="0"/>
    <e v="#VALUE!"/>
    <e v="#VALUE!"/>
    <s v=""/>
    <s v=""/>
    <s v=""/>
    <n v="0"/>
    <x v="2"/>
    <x v="5"/>
    <x v="1"/>
    <x v="1"/>
    <n v="30.2"/>
  </r>
  <r>
    <d v="2019-09-01T00:00:00"/>
    <x v="117"/>
    <x v="9"/>
    <x v="10"/>
    <s v="Compteur 7"/>
    <s v="Compteur_7"/>
    <x v="1"/>
    <d v="1899-12-30T00:00:00"/>
    <d v="1899-12-30T00:00:00"/>
    <n v="1"/>
    <e v="#VALUE!"/>
    <n v="0"/>
    <e v="#VALUE!"/>
    <s v=""/>
    <e v="#VALUE!"/>
    <n v="0"/>
    <e v="#VALUE!"/>
    <e v="#VALUE!"/>
    <s v=""/>
    <s v=""/>
    <s v=""/>
    <n v="0"/>
    <x v="2"/>
    <x v="5"/>
    <x v="1"/>
    <x v="1"/>
    <n v="64.7"/>
  </r>
  <r>
    <d v="2019-10-01T00:00:00"/>
    <x v="118"/>
    <x v="10"/>
    <x v="10"/>
    <s v="Compteur 7"/>
    <s v="Compteur_7"/>
    <x v="1"/>
    <d v="1899-12-30T00:00:00"/>
    <d v="1899-12-30T00:00:00"/>
    <n v="1"/>
    <e v="#VALUE!"/>
    <n v="0"/>
    <e v="#VALUE!"/>
    <s v=""/>
    <e v="#VALUE!"/>
    <n v="0"/>
    <e v="#VALUE!"/>
    <e v="#VALUE!"/>
    <s v=""/>
    <s v=""/>
    <s v=""/>
    <n v="0"/>
    <x v="2"/>
    <x v="5"/>
    <x v="1"/>
    <x v="1"/>
    <n v="128.80000000000001"/>
  </r>
  <r>
    <d v="2019-11-01T00:00:00"/>
    <x v="119"/>
    <x v="11"/>
    <x v="10"/>
    <s v="Compteur 7"/>
    <s v="Compteur_7"/>
    <x v="1"/>
    <d v="1899-12-30T00:00:00"/>
    <d v="1899-12-30T00:00:00"/>
    <n v="1"/>
    <e v="#VALUE!"/>
    <n v="0"/>
    <e v="#VALUE!"/>
    <s v=""/>
    <e v="#VALUE!"/>
    <n v="0"/>
    <e v="#VALUE!"/>
    <e v="#VALUE!"/>
    <s v=""/>
    <s v=""/>
    <s v=""/>
    <n v="0"/>
    <x v="2"/>
    <x v="5"/>
    <x v="1"/>
    <x v="1"/>
    <n v="293.10000000000002"/>
  </r>
  <r>
    <d v="2019-12-01T00:00:00"/>
    <x v="120"/>
    <x v="12"/>
    <x v="10"/>
    <s v="Compteur 7"/>
    <s v="Compteur_7"/>
    <x v="1"/>
    <d v="1899-12-30T00:00:00"/>
    <d v="1899-12-30T00:00:00"/>
    <n v="1"/>
    <e v="#VALUE!"/>
    <n v="0"/>
    <e v="#VALUE!"/>
    <s v=""/>
    <e v="#VALUE!"/>
    <n v="0"/>
    <e v="#VALUE!"/>
    <e v="#VALUE!"/>
    <s v=""/>
    <s v=""/>
    <s v=""/>
    <n v="0"/>
    <x v="2"/>
    <x v="5"/>
    <x v="1"/>
    <x v="1"/>
    <n v="323"/>
  </r>
  <r>
    <d v="2020-01-01T00:00:00"/>
    <x v="121"/>
    <x v="1"/>
    <x v="11"/>
    <s v="Compteur 7"/>
    <s v="Compteur_7"/>
    <x v="1"/>
    <d v="1899-12-30T00:00:00"/>
    <d v="1899-12-30T00:00:00"/>
    <n v="1"/>
    <e v="#VALUE!"/>
    <n v="0"/>
    <e v="#VALUE!"/>
    <s v=""/>
    <e v="#VALUE!"/>
    <n v="0"/>
    <e v="#VALUE!"/>
    <e v="#VALUE!"/>
    <s v=""/>
    <s v=""/>
    <s v=""/>
    <n v="0"/>
    <x v="2"/>
    <x v="5"/>
    <x v="1"/>
    <x v="1"/>
    <n v="331.5"/>
  </r>
  <r>
    <d v="2020-02-01T00:00:00"/>
    <x v="122"/>
    <x v="2"/>
    <x v="11"/>
    <s v="Compteur 7"/>
    <s v="Compteur_7"/>
    <x v="1"/>
    <d v="1899-12-30T00:00:00"/>
    <d v="1899-12-30T00:00:00"/>
    <n v="1"/>
    <e v="#VALUE!"/>
    <n v="0"/>
    <e v="#VALUE!"/>
    <s v=""/>
    <e v="#VALUE!"/>
    <n v="0"/>
    <e v="#VALUE!"/>
    <e v="#VALUE!"/>
    <s v=""/>
    <s v=""/>
    <s v=""/>
    <n v="0"/>
    <x v="2"/>
    <x v="5"/>
    <x v="1"/>
    <x v="1"/>
    <n v="251.6"/>
  </r>
  <r>
    <d v="2020-03-01T00:00:00"/>
    <x v="123"/>
    <x v="3"/>
    <x v="11"/>
    <s v="Compteur 7"/>
    <s v="Compteur_7"/>
    <x v="1"/>
    <d v="1899-12-30T00:00:00"/>
    <d v="1899-12-30T00:00:00"/>
    <n v="1"/>
    <e v="#VALUE!"/>
    <n v="0"/>
    <e v="#VALUE!"/>
    <s v=""/>
    <e v="#VALUE!"/>
    <n v="0"/>
    <e v="#VALUE!"/>
    <e v="#VALUE!"/>
    <s v=""/>
    <s v=""/>
    <s v=""/>
    <n v="0"/>
    <x v="2"/>
    <x v="5"/>
    <x v="1"/>
    <x v="1"/>
    <n v="272.60000000000002"/>
  </r>
  <r>
    <d v="2020-04-01T00:00:00"/>
    <x v="124"/>
    <x v="4"/>
    <x v="11"/>
    <s v="Compteur 7"/>
    <s v="Compteur_7"/>
    <x v="1"/>
    <d v="1899-12-30T00:00:00"/>
    <d v="1899-12-30T00:00:00"/>
    <n v="1"/>
    <e v="#VALUE!"/>
    <n v="0"/>
    <e v="#VALUE!"/>
    <s v=""/>
    <e v="#VALUE!"/>
    <n v="0"/>
    <e v="#VALUE!"/>
    <e v="#VALUE!"/>
    <s v=""/>
    <s v=""/>
    <s v=""/>
    <n v="0"/>
    <x v="2"/>
    <x v="5"/>
    <x v="1"/>
    <x v="1"/>
    <n v="126.3"/>
  </r>
  <r>
    <d v="2020-05-01T00:00:00"/>
    <x v="125"/>
    <x v="5"/>
    <x v="11"/>
    <s v="Compteur 7"/>
    <s v="Compteur_7"/>
    <x v="1"/>
    <d v="1899-12-30T00:00:00"/>
    <d v="1899-12-30T00:00:00"/>
    <n v="1"/>
    <e v="#VALUE!"/>
    <n v="0"/>
    <e v="#VALUE!"/>
    <s v=""/>
    <e v="#VALUE!"/>
    <n v="0"/>
    <e v="#VALUE!"/>
    <e v="#VALUE!"/>
    <s v=""/>
    <s v=""/>
    <s v=""/>
    <n v="0"/>
    <x v="2"/>
    <x v="5"/>
    <x v="1"/>
    <x v="1"/>
    <n v="91.8"/>
  </r>
  <r>
    <d v="2020-06-01T00:00:00"/>
    <x v="126"/>
    <x v="6"/>
    <x v="11"/>
    <s v="Compteur 7"/>
    <s v="Compteur_7"/>
    <x v="1"/>
    <d v="1899-12-30T00:00:00"/>
    <d v="1899-12-30T00:00:00"/>
    <n v="1"/>
    <e v="#VALUE!"/>
    <n v="0"/>
    <e v="#VALUE!"/>
    <s v=""/>
    <e v="#VALUE!"/>
    <n v="0"/>
    <e v="#VALUE!"/>
    <e v="#VALUE!"/>
    <s v=""/>
    <s v=""/>
    <s v=""/>
    <n v="0"/>
    <x v="2"/>
    <x v="5"/>
    <x v="1"/>
    <x v="1"/>
    <n v="55.6"/>
  </r>
  <r>
    <d v="2020-07-01T00:00:00"/>
    <x v="127"/>
    <x v="7"/>
    <x v="11"/>
    <s v="Compteur 7"/>
    <s v="Compteur_7"/>
    <x v="1"/>
    <d v="1899-12-30T00:00:00"/>
    <d v="1899-12-30T00:00:00"/>
    <n v="1"/>
    <e v="#VALUE!"/>
    <n v="0"/>
    <e v="#VALUE!"/>
    <s v=""/>
    <e v="#VALUE!"/>
    <n v="0"/>
    <e v="#VALUE!"/>
    <e v="#VALUE!"/>
    <s v=""/>
    <s v=""/>
    <s v=""/>
    <n v="0"/>
    <x v="2"/>
    <x v="5"/>
    <x v="1"/>
    <x v="1"/>
    <n v="32.299999999999997"/>
  </r>
  <r>
    <d v="2020-08-01T00:00:00"/>
    <x v="128"/>
    <x v="8"/>
    <x v="11"/>
    <s v="Compteur 7"/>
    <s v="Compteur_7"/>
    <x v="1"/>
    <d v="1899-12-30T00:00:00"/>
    <d v="1899-12-30T00:00:00"/>
    <n v="1"/>
    <e v="#VALUE!"/>
    <n v="0"/>
    <e v="#VALUE!"/>
    <s v=""/>
    <e v="#VALUE!"/>
    <n v="0"/>
    <e v="#VALUE!"/>
    <e v="#VALUE!"/>
    <s v=""/>
    <s v=""/>
    <s v=""/>
    <n v="0"/>
    <x v="2"/>
    <x v="5"/>
    <x v="1"/>
    <x v="1"/>
    <n v="27.8"/>
  </r>
  <r>
    <d v="2020-09-01T00:00:00"/>
    <x v="129"/>
    <x v="9"/>
    <x v="11"/>
    <s v="Compteur 7"/>
    <s v="Compteur_7"/>
    <x v="1"/>
    <d v="1899-12-30T00:00:00"/>
    <d v="1899-12-30T00:00:00"/>
    <n v="1"/>
    <e v="#VALUE!"/>
    <n v="0"/>
    <e v="#VALUE!"/>
    <s v=""/>
    <e v="#VALUE!"/>
    <n v="0"/>
    <e v="#VALUE!"/>
    <e v="#VALUE!"/>
    <s v=""/>
    <s v=""/>
    <s v=""/>
    <n v="0"/>
    <x v="2"/>
    <x v="5"/>
    <x v="1"/>
    <x v="1"/>
    <n v="56.6"/>
  </r>
  <r>
    <d v="2020-10-01T00:00:00"/>
    <x v="130"/>
    <x v="10"/>
    <x v="11"/>
    <s v="Compteur 7"/>
    <s v="Compteur_7"/>
    <x v="1"/>
    <d v="1899-12-30T00:00:00"/>
    <d v="1899-12-30T00:00:00"/>
    <n v="1"/>
    <e v="#VALUE!"/>
    <n v="0"/>
    <e v="#VALUE!"/>
    <s v=""/>
    <e v="#VALUE!"/>
    <n v="0"/>
    <e v="#VALUE!"/>
    <e v="#VALUE!"/>
    <s v=""/>
    <s v=""/>
    <s v=""/>
    <n v="0"/>
    <x v="2"/>
    <x v="5"/>
    <x v="1"/>
    <x v="1"/>
    <n v="159.30000000000001"/>
  </r>
  <r>
    <d v="2020-11-01T00:00:00"/>
    <x v="131"/>
    <x v="11"/>
    <x v="11"/>
    <s v="Compteur 7"/>
    <s v="Compteur_7"/>
    <x v="1"/>
    <d v="1899-12-30T00:00:00"/>
    <d v="1899-12-30T00:00:00"/>
    <n v="1"/>
    <e v="#VALUE!"/>
    <n v="0"/>
    <e v="#VALUE!"/>
    <s v=""/>
    <e v="#VALUE!"/>
    <n v="0"/>
    <e v="#VALUE!"/>
    <e v="#VALUE!"/>
    <s v=""/>
    <s v=""/>
    <s v=""/>
    <n v="0"/>
    <x v="2"/>
    <x v="5"/>
    <x v="1"/>
    <x v="1"/>
    <n v="237.3"/>
  </r>
  <r>
    <d v="2020-12-01T00:00:00"/>
    <x v="132"/>
    <x v="12"/>
    <x v="11"/>
    <s v="Compteur 7"/>
    <s v="Compteur_7"/>
    <x v="1"/>
    <d v="1899-12-30T00:00:00"/>
    <d v="1899-12-30T00:00:00"/>
    <n v="1"/>
    <e v="#VALUE!"/>
    <n v="0"/>
    <e v="#VALUE!"/>
    <s v=""/>
    <e v="#VALUE!"/>
    <n v="0"/>
    <e v="#VALUE!"/>
    <e v="#VALUE!"/>
    <s v=""/>
    <s v=""/>
    <s v=""/>
    <n v="0"/>
    <x v="2"/>
    <x v="5"/>
    <x v="1"/>
    <x v="1"/>
    <n v="334.4"/>
  </r>
  <r>
    <d v="2021-01-01T00:00:00"/>
    <x v="133"/>
    <x v="1"/>
    <x v="12"/>
    <s v="Compteur 7"/>
    <s v="Compteur_7"/>
    <x v="1"/>
    <d v="1899-12-30T00:00:00"/>
    <d v="1899-12-30T00:00:00"/>
    <n v="1"/>
    <e v="#VALUE!"/>
    <n v="0"/>
    <e v="#VALUE!"/>
    <s v=""/>
    <e v="#VALUE!"/>
    <n v="0"/>
    <e v="#VALUE!"/>
    <e v="#VALUE!"/>
    <s v=""/>
    <s v=""/>
    <s v=""/>
    <n v="0"/>
    <x v="2"/>
    <x v="5"/>
    <x v="1"/>
    <x v="1"/>
    <n v="380.1"/>
  </r>
  <r>
    <d v="2021-02-01T00:00:00"/>
    <x v="134"/>
    <x v="2"/>
    <x v="12"/>
    <s v="Compteur 7"/>
    <s v="Compteur_7"/>
    <x v="1"/>
    <d v="1899-12-30T00:00:00"/>
    <d v="1899-12-30T00:00:00"/>
    <n v="1"/>
    <e v="#VALUE!"/>
    <n v="0"/>
    <e v="#VALUE!"/>
    <s v=""/>
    <e v="#VALUE!"/>
    <n v="0"/>
    <e v="#VALUE!"/>
    <e v="#VALUE!"/>
    <s v=""/>
    <s v=""/>
    <s v=""/>
    <n v="0"/>
    <x v="2"/>
    <x v="5"/>
    <x v="1"/>
    <x v="1"/>
    <n v="299.5"/>
  </r>
  <r>
    <d v="2021-03-01T00:00:00"/>
    <x v="135"/>
    <x v="3"/>
    <x v="12"/>
    <s v="Compteur 7"/>
    <s v="Compteur_7"/>
    <x v="1"/>
    <d v="1899-12-30T00:00:00"/>
    <d v="1899-12-30T00:00:00"/>
    <n v="1"/>
    <e v="#VALUE!"/>
    <n v="0"/>
    <e v="#VALUE!"/>
    <s v=""/>
    <e v="#VALUE!"/>
    <n v="0"/>
    <e v="#VALUE!"/>
    <e v="#VALUE!"/>
    <s v=""/>
    <s v=""/>
    <s v=""/>
    <n v="0"/>
    <x v="2"/>
    <x v="5"/>
    <x v="1"/>
    <x v="1"/>
    <n v="303.89999999999998"/>
  </r>
  <r>
    <d v="2021-04-01T00:00:00"/>
    <x v="136"/>
    <x v="4"/>
    <x v="12"/>
    <s v="Compteur 7"/>
    <s v="Compteur_7"/>
    <x v="1"/>
    <d v="1899-12-30T00:00:00"/>
    <d v="1899-12-30T00:00:00"/>
    <n v="1"/>
    <e v="#VALUE!"/>
    <n v="0"/>
    <e v="#VALUE!"/>
    <s v=""/>
    <e v="#VALUE!"/>
    <n v="0"/>
    <e v="#VALUE!"/>
    <e v="#VALUE!"/>
    <s v=""/>
    <s v=""/>
    <s v=""/>
    <n v="0"/>
    <x v="2"/>
    <x v="5"/>
    <x v="1"/>
    <x v="1"/>
    <n v="242.8"/>
  </r>
  <r>
    <d v="2021-05-01T00:00:00"/>
    <x v="137"/>
    <x v="5"/>
    <x v="12"/>
    <s v="Compteur 7"/>
    <s v="Compteur_7"/>
    <x v="1"/>
    <d v="1899-12-30T00:00:00"/>
    <d v="1899-12-30T00:00:00"/>
    <n v="1"/>
    <e v="#VALUE!"/>
    <n v="0"/>
    <e v="#VALUE!"/>
    <s v=""/>
    <e v="#VALUE!"/>
    <n v="0"/>
    <e v="#VALUE!"/>
    <e v="#VALUE!"/>
    <s v=""/>
    <s v=""/>
    <s v=""/>
    <n v="0"/>
    <x v="2"/>
    <x v="5"/>
    <x v="1"/>
    <x v="1"/>
    <n v="159.4"/>
  </r>
  <r>
    <d v="2021-06-01T00:00:00"/>
    <x v="138"/>
    <x v="6"/>
    <x v="12"/>
    <s v="Compteur 7"/>
    <s v="Compteur_7"/>
    <x v="1"/>
    <d v="1899-12-30T00:00:00"/>
    <d v="1899-12-30T00:00:00"/>
    <n v="1"/>
    <e v="#VALUE!"/>
    <n v="0"/>
    <e v="#VALUE!"/>
    <s v=""/>
    <e v="#VALUE!"/>
    <n v="0"/>
    <e v="#VALUE!"/>
    <e v="#VALUE!"/>
    <s v=""/>
    <s v=""/>
    <s v=""/>
    <n v="0"/>
    <x v="2"/>
    <x v="5"/>
    <x v="1"/>
    <x v="1"/>
    <n v="29.9"/>
  </r>
  <r>
    <d v="2021-07-01T00:00:00"/>
    <x v="139"/>
    <x v="7"/>
    <x v="12"/>
    <s v="Compteur 7"/>
    <s v="Compteur_7"/>
    <x v="1"/>
    <d v="1899-12-30T00:00:00"/>
    <d v="1899-12-30T00:00:00"/>
    <n v="1"/>
    <e v="#VALUE!"/>
    <n v="0"/>
    <e v="#VALUE!"/>
    <s v=""/>
    <e v="#VALUE!"/>
    <n v="0"/>
    <e v="#VALUE!"/>
    <e v="#VALUE!"/>
    <s v=""/>
    <s v=""/>
    <s v=""/>
    <n v="0"/>
    <x v="2"/>
    <x v="5"/>
    <x v="1"/>
    <x v="1"/>
    <n v="22.4"/>
  </r>
  <r>
    <d v="2021-08-01T00:00:00"/>
    <x v="140"/>
    <x v="8"/>
    <x v="12"/>
    <s v="Compteur 7"/>
    <s v="Compteur_7"/>
    <x v="1"/>
    <d v="1899-12-30T00:00:00"/>
    <d v="1899-12-30T00:00:00"/>
    <n v="1"/>
    <e v="#VALUE!"/>
    <n v="0"/>
    <e v="#VALUE!"/>
    <s v=""/>
    <e v="#VALUE!"/>
    <n v="0"/>
    <e v="#VALUE!"/>
    <e v="#VALUE!"/>
    <s v=""/>
    <s v=""/>
    <s v=""/>
    <n v="0"/>
    <x v="2"/>
    <x v="5"/>
    <x v="1"/>
    <x v="1"/>
    <n v="35.9"/>
  </r>
  <r>
    <d v="2021-09-01T00:00:00"/>
    <x v="141"/>
    <x v="9"/>
    <x v="12"/>
    <s v="Compteur 7"/>
    <s v="Compteur_7"/>
    <x v="1"/>
    <d v="1899-12-30T00:00:00"/>
    <d v="1899-12-30T00:00:00"/>
    <n v="1"/>
    <e v="#VALUE!"/>
    <n v="0"/>
    <e v="#VALUE!"/>
    <s v=""/>
    <e v="#VALUE!"/>
    <n v="0"/>
    <e v="#VALUE!"/>
    <e v="#VALUE!"/>
    <s v=""/>
    <s v=""/>
    <s v=""/>
    <n v="0"/>
    <x v="2"/>
    <x v="5"/>
    <x v="1"/>
    <x v="1"/>
    <n v="47.8"/>
  </r>
  <r>
    <d v="2021-10-01T00:00:00"/>
    <x v="142"/>
    <x v="10"/>
    <x v="12"/>
    <s v="Compteur 7"/>
    <s v="Compteur_7"/>
    <x v="1"/>
    <d v="1899-12-30T00:00:00"/>
    <d v="1899-12-30T00:00:00"/>
    <n v="1"/>
    <e v="#VALUE!"/>
    <n v="0"/>
    <e v="#VALUE!"/>
    <s v=""/>
    <e v="#VALUE!"/>
    <n v="0"/>
    <e v="#VALUE!"/>
    <e v="#VALUE!"/>
    <s v=""/>
    <s v=""/>
    <s v=""/>
    <n v="0"/>
    <x v="2"/>
    <x v="5"/>
    <x v="1"/>
    <x v="1"/>
    <n v="170.5"/>
  </r>
  <r>
    <d v="2021-11-01T00:00:00"/>
    <x v="143"/>
    <x v="11"/>
    <x v="12"/>
    <s v="Compteur 7"/>
    <s v="Compteur_7"/>
    <x v="1"/>
    <d v="1899-12-30T00:00:00"/>
    <d v="1899-12-30T00:00:00"/>
    <n v="1"/>
    <e v="#VALUE!"/>
    <n v="0"/>
    <e v="#VALUE!"/>
    <s v=""/>
    <e v="#VALUE!"/>
    <n v="0"/>
    <e v="#VALUE!"/>
    <e v="#VALUE!"/>
    <s v=""/>
    <s v=""/>
    <s v=""/>
    <n v="0"/>
    <x v="2"/>
    <x v="5"/>
    <x v="1"/>
    <x v="1"/>
    <n v="326.8"/>
  </r>
  <r>
    <d v="2021-12-01T00:00:00"/>
    <x v="144"/>
    <x v="12"/>
    <x v="12"/>
    <s v="Compteur 7"/>
    <s v="Compteur_7"/>
    <x v="1"/>
    <d v="1899-12-30T00:00:00"/>
    <d v="1899-12-30T00:00:00"/>
    <n v="1"/>
    <e v="#VALUE!"/>
    <n v="0"/>
    <e v="#VALUE!"/>
    <s v=""/>
    <e v="#VALUE!"/>
    <n v="0"/>
    <e v="#VALUE!"/>
    <e v="#VALUE!"/>
    <s v=""/>
    <s v=""/>
    <s v=""/>
    <n v="0"/>
    <x v="2"/>
    <x v="5"/>
    <x v="1"/>
    <x v="1"/>
    <n v="336.7"/>
  </r>
  <r>
    <d v="2022-01-01T00:00:00"/>
    <x v="145"/>
    <x v="1"/>
    <x v="13"/>
    <s v="Compteur 7"/>
    <s v="Compteur_7"/>
    <x v="1"/>
    <d v="1899-12-30T00:00:00"/>
    <d v="1899-12-30T00:00:00"/>
    <n v="1"/>
    <e v="#VALUE!"/>
    <n v="0"/>
    <e v="#VALUE!"/>
    <s v=""/>
    <e v="#VALUE!"/>
    <n v="0"/>
    <e v="#VALUE!"/>
    <e v="#VALUE!"/>
    <s v=""/>
    <s v=""/>
    <s v=""/>
    <n v="0"/>
    <x v="2"/>
    <x v="5"/>
    <x v="1"/>
    <x v="1"/>
    <n v="396.3"/>
  </r>
  <r>
    <d v="2022-02-01T00:00:00"/>
    <x v="146"/>
    <x v="2"/>
    <x v="13"/>
    <s v="Compteur 7"/>
    <s v="Compteur_7"/>
    <x v="1"/>
    <d v="1899-12-30T00:00:00"/>
    <d v="1899-12-30T00:00:00"/>
    <n v="1"/>
    <e v="#VALUE!"/>
    <n v="0"/>
    <e v="#VALUE!"/>
    <s v=""/>
    <e v="#VALUE!"/>
    <n v="0"/>
    <e v="#VALUE!"/>
    <e v="#VALUE!"/>
    <s v=""/>
    <s v=""/>
    <s v=""/>
    <n v="0"/>
    <x v="2"/>
    <x v="5"/>
    <x v="1"/>
    <x v="1"/>
    <n v="286.10000000000002"/>
  </r>
  <r>
    <d v="2022-03-01T00:00:00"/>
    <x v="147"/>
    <x v="3"/>
    <x v="13"/>
    <s v="Compteur 7"/>
    <s v="Compteur_7"/>
    <x v="1"/>
    <d v="1899-12-30T00:00:00"/>
    <d v="1899-12-30T00:00:00"/>
    <n v="1"/>
    <e v="#VALUE!"/>
    <n v="0"/>
    <e v="#VALUE!"/>
    <s v=""/>
    <e v="#VALUE!"/>
    <n v="0"/>
    <e v="#VALUE!"/>
    <e v="#VALUE!"/>
    <s v=""/>
    <s v=""/>
    <s v=""/>
    <n v="0"/>
    <x v="2"/>
    <x v="5"/>
    <x v="1"/>
    <x v="1"/>
    <n v="239.8"/>
  </r>
  <r>
    <d v="2022-04-01T00:00:00"/>
    <x v="148"/>
    <x v="4"/>
    <x v="13"/>
    <s v="Compteur 7"/>
    <s v="Compteur_7"/>
    <x v="1"/>
    <d v="1899-12-30T00:00:00"/>
    <d v="1899-12-30T00:00:00"/>
    <n v="1"/>
    <e v="#VALUE!"/>
    <n v="0"/>
    <e v="#VALUE!"/>
    <s v=""/>
    <e v="#VALUE!"/>
    <n v="0"/>
    <e v="#VALUE!"/>
    <e v="#VALUE!"/>
    <s v=""/>
    <s v=""/>
    <s v=""/>
    <n v="0"/>
    <x v="2"/>
    <x v="5"/>
    <x v="1"/>
    <x v="1"/>
    <n v="192.3"/>
  </r>
  <r>
    <d v="2022-05-01T00:00:00"/>
    <x v="149"/>
    <x v="5"/>
    <x v="13"/>
    <s v="Compteur 7"/>
    <s v="Compteur_7"/>
    <x v="1"/>
    <d v="1899-12-30T00:00:00"/>
    <d v="1899-12-30T00:00:00"/>
    <n v="1"/>
    <e v="#VALUE!"/>
    <n v="0"/>
    <e v="#VALUE!"/>
    <s v=""/>
    <e v="#VALUE!"/>
    <n v="0"/>
    <e v="#VALUE!"/>
    <e v="#VALUE!"/>
    <s v=""/>
    <s v=""/>
    <s v=""/>
    <n v="0"/>
    <x v="2"/>
    <x v="5"/>
    <x v="1"/>
    <x v="1"/>
    <n v="81.8"/>
  </r>
  <r>
    <d v="2022-06-01T00:00:00"/>
    <x v="150"/>
    <x v="6"/>
    <x v="13"/>
    <s v="Compteur 7"/>
    <s v="Compteur_7"/>
    <x v="1"/>
    <d v="1899-12-30T00:00:00"/>
    <d v="1899-12-30T00:00:00"/>
    <n v="1"/>
    <e v="#VALUE!"/>
    <n v="0"/>
    <e v="#VALUE!"/>
    <s v=""/>
    <e v="#VALUE!"/>
    <n v="0"/>
    <e v="#VALUE!"/>
    <e v="#VALUE!"/>
    <s v=""/>
    <s v=""/>
    <s v=""/>
    <n v="0"/>
    <x v="2"/>
    <x v="5"/>
    <x v="1"/>
    <x v="1"/>
    <n v="35.5"/>
  </r>
  <r>
    <d v="2022-07-01T00:00:00"/>
    <x v="151"/>
    <x v="7"/>
    <x v="13"/>
    <s v="Compteur 7"/>
    <s v="Compteur_7"/>
    <x v="1"/>
    <d v="1899-12-30T00:00:00"/>
    <d v="1899-12-30T00:00:00"/>
    <n v="1"/>
    <e v="#VALUE!"/>
    <n v="0"/>
    <e v="#VALUE!"/>
    <s v=""/>
    <e v="#VALUE!"/>
    <n v="0"/>
    <e v="#VALUE!"/>
    <e v="#VALUE!"/>
    <s v=""/>
    <s v=""/>
    <s v=""/>
    <n v="0"/>
    <x v="2"/>
    <x v="5"/>
    <x v="1"/>
    <x v="1"/>
    <n v="18.8"/>
  </r>
  <r>
    <d v="2022-08-01T00:00:00"/>
    <x v="152"/>
    <x v="8"/>
    <x v="13"/>
    <s v="Compteur 7"/>
    <s v="Compteur_7"/>
    <x v="1"/>
    <d v="1899-12-30T00:00:00"/>
    <d v="1899-12-30T00:00:00"/>
    <n v="1"/>
    <e v="#VALUE!"/>
    <n v="0"/>
    <e v="#VALUE!"/>
    <s v=""/>
    <e v="#VALUE!"/>
    <n v="0"/>
    <e v="#VALUE!"/>
    <e v="#VALUE!"/>
    <s v=""/>
    <s v=""/>
    <s v=""/>
    <n v="0"/>
    <x v="2"/>
    <x v="5"/>
    <x v="1"/>
    <x v="1"/>
    <n v="10.7"/>
  </r>
  <r>
    <d v="2022-09-01T00:00:00"/>
    <x v="153"/>
    <x v="9"/>
    <x v="13"/>
    <s v="Compteur 7"/>
    <s v="Compteur_7"/>
    <x v="1"/>
    <d v="1899-12-30T00:00:00"/>
    <d v="1899-12-30T00:00:00"/>
    <n v="1"/>
    <e v="#VALUE!"/>
    <n v="0"/>
    <e v="#VALUE!"/>
    <s v=""/>
    <e v="#VALUE!"/>
    <n v="0"/>
    <e v="#VALUE!"/>
    <e v="#VALUE!"/>
    <s v=""/>
    <s v=""/>
    <s v=""/>
    <n v="0"/>
    <x v="2"/>
    <x v="5"/>
    <x v="1"/>
    <x v="1"/>
    <n v="74.7"/>
  </r>
  <r>
    <d v="2022-10-01T00:00:00"/>
    <x v="154"/>
    <x v="10"/>
    <x v="13"/>
    <s v="Compteur 7"/>
    <s v="Compteur_7"/>
    <x v="1"/>
    <d v="1899-12-30T00:00:00"/>
    <d v="1899-12-30T00:00:00"/>
    <n v="1"/>
    <e v="#VALUE!"/>
    <n v="0"/>
    <e v="#VALUE!"/>
    <s v=""/>
    <e v="#VALUE!"/>
    <n v="0"/>
    <e v="#VALUE!"/>
    <e v="#VALUE!"/>
    <s v=""/>
    <s v=""/>
    <s v=""/>
    <n v="0"/>
    <x v="2"/>
    <x v="5"/>
    <x v="1"/>
    <x v="1"/>
    <n v="73"/>
  </r>
  <r>
    <d v="2022-11-01T00:00:00"/>
    <x v="155"/>
    <x v="11"/>
    <x v="13"/>
    <s v="Compteur 7"/>
    <s v="Compteur_7"/>
    <x v="1"/>
    <d v="1899-12-30T00:00:00"/>
    <d v="1899-12-30T00:00:00"/>
    <n v="1"/>
    <e v="#VALUE!"/>
    <n v="0"/>
    <e v="#VALUE!"/>
    <s v=""/>
    <e v="#VALUE!"/>
    <n v="0"/>
    <e v="#VALUE!"/>
    <e v="#VALUE!"/>
    <s v=""/>
    <s v=""/>
    <s v=""/>
    <n v="0"/>
    <x v="2"/>
    <x v="5"/>
    <x v="1"/>
    <x v="1"/>
    <n v="227.5"/>
  </r>
  <r>
    <d v="2022-12-01T00:00:00"/>
    <x v="156"/>
    <x v="12"/>
    <x v="13"/>
    <s v="Compteur 7"/>
    <s v="Compteur_7"/>
    <x v="1"/>
    <d v="1899-12-30T00:00:00"/>
    <d v="1899-12-30T00:00:00"/>
    <n v="1"/>
    <e v="#VALUE!"/>
    <n v="0"/>
    <e v="#VALUE!"/>
    <s v=""/>
    <e v="#VALUE!"/>
    <n v="0"/>
    <e v="#VALUE!"/>
    <e v="#VALUE!"/>
    <s v=""/>
    <s v=""/>
    <s v=""/>
    <n v="0"/>
    <x v="2"/>
    <x v="5"/>
    <x v="1"/>
    <x v="1"/>
    <n v="380.8"/>
  </r>
  <r>
    <d v="2023-01-01T00:00:00"/>
    <x v="157"/>
    <x v="1"/>
    <x v="14"/>
    <s v="Compteur 7"/>
    <s v="Compteur_7"/>
    <x v="1"/>
    <d v="1899-12-30T00:00:00"/>
    <d v="1899-12-30T00:00:00"/>
    <n v="1"/>
    <e v="#VALUE!"/>
    <n v="0"/>
    <e v="#VALUE!"/>
    <s v=""/>
    <e v="#VALUE!"/>
    <n v="0"/>
    <e v="#VALUE!"/>
    <e v="#VALUE!"/>
    <s v=""/>
    <s v=""/>
    <s v=""/>
    <n v="0"/>
    <x v="2"/>
    <x v="5"/>
    <x v="1"/>
    <x v="1"/>
    <n v="356.1"/>
  </r>
  <r>
    <d v="2023-02-01T00:00:00"/>
    <x v="158"/>
    <x v="2"/>
    <x v="14"/>
    <s v="Compteur 7"/>
    <s v="Compteur_7"/>
    <x v="1"/>
    <d v="1899-12-30T00:00:00"/>
    <d v="1899-12-30T00:00:00"/>
    <n v="1"/>
    <e v="#VALUE!"/>
    <n v="0"/>
    <e v="#VALUE!"/>
    <s v=""/>
    <e v="#VALUE!"/>
    <n v="0"/>
    <e v="#VALUE!"/>
    <e v="#VALUE!"/>
    <s v=""/>
    <s v=""/>
    <s v=""/>
    <n v="0"/>
    <x v="2"/>
    <x v="5"/>
    <x v="1"/>
    <x v="1"/>
    <n v="314.10000000000002"/>
  </r>
  <r>
    <d v="2023-03-01T00:00:00"/>
    <x v="159"/>
    <x v="3"/>
    <x v="14"/>
    <s v="Compteur 7"/>
    <s v="Compteur_7"/>
    <x v="1"/>
    <d v="1899-12-30T00:00:00"/>
    <d v="1899-12-30T00:00:00"/>
    <n v="1"/>
    <e v="#VALUE!"/>
    <n v="0"/>
    <e v="#VALUE!"/>
    <s v=""/>
    <e v="#VALUE!"/>
    <n v="0"/>
    <e v="#VALUE!"/>
    <e v="#VALUE!"/>
    <s v=""/>
    <s v=""/>
    <s v=""/>
    <n v="0"/>
    <x v="2"/>
    <x v="5"/>
    <x v="1"/>
    <x v="1"/>
    <n v="251.3"/>
  </r>
  <r>
    <d v="2023-04-01T00:00:00"/>
    <x v="160"/>
    <x v="4"/>
    <x v="14"/>
    <s v="Compteur 7"/>
    <s v="Compteur_7"/>
    <x v="1"/>
    <d v="1899-12-30T00:00:00"/>
    <d v="1899-12-30T00:00:00"/>
    <n v="1"/>
    <e v="#VALUE!"/>
    <n v="0"/>
    <e v="#VALUE!"/>
    <s v=""/>
    <e v="#VALUE!"/>
    <n v="0"/>
    <e v="#VALUE!"/>
    <e v="#VALUE!"/>
    <s v=""/>
    <s v=""/>
    <s v=""/>
    <n v="0"/>
    <x v="2"/>
    <x v="5"/>
    <x v="1"/>
    <x v="1"/>
    <n v="198"/>
  </r>
  <r>
    <d v="2023-05-01T00:00:00"/>
    <x v="161"/>
    <x v="5"/>
    <x v="14"/>
    <s v="Compteur 7"/>
    <s v="Compteur_7"/>
    <x v="1"/>
    <d v="1899-12-30T00:00:00"/>
    <d v="1899-12-30T00:00:00"/>
    <n v="1"/>
    <e v="#VALUE!"/>
    <n v="0"/>
    <e v="#VALUE!"/>
    <s v=""/>
    <e v="#VALUE!"/>
    <n v="0"/>
    <e v="#VALUE!"/>
    <e v="#VALUE!"/>
    <s v=""/>
    <s v=""/>
    <s v=""/>
    <n v="0"/>
    <x v="2"/>
    <x v="5"/>
    <x v="1"/>
    <x v="1"/>
    <n v="86.4"/>
  </r>
  <r>
    <d v="2023-06-01T00:00:00"/>
    <x v="162"/>
    <x v="6"/>
    <x v="14"/>
    <s v="Compteur 7"/>
    <s v="Compteur_7"/>
    <x v="1"/>
    <d v="1899-12-30T00:00:00"/>
    <d v="1899-12-30T00:00:00"/>
    <n v="1"/>
    <e v="#VALUE!"/>
    <n v="0"/>
    <e v="#VALUE!"/>
    <s v=""/>
    <e v="#VALUE!"/>
    <n v="0"/>
    <e v="#VALUE!"/>
    <e v="#VALUE!"/>
    <s v=""/>
    <s v=""/>
    <s v=""/>
    <n v="0"/>
    <x v="2"/>
    <x v="5"/>
    <x v="1"/>
    <x v="1"/>
    <n v="17.3"/>
  </r>
  <r>
    <d v="2023-07-01T00:00:00"/>
    <x v="163"/>
    <x v="7"/>
    <x v="14"/>
    <s v="Compteur 7"/>
    <s v="Compteur_7"/>
    <x v="1"/>
    <d v="1899-12-30T00:00:00"/>
    <d v="1899-12-30T00:00:00"/>
    <n v="1"/>
    <e v="#VALUE!"/>
    <n v="0"/>
    <e v="#VALUE!"/>
    <s v=""/>
    <e v="#VALUE!"/>
    <n v="0"/>
    <e v="#VALUE!"/>
    <e v="#VALUE!"/>
    <s v=""/>
    <s v=""/>
    <s v=""/>
    <n v="0"/>
    <x v="2"/>
    <x v="5"/>
    <x v="1"/>
    <x v="1"/>
    <n v="24.1"/>
  </r>
  <r>
    <d v="2023-08-01T00:00:00"/>
    <x v="164"/>
    <x v="8"/>
    <x v="14"/>
    <s v="Compteur 7"/>
    <s v="Compteur_7"/>
    <x v="1"/>
    <d v="1899-12-30T00:00:00"/>
    <d v="1899-12-30T00:00:00"/>
    <n v="1"/>
    <e v="#VALUE!"/>
    <n v="0"/>
    <e v="#VALUE!"/>
    <s v=""/>
    <e v="#VALUE!"/>
    <n v="0"/>
    <e v="#VALUE!"/>
    <e v="#VALUE!"/>
    <s v=""/>
    <s v=""/>
    <s v=""/>
    <n v="0"/>
    <x v="2"/>
    <x v="5"/>
    <x v="1"/>
    <x v="1"/>
    <n v="27.9"/>
  </r>
  <r>
    <d v="2023-09-01T00:00:00"/>
    <x v="165"/>
    <x v="9"/>
    <x v="14"/>
    <s v="Compteur 7"/>
    <s v="Compteur_7"/>
    <x v="1"/>
    <d v="1899-12-30T00:00:00"/>
    <d v="1899-12-30T00:00:00"/>
    <n v="1"/>
    <e v="#VALUE!"/>
    <n v="0"/>
    <e v="#VALUE!"/>
    <s v=""/>
    <e v="#VALUE!"/>
    <n v="0"/>
    <e v="#VALUE!"/>
    <e v="#VALUE!"/>
    <s v=""/>
    <s v=""/>
    <s v=""/>
    <n v="0"/>
    <x v="2"/>
    <x v="5"/>
    <x v="1"/>
    <x v="1"/>
    <n v="30.5"/>
  </r>
  <r>
    <d v="2023-10-01T00:00:00"/>
    <x v="166"/>
    <x v="10"/>
    <x v="14"/>
    <s v="Compteur 7"/>
    <s v="Compteur_7"/>
    <x v="1"/>
    <d v="1899-12-30T00:00:00"/>
    <d v="1899-12-30T00:00:00"/>
    <n v="1"/>
    <e v="#VALUE!"/>
    <n v="0"/>
    <e v="#VALUE!"/>
    <s v=""/>
    <e v="#VALUE!"/>
    <n v="0"/>
    <e v="#VALUE!"/>
    <e v="#VALUE!"/>
    <s v=""/>
    <s v=""/>
    <s v=""/>
    <n v="0"/>
    <x v="2"/>
    <x v="5"/>
    <x v="1"/>
    <x v="1"/>
    <n v="115.8"/>
  </r>
  <r>
    <d v="2023-11-01T00:00:00"/>
    <x v="167"/>
    <x v="11"/>
    <x v="14"/>
    <s v="Compteur 7"/>
    <s v="Compteur_7"/>
    <x v="1"/>
    <d v="1899-12-30T00:00:00"/>
    <d v="1899-12-30T00:00:00"/>
    <n v="1"/>
    <e v="#VALUE!"/>
    <n v="0"/>
    <e v="#VALUE!"/>
    <s v=""/>
    <e v="#VALUE!"/>
    <n v="0"/>
    <e v="#VALUE!"/>
    <e v="#VALUE!"/>
    <s v=""/>
    <s v=""/>
    <s v=""/>
    <n v="0"/>
    <x v="2"/>
    <x v="5"/>
    <x v="1"/>
    <x v="1"/>
    <n v="239.8"/>
  </r>
  <r>
    <d v="2023-12-01T00:00:00"/>
    <x v="168"/>
    <x v="12"/>
    <x v="14"/>
    <s v="Compteur 7"/>
    <s v="Compteur_7"/>
    <x v="1"/>
    <d v="1899-12-30T00:00:00"/>
    <d v="1899-12-30T00:00:00"/>
    <n v="1"/>
    <e v="#VALUE!"/>
    <n v="0"/>
    <e v="#VALUE!"/>
    <s v=""/>
    <e v="#VALUE!"/>
    <n v="0"/>
    <e v="#VALUE!"/>
    <e v="#VALUE!"/>
    <s v=""/>
    <s v=""/>
    <s v=""/>
    <n v="0"/>
    <x v="2"/>
    <x v="5"/>
    <x v="1"/>
    <x v="1"/>
    <n v="300.89999999999998"/>
  </r>
  <r>
    <d v="2024-01-01T00:00:00"/>
    <x v="169"/>
    <x v="1"/>
    <x v="15"/>
    <s v="Compteur 7"/>
    <s v="Compteur_7"/>
    <x v="1"/>
    <d v="1899-12-30T00:00:00"/>
    <d v="1899-12-30T00:00:00"/>
    <n v="1"/>
    <e v="#VALUE!"/>
    <n v="0"/>
    <e v="#VALUE!"/>
    <s v=""/>
    <e v="#VALUE!"/>
    <n v="0"/>
    <e v="#VALUE!"/>
    <e v="#VALUE!"/>
    <s v=""/>
    <s v=""/>
    <s v=""/>
    <n v="0"/>
    <x v="2"/>
    <x v="5"/>
    <x v="1"/>
    <x v="1"/>
    <n v="0"/>
  </r>
  <r>
    <d v="2024-02-01T00:00:00"/>
    <x v="170"/>
    <x v="2"/>
    <x v="15"/>
    <s v="Compteur 7"/>
    <s v="Compteur_7"/>
    <x v="1"/>
    <d v="1899-12-30T00:00:00"/>
    <d v="1899-12-30T00:00:00"/>
    <n v="1"/>
    <e v="#VALUE!"/>
    <n v="0"/>
    <e v="#VALUE!"/>
    <s v=""/>
    <e v="#VALUE!"/>
    <n v="0"/>
    <e v="#VALUE!"/>
    <e v="#VALUE!"/>
    <s v=""/>
    <s v=""/>
    <s v=""/>
    <n v="0"/>
    <x v="2"/>
    <x v="5"/>
    <x v="1"/>
    <x v="1"/>
    <n v="0"/>
  </r>
  <r>
    <d v="2024-03-01T00:00:00"/>
    <x v="171"/>
    <x v="3"/>
    <x v="15"/>
    <s v="Compteur 7"/>
    <s v="Compteur_7"/>
    <x v="1"/>
    <d v="1899-12-30T00:00:00"/>
    <d v="1899-12-30T00:00:00"/>
    <n v="1"/>
    <e v="#VALUE!"/>
    <n v="0"/>
    <e v="#VALUE!"/>
    <s v=""/>
    <e v="#VALUE!"/>
    <n v="0"/>
    <e v="#VALUE!"/>
    <e v="#VALUE!"/>
    <s v=""/>
    <s v=""/>
    <s v=""/>
    <n v="0"/>
    <x v="2"/>
    <x v="5"/>
    <x v="1"/>
    <x v="1"/>
    <n v="0"/>
  </r>
  <r>
    <d v="2024-04-01T00:00:00"/>
    <x v="172"/>
    <x v="4"/>
    <x v="15"/>
    <s v="Compteur 7"/>
    <s v="Compteur_7"/>
    <x v="1"/>
    <d v="1899-12-30T00:00:00"/>
    <d v="1899-12-30T00:00:00"/>
    <n v="1"/>
    <e v="#VALUE!"/>
    <n v="0"/>
    <e v="#VALUE!"/>
    <s v=""/>
    <e v="#VALUE!"/>
    <n v="0"/>
    <e v="#VALUE!"/>
    <e v="#VALUE!"/>
    <s v=""/>
    <s v=""/>
    <s v=""/>
    <n v="0"/>
    <x v="2"/>
    <x v="5"/>
    <x v="1"/>
    <x v="1"/>
    <n v="0"/>
  </r>
  <r>
    <d v="2024-05-01T00:00:00"/>
    <x v="173"/>
    <x v="5"/>
    <x v="15"/>
    <s v="Compteur 7"/>
    <s v="Compteur_7"/>
    <x v="1"/>
    <d v="1899-12-30T00:00:00"/>
    <d v="1899-12-30T00:00:00"/>
    <n v="1"/>
    <e v="#VALUE!"/>
    <n v="0"/>
    <e v="#VALUE!"/>
    <s v=""/>
    <e v="#VALUE!"/>
    <n v="0"/>
    <e v="#VALUE!"/>
    <e v="#VALUE!"/>
    <s v=""/>
    <s v=""/>
    <s v=""/>
    <n v="0"/>
    <x v="2"/>
    <x v="5"/>
    <x v="1"/>
    <x v="1"/>
    <n v="0"/>
  </r>
  <r>
    <d v="2024-06-01T00:00:00"/>
    <x v="174"/>
    <x v="6"/>
    <x v="15"/>
    <s v="Compteur 7"/>
    <s v="Compteur_7"/>
    <x v="1"/>
    <d v="1899-12-30T00:00:00"/>
    <d v="1899-12-30T00:00:00"/>
    <n v="1"/>
    <e v="#VALUE!"/>
    <n v="0"/>
    <e v="#VALUE!"/>
    <s v=""/>
    <e v="#VALUE!"/>
    <n v="0"/>
    <e v="#VALUE!"/>
    <e v="#VALUE!"/>
    <s v=""/>
    <s v=""/>
    <s v=""/>
    <n v="0"/>
    <x v="2"/>
    <x v="5"/>
    <x v="1"/>
    <x v="1"/>
    <n v="0"/>
  </r>
  <r>
    <d v="2024-07-01T00:00:00"/>
    <x v="175"/>
    <x v="7"/>
    <x v="15"/>
    <s v="Compteur 7"/>
    <s v="Compteur_7"/>
    <x v="1"/>
    <d v="1899-12-30T00:00:00"/>
    <d v="1899-12-30T00:00:00"/>
    <n v="1"/>
    <e v="#VALUE!"/>
    <n v="0"/>
    <e v="#VALUE!"/>
    <s v=""/>
    <e v="#VALUE!"/>
    <n v="0"/>
    <e v="#VALUE!"/>
    <e v="#VALUE!"/>
    <s v=""/>
    <s v=""/>
    <s v=""/>
    <n v="0"/>
    <x v="2"/>
    <x v="5"/>
    <x v="1"/>
    <x v="1"/>
    <n v="0"/>
  </r>
  <r>
    <d v="2024-08-01T00:00:00"/>
    <x v="176"/>
    <x v="8"/>
    <x v="15"/>
    <s v="Compteur 7"/>
    <s v="Compteur_7"/>
    <x v="1"/>
    <d v="1899-12-30T00:00:00"/>
    <d v="1899-12-30T00:00:00"/>
    <n v="1"/>
    <e v="#VALUE!"/>
    <n v="0"/>
    <e v="#VALUE!"/>
    <s v=""/>
    <e v="#VALUE!"/>
    <n v="0"/>
    <e v="#VALUE!"/>
    <e v="#VALUE!"/>
    <s v=""/>
    <s v=""/>
    <s v=""/>
    <n v="0"/>
    <x v="2"/>
    <x v="5"/>
    <x v="1"/>
    <x v="1"/>
    <n v="0"/>
  </r>
  <r>
    <d v="2024-09-01T00:00:00"/>
    <x v="177"/>
    <x v="9"/>
    <x v="15"/>
    <s v="Compteur 7"/>
    <s v="Compteur_7"/>
    <x v="1"/>
    <d v="1899-12-30T00:00:00"/>
    <d v="1899-12-30T00:00:00"/>
    <n v="1"/>
    <e v="#VALUE!"/>
    <n v="0"/>
    <e v="#VALUE!"/>
    <s v=""/>
    <e v="#VALUE!"/>
    <n v="0"/>
    <e v="#VALUE!"/>
    <e v="#VALUE!"/>
    <s v=""/>
    <s v=""/>
    <s v=""/>
    <n v="0"/>
    <x v="2"/>
    <x v="5"/>
    <x v="1"/>
    <x v="1"/>
    <n v="0"/>
  </r>
  <r>
    <d v="2024-10-01T00:00:00"/>
    <x v="178"/>
    <x v="10"/>
    <x v="15"/>
    <s v="Compteur 7"/>
    <s v="Compteur_7"/>
    <x v="1"/>
    <d v="1899-12-30T00:00:00"/>
    <d v="1899-12-30T00:00:00"/>
    <n v="1"/>
    <e v="#VALUE!"/>
    <n v="0"/>
    <e v="#VALUE!"/>
    <s v=""/>
    <e v="#VALUE!"/>
    <n v="0"/>
    <e v="#VALUE!"/>
    <e v="#VALUE!"/>
    <s v=""/>
    <s v=""/>
    <s v=""/>
    <n v="0"/>
    <x v="2"/>
    <x v="5"/>
    <x v="1"/>
    <x v="1"/>
    <n v="0"/>
  </r>
  <r>
    <d v="2024-11-01T00:00:00"/>
    <x v="179"/>
    <x v="11"/>
    <x v="15"/>
    <s v="Compteur 7"/>
    <s v="Compteur_7"/>
    <x v="1"/>
    <d v="1899-12-30T00:00:00"/>
    <d v="1899-12-30T00:00:00"/>
    <n v="1"/>
    <e v="#VALUE!"/>
    <n v="0"/>
    <e v="#VALUE!"/>
    <s v=""/>
    <e v="#VALUE!"/>
    <n v="0"/>
    <e v="#VALUE!"/>
    <e v="#VALUE!"/>
    <s v=""/>
    <s v=""/>
    <s v=""/>
    <n v="0"/>
    <x v="2"/>
    <x v="5"/>
    <x v="1"/>
    <x v="1"/>
    <n v="0"/>
  </r>
  <r>
    <d v="2024-12-01T00:00:00"/>
    <x v="180"/>
    <x v="12"/>
    <x v="15"/>
    <s v="Compteur 7"/>
    <s v="Compteur_7"/>
    <x v="1"/>
    <d v="1899-12-30T00:00:00"/>
    <d v="1899-12-30T00:00:00"/>
    <n v="1"/>
    <e v="#VALUE!"/>
    <n v="0"/>
    <e v="#VALUE!"/>
    <s v=""/>
    <e v="#VALUE!"/>
    <n v="0"/>
    <e v="#VALUE!"/>
    <e v="#VALUE!"/>
    <s v=""/>
    <s v=""/>
    <s v=""/>
    <n v="0"/>
    <x v="2"/>
    <x v="5"/>
    <x v="1"/>
    <x v="1"/>
    <n v="0"/>
  </r>
  <r>
    <d v="2025-01-01T00:00:00"/>
    <x v="181"/>
    <x v="1"/>
    <x v="16"/>
    <s v="Compteur 7"/>
    <s v="Compteur_7"/>
    <x v="1"/>
    <d v="1899-12-30T00:00:00"/>
    <d v="1899-12-30T00:00:00"/>
    <n v="1"/>
    <e v="#VALUE!"/>
    <n v="0"/>
    <e v="#VALUE!"/>
    <s v=""/>
    <e v="#VALUE!"/>
    <n v="0"/>
    <e v="#VALUE!"/>
    <e v="#VALUE!"/>
    <s v=""/>
    <s v=""/>
    <s v=""/>
    <n v="0"/>
    <x v="2"/>
    <x v="5"/>
    <x v="1"/>
    <x v="1"/>
    <n v="0"/>
  </r>
  <r>
    <d v="2025-02-01T00:00:00"/>
    <x v="182"/>
    <x v="2"/>
    <x v="16"/>
    <s v="Compteur 7"/>
    <s v="Compteur_7"/>
    <x v="1"/>
    <d v="1899-12-30T00:00:00"/>
    <d v="1899-12-30T00:00:00"/>
    <n v="1"/>
    <e v="#VALUE!"/>
    <n v="0"/>
    <e v="#VALUE!"/>
    <s v=""/>
    <e v="#VALUE!"/>
    <n v="0"/>
    <e v="#VALUE!"/>
    <e v="#VALUE!"/>
    <s v=""/>
    <s v=""/>
    <s v=""/>
    <n v="0"/>
    <x v="2"/>
    <x v="5"/>
    <x v="1"/>
    <x v="1"/>
    <n v="0"/>
  </r>
  <r>
    <d v="2025-03-01T00:00:00"/>
    <x v="183"/>
    <x v="3"/>
    <x v="16"/>
    <s v="Compteur 7"/>
    <s v="Compteur_7"/>
    <x v="1"/>
    <d v="1899-12-30T00:00:00"/>
    <d v="1899-12-30T00:00:00"/>
    <n v="1"/>
    <e v="#VALUE!"/>
    <n v="0"/>
    <e v="#VALUE!"/>
    <s v=""/>
    <e v="#VALUE!"/>
    <n v="0"/>
    <e v="#VALUE!"/>
    <e v="#VALUE!"/>
    <s v=""/>
    <s v=""/>
    <s v=""/>
    <n v="0"/>
    <x v="2"/>
    <x v="5"/>
    <x v="1"/>
    <x v="1"/>
    <n v="0"/>
  </r>
  <r>
    <d v="2025-04-01T00:00:00"/>
    <x v="184"/>
    <x v="4"/>
    <x v="16"/>
    <s v="Compteur 7"/>
    <s v="Compteur_7"/>
    <x v="1"/>
    <d v="1899-12-30T00:00:00"/>
    <d v="1899-12-30T00:00:00"/>
    <n v="1"/>
    <e v="#VALUE!"/>
    <n v="0"/>
    <e v="#VALUE!"/>
    <s v=""/>
    <e v="#VALUE!"/>
    <n v="0"/>
    <e v="#VALUE!"/>
    <e v="#VALUE!"/>
    <s v=""/>
    <s v=""/>
    <s v=""/>
    <n v="0"/>
    <x v="2"/>
    <x v="5"/>
    <x v="1"/>
    <x v="1"/>
    <n v="0"/>
  </r>
  <r>
    <d v="2025-05-01T00:00:00"/>
    <x v="185"/>
    <x v="5"/>
    <x v="16"/>
    <s v="Compteur 7"/>
    <s v="Compteur_7"/>
    <x v="1"/>
    <d v="1899-12-30T00:00:00"/>
    <d v="1899-12-30T00:00:00"/>
    <n v="1"/>
    <e v="#VALUE!"/>
    <n v="0"/>
    <e v="#VALUE!"/>
    <s v=""/>
    <e v="#VALUE!"/>
    <n v="0"/>
    <e v="#VALUE!"/>
    <e v="#VALUE!"/>
    <s v=""/>
    <s v=""/>
    <s v=""/>
    <n v="0"/>
    <x v="2"/>
    <x v="5"/>
    <x v="1"/>
    <x v="1"/>
    <n v="0"/>
  </r>
  <r>
    <d v="2025-06-01T00:00:00"/>
    <x v="186"/>
    <x v="6"/>
    <x v="16"/>
    <s v="Compteur 7"/>
    <s v="Compteur_7"/>
    <x v="1"/>
    <d v="1899-12-30T00:00:00"/>
    <d v="1899-12-30T00:00:00"/>
    <n v="1"/>
    <e v="#VALUE!"/>
    <n v="0"/>
    <e v="#VALUE!"/>
    <s v=""/>
    <e v="#VALUE!"/>
    <n v="0"/>
    <e v="#VALUE!"/>
    <e v="#VALUE!"/>
    <s v=""/>
    <s v=""/>
    <s v=""/>
    <n v="0"/>
    <x v="2"/>
    <x v="5"/>
    <x v="1"/>
    <x v="1"/>
    <n v="0"/>
  </r>
  <r>
    <d v="2025-07-01T00:00:00"/>
    <x v="187"/>
    <x v="7"/>
    <x v="16"/>
    <s v="Compteur 7"/>
    <s v="Compteur_7"/>
    <x v="1"/>
    <d v="1899-12-30T00:00:00"/>
    <d v="1899-12-30T00:00:00"/>
    <n v="1"/>
    <e v="#VALUE!"/>
    <n v="0"/>
    <e v="#VALUE!"/>
    <s v=""/>
    <e v="#VALUE!"/>
    <n v="0"/>
    <e v="#VALUE!"/>
    <e v="#VALUE!"/>
    <s v=""/>
    <s v=""/>
    <s v=""/>
    <n v="0"/>
    <x v="2"/>
    <x v="5"/>
    <x v="1"/>
    <x v="1"/>
    <n v="0"/>
  </r>
  <r>
    <d v="2025-08-01T00:00:00"/>
    <x v="188"/>
    <x v="8"/>
    <x v="16"/>
    <s v="Compteur 7"/>
    <s v="Compteur_7"/>
    <x v="1"/>
    <d v="1899-12-30T00:00:00"/>
    <d v="1899-12-30T00:00:00"/>
    <n v="1"/>
    <e v="#VALUE!"/>
    <n v="0"/>
    <e v="#VALUE!"/>
    <s v=""/>
    <e v="#VALUE!"/>
    <n v="0"/>
    <e v="#VALUE!"/>
    <e v="#VALUE!"/>
    <s v=""/>
    <s v=""/>
    <s v=""/>
    <n v="0"/>
    <x v="2"/>
    <x v="5"/>
    <x v="1"/>
    <x v="1"/>
    <n v="0"/>
  </r>
  <r>
    <d v="2025-09-01T00:00:00"/>
    <x v="189"/>
    <x v="9"/>
    <x v="16"/>
    <s v="Compteur 7"/>
    <s v="Compteur_7"/>
    <x v="1"/>
    <d v="1899-12-30T00:00:00"/>
    <d v="1899-12-30T00:00:00"/>
    <n v="1"/>
    <e v="#VALUE!"/>
    <n v="0"/>
    <e v="#VALUE!"/>
    <s v=""/>
    <e v="#VALUE!"/>
    <n v="0"/>
    <e v="#VALUE!"/>
    <e v="#VALUE!"/>
    <s v=""/>
    <s v=""/>
    <s v=""/>
    <n v="0"/>
    <x v="2"/>
    <x v="5"/>
    <x v="1"/>
    <x v="1"/>
    <n v="0"/>
  </r>
  <r>
    <d v="2025-10-01T00:00:00"/>
    <x v="190"/>
    <x v="10"/>
    <x v="16"/>
    <s v="Compteur 7"/>
    <s v="Compteur_7"/>
    <x v="1"/>
    <d v="1899-12-30T00:00:00"/>
    <d v="1899-12-30T00:00:00"/>
    <n v="1"/>
    <e v="#VALUE!"/>
    <n v="0"/>
    <e v="#VALUE!"/>
    <s v=""/>
    <e v="#VALUE!"/>
    <n v="0"/>
    <e v="#VALUE!"/>
    <e v="#VALUE!"/>
    <s v=""/>
    <s v=""/>
    <s v=""/>
    <n v="0"/>
    <x v="2"/>
    <x v="5"/>
    <x v="1"/>
    <x v="1"/>
    <n v="0"/>
  </r>
  <r>
    <d v="2025-11-01T00:00:00"/>
    <x v="191"/>
    <x v="11"/>
    <x v="16"/>
    <s v="Compteur 7"/>
    <s v="Compteur_7"/>
    <x v="1"/>
    <d v="1899-12-30T00:00:00"/>
    <d v="1899-12-30T00:00:00"/>
    <n v="1"/>
    <e v="#VALUE!"/>
    <n v="0"/>
    <e v="#VALUE!"/>
    <s v=""/>
    <e v="#VALUE!"/>
    <n v="0"/>
    <e v="#VALUE!"/>
    <e v="#VALUE!"/>
    <s v=""/>
    <s v=""/>
    <s v=""/>
    <n v="0"/>
    <x v="2"/>
    <x v="5"/>
    <x v="1"/>
    <x v="1"/>
    <n v="0"/>
  </r>
  <r>
    <d v="2025-12-01T00:00:00"/>
    <x v="192"/>
    <x v="12"/>
    <x v="16"/>
    <s v="Compteur 7"/>
    <s v="Compteur_7"/>
    <x v="1"/>
    <d v="1899-12-30T00:00:00"/>
    <d v="1899-12-30T00:00:00"/>
    <n v="1"/>
    <e v="#VALUE!"/>
    <n v="0"/>
    <e v="#VALUE!"/>
    <s v=""/>
    <e v="#VALUE!"/>
    <n v="0"/>
    <e v="#VALUE!"/>
    <e v="#VALUE!"/>
    <s v=""/>
    <s v=""/>
    <s v=""/>
    <n v="0"/>
    <x v="2"/>
    <x v="5"/>
    <x v="1"/>
    <x v="1"/>
    <n v="0"/>
  </r>
  <r>
    <d v="2010-01-01T00:00:00"/>
    <x v="1"/>
    <x v="1"/>
    <x v="1"/>
    <s v="Compteur 8"/>
    <s v="Compteur_8"/>
    <x v="1"/>
    <d v="1899-12-30T00:00:00"/>
    <d v="1899-12-30T00:00:00"/>
    <n v="1"/>
    <e v="#VALUE!"/>
    <n v="0"/>
    <e v="#VALUE!"/>
    <s v=""/>
    <e v="#VALUE!"/>
    <n v="0"/>
    <e v="#VALUE!"/>
    <e v="#VALUE!"/>
    <s v=""/>
    <s v=""/>
    <s v=""/>
    <n v="0"/>
    <x v="2"/>
    <x v="5"/>
    <x v="1"/>
    <x v="1"/>
    <n v="487.6"/>
  </r>
  <r>
    <d v="2010-02-01T00:00:00"/>
    <x v="2"/>
    <x v="2"/>
    <x v="1"/>
    <s v="Compteur 8"/>
    <s v="Compteur_8"/>
    <x v="1"/>
    <d v="1899-12-30T00:00:00"/>
    <d v="1899-12-30T00:00:00"/>
    <n v="1"/>
    <e v="#VALUE!"/>
    <n v="0"/>
    <e v="#VALUE!"/>
    <s v=""/>
    <e v="#VALUE!"/>
    <n v="0"/>
    <e v="#VALUE!"/>
    <e v="#VALUE!"/>
    <s v=""/>
    <s v=""/>
    <s v=""/>
    <n v="0"/>
    <x v="2"/>
    <x v="5"/>
    <x v="1"/>
    <x v="1"/>
    <n v="370.3"/>
  </r>
  <r>
    <d v="2010-03-01T00:00:00"/>
    <x v="3"/>
    <x v="3"/>
    <x v="1"/>
    <s v="Compteur 8"/>
    <s v="Compteur_8"/>
    <x v="1"/>
    <d v="1899-12-30T00:00:00"/>
    <d v="1899-12-30T00:00:00"/>
    <n v="1"/>
    <e v="#VALUE!"/>
    <n v="0"/>
    <e v="#VALUE!"/>
    <s v=""/>
    <e v="#VALUE!"/>
    <n v="0"/>
    <e v="#VALUE!"/>
    <e v="#VALUE!"/>
    <s v=""/>
    <s v=""/>
    <s v=""/>
    <n v="0"/>
    <x v="2"/>
    <x v="5"/>
    <x v="1"/>
    <x v="1"/>
    <n v="312.8"/>
  </r>
  <r>
    <d v="2010-04-01T00:00:00"/>
    <x v="4"/>
    <x v="4"/>
    <x v="1"/>
    <s v="Compteur 8"/>
    <s v="Compteur_8"/>
    <x v="1"/>
    <d v="1899-12-30T00:00:00"/>
    <d v="1899-12-30T00:00:00"/>
    <n v="1"/>
    <e v="#VALUE!"/>
    <n v="0"/>
    <e v="#VALUE!"/>
    <s v=""/>
    <e v="#VALUE!"/>
    <n v="0"/>
    <e v="#VALUE!"/>
    <e v="#VALUE!"/>
    <s v=""/>
    <s v=""/>
    <s v=""/>
    <n v="0"/>
    <x v="2"/>
    <x v="5"/>
    <x v="1"/>
    <x v="1"/>
    <n v="199.2"/>
  </r>
  <r>
    <d v="2010-05-01T00:00:00"/>
    <x v="5"/>
    <x v="5"/>
    <x v="1"/>
    <s v="Compteur 8"/>
    <s v="Compteur_8"/>
    <x v="1"/>
    <d v="1899-12-30T00:00:00"/>
    <d v="1899-12-30T00:00:00"/>
    <n v="1"/>
    <e v="#VALUE!"/>
    <n v="0"/>
    <e v="#VALUE!"/>
    <s v=""/>
    <e v="#VALUE!"/>
    <n v="0"/>
    <e v="#VALUE!"/>
    <e v="#VALUE!"/>
    <s v=""/>
    <s v=""/>
    <s v=""/>
    <n v="0"/>
    <x v="2"/>
    <x v="5"/>
    <x v="1"/>
    <x v="1"/>
    <n v="155.4"/>
  </r>
  <r>
    <d v="2010-06-01T00:00:00"/>
    <x v="6"/>
    <x v="6"/>
    <x v="1"/>
    <s v="Compteur 8"/>
    <s v="Compteur_8"/>
    <x v="1"/>
    <d v="1899-12-30T00:00:00"/>
    <d v="1899-12-30T00:00:00"/>
    <n v="1"/>
    <e v="#VALUE!"/>
    <n v="0"/>
    <e v="#VALUE!"/>
    <s v=""/>
    <e v="#VALUE!"/>
    <n v="0"/>
    <e v="#VALUE!"/>
    <e v="#VALUE!"/>
    <s v=""/>
    <s v=""/>
    <s v=""/>
    <n v="0"/>
    <x v="2"/>
    <x v="5"/>
    <x v="1"/>
    <x v="1"/>
    <n v="46.7"/>
  </r>
  <r>
    <d v="2010-07-01T00:00:00"/>
    <x v="7"/>
    <x v="7"/>
    <x v="1"/>
    <s v="Compteur 8"/>
    <s v="Compteur_8"/>
    <x v="1"/>
    <d v="1899-12-30T00:00:00"/>
    <d v="1899-12-30T00:00:00"/>
    <n v="1"/>
    <e v="#VALUE!"/>
    <n v="0"/>
    <e v="#VALUE!"/>
    <s v=""/>
    <e v="#VALUE!"/>
    <n v="0"/>
    <e v="#VALUE!"/>
    <e v="#VALUE!"/>
    <s v=""/>
    <s v=""/>
    <s v=""/>
    <n v="0"/>
    <x v="2"/>
    <x v="5"/>
    <x v="1"/>
    <x v="1"/>
    <n v="22.2"/>
  </r>
  <r>
    <d v="2010-08-01T00:00:00"/>
    <x v="8"/>
    <x v="8"/>
    <x v="1"/>
    <s v="Compteur 8"/>
    <s v="Compteur_8"/>
    <x v="1"/>
    <d v="1899-12-30T00:00:00"/>
    <d v="1899-12-30T00:00:00"/>
    <n v="1"/>
    <e v="#VALUE!"/>
    <n v="0"/>
    <e v="#VALUE!"/>
    <s v=""/>
    <e v="#VALUE!"/>
    <n v="0"/>
    <e v="#VALUE!"/>
    <e v="#VALUE!"/>
    <s v=""/>
    <s v=""/>
    <s v=""/>
    <n v="0"/>
    <x v="2"/>
    <x v="5"/>
    <x v="1"/>
    <x v="1"/>
    <n v="41.5"/>
  </r>
  <r>
    <d v="2010-09-01T00:00:00"/>
    <x v="9"/>
    <x v="9"/>
    <x v="1"/>
    <s v="Compteur 8"/>
    <s v="Compteur_8"/>
    <x v="1"/>
    <d v="1899-12-30T00:00:00"/>
    <d v="1899-12-30T00:00:00"/>
    <n v="1"/>
    <e v="#VALUE!"/>
    <n v="0"/>
    <e v="#VALUE!"/>
    <s v=""/>
    <e v="#VALUE!"/>
    <n v="0"/>
    <e v="#VALUE!"/>
    <e v="#VALUE!"/>
    <s v=""/>
    <s v=""/>
    <s v=""/>
    <n v="0"/>
    <x v="2"/>
    <x v="5"/>
    <x v="1"/>
    <x v="1"/>
    <n v="95.4"/>
  </r>
  <r>
    <d v="2010-10-01T00:00:00"/>
    <x v="10"/>
    <x v="10"/>
    <x v="1"/>
    <s v="Compteur 8"/>
    <s v="Compteur_8"/>
    <x v="1"/>
    <d v="1899-12-30T00:00:00"/>
    <d v="1899-12-30T00:00:00"/>
    <n v="1"/>
    <e v="#VALUE!"/>
    <n v="0"/>
    <e v="#VALUE!"/>
    <s v=""/>
    <e v="#VALUE!"/>
    <n v="0"/>
    <e v="#VALUE!"/>
    <e v="#VALUE!"/>
    <s v=""/>
    <s v=""/>
    <s v=""/>
    <n v="0"/>
    <x v="2"/>
    <x v="5"/>
    <x v="1"/>
    <x v="1"/>
    <n v="190.1"/>
  </r>
  <r>
    <d v="2010-11-01T00:00:00"/>
    <x v="11"/>
    <x v="11"/>
    <x v="1"/>
    <s v="Compteur 8"/>
    <s v="Compteur_8"/>
    <x v="1"/>
    <d v="1899-12-30T00:00:00"/>
    <d v="1899-12-30T00:00:00"/>
    <n v="1"/>
    <e v="#VALUE!"/>
    <n v="0"/>
    <e v="#VALUE!"/>
    <s v=""/>
    <e v="#VALUE!"/>
    <n v="0"/>
    <e v="#VALUE!"/>
    <e v="#VALUE!"/>
    <s v=""/>
    <s v=""/>
    <s v=""/>
    <n v="0"/>
    <x v="2"/>
    <x v="5"/>
    <x v="1"/>
    <x v="1"/>
    <n v="320.89999999999998"/>
  </r>
  <r>
    <d v="2010-12-01T00:00:00"/>
    <x v="12"/>
    <x v="12"/>
    <x v="1"/>
    <s v="Compteur 8"/>
    <s v="Compteur_8"/>
    <x v="1"/>
    <d v="1899-12-30T00:00:00"/>
    <d v="1899-12-30T00:00:00"/>
    <n v="1"/>
    <e v="#VALUE!"/>
    <n v="0"/>
    <e v="#VALUE!"/>
    <s v=""/>
    <e v="#VALUE!"/>
    <n v="0"/>
    <e v="#VALUE!"/>
    <e v="#VALUE!"/>
    <s v=""/>
    <s v=""/>
    <s v=""/>
    <n v="0"/>
    <x v="2"/>
    <x v="5"/>
    <x v="1"/>
    <x v="1"/>
    <n v="500.7"/>
  </r>
  <r>
    <d v="2011-01-01T00:00:00"/>
    <x v="13"/>
    <x v="1"/>
    <x v="2"/>
    <s v="Compteur 8"/>
    <s v="Compteur_8"/>
    <x v="1"/>
    <d v="1899-12-30T00:00:00"/>
    <d v="1899-12-30T00:00:00"/>
    <n v="1"/>
    <e v="#VALUE!"/>
    <n v="0"/>
    <e v="#VALUE!"/>
    <s v=""/>
    <e v="#VALUE!"/>
    <n v="0"/>
    <e v="#VALUE!"/>
    <e v="#VALUE!"/>
    <s v=""/>
    <s v=""/>
    <s v=""/>
    <n v="0"/>
    <x v="2"/>
    <x v="5"/>
    <x v="1"/>
    <x v="1"/>
    <n v="392.2"/>
  </r>
  <r>
    <d v="2011-02-01T00:00:00"/>
    <x v="14"/>
    <x v="2"/>
    <x v="2"/>
    <s v="Compteur 8"/>
    <s v="Compteur_8"/>
    <x v="1"/>
    <d v="1899-12-30T00:00:00"/>
    <d v="1899-12-30T00:00:00"/>
    <n v="1"/>
    <e v="#VALUE!"/>
    <n v="0"/>
    <e v="#VALUE!"/>
    <s v=""/>
    <e v="#VALUE!"/>
    <n v="0"/>
    <e v="#VALUE!"/>
    <e v="#VALUE!"/>
    <s v=""/>
    <s v=""/>
    <s v=""/>
    <n v="0"/>
    <x v="2"/>
    <x v="5"/>
    <x v="1"/>
    <x v="1"/>
    <n v="299.10000000000002"/>
  </r>
  <r>
    <d v="2011-03-01T00:00:00"/>
    <x v="15"/>
    <x v="3"/>
    <x v="2"/>
    <s v="Compteur 8"/>
    <s v="Compteur_8"/>
    <x v="1"/>
    <d v="1899-12-30T00:00:00"/>
    <d v="1899-12-30T00:00:00"/>
    <n v="1"/>
    <e v="#VALUE!"/>
    <n v="0"/>
    <e v="#VALUE!"/>
    <s v=""/>
    <e v="#VALUE!"/>
    <n v="0"/>
    <e v="#VALUE!"/>
    <e v="#VALUE!"/>
    <s v=""/>
    <s v=""/>
    <s v=""/>
    <n v="0"/>
    <x v="2"/>
    <x v="5"/>
    <x v="1"/>
    <x v="1"/>
    <n v="266.5"/>
  </r>
  <r>
    <d v="2011-04-01T00:00:00"/>
    <x v="16"/>
    <x v="4"/>
    <x v="2"/>
    <s v="Compteur 8"/>
    <s v="Compteur_8"/>
    <x v="1"/>
    <d v="1899-12-30T00:00:00"/>
    <d v="1899-12-30T00:00:00"/>
    <n v="1"/>
    <e v="#VALUE!"/>
    <n v="0"/>
    <e v="#VALUE!"/>
    <s v=""/>
    <e v="#VALUE!"/>
    <n v="0"/>
    <e v="#VALUE!"/>
    <e v="#VALUE!"/>
    <s v=""/>
    <s v=""/>
    <s v=""/>
    <n v="0"/>
    <x v="2"/>
    <x v="5"/>
    <x v="1"/>
    <x v="1"/>
    <n v="136.19999999999999"/>
  </r>
  <r>
    <d v="2011-05-01T00:00:00"/>
    <x v="17"/>
    <x v="5"/>
    <x v="2"/>
    <s v="Compteur 8"/>
    <s v="Compteur_8"/>
    <x v="1"/>
    <d v="1899-12-30T00:00:00"/>
    <d v="1899-12-30T00:00:00"/>
    <n v="1"/>
    <e v="#VALUE!"/>
    <n v="0"/>
    <e v="#VALUE!"/>
    <s v=""/>
    <e v="#VALUE!"/>
    <n v="0"/>
    <e v="#VALUE!"/>
    <e v="#VALUE!"/>
    <s v=""/>
    <s v=""/>
    <s v=""/>
    <n v="0"/>
    <x v="2"/>
    <x v="5"/>
    <x v="1"/>
    <x v="1"/>
    <n v="91.9"/>
  </r>
  <r>
    <d v="2011-06-01T00:00:00"/>
    <x v="18"/>
    <x v="6"/>
    <x v="2"/>
    <s v="Compteur 8"/>
    <s v="Compteur_8"/>
    <x v="1"/>
    <d v="1899-12-30T00:00:00"/>
    <d v="1899-12-30T00:00:00"/>
    <n v="1"/>
    <e v="#VALUE!"/>
    <n v="0"/>
    <e v="#VALUE!"/>
    <s v=""/>
    <e v="#VALUE!"/>
    <n v="0"/>
    <e v="#VALUE!"/>
    <e v="#VALUE!"/>
    <s v=""/>
    <s v=""/>
    <s v=""/>
    <n v="0"/>
    <x v="2"/>
    <x v="5"/>
    <x v="1"/>
    <x v="1"/>
    <n v="55.8"/>
  </r>
  <r>
    <d v="2011-07-01T00:00:00"/>
    <x v="19"/>
    <x v="7"/>
    <x v="2"/>
    <s v="Compteur 8"/>
    <s v="Compteur_8"/>
    <x v="1"/>
    <d v="1899-12-30T00:00:00"/>
    <d v="1899-12-30T00:00:00"/>
    <n v="1"/>
    <e v="#VALUE!"/>
    <n v="0"/>
    <e v="#VALUE!"/>
    <s v=""/>
    <e v="#VALUE!"/>
    <n v="0"/>
    <e v="#VALUE!"/>
    <e v="#VALUE!"/>
    <s v=""/>
    <s v=""/>
    <s v=""/>
    <n v="0"/>
    <x v="2"/>
    <x v="5"/>
    <x v="1"/>
    <x v="1"/>
    <n v="50.8"/>
  </r>
  <r>
    <d v="2011-08-01T00:00:00"/>
    <x v="20"/>
    <x v="8"/>
    <x v="2"/>
    <s v="Compteur 8"/>
    <s v="Compteur_8"/>
    <x v="1"/>
    <d v="1899-12-30T00:00:00"/>
    <d v="1899-12-30T00:00:00"/>
    <n v="1"/>
    <e v="#VALUE!"/>
    <n v="0"/>
    <e v="#VALUE!"/>
    <s v=""/>
    <e v="#VALUE!"/>
    <n v="0"/>
    <e v="#VALUE!"/>
    <e v="#VALUE!"/>
    <s v=""/>
    <s v=""/>
    <s v=""/>
    <n v="0"/>
    <x v="2"/>
    <x v="5"/>
    <x v="1"/>
    <x v="1"/>
    <n v="34.700000000000003"/>
  </r>
  <r>
    <d v="2011-09-01T00:00:00"/>
    <x v="21"/>
    <x v="9"/>
    <x v="2"/>
    <s v="Compteur 8"/>
    <s v="Compteur_8"/>
    <x v="1"/>
    <d v="1899-12-30T00:00:00"/>
    <d v="1899-12-30T00:00:00"/>
    <n v="1"/>
    <e v="#VALUE!"/>
    <n v="0"/>
    <e v="#VALUE!"/>
    <s v=""/>
    <e v="#VALUE!"/>
    <n v="0"/>
    <e v="#VALUE!"/>
    <e v="#VALUE!"/>
    <s v=""/>
    <s v=""/>
    <s v=""/>
    <n v="0"/>
    <x v="2"/>
    <x v="5"/>
    <x v="1"/>
    <x v="1"/>
    <n v="51.3"/>
  </r>
  <r>
    <d v="2011-10-01T00:00:00"/>
    <x v="22"/>
    <x v="10"/>
    <x v="2"/>
    <s v="Compteur 8"/>
    <s v="Compteur_8"/>
    <x v="1"/>
    <d v="1899-12-30T00:00:00"/>
    <d v="1899-12-30T00:00:00"/>
    <n v="1"/>
    <e v="#VALUE!"/>
    <n v="0"/>
    <e v="#VALUE!"/>
    <s v=""/>
    <e v="#VALUE!"/>
    <n v="0"/>
    <e v="#VALUE!"/>
    <e v="#VALUE!"/>
    <s v=""/>
    <s v=""/>
    <s v=""/>
    <n v="0"/>
    <x v="2"/>
    <x v="5"/>
    <x v="1"/>
    <x v="1"/>
    <n v="145.6"/>
  </r>
  <r>
    <d v="2011-11-01T00:00:00"/>
    <x v="23"/>
    <x v="11"/>
    <x v="2"/>
    <s v="Compteur 8"/>
    <s v="Compteur_8"/>
    <x v="1"/>
    <d v="1899-12-30T00:00:00"/>
    <d v="1899-12-30T00:00:00"/>
    <n v="1"/>
    <e v="#VALUE!"/>
    <n v="0"/>
    <e v="#VALUE!"/>
    <s v=""/>
    <e v="#VALUE!"/>
    <n v="0"/>
    <e v="#VALUE!"/>
    <e v="#VALUE!"/>
    <s v=""/>
    <s v=""/>
    <s v=""/>
    <n v="0"/>
    <x v="2"/>
    <x v="5"/>
    <x v="1"/>
    <x v="1"/>
    <n v="205.3"/>
  </r>
  <r>
    <d v="2011-12-01T00:00:00"/>
    <x v="24"/>
    <x v="12"/>
    <x v="2"/>
    <s v="Compteur 8"/>
    <s v="Compteur_8"/>
    <x v="1"/>
    <d v="1899-12-30T00:00:00"/>
    <d v="1899-12-30T00:00:00"/>
    <n v="1"/>
    <e v="#VALUE!"/>
    <n v="0"/>
    <e v="#VALUE!"/>
    <s v=""/>
    <e v="#VALUE!"/>
    <n v="0"/>
    <e v="#VALUE!"/>
    <e v="#VALUE!"/>
    <s v=""/>
    <s v=""/>
    <s v=""/>
    <n v="0"/>
    <x v="2"/>
    <x v="5"/>
    <x v="1"/>
    <x v="1"/>
    <n v="307.5"/>
  </r>
  <r>
    <d v="2012-01-01T00:00:00"/>
    <x v="25"/>
    <x v="1"/>
    <x v="3"/>
    <s v="Compteur 8"/>
    <s v="Compteur_8"/>
    <x v="1"/>
    <d v="1899-12-30T00:00:00"/>
    <d v="1899-12-30T00:00:00"/>
    <n v="1"/>
    <e v="#VALUE!"/>
    <n v="0"/>
    <e v="#VALUE!"/>
    <s v=""/>
    <e v="#VALUE!"/>
    <n v="0"/>
    <e v="#VALUE!"/>
    <e v="#VALUE!"/>
    <s v=""/>
    <s v=""/>
    <s v=""/>
    <n v="0"/>
    <x v="2"/>
    <x v="5"/>
    <x v="1"/>
    <x v="1"/>
    <n v="348.8"/>
  </r>
  <r>
    <d v="2012-02-01T00:00:00"/>
    <x v="26"/>
    <x v="2"/>
    <x v="3"/>
    <s v="Compteur 8"/>
    <s v="Compteur_8"/>
    <x v="1"/>
    <d v="1899-12-30T00:00:00"/>
    <d v="1899-12-30T00:00:00"/>
    <n v="1"/>
    <e v="#VALUE!"/>
    <n v="0"/>
    <e v="#VALUE!"/>
    <s v=""/>
    <e v="#VALUE!"/>
    <n v="0"/>
    <e v="#VALUE!"/>
    <e v="#VALUE!"/>
    <s v=""/>
    <s v=""/>
    <s v=""/>
    <n v="0"/>
    <x v="2"/>
    <x v="5"/>
    <x v="1"/>
    <x v="1"/>
    <n v="469.8"/>
  </r>
  <r>
    <d v="2012-03-01T00:00:00"/>
    <x v="27"/>
    <x v="3"/>
    <x v="3"/>
    <s v="Compteur 8"/>
    <s v="Compteur_8"/>
    <x v="1"/>
    <d v="1899-12-30T00:00:00"/>
    <d v="1899-12-30T00:00:00"/>
    <n v="1"/>
    <e v="#VALUE!"/>
    <n v="0"/>
    <e v="#VALUE!"/>
    <s v=""/>
    <e v="#VALUE!"/>
    <n v="0"/>
    <e v="#VALUE!"/>
    <e v="#VALUE!"/>
    <s v=""/>
    <s v=""/>
    <s v=""/>
    <n v="0"/>
    <x v="2"/>
    <x v="5"/>
    <x v="1"/>
    <x v="1"/>
    <n v="247.3"/>
  </r>
  <r>
    <d v="2012-04-01T00:00:00"/>
    <x v="28"/>
    <x v="4"/>
    <x v="3"/>
    <s v="Compteur 8"/>
    <s v="Compteur_8"/>
    <x v="1"/>
    <d v="1899-12-30T00:00:00"/>
    <d v="1899-12-30T00:00:00"/>
    <n v="1"/>
    <e v="#VALUE!"/>
    <n v="0"/>
    <e v="#VALUE!"/>
    <s v=""/>
    <e v="#VALUE!"/>
    <n v="0"/>
    <e v="#VALUE!"/>
    <e v="#VALUE!"/>
    <s v=""/>
    <s v=""/>
    <s v=""/>
    <n v="0"/>
    <x v="2"/>
    <x v="5"/>
    <x v="1"/>
    <x v="1"/>
    <n v="253.8"/>
  </r>
  <r>
    <d v="2012-05-01T00:00:00"/>
    <x v="29"/>
    <x v="5"/>
    <x v="3"/>
    <s v="Compteur 8"/>
    <s v="Compteur_8"/>
    <x v="1"/>
    <d v="1899-12-30T00:00:00"/>
    <d v="1899-12-30T00:00:00"/>
    <n v="1"/>
    <e v="#VALUE!"/>
    <n v="0"/>
    <e v="#VALUE!"/>
    <s v=""/>
    <e v="#VALUE!"/>
    <n v="0"/>
    <e v="#VALUE!"/>
    <e v="#VALUE!"/>
    <s v=""/>
    <s v=""/>
    <s v=""/>
    <n v="0"/>
    <x v="2"/>
    <x v="5"/>
    <x v="1"/>
    <x v="1"/>
    <n v="113.8"/>
  </r>
  <r>
    <d v="2012-06-01T00:00:00"/>
    <x v="30"/>
    <x v="6"/>
    <x v="3"/>
    <s v="Compteur 8"/>
    <s v="Compteur_8"/>
    <x v="1"/>
    <d v="1899-12-30T00:00:00"/>
    <d v="1899-12-30T00:00:00"/>
    <n v="1"/>
    <e v="#VALUE!"/>
    <n v="0"/>
    <e v="#VALUE!"/>
    <s v=""/>
    <e v="#VALUE!"/>
    <n v="0"/>
    <e v="#VALUE!"/>
    <e v="#VALUE!"/>
    <s v=""/>
    <s v=""/>
    <s v=""/>
    <n v="0"/>
    <x v="2"/>
    <x v="5"/>
    <x v="1"/>
    <x v="1"/>
    <n v="59.4"/>
  </r>
  <r>
    <d v="2012-07-01T00:00:00"/>
    <x v="31"/>
    <x v="7"/>
    <x v="3"/>
    <s v="Compteur 8"/>
    <s v="Compteur_8"/>
    <x v="1"/>
    <d v="1899-12-30T00:00:00"/>
    <d v="1899-12-30T00:00:00"/>
    <n v="1"/>
    <e v="#VALUE!"/>
    <n v="0"/>
    <e v="#VALUE!"/>
    <s v=""/>
    <e v="#VALUE!"/>
    <n v="0"/>
    <e v="#VALUE!"/>
    <e v="#VALUE!"/>
    <s v=""/>
    <s v=""/>
    <s v=""/>
    <n v="0"/>
    <x v="2"/>
    <x v="5"/>
    <x v="1"/>
    <x v="1"/>
    <n v="48.9"/>
  </r>
  <r>
    <d v="2012-08-01T00:00:00"/>
    <x v="32"/>
    <x v="8"/>
    <x v="3"/>
    <s v="Compteur 8"/>
    <s v="Compteur_8"/>
    <x v="1"/>
    <d v="1899-12-30T00:00:00"/>
    <d v="1899-12-30T00:00:00"/>
    <n v="1"/>
    <e v="#VALUE!"/>
    <n v="0"/>
    <e v="#VALUE!"/>
    <s v=""/>
    <e v="#VALUE!"/>
    <n v="0"/>
    <e v="#VALUE!"/>
    <e v="#VALUE!"/>
    <s v=""/>
    <s v=""/>
    <s v=""/>
    <n v="0"/>
    <x v="2"/>
    <x v="5"/>
    <x v="1"/>
    <x v="1"/>
    <n v="28.8"/>
  </r>
  <r>
    <d v="2012-09-01T00:00:00"/>
    <x v="33"/>
    <x v="9"/>
    <x v="3"/>
    <s v="Compteur 8"/>
    <s v="Compteur_8"/>
    <x v="1"/>
    <d v="1899-12-30T00:00:00"/>
    <d v="1899-12-30T00:00:00"/>
    <n v="1"/>
    <e v="#VALUE!"/>
    <n v="0"/>
    <e v="#VALUE!"/>
    <s v=""/>
    <e v="#VALUE!"/>
    <n v="0"/>
    <e v="#VALUE!"/>
    <e v="#VALUE!"/>
    <s v=""/>
    <s v=""/>
    <s v=""/>
    <n v="0"/>
    <x v="2"/>
    <x v="5"/>
    <x v="1"/>
    <x v="1"/>
    <n v="108.1"/>
  </r>
  <r>
    <d v="2012-10-01T00:00:00"/>
    <x v="34"/>
    <x v="10"/>
    <x v="3"/>
    <s v="Compteur 8"/>
    <s v="Compteur_8"/>
    <x v="1"/>
    <d v="1899-12-30T00:00:00"/>
    <d v="1899-12-30T00:00:00"/>
    <n v="1"/>
    <e v="#VALUE!"/>
    <n v="0"/>
    <e v="#VALUE!"/>
    <s v=""/>
    <e v="#VALUE!"/>
    <n v="0"/>
    <e v="#VALUE!"/>
    <e v="#VALUE!"/>
    <s v=""/>
    <s v=""/>
    <s v=""/>
    <n v="0"/>
    <x v="2"/>
    <x v="5"/>
    <x v="1"/>
    <x v="1"/>
    <n v="161.69999999999999"/>
  </r>
  <r>
    <d v="2012-11-01T00:00:00"/>
    <x v="35"/>
    <x v="11"/>
    <x v="3"/>
    <s v="Compteur 8"/>
    <s v="Compteur_8"/>
    <x v="1"/>
    <d v="1899-12-30T00:00:00"/>
    <d v="1899-12-30T00:00:00"/>
    <n v="1"/>
    <e v="#VALUE!"/>
    <n v="0"/>
    <e v="#VALUE!"/>
    <s v=""/>
    <e v="#VALUE!"/>
    <n v="0"/>
    <e v="#VALUE!"/>
    <e v="#VALUE!"/>
    <s v=""/>
    <s v=""/>
    <s v=""/>
    <n v="0"/>
    <x v="2"/>
    <x v="5"/>
    <x v="1"/>
    <x v="1"/>
    <n v="300.39999999999998"/>
  </r>
  <r>
    <d v="2012-12-01T00:00:00"/>
    <x v="36"/>
    <x v="12"/>
    <x v="3"/>
    <s v="Compteur 8"/>
    <s v="Compteur_8"/>
    <x v="1"/>
    <d v="1899-12-30T00:00:00"/>
    <d v="1899-12-30T00:00:00"/>
    <n v="1"/>
    <e v="#VALUE!"/>
    <n v="0"/>
    <e v="#VALUE!"/>
    <s v=""/>
    <e v="#VALUE!"/>
    <n v="0"/>
    <e v="#VALUE!"/>
    <e v="#VALUE!"/>
    <s v=""/>
    <s v=""/>
    <s v=""/>
    <n v="0"/>
    <x v="2"/>
    <x v="5"/>
    <x v="1"/>
    <x v="1"/>
    <n v="333.7"/>
  </r>
  <r>
    <d v="2013-01-01T00:00:00"/>
    <x v="37"/>
    <x v="1"/>
    <x v="4"/>
    <s v="Compteur 8"/>
    <s v="Compteur_8"/>
    <x v="1"/>
    <d v="1899-12-30T00:00:00"/>
    <d v="1899-12-30T00:00:00"/>
    <n v="1"/>
    <e v="#VALUE!"/>
    <n v="0"/>
    <e v="#VALUE!"/>
    <s v=""/>
    <e v="#VALUE!"/>
    <n v="0"/>
    <e v="#VALUE!"/>
    <e v="#VALUE!"/>
    <s v=""/>
    <s v=""/>
    <s v=""/>
    <n v="0"/>
    <x v="2"/>
    <x v="5"/>
    <x v="1"/>
    <x v="1"/>
    <n v="409.5"/>
  </r>
  <r>
    <d v="2013-02-01T00:00:00"/>
    <x v="38"/>
    <x v="2"/>
    <x v="4"/>
    <s v="Compteur 8"/>
    <s v="Compteur_8"/>
    <x v="1"/>
    <d v="1899-12-30T00:00:00"/>
    <d v="1899-12-30T00:00:00"/>
    <n v="1"/>
    <e v="#VALUE!"/>
    <n v="0"/>
    <e v="#VALUE!"/>
    <s v=""/>
    <e v="#VALUE!"/>
    <n v="0"/>
    <e v="#VALUE!"/>
    <e v="#VALUE!"/>
    <s v=""/>
    <s v=""/>
    <s v=""/>
    <n v="0"/>
    <x v="2"/>
    <x v="5"/>
    <x v="1"/>
    <x v="1"/>
    <n v="389.8"/>
  </r>
  <r>
    <d v="2013-03-01T00:00:00"/>
    <x v="39"/>
    <x v="3"/>
    <x v="4"/>
    <s v="Compteur 8"/>
    <s v="Compteur_8"/>
    <x v="1"/>
    <d v="1899-12-30T00:00:00"/>
    <d v="1899-12-30T00:00:00"/>
    <n v="1"/>
    <e v="#VALUE!"/>
    <n v="0"/>
    <e v="#VALUE!"/>
    <s v=""/>
    <e v="#VALUE!"/>
    <n v="0"/>
    <e v="#VALUE!"/>
    <e v="#VALUE!"/>
    <s v=""/>
    <s v=""/>
    <s v=""/>
    <n v="0"/>
    <x v="2"/>
    <x v="5"/>
    <x v="1"/>
    <x v="1"/>
    <n v="360.4"/>
  </r>
  <r>
    <d v="2013-04-01T00:00:00"/>
    <x v="40"/>
    <x v="4"/>
    <x v="4"/>
    <s v="Compteur 8"/>
    <s v="Compteur_8"/>
    <x v="1"/>
    <d v="1899-12-30T00:00:00"/>
    <d v="1899-12-30T00:00:00"/>
    <n v="1"/>
    <e v="#VALUE!"/>
    <n v="0"/>
    <e v="#VALUE!"/>
    <s v=""/>
    <e v="#VALUE!"/>
    <n v="0"/>
    <e v="#VALUE!"/>
    <e v="#VALUE!"/>
    <s v=""/>
    <s v=""/>
    <s v=""/>
    <n v="0"/>
    <x v="2"/>
    <x v="5"/>
    <x v="1"/>
    <x v="1"/>
    <n v="247.2"/>
  </r>
  <r>
    <d v="2013-05-01T00:00:00"/>
    <x v="41"/>
    <x v="5"/>
    <x v="4"/>
    <s v="Compteur 8"/>
    <s v="Compteur_8"/>
    <x v="1"/>
    <d v="1899-12-30T00:00:00"/>
    <d v="1899-12-30T00:00:00"/>
    <n v="1"/>
    <e v="#VALUE!"/>
    <n v="0"/>
    <e v="#VALUE!"/>
    <s v=""/>
    <e v="#VALUE!"/>
    <n v="0"/>
    <e v="#VALUE!"/>
    <e v="#VALUE!"/>
    <s v=""/>
    <s v=""/>
    <s v=""/>
    <n v="0"/>
    <x v="2"/>
    <x v="5"/>
    <x v="1"/>
    <x v="1"/>
    <n v="175.2"/>
  </r>
  <r>
    <d v="2013-06-01T00:00:00"/>
    <x v="42"/>
    <x v="6"/>
    <x v="4"/>
    <s v="Compteur 8"/>
    <s v="Compteur_8"/>
    <x v="1"/>
    <d v="1899-12-30T00:00:00"/>
    <d v="1899-12-30T00:00:00"/>
    <n v="1"/>
    <e v="#VALUE!"/>
    <n v="0"/>
    <e v="#VALUE!"/>
    <s v=""/>
    <e v="#VALUE!"/>
    <n v="0"/>
    <e v="#VALUE!"/>
    <e v="#VALUE!"/>
    <s v=""/>
    <s v=""/>
    <s v=""/>
    <n v="0"/>
    <x v="2"/>
    <x v="5"/>
    <x v="1"/>
    <x v="1"/>
    <n v="68"/>
  </r>
  <r>
    <d v="2013-07-01T00:00:00"/>
    <x v="43"/>
    <x v="7"/>
    <x v="4"/>
    <s v="Compteur 8"/>
    <s v="Compteur_8"/>
    <x v="1"/>
    <d v="1899-12-30T00:00:00"/>
    <d v="1899-12-30T00:00:00"/>
    <n v="1"/>
    <e v="#VALUE!"/>
    <n v="0"/>
    <e v="#VALUE!"/>
    <s v=""/>
    <e v="#VALUE!"/>
    <n v="0"/>
    <e v="#VALUE!"/>
    <e v="#VALUE!"/>
    <s v=""/>
    <s v=""/>
    <s v=""/>
    <n v="0"/>
    <x v="2"/>
    <x v="5"/>
    <x v="1"/>
    <x v="1"/>
    <n v="13.3"/>
  </r>
  <r>
    <d v="2013-08-01T00:00:00"/>
    <x v="44"/>
    <x v="8"/>
    <x v="4"/>
    <s v="Compteur 8"/>
    <s v="Compteur_8"/>
    <x v="1"/>
    <d v="1899-12-30T00:00:00"/>
    <d v="1899-12-30T00:00:00"/>
    <n v="1"/>
    <e v="#VALUE!"/>
    <n v="0"/>
    <e v="#VALUE!"/>
    <s v=""/>
    <e v="#VALUE!"/>
    <n v="0"/>
    <e v="#VALUE!"/>
    <e v="#VALUE!"/>
    <s v=""/>
    <s v=""/>
    <s v=""/>
    <n v="0"/>
    <x v="2"/>
    <x v="5"/>
    <x v="1"/>
    <x v="1"/>
    <n v="38.5"/>
  </r>
  <r>
    <d v="2013-09-01T00:00:00"/>
    <x v="45"/>
    <x v="9"/>
    <x v="4"/>
    <s v="Compteur 8"/>
    <s v="Compteur_8"/>
    <x v="1"/>
    <d v="1899-12-30T00:00:00"/>
    <d v="1899-12-30T00:00:00"/>
    <n v="1"/>
    <e v="#VALUE!"/>
    <n v="0"/>
    <e v="#VALUE!"/>
    <s v=""/>
    <e v="#VALUE!"/>
    <n v="0"/>
    <e v="#VALUE!"/>
    <e v="#VALUE!"/>
    <s v=""/>
    <s v=""/>
    <s v=""/>
    <n v="0"/>
    <x v="2"/>
    <x v="5"/>
    <x v="1"/>
    <x v="1"/>
    <n v="69.2"/>
  </r>
  <r>
    <d v="2013-10-01T00:00:00"/>
    <x v="46"/>
    <x v="10"/>
    <x v="4"/>
    <s v="Compteur 8"/>
    <s v="Compteur_8"/>
    <x v="1"/>
    <d v="1899-12-30T00:00:00"/>
    <d v="1899-12-30T00:00:00"/>
    <n v="1"/>
    <e v="#VALUE!"/>
    <n v="0"/>
    <e v="#VALUE!"/>
    <s v=""/>
    <e v="#VALUE!"/>
    <n v="0"/>
    <e v="#VALUE!"/>
    <e v="#VALUE!"/>
    <s v=""/>
    <s v=""/>
    <s v=""/>
    <n v="0"/>
    <x v="2"/>
    <x v="5"/>
    <x v="1"/>
    <x v="1"/>
    <n v="122.6"/>
  </r>
  <r>
    <d v="2013-11-01T00:00:00"/>
    <x v="47"/>
    <x v="11"/>
    <x v="4"/>
    <s v="Compteur 8"/>
    <s v="Compteur_8"/>
    <x v="1"/>
    <d v="1899-12-30T00:00:00"/>
    <d v="1899-12-30T00:00:00"/>
    <n v="1"/>
    <e v="#VALUE!"/>
    <n v="0"/>
    <e v="#VALUE!"/>
    <s v=""/>
    <e v="#VALUE!"/>
    <n v="0"/>
    <e v="#VALUE!"/>
    <e v="#VALUE!"/>
    <s v=""/>
    <s v=""/>
    <s v=""/>
    <n v="0"/>
    <x v="2"/>
    <x v="5"/>
    <x v="1"/>
    <x v="1"/>
    <n v="311.10000000000002"/>
  </r>
  <r>
    <d v="2013-12-01T00:00:00"/>
    <x v="48"/>
    <x v="12"/>
    <x v="4"/>
    <s v="Compteur 8"/>
    <s v="Compteur_8"/>
    <x v="1"/>
    <d v="1899-12-30T00:00:00"/>
    <d v="1899-12-30T00:00:00"/>
    <n v="1"/>
    <e v="#VALUE!"/>
    <n v="0"/>
    <e v="#VALUE!"/>
    <s v=""/>
    <e v="#VALUE!"/>
    <n v="0"/>
    <e v="#VALUE!"/>
    <e v="#VALUE!"/>
    <s v=""/>
    <s v=""/>
    <s v=""/>
    <n v="0"/>
    <x v="2"/>
    <x v="5"/>
    <x v="1"/>
    <x v="1"/>
    <n v="380.4"/>
  </r>
  <r>
    <d v="2014-01-01T00:00:00"/>
    <x v="49"/>
    <x v="1"/>
    <x v="5"/>
    <s v="Compteur 8"/>
    <s v="Compteur_8"/>
    <x v="1"/>
    <d v="1899-12-30T00:00:00"/>
    <d v="1899-12-30T00:00:00"/>
    <n v="1"/>
    <e v="#VALUE!"/>
    <n v="0"/>
    <e v="#VALUE!"/>
    <s v=""/>
    <e v="#VALUE!"/>
    <n v="0"/>
    <e v="#VALUE!"/>
    <e v="#VALUE!"/>
    <s v=""/>
    <s v=""/>
    <s v=""/>
    <n v="0"/>
    <x v="2"/>
    <x v="5"/>
    <x v="1"/>
    <x v="1"/>
    <n v="320.5"/>
  </r>
  <r>
    <d v="2014-02-01T00:00:00"/>
    <x v="50"/>
    <x v="2"/>
    <x v="5"/>
    <s v="Compteur 8"/>
    <s v="Compteur_8"/>
    <x v="1"/>
    <d v="1899-12-30T00:00:00"/>
    <d v="1899-12-30T00:00:00"/>
    <n v="1"/>
    <e v="#VALUE!"/>
    <n v="0"/>
    <e v="#VALUE!"/>
    <s v=""/>
    <e v="#VALUE!"/>
    <n v="0"/>
    <e v="#VALUE!"/>
    <e v="#VALUE!"/>
    <s v=""/>
    <s v=""/>
    <s v=""/>
    <n v="0"/>
    <x v="2"/>
    <x v="5"/>
    <x v="1"/>
    <x v="1"/>
    <n v="281.3"/>
  </r>
  <r>
    <d v="2014-03-01T00:00:00"/>
    <x v="51"/>
    <x v="3"/>
    <x v="5"/>
    <s v="Compteur 8"/>
    <s v="Compteur_8"/>
    <x v="1"/>
    <d v="1899-12-30T00:00:00"/>
    <d v="1899-12-30T00:00:00"/>
    <n v="1"/>
    <e v="#VALUE!"/>
    <n v="0"/>
    <e v="#VALUE!"/>
    <s v=""/>
    <e v="#VALUE!"/>
    <n v="0"/>
    <e v="#VALUE!"/>
    <e v="#VALUE!"/>
    <s v=""/>
    <s v=""/>
    <s v=""/>
    <n v="0"/>
    <x v="2"/>
    <x v="5"/>
    <x v="1"/>
    <x v="1"/>
    <n v="263.89999999999998"/>
  </r>
  <r>
    <d v="2014-04-01T00:00:00"/>
    <x v="52"/>
    <x v="4"/>
    <x v="5"/>
    <s v="Compteur 8"/>
    <s v="Compteur_8"/>
    <x v="1"/>
    <d v="1899-12-30T00:00:00"/>
    <d v="1899-12-30T00:00:00"/>
    <n v="1"/>
    <e v="#VALUE!"/>
    <n v="0"/>
    <e v="#VALUE!"/>
    <s v=""/>
    <e v="#VALUE!"/>
    <n v="0"/>
    <e v="#VALUE!"/>
    <e v="#VALUE!"/>
    <s v=""/>
    <s v=""/>
    <s v=""/>
    <n v="0"/>
    <x v="2"/>
    <x v="5"/>
    <x v="1"/>
    <x v="1"/>
    <n v="174.2"/>
  </r>
  <r>
    <d v="2014-05-01T00:00:00"/>
    <x v="53"/>
    <x v="5"/>
    <x v="5"/>
    <s v="Compteur 8"/>
    <s v="Compteur_8"/>
    <x v="1"/>
    <d v="1899-12-30T00:00:00"/>
    <d v="1899-12-30T00:00:00"/>
    <n v="1"/>
    <e v="#VALUE!"/>
    <n v="0"/>
    <e v="#VALUE!"/>
    <s v=""/>
    <e v="#VALUE!"/>
    <n v="0"/>
    <e v="#VALUE!"/>
    <e v="#VALUE!"/>
    <s v=""/>
    <s v=""/>
    <s v=""/>
    <n v="0"/>
    <x v="2"/>
    <x v="5"/>
    <x v="1"/>
    <x v="1"/>
    <n v="134.5"/>
  </r>
  <r>
    <d v="2014-06-01T00:00:00"/>
    <x v="54"/>
    <x v="6"/>
    <x v="5"/>
    <s v="Compteur 8"/>
    <s v="Compteur_8"/>
    <x v="1"/>
    <d v="1899-12-30T00:00:00"/>
    <d v="1899-12-30T00:00:00"/>
    <n v="1"/>
    <e v="#VALUE!"/>
    <n v="0"/>
    <e v="#VALUE!"/>
    <s v=""/>
    <e v="#VALUE!"/>
    <n v="0"/>
    <e v="#VALUE!"/>
    <e v="#VALUE!"/>
    <s v=""/>
    <s v=""/>
    <s v=""/>
    <n v="0"/>
    <x v="2"/>
    <x v="5"/>
    <x v="1"/>
    <x v="1"/>
    <n v="48.5"/>
  </r>
  <r>
    <d v="2014-07-01T00:00:00"/>
    <x v="55"/>
    <x v="7"/>
    <x v="5"/>
    <s v="Compteur 8"/>
    <s v="Compteur_8"/>
    <x v="1"/>
    <d v="1899-12-30T00:00:00"/>
    <d v="1899-12-30T00:00:00"/>
    <n v="1"/>
    <e v="#VALUE!"/>
    <n v="0"/>
    <e v="#VALUE!"/>
    <s v=""/>
    <e v="#VALUE!"/>
    <n v="0"/>
    <e v="#VALUE!"/>
    <e v="#VALUE!"/>
    <s v=""/>
    <s v=""/>
    <s v=""/>
    <n v="0"/>
    <x v="2"/>
    <x v="5"/>
    <x v="1"/>
    <x v="1"/>
    <n v="22.6"/>
  </r>
  <r>
    <d v="2014-08-01T00:00:00"/>
    <x v="56"/>
    <x v="8"/>
    <x v="5"/>
    <s v="Compteur 8"/>
    <s v="Compteur_8"/>
    <x v="1"/>
    <d v="1899-12-30T00:00:00"/>
    <d v="1899-12-30T00:00:00"/>
    <n v="1"/>
    <e v="#VALUE!"/>
    <n v="0"/>
    <e v="#VALUE!"/>
    <s v=""/>
    <e v="#VALUE!"/>
    <n v="0"/>
    <e v="#VALUE!"/>
    <e v="#VALUE!"/>
    <s v=""/>
    <s v=""/>
    <s v=""/>
    <n v="0"/>
    <x v="2"/>
    <x v="5"/>
    <x v="1"/>
    <x v="1"/>
    <n v="51.9"/>
  </r>
  <r>
    <d v="2014-09-01T00:00:00"/>
    <x v="57"/>
    <x v="9"/>
    <x v="5"/>
    <s v="Compteur 8"/>
    <s v="Compteur_8"/>
    <x v="1"/>
    <d v="1899-12-30T00:00:00"/>
    <d v="1899-12-30T00:00:00"/>
    <n v="1"/>
    <e v="#VALUE!"/>
    <n v="0"/>
    <e v="#VALUE!"/>
    <s v=""/>
    <e v="#VALUE!"/>
    <n v="0"/>
    <e v="#VALUE!"/>
    <e v="#VALUE!"/>
    <s v=""/>
    <s v=""/>
    <s v=""/>
    <n v="0"/>
    <x v="2"/>
    <x v="5"/>
    <x v="1"/>
    <x v="1"/>
    <n v="54.3"/>
  </r>
  <r>
    <d v="2014-10-01T00:00:00"/>
    <x v="58"/>
    <x v="10"/>
    <x v="5"/>
    <s v="Compteur 8"/>
    <s v="Compteur_8"/>
    <x v="1"/>
    <d v="1899-12-30T00:00:00"/>
    <d v="1899-12-30T00:00:00"/>
    <n v="1"/>
    <e v="#VALUE!"/>
    <n v="0"/>
    <e v="#VALUE!"/>
    <s v=""/>
    <e v="#VALUE!"/>
    <n v="0"/>
    <e v="#VALUE!"/>
    <e v="#VALUE!"/>
    <s v=""/>
    <s v=""/>
    <s v=""/>
    <n v="0"/>
    <x v="2"/>
    <x v="5"/>
    <x v="1"/>
    <x v="1"/>
    <n v="124.2"/>
  </r>
  <r>
    <d v="2014-11-01T00:00:00"/>
    <x v="59"/>
    <x v="11"/>
    <x v="5"/>
    <s v="Compteur 8"/>
    <s v="Compteur_8"/>
    <x v="1"/>
    <d v="1899-12-30T00:00:00"/>
    <d v="1899-12-30T00:00:00"/>
    <n v="1"/>
    <e v="#VALUE!"/>
    <n v="0"/>
    <e v="#VALUE!"/>
    <s v=""/>
    <e v="#VALUE!"/>
    <n v="0"/>
    <e v="#VALUE!"/>
    <e v="#VALUE!"/>
    <s v=""/>
    <s v=""/>
    <s v=""/>
    <n v="0"/>
    <x v="2"/>
    <x v="5"/>
    <x v="1"/>
    <x v="1"/>
    <n v="219.5"/>
  </r>
  <r>
    <d v="2014-12-01T00:00:00"/>
    <x v="60"/>
    <x v="12"/>
    <x v="5"/>
    <s v="Compteur 8"/>
    <s v="Compteur_8"/>
    <x v="1"/>
    <d v="1899-12-30T00:00:00"/>
    <d v="1899-12-30T00:00:00"/>
    <n v="1"/>
    <e v="#VALUE!"/>
    <n v="0"/>
    <e v="#VALUE!"/>
    <s v=""/>
    <e v="#VALUE!"/>
    <n v="0"/>
    <e v="#VALUE!"/>
    <e v="#VALUE!"/>
    <s v=""/>
    <s v=""/>
    <s v=""/>
    <n v="0"/>
    <x v="2"/>
    <x v="5"/>
    <x v="1"/>
    <x v="1"/>
    <n v="374.8"/>
  </r>
  <r>
    <d v="2015-01-01T00:00:00"/>
    <x v="61"/>
    <x v="1"/>
    <x v="6"/>
    <s v="Compteur 8"/>
    <s v="Compteur_8"/>
    <x v="1"/>
    <d v="1899-12-30T00:00:00"/>
    <d v="1899-12-30T00:00:00"/>
    <n v="1"/>
    <e v="#VALUE!"/>
    <n v="0"/>
    <e v="#VALUE!"/>
    <s v=""/>
    <e v="#VALUE!"/>
    <n v="0"/>
    <e v="#VALUE!"/>
    <e v="#VALUE!"/>
    <s v=""/>
    <s v=""/>
    <s v=""/>
    <n v="0"/>
    <x v="2"/>
    <x v="5"/>
    <x v="1"/>
    <x v="1"/>
    <n v="392.1"/>
  </r>
  <r>
    <d v="2015-02-01T00:00:00"/>
    <x v="62"/>
    <x v="2"/>
    <x v="6"/>
    <s v="Compteur 8"/>
    <s v="Compteur_8"/>
    <x v="1"/>
    <d v="1899-12-30T00:00:00"/>
    <d v="1899-12-30T00:00:00"/>
    <n v="1"/>
    <e v="#VALUE!"/>
    <n v="0"/>
    <e v="#VALUE!"/>
    <s v=""/>
    <e v="#VALUE!"/>
    <n v="0"/>
    <e v="#VALUE!"/>
    <e v="#VALUE!"/>
    <s v=""/>
    <s v=""/>
    <s v=""/>
    <n v="0"/>
    <x v="2"/>
    <x v="5"/>
    <x v="1"/>
    <x v="1"/>
    <n v="366.9"/>
  </r>
  <r>
    <d v="2015-03-01T00:00:00"/>
    <x v="63"/>
    <x v="3"/>
    <x v="6"/>
    <s v="Compteur 8"/>
    <s v="Compteur_8"/>
    <x v="1"/>
    <d v="1899-12-30T00:00:00"/>
    <d v="1899-12-30T00:00:00"/>
    <n v="1"/>
    <e v="#VALUE!"/>
    <n v="0"/>
    <e v="#VALUE!"/>
    <s v=""/>
    <e v="#VALUE!"/>
    <n v="0"/>
    <e v="#VALUE!"/>
    <e v="#VALUE!"/>
    <s v=""/>
    <s v=""/>
    <s v=""/>
    <n v="0"/>
    <x v="2"/>
    <x v="5"/>
    <x v="1"/>
    <x v="1"/>
    <n v="303.8"/>
  </r>
  <r>
    <d v="2015-04-01T00:00:00"/>
    <x v="64"/>
    <x v="4"/>
    <x v="6"/>
    <s v="Compteur 8"/>
    <s v="Compteur_8"/>
    <x v="1"/>
    <d v="1899-12-30T00:00:00"/>
    <d v="1899-12-30T00:00:00"/>
    <n v="1"/>
    <e v="#VALUE!"/>
    <n v="0"/>
    <e v="#VALUE!"/>
    <s v=""/>
    <e v="#VALUE!"/>
    <n v="0"/>
    <e v="#VALUE!"/>
    <e v="#VALUE!"/>
    <s v=""/>
    <s v=""/>
    <s v=""/>
    <n v="0"/>
    <x v="2"/>
    <x v="5"/>
    <x v="1"/>
    <x v="1"/>
    <n v="166.6"/>
  </r>
  <r>
    <d v="2015-05-01T00:00:00"/>
    <x v="65"/>
    <x v="5"/>
    <x v="6"/>
    <s v="Compteur 8"/>
    <s v="Compteur_8"/>
    <x v="1"/>
    <d v="1899-12-30T00:00:00"/>
    <d v="1899-12-30T00:00:00"/>
    <n v="1"/>
    <e v="#VALUE!"/>
    <n v="0"/>
    <e v="#VALUE!"/>
    <s v=""/>
    <e v="#VALUE!"/>
    <n v="0"/>
    <e v="#VALUE!"/>
    <e v="#VALUE!"/>
    <s v=""/>
    <s v=""/>
    <s v=""/>
    <n v="0"/>
    <x v="2"/>
    <x v="5"/>
    <x v="1"/>
    <x v="1"/>
    <n v="119.9"/>
  </r>
  <r>
    <d v="2015-06-01T00:00:00"/>
    <x v="66"/>
    <x v="6"/>
    <x v="6"/>
    <s v="Compteur 8"/>
    <s v="Compteur_8"/>
    <x v="1"/>
    <d v="1899-12-30T00:00:00"/>
    <d v="1899-12-30T00:00:00"/>
    <n v="1"/>
    <e v="#VALUE!"/>
    <n v="0"/>
    <e v="#VALUE!"/>
    <s v=""/>
    <e v="#VALUE!"/>
    <n v="0"/>
    <e v="#VALUE!"/>
    <e v="#VALUE!"/>
    <s v=""/>
    <s v=""/>
    <s v=""/>
    <n v="0"/>
    <x v="2"/>
    <x v="5"/>
    <x v="1"/>
    <x v="1"/>
    <n v="51.8"/>
  </r>
  <r>
    <d v="2015-07-01T00:00:00"/>
    <x v="67"/>
    <x v="7"/>
    <x v="6"/>
    <s v="Compteur 8"/>
    <s v="Compteur_8"/>
    <x v="1"/>
    <d v="1899-12-30T00:00:00"/>
    <d v="1899-12-30T00:00:00"/>
    <n v="1"/>
    <e v="#VALUE!"/>
    <n v="0"/>
    <e v="#VALUE!"/>
    <s v=""/>
    <e v="#VALUE!"/>
    <n v="0"/>
    <e v="#VALUE!"/>
    <e v="#VALUE!"/>
    <s v=""/>
    <s v=""/>
    <s v=""/>
    <n v="0"/>
    <x v="2"/>
    <x v="5"/>
    <x v="1"/>
    <x v="1"/>
    <n v="29"/>
  </r>
  <r>
    <d v="2015-08-01T00:00:00"/>
    <x v="68"/>
    <x v="8"/>
    <x v="6"/>
    <s v="Compteur 8"/>
    <s v="Compteur_8"/>
    <x v="1"/>
    <d v="1899-12-30T00:00:00"/>
    <d v="1899-12-30T00:00:00"/>
    <n v="1"/>
    <e v="#VALUE!"/>
    <n v="0"/>
    <e v="#VALUE!"/>
    <s v=""/>
    <e v="#VALUE!"/>
    <n v="0"/>
    <e v="#VALUE!"/>
    <e v="#VALUE!"/>
    <s v=""/>
    <s v=""/>
    <s v=""/>
    <n v="0"/>
    <x v="2"/>
    <x v="5"/>
    <x v="1"/>
    <x v="1"/>
    <n v="32"/>
  </r>
  <r>
    <d v="2015-09-01T00:00:00"/>
    <x v="69"/>
    <x v="9"/>
    <x v="6"/>
    <s v="Compteur 8"/>
    <s v="Compteur_8"/>
    <x v="1"/>
    <d v="1899-12-30T00:00:00"/>
    <d v="1899-12-30T00:00:00"/>
    <n v="1"/>
    <e v="#VALUE!"/>
    <n v="0"/>
    <e v="#VALUE!"/>
    <s v=""/>
    <e v="#VALUE!"/>
    <n v="0"/>
    <e v="#VALUE!"/>
    <e v="#VALUE!"/>
    <s v=""/>
    <s v=""/>
    <s v=""/>
    <n v="0"/>
    <x v="2"/>
    <x v="5"/>
    <x v="1"/>
    <x v="1"/>
    <n v="96.9"/>
  </r>
  <r>
    <d v="2015-10-01T00:00:00"/>
    <x v="70"/>
    <x v="10"/>
    <x v="6"/>
    <s v="Compteur 8"/>
    <s v="Compteur_8"/>
    <x v="1"/>
    <d v="1899-12-30T00:00:00"/>
    <d v="1899-12-30T00:00:00"/>
    <n v="1"/>
    <e v="#VALUE!"/>
    <n v="0"/>
    <e v="#VALUE!"/>
    <s v=""/>
    <e v="#VALUE!"/>
    <n v="0"/>
    <e v="#VALUE!"/>
    <e v="#VALUE!"/>
    <s v=""/>
    <s v=""/>
    <s v=""/>
    <n v="0"/>
    <x v="2"/>
    <x v="5"/>
    <x v="1"/>
    <x v="1"/>
    <n v="181.1"/>
  </r>
  <r>
    <d v="2015-11-01T00:00:00"/>
    <x v="71"/>
    <x v="11"/>
    <x v="6"/>
    <s v="Compteur 8"/>
    <s v="Compteur_8"/>
    <x v="1"/>
    <d v="1899-12-30T00:00:00"/>
    <d v="1899-12-30T00:00:00"/>
    <n v="1"/>
    <e v="#VALUE!"/>
    <n v="0"/>
    <e v="#VALUE!"/>
    <s v=""/>
    <e v="#VALUE!"/>
    <n v="0"/>
    <e v="#VALUE!"/>
    <e v="#VALUE!"/>
    <s v=""/>
    <s v=""/>
    <s v=""/>
    <n v="0"/>
    <x v="2"/>
    <x v="5"/>
    <x v="1"/>
    <x v="1"/>
    <n v="191.1"/>
  </r>
  <r>
    <d v="2015-12-01T00:00:00"/>
    <x v="72"/>
    <x v="12"/>
    <x v="6"/>
    <s v="Compteur 8"/>
    <s v="Compteur_8"/>
    <x v="1"/>
    <d v="1899-12-30T00:00:00"/>
    <d v="1899-12-30T00:00:00"/>
    <n v="1"/>
    <e v="#VALUE!"/>
    <n v="0"/>
    <e v="#VALUE!"/>
    <s v=""/>
    <e v="#VALUE!"/>
    <n v="0"/>
    <e v="#VALUE!"/>
    <e v="#VALUE!"/>
    <s v=""/>
    <s v=""/>
    <s v=""/>
    <n v="0"/>
    <x v="2"/>
    <x v="5"/>
    <x v="1"/>
    <x v="1"/>
    <n v="258.5"/>
  </r>
  <r>
    <d v="2016-01-01T00:00:00"/>
    <x v="73"/>
    <x v="1"/>
    <x v="7"/>
    <s v="Compteur 8"/>
    <s v="Compteur_8"/>
    <x v="1"/>
    <d v="1899-12-30T00:00:00"/>
    <d v="1899-12-30T00:00:00"/>
    <n v="1"/>
    <e v="#VALUE!"/>
    <n v="0"/>
    <e v="#VALUE!"/>
    <s v=""/>
    <e v="#VALUE!"/>
    <n v="0"/>
    <e v="#VALUE!"/>
    <e v="#VALUE!"/>
    <s v=""/>
    <s v=""/>
    <s v=""/>
    <n v="0"/>
    <x v="2"/>
    <x v="5"/>
    <x v="1"/>
    <x v="1"/>
    <n v="348.4"/>
  </r>
  <r>
    <d v="2016-02-01T00:00:00"/>
    <x v="74"/>
    <x v="2"/>
    <x v="7"/>
    <s v="Compteur 8"/>
    <s v="Compteur_8"/>
    <x v="1"/>
    <d v="1899-12-30T00:00:00"/>
    <d v="1899-12-30T00:00:00"/>
    <n v="1"/>
    <e v="#VALUE!"/>
    <n v="0"/>
    <e v="#VALUE!"/>
    <s v=""/>
    <e v="#VALUE!"/>
    <n v="0"/>
    <e v="#VALUE!"/>
    <e v="#VALUE!"/>
    <s v=""/>
    <s v=""/>
    <s v=""/>
    <n v="0"/>
    <x v="2"/>
    <x v="5"/>
    <x v="1"/>
    <x v="1"/>
    <n v="321.2"/>
  </r>
  <r>
    <d v="2016-03-01T00:00:00"/>
    <x v="75"/>
    <x v="3"/>
    <x v="7"/>
    <s v="Compteur 8"/>
    <s v="Compteur_8"/>
    <x v="1"/>
    <d v="1899-12-30T00:00:00"/>
    <d v="1899-12-30T00:00:00"/>
    <n v="1"/>
    <e v="#VALUE!"/>
    <n v="0"/>
    <e v="#VALUE!"/>
    <s v=""/>
    <e v="#VALUE!"/>
    <n v="0"/>
    <e v="#VALUE!"/>
    <e v="#VALUE!"/>
    <s v=""/>
    <s v=""/>
    <s v=""/>
    <n v="0"/>
    <x v="2"/>
    <x v="5"/>
    <x v="1"/>
    <x v="1"/>
    <n v="328.3"/>
  </r>
  <r>
    <d v="2016-04-01T00:00:00"/>
    <x v="76"/>
    <x v="4"/>
    <x v="7"/>
    <s v="Compteur 8"/>
    <s v="Compteur_8"/>
    <x v="1"/>
    <d v="1899-12-30T00:00:00"/>
    <d v="1899-12-30T00:00:00"/>
    <n v="1"/>
    <e v="#VALUE!"/>
    <n v="0"/>
    <e v="#VALUE!"/>
    <s v=""/>
    <e v="#VALUE!"/>
    <n v="0"/>
    <e v="#VALUE!"/>
    <e v="#VALUE!"/>
    <s v=""/>
    <s v=""/>
    <s v=""/>
    <n v="0"/>
    <x v="2"/>
    <x v="5"/>
    <x v="1"/>
    <x v="1"/>
    <n v="252.6"/>
  </r>
  <r>
    <d v="2016-05-01T00:00:00"/>
    <x v="77"/>
    <x v="5"/>
    <x v="7"/>
    <s v="Compteur 8"/>
    <s v="Compteur_8"/>
    <x v="1"/>
    <d v="1899-12-30T00:00:00"/>
    <d v="1899-12-30T00:00:00"/>
    <n v="1"/>
    <e v="#VALUE!"/>
    <n v="0"/>
    <e v="#VALUE!"/>
    <s v=""/>
    <e v="#VALUE!"/>
    <n v="0"/>
    <e v="#VALUE!"/>
    <e v="#VALUE!"/>
    <s v=""/>
    <s v=""/>
    <s v=""/>
    <n v="0"/>
    <x v="2"/>
    <x v="5"/>
    <x v="1"/>
    <x v="1"/>
    <n v="124.3"/>
  </r>
  <r>
    <d v="2016-06-01T00:00:00"/>
    <x v="78"/>
    <x v="6"/>
    <x v="7"/>
    <s v="Compteur 8"/>
    <s v="Compteur_8"/>
    <x v="1"/>
    <d v="1899-12-30T00:00:00"/>
    <d v="1899-12-30T00:00:00"/>
    <n v="1"/>
    <e v="#VALUE!"/>
    <n v="0"/>
    <e v="#VALUE!"/>
    <s v=""/>
    <e v="#VALUE!"/>
    <n v="0"/>
    <e v="#VALUE!"/>
    <e v="#VALUE!"/>
    <s v=""/>
    <s v=""/>
    <s v=""/>
    <n v="0"/>
    <x v="2"/>
    <x v="5"/>
    <x v="1"/>
    <x v="1"/>
    <n v="47.7"/>
  </r>
  <r>
    <d v="2016-07-01T00:00:00"/>
    <x v="79"/>
    <x v="7"/>
    <x v="7"/>
    <s v="Compteur 8"/>
    <s v="Compteur_8"/>
    <x v="1"/>
    <d v="1899-12-30T00:00:00"/>
    <d v="1899-12-30T00:00:00"/>
    <n v="1"/>
    <e v="#VALUE!"/>
    <n v="0"/>
    <e v="#VALUE!"/>
    <s v=""/>
    <e v="#VALUE!"/>
    <n v="0"/>
    <e v="#VALUE!"/>
    <e v="#VALUE!"/>
    <s v=""/>
    <s v=""/>
    <s v=""/>
    <n v="0"/>
    <x v="2"/>
    <x v="5"/>
    <x v="1"/>
    <x v="1"/>
    <n v="32.299999999999997"/>
  </r>
  <r>
    <d v="2016-08-01T00:00:00"/>
    <x v="80"/>
    <x v="8"/>
    <x v="7"/>
    <s v="Compteur 8"/>
    <s v="Compteur_8"/>
    <x v="1"/>
    <d v="1899-12-30T00:00:00"/>
    <d v="1899-12-30T00:00:00"/>
    <n v="1"/>
    <e v="#VALUE!"/>
    <n v="0"/>
    <e v="#VALUE!"/>
    <s v=""/>
    <e v="#VALUE!"/>
    <n v="0"/>
    <e v="#VALUE!"/>
    <e v="#VALUE!"/>
    <s v=""/>
    <s v=""/>
    <s v=""/>
    <n v="0"/>
    <x v="2"/>
    <x v="5"/>
    <x v="1"/>
    <x v="1"/>
    <n v="33.799999999999997"/>
  </r>
  <r>
    <d v="2016-09-01T00:00:00"/>
    <x v="81"/>
    <x v="9"/>
    <x v="7"/>
    <s v="Compteur 8"/>
    <s v="Compteur_8"/>
    <x v="1"/>
    <d v="1899-12-30T00:00:00"/>
    <d v="1899-12-30T00:00:00"/>
    <n v="1"/>
    <e v="#VALUE!"/>
    <n v="0"/>
    <e v="#VALUE!"/>
    <s v=""/>
    <e v="#VALUE!"/>
    <n v="0"/>
    <e v="#VALUE!"/>
    <e v="#VALUE!"/>
    <s v=""/>
    <s v=""/>
    <s v=""/>
    <n v="0"/>
    <x v="2"/>
    <x v="5"/>
    <x v="1"/>
    <x v="1"/>
    <n v="43.5"/>
  </r>
  <r>
    <d v="2016-10-01T00:00:00"/>
    <x v="82"/>
    <x v="10"/>
    <x v="7"/>
    <s v="Compteur 8"/>
    <s v="Compteur_8"/>
    <x v="1"/>
    <d v="1899-12-30T00:00:00"/>
    <d v="1899-12-30T00:00:00"/>
    <n v="1"/>
    <e v="#VALUE!"/>
    <n v="0"/>
    <e v="#VALUE!"/>
    <s v=""/>
    <e v="#VALUE!"/>
    <n v="0"/>
    <e v="#VALUE!"/>
    <e v="#VALUE!"/>
    <s v=""/>
    <s v=""/>
    <s v=""/>
    <n v="0"/>
    <x v="2"/>
    <x v="5"/>
    <x v="1"/>
    <x v="1"/>
    <n v="202.6"/>
  </r>
  <r>
    <d v="2016-11-01T00:00:00"/>
    <x v="83"/>
    <x v="11"/>
    <x v="7"/>
    <s v="Compteur 8"/>
    <s v="Compteur_8"/>
    <x v="1"/>
    <d v="1899-12-30T00:00:00"/>
    <d v="1899-12-30T00:00:00"/>
    <n v="1"/>
    <e v="#VALUE!"/>
    <n v="0"/>
    <e v="#VALUE!"/>
    <s v=""/>
    <e v="#VALUE!"/>
    <n v="0"/>
    <e v="#VALUE!"/>
    <e v="#VALUE!"/>
    <s v=""/>
    <s v=""/>
    <s v=""/>
    <n v="0"/>
    <x v="2"/>
    <x v="5"/>
    <x v="1"/>
    <x v="1"/>
    <n v="289.2"/>
  </r>
  <r>
    <d v="2016-12-01T00:00:00"/>
    <x v="84"/>
    <x v="12"/>
    <x v="7"/>
    <s v="Compteur 8"/>
    <s v="Compteur_8"/>
    <x v="1"/>
    <d v="1899-12-30T00:00:00"/>
    <d v="1899-12-30T00:00:00"/>
    <n v="1"/>
    <e v="#VALUE!"/>
    <n v="0"/>
    <e v="#VALUE!"/>
    <s v=""/>
    <e v="#VALUE!"/>
    <n v="0"/>
    <e v="#VALUE!"/>
    <e v="#VALUE!"/>
    <s v=""/>
    <s v=""/>
    <s v=""/>
    <n v="0"/>
    <x v="2"/>
    <x v="5"/>
    <x v="1"/>
    <x v="1"/>
    <n v="370.4"/>
  </r>
  <r>
    <d v="2017-01-01T00:00:00"/>
    <x v="85"/>
    <x v="1"/>
    <x v="8"/>
    <s v="Compteur 8"/>
    <s v="Compteur_8"/>
    <x v="1"/>
    <d v="1899-12-30T00:00:00"/>
    <d v="1899-12-30T00:00:00"/>
    <n v="1"/>
    <e v="#VALUE!"/>
    <n v="0"/>
    <e v="#VALUE!"/>
    <s v=""/>
    <e v="#VALUE!"/>
    <n v="0"/>
    <e v="#VALUE!"/>
    <e v="#VALUE!"/>
    <s v=""/>
    <s v=""/>
    <s v=""/>
    <n v="0"/>
    <x v="2"/>
    <x v="5"/>
    <x v="1"/>
    <x v="1"/>
    <n v="451.9"/>
  </r>
  <r>
    <d v="2017-02-01T00:00:00"/>
    <x v="86"/>
    <x v="2"/>
    <x v="8"/>
    <s v="Compteur 8"/>
    <s v="Compteur_8"/>
    <x v="1"/>
    <d v="1899-12-30T00:00:00"/>
    <d v="1899-12-30T00:00:00"/>
    <n v="1"/>
    <e v="#VALUE!"/>
    <n v="0"/>
    <e v="#VALUE!"/>
    <s v=""/>
    <e v="#VALUE!"/>
    <n v="0"/>
    <e v="#VALUE!"/>
    <e v="#VALUE!"/>
    <s v=""/>
    <s v=""/>
    <s v=""/>
    <n v="0"/>
    <x v="2"/>
    <x v="5"/>
    <x v="1"/>
    <x v="1"/>
    <n v="287.8"/>
  </r>
  <r>
    <d v="2017-03-01T00:00:00"/>
    <x v="87"/>
    <x v="3"/>
    <x v="8"/>
    <s v="Compteur 8"/>
    <s v="Compteur_8"/>
    <x v="1"/>
    <d v="1899-12-30T00:00:00"/>
    <d v="1899-12-30T00:00:00"/>
    <n v="1"/>
    <e v="#VALUE!"/>
    <n v="0"/>
    <e v="#VALUE!"/>
    <s v=""/>
    <e v="#VALUE!"/>
    <n v="0"/>
    <e v="#VALUE!"/>
    <e v="#VALUE!"/>
    <s v=""/>
    <s v=""/>
    <s v=""/>
    <n v="0"/>
    <x v="2"/>
    <x v="5"/>
    <x v="1"/>
    <x v="1"/>
    <n v="226.3"/>
  </r>
  <r>
    <d v="2017-04-01T00:00:00"/>
    <x v="88"/>
    <x v="4"/>
    <x v="8"/>
    <s v="Compteur 8"/>
    <s v="Compteur_8"/>
    <x v="1"/>
    <d v="1899-12-30T00:00:00"/>
    <d v="1899-12-30T00:00:00"/>
    <n v="1"/>
    <e v="#VALUE!"/>
    <n v="0"/>
    <e v="#VALUE!"/>
    <s v=""/>
    <e v="#VALUE!"/>
    <n v="0"/>
    <e v="#VALUE!"/>
    <e v="#VALUE!"/>
    <s v=""/>
    <s v=""/>
    <s v=""/>
    <n v="0"/>
    <x v="2"/>
    <x v="5"/>
    <x v="1"/>
    <x v="1"/>
    <n v="227.8"/>
  </r>
  <r>
    <d v="2017-05-01T00:00:00"/>
    <x v="89"/>
    <x v="5"/>
    <x v="8"/>
    <s v="Compteur 8"/>
    <s v="Compteur_8"/>
    <x v="1"/>
    <d v="1899-12-30T00:00:00"/>
    <d v="1899-12-30T00:00:00"/>
    <n v="1"/>
    <e v="#VALUE!"/>
    <n v="0"/>
    <e v="#VALUE!"/>
    <s v=""/>
    <e v="#VALUE!"/>
    <n v="0"/>
    <e v="#VALUE!"/>
    <e v="#VALUE!"/>
    <s v=""/>
    <s v=""/>
    <s v=""/>
    <n v="0"/>
    <x v="2"/>
    <x v="5"/>
    <x v="1"/>
    <x v="1"/>
    <n v="98"/>
  </r>
  <r>
    <d v="2017-06-01T00:00:00"/>
    <x v="90"/>
    <x v="6"/>
    <x v="8"/>
    <s v="Compteur 8"/>
    <s v="Compteur_8"/>
    <x v="1"/>
    <d v="1899-12-30T00:00:00"/>
    <d v="1899-12-30T00:00:00"/>
    <n v="1"/>
    <e v="#VALUE!"/>
    <n v="0"/>
    <e v="#VALUE!"/>
    <s v=""/>
    <e v="#VALUE!"/>
    <n v="0"/>
    <e v="#VALUE!"/>
    <e v="#VALUE!"/>
    <s v=""/>
    <s v=""/>
    <s v=""/>
    <n v="0"/>
    <x v="2"/>
    <x v="5"/>
    <x v="1"/>
    <x v="1"/>
    <n v="30.9"/>
  </r>
  <r>
    <d v="2017-07-01T00:00:00"/>
    <x v="91"/>
    <x v="7"/>
    <x v="8"/>
    <s v="Compteur 8"/>
    <s v="Compteur_8"/>
    <x v="1"/>
    <d v="1899-12-30T00:00:00"/>
    <d v="1899-12-30T00:00:00"/>
    <n v="1"/>
    <e v="#VALUE!"/>
    <n v="0"/>
    <e v="#VALUE!"/>
    <s v=""/>
    <e v="#VALUE!"/>
    <n v="0"/>
    <e v="#VALUE!"/>
    <e v="#VALUE!"/>
    <s v=""/>
    <s v=""/>
    <s v=""/>
    <n v="0"/>
    <x v="2"/>
    <x v="5"/>
    <x v="1"/>
    <x v="1"/>
    <n v="23.6"/>
  </r>
  <r>
    <d v="2017-08-01T00:00:00"/>
    <x v="92"/>
    <x v="8"/>
    <x v="8"/>
    <s v="Compteur 8"/>
    <s v="Compteur_8"/>
    <x v="1"/>
    <d v="1899-12-30T00:00:00"/>
    <d v="1899-12-30T00:00:00"/>
    <n v="1"/>
    <e v="#VALUE!"/>
    <n v="0"/>
    <e v="#VALUE!"/>
    <s v=""/>
    <e v="#VALUE!"/>
    <n v="0"/>
    <e v="#VALUE!"/>
    <e v="#VALUE!"/>
    <s v=""/>
    <s v=""/>
    <s v=""/>
    <n v="0"/>
    <x v="2"/>
    <x v="5"/>
    <x v="1"/>
    <x v="1"/>
    <n v="32.200000000000003"/>
  </r>
  <r>
    <d v="2017-09-01T00:00:00"/>
    <x v="93"/>
    <x v="9"/>
    <x v="8"/>
    <s v="Compteur 8"/>
    <s v="Compteur_8"/>
    <x v="1"/>
    <d v="1899-12-30T00:00:00"/>
    <d v="1899-12-30T00:00:00"/>
    <n v="1"/>
    <e v="#VALUE!"/>
    <n v="0"/>
    <e v="#VALUE!"/>
    <s v=""/>
    <e v="#VALUE!"/>
    <n v="0"/>
    <e v="#VALUE!"/>
    <e v="#VALUE!"/>
    <s v=""/>
    <s v=""/>
    <s v=""/>
    <n v="0"/>
    <x v="2"/>
    <x v="5"/>
    <x v="1"/>
    <x v="1"/>
    <n v="82.3"/>
  </r>
  <r>
    <d v="2017-10-01T00:00:00"/>
    <x v="94"/>
    <x v="10"/>
    <x v="8"/>
    <s v="Compteur 8"/>
    <s v="Compteur_8"/>
    <x v="1"/>
    <d v="1899-12-30T00:00:00"/>
    <d v="1899-12-30T00:00:00"/>
    <n v="1"/>
    <e v="#VALUE!"/>
    <n v="0"/>
    <e v="#VALUE!"/>
    <s v=""/>
    <e v="#VALUE!"/>
    <n v="0"/>
    <e v="#VALUE!"/>
    <e v="#VALUE!"/>
    <s v=""/>
    <s v=""/>
    <s v=""/>
    <n v="0"/>
    <x v="2"/>
    <x v="5"/>
    <x v="1"/>
    <x v="1"/>
    <n v="126.4"/>
  </r>
  <r>
    <d v="2017-11-01T00:00:00"/>
    <x v="95"/>
    <x v="11"/>
    <x v="8"/>
    <s v="Compteur 8"/>
    <s v="Compteur_8"/>
    <x v="1"/>
    <d v="1899-12-30T00:00:00"/>
    <d v="1899-12-30T00:00:00"/>
    <n v="1"/>
    <e v="#VALUE!"/>
    <n v="0"/>
    <e v="#VALUE!"/>
    <s v=""/>
    <e v="#VALUE!"/>
    <n v="0"/>
    <e v="#VALUE!"/>
    <e v="#VALUE!"/>
    <s v=""/>
    <s v=""/>
    <s v=""/>
    <n v="0"/>
    <x v="2"/>
    <x v="5"/>
    <x v="1"/>
    <x v="1"/>
    <n v="289.89999999999998"/>
  </r>
  <r>
    <d v="2017-12-01T00:00:00"/>
    <x v="96"/>
    <x v="12"/>
    <x v="8"/>
    <s v="Compteur 8"/>
    <s v="Compteur_8"/>
    <x v="1"/>
    <d v="1899-12-30T00:00:00"/>
    <d v="1899-12-30T00:00:00"/>
    <n v="1"/>
    <e v="#VALUE!"/>
    <n v="0"/>
    <e v="#VALUE!"/>
    <s v=""/>
    <e v="#VALUE!"/>
    <n v="0"/>
    <e v="#VALUE!"/>
    <e v="#VALUE!"/>
    <s v=""/>
    <s v=""/>
    <s v=""/>
    <n v="0"/>
    <x v="2"/>
    <x v="5"/>
    <x v="1"/>
    <x v="1"/>
    <n v="366.2"/>
  </r>
  <r>
    <d v="2018-01-01T00:00:00"/>
    <x v="97"/>
    <x v="1"/>
    <x v="9"/>
    <s v="Compteur 8"/>
    <s v="Compteur_8"/>
    <x v="1"/>
    <d v="1899-12-30T00:00:00"/>
    <d v="1899-12-30T00:00:00"/>
    <n v="1"/>
    <e v="#VALUE!"/>
    <n v="0"/>
    <e v="#VALUE!"/>
    <s v=""/>
    <e v="#VALUE!"/>
    <n v="0"/>
    <e v="#VALUE!"/>
    <e v="#VALUE!"/>
    <s v=""/>
    <s v=""/>
    <s v=""/>
    <n v="0"/>
    <x v="2"/>
    <x v="5"/>
    <x v="1"/>
    <x v="1"/>
    <n v="298.60000000000002"/>
  </r>
  <r>
    <d v="2018-02-01T00:00:00"/>
    <x v="98"/>
    <x v="2"/>
    <x v="9"/>
    <s v="Compteur 8"/>
    <s v="Compteur_8"/>
    <x v="1"/>
    <d v="1899-12-30T00:00:00"/>
    <d v="1899-12-30T00:00:00"/>
    <n v="1"/>
    <e v="#VALUE!"/>
    <n v="0"/>
    <e v="#VALUE!"/>
    <s v=""/>
    <e v="#VALUE!"/>
    <n v="0"/>
    <e v="#VALUE!"/>
    <e v="#VALUE!"/>
    <s v=""/>
    <s v=""/>
    <s v=""/>
    <n v="0"/>
    <x v="2"/>
    <x v="5"/>
    <x v="1"/>
    <x v="1"/>
    <n v="415.2"/>
  </r>
  <r>
    <d v="2018-03-01T00:00:00"/>
    <x v="99"/>
    <x v="3"/>
    <x v="9"/>
    <s v="Compteur 8"/>
    <s v="Compteur_8"/>
    <x v="1"/>
    <d v="1899-12-30T00:00:00"/>
    <d v="1899-12-30T00:00:00"/>
    <n v="1"/>
    <e v="#VALUE!"/>
    <n v="0"/>
    <e v="#VALUE!"/>
    <s v=""/>
    <e v="#VALUE!"/>
    <n v="0"/>
    <e v="#VALUE!"/>
    <e v="#VALUE!"/>
    <s v=""/>
    <s v=""/>
    <s v=""/>
    <n v="0"/>
    <x v="2"/>
    <x v="5"/>
    <x v="1"/>
    <x v="1"/>
    <n v="305.39999999999998"/>
  </r>
  <r>
    <d v="2018-04-01T00:00:00"/>
    <x v="100"/>
    <x v="4"/>
    <x v="9"/>
    <s v="Compteur 8"/>
    <s v="Compteur_8"/>
    <x v="1"/>
    <d v="1899-12-30T00:00:00"/>
    <d v="1899-12-30T00:00:00"/>
    <n v="1"/>
    <e v="#VALUE!"/>
    <n v="0"/>
    <e v="#VALUE!"/>
    <s v=""/>
    <e v="#VALUE!"/>
    <n v="0"/>
    <e v="#VALUE!"/>
    <e v="#VALUE!"/>
    <s v=""/>
    <s v=""/>
    <s v=""/>
    <n v="0"/>
    <x v="2"/>
    <x v="5"/>
    <x v="1"/>
    <x v="1"/>
    <n v="152.19999999999999"/>
  </r>
  <r>
    <d v="2018-05-01T00:00:00"/>
    <x v="101"/>
    <x v="5"/>
    <x v="9"/>
    <s v="Compteur 8"/>
    <s v="Compteur_8"/>
    <x v="1"/>
    <d v="1899-12-30T00:00:00"/>
    <d v="1899-12-30T00:00:00"/>
    <n v="1"/>
    <e v="#VALUE!"/>
    <n v="0"/>
    <e v="#VALUE!"/>
    <s v=""/>
    <e v="#VALUE!"/>
    <n v="0"/>
    <e v="#VALUE!"/>
    <e v="#VALUE!"/>
    <s v=""/>
    <s v=""/>
    <s v=""/>
    <n v="0"/>
    <x v="2"/>
    <x v="5"/>
    <x v="1"/>
    <x v="1"/>
    <n v="95.8"/>
  </r>
  <r>
    <d v="2018-06-01T00:00:00"/>
    <x v="102"/>
    <x v="6"/>
    <x v="9"/>
    <s v="Compteur 8"/>
    <s v="Compteur_8"/>
    <x v="1"/>
    <d v="1899-12-30T00:00:00"/>
    <d v="1899-12-30T00:00:00"/>
    <n v="1"/>
    <e v="#VALUE!"/>
    <n v="0"/>
    <e v="#VALUE!"/>
    <s v=""/>
    <e v="#VALUE!"/>
    <n v="0"/>
    <e v="#VALUE!"/>
    <e v="#VALUE!"/>
    <s v=""/>
    <s v=""/>
    <s v=""/>
    <n v="0"/>
    <x v="2"/>
    <x v="5"/>
    <x v="1"/>
    <x v="1"/>
    <n v="25.4"/>
  </r>
  <r>
    <d v="2018-07-01T00:00:00"/>
    <x v="103"/>
    <x v="7"/>
    <x v="9"/>
    <s v="Compteur 8"/>
    <s v="Compteur_8"/>
    <x v="1"/>
    <d v="1899-12-30T00:00:00"/>
    <d v="1899-12-30T00:00:00"/>
    <n v="1"/>
    <e v="#VALUE!"/>
    <n v="0"/>
    <e v="#VALUE!"/>
    <s v=""/>
    <e v="#VALUE!"/>
    <n v="0"/>
    <e v="#VALUE!"/>
    <e v="#VALUE!"/>
    <s v=""/>
    <s v=""/>
    <s v=""/>
    <n v="0"/>
    <x v="2"/>
    <x v="5"/>
    <x v="1"/>
    <x v="1"/>
    <n v="5.9"/>
  </r>
  <r>
    <d v="2018-08-01T00:00:00"/>
    <x v="104"/>
    <x v="8"/>
    <x v="9"/>
    <s v="Compteur 8"/>
    <s v="Compteur_8"/>
    <x v="1"/>
    <d v="1899-12-30T00:00:00"/>
    <d v="1899-12-30T00:00:00"/>
    <n v="1"/>
    <e v="#VALUE!"/>
    <n v="0"/>
    <e v="#VALUE!"/>
    <s v=""/>
    <e v="#VALUE!"/>
    <n v="0"/>
    <e v="#VALUE!"/>
    <e v="#VALUE!"/>
    <s v=""/>
    <s v=""/>
    <s v=""/>
    <n v="0"/>
    <x v="2"/>
    <x v="5"/>
    <x v="1"/>
    <x v="1"/>
    <n v="26"/>
  </r>
  <r>
    <d v="2018-09-01T00:00:00"/>
    <x v="105"/>
    <x v="9"/>
    <x v="9"/>
    <s v="Compteur 8"/>
    <s v="Compteur_8"/>
    <x v="1"/>
    <d v="1899-12-30T00:00:00"/>
    <d v="1899-12-30T00:00:00"/>
    <n v="1"/>
    <e v="#VALUE!"/>
    <n v="0"/>
    <e v="#VALUE!"/>
    <s v=""/>
    <e v="#VALUE!"/>
    <n v="0"/>
    <e v="#VALUE!"/>
    <e v="#VALUE!"/>
    <s v=""/>
    <s v=""/>
    <s v=""/>
    <n v="0"/>
    <x v="2"/>
    <x v="5"/>
    <x v="1"/>
    <x v="1"/>
    <n v="73.599999999999994"/>
  </r>
  <r>
    <d v="2018-10-01T00:00:00"/>
    <x v="106"/>
    <x v="10"/>
    <x v="9"/>
    <s v="Compteur 8"/>
    <s v="Compteur_8"/>
    <x v="1"/>
    <d v="1899-12-30T00:00:00"/>
    <d v="1899-12-30T00:00:00"/>
    <n v="1"/>
    <e v="#VALUE!"/>
    <n v="0"/>
    <e v="#VALUE!"/>
    <s v=""/>
    <e v="#VALUE!"/>
    <n v="0"/>
    <e v="#VALUE!"/>
    <e v="#VALUE!"/>
    <s v=""/>
    <s v=""/>
    <s v=""/>
    <n v="0"/>
    <x v="2"/>
    <x v="5"/>
    <x v="1"/>
    <x v="1"/>
    <n v="157.5"/>
  </r>
  <r>
    <d v="2018-11-01T00:00:00"/>
    <x v="107"/>
    <x v="11"/>
    <x v="9"/>
    <s v="Compteur 8"/>
    <s v="Compteur_8"/>
    <x v="1"/>
    <d v="1899-12-30T00:00:00"/>
    <d v="1899-12-30T00:00:00"/>
    <n v="1"/>
    <e v="#VALUE!"/>
    <n v="0"/>
    <e v="#VALUE!"/>
    <s v=""/>
    <e v="#VALUE!"/>
    <n v="0"/>
    <e v="#VALUE!"/>
    <e v="#VALUE!"/>
    <s v=""/>
    <s v=""/>
    <s v=""/>
    <n v="0"/>
    <x v="2"/>
    <x v="5"/>
    <x v="1"/>
    <x v="1"/>
    <n v="278"/>
  </r>
  <r>
    <d v="2018-12-01T00:00:00"/>
    <x v="108"/>
    <x v="12"/>
    <x v="9"/>
    <s v="Compteur 8"/>
    <s v="Compteur_8"/>
    <x v="1"/>
    <d v="1899-12-30T00:00:00"/>
    <d v="1899-12-30T00:00:00"/>
    <n v="1"/>
    <e v="#VALUE!"/>
    <n v="0"/>
    <e v="#VALUE!"/>
    <s v=""/>
    <e v="#VALUE!"/>
    <n v="0"/>
    <e v="#VALUE!"/>
    <e v="#VALUE!"/>
    <s v=""/>
    <s v=""/>
    <s v=""/>
    <n v="0"/>
    <x v="2"/>
    <x v="5"/>
    <x v="1"/>
    <x v="1"/>
    <n v="319.2"/>
  </r>
  <r>
    <d v="2019-01-01T00:00:00"/>
    <x v="109"/>
    <x v="1"/>
    <x v="10"/>
    <s v="Compteur 8"/>
    <s v="Compteur_8"/>
    <x v="1"/>
    <d v="1899-12-30T00:00:00"/>
    <d v="1899-12-30T00:00:00"/>
    <n v="1"/>
    <e v="#VALUE!"/>
    <n v="0"/>
    <e v="#VALUE!"/>
    <s v=""/>
    <e v="#VALUE!"/>
    <n v="0"/>
    <e v="#VALUE!"/>
    <e v="#VALUE!"/>
    <s v=""/>
    <s v=""/>
    <s v=""/>
    <n v="0"/>
    <x v="2"/>
    <x v="5"/>
    <x v="1"/>
    <x v="1"/>
    <n v="402.2"/>
  </r>
  <r>
    <d v="2019-02-01T00:00:00"/>
    <x v="110"/>
    <x v="2"/>
    <x v="10"/>
    <s v="Compteur 8"/>
    <s v="Compteur_8"/>
    <x v="1"/>
    <d v="1899-12-30T00:00:00"/>
    <d v="1899-12-30T00:00:00"/>
    <n v="1"/>
    <e v="#VALUE!"/>
    <n v="0"/>
    <e v="#VALUE!"/>
    <s v=""/>
    <e v="#VALUE!"/>
    <n v="0"/>
    <e v="#VALUE!"/>
    <e v="#VALUE!"/>
    <s v=""/>
    <s v=""/>
    <s v=""/>
    <n v="0"/>
    <x v="2"/>
    <x v="5"/>
    <x v="1"/>
    <x v="1"/>
    <n v="297.3"/>
  </r>
  <r>
    <d v="2019-03-01T00:00:00"/>
    <x v="111"/>
    <x v="3"/>
    <x v="10"/>
    <s v="Compteur 8"/>
    <s v="Compteur_8"/>
    <x v="1"/>
    <d v="1899-12-30T00:00:00"/>
    <d v="1899-12-30T00:00:00"/>
    <n v="1"/>
    <e v="#VALUE!"/>
    <n v="0"/>
    <e v="#VALUE!"/>
    <s v=""/>
    <e v="#VALUE!"/>
    <n v="0"/>
    <e v="#VALUE!"/>
    <e v="#VALUE!"/>
    <s v=""/>
    <s v=""/>
    <s v=""/>
    <n v="0"/>
    <x v="2"/>
    <x v="5"/>
    <x v="1"/>
    <x v="1"/>
    <n v="260.39999999999998"/>
  </r>
  <r>
    <d v="2019-04-01T00:00:00"/>
    <x v="112"/>
    <x v="4"/>
    <x v="10"/>
    <s v="Compteur 8"/>
    <s v="Compteur_8"/>
    <x v="1"/>
    <d v="1899-12-30T00:00:00"/>
    <d v="1899-12-30T00:00:00"/>
    <n v="1"/>
    <e v="#VALUE!"/>
    <n v="0"/>
    <e v="#VALUE!"/>
    <s v=""/>
    <e v="#VALUE!"/>
    <n v="0"/>
    <e v="#VALUE!"/>
    <e v="#VALUE!"/>
    <s v=""/>
    <s v=""/>
    <s v=""/>
    <n v="0"/>
    <x v="2"/>
    <x v="5"/>
    <x v="1"/>
    <x v="1"/>
    <n v="201.4"/>
  </r>
  <r>
    <d v="2019-05-01T00:00:00"/>
    <x v="113"/>
    <x v="5"/>
    <x v="10"/>
    <s v="Compteur 8"/>
    <s v="Compteur_8"/>
    <x v="1"/>
    <d v="1899-12-30T00:00:00"/>
    <d v="1899-12-30T00:00:00"/>
    <n v="1"/>
    <e v="#VALUE!"/>
    <n v="0"/>
    <e v="#VALUE!"/>
    <s v=""/>
    <e v="#VALUE!"/>
    <n v="0"/>
    <e v="#VALUE!"/>
    <e v="#VALUE!"/>
    <s v=""/>
    <s v=""/>
    <s v=""/>
    <n v="0"/>
    <x v="2"/>
    <x v="5"/>
    <x v="1"/>
    <x v="1"/>
    <n v="147.9"/>
  </r>
  <r>
    <d v="2019-06-01T00:00:00"/>
    <x v="114"/>
    <x v="6"/>
    <x v="10"/>
    <s v="Compteur 8"/>
    <s v="Compteur_8"/>
    <x v="1"/>
    <d v="1899-12-30T00:00:00"/>
    <d v="1899-12-30T00:00:00"/>
    <n v="1"/>
    <e v="#VALUE!"/>
    <n v="0"/>
    <e v="#VALUE!"/>
    <s v=""/>
    <e v="#VALUE!"/>
    <n v="0"/>
    <e v="#VALUE!"/>
    <e v="#VALUE!"/>
    <s v=""/>
    <s v=""/>
    <s v=""/>
    <n v="0"/>
    <x v="2"/>
    <x v="5"/>
    <x v="1"/>
    <x v="1"/>
    <n v="54.1"/>
  </r>
  <r>
    <d v="2019-07-01T00:00:00"/>
    <x v="115"/>
    <x v="7"/>
    <x v="10"/>
    <s v="Compteur 8"/>
    <s v="Compteur_8"/>
    <x v="1"/>
    <d v="1899-12-30T00:00:00"/>
    <d v="1899-12-30T00:00:00"/>
    <n v="1"/>
    <e v="#VALUE!"/>
    <n v="0"/>
    <e v="#VALUE!"/>
    <s v=""/>
    <e v="#VALUE!"/>
    <n v="0"/>
    <e v="#VALUE!"/>
    <e v="#VALUE!"/>
    <s v=""/>
    <s v=""/>
    <s v=""/>
    <n v="0"/>
    <x v="2"/>
    <x v="5"/>
    <x v="1"/>
    <x v="1"/>
    <n v="15.5"/>
  </r>
  <r>
    <d v="2019-08-01T00:00:00"/>
    <x v="116"/>
    <x v="8"/>
    <x v="10"/>
    <s v="Compteur 8"/>
    <s v="Compteur_8"/>
    <x v="1"/>
    <d v="1899-12-30T00:00:00"/>
    <d v="1899-12-30T00:00:00"/>
    <n v="1"/>
    <e v="#VALUE!"/>
    <n v="0"/>
    <e v="#VALUE!"/>
    <s v=""/>
    <e v="#VALUE!"/>
    <n v="0"/>
    <e v="#VALUE!"/>
    <e v="#VALUE!"/>
    <s v=""/>
    <s v=""/>
    <s v=""/>
    <n v="0"/>
    <x v="2"/>
    <x v="5"/>
    <x v="1"/>
    <x v="1"/>
    <n v="30.2"/>
  </r>
  <r>
    <d v="2019-09-01T00:00:00"/>
    <x v="117"/>
    <x v="9"/>
    <x v="10"/>
    <s v="Compteur 8"/>
    <s v="Compteur_8"/>
    <x v="1"/>
    <d v="1899-12-30T00:00:00"/>
    <d v="1899-12-30T00:00:00"/>
    <n v="1"/>
    <e v="#VALUE!"/>
    <n v="0"/>
    <e v="#VALUE!"/>
    <s v=""/>
    <e v="#VALUE!"/>
    <n v="0"/>
    <e v="#VALUE!"/>
    <e v="#VALUE!"/>
    <s v=""/>
    <s v=""/>
    <s v=""/>
    <n v="0"/>
    <x v="2"/>
    <x v="5"/>
    <x v="1"/>
    <x v="1"/>
    <n v="64.7"/>
  </r>
  <r>
    <d v="2019-10-01T00:00:00"/>
    <x v="118"/>
    <x v="10"/>
    <x v="10"/>
    <s v="Compteur 8"/>
    <s v="Compteur_8"/>
    <x v="1"/>
    <d v="1899-12-30T00:00:00"/>
    <d v="1899-12-30T00:00:00"/>
    <n v="1"/>
    <e v="#VALUE!"/>
    <n v="0"/>
    <e v="#VALUE!"/>
    <s v=""/>
    <e v="#VALUE!"/>
    <n v="0"/>
    <e v="#VALUE!"/>
    <e v="#VALUE!"/>
    <s v=""/>
    <s v=""/>
    <s v=""/>
    <n v="0"/>
    <x v="2"/>
    <x v="5"/>
    <x v="1"/>
    <x v="1"/>
    <n v="128.80000000000001"/>
  </r>
  <r>
    <d v="2019-11-01T00:00:00"/>
    <x v="119"/>
    <x v="11"/>
    <x v="10"/>
    <s v="Compteur 8"/>
    <s v="Compteur_8"/>
    <x v="1"/>
    <d v="1899-12-30T00:00:00"/>
    <d v="1899-12-30T00:00:00"/>
    <n v="1"/>
    <e v="#VALUE!"/>
    <n v="0"/>
    <e v="#VALUE!"/>
    <s v=""/>
    <e v="#VALUE!"/>
    <n v="0"/>
    <e v="#VALUE!"/>
    <e v="#VALUE!"/>
    <s v=""/>
    <s v=""/>
    <s v=""/>
    <n v="0"/>
    <x v="2"/>
    <x v="5"/>
    <x v="1"/>
    <x v="1"/>
    <n v="293.10000000000002"/>
  </r>
  <r>
    <d v="2019-12-01T00:00:00"/>
    <x v="120"/>
    <x v="12"/>
    <x v="10"/>
    <s v="Compteur 8"/>
    <s v="Compteur_8"/>
    <x v="1"/>
    <d v="1899-12-30T00:00:00"/>
    <d v="1899-12-30T00:00:00"/>
    <n v="1"/>
    <e v="#VALUE!"/>
    <n v="0"/>
    <e v="#VALUE!"/>
    <s v=""/>
    <e v="#VALUE!"/>
    <n v="0"/>
    <e v="#VALUE!"/>
    <e v="#VALUE!"/>
    <s v=""/>
    <s v=""/>
    <s v=""/>
    <n v="0"/>
    <x v="2"/>
    <x v="5"/>
    <x v="1"/>
    <x v="1"/>
    <n v="323"/>
  </r>
  <r>
    <d v="2020-01-01T00:00:00"/>
    <x v="121"/>
    <x v="1"/>
    <x v="11"/>
    <s v="Compteur 8"/>
    <s v="Compteur_8"/>
    <x v="1"/>
    <d v="1899-12-30T00:00:00"/>
    <d v="1899-12-30T00:00:00"/>
    <n v="1"/>
    <e v="#VALUE!"/>
    <n v="0"/>
    <e v="#VALUE!"/>
    <s v=""/>
    <e v="#VALUE!"/>
    <n v="0"/>
    <e v="#VALUE!"/>
    <e v="#VALUE!"/>
    <s v=""/>
    <s v=""/>
    <s v=""/>
    <n v="0"/>
    <x v="2"/>
    <x v="5"/>
    <x v="1"/>
    <x v="1"/>
    <n v="331.5"/>
  </r>
  <r>
    <d v="2020-02-01T00:00:00"/>
    <x v="122"/>
    <x v="2"/>
    <x v="11"/>
    <s v="Compteur 8"/>
    <s v="Compteur_8"/>
    <x v="1"/>
    <d v="1899-12-30T00:00:00"/>
    <d v="1899-12-30T00:00:00"/>
    <n v="1"/>
    <e v="#VALUE!"/>
    <n v="0"/>
    <e v="#VALUE!"/>
    <s v=""/>
    <e v="#VALUE!"/>
    <n v="0"/>
    <e v="#VALUE!"/>
    <e v="#VALUE!"/>
    <s v=""/>
    <s v=""/>
    <s v=""/>
    <n v="0"/>
    <x v="2"/>
    <x v="5"/>
    <x v="1"/>
    <x v="1"/>
    <n v="251.6"/>
  </r>
  <r>
    <d v="2020-03-01T00:00:00"/>
    <x v="123"/>
    <x v="3"/>
    <x v="11"/>
    <s v="Compteur 8"/>
    <s v="Compteur_8"/>
    <x v="1"/>
    <d v="1899-12-30T00:00:00"/>
    <d v="1899-12-30T00:00:00"/>
    <n v="1"/>
    <e v="#VALUE!"/>
    <n v="0"/>
    <e v="#VALUE!"/>
    <s v=""/>
    <e v="#VALUE!"/>
    <n v="0"/>
    <e v="#VALUE!"/>
    <e v="#VALUE!"/>
    <s v=""/>
    <s v=""/>
    <s v=""/>
    <n v="0"/>
    <x v="2"/>
    <x v="5"/>
    <x v="1"/>
    <x v="1"/>
    <n v="272.60000000000002"/>
  </r>
  <r>
    <d v="2020-04-01T00:00:00"/>
    <x v="124"/>
    <x v="4"/>
    <x v="11"/>
    <s v="Compteur 8"/>
    <s v="Compteur_8"/>
    <x v="1"/>
    <d v="1899-12-30T00:00:00"/>
    <d v="1899-12-30T00:00:00"/>
    <n v="1"/>
    <e v="#VALUE!"/>
    <n v="0"/>
    <e v="#VALUE!"/>
    <s v=""/>
    <e v="#VALUE!"/>
    <n v="0"/>
    <e v="#VALUE!"/>
    <e v="#VALUE!"/>
    <s v=""/>
    <s v=""/>
    <s v=""/>
    <n v="0"/>
    <x v="2"/>
    <x v="5"/>
    <x v="1"/>
    <x v="1"/>
    <n v="126.3"/>
  </r>
  <r>
    <d v="2020-05-01T00:00:00"/>
    <x v="125"/>
    <x v="5"/>
    <x v="11"/>
    <s v="Compteur 8"/>
    <s v="Compteur_8"/>
    <x v="1"/>
    <d v="1899-12-30T00:00:00"/>
    <d v="1899-12-30T00:00:00"/>
    <n v="1"/>
    <e v="#VALUE!"/>
    <n v="0"/>
    <e v="#VALUE!"/>
    <s v=""/>
    <e v="#VALUE!"/>
    <n v="0"/>
    <e v="#VALUE!"/>
    <e v="#VALUE!"/>
    <s v=""/>
    <s v=""/>
    <s v=""/>
    <n v="0"/>
    <x v="2"/>
    <x v="5"/>
    <x v="1"/>
    <x v="1"/>
    <n v="91.8"/>
  </r>
  <r>
    <d v="2020-06-01T00:00:00"/>
    <x v="126"/>
    <x v="6"/>
    <x v="11"/>
    <s v="Compteur 8"/>
    <s v="Compteur_8"/>
    <x v="1"/>
    <d v="1899-12-30T00:00:00"/>
    <d v="1899-12-30T00:00:00"/>
    <n v="1"/>
    <e v="#VALUE!"/>
    <n v="0"/>
    <e v="#VALUE!"/>
    <s v=""/>
    <e v="#VALUE!"/>
    <n v="0"/>
    <e v="#VALUE!"/>
    <e v="#VALUE!"/>
    <s v=""/>
    <s v=""/>
    <s v=""/>
    <n v="0"/>
    <x v="2"/>
    <x v="5"/>
    <x v="1"/>
    <x v="1"/>
    <n v="55.6"/>
  </r>
  <r>
    <d v="2020-07-01T00:00:00"/>
    <x v="127"/>
    <x v="7"/>
    <x v="11"/>
    <s v="Compteur 8"/>
    <s v="Compteur_8"/>
    <x v="1"/>
    <d v="1899-12-30T00:00:00"/>
    <d v="1899-12-30T00:00:00"/>
    <n v="1"/>
    <e v="#VALUE!"/>
    <n v="0"/>
    <e v="#VALUE!"/>
    <s v=""/>
    <e v="#VALUE!"/>
    <n v="0"/>
    <e v="#VALUE!"/>
    <e v="#VALUE!"/>
    <s v=""/>
    <s v=""/>
    <s v=""/>
    <n v="0"/>
    <x v="2"/>
    <x v="5"/>
    <x v="1"/>
    <x v="1"/>
    <n v="32.299999999999997"/>
  </r>
  <r>
    <d v="2020-08-01T00:00:00"/>
    <x v="128"/>
    <x v="8"/>
    <x v="11"/>
    <s v="Compteur 8"/>
    <s v="Compteur_8"/>
    <x v="1"/>
    <d v="1899-12-30T00:00:00"/>
    <d v="1899-12-30T00:00:00"/>
    <n v="1"/>
    <e v="#VALUE!"/>
    <n v="0"/>
    <e v="#VALUE!"/>
    <s v=""/>
    <e v="#VALUE!"/>
    <n v="0"/>
    <e v="#VALUE!"/>
    <e v="#VALUE!"/>
    <s v=""/>
    <s v=""/>
    <s v=""/>
    <n v="0"/>
    <x v="2"/>
    <x v="5"/>
    <x v="1"/>
    <x v="1"/>
    <n v="27.8"/>
  </r>
  <r>
    <d v="2020-09-01T00:00:00"/>
    <x v="129"/>
    <x v="9"/>
    <x v="11"/>
    <s v="Compteur 8"/>
    <s v="Compteur_8"/>
    <x v="1"/>
    <d v="1899-12-30T00:00:00"/>
    <d v="1899-12-30T00:00:00"/>
    <n v="1"/>
    <e v="#VALUE!"/>
    <n v="0"/>
    <e v="#VALUE!"/>
    <s v=""/>
    <e v="#VALUE!"/>
    <n v="0"/>
    <e v="#VALUE!"/>
    <e v="#VALUE!"/>
    <s v=""/>
    <s v=""/>
    <s v=""/>
    <n v="0"/>
    <x v="2"/>
    <x v="5"/>
    <x v="1"/>
    <x v="1"/>
    <n v="56.6"/>
  </r>
  <r>
    <d v="2020-10-01T00:00:00"/>
    <x v="130"/>
    <x v="10"/>
    <x v="11"/>
    <s v="Compteur 8"/>
    <s v="Compteur_8"/>
    <x v="1"/>
    <d v="1899-12-30T00:00:00"/>
    <d v="1899-12-30T00:00:00"/>
    <n v="1"/>
    <e v="#VALUE!"/>
    <n v="0"/>
    <e v="#VALUE!"/>
    <s v=""/>
    <e v="#VALUE!"/>
    <n v="0"/>
    <e v="#VALUE!"/>
    <e v="#VALUE!"/>
    <s v=""/>
    <s v=""/>
    <s v=""/>
    <n v="0"/>
    <x v="2"/>
    <x v="5"/>
    <x v="1"/>
    <x v="1"/>
    <n v="159.30000000000001"/>
  </r>
  <r>
    <d v="2020-11-01T00:00:00"/>
    <x v="131"/>
    <x v="11"/>
    <x v="11"/>
    <s v="Compteur 8"/>
    <s v="Compteur_8"/>
    <x v="1"/>
    <d v="1899-12-30T00:00:00"/>
    <d v="1899-12-30T00:00:00"/>
    <n v="1"/>
    <e v="#VALUE!"/>
    <n v="0"/>
    <e v="#VALUE!"/>
    <s v=""/>
    <e v="#VALUE!"/>
    <n v="0"/>
    <e v="#VALUE!"/>
    <e v="#VALUE!"/>
    <s v=""/>
    <s v=""/>
    <s v=""/>
    <n v="0"/>
    <x v="2"/>
    <x v="5"/>
    <x v="1"/>
    <x v="1"/>
    <n v="237.3"/>
  </r>
  <r>
    <d v="2020-12-01T00:00:00"/>
    <x v="132"/>
    <x v="12"/>
    <x v="11"/>
    <s v="Compteur 8"/>
    <s v="Compteur_8"/>
    <x v="1"/>
    <d v="1899-12-30T00:00:00"/>
    <d v="1899-12-30T00:00:00"/>
    <n v="1"/>
    <e v="#VALUE!"/>
    <n v="0"/>
    <e v="#VALUE!"/>
    <s v=""/>
    <e v="#VALUE!"/>
    <n v="0"/>
    <e v="#VALUE!"/>
    <e v="#VALUE!"/>
    <s v=""/>
    <s v=""/>
    <s v=""/>
    <n v="0"/>
    <x v="2"/>
    <x v="5"/>
    <x v="1"/>
    <x v="1"/>
    <n v="334.4"/>
  </r>
  <r>
    <d v="2021-01-01T00:00:00"/>
    <x v="133"/>
    <x v="1"/>
    <x v="12"/>
    <s v="Compteur 8"/>
    <s v="Compteur_8"/>
    <x v="1"/>
    <d v="1899-12-30T00:00:00"/>
    <d v="1899-12-30T00:00:00"/>
    <n v="1"/>
    <e v="#VALUE!"/>
    <n v="0"/>
    <e v="#VALUE!"/>
    <s v=""/>
    <e v="#VALUE!"/>
    <n v="0"/>
    <e v="#VALUE!"/>
    <e v="#VALUE!"/>
    <s v=""/>
    <s v=""/>
    <s v=""/>
    <n v="0"/>
    <x v="2"/>
    <x v="5"/>
    <x v="1"/>
    <x v="1"/>
    <n v="380.1"/>
  </r>
  <r>
    <d v="2021-02-01T00:00:00"/>
    <x v="134"/>
    <x v="2"/>
    <x v="12"/>
    <s v="Compteur 8"/>
    <s v="Compteur_8"/>
    <x v="1"/>
    <d v="1899-12-30T00:00:00"/>
    <d v="1899-12-30T00:00:00"/>
    <n v="1"/>
    <e v="#VALUE!"/>
    <n v="0"/>
    <e v="#VALUE!"/>
    <s v=""/>
    <e v="#VALUE!"/>
    <n v="0"/>
    <e v="#VALUE!"/>
    <e v="#VALUE!"/>
    <s v=""/>
    <s v=""/>
    <s v=""/>
    <n v="0"/>
    <x v="2"/>
    <x v="5"/>
    <x v="1"/>
    <x v="1"/>
    <n v="299.5"/>
  </r>
  <r>
    <d v="2021-03-01T00:00:00"/>
    <x v="135"/>
    <x v="3"/>
    <x v="12"/>
    <s v="Compteur 8"/>
    <s v="Compteur_8"/>
    <x v="1"/>
    <d v="1899-12-30T00:00:00"/>
    <d v="1899-12-30T00:00:00"/>
    <n v="1"/>
    <e v="#VALUE!"/>
    <n v="0"/>
    <e v="#VALUE!"/>
    <s v=""/>
    <e v="#VALUE!"/>
    <n v="0"/>
    <e v="#VALUE!"/>
    <e v="#VALUE!"/>
    <s v=""/>
    <s v=""/>
    <s v=""/>
    <n v="0"/>
    <x v="2"/>
    <x v="5"/>
    <x v="1"/>
    <x v="1"/>
    <n v="303.89999999999998"/>
  </r>
  <r>
    <d v="2021-04-01T00:00:00"/>
    <x v="136"/>
    <x v="4"/>
    <x v="12"/>
    <s v="Compteur 8"/>
    <s v="Compteur_8"/>
    <x v="1"/>
    <d v="1899-12-30T00:00:00"/>
    <d v="1899-12-30T00:00:00"/>
    <n v="1"/>
    <e v="#VALUE!"/>
    <n v="0"/>
    <e v="#VALUE!"/>
    <s v=""/>
    <e v="#VALUE!"/>
    <n v="0"/>
    <e v="#VALUE!"/>
    <e v="#VALUE!"/>
    <s v=""/>
    <s v=""/>
    <s v=""/>
    <n v="0"/>
    <x v="2"/>
    <x v="5"/>
    <x v="1"/>
    <x v="1"/>
    <n v="242.8"/>
  </r>
  <r>
    <d v="2021-05-01T00:00:00"/>
    <x v="137"/>
    <x v="5"/>
    <x v="12"/>
    <s v="Compteur 8"/>
    <s v="Compteur_8"/>
    <x v="1"/>
    <d v="1899-12-30T00:00:00"/>
    <d v="1899-12-30T00:00:00"/>
    <n v="1"/>
    <e v="#VALUE!"/>
    <n v="0"/>
    <e v="#VALUE!"/>
    <s v=""/>
    <e v="#VALUE!"/>
    <n v="0"/>
    <e v="#VALUE!"/>
    <e v="#VALUE!"/>
    <s v=""/>
    <s v=""/>
    <s v=""/>
    <n v="0"/>
    <x v="2"/>
    <x v="5"/>
    <x v="1"/>
    <x v="1"/>
    <n v="159.4"/>
  </r>
  <r>
    <d v="2021-06-01T00:00:00"/>
    <x v="138"/>
    <x v="6"/>
    <x v="12"/>
    <s v="Compteur 8"/>
    <s v="Compteur_8"/>
    <x v="1"/>
    <d v="1899-12-30T00:00:00"/>
    <d v="1899-12-30T00:00:00"/>
    <n v="1"/>
    <e v="#VALUE!"/>
    <n v="0"/>
    <e v="#VALUE!"/>
    <s v=""/>
    <e v="#VALUE!"/>
    <n v="0"/>
    <e v="#VALUE!"/>
    <e v="#VALUE!"/>
    <s v=""/>
    <s v=""/>
    <s v=""/>
    <n v="0"/>
    <x v="2"/>
    <x v="5"/>
    <x v="1"/>
    <x v="1"/>
    <n v="29.9"/>
  </r>
  <r>
    <d v="2021-07-01T00:00:00"/>
    <x v="139"/>
    <x v="7"/>
    <x v="12"/>
    <s v="Compteur 8"/>
    <s v="Compteur_8"/>
    <x v="1"/>
    <d v="1899-12-30T00:00:00"/>
    <d v="1899-12-30T00:00:00"/>
    <n v="1"/>
    <e v="#VALUE!"/>
    <n v="0"/>
    <e v="#VALUE!"/>
    <s v=""/>
    <e v="#VALUE!"/>
    <n v="0"/>
    <e v="#VALUE!"/>
    <e v="#VALUE!"/>
    <s v=""/>
    <s v=""/>
    <s v=""/>
    <n v="0"/>
    <x v="2"/>
    <x v="5"/>
    <x v="1"/>
    <x v="1"/>
    <n v="22.4"/>
  </r>
  <r>
    <d v="2021-08-01T00:00:00"/>
    <x v="140"/>
    <x v="8"/>
    <x v="12"/>
    <s v="Compteur 8"/>
    <s v="Compteur_8"/>
    <x v="1"/>
    <d v="1899-12-30T00:00:00"/>
    <d v="1899-12-30T00:00:00"/>
    <n v="1"/>
    <e v="#VALUE!"/>
    <n v="0"/>
    <e v="#VALUE!"/>
    <s v=""/>
    <e v="#VALUE!"/>
    <n v="0"/>
    <e v="#VALUE!"/>
    <e v="#VALUE!"/>
    <s v=""/>
    <s v=""/>
    <s v=""/>
    <n v="0"/>
    <x v="2"/>
    <x v="5"/>
    <x v="1"/>
    <x v="1"/>
    <n v="35.9"/>
  </r>
  <r>
    <d v="2021-09-01T00:00:00"/>
    <x v="141"/>
    <x v="9"/>
    <x v="12"/>
    <s v="Compteur 8"/>
    <s v="Compteur_8"/>
    <x v="1"/>
    <d v="1899-12-30T00:00:00"/>
    <d v="1899-12-30T00:00:00"/>
    <n v="1"/>
    <e v="#VALUE!"/>
    <n v="0"/>
    <e v="#VALUE!"/>
    <s v=""/>
    <e v="#VALUE!"/>
    <n v="0"/>
    <e v="#VALUE!"/>
    <e v="#VALUE!"/>
    <s v=""/>
    <s v=""/>
    <s v=""/>
    <n v="0"/>
    <x v="2"/>
    <x v="5"/>
    <x v="1"/>
    <x v="1"/>
    <n v="47.8"/>
  </r>
  <r>
    <d v="2021-10-01T00:00:00"/>
    <x v="142"/>
    <x v="10"/>
    <x v="12"/>
    <s v="Compteur 8"/>
    <s v="Compteur_8"/>
    <x v="1"/>
    <d v="1899-12-30T00:00:00"/>
    <d v="1899-12-30T00:00:00"/>
    <n v="1"/>
    <e v="#VALUE!"/>
    <n v="0"/>
    <e v="#VALUE!"/>
    <s v=""/>
    <e v="#VALUE!"/>
    <n v="0"/>
    <e v="#VALUE!"/>
    <e v="#VALUE!"/>
    <s v=""/>
    <s v=""/>
    <s v=""/>
    <n v="0"/>
    <x v="2"/>
    <x v="5"/>
    <x v="1"/>
    <x v="1"/>
    <n v="170.5"/>
  </r>
  <r>
    <d v="2021-11-01T00:00:00"/>
    <x v="143"/>
    <x v="11"/>
    <x v="12"/>
    <s v="Compteur 8"/>
    <s v="Compteur_8"/>
    <x v="1"/>
    <d v="1899-12-30T00:00:00"/>
    <d v="1899-12-30T00:00:00"/>
    <n v="1"/>
    <e v="#VALUE!"/>
    <n v="0"/>
    <e v="#VALUE!"/>
    <s v=""/>
    <e v="#VALUE!"/>
    <n v="0"/>
    <e v="#VALUE!"/>
    <e v="#VALUE!"/>
    <s v=""/>
    <s v=""/>
    <s v=""/>
    <n v="0"/>
    <x v="2"/>
    <x v="5"/>
    <x v="1"/>
    <x v="1"/>
    <n v="326.8"/>
  </r>
  <r>
    <d v="2021-12-01T00:00:00"/>
    <x v="144"/>
    <x v="12"/>
    <x v="12"/>
    <s v="Compteur 8"/>
    <s v="Compteur_8"/>
    <x v="1"/>
    <d v="1899-12-30T00:00:00"/>
    <d v="1899-12-30T00:00:00"/>
    <n v="1"/>
    <e v="#VALUE!"/>
    <n v="0"/>
    <e v="#VALUE!"/>
    <s v=""/>
    <e v="#VALUE!"/>
    <n v="0"/>
    <e v="#VALUE!"/>
    <e v="#VALUE!"/>
    <s v=""/>
    <s v=""/>
    <s v=""/>
    <n v="0"/>
    <x v="2"/>
    <x v="5"/>
    <x v="1"/>
    <x v="1"/>
    <n v="336.7"/>
  </r>
  <r>
    <d v="2022-01-01T00:00:00"/>
    <x v="145"/>
    <x v="1"/>
    <x v="13"/>
    <s v="Compteur 8"/>
    <s v="Compteur_8"/>
    <x v="1"/>
    <d v="1899-12-30T00:00:00"/>
    <d v="1899-12-30T00:00:00"/>
    <n v="1"/>
    <e v="#VALUE!"/>
    <n v="0"/>
    <e v="#VALUE!"/>
    <s v=""/>
    <e v="#VALUE!"/>
    <n v="0"/>
    <e v="#VALUE!"/>
    <e v="#VALUE!"/>
    <s v=""/>
    <s v=""/>
    <s v=""/>
    <n v="0"/>
    <x v="2"/>
    <x v="5"/>
    <x v="1"/>
    <x v="1"/>
    <n v="396.3"/>
  </r>
  <r>
    <d v="2022-02-01T00:00:00"/>
    <x v="146"/>
    <x v="2"/>
    <x v="13"/>
    <s v="Compteur 8"/>
    <s v="Compteur_8"/>
    <x v="1"/>
    <d v="1899-12-30T00:00:00"/>
    <d v="1899-12-30T00:00:00"/>
    <n v="1"/>
    <e v="#VALUE!"/>
    <n v="0"/>
    <e v="#VALUE!"/>
    <s v=""/>
    <e v="#VALUE!"/>
    <n v="0"/>
    <e v="#VALUE!"/>
    <e v="#VALUE!"/>
    <s v=""/>
    <s v=""/>
    <s v=""/>
    <n v="0"/>
    <x v="2"/>
    <x v="5"/>
    <x v="1"/>
    <x v="1"/>
    <n v="286.10000000000002"/>
  </r>
  <r>
    <d v="2022-03-01T00:00:00"/>
    <x v="147"/>
    <x v="3"/>
    <x v="13"/>
    <s v="Compteur 8"/>
    <s v="Compteur_8"/>
    <x v="1"/>
    <d v="1899-12-30T00:00:00"/>
    <d v="1899-12-30T00:00:00"/>
    <n v="1"/>
    <e v="#VALUE!"/>
    <n v="0"/>
    <e v="#VALUE!"/>
    <s v=""/>
    <e v="#VALUE!"/>
    <n v="0"/>
    <e v="#VALUE!"/>
    <e v="#VALUE!"/>
    <s v=""/>
    <s v=""/>
    <s v=""/>
    <n v="0"/>
    <x v="2"/>
    <x v="5"/>
    <x v="1"/>
    <x v="1"/>
    <n v="239.8"/>
  </r>
  <r>
    <d v="2022-04-01T00:00:00"/>
    <x v="148"/>
    <x v="4"/>
    <x v="13"/>
    <s v="Compteur 8"/>
    <s v="Compteur_8"/>
    <x v="1"/>
    <d v="1899-12-30T00:00:00"/>
    <d v="1899-12-30T00:00:00"/>
    <n v="1"/>
    <e v="#VALUE!"/>
    <n v="0"/>
    <e v="#VALUE!"/>
    <s v=""/>
    <e v="#VALUE!"/>
    <n v="0"/>
    <e v="#VALUE!"/>
    <e v="#VALUE!"/>
    <s v=""/>
    <s v=""/>
    <s v=""/>
    <n v="0"/>
    <x v="2"/>
    <x v="5"/>
    <x v="1"/>
    <x v="1"/>
    <n v="192.3"/>
  </r>
  <r>
    <d v="2022-05-01T00:00:00"/>
    <x v="149"/>
    <x v="5"/>
    <x v="13"/>
    <s v="Compteur 8"/>
    <s v="Compteur_8"/>
    <x v="1"/>
    <d v="1899-12-30T00:00:00"/>
    <d v="1899-12-30T00:00:00"/>
    <n v="1"/>
    <e v="#VALUE!"/>
    <n v="0"/>
    <e v="#VALUE!"/>
    <s v=""/>
    <e v="#VALUE!"/>
    <n v="0"/>
    <e v="#VALUE!"/>
    <e v="#VALUE!"/>
    <s v=""/>
    <s v=""/>
    <s v=""/>
    <n v="0"/>
    <x v="2"/>
    <x v="5"/>
    <x v="1"/>
    <x v="1"/>
    <n v="81.8"/>
  </r>
  <r>
    <d v="2022-06-01T00:00:00"/>
    <x v="150"/>
    <x v="6"/>
    <x v="13"/>
    <s v="Compteur 8"/>
    <s v="Compteur_8"/>
    <x v="1"/>
    <d v="1899-12-30T00:00:00"/>
    <d v="1899-12-30T00:00:00"/>
    <n v="1"/>
    <e v="#VALUE!"/>
    <n v="0"/>
    <e v="#VALUE!"/>
    <s v=""/>
    <e v="#VALUE!"/>
    <n v="0"/>
    <e v="#VALUE!"/>
    <e v="#VALUE!"/>
    <s v=""/>
    <s v=""/>
    <s v=""/>
    <n v="0"/>
    <x v="2"/>
    <x v="5"/>
    <x v="1"/>
    <x v="1"/>
    <n v="35.5"/>
  </r>
  <r>
    <d v="2022-07-01T00:00:00"/>
    <x v="151"/>
    <x v="7"/>
    <x v="13"/>
    <s v="Compteur 8"/>
    <s v="Compteur_8"/>
    <x v="1"/>
    <d v="1899-12-30T00:00:00"/>
    <d v="1899-12-30T00:00:00"/>
    <n v="1"/>
    <e v="#VALUE!"/>
    <n v="0"/>
    <e v="#VALUE!"/>
    <s v=""/>
    <e v="#VALUE!"/>
    <n v="0"/>
    <e v="#VALUE!"/>
    <e v="#VALUE!"/>
    <s v=""/>
    <s v=""/>
    <s v=""/>
    <n v="0"/>
    <x v="2"/>
    <x v="5"/>
    <x v="1"/>
    <x v="1"/>
    <n v="18.8"/>
  </r>
  <r>
    <d v="2022-08-01T00:00:00"/>
    <x v="152"/>
    <x v="8"/>
    <x v="13"/>
    <s v="Compteur 8"/>
    <s v="Compteur_8"/>
    <x v="1"/>
    <d v="1899-12-30T00:00:00"/>
    <d v="1899-12-30T00:00:00"/>
    <n v="1"/>
    <e v="#VALUE!"/>
    <n v="0"/>
    <e v="#VALUE!"/>
    <s v=""/>
    <e v="#VALUE!"/>
    <n v="0"/>
    <e v="#VALUE!"/>
    <e v="#VALUE!"/>
    <s v=""/>
    <s v=""/>
    <s v=""/>
    <n v="0"/>
    <x v="2"/>
    <x v="5"/>
    <x v="1"/>
    <x v="1"/>
    <n v="10.7"/>
  </r>
  <r>
    <d v="2022-09-01T00:00:00"/>
    <x v="153"/>
    <x v="9"/>
    <x v="13"/>
    <s v="Compteur 8"/>
    <s v="Compteur_8"/>
    <x v="1"/>
    <d v="1899-12-30T00:00:00"/>
    <d v="1899-12-30T00:00:00"/>
    <n v="1"/>
    <e v="#VALUE!"/>
    <n v="0"/>
    <e v="#VALUE!"/>
    <s v=""/>
    <e v="#VALUE!"/>
    <n v="0"/>
    <e v="#VALUE!"/>
    <e v="#VALUE!"/>
    <s v=""/>
    <s v=""/>
    <s v=""/>
    <n v="0"/>
    <x v="2"/>
    <x v="5"/>
    <x v="1"/>
    <x v="1"/>
    <n v="74.7"/>
  </r>
  <r>
    <d v="2022-10-01T00:00:00"/>
    <x v="154"/>
    <x v="10"/>
    <x v="13"/>
    <s v="Compteur 8"/>
    <s v="Compteur_8"/>
    <x v="1"/>
    <d v="1899-12-30T00:00:00"/>
    <d v="1899-12-30T00:00:00"/>
    <n v="1"/>
    <e v="#VALUE!"/>
    <n v="0"/>
    <e v="#VALUE!"/>
    <s v=""/>
    <e v="#VALUE!"/>
    <n v="0"/>
    <e v="#VALUE!"/>
    <e v="#VALUE!"/>
    <s v=""/>
    <s v=""/>
    <s v=""/>
    <n v="0"/>
    <x v="2"/>
    <x v="5"/>
    <x v="1"/>
    <x v="1"/>
    <n v="73"/>
  </r>
  <r>
    <d v="2022-11-01T00:00:00"/>
    <x v="155"/>
    <x v="11"/>
    <x v="13"/>
    <s v="Compteur 8"/>
    <s v="Compteur_8"/>
    <x v="1"/>
    <d v="1899-12-30T00:00:00"/>
    <d v="1899-12-30T00:00:00"/>
    <n v="1"/>
    <e v="#VALUE!"/>
    <n v="0"/>
    <e v="#VALUE!"/>
    <s v=""/>
    <e v="#VALUE!"/>
    <n v="0"/>
    <e v="#VALUE!"/>
    <e v="#VALUE!"/>
    <s v=""/>
    <s v=""/>
    <s v=""/>
    <n v="0"/>
    <x v="2"/>
    <x v="5"/>
    <x v="1"/>
    <x v="1"/>
    <n v="227.5"/>
  </r>
  <r>
    <d v="2022-12-01T00:00:00"/>
    <x v="156"/>
    <x v="12"/>
    <x v="13"/>
    <s v="Compteur 8"/>
    <s v="Compteur_8"/>
    <x v="1"/>
    <d v="1899-12-30T00:00:00"/>
    <d v="1899-12-30T00:00:00"/>
    <n v="1"/>
    <e v="#VALUE!"/>
    <n v="0"/>
    <e v="#VALUE!"/>
    <s v=""/>
    <e v="#VALUE!"/>
    <n v="0"/>
    <e v="#VALUE!"/>
    <e v="#VALUE!"/>
    <s v=""/>
    <s v=""/>
    <s v=""/>
    <n v="0"/>
    <x v="2"/>
    <x v="5"/>
    <x v="1"/>
    <x v="1"/>
    <n v="380.8"/>
  </r>
  <r>
    <d v="2023-01-01T00:00:00"/>
    <x v="157"/>
    <x v="1"/>
    <x v="14"/>
    <s v="Compteur 8"/>
    <s v="Compteur_8"/>
    <x v="1"/>
    <d v="1899-12-30T00:00:00"/>
    <d v="1899-12-30T00:00:00"/>
    <n v="1"/>
    <e v="#VALUE!"/>
    <n v="0"/>
    <e v="#VALUE!"/>
    <s v=""/>
    <e v="#VALUE!"/>
    <n v="0"/>
    <e v="#VALUE!"/>
    <e v="#VALUE!"/>
    <s v=""/>
    <s v=""/>
    <s v=""/>
    <n v="0"/>
    <x v="2"/>
    <x v="5"/>
    <x v="1"/>
    <x v="1"/>
    <n v="356.1"/>
  </r>
  <r>
    <d v="2023-02-01T00:00:00"/>
    <x v="158"/>
    <x v="2"/>
    <x v="14"/>
    <s v="Compteur 8"/>
    <s v="Compteur_8"/>
    <x v="1"/>
    <d v="1899-12-30T00:00:00"/>
    <d v="1899-12-30T00:00:00"/>
    <n v="1"/>
    <e v="#VALUE!"/>
    <n v="0"/>
    <e v="#VALUE!"/>
    <s v=""/>
    <e v="#VALUE!"/>
    <n v="0"/>
    <e v="#VALUE!"/>
    <e v="#VALUE!"/>
    <s v=""/>
    <s v=""/>
    <s v=""/>
    <n v="0"/>
    <x v="2"/>
    <x v="5"/>
    <x v="1"/>
    <x v="1"/>
    <n v="314.10000000000002"/>
  </r>
  <r>
    <d v="2023-03-01T00:00:00"/>
    <x v="159"/>
    <x v="3"/>
    <x v="14"/>
    <s v="Compteur 8"/>
    <s v="Compteur_8"/>
    <x v="1"/>
    <d v="1899-12-30T00:00:00"/>
    <d v="1899-12-30T00:00:00"/>
    <n v="1"/>
    <e v="#VALUE!"/>
    <n v="0"/>
    <e v="#VALUE!"/>
    <s v=""/>
    <e v="#VALUE!"/>
    <n v="0"/>
    <e v="#VALUE!"/>
    <e v="#VALUE!"/>
    <s v=""/>
    <s v=""/>
    <s v=""/>
    <n v="0"/>
    <x v="2"/>
    <x v="5"/>
    <x v="1"/>
    <x v="1"/>
    <n v="251.3"/>
  </r>
  <r>
    <d v="2023-04-01T00:00:00"/>
    <x v="160"/>
    <x v="4"/>
    <x v="14"/>
    <s v="Compteur 8"/>
    <s v="Compteur_8"/>
    <x v="1"/>
    <d v="1899-12-30T00:00:00"/>
    <d v="1899-12-30T00:00:00"/>
    <n v="1"/>
    <e v="#VALUE!"/>
    <n v="0"/>
    <e v="#VALUE!"/>
    <s v=""/>
    <e v="#VALUE!"/>
    <n v="0"/>
    <e v="#VALUE!"/>
    <e v="#VALUE!"/>
    <s v=""/>
    <s v=""/>
    <s v=""/>
    <n v="0"/>
    <x v="2"/>
    <x v="5"/>
    <x v="1"/>
    <x v="1"/>
    <n v="198"/>
  </r>
  <r>
    <d v="2023-05-01T00:00:00"/>
    <x v="161"/>
    <x v="5"/>
    <x v="14"/>
    <s v="Compteur 8"/>
    <s v="Compteur_8"/>
    <x v="1"/>
    <d v="1899-12-30T00:00:00"/>
    <d v="1899-12-30T00:00:00"/>
    <n v="1"/>
    <e v="#VALUE!"/>
    <n v="0"/>
    <e v="#VALUE!"/>
    <s v=""/>
    <e v="#VALUE!"/>
    <n v="0"/>
    <e v="#VALUE!"/>
    <e v="#VALUE!"/>
    <s v=""/>
    <s v=""/>
    <s v=""/>
    <n v="0"/>
    <x v="2"/>
    <x v="5"/>
    <x v="1"/>
    <x v="1"/>
    <n v="86.4"/>
  </r>
  <r>
    <d v="2023-06-01T00:00:00"/>
    <x v="162"/>
    <x v="6"/>
    <x v="14"/>
    <s v="Compteur 8"/>
    <s v="Compteur_8"/>
    <x v="1"/>
    <d v="1899-12-30T00:00:00"/>
    <d v="1899-12-30T00:00:00"/>
    <n v="1"/>
    <e v="#VALUE!"/>
    <n v="0"/>
    <e v="#VALUE!"/>
    <s v=""/>
    <e v="#VALUE!"/>
    <n v="0"/>
    <e v="#VALUE!"/>
    <e v="#VALUE!"/>
    <s v=""/>
    <s v=""/>
    <s v=""/>
    <n v="0"/>
    <x v="2"/>
    <x v="5"/>
    <x v="1"/>
    <x v="1"/>
    <n v="17.3"/>
  </r>
  <r>
    <d v="2023-07-01T00:00:00"/>
    <x v="163"/>
    <x v="7"/>
    <x v="14"/>
    <s v="Compteur 8"/>
    <s v="Compteur_8"/>
    <x v="1"/>
    <d v="1899-12-30T00:00:00"/>
    <d v="1899-12-30T00:00:00"/>
    <n v="1"/>
    <e v="#VALUE!"/>
    <n v="0"/>
    <e v="#VALUE!"/>
    <s v=""/>
    <e v="#VALUE!"/>
    <n v="0"/>
    <e v="#VALUE!"/>
    <e v="#VALUE!"/>
    <s v=""/>
    <s v=""/>
    <s v=""/>
    <n v="0"/>
    <x v="2"/>
    <x v="5"/>
    <x v="1"/>
    <x v="1"/>
    <n v="24.1"/>
  </r>
  <r>
    <d v="2023-08-01T00:00:00"/>
    <x v="164"/>
    <x v="8"/>
    <x v="14"/>
    <s v="Compteur 8"/>
    <s v="Compteur_8"/>
    <x v="1"/>
    <d v="1899-12-30T00:00:00"/>
    <d v="1899-12-30T00:00:00"/>
    <n v="1"/>
    <e v="#VALUE!"/>
    <n v="0"/>
    <e v="#VALUE!"/>
    <s v=""/>
    <e v="#VALUE!"/>
    <n v="0"/>
    <e v="#VALUE!"/>
    <e v="#VALUE!"/>
    <s v=""/>
    <s v=""/>
    <s v=""/>
    <n v="0"/>
    <x v="2"/>
    <x v="5"/>
    <x v="1"/>
    <x v="1"/>
    <n v="27.9"/>
  </r>
  <r>
    <d v="2023-09-01T00:00:00"/>
    <x v="165"/>
    <x v="9"/>
    <x v="14"/>
    <s v="Compteur 8"/>
    <s v="Compteur_8"/>
    <x v="1"/>
    <d v="1899-12-30T00:00:00"/>
    <d v="1899-12-30T00:00:00"/>
    <n v="1"/>
    <e v="#VALUE!"/>
    <n v="0"/>
    <e v="#VALUE!"/>
    <s v=""/>
    <e v="#VALUE!"/>
    <n v="0"/>
    <e v="#VALUE!"/>
    <e v="#VALUE!"/>
    <s v=""/>
    <s v=""/>
    <s v=""/>
    <n v="0"/>
    <x v="2"/>
    <x v="5"/>
    <x v="1"/>
    <x v="1"/>
    <n v="30.5"/>
  </r>
  <r>
    <d v="2023-10-01T00:00:00"/>
    <x v="166"/>
    <x v="10"/>
    <x v="14"/>
    <s v="Compteur 8"/>
    <s v="Compteur_8"/>
    <x v="1"/>
    <d v="1899-12-30T00:00:00"/>
    <d v="1899-12-30T00:00:00"/>
    <n v="1"/>
    <e v="#VALUE!"/>
    <n v="0"/>
    <e v="#VALUE!"/>
    <s v=""/>
    <e v="#VALUE!"/>
    <n v="0"/>
    <e v="#VALUE!"/>
    <e v="#VALUE!"/>
    <s v=""/>
    <s v=""/>
    <s v=""/>
    <n v="0"/>
    <x v="2"/>
    <x v="5"/>
    <x v="1"/>
    <x v="1"/>
    <n v="115.8"/>
  </r>
  <r>
    <d v="2023-11-01T00:00:00"/>
    <x v="167"/>
    <x v="11"/>
    <x v="14"/>
    <s v="Compteur 8"/>
    <s v="Compteur_8"/>
    <x v="1"/>
    <d v="1899-12-30T00:00:00"/>
    <d v="1899-12-30T00:00:00"/>
    <n v="1"/>
    <e v="#VALUE!"/>
    <n v="0"/>
    <e v="#VALUE!"/>
    <s v=""/>
    <e v="#VALUE!"/>
    <n v="0"/>
    <e v="#VALUE!"/>
    <e v="#VALUE!"/>
    <s v=""/>
    <s v=""/>
    <s v=""/>
    <n v="0"/>
    <x v="2"/>
    <x v="5"/>
    <x v="1"/>
    <x v="1"/>
    <n v="239.8"/>
  </r>
  <r>
    <d v="2023-12-01T00:00:00"/>
    <x v="168"/>
    <x v="12"/>
    <x v="14"/>
    <s v="Compteur 8"/>
    <s v="Compteur_8"/>
    <x v="1"/>
    <d v="1899-12-30T00:00:00"/>
    <d v="1899-12-30T00:00:00"/>
    <n v="1"/>
    <e v="#VALUE!"/>
    <n v="0"/>
    <e v="#VALUE!"/>
    <s v=""/>
    <e v="#VALUE!"/>
    <n v="0"/>
    <e v="#VALUE!"/>
    <e v="#VALUE!"/>
    <s v=""/>
    <s v=""/>
    <s v=""/>
    <n v="0"/>
    <x v="2"/>
    <x v="5"/>
    <x v="1"/>
    <x v="1"/>
    <n v="300.89999999999998"/>
  </r>
  <r>
    <d v="2024-01-01T00:00:00"/>
    <x v="169"/>
    <x v="1"/>
    <x v="15"/>
    <s v="Compteur 8"/>
    <s v="Compteur_8"/>
    <x v="1"/>
    <d v="1899-12-30T00:00:00"/>
    <d v="1899-12-30T00:00:00"/>
    <n v="1"/>
    <e v="#VALUE!"/>
    <n v="0"/>
    <e v="#VALUE!"/>
    <s v=""/>
    <e v="#VALUE!"/>
    <n v="0"/>
    <e v="#VALUE!"/>
    <e v="#VALUE!"/>
    <s v=""/>
    <s v=""/>
    <s v=""/>
    <n v="0"/>
    <x v="2"/>
    <x v="5"/>
    <x v="1"/>
    <x v="1"/>
    <n v="0"/>
  </r>
  <r>
    <d v="2024-02-01T00:00:00"/>
    <x v="170"/>
    <x v="2"/>
    <x v="15"/>
    <s v="Compteur 8"/>
    <s v="Compteur_8"/>
    <x v="1"/>
    <d v="1899-12-30T00:00:00"/>
    <d v="1899-12-30T00:00:00"/>
    <n v="1"/>
    <e v="#VALUE!"/>
    <n v="0"/>
    <e v="#VALUE!"/>
    <s v=""/>
    <e v="#VALUE!"/>
    <n v="0"/>
    <e v="#VALUE!"/>
    <e v="#VALUE!"/>
    <s v=""/>
    <s v=""/>
    <s v=""/>
    <n v="0"/>
    <x v="2"/>
    <x v="5"/>
    <x v="1"/>
    <x v="1"/>
    <n v="0"/>
  </r>
  <r>
    <d v="2024-03-01T00:00:00"/>
    <x v="171"/>
    <x v="3"/>
    <x v="15"/>
    <s v="Compteur 8"/>
    <s v="Compteur_8"/>
    <x v="1"/>
    <d v="1899-12-30T00:00:00"/>
    <d v="1899-12-30T00:00:00"/>
    <n v="1"/>
    <e v="#VALUE!"/>
    <n v="0"/>
    <e v="#VALUE!"/>
    <s v=""/>
    <e v="#VALUE!"/>
    <n v="0"/>
    <e v="#VALUE!"/>
    <e v="#VALUE!"/>
    <s v=""/>
    <s v=""/>
    <s v=""/>
    <n v="0"/>
    <x v="2"/>
    <x v="5"/>
    <x v="1"/>
    <x v="1"/>
    <n v="0"/>
  </r>
  <r>
    <d v="2024-04-01T00:00:00"/>
    <x v="172"/>
    <x v="4"/>
    <x v="15"/>
    <s v="Compteur 8"/>
    <s v="Compteur_8"/>
    <x v="1"/>
    <d v="1899-12-30T00:00:00"/>
    <d v="1899-12-30T00:00:00"/>
    <n v="1"/>
    <e v="#VALUE!"/>
    <n v="0"/>
    <e v="#VALUE!"/>
    <s v=""/>
    <e v="#VALUE!"/>
    <n v="0"/>
    <e v="#VALUE!"/>
    <e v="#VALUE!"/>
    <s v=""/>
    <s v=""/>
    <s v=""/>
    <n v="0"/>
    <x v="2"/>
    <x v="5"/>
    <x v="1"/>
    <x v="1"/>
    <n v="0"/>
  </r>
  <r>
    <d v="2024-05-01T00:00:00"/>
    <x v="173"/>
    <x v="5"/>
    <x v="15"/>
    <s v="Compteur 8"/>
    <s v="Compteur_8"/>
    <x v="1"/>
    <d v="1899-12-30T00:00:00"/>
    <d v="1899-12-30T00:00:00"/>
    <n v="1"/>
    <e v="#VALUE!"/>
    <n v="0"/>
    <e v="#VALUE!"/>
    <s v=""/>
    <e v="#VALUE!"/>
    <n v="0"/>
    <e v="#VALUE!"/>
    <e v="#VALUE!"/>
    <s v=""/>
    <s v=""/>
    <s v=""/>
    <n v="0"/>
    <x v="2"/>
    <x v="5"/>
    <x v="1"/>
    <x v="1"/>
    <n v="0"/>
  </r>
  <r>
    <d v="2024-06-01T00:00:00"/>
    <x v="174"/>
    <x v="6"/>
    <x v="15"/>
    <s v="Compteur 8"/>
    <s v="Compteur_8"/>
    <x v="1"/>
    <d v="1899-12-30T00:00:00"/>
    <d v="1899-12-30T00:00:00"/>
    <n v="1"/>
    <e v="#VALUE!"/>
    <n v="0"/>
    <e v="#VALUE!"/>
    <s v=""/>
    <e v="#VALUE!"/>
    <n v="0"/>
    <e v="#VALUE!"/>
    <e v="#VALUE!"/>
    <s v=""/>
    <s v=""/>
    <s v=""/>
    <n v="0"/>
    <x v="2"/>
    <x v="5"/>
    <x v="1"/>
    <x v="1"/>
    <n v="0"/>
  </r>
  <r>
    <d v="2024-07-01T00:00:00"/>
    <x v="175"/>
    <x v="7"/>
    <x v="15"/>
    <s v="Compteur 8"/>
    <s v="Compteur_8"/>
    <x v="1"/>
    <d v="1899-12-30T00:00:00"/>
    <d v="1899-12-30T00:00:00"/>
    <n v="1"/>
    <e v="#VALUE!"/>
    <n v="0"/>
    <e v="#VALUE!"/>
    <s v=""/>
    <e v="#VALUE!"/>
    <n v="0"/>
    <e v="#VALUE!"/>
    <e v="#VALUE!"/>
    <s v=""/>
    <s v=""/>
    <s v=""/>
    <n v="0"/>
    <x v="2"/>
    <x v="5"/>
    <x v="1"/>
    <x v="1"/>
    <n v="0"/>
  </r>
  <r>
    <d v="2024-08-01T00:00:00"/>
    <x v="176"/>
    <x v="8"/>
    <x v="15"/>
    <s v="Compteur 8"/>
    <s v="Compteur_8"/>
    <x v="1"/>
    <d v="1899-12-30T00:00:00"/>
    <d v="1899-12-30T00:00:00"/>
    <n v="1"/>
    <e v="#VALUE!"/>
    <n v="0"/>
    <e v="#VALUE!"/>
    <s v=""/>
    <e v="#VALUE!"/>
    <n v="0"/>
    <e v="#VALUE!"/>
    <e v="#VALUE!"/>
    <s v=""/>
    <s v=""/>
    <s v=""/>
    <n v="0"/>
    <x v="2"/>
    <x v="5"/>
    <x v="1"/>
    <x v="1"/>
    <n v="0"/>
  </r>
  <r>
    <d v="2024-09-01T00:00:00"/>
    <x v="177"/>
    <x v="9"/>
    <x v="15"/>
    <s v="Compteur 8"/>
    <s v="Compteur_8"/>
    <x v="1"/>
    <d v="1899-12-30T00:00:00"/>
    <d v="1899-12-30T00:00:00"/>
    <n v="1"/>
    <e v="#VALUE!"/>
    <n v="0"/>
    <e v="#VALUE!"/>
    <s v=""/>
    <e v="#VALUE!"/>
    <n v="0"/>
    <e v="#VALUE!"/>
    <e v="#VALUE!"/>
    <s v=""/>
    <s v=""/>
    <s v=""/>
    <n v="0"/>
    <x v="2"/>
    <x v="5"/>
    <x v="1"/>
    <x v="1"/>
    <n v="0"/>
  </r>
  <r>
    <d v="2024-10-01T00:00:00"/>
    <x v="178"/>
    <x v="10"/>
    <x v="15"/>
    <s v="Compteur 8"/>
    <s v="Compteur_8"/>
    <x v="1"/>
    <d v="1899-12-30T00:00:00"/>
    <d v="1899-12-30T00:00:00"/>
    <n v="1"/>
    <e v="#VALUE!"/>
    <n v="0"/>
    <e v="#VALUE!"/>
    <s v=""/>
    <e v="#VALUE!"/>
    <n v="0"/>
    <e v="#VALUE!"/>
    <e v="#VALUE!"/>
    <s v=""/>
    <s v=""/>
    <s v=""/>
    <n v="0"/>
    <x v="2"/>
    <x v="5"/>
    <x v="1"/>
    <x v="1"/>
    <n v="0"/>
  </r>
  <r>
    <d v="2024-11-01T00:00:00"/>
    <x v="179"/>
    <x v="11"/>
    <x v="15"/>
    <s v="Compteur 8"/>
    <s v="Compteur_8"/>
    <x v="1"/>
    <d v="1899-12-30T00:00:00"/>
    <d v="1899-12-30T00:00:00"/>
    <n v="1"/>
    <e v="#VALUE!"/>
    <n v="0"/>
    <e v="#VALUE!"/>
    <s v=""/>
    <e v="#VALUE!"/>
    <n v="0"/>
    <e v="#VALUE!"/>
    <e v="#VALUE!"/>
    <s v=""/>
    <s v=""/>
    <s v=""/>
    <n v="0"/>
    <x v="2"/>
    <x v="5"/>
    <x v="1"/>
    <x v="1"/>
    <n v="0"/>
  </r>
  <r>
    <d v="2024-12-01T00:00:00"/>
    <x v="180"/>
    <x v="12"/>
    <x v="15"/>
    <s v="Compteur 8"/>
    <s v="Compteur_8"/>
    <x v="1"/>
    <d v="1899-12-30T00:00:00"/>
    <d v="1899-12-30T00:00:00"/>
    <n v="1"/>
    <e v="#VALUE!"/>
    <n v="0"/>
    <e v="#VALUE!"/>
    <s v=""/>
    <e v="#VALUE!"/>
    <n v="0"/>
    <e v="#VALUE!"/>
    <e v="#VALUE!"/>
    <s v=""/>
    <s v=""/>
    <s v=""/>
    <n v="0"/>
    <x v="2"/>
    <x v="5"/>
    <x v="1"/>
    <x v="1"/>
    <n v="0"/>
  </r>
  <r>
    <d v="2025-01-01T00:00:00"/>
    <x v="181"/>
    <x v="1"/>
    <x v="16"/>
    <s v="Compteur 8"/>
    <s v="Compteur_8"/>
    <x v="1"/>
    <d v="1899-12-30T00:00:00"/>
    <d v="1899-12-30T00:00:00"/>
    <n v="1"/>
    <e v="#VALUE!"/>
    <n v="0"/>
    <e v="#VALUE!"/>
    <s v=""/>
    <e v="#VALUE!"/>
    <n v="0"/>
    <e v="#VALUE!"/>
    <e v="#VALUE!"/>
    <s v=""/>
    <s v=""/>
    <s v=""/>
    <n v="0"/>
    <x v="2"/>
    <x v="5"/>
    <x v="1"/>
    <x v="1"/>
    <n v="0"/>
  </r>
  <r>
    <d v="2025-02-01T00:00:00"/>
    <x v="182"/>
    <x v="2"/>
    <x v="16"/>
    <s v="Compteur 8"/>
    <s v="Compteur_8"/>
    <x v="1"/>
    <d v="1899-12-30T00:00:00"/>
    <d v="1899-12-30T00:00:00"/>
    <n v="1"/>
    <e v="#VALUE!"/>
    <n v="0"/>
    <e v="#VALUE!"/>
    <s v=""/>
    <e v="#VALUE!"/>
    <n v="0"/>
    <e v="#VALUE!"/>
    <e v="#VALUE!"/>
    <s v=""/>
    <s v=""/>
    <s v=""/>
    <n v="0"/>
    <x v="2"/>
    <x v="5"/>
    <x v="1"/>
    <x v="1"/>
    <n v="0"/>
  </r>
  <r>
    <d v="2025-03-01T00:00:00"/>
    <x v="183"/>
    <x v="3"/>
    <x v="16"/>
    <s v="Compteur 8"/>
    <s v="Compteur_8"/>
    <x v="1"/>
    <d v="1899-12-30T00:00:00"/>
    <d v="1899-12-30T00:00:00"/>
    <n v="1"/>
    <e v="#VALUE!"/>
    <n v="0"/>
    <e v="#VALUE!"/>
    <s v=""/>
    <e v="#VALUE!"/>
    <n v="0"/>
    <e v="#VALUE!"/>
    <e v="#VALUE!"/>
    <s v=""/>
    <s v=""/>
    <s v=""/>
    <n v="0"/>
    <x v="2"/>
    <x v="5"/>
    <x v="1"/>
    <x v="1"/>
    <n v="0"/>
  </r>
  <r>
    <d v="2025-04-01T00:00:00"/>
    <x v="184"/>
    <x v="4"/>
    <x v="16"/>
    <s v="Compteur 8"/>
    <s v="Compteur_8"/>
    <x v="1"/>
    <d v="1899-12-30T00:00:00"/>
    <d v="1899-12-30T00:00:00"/>
    <n v="1"/>
    <e v="#VALUE!"/>
    <n v="0"/>
    <e v="#VALUE!"/>
    <s v=""/>
    <e v="#VALUE!"/>
    <n v="0"/>
    <e v="#VALUE!"/>
    <e v="#VALUE!"/>
    <s v=""/>
    <s v=""/>
    <s v=""/>
    <n v="0"/>
    <x v="2"/>
    <x v="5"/>
    <x v="1"/>
    <x v="1"/>
    <n v="0"/>
  </r>
  <r>
    <d v="2025-05-01T00:00:00"/>
    <x v="185"/>
    <x v="5"/>
    <x v="16"/>
    <s v="Compteur 8"/>
    <s v="Compteur_8"/>
    <x v="1"/>
    <d v="1899-12-30T00:00:00"/>
    <d v="1899-12-30T00:00:00"/>
    <n v="1"/>
    <e v="#VALUE!"/>
    <n v="0"/>
    <e v="#VALUE!"/>
    <s v=""/>
    <e v="#VALUE!"/>
    <n v="0"/>
    <e v="#VALUE!"/>
    <e v="#VALUE!"/>
    <s v=""/>
    <s v=""/>
    <s v=""/>
    <n v="0"/>
    <x v="2"/>
    <x v="5"/>
    <x v="1"/>
    <x v="1"/>
    <n v="0"/>
  </r>
  <r>
    <d v="2025-06-01T00:00:00"/>
    <x v="186"/>
    <x v="6"/>
    <x v="16"/>
    <s v="Compteur 8"/>
    <s v="Compteur_8"/>
    <x v="1"/>
    <d v="1899-12-30T00:00:00"/>
    <d v="1899-12-30T00:00:00"/>
    <n v="1"/>
    <e v="#VALUE!"/>
    <n v="0"/>
    <e v="#VALUE!"/>
    <s v=""/>
    <e v="#VALUE!"/>
    <n v="0"/>
    <e v="#VALUE!"/>
    <e v="#VALUE!"/>
    <s v=""/>
    <s v=""/>
    <s v=""/>
    <n v="0"/>
    <x v="2"/>
    <x v="5"/>
    <x v="1"/>
    <x v="1"/>
    <n v="0"/>
  </r>
  <r>
    <d v="2025-07-01T00:00:00"/>
    <x v="187"/>
    <x v="7"/>
    <x v="16"/>
    <s v="Compteur 8"/>
    <s v="Compteur_8"/>
    <x v="1"/>
    <d v="1899-12-30T00:00:00"/>
    <d v="1899-12-30T00:00:00"/>
    <n v="1"/>
    <e v="#VALUE!"/>
    <n v="0"/>
    <e v="#VALUE!"/>
    <s v=""/>
    <e v="#VALUE!"/>
    <n v="0"/>
    <e v="#VALUE!"/>
    <e v="#VALUE!"/>
    <s v=""/>
    <s v=""/>
    <s v=""/>
    <n v="0"/>
    <x v="2"/>
    <x v="5"/>
    <x v="1"/>
    <x v="1"/>
    <n v="0"/>
  </r>
  <r>
    <d v="2025-08-01T00:00:00"/>
    <x v="188"/>
    <x v="8"/>
    <x v="16"/>
    <s v="Compteur 8"/>
    <s v="Compteur_8"/>
    <x v="1"/>
    <d v="1899-12-30T00:00:00"/>
    <d v="1899-12-30T00:00:00"/>
    <n v="1"/>
    <e v="#VALUE!"/>
    <n v="0"/>
    <e v="#VALUE!"/>
    <s v=""/>
    <e v="#VALUE!"/>
    <n v="0"/>
    <e v="#VALUE!"/>
    <e v="#VALUE!"/>
    <s v=""/>
    <s v=""/>
    <s v=""/>
    <n v="0"/>
    <x v="2"/>
    <x v="5"/>
    <x v="1"/>
    <x v="1"/>
    <n v="0"/>
  </r>
  <r>
    <d v="2025-09-01T00:00:00"/>
    <x v="189"/>
    <x v="9"/>
    <x v="16"/>
    <s v="Compteur 8"/>
    <s v="Compteur_8"/>
    <x v="1"/>
    <d v="1899-12-30T00:00:00"/>
    <d v="1899-12-30T00:00:00"/>
    <n v="1"/>
    <e v="#VALUE!"/>
    <n v="0"/>
    <e v="#VALUE!"/>
    <s v=""/>
    <e v="#VALUE!"/>
    <n v="0"/>
    <e v="#VALUE!"/>
    <e v="#VALUE!"/>
    <s v=""/>
    <s v=""/>
    <s v=""/>
    <n v="0"/>
    <x v="2"/>
    <x v="5"/>
    <x v="1"/>
    <x v="1"/>
    <n v="0"/>
  </r>
  <r>
    <d v="2025-10-01T00:00:00"/>
    <x v="190"/>
    <x v="10"/>
    <x v="16"/>
    <s v="Compteur 8"/>
    <s v="Compteur_8"/>
    <x v="1"/>
    <d v="1899-12-30T00:00:00"/>
    <d v="1899-12-30T00:00:00"/>
    <n v="1"/>
    <e v="#VALUE!"/>
    <n v="0"/>
    <e v="#VALUE!"/>
    <s v=""/>
    <e v="#VALUE!"/>
    <n v="0"/>
    <e v="#VALUE!"/>
    <e v="#VALUE!"/>
    <s v=""/>
    <s v=""/>
    <s v=""/>
    <n v="0"/>
    <x v="2"/>
    <x v="5"/>
    <x v="1"/>
    <x v="1"/>
    <n v="0"/>
  </r>
  <r>
    <d v="2025-11-01T00:00:00"/>
    <x v="191"/>
    <x v="11"/>
    <x v="16"/>
    <s v="Compteur 8"/>
    <s v="Compteur_8"/>
    <x v="1"/>
    <d v="1899-12-30T00:00:00"/>
    <d v="1899-12-30T00:00:00"/>
    <n v="1"/>
    <e v="#VALUE!"/>
    <n v="0"/>
    <e v="#VALUE!"/>
    <s v=""/>
    <e v="#VALUE!"/>
    <n v="0"/>
    <e v="#VALUE!"/>
    <e v="#VALUE!"/>
    <s v=""/>
    <s v=""/>
    <s v=""/>
    <n v="0"/>
    <x v="2"/>
    <x v="5"/>
    <x v="1"/>
    <x v="1"/>
    <n v="0"/>
  </r>
  <r>
    <d v="2025-12-01T00:00:00"/>
    <x v="192"/>
    <x v="12"/>
    <x v="16"/>
    <s v="Compteur 8"/>
    <s v="Compteur_8"/>
    <x v="1"/>
    <d v="1899-12-30T00:00:00"/>
    <d v="1899-12-30T00:00:00"/>
    <n v="1"/>
    <e v="#VALUE!"/>
    <n v="0"/>
    <e v="#VALUE!"/>
    <s v=""/>
    <e v="#VALUE!"/>
    <n v="0"/>
    <e v="#VALUE!"/>
    <e v="#VALUE!"/>
    <s v=""/>
    <s v=""/>
    <s v=""/>
    <n v="0"/>
    <x v="2"/>
    <x v="5"/>
    <x v="1"/>
    <x v="1"/>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eau croisé dynamique1" cacheId="59" applyNumberFormats="0" applyBorderFormats="0" applyFontFormats="0" applyPatternFormats="0" applyAlignmentFormats="0" applyWidthHeightFormats="1" dataCaption="Valeurs" updatedVersion="6" minRefreshableVersion="3" useAutoFormatting="1" rowGrandTotals="0" itemPrintTitles="1" createdVersion="6" indent="0" outline="1" outlineData="1" multipleFieldFilters="0">
  <location ref="B16:C17" firstHeaderRow="1" firstDataRow="1" firstDataCol="1"/>
  <pivotFields count="32">
    <pivotField showAll="0"/>
    <pivotField showAll="0"/>
    <pivotField showAll="0"/>
    <pivotField showAll="0">
      <items count="23">
        <item h="1" x="1"/>
        <item h="1" x="2"/>
        <item h="1" x="3"/>
        <item h="1" x="4"/>
        <item h="1" x="5"/>
        <item x="6"/>
        <item h="1" x="7"/>
        <item h="1" x="8"/>
        <item h="1" x="9"/>
        <item h="1" x="10"/>
        <item h="1" x="11"/>
        <item h="1" x="12"/>
        <item h="1" x="13"/>
        <item h="1" x="14"/>
        <item h="1" x="15"/>
        <item h="1" x="16"/>
        <item h="1" m="1" x="21"/>
        <item h="1" m="1" x="18"/>
        <item h="1" m="1" x="20"/>
        <item h="1" m="1" x="17"/>
        <item h="1" m="1" x="19"/>
        <item h="1" x="0"/>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m="1" x="2"/>
        <item x="1"/>
        <item x="0"/>
        <item t="default"/>
      </items>
    </pivotField>
    <pivotField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5"/>
  </rowFields>
  <rowItems count="1">
    <i>
      <x v="1"/>
    </i>
  </rowItems>
  <colItems count="1">
    <i/>
  </colItems>
  <dataFields count="1">
    <dataField name="Consommation unitaire" fld="13" baseField="25" baseItem="1" numFmtId="172"/>
  </dataFields>
  <formats count="3">
    <format dxfId="95">
      <pivotArea outline="0" collapsedLevelsAreSubtotals="1" fieldPosition="0"/>
    </format>
    <format dxfId="94">
      <pivotArea outline="0" collapsedLevelsAreSubtotals="1" fieldPosition="0"/>
    </format>
    <format dxfId="93">
      <pivotArea outline="0" collapsedLevelsAreSubtotals="1" fieldPosition="0"/>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Tableau croisé dynamique1"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6">
  <location ref="C20:D21"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8">
        <item m="1" x="6"/>
        <item h="1" x="5"/>
        <item h="1" x="4"/>
        <item x="3"/>
        <item h="1" x="1"/>
        <item h="1" x="0"/>
        <item h="1" x="2"/>
        <item t="default"/>
      </items>
    </pivotField>
    <pivotField showAll="0"/>
    <pivotField axis="axisRow" showAll="0">
      <items count="4">
        <item m="1" x="2"/>
        <item x="1"/>
        <item x="0"/>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1">
    <i t="grand">
      <x/>
    </i>
  </rowItems>
  <colItems count="1">
    <i/>
  </colItems>
  <pageFields count="3">
    <pageField fld="3" item="11" hier="-1"/>
    <pageField fld="22" item="3" hier="-1"/>
    <pageField fld="23" hier="-1"/>
  </pageFields>
  <dataFields count="1">
    <dataField name="Somme de Conso_mois_U " fld="13" baseField="24"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TCD_Chrono_Cout" cacheId="59"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7">
  <location ref="A35:B37" firstHeaderRow="1" firstDataRow="2" firstDataCol="1" rowPageCount="2" colPageCount="1"/>
  <pivotFields count="32">
    <pivotField numFmtId="14" showAll="0" defaultSubtotal="0"/>
    <pivotField axis="axisRow" numFmtId="14" showAll="0" defaultSubtotal="0">
      <items count="14">
        <item x="0"/>
        <item x="1"/>
        <item x="2"/>
        <item x="3"/>
        <item x="4"/>
        <item x="5"/>
        <item x="6"/>
        <item x="7"/>
        <item x="8"/>
        <item x="9"/>
        <item x="10"/>
        <item x="11"/>
        <item x="12"/>
        <item x="13"/>
      </items>
    </pivotField>
    <pivotField showAll="0"/>
    <pivotField showAll="0"/>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8">
        <item m="1" x="6"/>
        <item x="5"/>
        <item x="4"/>
        <item x="3"/>
        <item x="1"/>
        <item x="0"/>
        <item x="2"/>
        <item t="default"/>
      </items>
    </pivotField>
    <pivotField showAll="0"/>
    <pivotField axis="axisCol" showAll="0">
      <items count="4">
        <item m="1" x="2"/>
        <item h="1" x="1"/>
        <item h="1" x="0"/>
        <item t="default"/>
      </items>
    </pivotField>
    <pivotField showAll="0" defaultSubtotal="0"/>
    <pivotField dragToRow="0" dragToCol="0" dragToPage="0" showAll="0" defaultSubtotal="0"/>
    <pivotField dragToRow="0" dragToCol="0" dragToPage="0" showAll="0" defaultSubtotal="0"/>
    <pivotField dataField="1"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
    <i t="grand">
      <x/>
    </i>
  </rowItems>
  <colFields count="1">
    <field x="25"/>
  </colFields>
  <colItems count="1">
    <i t="grand">
      <x/>
    </i>
  </colItems>
  <pageFields count="2">
    <pageField fld="23" hier="-1"/>
    <pageField fld="22" item="3" hier="-1"/>
  </pageFields>
  <dataFields count="1">
    <dataField name="Somme de Cout Unitaire" fld="29" baseField="0" baseItem="0"/>
  </dataFields>
  <chartFormats count="1">
    <chartFormat chart="5" format="6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476" name="fin mois">
      <autoFilter ref="A1">
        <filterColumn colId="0">
          <customFilters and="1">
            <customFilter operator="greaterThanOrEqual" val="43466"/>
            <customFilter operator="lessThanOrEqual" val="4492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Tableau croisé dynamique3"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11">
  <location ref="H5:I6"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8">
        <item m="1" x="6"/>
        <item x="5"/>
        <item x="4"/>
        <item x="3"/>
        <item x="1"/>
        <item x="0"/>
        <item x="2"/>
        <item t="default"/>
      </items>
    </pivotField>
    <pivotField showAll="0"/>
    <pivotField axis="axisRow" showAll="0">
      <items count="4">
        <item m="1" x="2"/>
        <item h="1" x="1"/>
        <item h="1" x="0"/>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1">
    <i t="grand">
      <x/>
    </i>
  </rowItems>
  <colItems count="1">
    <i/>
  </colItems>
  <pageFields count="3">
    <pageField fld="3" item="11" hier="-1"/>
    <pageField fld="23" hier="-1"/>
    <pageField fld="22" item="3" hier="-1"/>
  </pageFields>
  <dataFields count="1">
    <dataField name="Somme de Cout_mois" fld="17" baseField="0" baseItem="0"/>
  </dataFields>
  <chartFormats count="2">
    <chartFormat chart="10" format="32" series="1">
      <pivotArea type="data" outline="0" fieldPosition="0">
        <references count="1">
          <reference field="4294967294" count="1" selected="0">
            <x v="0"/>
          </reference>
        </references>
      </pivotArea>
    </chartFormat>
    <chartFormat chart="10" format="35">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Tableau croisé dynamique1"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B3:AJ7" firstHeaderRow="1" firstDataRow="3" firstDataCol="1" rowPageCount="1" colPageCount="1"/>
  <pivotFields count="32">
    <pivotField showAll="0"/>
    <pivotField showAll="0"/>
    <pivotField axis="axisPage" multipleItemSelectionAllowed="1" showAll="0">
      <items count="14">
        <item h="1" x="1"/>
        <item h="1" x="2"/>
        <item h="1" x="3"/>
        <item h="1" x="4"/>
        <item h="1" x="5"/>
        <item x="6"/>
        <item x="7"/>
        <item x="8"/>
        <item x="9"/>
        <item h="1" x="10"/>
        <item h="1" x="11"/>
        <item h="1" x="12"/>
        <item h="1"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dataField="1" showAll="0"/>
    <pivotField showAll="0"/>
    <pivotField showAll="0"/>
    <pivotField showAll="0"/>
    <pivotField axis="axisRow" showAll="0">
      <items count="4">
        <item m="1" x="2"/>
        <item x="1"/>
        <item x="0"/>
        <item t="default"/>
      </items>
    </pivotField>
    <pivotField showAll="0"/>
    <pivotField showAll="0"/>
    <pivotField dragToRow="0" dragToCol="0" dragToPage="0" showAll="0" defaultSubtotal="0"/>
    <pivotField dragToRow="0" dragToCol="0" dragToPage="0" showAll="0" defaultSubtotal="0"/>
    <pivotField dragToRow="0" dragToCol="0" dragToPage="0" showAll="0" defaultSubtotal="0"/>
    <pivotField showAll="0" defaultSubtotal="0"/>
    <pivotField showAll="0" defaultSubtotal="0"/>
  </pivotFields>
  <rowFields count="1">
    <field x="24"/>
  </rowFields>
  <rowItems count="2">
    <i>
      <x v="1"/>
    </i>
    <i t="grand">
      <x/>
    </i>
  </rowItems>
  <colFields count="2">
    <field x="3"/>
    <field x="-2"/>
  </colFields>
  <colItems count="34">
    <i>
      <x/>
      <x/>
    </i>
    <i r="1" i="1">
      <x v="1"/>
    </i>
    <i>
      <x v="1"/>
      <x/>
    </i>
    <i r="1" i="1">
      <x v="1"/>
    </i>
    <i>
      <x v="2"/>
      <x/>
    </i>
    <i r="1" i="1">
      <x v="1"/>
    </i>
    <i>
      <x v="3"/>
      <x/>
    </i>
    <i r="1" i="1">
      <x v="1"/>
    </i>
    <i>
      <x v="4"/>
      <x/>
    </i>
    <i r="1" i="1">
      <x v="1"/>
    </i>
    <i>
      <x v="5"/>
      <x/>
    </i>
    <i r="1" i="1">
      <x v="1"/>
    </i>
    <i>
      <x v="6"/>
      <x/>
    </i>
    <i r="1" i="1">
      <x v="1"/>
    </i>
    <i>
      <x v="7"/>
      <x/>
    </i>
    <i r="1" i="1">
      <x v="1"/>
    </i>
    <i>
      <x v="8"/>
      <x/>
    </i>
    <i r="1" i="1">
      <x v="1"/>
    </i>
    <i>
      <x v="9"/>
      <x/>
    </i>
    <i r="1" i="1">
      <x v="1"/>
    </i>
    <i>
      <x v="10"/>
      <x/>
    </i>
    <i r="1" i="1">
      <x v="1"/>
    </i>
    <i>
      <x v="11"/>
      <x/>
    </i>
    <i r="1" i="1">
      <x v="1"/>
    </i>
    <i>
      <x v="12"/>
      <x/>
    </i>
    <i r="1" i="1">
      <x v="1"/>
    </i>
    <i>
      <x v="13"/>
      <x/>
    </i>
    <i r="1" i="1">
      <x v="1"/>
    </i>
    <i>
      <x v="14"/>
      <x/>
    </i>
    <i r="1" i="1">
      <x v="1"/>
    </i>
    <i>
      <x v="15"/>
      <x/>
    </i>
    <i r="1" i="1">
      <x v="1"/>
    </i>
    <i t="grand">
      <x/>
    </i>
    <i t="grand" i="1">
      <x/>
    </i>
  </colItems>
  <pageFields count="1">
    <pageField fld="2" hier="-1"/>
  </pageFields>
  <dataFields count="2">
    <dataField name="Moyenne de Conso_mois_kWh" fld="18" subtotal="average" baseField="24" baseItem="1"/>
    <dataField name="Moyenne de Conso_mois_kWhDEET" fld="20" subtotal="average" baseField="24" baseItem="1"/>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Tableau croisé dynamique3" cacheId="4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L13:M134"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6">
        <item x="0"/>
        <item x="1"/>
        <item x="2"/>
        <item x="3"/>
        <item x="4"/>
        <item x="5"/>
        <item x="6"/>
        <item x="7"/>
        <item x="8"/>
        <item x="9"/>
        <item x="10"/>
        <item x="11"/>
        <item x="12"/>
        <item x="13"/>
        <item x="14"/>
        <item x="15"/>
        <item x="16"/>
        <item x="17"/>
        <item x="18"/>
        <item x="19"/>
        <item x="20"/>
        <item x="21"/>
        <item x="22"/>
        <item f="1" x="24"/>
        <item x="23"/>
        <item t="default"/>
      </items>
    </pivotField>
    <pivotField axis="axisRow" multipleItemSelectionAllowed="1" showAll="0">
      <items count="13">
        <item h="1" x="0"/>
        <item h="1" x="2"/>
        <item h="1" x="3"/>
        <item h="1" x="4"/>
        <item x="5"/>
        <item x="6"/>
        <item x="7"/>
        <item x="8"/>
        <item h="1" x="9"/>
        <item h="1" x="10"/>
        <item h="1" x="11"/>
        <item h="1" x="1"/>
        <item t="default"/>
      </items>
    </pivotField>
    <pivotField showAll="0" defaultSubtotal="0"/>
    <pivotField showAll="0"/>
    <pivotField dataField="1" showAll="0"/>
    <pivotField dragToRow="0" dragToCol="0" dragToPage="0" showAll="0" defaultSubtotal="0"/>
  </pivotFields>
  <rowFields count="2">
    <field x="1"/>
    <field x="2"/>
  </rowFields>
  <rowItems count="121">
    <i>
      <x v="1"/>
    </i>
    <i r="1">
      <x v="4"/>
    </i>
    <i r="1">
      <x v="5"/>
    </i>
    <i r="1">
      <x v="6"/>
    </i>
    <i r="1">
      <x v="7"/>
    </i>
    <i>
      <x v="2"/>
    </i>
    <i r="1">
      <x v="4"/>
    </i>
    <i r="1">
      <x v="5"/>
    </i>
    <i r="1">
      <x v="6"/>
    </i>
    <i r="1">
      <x v="7"/>
    </i>
    <i>
      <x v="3"/>
    </i>
    <i r="1">
      <x v="4"/>
    </i>
    <i r="1">
      <x v="5"/>
    </i>
    <i r="1">
      <x v="6"/>
    </i>
    <i r="1">
      <x v="7"/>
    </i>
    <i>
      <x v="4"/>
    </i>
    <i r="1">
      <x v="4"/>
    </i>
    <i r="1">
      <x v="5"/>
    </i>
    <i r="1">
      <x v="6"/>
    </i>
    <i r="1">
      <x v="7"/>
    </i>
    <i>
      <x v="5"/>
    </i>
    <i r="1">
      <x v="4"/>
    </i>
    <i r="1">
      <x v="5"/>
    </i>
    <i r="1">
      <x v="6"/>
    </i>
    <i r="1">
      <x v="7"/>
    </i>
    <i>
      <x v="6"/>
    </i>
    <i r="1">
      <x v="4"/>
    </i>
    <i r="1">
      <x v="5"/>
    </i>
    <i r="1">
      <x v="6"/>
    </i>
    <i r="1">
      <x v="7"/>
    </i>
    <i>
      <x v="7"/>
    </i>
    <i r="1">
      <x v="4"/>
    </i>
    <i r="1">
      <x v="5"/>
    </i>
    <i r="1">
      <x v="6"/>
    </i>
    <i r="1">
      <x v="7"/>
    </i>
    <i>
      <x v="8"/>
    </i>
    <i r="1">
      <x v="4"/>
    </i>
    <i r="1">
      <x v="5"/>
    </i>
    <i r="1">
      <x v="6"/>
    </i>
    <i r="1">
      <x v="7"/>
    </i>
    <i>
      <x v="9"/>
    </i>
    <i r="1">
      <x v="4"/>
    </i>
    <i r="1">
      <x v="5"/>
    </i>
    <i r="1">
      <x v="6"/>
    </i>
    <i r="1">
      <x v="7"/>
    </i>
    <i>
      <x v="10"/>
    </i>
    <i r="1">
      <x v="4"/>
    </i>
    <i r="1">
      <x v="5"/>
    </i>
    <i r="1">
      <x v="6"/>
    </i>
    <i r="1">
      <x v="7"/>
    </i>
    <i>
      <x v="11"/>
    </i>
    <i r="1">
      <x v="4"/>
    </i>
    <i r="1">
      <x v="5"/>
    </i>
    <i r="1">
      <x v="6"/>
    </i>
    <i r="1">
      <x v="7"/>
    </i>
    <i>
      <x v="12"/>
    </i>
    <i r="1">
      <x v="4"/>
    </i>
    <i r="1">
      <x v="5"/>
    </i>
    <i r="1">
      <x v="6"/>
    </i>
    <i r="1">
      <x v="7"/>
    </i>
    <i>
      <x v="13"/>
    </i>
    <i r="1">
      <x v="4"/>
    </i>
    <i r="1">
      <x v="5"/>
    </i>
    <i r="1">
      <x v="6"/>
    </i>
    <i r="1">
      <x v="7"/>
    </i>
    <i>
      <x v="14"/>
    </i>
    <i r="1">
      <x v="4"/>
    </i>
    <i r="1">
      <x v="5"/>
    </i>
    <i r="1">
      <x v="6"/>
    </i>
    <i r="1">
      <x v="7"/>
    </i>
    <i>
      <x v="15"/>
    </i>
    <i r="1">
      <x v="4"/>
    </i>
    <i r="1">
      <x v="5"/>
    </i>
    <i r="1">
      <x v="6"/>
    </i>
    <i r="1">
      <x v="7"/>
    </i>
    <i>
      <x v="16"/>
    </i>
    <i r="1">
      <x v="4"/>
    </i>
    <i r="1">
      <x v="5"/>
    </i>
    <i r="1">
      <x v="6"/>
    </i>
    <i r="1">
      <x v="7"/>
    </i>
    <i>
      <x v="17"/>
    </i>
    <i r="1">
      <x v="4"/>
    </i>
    <i r="1">
      <x v="5"/>
    </i>
    <i r="1">
      <x v="6"/>
    </i>
    <i r="1">
      <x v="7"/>
    </i>
    <i>
      <x v="18"/>
    </i>
    <i r="1">
      <x v="4"/>
    </i>
    <i r="1">
      <x v="5"/>
    </i>
    <i r="1">
      <x v="6"/>
    </i>
    <i r="1">
      <x v="7"/>
    </i>
    <i>
      <x v="19"/>
    </i>
    <i r="1">
      <x v="4"/>
    </i>
    <i r="1">
      <x v="5"/>
    </i>
    <i r="1">
      <x v="6"/>
    </i>
    <i r="1">
      <x v="7"/>
    </i>
    <i>
      <x v="20"/>
    </i>
    <i r="1">
      <x v="4"/>
    </i>
    <i r="1">
      <x v="5"/>
    </i>
    <i r="1">
      <x v="6"/>
    </i>
    <i r="1">
      <x v="7"/>
    </i>
    <i>
      <x v="21"/>
    </i>
    <i r="1">
      <x v="4"/>
    </i>
    <i r="1">
      <x v="5"/>
    </i>
    <i r="1">
      <x v="6"/>
    </i>
    <i r="1">
      <x v="7"/>
    </i>
    <i>
      <x v="22"/>
    </i>
    <i r="1">
      <x v="4"/>
    </i>
    <i r="1">
      <x v="5"/>
    </i>
    <i r="1">
      <x v="6"/>
    </i>
    <i r="1">
      <x v="7"/>
    </i>
    <i>
      <x v="23"/>
    </i>
    <i r="1">
      <x v="4"/>
    </i>
    <i r="1">
      <x v="5"/>
    </i>
    <i r="1">
      <x v="6"/>
    </i>
    <i r="1">
      <x v="7"/>
    </i>
    <i>
      <x v="24"/>
    </i>
    <i r="1">
      <x v="4"/>
    </i>
    <i r="1">
      <x v="5"/>
    </i>
    <i r="1">
      <x v="6"/>
    </i>
    <i r="1">
      <x v="7"/>
    </i>
    <i t="grand">
      <x/>
    </i>
  </rowItems>
  <colItems count="1">
    <i/>
  </colItems>
  <pageFields count="1">
    <pageField fld="0" item="5" hier="-1"/>
  </pageFields>
  <dataFields count="1">
    <dataField name="Somme de DJU(climaticien)"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Tableau croisé dynamique2" cacheId="4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H13:I230"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6">
        <item x="0"/>
        <item x="1"/>
        <item x="2"/>
        <item x="3"/>
        <item x="4"/>
        <item x="5"/>
        <item x="6"/>
        <item x="7"/>
        <item x="8"/>
        <item x="9"/>
        <item x="10"/>
        <item x="11"/>
        <item x="12"/>
        <item x="13"/>
        <item x="14"/>
        <item x="15"/>
        <item x="16"/>
        <item x="17"/>
        <item x="18"/>
        <item x="19"/>
        <item x="20"/>
        <item x="21"/>
        <item x="22"/>
        <item f="1" x="24"/>
        <item x="23"/>
        <item t="default"/>
      </items>
    </pivotField>
    <pivotField multipleItemSelectionAllowed="1" showAll="0"/>
    <pivotField axis="axisRow" showAll="0" defaultSubtotal="0">
      <items count="12">
        <item x="0"/>
        <item x="1"/>
        <item x="2"/>
        <item x="3"/>
        <item x="4"/>
        <item h="1" x="5"/>
        <item h="1" x="6"/>
        <item h="1" x="7"/>
        <item h="1" x="8"/>
        <item x="9"/>
        <item x="10"/>
        <item x="11"/>
      </items>
    </pivotField>
    <pivotField dataField="1" showAll="0"/>
    <pivotField showAll="0"/>
    <pivotField dragToRow="0" dragToCol="0" dragToPage="0" showAll="0" defaultSubtotal="0"/>
  </pivotFields>
  <rowFields count="2">
    <field x="1"/>
    <field x="3"/>
  </rowFields>
  <rowItems count="217">
    <i>
      <x v="1"/>
    </i>
    <i r="1">
      <x/>
    </i>
    <i r="1">
      <x v="1"/>
    </i>
    <i r="1">
      <x v="2"/>
    </i>
    <i r="1">
      <x v="3"/>
    </i>
    <i r="1">
      <x v="4"/>
    </i>
    <i r="1">
      <x v="9"/>
    </i>
    <i r="1">
      <x v="10"/>
    </i>
    <i r="1">
      <x v="11"/>
    </i>
    <i>
      <x v="2"/>
    </i>
    <i r="1">
      <x/>
    </i>
    <i r="1">
      <x v="1"/>
    </i>
    <i r="1">
      <x v="2"/>
    </i>
    <i r="1">
      <x v="3"/>
    </i>
    <i r="1">
      <x v="4"/>
    </i>
    <i r="1">
      <x v="9"/>
    </i>
    <i r="1">
      <x v="10"/>
    </i>
    <i r="1">
      <x v="11"/>
    </i>
    <i>
      <x v="3"/>
    </i>
    <i r="1">
      <x/>
    </i>
    <i r="1">
      <x v="1"/>
    </i>
    <i r="1">
      <x v="2"/>
    </i>
    <i r="1">
      <x v="3"/>
    </i>
    <i r="1">
      <x v="4"/>
    </i>
    <i r="1">
      <x v="9"/>
    </i>
    <i r="1">
      <x v="10"/>
    </i>
    <i r="1">
      <x v="11"/>
    </i>
    <i>
      <x v="4"/>
    </i>
    <i r="1">
      <x/>
    </i>
    <i r="1">
      <x v="1"/>
    </i>
    <i r="1">
      <x v="2"/>
    </i>
    <i r="1">
      <x v="3"/>
    </i>
    <i r="1">
      <x v="4"/>
    </i>
    <i r="1">
      <x v="9"/>
    </i>
    <i r="1">
      <x v="10"/>
    </i>
    <i r="1">
      <x v="11"/>
    </i>
    <i>
      <x v="5"/>
    </i>
    <i r="1">
      <x/>
    </i>
    <i r="1">
      <x v="1"/>
    </i>
    <i r="1">
      <x v="2"/>
    </i>
    <i r="1">
      <x v="3"/>
    </i>
    <i r="1">
      <x v="4"/>
    </i>
    <i r="1">
      <x v="9"/>
    </i>
    <i r="1">
      <x v="10"/>
    </i>
    <i r="1">
      <x v="11"/>
    </i>
    <i>
      <x v="6"/>
    </i>
    <i r="1">
      <x/>
    </i>
    <i r="1">
      <x v="1"/>
    </i>
    <i r="1">
      <x v="2"/>
    </i>
    <i r="1">
      <x v="3"/>
    </i>
    <i r="1">
      <x v="4"/>
    </i>
    <i r="1">
      <x v="9"/>
    </i>
    <i r="1">
      <x v="10"/>
    </i>
    <i r="1">
      <x v="11"/>
    </i>
    <i>
      <x v="7"/>
    </i>
    <i r="1">
      <x/>
    </i>
    <i r="1">
      <x v="1"/>
    </i>
    <i r="1">
      <x v="2"/>
    </i>
    <i r="1">
      <x v="3"/>
    </i>
    <i r="1">
      <x v="4"/>
    </i>
    <i r="1">
      <x v="9"/>
    </i>
    <i r="1">
      <x v="10"/>
    </i>
    <i r="1">
      <x v="11"/>
    </i>
    <i>
      <x v="8"/>
    </i>
    <i r="1">
      <x/>
    </i>
    <i r="1">
      <x v="1"/>
    </i>
    <i r="1">
      <x v="2"/>
    </i>
    <i r="1">
      <x v="3"/>
    </i>
    <i r="1">
      <x v="4"/>
    </i>
    <i r="1">
      <x v="9"/>
    </i>
    <i r="1">
      <x v="10"/>
    </i>
    <i r="1">
      <x v="11"/>
    </i>
    <i>
      <x v="9"/>
    </i>
    <i r="1">
      <x/>
    </i>
    <i r="1">
      <x v="1"/>
    </i>
    <i r="1">
      <x v="2"/>
    </i>
    <i r="1">
      <x v="3"/>
    </i>
    <i r="1">
      <x v="4"/>
    </i>
    <i r="1">
      <x v="9"/>
    </i>
    <i r="1">
      <x v="10"/>
    </i>
    <i r="1">
      <x v="11"/>
    </i>
    <i>
      <x v="10"/>
    </i>
    <i r="1">
      <x/>
    </i>
    <i r="1">
      <x v="1"/>
    </i>
    <i r="1">
      <x v="2"/>
    </i>
    <i r="1">
      <x v="3"/>
    </i>
    <i r="1">
      <x v="4"/>
    </i>
    <i r="1">
      <x v="9"/>
    </i>
    <i r="1">
      <x v="10"/>
    </i>
    <i r="1">
      <x v="11"/>
    </i>
    <i>
      <x v="11"/>
    </i>
    <i r="1">
      <x/>
    </i>
    <i r="1">
      <x v="1"/>
    </i>
    <i r="1">
      <x v="2"/>
    </i>
    <i r="1">
      <x v="3"/>
    </i>
    <i r="1">
      <x v="4"/>
    </i>
    <i r="1">
      <x v="9"/>
    </i>
    <i r="1">
      <x v="10"/>
    </i>
    <i r="1">
      <x v="11"/>
    </i>
    <i>
      <x v="12"/>
    </i>
    <i r="1">
      <x/>
    </i>
    <i r="1">
      <x v="1"/>
    </i>
    <i r="1">
      <x v="2"/>
    </i>
    <i r="1">
      <x v="3"/>
    </i>
    <i r="1">
      <x v="4"/>
    </i>
    <i r="1">
      <x v="9"/>
    </i>
    <i r="1">
      <x v="10"/>
    </i>
    <i r="1">
      <x v="11"/>
    </i>
    <i>
      <x v="13"/>
    </i>
    <i r="1">
      <x/>
    </i>
    <i r="1">
      <x v="1"/>
    </i>
    <i r="1">
      <x v="2"/>
    </i>
    <i r="1">
      <x v="3"/>
    </i>
    <i r="1">
      <x v="4"/>
    </i>
    <i r="1">
      <x v="9"/>
    </i>
    <i r="1">
      <x v="10"/>
    </i>
    <i r="1">
      <x v="11"/>
    </i>
    <i>
      <x v="14"/>
    </i>
    <i r="1">
      <x/>
    </i>
    <i r="1">
      <x v="1"/>
    </i>
    <i r="1">
      <x v="2"/>
    </i>
    <i r="1">
      <x v="3"/>
    </i>
    <i r="1">
      <x v="4"/>
    </i>
    <i r="1">
      <x v="9"/>
    </i>
    <i r="1">
      <x v="10"/>
    </i>
    <i r="1">
      <x v="11"/>
    </i>
    <i>
      <x v="15"/>
    </i>
    <i r="1">
      <x/>
    </i>
    <i r="1">
      <x v="1"/>
    </i>
    <i r="1">
      <x v="2"/>
    </i>
    <i r="1">
      <x v="3"/>
    </i>
    <i r="1">
      <x v="4"/>
    </i>
    <i r="1">
      <x v="9"/>
    </i>
    <i r="1">
      <x v="10"/>
    </i>
    <i r="1">
      <x v="11"/>
    </i>
    <i>
      <x v="16"/>
    </i>
    <i r="1">
      <x/>
    </i>
    <i r="1">
      <x v="1"/>
    </i>
    <i r="1">
      <x v="2"/>
    </i>
    <i r="1">
      <x v="3"/>
    </i>
    <i r="1">
      <x v="4"/>
    </i>
    <i r="1">
      <x v="9"/>
    </i>
    <i r="1">
      <x v="10"/>
    </i>
    <i r="1">
      <x v="11"/>
    </i>
    <i>
      <x v="17"/>
    </i>
    <i r="1">
      <x/>
    </i>
    <i r="1">
      <x v="1"/>
    </i>
    <i r="1">
      <x v="2"/>
    </i>
    <i r="1">
      <x v="3"/>
    </i>
    <i r="1">
      <x v="4"/>
    </i>
    <i r="1">
      <x v="9"/>
    </i>
    <i r="1">
      <x v="10"/>
    </i>
    <i r="1">
      <x v="11"/>
    </i>
    <i>
      <x v="18"/>
    </i>
    <i r="1">
      <x/>
    </i>
    <i r="1">
      <x v="1"/>
    </i>
    <i r="1">
      <x v="2"/>
    </i>
    <i r="1">
      <x v="3"/>
    </i>
    <i r="1">
      <x v="4"/>
    </i>
    <i r="1">
      <x v="9"/>
    </i>
    <i r="1">
      <x v="10"/>
    </i>
    <i r="1">
      <x v="11"/>
    </i>
    <i>
      <x v="19"/>
    </i>
    <i r="1">
      <x/>
    </i>
    <i r="1">
      <x v="1"/>
    </i>
    <i r="1">
      <x v="2"/>
    </i>
    <i r="1">
      <x v="3"/>
    </i>
    <i r="1">
      <x v="4"/>
    </i>
    <i r="1">
      <x v="9"/>
    </i>
    <i r="1">
      <x v="10"/>
    </i>
    <i r="1">
      <x v="11"/>
    </i>
    <i>
      <x v="20"/>
    </i>
    <i r="1">
      <x/>
    </i>
    <i r="1">
      <x v="1"/>
    </i>
    <i r="1">
      <x v="2"/>
    </i>
    <i r="1">
      <x v="3"/>
    </i>
    <i r="1">
      <x v="4"/>
    </i>
    <i r="1">
      <x v="9"/>
    </i>
    <i r="1">
      <x v="10"/>
    </i>
    <i r="1">
      <x v="11"/>
    </i>
    <i>
      <x v="21"/>
    </i>
    <i r="1">
      <x/>
    </i>
    <i r="1">
      <x v="1"/>
    </i>
    <i r="1">
      <x v="2"/>
    </i>
    <i r="1">
      <x v="3"/>
    </i>
    <i r="1">
      <x v="4"/>
    </i>
    <i r="1">
      <x v="9"/>
    </i>
    <i r="1">
      <x v="10"/>
    </i>
    <i r="1">
      <x v="11"/>
    </i>
    <i>
      <x v="22"/>
    </i>
    <i r="1">
      <x/>
    </i>
    <i r="1">
      <x v="1"/>
    </i>
    <i r="1">
      <x v="2"/>
    </i>
    <i r="1">
      <x v="3"/>
    </i>
    <i r="1">
      <x v="4"/>
    </i>
    <i r="1">
      <x v="9"/>
    </i>
    <i r="1">
      <x v="10"/>
    </i>
    <i r="1">
      <x v="11"/>
    </i>
    <i>
      <x v="23"/>
    </i>
    <i r="1">
      <x/>
    </i>
    <i r="1">
      <x v="1"/>
    </i>
    <i r="1">
      <x v="2"/>
    </i>
    <i r="1">
      <x v="3"/>
    </i>
    <i r="1">
      <x v="4"/>
    </i>
    <i r="1">
      <x v="9"/>
    </i>
    <i r="1">
      <x v="10"/>
    </i>
    <i r="1">
      <x v="11"/>
    </i>
    <i>
      <x v="24"/>
    </i>
    <i r="1">
      <x/>
    </i>
    <i r="1">
      <x v="1"/>
    </i>
    <i r="1">
      <x v="2"/>
    </i>
    <i r="1">
      <x v="3"/>
    </i>
    <i r="1">
      <x v="4"/>
    </i>
    <i r="1">
      <x v="9"/>
    </i>
    <i r="1">
      <x v="10"/>
    </i>
    <i r="1">
      <x v="11"/>
    </i>
    <i t="grand">
      <x/>
    </i>
  </rowItems>
  <colItems count="1">
    <i/>
  </colItems>
  <pageFields count="1">
    <pageField fld="0" item="5" hier="-1"/>
  </pageField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Tableau croisé dynamique4" cacheId="48"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P13:Q326" firstHeaderRow="1" firstDataRow="1" firstDataCol="1" rowPageCount="1" colPageCount="1"/>
  <pivotFields count="7">
    <pivotField axis="axisPage" showAll="0" defaultSubtotal="0">
      <items count="17">
        <item x="8"/>
        <item x="1"/>
        <item x="4"/>
        <item x="14"/>
        <item x="13"/>
        <item x="12"/>
        <item x="5"/>
        <item x="11"/>
        <item x="7"/>
        <item x="9"/>
        <item x="10"/>
        <item x="2"/>
        <item x="3"/>
        <item x="0"/>
        <item x="6"/>
        <item x="15"/>
        <item m="1" x="16"/>
      </items>
    </pivotField>
    <pivotField axis="axisRow" showAll="0">
      <items count="26">
        <item x="0"/>
        <item x="1"/>
        <item x="2"/>
        <item x="3"/>
        <item x="4"/>
        <item x="5"/>
        <item x="6"/>
        <item x="7"/>
        <item x="8"/>
        <item x="9"/>
        <item x="10"/>
        <item x="11"/>
        <item x="12"/>
        <item x="13"/>
        <item x="14"/>
        <item x="15"/>
        <item x="16"/>
        <item x="17"/>
        <item x="18"/>
        <item x="19"/>
        <item x="20"/>
        <item x="21"/>
        <item x="22"/>
        <item f="1" x="24"/>
        <item x="23"/>
        <item t="default"/>
      </items>
    </pivotField>
    <pivotField multipleItemSelectionAllowed="1" showAll="0"/>
    <pivotField axis="axisRow" showAll="0" defaultSubtotal="0">
      <items count="12">
        <item x="0"/>
        <item x="1"/>
        <item x="2"/>
        <item x="3"/>
        <item x="4"/>
        <item x="5"/>
        <item x="6"/>
        <item x="7"/>
        <item x="8"/>
        <item x="9"/>
        <item x="10"/>
        <item x="11"/>
      </items>
    </pivotField>
    <pivotField dataField="1" showAll="0"/>
    <pivotField showAll="0"/>
    <pivotField dragToRow="0" dragToCol="0" dragToPage="0" showAll="0" defaultSubtotal="0"/>
  </pivotFields>
  <rowFields count="2">
    <field x="1"/>
    <field x="3"/>
  </rowFields>
  <rowItems count="313">
    <i>
      <x v="1"/>
    </i>
    <i r="1">
      <x/>
    </i>
    <i r="1">
      <x v="1"/>
    </i>
    <i r="1">
      <x v="2"/>
    </i>
    <i r="1">
      <x v="3"/>
    </i>
    <i r="1">
      <x v="4"/>
    </i>
    <i r="1">
      <x v="5"/>
    </i>
    <i r="1">
      <x v="6"/>
    </i>
    <i r="1">
      <x v="7"/>
    </i>
    <i r="1">
      <x v="8"/>
    </i>
    <i r="1">
      <x v="9"/>
    </i>
    <i r="1">
      <x v="10"/>
    </i>
    <i r="1">
      <x v="11"/>
    </i>
    <i>
      <x v="2"/>
    </i>
    <i r="1">
      <x/>
    </i>
    <i r="1">
      <x v="1"/>
    </i>
    <i r="1">
      <x v="2"/>
    </i>
    <i r="1">
      <x v="3"/>
    </i>
    <i r="1">
      <x v="4"/>
    </i>
    <i r="1">
      <x v="5"/>
    </i>
    <i r="1">
      <x v="6"/>
    </i>
    <i r="1">
      <x v="7"/>
    </i>
    <i r="1">
      <x v="8"/>
    </i>
    <i r="1">
      <x v="9"/>
    </i>
    <i r="1">
      <x v="10"/>
    </i>
    <i r="1">
      <x v="11"/>
    </i>
    <i>
      <x v="3"/>
    </i>
    <i r="1">
      <x/>
    </i>
    <i r="1">
      <x v="1"/>
    </i>
    <i r="1">
      <x v="2"/>
    </i>
    <i r="1">
      <x v="3"/>
    </i>
    <i r="1">
      <x v="4"/>
    </i>
    <i r="1">
      <x v="5"/>
    </i>
    <i r="1">
      <x v="6"/>
    </i>
    <i r="1">
      <x v="7"/>
    </i>
    <i r="1">
      <x v="8"/>
    </i>
    <i r="1">
      <x v="9"/>
    </i>
    <i r="1">
      <x v="10"/>
    </i>
    <i r="1">
      <x v="11"/>
    </i>
    <i>
      <x v="4"/>
    </i>
    <i r="1">
      <x/>
    </i>
    <i r="1">
      <x v="1"/>
    </i>
    <i r="1">
      <x v="2"/>
    </i>
    <i r="1">
      <x v="3"/>
    </i>
    <i r="1">
      <x v="4"/>
    </i>
    <i r="1">
      <x v="5"/>
    </i>
    <i r="1">
      <x v="6"/>
    </i>
    <i r="1">
      <x v="7"/>
    </i>
    <i r="1">
      <x v="8"/>
    </i>
    <i r="1">
      <x v="9"/>
    </i>
    <i r="1">
      <x v="10"/>
    </i>
    <i r="1">
      <x v="11"/>
    </i>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x v="7"/>
    </i>
    <i r="1">
      <x/>
    </i>
    <i r="1">
      <x v="1"/>
    </i>
    <i r="1">
      <x v="2"/>
    </i>
    <i r="1">
      <x v="3"/>
    </i>
    <i r="1">
      <x v="4"/>
    </i>
    <i r="1">
      <x v="5"/>
    </i>
    <i r="1">
      <x v="6"/>
    </i>
    <i r="1">
      <x v="7"/>
    </i>
    <i r="1">
      <x v="8"/>
    </i>
    <i r="1">
      <x v="9"/>
    </i>
    <i r="1">
      <x v="10"/>
    </i>
    <i r="1">
      <x v="11"/>
    </i>
    <i>
      <x v="8"/>
    </i>
    <i r="1">
      <x/>
    </i>
    <i r="1">
      <x v="1"/>
    </i>
    <i r="1">
      <x v="2"/>
    </i>
    <i r="1">
      <x v="3"/>
    </i>
    <i r="1">
      <x v="4"/>
    </i>
    <i r="1">
      <x v="5"/>
    </i>
    <i r="1">
      <x v="6"/>
    </i>
    <i r="1">
      <x v="7"/>
    </i>
    <i r="1">
      <x v="8"/>
    </i>
    <i r="1">
      <x v="9"/>
    </i>
    <i r="1">
      <x v="10"/>
    </i>
    <i r="1">
      <x v="11"/>
    </i>
    <i>
      <x v="9"/>
    </i>
    <i r="1">
      <x/>
    </i>
    <i r="1">
      <x v="1"/>
    </i>
    <i r="1">
      <x v="2"/>
    </i>
    <i r="1">
      <x v="3"/>
    </i>
    <i r="1">
      <x v="4"/>
    </i>
    <i r="1">
      <x v="5"/>
    </i>
    <i r="1">
      <x v="6"/>
    </i>
    <i r="1">
      <x v="7"/>
    </i>
    <i r="1">
      <x v="8"/>
    </i>
    <i r="1">
      <x v="9"/>
    </i>
    <i r="1">
      <x v="10"/>
    </i>
    <i r="1">
      <x v="11"/>
    </i>
    <i>
      <x v="10"/>
    </i>
    <i r="1">
      <x/>
    </i>
    <i r="1">
      <x v="1"/>
    </i>
    <i r="1">
      <x v="2"/>
    </i>
    <i r="1">
      <x v="3"/>
    </i>
    <i r="1">
      <x v="4"/>
    </i>
    <i r="1">
      <x v="5"/>
    </i>
    <i r="1">
      <x v="6"/>
    </i>
    <i r="1">
      <x v="7"/>
    </i>
    <i r="1">
      <x v="8"/>
    </i>
    <i r="1">
      <x v="9"/>
    </i>
    <i r="1">
      <x v="10"/>
    </i>
    <i r="1">
      <x v="11"/>
    </i>
    <i>
      <x v="11"/>
    </i>
    <i r="1">
      <x/>
    </i>
    <i r="1">
      <x v="1"/>
    </i>
    <i r="1">
      <x v="2"/>
    </i>
    <i r="1">
      <x v="3"/>
    </i>
    <i r="1">
      <x v="4"/>
    </i>
    <i r="1">
      <x v="5"/>
    </i>
    <i r="1">
      <x v="6"/>
    </i>
    <i r="1">
      <x v="7"/>
    </i>
    <i r="1">
      <x v="8"/>
    </i>
    <i r="1">
      <x v="9"/>
    </i>
    <i r="1">
      <x v="10"/>
    </i>
    <i r="1">
      <x v="11"/>
    </i>
    <i>
      <x v="12"/>
    </i>
    <i r="1">
      <x/>
    </i>
    <i r="1">
      <x v="1"/>
    </i>
    <i r="1">
      <x v="2"/>
    </i>
    <i r="1">
      <x v="3"/>
    </i>
    <i r="1">
      <x v="4"/>
    </i>
    <i r="1">
      <x v="5"/>
    </i>
    <i r="1">
      <x v="6"/>
    </i>
    <i r="1">
      <x v="7"/>
    </i>
    <i r="1">
      <x v="8"/>
    </i>
    <i r="1">
      <x v="9"/>
    </i>
    <i r="1">
      <x v="10"/>
    </i>
    <i r="1">
      <x v="11"/>
    </i>
    <i>
      <x v="13"/>
    </i>
    <i r="1">
      <x/>
    </i>
    <i r="1">
      <x v="1"/>
    </i>
    <i r="1">
      <x v="2"/>
    </i>
    <i r="1">
      <x v="3"/>
    </i>
    <i r="1">
      <x v="4"/>
    </i>
    <i r="1">
      <x v="5"/>
    </i>
    <i r="1">
      <x v="6"/>
    </i>
    <i r="1">
      <x v="7"/>
    </i>
    <i r="1">
      <x v="8"/>
    </i>
    <i r="1">
      <x v="9"/>
    </i>
    <i r="1">
      <x v="10"/>
    </i>
    <i r="1">
      <x v="11"/>
    </i>
    <i>
      <x v="14"/>
    </i>
    <i r="1">
      <x/>
    </i>
    <i r="1">
      <x v="1"/>
    </i>
    <i r="1">
      <x v="2"/>
    </i>
    <i r="1">
      <x v="3"/>
    </i>
    <i r="1">
      <x v="4"/>
    </i>
    <i r="1">
      <x v="5"/>
    </i>
    <i r="1">
      <x v="6"/>
    </i>
    <i r="1">
      <x v="7"/>
    </i>
    <i r="1">
      <x v="8"/>
    </i>
    <i r="1">
      <x v="9"/>
    </i>
    <i r="1">
      <x v="10"/>
    </i>
    <i r="1">
      <x v="11"/>
    </i>
    <i>
      <x v="15"/>
    </i>
    <i r="1">
      <x/>
    </i>
    <i r="1">
      <x v="1"/>
    </i>
    <i r="1">
      <x v="2"/>
    </i>
    <i r="1">
      <x v="3"/>
    </i>
    <i r="1">
      <x v="4"/>
    </i>
    <i r="1">
      <x v="5"/>
    </i>
    <i r="1">
      <x v="6"/>
    </i>
    <i r="1">
      <x v="7"/>
    </i>
    <i r="1">
      <x v="8"/>
    </i>
    <i r="1">
      <x v="9"/>
    </i>
    <i r="1">
      <x v="10"/>
    </i>
    <i r="1">
      <x v="11"/>
    </i>
    <i>
      <x v="16"/>
    </i>
    <i r="1">
      <x/>
    </i>
    <i r="1">
      <x v="1"/>
    </i>
    <i r="1">
      <x v="2"/>
    </i>
    <i r="1">
      <x v="3"/>
    </i>
    <i r="1">
      <x v="4"/>
    </i>
    <i r="1">
      <x v="5"/>
    </i>
    <i r="1">
      <x v="6"/>
    </i>
    <i r="1">
      <x v="7"/>
    </i>
    <i r="1">
      <x v="8"/>
    </i>
    <i r="1">
      <x v="9"/>
    </i>
    <i r="1">
      <x v="10"/>
    </i>
    <i r="1">
      <x v="11"/>
    </i>
    <i>
      <x v="17"/>
    </i>
    <i r="1">
      <x/>
    </i>
    <i r="1">
      <x v="1"/>
    </i>
    <i r="1">
      <x v="2"/>
    </i>
    <i r="1">
      <x v="3"/>
    </i>
    <i r="1">
      <x v="4"/>
    </i>
    <i r="1">
      <x v="5"/>
    </i>
    <i r="1">
      <x v="6"/>
    </i>
    <i r="1">
      <x v="7"/>
    </i>
    <i r="1">
      <x v="8"/>
    </i>
    <i r="1">
      <x v="9"/>
    </i>
    <i r="1">
      <x v="10"/>
    </i>
    <i r="1">
      <x v="11"/>
    </i>
    <i>
      <x v="18"/>
    </i>
    <i r="1">
      <x/>
    </i>
    <i r="1">
      <x v="1"/>
    </i>
    <i r="1">
      <x v="2"/>
    </i>
    <i r="1">
      <x v="3"/>
    </i>
    <i r="1">
      <x v="4"/>
    </i>
    <i r="1">
      <x v="5"/>
    </i>
    <i r="1">
      <x v="6"/>
    </i>
    <i r="1">
      <x v="7"/>
    </i>
    <i r="1">
      <x v="8"/>
    </i>
    <i r="1">
      <x v="9"/>
    </i>
    <i r="1">
      <x v="10"/>
    </i>
    <i r="1">
      <x v="11"/>
    </i>
    <i>
      <x v="19"/>
    </i>
    <i r="1">
      <x/>
    </i>
    <i r="1">
      <x v="1"/>
    </i>
    <i r="1">
      <x v="2"/>
    </i>
    <i r="1">
      <x v="3"/>
    </i>
    <i r="1">
      <x v="4"/>
    </i>
    <i r="1">
      <x v="5"/>
    </i>
    <i r="1">
      <x v="6"/>
    </i>
    <i r="1">
      <x v="7"/>
    </i>
    <i r="1">
      <x v="8"/>
    </i>
    <i r="1">
      <x v="9"/>
    </i>
    <i r="1">
      <x v="10"/>
    </i>
    <i r="1">
      <x v="11"/>
    </i>
    <i>
      <x v="20"/>
    </i>
    <i r="1">
      <x/>
    </i>
    <i r="1">
      <x v="1"/>
    </i>
    <i r="1">
      <x v="2"/>
    </i>
    <i r="1">
      <x v="3"/>
    </i>
    <i r="1">
      <x v="4"/>
    </i>
    <i r="1">
      <x v="5"/>
    </i>
    <i r="1">
      <x v="6"/>
    </i>
    <i r="1">
      <x v="7"/>
    </i>
    <i r="1">
      <x v="8"/>
    </i>
    <i r="1">
      <x v="9"/>
    </i>
    <i r="1">
      <x v="10"/>
    </i>
    <i r="1">
      <x v="11"/>
    </i>
    <i>
      <x v="21"/>
    </i>
    <i r="1">
      <x/>
    </i>
    <i r="1">
      <x v="1"/>
    </i>
    <i r="1">
      <x v="2"/>
    </i>
    <i r="1">
      <x v="3"/>
    </i>
    <i r="1">
      <x v="4"/>
    </i>
    <i r="1">
      <x v="5"/>
    </i>
    <i r="1">
      <x v="6"/>
    </i>
    <i r="1">
      <x v="7"/>
    </i>
    <i r="1">
      <x v="8"/>
    </i>
    <i r="1">
      <x v="9"/>
    </i>
    <i r="1">
      <x v="10"/>
    </i>
    <i r="1">
      <x v="11"/>
    </i>
    <i>
      <x v="22"/>
    </i>
    <i r="1">
      <x/>
    </i>
    <i r="1">
      <x v="1"/>
    </i>
    <i r="1">
      <x v="2"/>
    </i>
    <i r="1">
      <x v="3"/>
    </i>
    <i r="1">
      <x v="4"/>
    </i>
    <i r="1">
      <x v="5"/>
    </i>
    <i r="1">
      <x v="6"/>
    </i>
    <i r="1">
      <x v="7"/>
    </i>
    <i r="1">
      <x v="8"/>
    </i>
    <i r="1">
      <x v="9"/>
    </i>
    <i r="1">
      <x v="10"/>
    </i>
    <i r="1">
      <x v="11"/>
    </i>
    <i>
      <x v="23"/>
    </i>
    <i r="1">
      <x/>
    </i>
    <i r="1">
      <x v="1"/>
    </i>
    <i r="1">
      <x v="2"/>
    </i>
    <i r="1">
      <x v="3"/>
    </i>
    <i r="1">
      <x v="4"/>
    </i>
    <i r="1">
      <x v="5"/>
    </i>
    <i r="1">
      <x v="6"/>
    </i>
    <i r="1">
      <x v="7"/>
    </i>
    <i r="1">
      <x v="8"/>
    </i>
    <i r="1">
      <x v="9"/>
    </i>
    <i r="1">
      <x v="10"/>
    </i>
    <i r="1">
      <x v="11"/>
    </i>
    <i>
      <x v="24"/>
    </i>
    <i r="1">
      <x/>
    </i>
    <i r="1">
      <x v="1"/>
    </i>
    <i r="1">
      <x v="2"/>
    </i>
    <i r="1">
      <x v="3"/>
    </i>
    <i r="1">
      <x v="4"/>
    </i>
    <i r="1">
      <x v="5"/>
    </i>
    <i r="1">
      <x v="6"/>
    </i>
    <i r="1">
      <x v="7"/>
    </i>
    <i r="1">
      <x v="8"/>
    </i>
    <i r="1">
      <x v="9"/>
    </i>
    <i r="1">
      <x v="10"/>
    </i>
    <i r="1">
      <x v="11"/>
    </i>
    <i t="grand">
      <x/>
    </i>
  </rowItems>
  <colItems count="1">
    <i/>
  </colItems>
  <pageFields count="1">
    <pageField fld="0" item="5" hier="-1"/>
  </pageFields>
  <dataFields count="1">
    <dataField name="Somme de DJU(chauffagiste)"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CD_Chrono_Conso" cacheId="59" applyNumberFormats="0" applyBorderFormats="0" applyFontFormats="0" applyPatternFormats="0" applyAlignmentFormats="0" applyWidthHeightFormats="1" dataCaption="Valeurs" updatedVersion="6" minRefreshableVersion="5" useAutoFormatting="1" colGrandTotals="0" itemPrintTitles="1" createdVersion="6" indent="0" outline="1" outlineData="1" multipleFieldFilters="0" chartFormat="11">
  <location ref="K10:L12" firstHeaderRow="1" firstDataRow="2" firstDataCol="1" rowPageCount="1"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Col" showAll="0">
      <items count="4">
        <item m="1" x="2"/>
        <item x="1"/>
        <item x="0"/>
        <item t="default"/>
      </items>
    </pivotField>
    <pivotField numFmtId="14" showAll="0"/>
    <pivotField numFmtId="14" showAll="0"/>
    <pivotField showAll="0"/>
    <pivotField showAll="0"/>
    <pivotField numFmtId="2" showAll="0"/>
    <pivotField numFmtId="2" showAll="0"/>
    <pivotField dataField="1" showAll="0"/>
    <pivotField showAll="0"/>
    <pivotField showAll="0"/>
    <pivotField showAll="0"/>
    <pivotField showAll="0"/>
    <pivotField showAll="0"/>
    <pivotField showAll="0"/>
    <pivotField showAll="0"/>
    <pivotField showAll="0" defaultSubtotal="0"/>
    <pivotField axis="axisPage" showAll="0">
      <items count="5">
        <item m="1" x="3"/>
        <item x="2"/>
        <item x="0"/>
        <item x="1"/>
        <item t="default"/>
      </items>
    </pivotField>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
    <i t="grand">
      <x/>
    </i>
  </rowItems>
  <colFields count="1">
    <field x="6"/>
  </colFields>
  <pageFields count="1">
    <pageField fld="22" item="2" hier="-1"/>
  </pageFields>
  <dataFields count="1">
    <dataField name="Somme de Conso_mois_U " fld="13" baseField="28" baseItem="1"/>
  </dataFields>
  <chartFormats count="2">
    <chartFormat chart="4" format="3" series="1">
      <pivotArea type="data" outline="0" fieldPosition="0">
        <references count="1">
          <reference field="4294967294" count="1" selected="0">
            <x v="0"/>
          </reference>
        </references>
      </pivotArea>
    </chartFormat>
    <chartFormat chart="1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306" name="fin mois">
      <autoFilter ref="A1">
        <filterColumn colId="0">
          <customFilters and="1">
            <customFilter operator="greaterThanOrEqual" val="43101"/>
            <customFilter operator="lessThanOrEqual" val="4492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CD_Conso_DJU" cacheId="59" applyNumberFormats="0" applyBorderFormats="0" applyFontFormats="0" applyPatternFormats="0" applyAlignmentFormats="0" applyWidthHeightFormats="1" dataCaption="Valeurs" updatedVersion="6" minRefreshableVersion="5" useAutoFormatting="1" colGrandTotals="0" itemPrintTitles="1" createdVersion="6" indent="0" outline="1" outlineData="1" multipleFieldFilters="0" chartFormat="5">
  <location ref="A10:B13" firstHeaderRow="1" firstDataRow="3" firstDataCol="1" rowPageCount="1"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Col" showAll="0">
      <items count="4">
        <item m="1" x="2"/>
        <item x="1"/>
        <item x="0"/>
        <item t="default"/>
      </items>
    </pivotField>
    <pivotField numFmtId="14" showAll="0"/>
    <pivotField numFmtId="14" showAll="0"/>
    <pivotField showAll="0"/>
    <pivotField showAll="0"/>
    <pivotField numFmtId="2" showAll="0"/>
    <pivotField numFmtId="2" showAll="0"/>
    <pivotField showAll="0"/>
    <pivotField showAll="0"/>
    <pivotField showAll="0"/>
    <pivotField showAll="0"/>
    <pivotField showAll="0"/>
    <pivotField showAll="0"/>
    <pivotField showAll="0"/>
    <pivotField showAll="0"/>
    <pivotField showAll="0" defaultSubtotal="0"/>
    <pivotField axis="axisPage" showAll="0">
      <items count="5">
        <item m="1" x="3"/>
        <item x="2"/>
        <item x="0"/>
        <item x="1"/>
        <item t="default"/>
      </items>
    </pivotField>
    <pivotField axis="axisCol" showAll="0">
      <items count="8">
        <item h="1" m="1" x="6"/>
        <item h="1" x="5"/>
        <item h="1" x="3"/>
        <item h="1" x="0"/>
        <item h="1" x="2"/>
        <item x="1"/>
        <item h="1" x="4"/>
        <item t="default"/>
      </items>
    </pivotField>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axis="axisRow" showAll="0" defaultSubtotal="0">
      <items count="6">
        <item x="0"/>
        <item x="1"/>
        <item x="2"/>
        <item x="3"/>
        <item x="4"/>
        <item x="5"/>
      </items>
    </pivotField>
    <pivotField axis="axisRow" showAll="0" defaultSubtotal="0">
      <items count="19">
        <item x="0"/>
        <item x="1"/>
        <item x="2"/>
        <item x="3"/>
        <item x="4"/>
        <item x="5"/>
        <item x="6"/>
        <item x="7"/>
        <item x="8"/>
        <item x="9"/>
        <item x="10"/>
        <item x="11"/>
        <item x="12"/>
        <item x="13"/>
        <item x="14"/>
        <item x="15"/>
        <item x="16"/>
        <item x="17"/>
        <item x="18"/>
      </items>
    </pivotField>
  </pivotFields>
  <rowFields count="3">
    <field x="31"/>
    <field x="30"/>
    <field x="1"/>
  </rowFields>
  <rowItems count="1">
    <i t="grand">
      <x/>
    </i>
  </rowItems>
  <colFields count="2">
    <field x="23"/>
    <field x="6"/>
  </colFields>
  <pageFields count="1">
    <pageField fld="22" item="2" hier="-1"/>
  </pageFields>
  <dataFields count="1">
    <dataField name="Somme de Conso/DJU" fld="28" baseField="0" baseItem="0"/>
  </dataFields>
  <chartFormats count="1">
    <chartFormat chart="2"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306" name="fin mois">
      <autoFilter ref="A1">
        <filterColumn colId="0">
          <customFilters and="1">
            <customFilter operator="greaterThanOrEqual" val="43101"/>
            <customFilter operator="lessThanOrEqual" val="4492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CD_Chrono_Conso" cacheId="59"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7">
  <location ref="E10:F11" firstHeaderRow="1" firstDataRow="1" firstDataCol="1" rowPageCount="2"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Page" showAll="0">
      <items count="4">
        <item m="1" x="2"/>
        <item x="1"/>
        <item x="0"/>
        <item t="default"/>
      </items>
    </pivotField>
    <pivotField numFmtId="14" showAll="0"/>
    <pivotField numFmtId="14" showAll="0"/>
    <pivotField showAll="0"/>
    <pivotField showAll="0"/>
    <pivotField numFmtId="2" showAll="0"/>
    <pivotField numFmtId="2" showAll="0"/>
    <pivotField dataField="1" showAll="0"/>
    <pivotField showAll="0"/>
    <pivotField showAll="0"/>
    <pivotField showAll="0"/>
    <pivotField showAll="0"/>
    <pivotField showAll="0"/>
    <pivotField showAll="0"/>
    <pivotField showAll="0"/>
    <pivotField showAll="0" defaultSubtotal="0"/>
    <pivotField axis="axisPage" multipleItemSelectionAllowed="1" showAll="0">
      <items count="5">
        <item m="1" x="3"/>
        <item h="1" x="2"/>
        <item h="1" x="0"/>
        <item x="1"/>
        <item t="default"/>
      </items>
    </pivotField>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axis="axisRow" showAll="0" defaultSubtotal="0">
      <items count="6">
        <item sd="0" x="0"/>
        <item sd="0" x="1"/>
        <item sd="0" x="2"/>
        <item sd="0" x="3"/>
        <item sd="0" x="4"/>
        <item sd="0" x="5"/>
      </items>
    </pivotField>
    <pivotField axis="axisRow" showAll="0" defaultSubtotal="0">
      <items count="19">
        <item sd="0" x="0"/>
        <item sd="0" x="1"/>
        <item sd="0" x="2"/>
        <item sd="0" x="3"/>
        <item sd="0" x="4"/>
        <item sd="0" x="5"/>
        <item sd="0" x="6"/>
        <item sd="0" x="7"/>
        <item sd="0" x="8"/>
        <item sd="0" x="9"/>
        <item sd="0" x="10"/>
        <item sd="0" x="11"/>
        <item sd="0" x="12"/>
        <item sd="0" x="13"/>
        <item sd="0" x="14"/>
        <item sd="0" x="15"/>
        <item sd="0" x="16"/>
        <item sd="0" x="17"/>
        <item sd="0" x="18"/>
      </items>
    </pivotField>
  </pivotFields>
  <rowFields count="3">
    <field x="31"/>
    <field x="30"/>
    <field x="1"/>
  </rowFields>
  <rowItems count="1">
    <i t="grand">
      <x/>
    </i>
  </rowItems>
  <colItems count="1">
    <i/>
  </colItems>
  <pageFields count="2">
    <pageField fld="22" hier="-1"/>
    <pageField fld="6" hier="-1"/>
  </pageFields>
  <dataFields count="1">
    <dataField name="Somme de Conso_mois_U " fld="13" baseField="28" baseItem="1"/>
  </dataFields>
  <chartFormats count="2">
    <chartFormat chart="4" format="3" series="1">
      <pivotArea type="data" outline="0" fieldPosition="0">
        <references count="1">
          <reference field="4294967294" count="1" selected="0">
            <x v="0"/>
          </reference>
        </references>
      </pivotArea>
    </chartFormat>
    <chartFormat chart="6" format="5"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306" name="fin mois">
      <autoFilter ref="A1">
        <filterColumn colId="0">
          <customFilters and="1">
            <customFilter operator="greaterThanOrEqual" val="43101"/>
            <customFilter operator="lessThanOrEqual" val="4492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CD_Conso_DJU" cacheId="59"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5">
  <location ref="A10:B11" firstHeaderRow="1" firstDataRow="1" firstDataCol="1" rowPageCount="2" colPageCount="1"/>
  <pivotFields count="32">
    <pivotField numFmtId="14" showAll="0"/>
    <pivotField axis="axisRow" numFmtId="14" showAll="0">
      <items count="15">
        <item x="0"/>
        <item x="1"/>
        <item x="2"/>
        <item x="3"/>
        <item x="4"/>
        <item x="5"/>
        <item x="6"/>
        <item x="7"/>
        <item x="8"/>
        <item x="9"/>
        <item x="10"/>
        <item x="11"/>
        <item x="12"/>
        <item x="13"/>
        <item t="default"/>
      </items>
    </pivotField>
    <pivotField showAll="0"/>
    <pivotField showAll="0"/>
    <pivotField showAll="0"/>
    <pivotField showAll="0"/>
    <pivotField axis="axisPage" showAll="0">
      <items count="4">
        <item m="1" x="2"/>
        <item x="1"/>
        <item x="0"/>
        <item t="default"/>
      </items>
    </pivotField>
    <pivotField numFmtId="14" showAll="0"/>
    <pivotField numFmtId="14" showAll="0"/>
    <pivotField showAll="0"/>
    <pivotField showAll="0"/>
    <pivotField numFmtId="2" showAll="0"/>
    <pivotField numFmtId="2" showAll="0"/>
    <pivotField showAll="0"/>
    <pivotField showAll="0"/>
    <pivotField showAll="0"/>
    <pivotField showAll="0"/>
    <pivotField showAll="0"/>
    <pivotField showAll="0"/>
    <pivotField showAll="0"/>
    <pivotField showAll="0"/>
    <pivotField showAll="0" defaultSubtotal="0"/>
    <pivotField axis="axisPage" multipleItemSelectionAllowed="1" showAll="0">
      <items count="5">
        <item m="1" x="3"/>
        <item h="1" x="2"/>
        <item h="1" x="0"/>
        <item x="1"/>
        <item t="default"/>
      </items>
    </pivotField>
    <pivotField showAll="0"/>
    <pivotField showAll="0"/>
    <pivotField showAll="0"/>
    <pivotField showAll="0"/>
    <pivotField dragToRow="0" dragToCol="0" dragToPage="0" showAll="0" defaultSubtotal="0"/>
    <pivotField dataField="1" dragToRow="0" dragToCol="0" dragToPage="0" showAll="0" defaultSubtotal="0"/>
    <pivotField dragToRow="0" dragToCol="0" dragToPage="0" showAll="0" defaultSubtotal="0"/>
    <pivotField axis="axisRow" showAll="0" defaultSubtotal="0">
      <items count="6">
        <item sd="0" x="0"/>
        <item sd="0" x="1"/>
        <item sd="0" x="2"/>
        <item sd="0" x="3"/>
        <item sd="0" x="4"/>
        <item sd="0" x="5"/>
      </items>
    </pivotField>
    <pivotField axis="axisRow" showAll="0" defaultSubtotal="0">
      <items count="19">
        <item sd="0" x="0"/>
        <item sd="0" x="1"/>
        <item sd="0" x="2"/>
        <item sd="0" x="3"/>
        <item sd="0" x="4"/>
        <item sd="0" x="5"/>
        <item sd="0" x="6"/>
        <item sd="0" x="7"/>
        <item sd="0" x="8"/>
        <item sd="0" x="9"/>
        <item sd="0" x="10"/>
        <item sd="0" x="11"/>
        <item sd="0" x="12"/>
        <item sd="0" x="13"/>
        <item sd="0" x="14"/>
        <item sd="0" x="15"/>
        <item sd="0" x="16"/>
        <item sd="0" x="17"/>
        <item sd="0" x="18"/>
      </items>
    </pivotField>
  </pivotFields>
  <rowFields count="3">
    <field x="31"/>
    <field x="30"/>
    <field x="1"/>
  </rowFields>
  <rowItems count="1">
    <i t="grand">
      <x/>
    </i>
  </rowItems>
  <colItems count="1">
    <i/>
  </colItems>
  <pageFields count="2">
    <pageField fld="22" hier="-1"/>
    <pageField fld="6" hier="-1"/>
  </pageFields>
  <dataFields count="1">
    <dataField name="Somme de Conso/DJU" fld="28" baseField="0" baseItem="0"/>
  </dataFields>
  <chartFormats count="2">
    <chartFormat chart="2" format="4" series="1">
      <pivotArea type="data" outline="0" fieldPosition="0">
        <references count="1">
          <reference field="4294967294" count="1" selected="0">
            <x v="0"/>
          </reference>
        </references>
      </pivotArea>
    </chartFormat>
    <chartFormat chart="4"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306" name="fin mois">
      <autoFilter ref="A1">
        <filterColumn colId="0">
          <customFilters and="1">
            <customFilter operator="greaterThanOrEqual" val="43101"/>
            <customFilter operator="lessThanOrEqual" val="4492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eau croisé dynamique4" cacheId="59" applyNumberFormats="0" applyBorderFormats="0" applyFontFormats="0" applyPatternFormats="0" applyAlignmentFormats="0" applyWidthHeightFormats="1" dataCaption="Valeurs" updatedVersion="6" minRefreshableVersion="3" useAutoFormatting="1" colGrandTotals="0" itemPrintTitles="1" createdVersion="6" indent="0" outline="1" outlineData="1" multipleFieldFilters="0" chartFormat="3">
  <location ref="AD45:AU60" firstHeaderRow="1" firstDataRow="2" firstDataCol="1"/>
  <pivotFields count="32">
    <pivotField numFmtId="14" showAll="0" defaultSubtotal="0"/>
    <pivotField numFmtId="14" showAll="0" defaultSubtotal="0">
      <items count="14">
        <item x="0"/>
        <item x="1"/>
        <item x="2"/>
        <item x="3"/>
        <item x="4"/>
        <item x="5"/>
        <item x="6"/>
        <item x="7"/>
        <item x="8"/>
        <item x="9"/>
        <item x="10"/>
        <item x="11"/>
        <item x="12"/>
        <item x="13"/>
      </items>
    </pivotField>
    <pivotField axis="axisRow" showAll="0">
      <items count="14">
        <item x="1"/>
        <item x="2"/>
        <item x="3"/>
        <item x="4"/>
        <item x="5"/>
        <item x="6"/>
        <item x="7"/>
        <item x="8"/>
        <item x="9"/>
        <item x="10"/>
        <item x="11"/>
        <item x="12"/>
        <item x="0"/>
        <item t="default"/>
      </items>
    </pivotField>
    <pivotField axis="axisCol"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items count="3">
        <item m="1" x="2"/>
        <item x="1"/>
        <item x="0"/>
      </items>
    </pivotField>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pivotField multipleItemSelectionAllowed="1" showAll="0"/>
    <pivotField showAll="0"/>
    <pivotField showAll="0"/>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
  </rowFields>
  <rowItems count="14">
    <i>
      <x/>
    </i>
    <i>
      <x v="1"/>
    </i>
    <i>
      <x v="2"/>
    </i>
    <i>
      <x v="3"/>
    </i>
    <i>
      <x v="4"/>
    </i>
    <i>
      <x v="5"/>
    </i>
    <i>
      <x v="6"/>
    </i>
    <i>
      <x v="7"/>
    </i>
    <i>
      <x v="8"/>
    </i>
    <i>
      <x v="9"/>
    </i>
    <i>
      <x v="10"/>
    </i>
    <i>
      <x v="11"/>
    </i>
    <i>
      <x v="12"/>
    </i>
    <i t="grand">
      <x/>
    </i>
  </rowItems>
  <colFields count="1">
    <field x="3"/>
  </colFields>
  <colItems count="17">
    <i>
      <x/>
    </i>
    <i>
      <x v="1"/>
    </i>
    <i>
      <x v="2"/>
    </i>
    <i>
      <x v="3"/>
    </i>
    <i>
      <x v="4"/>
    </i>
    <i>
      <x v="5"/>
    </i>
    <i>
      <x v="6"/>
    </i>
    <i>
      <x v="7"/>
    </i>
    <i>
      <x v="8"/>
    </i>
    <i>
      <x v="9"/>
    </i>
    <i>
      <x v="10"/>
    </i>
    <i>
      <x v="11"/>
    </i>
    <i>
      <x v="12"/>
    </i>
    <i>
      <x v="13"/>
    </i>
    <i>
      <x v="14"/>
    </i>
    <i>
      <x v="15"/>
    </i>
    <i>
      <x v="21"/>
    </i>
  </colItems>
  <dataFields count="1">
    <dataField name="Somme de Conso_mois_kWh" fld="1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eau croisé dynamique1"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D10:BF31" firstHeaderRow="1" firstDataRow="4" firstDataCol="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Row"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dataField="1" showAll="0" defaultSubtotal="0"/>
    <pivotField showAll="0" defaultSubtotal="0"/>
    <pivotField axis="axisCol" showAll="0">
      <items count="5">
        <item m="1" x="3"/>
        <item x="2"/>
        <item x="0"/>
        <item x="1"/>
        <item t="default"/>
      </items>
    </pivotField>
    <pivotField showAll="0"/>
    <pivotField axis="axisCol" showAll="0">
      <items count="4">
        <item m="1" x="2"/>
        <item x="1"/>
        <item x="0"/>
        <item t="default"/>
      </items>
    </pivotField>
    <pivotField showAll="0"/>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3"/>
  </rowFields>
  <rowItems count="18">
    <i>
      <x/>
    </i>
    <i>
      <x v="1"/>
    </i>
    <i>
      <x v="2"/>
    </i>
    <i>
      <x v="3"/>
    </i>
    <i>
      <x v="4"/>
    </i>
    <i>
      <x v="5"/>
    </i>
    <i>
      <x v="6"/>
    </i>
    <i>
      <x v="7"/>
    </i>
    <i>
      <x v="8"/>
    </i>
    <i>
      <x v="9"/>
    </i>
    <i>
      <x v="10"/>
    </i>
    <i>
      <x v="11"/>
    </i>
    <i>
      <x v="12"/>
    </i>
    <i>
      <x v="13"/>
    </i>
    <i>
      <x v="14"/>
    </i>
    <i>
      <x v="15"/>
    </i>
    <i>
      <x v="21"/>
    </i>
    <i t="grand">
      <x/>
    </i>
  </rowItems>
  <colFields count="3">
    <field x="22"/>
    <field x="24"/>
    <field x="-2"/>
  </colFields>
  <colItems count="28">
    <i>
      <x v="1"/>
      <x v="1"/>
      <x/>
    </i>
    <i r="2" i="1">
      <x v="1"/>
    </i>
    <i r="2" i="2">
      <x v="2"/>
    </i>
    <i r="2" i="3">
      <x v="3"/>
    </i>
    <i t="default">
      <x v="1"/>
    </i>
    <i t="default" i="1">
      <x v="1"/>
    </i>
    <i t="default" i="2">
      <x v="1"/>
    </i>
    <i t="default" i="3">
      <x v="1"/>
    </i>
    <i>
      <x v="2"/>
      <x v="2"/>
      <x/>
    </i>
    <i r="2" i="1">
      <x v="1"/>
    </i>
    <i r="2" i="2">
      <x v="2"/>
    </i>
    <i r="2" i="3">
      <x v="3"/>
    </i>
    <i t="default">
      <x v="2"/>
    </i>
    <i t="default" i="1">
      <x v="2"/>
    </i>
    <i t="default" i="2">
      <x v="2"/>
    </i>
    <i t="default" i="3">
      <x v="2"/>
    </i>
    <i>
      <x v="3"/>
      <x v="2"/>
      <x/>
    </i>
    <i r="2" i="1">
      <x v="1"/>
    </i>
    <i r="2" i="2">
      <x v="2"/>
    </i>
    <i r="2" i="3">
      <x v="3"/>
    </i>
    <i t="default">
      <x v="3"/>
    </i>
    <i t="default" i="1">
      <x v="3"/>
    </i>
    <i t="default" i="2">
      <x v="3"/>
    </i>
    <i t="default" i="3">
      <x v="3"/>
    </i>
    <i t="grand">
      <x/>
    </i>
    <i t="grand" i="1">
      <x/>
    </i>
    <i t="grand" i="2">
      <x/>
    </i>
    <i t="grand" i="3">
      <x/>
    </i>
  </colItems>
  <dataFields count="4">
    <dataField name="Somme de Conso_mois_U " fld="13" baseField="0" baseItem="0"/>
    <dataField name="Somme de Conso_mois_kWh" fld="18" baseField="0" baseItem="0"/>
    <dataField name="Somme de Conso_mois_kWhEP" fld="19" baseField="0" baseItem="0"/>
    <dataField name="Somme de Conso_mois_kWhDEET" fld="20"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eau croisé dynamique2" cacheId="59"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6">
  <location ref="C5:D6" firstHeaderRow="1" firstDataRow="1" firstDataCol="1" rowPageCount="3"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Page"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8">
        <item m="1" x="6"/>
        <item x="5"/>
        <item x="4"/>
        <item x="3"/>
        <item x="1"/>
        <item x="0"/>
        <item x="2"/>
        <item t="default"/>
      </items>
    </pivotField>
    <pivotField showAll="0"/>
    <pivotField axis="axisRow" showAll="0">
      <items count="4">
        <item m="1" x="2"/>
        <item h="1" x="1"/>
        <item h="1" x="0"/>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25"/>
  </rowFields>
  <rowItems count="1">
    <i t="grand">
      <x/>
    </i>
  </rowItems>
  <colItems count="1">
    <i/>
  </colItems>
  <pageFields count="3">
    <pageField fld="3" item="11" hier="-1"/>
    <pageField fld="22" item="3" hier="-1"/>
    <pageField fld="23" hier="-1"/>
  </pageFields>
  <dataFields count="1">
    <dataField name="Somme de Conso_mois_kWh" fld="18" baseField="24" baseItem="2"/>
  </dataFields>
  <chartFormats count="2">
    <chartFormat chart="5" format="36" series="1">
      <pivotArea type="data" outline="0" fieldPosition="0">
        <references count="1">
          <reference field="4294967294" count="1" selected="0">
            <x v="0"/>
          </reference>
        </references>
      </pivotArea>
    </chartFormat>
    <chartFormat chart="5" format="40">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TCD_Cout_annuel" cacheId="59" applyNumberFormats="0" applyBorderFormats="0" applyFontFormats="0" applyPatternFormats="0" applyAlignmentFormats="0" applyWidthHeightFormats="1" dataCaption="Valeurs" updatedVersion="6" minRefreshableVersion="5" useAutoFormatting="1" itemPrintTitles="1" createdVersion="6" indent="0" outline="1" outlineData="1" multipleFieldFilters="0" chartFormat="10">
  <location ref="L38:M40" firstHeaderRow="1" firstDataRow="2" firstDataCol="1" rowPageCount="2" colPageCount="1"/>
  <pivotFields count="32">
    <pivotField numFmtId="14" showAll="0" defaultSubtotal="0"/>
    <pivotField numFmtId="14" showAll="0" defaultSubtotal="0">
      <items count="14">
        <item x="0"/>
        <item x="1"/>
        <item x="2"/>
        <item x="3"/>
        <item x="4"/>
        <item x="5"/>
        <item x="6"/>
        <item x="7"/>
        <item x="8"/>
        <item x="9"/>
        <item x="10"/>
        <item x="11"/>
        <item x="12"/>
        <item x="13"/>
      </items>
    </pivotField>
    <pivotField showAll="0"/>
    <pivotField axis="axisRow" showAll="0">
      <items count="23">
        <item x="1"/>
        <item x="2"/>
        <item x="3"/>
        <item x="4"/>
        <item x="5"/>
        <item x="6"/>
        <item x="7"/>
        <item x="8"/>
        <item x="9"/>
        <item x="10"/>
        <item x="11"/>
        <item x="12"/>
        <item x="13"/>
        <item x="14"/>
        <item x="15"/>
        <item x="16"/>
        <item m="1" x="21"/>
        <item m="1" x="18"/>
        <item m="1" x="20"/>
        <item m="1" x="17"/>
        <item m="1" x="19"/>
        <item x="0"/>
        <item t="default"/>
      </items>
    </pivotField>
    <pivotField showAll="0"/>
    <pivotField showAll="0" defaultSubtotal="0"/>
    <pivotField showAll="0" defaultSubtotal="0"/>
    <pivotField numFmtId="14" showAll="0"/>
    <pivotField numFmtId="14" showAll="0" defaultSubtotal="0"/>
    <pivotField showAll="0" defaultSubtotal="0"/>
    <pivotField showAll="0" defaultSubtotal="0"/>
    <pivotField numFmtId="2" showAll="0" defaultSubtotal="0"/>
    <pivotField numFmtId="2"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axis="axisPage" showAll="0">
      <items count="5">
        <item m="1" x="3"/>
        <item x="2"/>
        <item x="0"/>
        <item x="1"/>
        <item t="default"/>
      </items>
    </pivotField>
    <pivotField axis="axisPage" multipleItemSelectionAllowed="1" showAll="0">
      <items count="8">
        <item m="1" x="6"/>
        <item x="5"/>
        <item x="4"/>
        <item x="3"/>
        <item x="1"/>
        <item x="0"/>
        <item x="2"/>
        <item t="default"/>
      </items>
    </pivotField>
    <pivotField showAll="0"/>
    <pivotField axis="axisCol" showAll="0">
      <items count="4">
        <item m="1" x="2"/>
        <item h="1" x="1"/>
        <item h="1" x="0"/>
        <item t="default"/>
      </items>
    </pivotField>
    <pivotField showAll="0" defaultSubtotal="0"/>
    <pivotField dragToRow="0" dragToCol="0" dragToPage="0" showAll="0" defaultSubtotal="0"/>
    <pivotField dragToRow="0" dragToCol="0" dragToPage="0" showAll="0" defaultSubtotal="0"/>
    <pivotField dragToRow="0" dragToCol="0" dragToPage="0" showAll="0" defaultSubtotal="0"/>
    <pivotField showAll="0" defaultSubtotal="0">
      <items count="6">
        <item x="0"/>
        <item x="1"/>
        <item x="2"/>
        <item x="3"/>
        <item x="4"/>
        <item x="5"/>
      </items>
    </pivotField>
    <pivotField showAll="0" defaultSubtotal="0">
      <items count="19">
        <item x="0"/>
        <item x="1"/>
        <item x="2"/>
        <item x="3"/>
        <item x="4"/>
        <item x="5"/>
        <item x="6"/>
        <item x="7"/>
        <item x="8"/>
        <item x="9"/>
        <item x="10"/>
        <item x="11"/>
        <item x="12"/>
        <item x="13"/>
        <item x="14"/>
        <item x="15"/>
        <item x="16"/>
        <item x="17"/>
        <item x="18"/>
      </items>
    </pivotField>
  </pivotFields>
  <rowFields count="1">
    <field x="3"/>
  </rowFields>
  <rowItems count="1">
    <i t="grand">
      <x/>
    </i>
  </rowItems>
  <colFields count="1">
    <field x="25"/>
  </colFields>
  <colItems count="1">
    <i t="grand">
      <x/>
    </i>
  </colItems>
  <pageFields count="2">
    <pageField fld="23" hier="-1"/>
    <pageField fld="22" item="3" hier="-1"/>
  </pageFields>
  <dataFields count="1">
    <dataField name="Somme de Cout_mois" fld="17" baseField="3" baseItem="0" numFmtId="171"/>
  </dataFields>
  <chartFormats count="1">
    <chartFormat chart="9" format="3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1" type="dateBetween" evalOrder="-1" id="525" name="fin mois">
      <autoFilter ref="A1">
        <filterColumn colId="0">
          <customFilters and="1">
            <customFilter operator="greaterThanOrEqual" val="43466"/>
            <customFilter operator="lessThanOrEqual" val="44926"/>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_ANNEE" sourceName="ANNEE">
  <pivotTables>
    <pivotTable tabId="24" name="Tableau croisé dynamique2"/>
    <pivotTable tabId="24" name="Tableau croisé dynamique3"/>
    <pivotTable tabId="24" name="Tableau croisé dynamique1"/>
  </pivotTables>
  <data>
    <tabular pivotCacheId="2" showMissing="0">
      <items count="22">
        <i x="1" nd="1"/>
        <i x="2" nd="1"/>
        <i x="3" nd="1"/>
        <i x="4" nd="1"/>
        <i x="5" nd="1"/>
        <i x="6" nd="1"/>
        <i x="7" nd="1"/>
        <i x="8" nd="1"/>
        <i x="9" nd="1"/>
        <i x="10" nd="1"/>
        <i x="11" nd="1"/>
        <i x="12" s="1" nd="1"/>
        <i x="13" nd="1"/>
        <i x="14" nd="1"/>
        <i x="15" nd="1"/>
        <i x="16" nd="1"/>
        <i x="0" nd="1"/>
        <i x="21" nd="1"/>
        <i x="18" nd="1"/>
        <i x="20" nd="1"/>
        <i x="17" nd="1"/>
        <i x="19"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_Nom1" sourceName="Nom">
  <pivotTables>
    <pivotTable tabId="9" name="Tableau croisé dynamique4"/>
  </pivotTables>
  <data>
    <tabular pivotCacheId="2">
      <items count="3">
        <i x="1" s="1"/>
        <i x="2" s="1" nd="1"/>
        <i x="0"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_Nom" sourceName="Nom">
  <pivotTables>
    <pivotTable tabId="37" name="TCD_Chrono_Conso"/>
    <pivotTable tabId="37" name="TCD_Conso_DJU"/>
  </pivotTables>
  <data>
    <tabular pivotCacheId="2">
      <items count="3">
        <i x="0" s="1"/>
        <i x="2" s="1" nd="1"/>
        <i x="1"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_Nom2" sourceName="Nom">
  <pivotTables>
    <pivotTable tabId="41" name="TCD_Conso_DJU"/>
    <pivotTable tabId="41" name="TCD_Chrono_Conso"/>
  </pivotTables>
  <data>
    <tabular pivotCacheId="2">
      <items count="3">
        <i x="0" s="1"/>
        <i x="2" s="1" nd="1"/>
        <i x="1"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_Source" sourceName="Source">
  <pivotTables>
    <pivotTable tabId="41" name="TCD_Conso_DJU"/>
  </pivotTables>
  <data>
    <tabular pivotCacheId="2">
      <items count="7">
        <i x="0"/>
        <i x="2"/>
        <i x="1" s="1"/>
        <i x="4"/>
        <i x="6" nd="1"/>
        <i x="5" nd="1"/>
        <i x="3"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_Station" sourceName="Station">
  <pivotTables>
    <pivotTable tabId="17" name="Tableau croisé dynamique2"/>
    <pivotTable tabId="17" name="Tableau croisé dynamique3"/>
    <pivotTable tabId="17" name="Tableau croisé dynamique4"/>
  </pivotTables>
  <data>
    <tabular pivotCacheId="1" showMissing="0" crossFilter="none">
      <items count="17">
        <i x="15"/>
        <i x="8"/>
        <i x="1"/>
        <i x="4"/>
        <i x="14"/>
        <i x="13"/>
        <i x="12" s="1"/>
        <i x="5"/>
        <i x="11"/>
        <i x="7"/>
        <i x="9"/>
        <i x="10"/>
        <i x="2"/>
        <i x="3"/>
        <i x="0"/>
        <i x="6"/>
        <i x="16"/>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_ANNEE1" sourceName="ANNEE">
  <pivotTables>
    <pivotTable tabId="44" name="Tableau croisé dynamique1"/>
  </pivotTables>
  <data>
    <tabular pivotCacheId="2">
      <items count="22">
        <i x="1"/>
        <i x="2"/>
        <i x="3"/>
        <i x="4"/>
        <i x="5"/>
        <i x="6" s="1"/>
        <i x="7"/>
        <i x="8"/>
        <i x="9"/>
        <i x="10"/>
        <i x="11"/>
        <i x="12"/>
        <i x="13"/>
        <i x="14"/>
        <i x="15"/>
        <i x="16"/>
        <i x="21" nd="1"/>
        <i x="18" nd="1"/>
        <i x="20" nd="1"/>
        <i x="17" nd="1"/>
        <i x="19" nd="1"/>
        <i x="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ion" cache="Segment_Station" caption="Station" columnCoun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NNEE 1" cache="Segment_ANNEE" caption="ANNEE" startItem="9"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ANNEE" cache="Segment_ANNEE1" caption="ANNEE"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Nom 1" cache="Segment_Nom1" caption="Nom" showCaption="0"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Nom" cache="Segment_Nom" caption="Nom" style="SlicerStyleLight6"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Nom 2" cache="Segment_Nom2" caption="Nom" rowHeight="241300"/>
  <slicer name="Source" cache="Segment_Source" caption="Source" rowHeight="241300"/>
</slicers>
</file>

<file path=xl/tables/table1.xml><?xml version="1.0" encoding="utf-8"?>
<table xmlns="http://schemas.openxmlformats.org/spreadsheetml/2006/main" id="5" name="Tab_Calculs" displayName="Tab_Calculs" ref="A2:AA1544" totalsRowShown="0">
  <autoFilter ref="A2:AA1544"/>
  <tableColumns count="27">
    <tableColumn id="1" name="Début mois" dataDxfId="92">
      <calculatedColumnFormula>DATE(Tab_Calculs[[#This Row],[ANNEE]],Tab_Calculs[[#This Row],[MOIS]],1)</calculatedColumnFormula>
    </tableColumn>
    <tableColumn id="13" name="fin mois" dataDxfId="91">
      <calculatedColumnFormula>EDATE(Tab_Calculs[[#This Row],[Début mois]],1)-1</calculatedColumnFormula>
    </tableColumn>
    <tableColumn id="2" name="MOIS">
      <calculatedColumnFormula>IFERROR(MONTH(A3),"")</calculatedColumnFormula>
    </tableColumn>
    <tableColumn id="3" name="ANNEE">
      <calculatedColumnFormula>IFERROR(YEAR(A3), "")</calculatedColumnFormula>
    </tableColumn>
    <tableColumn id="36" name="Compteur"/>
    <tableColumn id="14" name="Colonne1" dataDxfId="90">
      <calculatedColumnFormula>SUBSTITUTE(Tab_Calculs[[#This Row],[Compteur]]," ","_")</calculatedColumnFormula>
    </tableColumn>
    <tableColumn id="8" name="Nom" dataDxfId="89">
      <calculatedColumnFormula>T(INDEX(Site!$B$33:$G$40, MATCH(Tab_Calculs[[#This Row],[Compteur]], Site!$B$33:$B$40,0),2))</calculatedColumnFormula>
    </tableColumn>
    <tableColumn id="4" name="Date_livraison" dataDxfId="88">
      <calculatedColumnFormula array="1">MIN(IF(INDIRECT(CONCATENATE(Tab_Calculs[[#This Row],[Colonne1]],"!$B$2:$B$243"))&gt;=Calculs_Consos!$A3,INDIRECT(CONCATENATE(Tab_Calculs[[#This Row],[Colonne1]],"!$B$2:$B$243"))))</calculatedColumnFormula>
    </tableColumn>
    <tableColumn id="18" name="Début periode livraison" dataDxfId="87">
      <calculatedColumnFormula>INDEX(INDIRECT(CONCATENATE("Tab_",Tab_Calculs[[#This Row],[Colonne1]])),Tab_Calculs[[#This Row],[index_date_livraison]],1)</calculatedColumnFormula>
    </tableColumn>
    <tableColumn id="17" name="index_date_livraison" dataDxfId="86">
      <calculatedColumnFormula>MATCH(Tab_Calculs[[#This Row],[Date_livraison]],INDIRECT(CONCATENATE("Tab_",Tab_Calculs[[#This Row],[Colonne1]],"[Fin de période]")),0)</calculatedColumnFormula>
    </tableColumn>
    <tableColumn id="19" name="ratio_avant_debut" dataDxfId="85">
      <calculatedColumnFormula>INDEX(INDIRECT(CONCATENATE("Tab_",Tab_Calculs[[#This Row],[Colonne1]])),Tab_Calculs[[#This Row],[index_date_livraison]]-1,6)*(MAX(Tab_Calculs[[#This Row],[Début periode livraison]],Tab_Calculs[[#This Row],[Début mois]])-Tab_Calculs[[#This Row],[Début mois]])</calculatedColumnFormula>
    </tableColumn>
    <tableColumn id="16" name="Ratio_jour_avant_livr" dataDxfId="84">
      <calculatedColumnFormula>INDEX(INDIRECT(CONCATENATE("Tab_",Tab_Calculs[[#This Row],[Colonne1]])),Tab_Calculs[[#This Row],[index_date_livraison]],6)*(1+MIN(Tab_Calculs[[#This Row],[Date_livraison]],Tab_Calculs[[#This Row],[fin mois]])-MAX(Tab_Calculs[[#This Row],[Début mois]],Tab_Calculs[[#This Row],[Début periode livraison]]))</calculatedColumnFormula>
    </tableColumn>
    <tableColumn id="15" name="Ratio_jour_après_livr" dataDxfId="83">
      <calculatedColumnFormula>INDEX(INDIRECT(CONCATENATE("Tab_",Tab_Calculs[[#This Row],[Colonne1]])),Tab_Calculs[[#This Row],[index_date_livraison]]+1,6)*(Tab_Calculs[[#This Row],[fin mois]]-MIN(Tab_Calculs[[#This Row],[fin mois]],Tab_Calculs[[#This Row],[Date_livraison]]))</calculatedColumnFormula>
    </tableColumn>
    <tableColumn id="5" name="Conso_mois_U " dataDxfId="82">
      <calculatedColumnFormula>Tab_Calculs[[#This Row],[Ratio_jour_après_livr]]+Tab_Calculs[[#This Row],[Ratio_jour_avant_livr]]+Tab_Calculs[[#This Row],[ratio_avant_debut]]</calculatedColumnFormula>
    </tableColumn>
    <tableColumn id="22" name="Ratio_Cout_avant_debut" dataDxfId="81">
      <calculatedColumnFormula>INDEX(INDIRECT(CONCATENATE("Tab_",Tab_Calculs[[#This Row],[Colonne1]])),Tab_Calculs[[#This Row],[index_date_livraison]]-1,7)*(MAX(Tab_Calculs[[#This Row],[Début periode livraison]],Tab_Calculs[[#This Row],[Début mois]])-Tab_Calculs[[#This Row],[Début mois]])</calculatedColumnFormula>
    </tableColumn>
    <tableColumn id="21" name="Ratio_Cout_avant_livr" dataDxfId="80">
      <calculatedColumnFormula>INDEX(INDIRECT(CONCATENATE("Tab_",Tab_Calculs[[#This Row],[Colonne1]])),Tab_Calculs[[#This Row],[index_date_livraison]],7)*(1+MIN(Tab_Calculs[[#This Row],[Date_livraison]],Tab_Calculs[[#This Row],[fin mois]])-MAX(Tab_Calculs[[#This Row],[Début mois]],Tab_Calculs[[#This Row],[Début periode livraison]]))</calculatedColumnFormula>
    </tableColumn>
    <tableColumn id="20" name="Ratio_Cout_après_livr" dataDxfId="79">
      <calculatedColumnFormula>INDEX(INDIRECT(CONCATENATE("Tab_",Tab_Calculs[[#This Row],[Colonne1]])),Tab_Calculs[[#This Row],[index_date_livraison]]+1,7)*(Tab_Calculs[[#This Row],[fin mois]]-MIN(Tab_Calculs[[#This Row],[fin mois]],Tab_Calculs[[#This Row],[Date_livraison]]))</calculatedColumnFormula>
    </tableColumn>
    <tableColumn id="6" name="Cout_mois" dataDxfId="78">
      <calculatedColumnFormula>Tab_Calculs[[#This Row],[Ratio_Cout_après_livr]]+Tab_Calculs[[#This Row],[Ratio_Cout_avant_livr]]+Tab_Calculs[[#This Row],[Ratio_Cout_avant_debut]]</calculatedColumnFormula>
    </tableColumn>
    <tableColumn id="7" name="Conso_mois_kWh" dataDxfId="77">
      <calculatedColumnFormula>IFERROR(N3*VLOOKUP(Tab_Calculs[[#This Row],[Colonne1]],Controle_des_données!$B$7:$G$14,6,FALSE),"")</calculatedColumnFormula>
    </tableColumn>
    <tableColumn id="10" name="Conso_mois_kWhEP" dataDxfId="76">
      <calculatedColumnFormula>IF(Tab_Calculs[[#This Row],[Combustible ]]="Electricité (kWh)",Tab_Calculs[[#This Row],[Conso_mois_kWh]]*2.3,Tab_Calculs[[#This Row],[Conso_mois_kWh]])</calculatedColumnFormula>
    </tableColumn>
    <tableColumn id="11" name="Conso_mois_kWhDEET" dataDxfId="75">
      <calculatedColumnFormula>IFERROR(N3*VLOOKUP(Tab_Calculs[[#This Row],[Colonne1]],Controle_des_données!$B$7:$H$14,7,FALSE),"")</calculatedColumnFormula>
    </tableColumn>
    <tableColumn id="23" name="Cout_unitaie" dataDxfId="74">
      <calculatedColumnFormula>IFERROR(Tab_Calculs[[#This Row],[Cout_mois]]/Tab_Calculs[[#This Row],[Conso_mois_kWh]],0)</calculatedColumnFormula>
    </tableColumn>
    <tableColumn id="37" name="Type" dataDxfId="73">
      <calculatedColumnFormula>T(VLOOKUP(Tab_Calculs[[#This Row],[Compteur]],Site!$B$33:$G$40,3,FALSE))</calculatedColumnFormula>
    </tableColumn>
    <tableColumn id="38" name="Source" dataDxfId="72">
      <calculatedColumnFormula>T(VLOOKUP(Tab_Calculs[[#This Row],[Compteur]],Site!$B$33:$G$40,4,FALSE))</calculatedColumnFormula>
    </tableColumn>
    <tableColumn id="39" name="Detail usage" dataDxfId="71">
      <calculatedColumnFormula>T(VLOOKUP(Tab_Calculs[[#This Row],[Compteur]],Site!$B$33:$G$40,5,FALSE))</calculatedColumnFormula>
    </tableColumn>
    <tableColumn id="40" name="Combustible " dataDxfId="70">
      <calculatedColumnFormula>T(VLOOKUP(Tab_Calculs[[#This Row],[Compteur]],Site!$B$33:$G$40,6,FALSE))</calculatedColumnFormula>
    </tableColumn>
    <tableColumn id="9" name="DJU_Chauffage" dataDxfId="69">
      <calculatedColumnFormula>IFERROR(GETPIVOTDATA("DJU(chauffagiste)",BDD_DJU!$P$13,"annee",Tab_Calculs[[#This Row],[ANNEE]],"mois_numero",Tab_Calculs[[#This Row],[MOIS]]),0)</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id="8" name="Tab_Compteur_8" displayName="Tab_Compteur_8" ref="A1:G242" totalsRowShown="0" headerRowDxfId="16" headerRowBorderDxfId="15" tableBorderDxfId="14">
  <autoFilter ref="A1:G242"/>
  <tableColumns count="7">
    <tableColumn id="1" name="Début de période" dataDxfId="13"/>
    <tableColumn id="2" name="Fin de période"/>
    <tableColumn id="3" name="Quantité"/>
    <tableColumn id="4" name="Montant TTC" dataDxfId="12" dataCellStyle="Monétaire">
      <calculatedColumnFormula>IF(Tab_Compteur_8[[#This Row],[Fin de période]]&gt;0,IFERROR(B2-A2+1,""),"")</calculatedColumnFormula>
    </tableColumn>
    <tableColumn id="5" name="Delta Jour" dataDxfId="11">
      <calculatedColumnFormula>IFERROR(B2-A2+1,"")</calculatedColumnFormula>
    </tableColumn>
    <tableColumn id="6" name="Demande_jour" dataDxfId="10">
      <calculatedColumnFormula>IFERROR(Tab_Compteur_8[[#This Row],[Quantité]]/Tab_Compteur_8[[#This Row],[Delta Jour]],"")</calculatedColumnFormula>
    </tableColumn>
    <tableColumn id="7" name="Cout_jour" dataDxfId="9">
      <calculatedColumnFormula>IFERROR(Tab_Compteur_8[[#This Row],[Montant TTC]]/Tab_Compteur_8[[#This Row],[Delta Jour]],"")</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id="9" name="Tableau9" displayName="Tableau9" ref="A1:F4494" totalsRowShown="0" headerRowDxfId="8" dataDxfId="7" tableBorderDxfId="6">
  <autoFilter ref="A1:F4494">
    <filterColumn colId="0">
      <filters>
        <filter val="Vannes-Sene"/>
      </filters>
    </filterColumn>
  </autoFilter>
  <tableColumns count="6">
    <tableColumn id="1" name="Station" dataDxfId="5"/>
    <tableColumn id="2" name="annee" dataDxfId="4"/>
    <tableColumn id="3" name="mois" dataDxfId="3"/>
    <tableColumn id="6" name="mois_numero" dataDxfId="2"/>
    <tableColumn id="4" name="DJU(chauffagiste)" dataDxfId="1"/>
    <tableColumn id="5" name="DJU(climaticien)" dataDxfId="0"/>
  </tableColumns>
  <tableStyleInfo name="TableStyleMedium2" showFirstColumn="0" showLastColumn="0" showRowStripes="1" showColumnStripes="0"/>
</table>
</file>

<file path=xl/tables/table2.xml><?xml version="1.0" encoding="utf-8"?>
<table xmlns="http://schemas.openxmlformats.org/spreadsheetml/2006/main" id="11" name="Tab_fériés" displayName="Tab_fériés" ref="O2:R288" totalsRowShown="0">
  <autoFilter ref="O2:R288"/>
  <tableColumns count="4">
    <tableColumn id="1" name="date" dataDxfId="68"/>
    <tableColumn id="2" name="annee"/>
    <tableColumn id="3" name="zone"/>
    <tableColumn id="4" name="nom_jour_ferie"/>
  </tableColumns>
  <tableStyleInfo name="TableStyleMedium2" showFirstColumn="0" showLastColumn="0" showRowStripes="1" showColumnStripes="0"/>
</table>
</file>

<file path=xl/tables/table3.xml><?xml version="1.0" encoding="utf-8"?>
<table xmlns="http://schemas.openxmlformats.org/spreadsheetml/2006/main" id="4" name="Tab_Compteur_1" displayName="Tab_Compteur_1" ref="A1:G242" totalsRowShown="0" headerRowDxfId="67">
  <autoFilter ref="A1:G242"/>
  <tableColumns count="7">
    <tableColumn id="1" name="Début de période" dataDxfId="66">
      <calculatedColumnFormula>EDATE(B2,-1)</calculatedColumnFormula>
    </tableColumn>
    <tableColumn id="2" name="Fin de période" dataDxfId="65"/>
    <tableColumn id="3" name="Quantité " dataDxfId="64" dataCellStyle="Milliers"/>
    <tableColumn id="4" name="Montant TTC" dataCellStyle="Monétaire"/>
    <tableColumn id="5" name="Delta Jour">
      <calculatedColumnFormula>IF(Tab_Compteur_1[[#This Row],[Fin de période]]&gt;0,IFERROR(B2-A2+1,""),"")</calculatedColumnFormula>
    </tableColumn>
    <tableColumn id="6" name="Demande_jour" dataDxfId="63">
      <calculatedColumnFormula>IFERROR(Tab_Compteur_1[[#This Row],[Quantité ]]/Tab_Compteur_1[[#This Row],[Delta Jour]],"")</calculatedColumnFormula>
    </tableColumn>
    <tableColumn id="7" name="Cout_jour" dataDxfId="62">
      <calculatedColumnFormula>IFERROR(Tab_Compteur_1[[#This Row],[Montant TTC]]/Tab_Compteur_1[[#This Row],[Delta Jour]],"")</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ab_Compteur_2" displayName="Tab_Compteur_2" ref="A1:G243" totalsRowShown="0" headerRowDxfId="61">
  <autoFilter ref="A1:G243"/>
  <tableColumns count="7">
    <tableColumn id="1" name="Début de période" dataDxfId="60">
      <calculatedColumnFormula>EDATE(Tab_Compteur_2[[#This Row],[Fin de période]],-1)+1</calculatedColumnFormula>
    </tableColumn>
    <tableColumn id="2" name="Fin de période" dataDxfId="59"/>
    <tableColumn id="3" name="Quantité " dataDxfId="58" dataCellStyle="Milliers"/>
    <tableColumn id="4" name="Montant TTC" dataDxfId="57" dataCellStyle="Monétaire">
      <calculatedColumnFormula>Tab_Compteur_2[[#This Row],[Quantité ]]/1000*100</calculatedColumnFormula>
    </tableColumn>
    <tableColumn id="5" name="Delta Jour" dataDxfId="56">
      <calculatedColumnFormula>IF(Tab_Compteur_2[[#This Row],[Fin de période]]&gt;0,IFERROR(B2-A2+1,""),"")</calculatedColumnFormula>
    </tableColumn>
    <tableColumn id="6" name="Demande_jour" dataDxfId="55"/>
    <tableColumn id="7" name="Cout_jour" dataDxfId="54"/>
  </tableColumns>
  <tableStyleInfo name="TableStyleMedium2" showFirstColumn="0" showLastColumn="0" showRowStripes="1" showColumnStripes="0"/>
</table>
</file>

<file path=xl/tables/table5.xml><?xml version="1.0" encoding="utf-8"?>
<table xmlns="http://schemas.openxmlformats.org/spreadsheetml/2006/main" id="2" name="Tab_Compteur_3" displayName="Tab_Compteur_3" ref="A1:G242" totalsRowShown="0">
  <autoFilter ref="A1:G242"/>
  <tableColumns count="7">
    <tableColumn id="7" name="Début de période" dataDxfId="53">
      <calculatedColumnFormula>B1+1</calculatedColumnFormula>
    </tableColumn>
    <tableColumn id="1" name="Fin de période" dataDxfId="52"/>
    <tableColumn id="2" name="Quantité" dataDxfId="51"/>
    <tableColumn id="3" name="Montant TTC" dataDxfId="50"/>
    <tableColumn id="4" name="Delta Jour" dataDxfId="49">
      <calculatedColumnFormula>IFERROR(B2-A2+1,"")</calculatedColumnFormula>
    </tableColumn>
    <tableColumn id="5" name="Demande_jour" dataDxfId="48">
      <calculatedColumnFormula>IFERROR(Tab_Compteur_3[[#This Row],[Quantité]]/Tab_Compteur_3[[#This Row],[Delta Jour]],"")</calculatedColumnFormula>
    </tableColumn>
    <tableColumn id="6" name="Cout_jour" dataDxfId="47">
      <calculatedColumnFormula>IFERROR(Tab_Compteur_3[[#This Row],[Montant TTC]]/Tab_Compteur_3[[#This Row],[Delta Jour]],"")</calculatedColumnFormula>
    </tableColumn>
  </tableColumns>
  <tableStyleInfo name="TableStyleMedium2" showFirstColumn="0" showLastColumn="0" showRowStripes="1" showColumnStripes="0"/>
</table>
</file>

<file path=xl/tables/table6.xml><?xml version="1.0" encoding="utf-8"?>
<table xmlns="http://schemas.openxmlformats.org/spreadsheetml/2006/main" id="3" name="Tab_Compteur_4" displayName="Tab_Compteur_4" ref="A1:G242" totalsRowShown="0">
  <autoFilter ref="A1:G242"/>
  <tableColumns count="7">
    <tableColumn id="7" name="Début de période" dataDxfId="46">
      <calculatedColumnFormula>B1+1</calculatedColumnFormula>
    </tableColumn>
    <tableColumn id="1" name="Fin de période" dataDxfId="45">
      <calculatedColumnFormula>A3-1</calculatedColumnFormula>
    </tableColumn>
    <tableColumn id="2" name="Quantité" dataDxfId="44"/>
    <tableColumn id="3" name="Montant TTC" dataCellStyle="Monétaire"/>
    <tableColumn id="4" name="Delta Jour" dataDxfId="43">
      <calculatedColumnFormula>IFERROR(B2-A2+1,"")</calculatedColumnFormula>
    </tableColumn>
    <tableColumn id="5" name="Demande_jour" dataDxfId="42">
      <calculatedColumnFormula>IFERROR(Tab_Compteur_4[[#This Row],[Quantité]]/Tab_Compteur_4[[#This Row],[Delta Jour]],"")</calculatedColumnFormula>
    </tableColumn>
    <tableColumn id="6" name="Cout_jour" dataDxfId="41">
      <calculatedColumnFormula>IFERROR(Tab_Compteur_4[[#This Row],[Montant TTC]]/Tab_Compteur_4[[#This Row],[Delta Jour]],"")</calculatedColumnFormula>
    </tableColumn>
  </tableColumns>
  <tableStyleInfo name="TableStyleMedium2" showFirstColumn="0" showLastColumn="0" showRowStripes="1" showColumnStripes="0"/>
</table>
</file>

<file path=xl/tables/table7.xml><?xml version="1.0" encoding="utf-8"?>
<table xmlns="http://schemas.openxmlformats.org/spreadsheetml/2006/main" id="10" name="Tab_Compteur_5" displayName="Tab_Compteur_5" ref="A1:G242" totalsRowShown="0">
  <autoFilter ref="A1:G242"/>
  <tableColumns count="7">
    <tableColumn id="7" name="Début de période" dataDxfId="40">
      <calculatedColumnFormula>IF(#REF!&gt;0,B1+1,"")</calculatedColumnFormula>
    </tableColumn>
    <tableColumn id="1" name="Fin de période" dataDxfId="39">
      <calculatedColumnFormula>A3-1</calculatedColumnFormula>
    </tableColumn>
    <tableColumn id="2" name="Quantité" dataDxfId="38"/>
    <tableColumn id="3" name="Montant TTC" dataDxfId="37" dataCellStyle="Monétaire"/>
    <tableColumn id="4" name="Delta Jour" dataDxfId="36">
      <calculatedColumnFormula>IFERROR(B2-A2+1,"")</calculatedColumnFormula>
    </tableColumn>
    <tableColumn id="5" name="Demande_jour" dataDxfId="35">
      <calculatedColumnFormula>IFERROR(Tab_Compteur_5[[#This Row],[Quantité]]/Tab_Compteur_5[[#This Row],[Delta Jour]],"")</calculatedColumnFormula>
    </tableColumn>
    <tableColumn id="6" name="Cout_jour" dataDxfId="34">
      <calculatedColumnFormula>IFERROR(Tab_Compteur_5[[#This Row],[Montant TTC]]/Tab_Compteur_5[[#This Row],[Delta Jour]],"")</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6" name="Tab_Compteur_6" displayName="Tab_Compteur_6" ref="A1:G242" totalsRowShown="0" headerRowDxfId="33" headerRowBorderDxfId="32" tableBorderDxfId="31">
  <autoFilter ref="A1:G242"/>
  <tableColumns count="7">
    <tableColumn id="1" name="Début de période" dataDxfId="30">
      <calculatedColumnFormula>EDATE(B2,-Site!I37)+1</calculatedColumnFormula>
    </tableColumn>
    <tableColumn id="2" name="Fin de période" dataDxfId="29"/>
    <tableColumn id="3" name="Quantité"/>
    <tableColumn id="4" name="Montant TTC" dataDxfId="28" dataCellStyle="Monétaire">
      <calculatedColumnFormula>IF(Tab_Compteur_6[[#This Row],[Fin de période]]&gt;0,IFERROR(B2-A2+1,""),"")</calculatedColumnFormula>
    </tableColumn>
    <tableColumn id="5" name="Delta Jour" dataDxfId="27">
      <calculatedColumnFormula>IFERROR(B2-A2+1,"")</calculatedColumnFormula>
    </tableColumn>
    <tableColumn id="6" name="Demande_jour" dataDxfId="26">
      <calculatedColumnFormula>IFERROR(Tab_Compteur_6[[#This Row],[Quantité]]/Tab_Compteur_6[[#This Row],[Delta Jour]],"")</calculatedColumnFormula>
    </tableColumn>
    <tableColumn id="7" name="Cout_jour" dataDxfId="25">
      <calculatedColumnFormula>IFERROR(Tab_Compteur_6[[#This Row],[Montant TTC]]/Tab_Compteur_6[[#This Row],[Delta Jour]],"")</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7" name="Tab_Compteur_7" displayName="Tab_Compteur_7" ref="A1:G242" totalsRowShown="0" headerRowDxfId="24" headerRowBorderDxfId="23" tableBorderDxfId="22">
  <autoFilter ref="A1:G242"/>
  <tableColumns count="7">
    <tableColumn id="1" name="Début de période" dataDxfId="21"/>
    <tableColumn id="2" name="Fin de période"/>
    <tableColumn id="3" name="Quantité"/>
    <tableColumn id="4" name="Montant TTC" dataDxfId="20" dataCellStyle="Monétaire">
      <calculatedColumnFormula>IF(Tab_Compteur_7[[#This Row],[Fin de période]]&gt;0,IFERROR(B2-A2+1,""),"")</calculatedColumnFormula>
    </tableColumn>
    <tableColumn id="5" name="Delta Jour" dataDxfId="19">
      <calculatedColumnFormula>IFERROR(B2-A2+1,"")</calculatedColumnFormula>
    </tableColumn>
    <tableColumn id="6" name="Demande_jour" dataDxfId="18">
      <calculatedColumnFormula>IFERROR(Tab_Compteur_7[[#This Row],[Quantité]]/Tab_Compteur_7[[#This Row],[Delta Jour]],"")</calculatedColumnFormula>
    </tableColumn>
    <tableColumn id="7" name="Cout_jour" dataDxfId="17">
      <calculatedColumnFormula>IFERROR(Tab_Compteur_7[[#This Row],[Montant TTC]]/Tab_Compteur_7[[#This Row],[Delta Jour]],"")</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25" dT="2023-09-27T13:08:57.60" personId="{60167206-CCD6-4093-AFD2-6704D86DD72F}" id="{D0FFACD2-8BE7-466C-BE6F-692B13DB66A4}">
    <text xml:space="preserve">La valeur Cabs est l'objectif de consommation en valeur aboslue calculée par la plateforme OPERAT. Elle permet de calculer l'ajustement climatique du chauffage et du refroidissement. La valeur par défaut si la Cabs de votre bâtiment vous est inconnue </text>
  </threadedComment>
</ThreadedComments>
</file>

<file path=xl/timelineCaches/timelineCache1.xml><?xml version="1.0" encoding="utf-8"?>
<timelineCacheDefinition xmlns="http://schemas.microsoft.com/office/spreadsheetml/2010/11/main" xmlns:x15="http://schemas.microsoft.com/office/spreadsheetml/2010/11/main" name="ChronologieNative_fin_mois" sourceName="fin mois">
  <pivotTables>
    <pivotTable tabId="24" name="TCD_Chrono_Cout"/>
    <pivotTable tabId="24" name="TCD_Cout_annuel"/>
  </pivotTables>
  <state minimalRefreshVersion="6" lastRefreshVersion="6" pivotCacheId="2" filterType="dateBetween">
    <selection startDate="2019-01-01T00:00:00" endDate="2022-12-31T00:00:00"/>
    <bounds startDate="2010-01-01T00:00:00" endDate="2027-01-01T00:00:00"/>
  </state>
</timelineCacheDefinition>
</file>

<file path=xl/timelineCaches/timelineCache2.xml><?xml version="1.0" encoding="utf-8"?>
<timelineCacheDefinition xmlns="http://schemas.microsoft.com/office/spreadsheetml/2010/11/main" xmlns:x15="http://schemas.microsoft.com/office/spreadsheetml/2010/11/main" name="ChronologieNative_fin_mois1" sourceName="fin mois">
  <pivotTables>
    <pivotTable tabId="37" name="TCD_Conso_DJU"/>
    <pivotTable tabId="37" name="TCD_Chrono_Conso"/>
    <pivotTable tabId="41" name="TCD_Chrono_Conso"/>
    <pivotTable tabId="41" name="TCD_Conso_DJU"/>
  </pivotTables>
  <state minimalRefreshVersion="6" lastRefreshVersion="6" pivotCacheId="2" filterType="dateBetween">
    <selection startDate="2018-01-01T00:00:00" endDate="2022-12-31T00:00:00"/>
    <bounds startDate="2010-01-0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fin mois" cache="ChronologieNative_fin_mois" caption="fin mois" level="0" selectionLevel="0" scrollPosition="2010-01-01T00:00:00"/>
</timelines>
</file>

<file path=xl/timelines/timeline2.xml><?xml version="1.0" encoding="utf-8"?>
<timelines xmlns="http://schemas.microsoft.com/office/spreadsheetml/2010/11/main" xmlns:mc="http://schemas.openxmlformats.org/markup-compatibility/2006" xmlns:x="http://schemas.openxmlformats.org/spreadsheetml/2006/main" mc:Ignorable="x">
  <timeline name="fin mois 1" cache="ChronologieNative_fin_mois1" caption="fin mois" showHeader="0" showSelectionLabel="0" showTimeLevel="0" level="0" selectionLevel="0" scrollPosition="2015-01-01T00:00:00" style="TimeSlicerStyleLight6"/>
</timelines>
</file>

<file path=xl/timelines/timeline3.xml><?xml version="1.0" encoding="utf-8"?>
<timelines xmlns="http://schemas.microsoft.com/office/spreadsheetml/2010/11/main" xmlns:mc="http://schemas.openxmlformats.org/markup-compatibility/2006" xmlns:x="http://schemas.openxmlformats.org/spreadsheetml/2006/main" mc:Ignorable="x">
  <timeline name="fin mois 2" cache="ChronologieNative_fin_mois1" caption="fin mois" showHeader="0" showSelectionLabel="0" showTimeLevel="0" level="0" selectionLevel="0" scrollPosition="2016-05-19T00:00:00"/>
</timeline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table" Target="../tables/table1.xml"/></Relationships>
</file>

<file path=xl/worksheets/_rels/sheet13.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microsoft.com/office/2011/relationships/timeline" Target="../timelines/timeline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10.xml"/><Relationship Id="rId2" Type="http://schemas.openxmlformats.org/officeDocument/2006/relationships/pivotTable" Target="../pivotTables/pivotTable9.xml"/><Relationship Id="rId1" Type="http://schemas.openxmlformats.org/officeDocument/2006/relationships/pivotTable" Target="../pivotTables/pivotTable8.xml"/><Relationship Id="rId6" Type="http://schemas.openxmlformats.org/officeDocument/2006/relationships/printerSettings" Target="../printerSettings/printerSettings13.bin"/><Relationship Id="rId5" Type="http://schemas.openxmlformats.org/officeDocument/2006/relationships/pivotTable" Target="../pivotTables/pivotTable12.xml"/><Relationship Id="rId4" Type="http://schemas.openxmlformats.org/officeDocument/2006/relationships/pivotTable" Target="../pivotTables/pivotTable1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ivotTable" Target="../pivotTables/pivotTable13.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table" Target="../tables/table1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operat.ademe.fr/" TargetMode="External"/><Relationship Id="rId1" Type="http://schemas.openxmlformats.org/officeDocument/2006/relationships/pivotTable" Target="../pivotTables/pivotTable1.xml"/><Relationship Id="rId5" Type="http://schemas.microsoft.com/office/2007/relationships/slicer" Target="../slicers/slicer3.xml"/><Relationship Id="rId4"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7" Type="http://schemas.microsoft.com/office/2007/relationships/slicer" Target="../slicers/slicer4.x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microsoft.com/office/2011/relationships/timeline" Target="../timelines/timeline1.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microsoft.com/office/2011/relationships/timeline" Target="../timelines/timelin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R66"/>
  <sheetViews>
    <sheetView showGridLines="0" tabSelected="1" topLeftCell="A4" workbookViewId="0">
      <selection activeCell="F3" sqref="F3"/>
    </sheetView>
  </sheetViews>
  <sheetFormatPr baseColWidth="10" defaultColWidth="0" defaultRowHeight="15" zeroHeight="1" x14ac:dyDescent="0.25"/>
  <cols>
    <col min="1" max="1" width="2.28515625" style="42" customWidth="1"/>
    <col min="2" max="2" width="13.7109375" customWidth="1"/>
    <col min="3" max="3" width="13" customWidth="1"/>
    <col min="4" max="4" width="14.85546875" customWidth="1"/>
    <col min="5" max="5" width="11.85546875" customWidth="1"/>
    <col min="6" max="6" width="17" customWidth="1"/>
    <col min="7" max="7" width="16.42578125" customWidth="1"/>
    <col min="8" max="8" width="12" customWidth="1"/>
    <col min="9" max="9" width="10.85546875" customWidth="1"/>
    <col min="10" max="10" width="19" customWidth="1"/>
    <col min="11" max="14" width="11.42578125" customWidth="1"/>
    <col min="15" max="18" width="0" hidden="1" customWidth="1"/>
    <col min="19" max="16384" width="11.42578125" hidden="1"/>
  </cols>
  <sheetData>
    <row r="1" spans="1:18" x14ac:dyDescent="0.25">
      <c r="B1" s="42"/>
      <c r="C1" s="42"/>
      <c r="D1" s="42"/>
      <c r="E1" s="42"/>
      <c r="F1" s="42"/>
      <c r="G1" s="42"/>
      <c r="H1" s="42"/>
      <c r="I1" s="42"/>
      <c r="J1" s="42"/>
      <c r="K1" s="42"/>
      <c r="L1" s="42"/>
      <c r="M1" s="42"/>
      <c r="N1" s="42"/>
    </row>
    <row r="2" spans="1:18" ht="15.75" x14ac:dyDescent="0.25">
      <c r="B2" s="87" t="s">
        <v>198</v>
      </c>
      <c r="C2" s="298"/>
      <c r="D2" s="298"/>
      <c r="E2" s="298"/>
      <c r="F2" s="42"/>
      <c r="G2" s="42"/>
      <c r="H2" s="42"/>
      <c r="I2" s="42"/>
      <c r="J2" s="42"/>
      <c r="K2" s="42"/>
      <c r="L2" s="42"/>
      <c r="M2" s="42"/>
      <c r="N2" s="42"/>
    </row>
    <row r="3" spans="1:18" x14ac:dyDescent="0.25">
      <c r="B3" s="42"/>
      <c r="C3" s="42"/>
      <c r="D3" s="42"/>
      <c r="E3" s="42"/>
      <c r="F3" s="42"/>
      <c r="G3" s="42"/>
      <c r="H3" s="42"/>
      <c r="I3" s="42"/>
      <c r="J3" s="42"/>
      <c r="K3" s="42"/>
      <c r="L3" s="42"/>
      <c r="M3" s="42"/>
      <c r="N3" s="42"/>
    </row>
    <row r="4" spans="1:18" ht="18.75" x14ac:dyDescent="0.3">
      <c r="A4" s="88" t="s">
        <v>196</v>
      </c>
      <c r="C4" s="42"/>
      <c r="D4" s="42"/>
      <c r="E4" s="42"/>
      <c r="F4" s="42"/>
      <c r="G4" s="149" t="s">
        <v>433</v>
      </c>
      <c r="H4" s="87" t="str">
        <f>LOOKUP("zz",Notes_Versions!A:A)</f>
        <v>1.2</v>
      </c>
      <c r="I4" s="42"/>
      <c r="J4" s="42"/>
      <c r="K4" s="278"/>
      <c r="L4" s="278"/>
      <c r="M4" s="278"/>
      <c r="N4" s="278"/>
    </row>
    <row r="5" spans="1:18" ht="15.75" thickBot="1" x14ac:dyDescent="0.3">
      <c r="B5" s="42"/>
      <c r="C5" s="42"/>
      <c r="D5" s="42"/>
      <c r="E5" s="42"/>
      <c r="F5" s="42"/>
      <c r="G5" s="42"/>
      <c r="H5" s="42"/>
      <c r="I5" s="42"/>
      <c r="J5" s="42"/>
      <c r="K5" s="279"/>
      <c r="L5" s="278"/>
      <c r="M5" s="278"/>
      <c r="N5" s="278"/>
    </row>
    <row r="6" spans="1:18" ht="26.25" thickBot="1" x14ac:dyDescent="0.3">
      <c r="B6" s="42"/>
      <c r="C6" s="299" t="s">
        <v>473</v>
      </c>
      <c r="D6" s="300"/>
      <c r="E6" s="301"/>
      <c r="F6" s="299" t="s">
        <v>169</v>
      </c>
      <c r="G6" s="300"/>
      <c r="H6" s="282" t="s">
        <v>262</v>
      </c>
      <c r="I6" s="303" t="s">
        <v>363</v>
      </c>
      <c r="J6" s="304"/>
      <c r="K6" s="305"/>
      <c r="L6" s="306"/>
      <c r="M6" s="286"/>
      <c r="N6" s="248"/>
      <c r="O6" s="42"/>
      <c r="P6" s="42"/>
      <c r="Q6" s="42"/>
      <c r="R6" s="42"/>
    </row>
    <row r="7" spans="1:18" ht="15.75" thickBot="1" x14ac:dyDescent="0.3">
      <c r="B7" s="78" t="s">
        <v>41</v>
      </c>
      <c r="C7" s="77" t="s">
        <v>91</v>
      </c>
      <c r="D7" s="218" t="s">
        <v>93</v>
      </c>
      <c r="E7" s="219" t="s">
        <v>92</v>
      </c>
      <c r="F7" s="77" t="s">
        <v>167</v>
      </c>
      <c r="G7" s="84" t="s">
        <v>168</v>
      </c>
      <c r="H7" s="283" t="s">
        <v>242</v>
      </c>
      <c r="I7" s="307"/>
      <c r="J7" s="308"/>
      <c r="K7" s="309"/>
      <c r="L7" s="310"/>
      <c r="M7" s="286"/>
      <c r="N7" s="247"/>
      <c r="O7" s="43"/>
      <c r="P7" s="43"/>
      <c r="Q7" s="43"/>
      <c r="R7" s="43"/>
    </row>
    <row r="8" spans="1:18" x14ac:dyDescent="0.25">
      <c r="B8" s="81">
        <v>2010</v>
      </c>
      <c r="C8" s="236"/>
      <c r="D8" s="237"/>
      <c r="E8" s="238"/>
      <c r="F8" s="264"/>
      <c r="G8" s="238"/>
      <c r="H8" s="284">
        <f>G25</f>
        <v>106</v>
      </c>
      <c r="I8" s="311"/>
      <c r="J8" s="312"/>
      <c r="K8" s="309"/>
      <c r="L8" s="310"/>
      <c r="M8" s="287"/>
      <c r="N8" s="249"/>
      <c r="O8" s="44"/>
      <c r="P8" s="44"/>
      <c r="Q8" s="44"/>
      <c r="R8" s="44"/>
    </row>
    <row r="9" spans="1:18" x14ac:dyDescent="0.25">
      <c r="B9" s="82">
        <v>2011</v>
      </c>
      <c r="C9" s="161"/>
      <c r="D9" s="162"/>
      <c r="E9" s="239"/>
      <c r="F9" s="265"/>
      <c r="G9" s="239"/>
      <c r="H9" s="285">
        <f>H8</f>
        <v>106</v>
      </c>
      <c r="I9" s="311"/>
      <c r="J9" s="312"/>
      <c r="K9" s="309"/>
      <c r="L9" s="310"/>
      <c r="M9" s="287"/>
      <c r="N9" s="250"/>
      <c r="O9" s="44"/>
      <c r="P9" s="44"/>
      <c r="Q9" s="44"/>
      <c r="R9" s="44"/>
    </row>
    <row r="10" spans="1:18" x14ac:dyDescent="0.25">
      <c r="B10" s="82">
        <v>2012</v>
      </c>
      <c r="C10" s="161"/>
      <c r="D10" s="162"/>
      <c r="E10" s="239"/>
      <c r="F10" s="265"/>
      <c r="G10" s="239"/>
      <c r="H10" s="255">
        <f t="shared" ref="H10:H23" si="0">H9</f>
        <v>106</v>
      </c>
      <c r="I10" s="313"/>
      <c r="J10" s="312"/>
      <c r="K10" s="309"/>
      <c r="L10" s="314"/>
      <c r="M10" s="287"/>
      <c r="N10" s="250"/>
      <c r="O10" s="44"/>
      <c r="P10" s="44"/>
      <c r="Q10" s="44"/>
      <c r="R10" s="44"/>
    </row>
    <row r="11" spans="1:18" ht="15" customHeight="1" x14ac:dyDescent="0.25">
      <c r="B11" s="82">
        <v>2013</v>
      </c>
      <c r="C11" s="161"/>
      <c r="D11" s="162"/>
      <c r="E11" s="239"/>
      <c r="F11" s="265"/>
      <c r="G11" s="240"/>
      <c r="H11" s="285">
        <f t="shared" si="0"/>
        <v>106</v>
      </c>
      <c r="I11" s="311"/>
      <c r="J11" s="312"/>
      <c r="K11" s="309"/>
      <c r="L11" s="310"/>
      <c r="M11" s="287"/>
      <c r="N11" s="250"/>
      <c r="O11" s="42"/>
      <c r="P11" s="42"/>
      <c r="Q11" s="42"/>
      <c r="R11" s="42"/>
    </row>
    <row r="12" spans="1:18" x14ac:dyDescent="0.25">
      <c r="B12" s="82">
        <v>2014</v>
      </c>
      <c r="C12" s="161"/>
      <c r="D12" s="162"/>
      <c r="E12" s="239"/>
      <c r="F12" s="265"/>
      <c r="G12" s="240"/>
      <c r="H12" s="285">
        <f t="shared" si="0"/>
        <v>106</v>
      </c>
      <c r="I12" s="311"/>
      <c r="J12" s="312"/>
      <c r="K12" s="309"/>
      <c r="L12" s="310"/>
      <c r="M12" s="287"/>
      <c r="N12" s="250"/>
      <c r="O12" s="42"/>
      <c r="P12" s="42"/>
      <c r="Q12" s="42"/>
      <c r="R12" s="42"/>
    </row>
    <row r="13" spans="1:18" ht="15" customHeight="1" x14ac:dyDescent="0.25">
      <c r="B13" s="82">
        <v>2015</v>
      </c>
      <c r="C13" s="161"/>
      <c r="D13" s="162"/>
      <c r="E13" s="239"/>
      <c r="F13" s="265"/>
      <c r="G13" s="240"/>
      <c r="H13" s="285">
        <f t="shared" si="0"/>
        <v>106</v>
      </c>
      <c r="I13" s="311"/>
      <c r="J13" s="312"/>
      <c r="K13" s="309"/>
      <c r="L13" s="310"/>
      <c r="M13" s="287"/>
      <c r="N13" s="250"/>
      <c r="O13" s="42"/>
      <c r="P13" s="42"/>
      <c r="Q13" s="42"/>
      <c r="R13" s="42"/>
    </row>
    <row r="14" spans="1:18" x14ac:dyDescent="0.25">
      <c r="B14" s="82">
        <v>2016</v>
      </c>
      <c r="C14" s="161"/>
      <c r="D14" s="162"/>
      <c r="E14" s="239"/>
      <c r="F14" s="265"/>
      <c r="G14" s="240"/>
      <c r="H14" s="285">
        <f t="shared" si="0"/>
        <v>106</v>
      </c>
      <c r="I14" s="311"/>
      <c r="J14" s="312"/>
      <c r="K14" s="309"/>
      <c r="L14" s="310"/>
      <c r="M14" s="287"/>
      <c r="N14" s="250"/>
      <c r="O14" s="42"/>
      <c r="P14" s="42"/>
      <c r="Q14" s="42"/>
      <c r="R14" s="42"/>
    </row>
    <row r="15" spans="1:18" x14ac:dyDescent="0.25">
      <c r="B15" s="82">
        <v>2017</v>
      </c>
      <c r="C15" s="161"/>
      <c r="D15" s="162"/>
      <c r="E15" s="239"/>
      <c r="F15" s="265"/>
      <c r="G15" s="240"/>
      <c r="H15" s="285">
        <f t="shared" si="0"/>
        <v>106</v>
      </c>
      <c r="I15" s="311"/>
      <c r="J15" s="312"/>
      <c r="K15" s="309"/>
      <c r="L15" s="310"/>
      <c r="M15" s="246"/>
      <c r="N15" s="250"/>
      <c r="O15" s="42"/>
      <c r="P15" s="42"/>
      <c r="Q15" s="42"/>
      <c r="R15" s="42"/>
    </row>
    <row r="16" spans="1:18" ht="15" customHeight="1" x14ac:dyDescent="0.25">
      <c r="B16" s="82">
        <v>2018</v>
      </c>
      <c r="C16" s="161"/>
      <c r="D16" s="162"/>
      <c r="E16" s="239"/>
      <c r="F16" s="265"/>
      <c r="G16" s="240"/>
      <c r="H16" s="255">
        <f t="shared" si="0"/>
        <v>106</v>
      </c>
      <c r="I16" s="321"/>
      <c r="J16" s="320"/>
      <c r="K16" s="309"/>
      <c r="L16" s="310"/>
      <c r="M16" s="246"/>
      <c r="N16" s="250"/>
      <c r="O16" s="42"/>
      <c r="P16" s="42"/>
      <c r="Q16" s="42"/>
      <c r="R16" s="42"/>
    </row>
    <row r="17" spans="1:18" ht="15.75" customHeight="1" x14ac:dyDescent="0.25">
      <c r="B17" s="82">
        <v>2019</v>
      </c>
      <c r="C17" s="161"/>
      <c r="D17" s="162"/>
      <c r="E17" s="239"/>
      <c r="F17" s="265"/>
      <c r="G17" s="240"/>
      <c r="H17" s="285">
        <f t="shared" si="0"/>
        <v>106</v>
      </c>
      <c r="I17" s="319"/>
      <c r="J17" s="320"/>
      <c r="K17" s="309"/>
      <c r="L17" s="310"/>
      <c r="M17" s="287"/>
      <c r="N17" s="250"/>
      <c r="O17" s="42"/>
      <c r="P17" s="42"/>
      <c r="Q17" s="42"/>
      <c r="R17" s="42"/>
    </row>
    <row r="18" spans="1:18" ht="15" customHeight="1" x14ac:dyDescent="0.25">
      <c r="B18" s="82">
        <v>2020</v>
      </c>
      <c r="C18" s="161"/>
      <c r="D18" s="162"/>
      <c r="E18" s="239"/>
      <c r="F18" s="265"/>
      <c r="G18" s="240"/>
      <c r="H18" s="285">
        <f t="shared" si="0"/>
        <v>106</v>
      </c>
      <c r="I18" s="319"/>
      <c r="J18" s="320"/>
      <c r="K18" s="309"/>
      <c r="L18" s="310"/>
      <c r="M18" s="287"/>
      <c r="N18" s="250"/>
      <c r="O18" s="42"/>
      <c r="P18" s="42"/>
      <c r="Q18" s="42"/>
      <c r="R18" s="42"/>
    </row>
    <row r="19" spans="1:18" ht="15" customHeight="1" x14ac:dyDescent="0.25">
      <c r="B19" s="82">
        <v>2021</v>
      </c>
      <c r="C19" s="161"/>
      <c r="D19" s="162"/>
      <c r="E19" s="239"/>
      <c r="F19" s="265"/>
      <c r="G19" s="240"/>
      <c r="H19" s="285">
        <f t="shared" si="0"/>
        <v>106</v>
      </c>
      <c r="I19" s="319"/>
      <c r="J19" s="320"/>
      <c r="K19" s="309"/>
      <c r="L19" s="310"/>
      <c r="M19" s="287"/>
      <c r="N19" s="250"/>
      <c r="O19" s="42"/>
      <c r="P19" s="42"/>
      <c r="Q19" s="42"/>
      <c r="R19" s="42"/>
    </row>
    <row r="20" spans="1:18" ht="15.75" customHeight="1" x14ac:dyDescent="0.25">
      <c r="B20" s="82">
        <v>2022</v>
      </c>
      <c r="C20" s="161"/>
      <c r="D20" s="162"/>
      <c r="E20" s="239"/>
      <c r="F20" s="265"/>
      <c r="G20" s="240"/>
      <c r="H20" s="285">
        <f t="shared" si="0"/>
        <v>106</v>
      </c>
      <c r="I20" s="319"/>
      <c r="J20" s="320"/>
      <c r="K20" s="309"/>
      <c r="L20" s="310"/>
      <c r="M20" s="287"/>
      <c r="N20" s="250"/>
      <c r="O20" s="42"/>
      <c r="P20" s="42"/>
      <c r="Q20" s="42"/>
      <c r="R20" s="42"/>
    </row>
    <row r="21" spans="1:18" ht="15" customHeight="1" x14ac:dyDescent="0.25">
      <c r="B21" s="82">
        <v>2023</v>
      </c>
      <c r="C21" s="161"/>
      <c r="D21" s="162"/>
      <c r="E21" s="239"/>
      <c r="F21" s="265"/>
      <c r="G21" s="240"/>
      <c r="H21" s="285">
        <f t="shared" si="0"/>
        <v>106</v>
      </c>
      <c r="I21" s="311"/>
      <c r="J21" s="312"/>
      <c r="K21" s="309"/>
      <c r="L21" s="310"/>
      <c r="M21" s="287"/>
      <c r="N21" s="250"/>
      <c r="O21" s="42"/>
      <c r="P21" s="42"/>
      <c r="Q21" s="42"/>
      <c r="R21" s="42"/>
    </row>
    <row r="22" spans="1:18" ht="15.75" customHeight="1" x14ac:dyDescent="0.25">
      <c r="B22" s="82">
        <v>2024</v>
      </c>
      <c r="C22" s="161"/>
      <c r="D22" s="162"/>
      <c r="E22" s="223"/>
      <c r="F22" s="228"/>
      <c r="G22" s="244"/>
      <c r="H22" s="285">
        <f t="shared" si="0"/>
        <v>106</v>
      </c>
      <c r="I22" s="311"/>
      <c r="J22" s="312"/>
      <c r="K22" s="309"/>
      <c r="L22" s="310"/>
      <c r="M22" s="287"/>
      <c r="N22" s="250"/>
    </row>
    <row r="23" spans="1:18" ht="15.75" thickBot="1" x14ac:dyDescent="0.3">
      <c r="B23" s="83">
        <v>2025</v>
      </c>
      <c r="C23" s="251"/>
      <c r="D23" s="252"/>
      <c r="E23" s="85"/>
      <c r="F23" s="254"/>
      <c r="G23" s="245"/>
      <c r="H23" s="288">
        <f t="shared" si="0"/>
        <v>106</v>
      </c>
      <c r="I23" s="315"/>
      <c r="J23" s="316"/>
      <c r="K23" s="317"/>
      <c r="L23" s="318"/>
      <c r="M23" s="246"/>
      <c r="N23" s="250"/>
    </row>
    <row r="24" spans="1:18" x14ac:dyDescent="0.25">
      <c r="B24" s="41"/>
      <c r="C24" s="41"/>
      <c r="D24" s="42"/>
      <c r="E24" s="42"/>
      <c r="F24" s="42"/>
      <c r="G24" s="42"/>
      <c r="H24" s="289"/>
      <c r="J24" s="42"/>
      <c r="K24" s="248"/>
      <c r="L24" s="248"/>
      <c r="M24" s="248"/>
      <c r="N24" s="248"/>
    </row>
    <row r="25" spans="1:18" x14ac:dyDescent="0.25">
      <c r="B25" s="42"/>
      <c r="C25" s="149" t="s">
        <v>208</v>
      </c>
      <c r="D25" s="42"/>
      <c r="E25" s="42"/>
      <c r="F25" s="149" t="s">
        <v>239</v>
      </c>
      <c r="G25" s="297">
        <f>IFERROR(Controle_des_données!B24,"Indiquez l'activité principale")</f>
        <v>106</v>
      </c>
      <c r="H25" s="297"/>
      <c r="I25" s="42"/>
      <c r="J25" s="176"/>
      <c r="K25" s="280"/>
      <c r="L25" s="281"/>
      <c r="M25" s="281"/>
      <c r="N25" s="281"/>
    </row>
    <row r="26" spans="1:18" ht="13.5" customHeight="1" x14ac:dyDescent="0.25">
      <c r="B26" s="42"/>
      <c r="C26" s="42"/>
      <c r="D26" s="42"/>
      <c r="E26" s="42"/>
      <c r="F26" s="87" t="s">
        <v>240</v>
      </c>
      <c r="G26" s="42"/>
      <c r="H26" s="42"/>
      <c r="I26" s="42"/>
      <c r="J26" s="176"/>
      <c r="K26" s="280"/>
      <c r="L26" s="281"/>
      <c r="M26" s="281"/>
      <c r="N26" s="281"/>
    </row>
    <row r="27" spans="1:18" ht="13.5" customHeight="1" x14ac:dyDescent="0.25">
      <c r="B27" s="42"/>
      <c r="C27" s="42"/>
      <c r="D27" s="42"/>
      <c r="E27" s="42"/>
      <c r="F27" s="42"/>
      <c r="G27" s="42"/>
      <c r="H27" s="42"/>
      <c r="I27" s="42"/>
      <c r="J27" s="176"/>
      <c r="K27" s="280"/>
      <c r="L27" s="281"/>
      <c r="M27" s="281"/>
      <c r="N27" s="281"/>
    </row>
    <row r="28" spans="1:18" ht="13.5" customHeight="1" x14ac:dyDescent="0.25">
      <c r="C28" s="90" t="s">
        <v>432</v>
      </c>
      <c r="D28" s="163"/>
      <c r="E28" s="42"/>
      <c r="F28" s="42"/>
      <c r="G28" s="42"/>
      <c r="H28" s="149" t="s">
        <v>400</v>
      </c>
      <c r="I28" s="207"/>
      <c r="J28" s="176"/>
      <c r="K28" s="280"/>
      <c r="L28" s="281"/>
      <c r="M28" s="281"/>
      <c r="N28" s="281"/>
    </row>
    <row r="29" spans="1:18" ht="13.5" customHeight="1" x14ac:dyDescent="0.25">
      <c r="B29" s="42"/>
      <c r="C29" s="42"/>
      <c r="D29" s="42"/>
      <c r="E29" s="42"/>
      <c r="F29" s="42"/>
      <c r="G29" s="42"/>
      <c r="H29" s="42"/>
      <c r="I29" s="42"/>
      <c r="J29" s="176"/>
      <c r="K29" s="280"/>
      <c r="L29" s="281"/>
      <c r="M29" s="281"/>
      <c r="N29" s="281"/>
    </row>
    <row r="30" spans="1:18" ht="35.25" customHeight="1" x14ac:dyDescent="0.3">
      <c r="A30" s="88"/>
      <c r="C30" s="42"/>
      <c r="D30" s="42"/>
      <c r="E30" s="42"/>
      <c r="F30" s="42"/>
      <c r="G30" s="42"/>
      <c r="H30" s="42"/>
      <c r="I30" s="42"/>
      <c r="J30" s="42"/>
      <c r="K30" s="278"/>
      <c r="L30" s="278"/>
      <c r="M30" s="278"/>
      <c r="N30" s="278"/>
    </row>
    <row r="31" spans="1:18" ht="29.25" customHeight="1" thickBot="1" x14ac:dyDescent="0.35">
      <c r="A31" s="88" t="s">
        <v>89</v>
      </c>
      <c r="B31" s="42"/>
      <c r="C31" s="42"/>
      <c r="D31" s="42"/>
      <c r="E31" s="42"/>
      <c r="F31" s="42"/>
      <c r="G31" s="42"/>
      <c r="H31" s="42"/>
      <c r="I31" s="42"/>
      <c r="J31" s="76"/>
      <c r="K31" s="76"/>
      <c r="L31" s="76"/>
      <c r="M31" s="76"/>
      <c r="N31" s="42"/>
    </row>
    <row r="32" spans="1:18" ht="76.5" customHeight="1" thickBot="1" x14ac:dyDescent="0.3">
      <c r="B32" s="135" t="s">
        <v>197</v>
      </c>
      <c r="C32" s="89" t="s">
        <v>163</v>
      </c>
      <c r="D32" s="133" t="s">
        <v>65</v>
      </c>
      <c r="E32" s="134" t="s">
        <v>72</v>
      </c>
      <c r="F32" s="134" t="s">
        <v>66</v>
      </c>
      <c r="G32" s="256" t="s">
        <v>193</v>
      </c>
      <c r="H32" s="257" t="s">
        <v>435</v>
      </c>
      <c r="I32" s="258" t="s">
        <v>497</v>
      </c>
      <c r="J32" s="148"/>
      <c r="K32" s="295" t="s">
        <v>381</v>
      </c>
      <c r="L32" s="295"/>
      <c r="M32" s="295"/>
      <c r="N32" s="295"/>
    </row>
    <row r="33" spans="1:14" ht="27" customHeight="1" x14ac:dyDescent="0.25">
      <c r="B33" s="171" t="s">
        <v>80</v>
      </c>
      <c r="C33" s="241"/>
      <c r="D33" s="236"/>
      <c r="E33" s="237"/>
      <c r="F33" s="237"/>
      <c r="G33" s="259"/>
      <c r="H33" s="266"/>
      <c r="I33" s="238"/>
      <c r="J33" s="148"/>
      <c r="K33" s="148"/>
      <c r="L33" s="148"/>
      <c r="M33" s="148"/>
      <c r="N33" s="148"/>
    </row>
    <row r="34" spans="1:14" ht="27" customHeight="1" x14ac:dyDescent="0.25">
      <c r="B34" s="172" t="s">
        <v>81</v>
      </c>
      <c r="C34" s="242"/>
      <c r="D34" s="253"/>
      <c r="E34" s="260"/>
      <c r="F34" s="260"/>
      <c r="G34" s="261"/>
      <c r="H34" s="262"/>
      <c r="I34" s="239"/>
      <c r="J34" s="148"/>
      <c r="K34" s="148"/>
      <c r="L34" s="148"/>
      <c r="M34" s="148"/>
      <c r="N34" s="148"/>
    </row>
    <row r="35" spans="1:14" ht="27" customHeight="1" x14ac:dyDescent="0.25">
      <c r="B35" s="172" t="s">
        <v>82</v>
      </c>
      <c r="C35" s="242"/>
      <c r="D35" s="228"/>
      <c r="E35" s="229"/>
      <c r="F35" s="229"/>
      <c r="G35" s="230"/>
      <c r="H35" s="226"/>
      <c r="I35" s="223"/>
      <c r="J35" s="148"/>
      <c r="K35" s="148"/>
      <c r="L35" s="148"/>
      <c r="M35" s="148"/>
      <c r="N35" s="148"/>
    </row>
    <row r="36" spans="1:14" ht="27" customHeight="1" x14ac:dyDescent="0.25">
      <c r="B36" s="172" t="s">
        <v>83</v>
      </c>
      <c r="C36" s="227"/>
      <c r="D36" s="222"/>
      <c r="E36" s="224"/>
      <c r="F36" s="224"/>
      <c r="G36" s="225"/>
      <c r="H36" s="226"/>
      <c r="I36" s="223"/>
      <c r="J36" s="148"/>
      <c r="K36" s="148"/>
      <c r="L36" s="148"/>
      <c r="M36" s="148"/>
      <c r="N36" s="148"/>
    </row>
    <row r="37" spans="1:14" ht="27" customHeight="1" x14ac:dyDescent="0.25">
      <c r="B37" s="172" t="s">
        <v>84</v>
      </c>
      <c r="C37" s="174"/>
      <c r="D37" s="79"/>
      <c r="E37" s="80"/>
      <c r="F37" s="80"/>
      <c r="G37" s="150"/>
      <c r="H37" s="226"/>
      <c r="I37" s="223"/>
      <c r="J37" s="148"/>
      <c r="K37" s="148"/>
      <c r="L37" s="148"/>
      <c r="M37" s="148"/>
      <c r="N37" s="148"/>
    </row>
    <row r="38" spans="1:14" ht="27" customHeight="1" x14ac:dyDescent="0.25">
      <c r="B38" s="172" t="s">
        <v>85</v>
      </c>
      <c r="C38" s="174"/>
      <c r="D38" s="79"/>
      <c r="E38" s="80"/>
      <c r="F38" s="80"/>
      <c r="G38" s="150"/>
      <c r="H38" s="226"/>
      <c r="I38" s="223"/>
      <c r="J38" s="148"/>
      <c r="K38" s="148"/>
      <c r="L38" s="148"/>
      <c r="M38" s="148"/>
      <c r="N38" s="148"/>
    </row>
    <row r="39" spans="1:14" ht="27" customHeight="1" x14ac:dyDescent="0.25">
      <c r="B39" s="172" t="s">
        <v>86</v>
      </c>
      <c r="C39" s="174"/>
      <c r="D39" s="79"/>
      <c r="E39" s="80"/>
      <c r="F39" s="80"/>
      <c r="G39" s="150"/>
      <c r="H39" s="226"/>
      <c r="I39" s="223"/>
      <c r="J39" s="148"/>
      <c r="K39" s="148"/>
      <c r="L39" s="148"/>
      <c r="M39" s="148"/>
      <c r="N39" s="148"/>
    </row>
    <row r="40" spans="1:14" ht="27" customHeight="1" thickBot="1" x14ac:dyDescent="0.3">
      <c r="B40" s="173" t="s">
        <v>87</v>
      </c>
      <c r="C40" s="175"/>
      <c r="D40" s="167"/>
      <c r="E40" s="168"/>
      <c r="F40" s="168"/>
      <c r="G40" s="169"/>
      <c r="H40" s="170"/>
      <c r="I40" s="85"/>
      <c r="J40" s="148"/>
      <c r="K40" s="148"/>
      <c r="L40" s="148"/>
      <c r="M40" s="148"/>
      <c r="N40" s="148"/>
    </row>
    <row r="41" spans="1:14" x14ac:dyDescent="0.25">
      <c r="B41" s="42"/>
      <c r="C41" s="42"/>
      <c r="D41" s="42"/>
      <c r="E41" s="42"/>
      <c r="F41" s="42"/>
      <c r="G41" s="42"/>
      <c r="H41" s="42"/>
      <c r="I41" s="42"/>
      <c r="J41" s="76"/>
      <c r="K41" s="148"/>
      <c r="L41" s="148"/>
      <c r="M41" s="148"/>
      <c r="N41" s="148"/>
    </row>
    <row r="42" spans="1:14" ht="18.75" x14ac:dyDescent="0.3">
      <c r="A42" s="88" t="s">
        <v>90</v>
      </c>
      <c r="B42" s="42"/>
      <c r="C42" s="149"/>
      <c r="D42" s="42"/>
      <c r="E42" s="60" t="s">
        <v>270</v>
      </c>
      <c r="F42" s="42"/>
      <c r="G42" s="42"/>
      <c r="H42" s="42"/>
      <c r="I42" s="42"/>
      <c r="J42" s="42"/>
      <c r="K42" s="42"/>
      <c r="L42" s="42"/>
      <c r="M42" s="42"/>
      <c r="N42" s="42"/>
    </row>
    <row r="43" spans="1:14" x14ac:dyDescent="0.25">
      <c r="C43" s="42"/>
      <c r="D43" s="42"/>
      <c r="E43" s="42"/>
      <c r="F43" s="42"/>
      <c r="G43" s="42"/>
      <c r="H43" s="42"/>
      <c r="I43" s="42"/>
      <c r="J43" s="42"/>
      <c r="K43" s="42"/>
      <c r="L43" s="42"/>
      <c r="M43" s="42"/>
      <c r="N43" s="42"/>
    </row>
    <row r="44" spans="1:14" x14ac:dyDescent="0.25">
      <c r="B44" s="42"/>
      <c r="C44" s="42"/>
      <c r="D44" s="42"/>
      <c r="E44" s="42"/>
      <c r="F44" s="42"/>
      <c r="G44" s="42"/>
      <c r="H44" s="42"/>
      <c r="I44" s="42"/>
      <c r="J44" s="148"/>
      <c r="K44" s="148"/>
      <c r="L44" s="148"/>
      <c r="M44" s="148"/>
      <c r="N44" s="148"/>
    </row>
    <row r="45" spans="1:14" x14ac:dyDescent="0.25">
      <c r="B45" s="42"/>
      <c r="C45" s="42"/>
      <c r="D45" s="42"/>
      <c r="E45" s="42"/>
      <c r="F45" s="42"/>
      <c r="G45" s="42"/>
      <c r="H45" s="42"/>
      <c r="I45" s="42"/>
      <c r="J45" s="148"/>
      <c r="K45" s="148"/>
      <c r="L45" s="148"/>
      <c r="M45" s="148"/>
      <c r="N45" s="148"/>
    </row>
    <row r="46" spans="1:14" x14ac:dyDescent="0.25">
      <c r="B46" s="42"/>
      <c r="C46" s="42"/>
      <c r="D46" s="42"/>
      <c r="E46" s="42"/>
      <c r="F46" s="42"/>
      <c r="G46" s="42"/>
      <c r="H46" s="42"/>
      <c r="I46" s="42"/>
      <c r="J46" s="148"/>
      <c r="K46" s="148"/>
      <c r="L46" s="148"/>
      <c r="M46" s="148"/>
      <c r="N46" s="148"/>
    </row>
    <row r="47" spans="1:14" x14ac:dyDescent="0.25">
      <c r="B47" s="42"/>
      <c r="C47" s="42"/>
      <c r="D47" s="42"/>
      <c r="E47" s="42"/>
      <c r="F47" s="42"/>
      <c r="G47" s="42"/>
      <c r="H47" s="42"/>
      <c r="I47" s="42"/>
      <c r="J47" s="148"/>
      <c r="K47" s="148"/>
      <c r="L47" s="148"/>
      <c r="M47" s="148"/>
      <c r="N47" s="148"/>
    </row>
    <row r="48" spans="1:14" x14ac:dyDescent="0.25">
      <c r="B48" s="42"/>
      <c r="C48" s="42"/>
      <c r="D48" s="42"/>
      <c r="E48" s="42"/>
      <c r="F48" s="42"/>
      <c r="G48" s="42"/>
      <c r="H48" s="42"/>
      <c r="I48" s="42"/>
      <c r="J48" s="148"/>
      <c r="K48" s="148"/>
      <c r="L48" s="148"/>
      <c r="M48" s="148"/>
      <c r="N48" s="148"/>
    </row>
    <row r="49" spans="1:14" x14ac:dyDescent="0.25">
      <c r="B49" s="42"/>
      <c r="C49" s="42"/>
      <c r="D49" s="42"/>
      <c r="E49" s="42"/>
      <c r="F49" s="42"/>
      <c r="G49" s="42"/>
      <c r="H49" s="42"/>
      <c r="I49" s="42"/>
      <c r="J49" s="148"/>
      <c r="K49" s="148"/>
      <c r="L49" s="148"/>
      <c r="M49" s="148"/>
      <c r="N49" s="148"/>
    </row>
    <row r="50" spans="1:14" x14ac:dyDescent="0.25">
      <c r="B50" s="42"/>
      <c r="C50" s="42"/>
      <c r="D50" s="42"/>
      <c r="E50" s="42"/>
      <c r="F50" s="42"/>
      <c r="G50" s="42"/>
      <c r="H50" s="42"/>
      <c r="I50" s="42"/>
      <c r="J50" s="148"/>
      <c r="K50" s="148"/>
      <c r="L50" s="148"/>
      <c r="M50" s="148"/>
      <c r="N50" s="148"/>
    </row>
    <row r="51" spans="1:14" x14ac:dyDescent="0.25">
      <c r="B51" s="42"/>
      <c r="D51" s="42"/>
      <c r="E51" s="42"/>
      <c r="F51" s="42"/>
      <c r="G51" s="42"/>
      <c r="H51" s="42"/>
      <c r="I51" s="42"/>
      <c r="J51" s="76"/>
      <c r="K51" s="76"/>
      <c r="L51" s="76"/>
      <c r="M51" s="76"/>
      <c r="N51" s="76"/>
    </row>
    <row r="52" spans="1:14" x14ac:dyDescent="0.25">
      <c r="B52" s="42"/>
      <c r="C52" s="60"/>
      <c r="D52" s="42"/>
      <c r="E52" s="42"/>
      <c r="F52" s="42"/>
      <c r="G52" s="42"/>
      <c r="H52" s="42"/>
      <c r="I52" s="42"/>
      <c r="J52" s="76"/>
      <c r="K52" s="76"/>
      <c r="L52" s="76"/>
      <c r="M52" s="76"/>
      <c r="N52" s="76"/>
    </row>
    <row r="53" spans="1:14" ht="14.25" customHeight="1" x14ac:dyDescent="0.25">
      <c r="B53" s="42"/>
      <c r="C53" s="42"/>
      <c r="D53" s="42"/>
      <c r="E53" s="42"/>
      <c r="F53" s="42"/>
      <c r="G53" s="42"/>
      <c r="H53" s="42"/>
      <c r="I53" s="42"/>
      <c r="J53" s="76"/>
      <c r="K53" s="76"/>
      <c r="L53" s="76"/>
      <c r="M53" s="76"/>
      <c r="N53" s="76"/>
    </row>
    <row r="54" spans="1:14" ht="18.75" x14ac:dyDescent="0.3">
      <c r="A54" s="88" t="s">
        <v>232</v>
      </c>
      <c r="B54" s="42"/>
      <c r="C54" s="42"/>
      <c r="D54" s="42"/>
      <c r="E54" s="42"/>
      <c r="F54" s="88" t="s">
        <v>474</v>
      </c>
      <c r="G54" s="87"/>
      <c r="H54" s="42"/>
      <c r="I54" s="42"/>
      <c r="J54" s="42"/>
      <c r="K54" s="42"/>
      <c r="L54" s="42"/>
      <c r="M54" s="42"/>
      <c r="N54" s="42"/>
    </row>
    <row r="55" spans="1:14" x14ac:dyDescent="0.25">
      <c r="B55" s="42"/>
      <c r="C55" s="42"/>
      <c r="D55" s="42"/>
      <c r="E55" s="42"/>
      <c r="F55" s="213" t="s">
        <v>501</v>
      </c>
      <c r="H55" s="148"/>
      <c r="I55" s="148"/>
      <c r="J55" s="148"/>
      <c r="K55" s="42"/>
      <c r="L55" s="42"/>
      <c r="M55" s="42"/>
      <c r="N55" s="42"/>
    </row>
    <row r="56" spans="1:14" x14ac:dyDescent="0.25">
      <c r="C56" s="60" t="s">
        <v>190</v>
      </c>
      <c r="D56" s="42"/>
      <c r="E56" s="42"/>
      <c r="F56" s="217" t="s">
        <v>465</v>
      </c>
      <c r="G56" s="212"/>
      <c r="H56" s="148"/>
      <c r="I56" s="148"/>
      <c r="J56" s="148"/>
      <c r="K56" s="42"/>
      <c r="L56" s="42"/>
      <c r="M56" s="42"/>
      <c r="N56" s="42"/>
    </row>
    <row r="57" spans="1:14" x14ac:dyDescent="0.25">
      <c r="B57" s="42"/>
      <c r="C57" s="42"/>
      <c r="D57" s="42"/>
      <c r="E57" s="42"/>
      <c r="F57" t="s">
        <v>462</v>
      </c>
      <c r="G57" s="148"/>
      <c r="H57" s="148"/>
      <c r="I57" s="148"/>
      <c r="J57" s="148"/>
      <c r="K57" s="42"/>
      <c r="L57" s="42"/>
      <c r="M57" s="42"/>
      <c r="N57" s="42"/>
    </row>
    <row r="58" spans="1:14" x14ac:dyDescent="0.25">
      <c r="B58" s="42"/>
      <c r="C58" s="60" t="s">
        <v>498</v>
      </c>
      <c r="D58" s="42"/>
      <c r="E58" s="42"/>
      <c r="F58" s="42"/>
      <c r="G58" s="148"/>
      <c r="H58" s="148"/>
      <c r="I58" s="148"/>
      <c r="J58" s="148"/>
      <c r="K58" s="42"/>
      <c r="L58" s="42"/>
      <c r="M58" s="42"/>
      <c r="N58" s="42"/>
    </row>
    <row r="59" spans="1:14" ht="20.25" customHeight="1" x14ac:dyDescent="0.25">
      <c r="B59" s="42"/>
      <c r="D59" s="42"/>
      <c r="E59" s="42"/>
      <c r="F59" s="42" t="s">
        <v>461</v>
      </c>
      <c r="G59" s="148"/>
      <c r="H59" s="148"/>
      <c r="I59" s="215">
        <v>70</v>
      </c>
      <c r="J59" s="216" t="s">
        <v>468</v>
      </c>
      <c r="K59" s="42"/>
      <c r="L59" s="42"/>
      <c r="M59" s="42"/>
      <c r="N59" s="42"/>
    </row>
    <row r="60" spans="1:14" x14ac:dyDescent="0.25">
      <c r="B60" s="42"/>
      <c r="C60" s="42"/>
      <c r="D60" s="42"/>
      <c r="E60" s="42"/>
      <c r="F60" s="302" t="s">
        <v>471</v>
      </c>
      <c r="G60" s="302"/>
      <c r="H60" s="302"/>
      <c r="I60" s="148"/>
      <c r="J60" s="148"/>
      <c r="K60" s="42"/>
      <c r="L60" s="42"/>
      <c r="M60" s="42"/>
      <c r="N60" s="42"/>
    </row>
    <row r="61" spans="1:14" ht="18.75" x14ac:dyDescent="0.3">
      <c r="A61" s="88" t="s">
        <v>328</v>
      </c>
      <c r="B61" s="42"/>
      <c r="C61" s="42"/>
      <c r="D61" s="42"/>
      <c r="E61" s="42"/>
      <c r="F61" s="302"/>
      <c r="G61" s="302"/>
      <c r="H61" s="302"/>
      <c r="I61" s="148"/>
      <c r="J61" s="148"/>
      <c r="K61" s="42"/>
      <c r="L61" s="42"/>
      <c r="M61" s="42"/>
      <c r="N61" s="42"/>
    </row>
    <row r="62" spans="1:14" x14ac:dyDescent="0.25">
      <c r="B62" s="42"/>
      <c r="C62" s="42"/>
      <c r="D62" s="42"/>
      <c r="E62" s="42"/>
      <c r="F62" s="42"/>
      <c r="G62" s="148"/>
      <c r="H62" s="148"/>
      <c r="I62" s="148"/>
      <c r="J62" s="148"/>
      <c r="K62" s="42"/>
      <c r="L62" s="42"/>
      <c r="M62" s="42"/>
      <c r="N62" s="42"/>
    </row>
    <row r="63" spans="1:14" x14ac:dyDescent="0.25">
      <c r="B63" s="42"/>
      <c r="C63" s="60" t="s">
        <v>470</v>
      </c>
      <c r="D63" s="42"/>
      <c r="E63" s="42"/>
      <c r="F63" s="42"/>
      <c r="G63" s="148"/>
      <c r="H63" s="148"/>
      <c r="I63" s="148"/>
      <c r="J63" s="148"/>
      <c r="K63" s="42"/>
      <c r="L63" s="42"/>
      <c r="M63" s="42"/>
      <c r="N63" s="42"/>
    </row>
    <row r="64" spans="1:14" x14ac:dyDescent="0.25">
      <c r="B64" s="42"/>
      <c r="C64" s="42"/>
      <c r="D64" s="42"/>
      <c r="E64" s="42"/>
      <c r="F64" s="42"/>
      <c r="G64" s="42"/>
      <c r="H64" s="42"/>
      <c r="I64" s="42"/>
      <c r="J64" s="42"/>
      <c r="K64" s="42"/>
      <c r="L64" s="42"/>
      <c r="M64" s="42"/>
      <c r="N64" s="42"/>
    </row>
    <row r="65" spans="2:14" x14ac:dyDescent="0.25">
      <c r="B65" s="296" t="s">
        <v>472</v>
      </c>
      <c r="C65" s="296"/>
      <c r="D65" s="296"/>
      <c r="E65" s="296"/>
      <c r="F65" s="296"/>
      <c r="G65" s="296"/>
      <c r="H65" s="296"/>
      <c r="I65" s="296"/>
      <c r="J65" s="296"/>
      <c r="K65" s="42"/>
      <c r="L65" s="42"/>
      <c r="M65" s="42"/>
      <c r="N65" s="42"/>
    </row>
    <row r="66" spans="2:14" x14ac:dyDescent="0.25">
      <c r="B66" s="296"/>
      <c r="C66" s="296"/>
      <c r="D66" s="296"/>
      <c r="E66" s="296"/>
      <c r="F66" s="296"/>
      <c r="G66" s="296"/>
      <c r="H66" s="296"/>
      <c r="I66" s="296"/>
      <c r="J66" s="296"/>
      <c r="K66" s="42"/>
      <c r="L66" s="42"/>
      <c r="M66" s="42"/>
      <c r="N66" s="42"/>
    </row>
  </sheetData>
  <sheetProtection sheet="1" objects="1" scenarios="1"/>
  <protectedRanges>
    <protectedRange sqref="K6:K23" name="Site"/>
    <protectedRange sqref="I16:J20" name="Batiment_Activités_2"/>
    <protectedRange sqref="I28" name="Places_Parking"/>
    <protectedRange sqref="C36:I40 D33:G35" name="Compteurs"/>
    <protectedRange sqref="C2:E2" name="Nom_etablissement_1"/>
    <protectedRange sqref="I59" name="Forçage chauffage"/>
    <protectedRange sqref="C33:C35" name="Compteurs_1"/>
    <protectedRange sqref="C8:J15 C21:J23 C16:H20" name="Batiment_Activités_1"/>
    <protectedRange sqref="I8:I15 I21:I22" name="Plage2_5"/>
    <protectedRange sqref="C21:D23" name="Plage2_1"/>
    <protectedRange sqref="C9:D20" name="Plage2_1_2"/>
    <protectedRange sqref="F16:F21" name="Plage2_1_1"/>
    <protectedRange sqref="H35:I35" name="Plage3_2_2"/>
    <protectedRange sqref="H33:I34" name="Plage3_1_2"/>
  </protectedRanges>
  <mergeCells count="24">
    <mergeCell ref="I20:L20"/>
    <mergeCell ref="I21:L21"/>
    <mergeCell ref="I22:L22"/>
    <mergeCell ref="I15:L15"/>
    <mergeCell ref="I16:L16"/>
    <mergeCell ref="I17:L17"/>
    <mergeCell ref="I18:L18"/>
    <mergeCell ref="I19:L19"/>
    <mergeCell ref="K32:N32"/>
    <mergeCell ref="B65:J66"/>
    <mergeCell ref="G25:H25"/>
    <mergeCell ref="C2:E2"/>
    <mergeCell ref="C6:E6"/>
    <mergeCell ref="F6:G6"/>
    <mergeCell ref="F60:H61"/>
    <mergeCell ref="I6:L7"/>
    <mergeCell ref="I8:L8"/>
    <mergeCell ref="I9:L9"/>
    <mergeCell ref="I10:L10"/>
    <mergeCell ref="I11:L11"/>
    <mergeCell ref="I23:L23"/>
    <mergeCell ref="I12:L12"/>
    <mergeCell ref="I13:L13"/>
    <mergeCell ref="I14:L14"/>
  </mergeCells>
  <conditionalFormatting sqref="D35:G35">
    <cfRule type="notContainsBlanks" dxfId="142" priority="149">
      <formula>LEN(TRIM(D35))&gt;0</formula>
    </cfRule>
  </conditionalFormatting>
  <conditionalFormatting sqref="C36:I40 D35:G35">
    <cfRule type="containsBlanks" dxfId="141" priority="138">
      <formula>LEN(TRIM(C35))=0</formula>
    </cfRule>
  </conditionalFormatting>
  <conditionalFormatting sqref="C36:I40">
    <cfRule type="cellIs" dxfId="140" priority="137" operator="greaterThan">
      <formula>0</formula>
    </cfRule>
    <cfRule type="notContainsBlanks" dxfId="139" priority="139">
      <formula>LEN(TRIM(C36))&gt;0</formula>
    </cfRule>
  </conditionalFormatting>
  <conditionalFormatting sqref="C35">
    <cfRule type="notContainsBlanks" dxfId="138" priority="100">
      <formula>LEN(TRIM(C35))&gt;0</formula>
    </cfRule>
  </conditionalFormatting>
  <conditionalFormatting sqref="C35">
    <cfRule type="containsBlanks" dxfId="137" priority="98">
      <formula>LEN(TRIM(C35))=0</formula>
    </cfRule>
  </conditionalFormatting>
  <conditionalFormatting sqref="E22:G23">
    <cfRule type="containsBlanks" dxfId="136" priority="91">
      <formula>LEN(TRIM(E22))=0</formula>
    </cfRule>
    <cfRule type="cellIs" dxfId="135" priority="92" operator="greaterThan">
      <formula>0</formula>
    </cfRule>
  </conditionalFormatting>
  <conditionalFormatting sqref="H8:H23">
    <cfRule type="containsBlanks" dxfId="134" priority="87">
      <formula>LEN(TRIM(H8))=0</formula>
    </cfRule>
    <cfRule type="cellIs" dxfId="133" priority="88" operator="greaterThan">
      <formula>0</formula>
    </cfRule>
  </conditionalFormatting>
  <conditionalFormatting sqref="G8:G21">
    <cfRule type="containsBlanks" dxfId="132" priority="85">
      <formula>LEN(TRIM(G8))=0</formula>
    </cfRule>
    <cfRule type="cellIs" dxfId="131" priority="86" operator="greaterThan">
      <formula>0</formula>
    </cfRule>
  </conditionalFormatting>
  <conditionalFormatting sqref="C9:D23">
    <cfRule type="containsBlanks" dxfId="130" priority="53">
      <formula>LEN(TRIM(C9))=0</formula>
    </cfRule>
    <cfRule type="cellIs" dxfId="129" priority="54" operator="greaterThan">
      <formula>0</formula>
    </cfRule>
  </conditionalFormatting>
  <conditionalFormatting sqref="I9 I13">
    <cfRule type="containsBlanks" dxfId="128" priority="44">
      <formula>LEN(TRIM(I9))=0</formula>
    </cfRule>
    <cfRule type="cellIs" dxfId="127" priority="45" operator="greaterThan">
      <formula>0</formula>
    </cfRule>
  </conditionalFormatting>
  <conditionalFormatting sqref="H35:I35">
    <cfRule type="containsBlanks" dxfId="126" priority="48">
      <formula>LEN(TRIM(H35))=0</formula>
    </cfRule>
  </conditionalFormatting>
  <conditionalFormatting sqref="H35:I35">
    <cfRule type="cellIs" dxfId="125" priority="49" operator="greaterThan">
      <formula>0</formula>
    </cfRule>
  </conditionalFormatting>
  <conditionalFormatting sqref="I23">
    <cfRule type="containsBlanks" dxfId="124" priority="46">
      <formula>LEN(TRIM(I23))=0</formula>
    </cfRule>
    <cfRule type="cellIs" dxfId="123" priority="47" operator="greaterThan">
      <formula>0</formula>
    </cfRule>
  </conditionalFormatting>
  <conditionalFormatting sqref="I21">
    <cfRule type="containsBlanks" dxfId="122" priority="42">
      <formula>LEN(TRIM(I21))=0</formula>
    </cfRule>
    <cfRule type="cellIs" dxfId="121" priority="43" operator="greaterThan">
      <formula>0</formula>
    </cfRule>
  </conditionalFormatting>
  <conditionalFormatting sqref="I22">
    <cfRule type="containsBlanks" dxfId="120" priority="40">
      <formula>LEN(TRIM(I22))=0</formula>
    </cfRule>
    <cfRule type="cellIs" dxfId="119" priority="41" operator="greaterThan">
      <formula>0</formula>
    </cfRule>
  </conditionalFormatting>
  <conditionalFormatting sqref="I15">
    <cfRule type="containsBlanks" dxfId="118" priority="32">
      <formula>LEN(TRIM(I15))=0</formula>
    </cfRule>
    <cfRule type="cellIs" dxfId="117" priority="33" operator="greaterThan">
      <formula>0</formula>
    </cfRule>
  </conditionalFormatting>
  <conditionalFormatting sqref="I14">
    <cfRule type="containsBlanks" dxfId="116" priority="30">
      <formula>LEN(TRIM(I14))=0</formula>
    </cfRule>
    <cfRule type="cellIs" dxfId="115" priority="31" operator="greaterThan">
      <formula>0</formula>
    </cfRule>
  </conditionalFormatting>
  <conditionalFormatting sqref="I12">
    <cfRule type="containsBlanks" dxfId="114" priority="28">
      <formula>LEN(TRIM(I12))=0</formula>
    </cfRule>
    <cfRule type="cellIs" dxfId="113" priority="29" operator="greaterThan">
      <formula>0</formula>
    </cfRule>
  </conditionalFormatting>
  <conditionalFormatting sqref="I11">
    <cfRule type="containsBlanks" dxfId="112" priority="26">
      <formula>LEN(TRIM(I11))=0</formula>
    </cfRule>
    <cfRule type="cellIs" dxfId="111" priority="27" operator="greaterThan">
      <formula>0</formula>
    </cfRule>
  </conditionalFormatting>
  <conditionalFormatting sqref="I10">
    <cfRule type="containsBlanks" dxfId="110" priority="24">
      <formula>LEN(TRIM(I10))=0</formula>
    </cfRule>
    <cfRule type="cellIs" dxfId="109" priority="25" operator="greaterThan">
      <formula>0</formula>
    </cfRule>
  </conditionalFormatting>
  <conditionalFormatting sqref="I8">
    <cfRule type="containsBlanks" dxfId="108" priority="22">
      <formula>LEN(TRIM(I8))=0</formula>
    </cfRule>
    <cfRule type="cellIs" dxfId="107" priority="23" operator="greaterThan">
      <formula>0</formula>
    </cfRule>
  </conditionalFormatting>
  <conditionalFormatting sqref="D33:G34">
    <cfRule type="cellIs" dxfId="106" priority="21" operator="greaterThan">
      <formula>0</formula>
    </cfRule>
  </conditionalFormatting>
  <conditionalFormatting sqref="D33:G34">
    <cfRule type="containsBlanks" dxfId="105" priority="20">
      <formula>LEN(TRIM(D33))=0</formula>
    </cfRule>
  </conditionalFormatting>
  <conditionalFormatting sqref="C33:C34">
    <cfRule type="cellIs" dxfId="104" priority="9" operator="greaterThan">
      <formula>0</formula>
    </cfRule>
  </conditionalFormatting>
  <conditionalFormatting sqref="C33:C34">
    <cfRule type="containsBlanks" dxfId="103" priority="8">
      <formula>LEN(TRIM(C33))=0</formula>
    </cfRule>
  </conditionalFormatting>
  <conditionalFormatting sqref="C34">
    <cfRule type="notContainsBlanks" dxfId="102" priority="7">
      <formula>LEN(TRIM(C34))&gt;0</formula>
    </cfRule>
  </conditionalFormatting>
  <conditionalFormatting sqref="H33:I34">
    <cfRule type="cellIs" dxfId="101" priority="6" operator="greaterThan">
      <formula>0</formula>
    </cfRule>
  </conditionalFormatting>
  <conditionalFormatting sqref="H33:I34">
    <cfRule type="containsBlanks" dxfId="100" priority="5">
      <formula>LEN(TRIM(H33))=0</formula>
    </cfRule>
  </conditionalFormatting>
  <conditionalFormatting sqref="C8:F21">
    <cfRule type="containsBlanks" dxfId="99" priority="3">
      <formula>LEN(TRIM(C8))=0</formula>
    </cfRule>
    <cfRule type="cellIs" dxfId="98" priority="4" operator="greaterThan">
      <formula>0</formula>
    </cfRule>
  </conditionalFormatting>
  <conditionalFormatting sqref="I16:I20">
    <cfRule type="containsBlanks" dxfId="97" priority="1">
      <formula>LEN(TRIM(I16))=0</formula>
    </cfRule>
    <cfRule type="cellIs" dxfId="96" priority="2" operator="greaterThan">
      <formula>0</formula>
    </cfRule>
  </conditionalFormatting>
  <dataValidations count="4">
    <dataValidation type="list" allowBlank="1" showInputMessage="1" showErrorMessage="1" sqref="G33:G40">
      <formula1>Combustibles</formula1>
    </dataValidation>
    <dataValidation type="list" allowBlank="1" showInputMessage="1" showErrorMessage="1" sqref="D33:D40">
      <formula1>Liste_Type_compteur</formula1>
    </dataValidation>
    <dataValidation type="list" allowBlank="1" showInputMessage="1" showErrorMessage="1" sqref="E33:F40">
      <formula1>INDIRECT(D33)</formula1>
    </dataValidation>
    <dataValidation type="date" allowBlank="1" showInputMessage="1" showErrorMessage="1" sqref="H33:H40">
      <formula1>40179</formula1>
      <formula2>47848</formula2>
    </dataValidation>
  </dataValidation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23" r:id="rId4" name="Drop Down 7">
              <controlPr defaultSize="0" autoLine="0" autoPict="0">
                <anchor moveWithCells="1">
                  <from>
                    <xdr:col>3</xdr:col>
                    <xdr:colOff>285750</xdr:colOff>
                    <xdr:row>55</xdr:row>
                    <xdr:rowOff>9525</xdr:rowOff>
                  </from>
                  <to>
                    <xdr:col>4</xdr:col>
                    <xdr:colOff>66675</xdr:colOff>
                    <xdr:row>56</xdr:row>
                    <xdr:rowOff>66675</xdr:rowOff>
                  </to>
                </anchor>
              </controlPr>
            </control>
          </mc:Choice>
        </mc:AlternateContent>
        <mc:AlternateContent xmlns:mc="http://schemas.openxmlformats.org/markup-compatibility/2006">
          <mc:Choice Requires="x14">
            <control shapeId="9226" r:id="rId5" name="Drop Down 10">
              <controlPr defaultSize="0" autoLine="0" autoPict="0">
                <anchor moveWithCells="1">
                  <from>
                    <xdr:col>3</xdr:col>
                    <xdr:colOff>76200</xdr:colOff>
                    <xdr:row>23</xdr:row>
                    <xdr:rowOff>171450</xdr:rowOff>
                  </from>
                  <to>
                    <xdr:col>4</xdr:col>
                    <xdr:colOff>361950</xdr:colOff>
                    <xdr:row>25</xdr:row>
                    <xdr:rowOff>76200</xdr:rowOff>
                  </to>
                </anchor>
              </controlPr>
            </control>
          </mc:Choice>
        </mc:AlternateContent>
        <mc:AlternateContent xmlns:mc="http://schemas.openxmlformats.org/markup-compatibility/2006">
          <mc:Choice Requires="x14">
            <control shapeId="9227" r:id="rId6" name="Drop Down 11">
              <controlPr defaultSize="0" autoLine="0" autoPict="0">
                <anchor moveWithCells="1">
                  <from>
                    <xdr:col>3</xdr:col>
                    <xdr:colOff>285750</xdr:colOff>
                    <xdr:row>57</xdr:row>
                    <xdr:rowOff>19050</xdr:rowOff>
                  </from>
                  <to>
                    <xdr:col>4</xdr:col>
                    <xdr:colOff>57150</xdr:colOff>
                    <xdr:row>58</xdr:row>
                    <xdr:rowOff>76200</xdr:rowOff>
                  </to>
                </anchor>
              </controlPr>
            </control>
          </mc:Choice>
        </mc:AlternateContent>
        <mc:AlternateContent xmlns:mc="http://schemas.openxmlformats.org/markup-compatibility/2006">
          <mc:Choice Requires="x14">
            <control shapeId="9228" r:id="rId7" name="Drop Down 12">
              <controlPr defaultSize="0" autoLine="0" autoPict="0">
                <anchor moveWithCells="1">
                  <from>
                    <xdr:col>5</xdr:col>
                    <xdr:colOff>66675</xdr:colOff>
                    <xdr:row>41</xdr:row>
                    <xdr:rowOff>9525</xdr:rowOff>
                  </from>
                  <to>
                    <xdr:col>6</xdr:col>
                    <xdr:colOff>47625</xdr:colOff>
                    <xdr:row>41</xdr:row>
                    <xdr:rowOff>228600</xdr:rowOff>
                  </to>
                </anchor>
              </controlPr>
            </control>
          </mc:Choice>
        </mc:AlternateContent>
        <mc:AlternateContent xmlns:mc="http://schemas.openxmlformats.org/markup-compatibility/2006">
          <mc:Choice Requires="x14">
            <control shapeId="9230" r:id="rId8" name="Drop Down 14">
              <controlPr defaultSize="0" autoLine="0" autoPict="0">
                <anchor moveWithCells="1">
                  <from>
                    <xdr:col>3</xdr:col>
                    <xdr:colOff>285750</xdr:colOff>
                    <xdr:row>61</xdr:row>
                    <xdr:rowOff>104775</xdr:rowOff>
                  </from>
                  <to>
                    <xdr:col>4</xdr:col>
                    <xdr:colOff>133350</xdr:colOff>
                    <xdr:row>62</xdr:row>
                    <xdr:rowOff>152400</xdr:rowOff>
                  </to>
                </anchor>
              </controlPr>
            </control>
          </mc:Choice>
        </mc:AlternateContent>
        <mc:AlternateContent xmlns:mc="http://schemas.openxmlformats.org/markup-compatibility/2006">
          <mc:Choice Requires="x14">
            <control shapeId="9248" r:id="rId9" name="Drop Down 32">
              <controlPr defaultSize="0" autoLine="0" autoPict="0">
                <anchor moveWithCells="1">
                  <from>
                    <xdr:col>3</xdr:col>
                    <xdr:colOff>76200</xdr:colOff>
                    <xdr:row>26</xdr:row>
                    <xdr:rowOff>123825</xdr:rowOff>
                  </from>
                  <to>
                    <xdr:col>5</xdr:col>
                    <xdr:colOff>581025</xdr:colOff>
                    <xdr:row>28</xdr:row>
                    <xdr:rowOff>66675</xdr:rowOff>
                  </to>
                </anchor>
              </controlPr>
            </control>
          </mc:Choice>
        </mc:AlternateContent>
        <mc:AlternateContent xmlns:mc="http://schemas.openxmlformats.org/markup-compatibility/2006">
          <mc:Choice Requires="x14">
            <control shapeId="9249" r:id="rId10" name="Drop Down 33">
              <controlPr defaultSize="0" autoLine="0" autoPict="0">
                <anchor moveWithCells="1">
                  <from>
                    <xdr:col>7</xdr:col>
                    <xdr:colOff>238125</xdr:colOff>
                    <xdr:row>53</xdr:row>
                    <xdr:rowOff>200025</xdr:rowOff>
                  </from>
                  <to>
                    <xdr:col>8</xdr:col>
                    <xdr:colOff>638175</xdr:colOff>
                    <xdr:row>55</xdr:row>
                    <xdr:rowOff>38100</xdr:rowOff>
                  </to>
                </anchor>
              </controlPr>
            </control>
          </mc:Choice>
        </mc:AlternateContent>
        <mc:AlternateContent xmlns:mc="http://schemas.openxmlformats.org/markup-compatibility/2006">
          <mc:Choice Requires="x14">
            <control shapeId="9250" r:id="rId11" name="Drop Down 34">
              <controlPr defaultSize="0" autoLine="0" autoPict="0">
                <anchor moveWithCells="1">
                  <from>
                    <xdr:col>7</xdr:col>
                    <xdr:colOff>238125</xdr:colOff>
                    <xdr:row>55</xdr:row>
                    <xdr:rowOff>123825</xdr:rowOff>
                  </from>
                  <to>
                    <xdr:col>8</xdr:col>
                    <xdr:colOff>638175</xdr:colOff>
                    <xdr:row>57</xdr:row>
                    <xdr:rowOff>9525</xdr:rowOff>
                  </to>
                </anchor>
              </controlPr>
            </control>
          </mc:Choice>
        </mc:AlternateContent>
      </controls>
    </mc:Choice>
  </mc:AlternateContent>
  <extLst>
    <ext xmlns:x14="http://schemas.microsoft.com/office/spreadsheetml/2009/9/main" uri="{A8765BA9-456A-4dab-B4F3-ACF838C121DE}">
      <x14:slicerList>
        <x14:slicer r:id="rId12"/>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workbookViewId="0"/>
  </sheetViews>
  <sheetFormatPr baseColWidth="10" defaultRowHeight="15" x14ac:dyDescent="0.25"/>
  <cols>
    <col min="1" max="1" width="21" bestFit="1" customWidth="1"/>
    <col min="2" max="2" width="23.85546875" bestFit="1" customWidth="1"/>
    <col min="3" max="3" width="22.42578125" bestFit="1" customWidth="1"/>
    <col min="4" max="4" width="20.7109375" bestFit="1" customWidth="1"/>
    <col min="5" max="5" width="24.7109375" bestFit="1" customWidth="1"/>
    <col min="6" max="6" width="23.85546875" customWidth="1"/>
    <col min="7" max="7" width="12.5703125" bestFit="1" customWidth="1"/>
    <col min="11" max="11" width="24.7109375" bestFit="1" customWidth="1"/>
    <col min="12" max="12" width="23.85546875" bestFit="1" customWidth="1"/>
  </cols>
  <sheetData>
    <row r="1" spans="1:12" x14ac:dyDescent="0.25">
      <c r="A1" t="s">
        <v>365</v>
      </c>
    </row>
    <row r="2" spans="1:12" x14ac:dyDescent="0.25">
      <c r="C2" t="s">
        <v>65</v>
      </c>
      <c r="D2" t="e">
        <f>VLOOKUP($B$12,Site!$C$33:$G$38,ROW(C2),FALSE)</f>
        <v>#N/A</v>
      </c>
    </row>
    <row r="3" spans="1:12" x14ac:dyDescent="0.25">
      <c r="C3" t="s">
        <v>72</v>
      </c>
      <c r="D3" t="e">
        <f>VLOOKUP($B$12,Site!$C$33:$G$38,ROW(C3),FALSE)</f>
        <v>#N/A</v>
      </c>
    </row>
    <row r="4" spans="1:12" x14ac:dyDescent="0.25">
      <c r="C4" t="s">
        <v>66</v>
      </c>
      <c r="D4" t="e">
        <f>VLOOKUP($B$12,Site!$C$33:$G$38,ROW(C4),FALSE)</f>
        <v>#N/A</v>
      </c>
    </row>
    <row r="5" spans="1:12" x14ac:dyDescent="0.25">
      <c r="C5" t="s">
        <v>71</v>
      </c>
      <c r="D5" t="e">
        <f>VLOOKUP($B$12,Site!$C$33:$G$38,ROW(C5),FALSE)</f>
        <v>#N/A</v>
      </c>
    </row>
    <row r="8" spans="1:12" x14ac:dyDescent="0.25">
      <c r="A8" s="232" t="s">
        <v>65</v>
      </c>
      <c r="B8" s="231" t="s">
        <v>313</v>
      </c>
      <c r="K8" s="232" t="s">
        <v>65</v>
      </c>
      <c r="L8" s="231" t="s">
        <v>313</v>
      </c>
    </row>
    <row r="10" spans="1:12" x14ac:dyDescent="0.25">
      <c r="A10" s="232" t="s">
        <v>366</v>
      </c>
      <c r="B10" s="232" t="s">
        <v>165</v>
      </c>
      <c r="K10" s="232" t="s">
        <v>342</v>
      </c>
      <c r="L10" s="232" t="s">
        <v>165</v>
      </c>
    </row>
    <row r="11" spans="1:12" x14ac:dyDescent="0.25">
      <c r="K11" s="232" t="s">
        <v>34</v>
      </c>
    </row>
    <row r="12" spans="1:12" x14ac:dyDescent="0.25">
      <c r="A12" s="232" t="s">
        <v>34</v>
      </c>
      <c r="K12" s="233" t="s">
        <v>35</v>
      </c>
    </row>
    <row r="13" spans="1:12" x14ac:dyDescent="0.25">
      <c r="A13" s="233" t="s">
        <v>35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heetViews>
  <sheetFormatPr baseColWidth="10" defaultRowHeight="15" x14ac:dyDescent="0.25"/>
  <cols>
    <col min="1" max="1" width="21" bestFit="1" customWidth="1"/>
    <col min="2" max="2" width="20.7109375" bestFit="1" customWidth="1"/>
    <col min="3" max="3" width="20.7109375" customWidth="1"/>
    <col min="4" max="4" width="20.7109375" bestFit="1" customWidth="1"/>
    <col min="5" max="5" width="21" bestFit="1" customWidth="1"/>
    <col min="6" max="6" width="24.7109375" bestFit="1" customWidth="1"/>
  </cols>
  <sheetData>
    <row r="1" spans="1:6" x14ac:dyDescent="0.25">
      <c r="A1" t="s">
        <v>365</v>
      </c>
    </row>
    <row r="2" spans="1:6" x14ac:dyDescent="0.25">
      <c r="C2" t="s">
        <v>65</v>
      </c>
      <c r="D2" t="e">
        <f>VLOOKUP($B$8,Site!$C$33:$G$38,ROW(C2),FALSE)</f>
        <v>#N/A</v>
      </c>
    </row>
    <row r="3" spans="1:6" x14ac:dyDescent="0.25">
      <c r="C3" t="s">
        <v>72</v>
      </c>
      <c r="D3" t="e">
        <f>VLOOKUP($B$8,Site!$C$33:$G$38,ROW(C3),FALSE)</f>
        <v>#N/A</v>
      </c>
    </row>
    <row r="4" spans="1:6" x14ac:dyDescent="0.25">
      <c r="C4" t="s">
        <v>66</v>
      </c>
      <c r="D4" t="e">
        <f>VLOOKUP($B$8,Site!$C$33:$G$38,ROW(C4),FALSE)</f>
        <v>#N/A</v>
      </c>
    </row>
    <row r="5" spans="1:6" x14ac:dyDescent="0.25">
      <c r="C5" t="s">
        <v>71</v>
      </c>
      <c r="D5" t="e">
        <f>VLOOKUP($B$8,Site!$C$33:$G$38,ROW(C5),FALSE)</f>
        <v>#N/A</v>
      </c>
    </row>
    <row r="7" spans="1:6" x14ac:dyDescent="0.25">
      <c r="A7" s="232" t="s">
        <v>65</v>
      </c>
      <c r="B7" s="231" t="s">
        <v>58</v>
      </c>
      <c r="E7" s="232" t="s">
        <v>65</v>
      </c>
      <c r="F7" s="231" t="s">
        <v>58</v>
      </c>
    </row>
    <row r="8" spans="1:6" x14ac:dyDescent="0.25">
      <c r="A8" s="232" t="s">
        <v>163</v>
      </c>
      <c r="B8" s="231" t="s">
        <v>214</v>
      </c>
      <c r="E8" s="232" t="s">
        <v>163</v>
      </c>
      <c r="F8" s="231" t="s">
        <v>214</v>
      </c>
    </row>
    <row r="10" spans="1:6" x14ac:dyDescent="0.25">
      <c r="A10" s="232" t="s">
        <v>34</v>
      </c>
      <c r="B10" t="s">
        <v>366</v>
      </c>
      <c r="E10" s="232" t="s">
        <v>34</v>
      </c>
      <c r="F10" t="s">
        <v>342</v>
      </c>
    </row>
    <row r="11" spans="1:6" x14ac:dyDescent="0.25">
      <c r="A11" s="233" t="s">
        <v>35</v>
      </c>
      <c r="B11" s="221" t="e">
        <v>#DIV/0!</v>
      </c>
      <c r="E11" s="233" t="s">
        <v>35</v>
      </c>
      <c r="F11" s="22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544"/>
  <sheetViews>
    <sheetView workbookViewId="0"/>
  </sheetViews>
  <sheetFormatPr baseColWidth="10" defaultRowHeight="15" x14ac:dyDescent="0.25"/>
  <cols>
    <col min="8" max="9" width="23.5703125" customWidth="1"/>
    <col min="10" max="11" width="32.5703125" customWidth="1"/>
    <col min="12" max="13" width="23.5703125" customWidth="1"/>
    <col min="14" max="17" width="23.7109375" customWidth="1"/>
    <col min="18" max="18" width="19.5703125" customWidth="1"/>
    <col min="19" max="22" width="26" customWidth="1"/>
    <col min="24" max="24" width="20" customWidth="1"/>
    <col min="25" max="25" width="23.42578125" customWidth="1"/>
    <col min="30" max="30" width="21" customWidth="1"/>
    <col min="31" max="31" width="24.7109375" customWidth="1"/>
    <col min="32" max="32" width="27.140625" customWidth="1"/>
    <col min="33" max="33" width="29.28515625" customWidth="1"/>
    <col min="34" max="34" width="31.5703125" customWidth="1"/>
    <col min="35" max="35" width="25.140625" customWidth="1"/>
    <col min="36" max="36" width="27.5703125" customWidth="1"/>
    <col min="37" max="37" width="29.7109375" customWidth="1"/>
    <col min="38" max="38" width="32" customWidth="1"/>
    <col min="39" max="39" width="24.7109375" customWidth="1"/>
    <col min="40" max="40" width="27.140625" customWidth="1"/>
    <col min="41" max="41" width="29.28515625" customWidth="1"/>
    <col min="42" max="42" width="31.5703125" customWidth="1"/>
    <col min="43" max="43" width="39.42578125" customWidth="1"/>
    <col min="44" max="44" width="41.85546875" customWidth="1"/>
    <col min="45" max="45" width="44" customWidth="1"/>
    <col min="46" max="46" width="46.140625" customWidth="1"/>
    <col min="47" max="47" width="24.7109375" customWidth="1"/>
    <col min="48" max="48" width="27.140625" bestFit="1" customWidth="1"/>
    <col min="49" max="49" width="29.28515625" bestFit="1" customWidth="1"/>
    <col min="50" max="50" width="31.5703125" bestFit="1" customWidth="1"/>
    <col min="51" max="51" width="39" customWidth="1"/>
    <col min="52" max="52" width="41.28515625" customWidth="1"/>
    <col min="53" max="53" width="43.5703125" customWidth="1"/>
    <col min="54" max="54" width="45.7109375" customWidth="1"/>
    <col min="55" max="55" width="29.7109375" customWidth="1"/>
    <col min="56" max="56" width="32.140625" customWidth="1"/>
    <col min="57" max="57" width="34.28515625" customWidth="1"/>
    <col min="58" max="58" width="36.42578125" customWidth="1"/>
    <col min="59" max="59" width="24.7109375" customWidth="1"/>
    <col min="60" max="60" width="27.140625" customWidth="1"/>
    <col min="61" max="61" width="29.28515625" customWidth="1"/>
    <col min="62" max="62" width="31.5703125" customWidth="1"/>
    <col min="63" max="63" width="39" customWidth="1"/>
    <col min="64" max="64" width="41.28515625" customWidth="1"/>
    <col min="65" max="65" width="43.5703125" customWidth="1"/>
    <col min="66" max="66" width="45.7109375" customWidth="1"/>
    <col min="67" max="67" width="29.7109375" customWidth="1"/>
    <col min="68" max="68" width="32.140625" customWidth="1"/>
    <col min="69" max="69" width="34.28515625" customWidth="1"/>
    <col min="70" max="70" width="36.42578125" customWidth="1"/>
    <col min="71" max="71" width="27.140625" bestFit="1" customWidth="1"/>
    <col min="72" max="72" width="29.140625" bestFit="1" customWidth="1"/>
    <col min="73" max="73" width="31.140625" bestFit="1" customWidth="1"/>
    <col min="74" max="74" width="33.28515625" bestFit="1" customWidth="1"/>
    <col min="75" max="75" width="30.5703125" bestFit="1" customWidth="1"/>
    <col min="76" max="76" width="33" bestFit="1" customWidth="1"/>
    <col min="77" max="77" width="35.140625" bestFit="1" customWidth="1"/>
    <col min="78" max="78" width="37.42578125" bestFit="1" customWidth="1"/>
    <col min="79" max="79" width="29.7109375" bestFit="1" customWidth="1"/>
    <col min="80" max="80" width="32.140625" bestFit="1" customWidth="1"/>
    <col min="81" max="81" width="34.28515625" bestFit="1" customWidth="1"/>
    <col min="82" max="82" width="36.42578125" bestFit="1" customWidth="1"/>
  </cols>
  <sheetData>
    <row r="1" spans="1:58" ht="18.75" x14ac:dyDescent="0.3">
      <c r="H1" s="330"/>
      <c r="I1" s="330"/>
      <c r="J1" s="330"/>
      <c r="K1" s="330"/>
      <c r="L1" s="330"/>
      <c r="M1" s="330"/>
      <c r="N1" s="330"/>
      <c r="O1" s="330"/>
      <c r="P1" s="330"/>
      <c r="Q1" s="330"/>
      <c r="R1" s="330"/>
      <c r="S1" s="330"/>
      <c r="T1" s="128"/>
      <c r="U1" s="128"/>
      <c r="V1" s="128"/>
    </row>
    <row r="2" spans="1:58" x14ac:dyDescent="0.25">
      <c r="A2" t="s">
        <v>332</v>
      </c>
      <c r="B2" t="s">
        <v>334</v>
      </c>
      <c r="C2" t="s">
        <v>1</v>
      </c>
      <c r="D2" t="s">
        <v>2</v>
      </c>
      <c r="E2" t="s">
        <v>164</v>
      </c>
      <c r="F2" t="s">
        <v>333</v>
      </c>
      <c r="G2" t="s">
        <v>163</v>
      </c>
      <c r="H2" t="s">
        <v>191</v>
      </c>
      <c r="I2" t="s">
        <v>354</v>
      </c>
      <c r="J2" t="s">
        <v>337</v>
      </c>
      <c r="K2" t="s">
        <v>355</v>
      </c>
      <c r="L2" t="s">
        <v>335</v>
      </c>
      <c r="M2" t="s">
        <v>336</v>
      </c>
      <c r="N2" t="s">
        <v>338</v>
      </c>
      <c r="O2" t="s">
        <v>357</v>
      </c>
      <c r="P2" t="s">
        <v>359</v>
      </c>
      <c r="Q2" t="s">
        <v>358</v>
      </c>
      <c r="R2" t="s">
        <v>356</v>
      </c>
      <c r="S2" t="s">
        <v>339</v>
      </c>
      <c r="T2" t="s">
        <v>340</v>
      </c>
      <c r="U2" t="s">
        <v>341</v>
      </c>
      <c r="V2" t="s">
        <v>373</v>
      </c>
      <c r="W2" t="s">
        <v>65</v>
      </c>
      <c r="X2" t="s">
        <v>72</v>
      </c>
      <c r="Y2" t="s">
        <v>66</v>
      </c>
      <c r="Z2" t="s">
        <v>67</v>
      </c>
      <c r="AA2" t="s">
        <v>220</v>
      </c>
    </row>
    <row r="3" spans="1:58" x14ac:dyDescent="0.25">
      <c r="A3" s="3"/>
      <c r="B3" s="3"/>
      <c r="H3" s="3"/>
      <c r="I3" s="3"/>
      <c r="L3" s="94"/>
      <c r="M3" s="94"/>
      <c r="W3" t="s">
        <v>313</v>
      </c>
      <c r="X3" t="s">
        <v>314</v>
      </c>
    </row>
    <row r="4" spans="1:58" x14ac:dyDescent="0.25">
      <c r="A4" s="3"/>
      <c r="B4" s="3"/>
      <c r="H4" s="3"/>
      <c r="I4" s="3"/>
      <c r="L4" s="94"/>
      <c r="M4" s="94"/>
      <c r="W4" t="s">
        <v>313</v>
      </c>
      <c r="X4" t="s">
        <v>315</v>
      </c>
    </row>
    <row r="5" spans="1:58" x14ac:dyDescent="0.25">
      <c r="A5" s="3"/>
      <c r="B5" s="3"/>
      <c r="H5" s="3"/>
      <c r="I5" s="3"/>
      <c r="L5" s="94"/>
      <c r="M5" s="94"/>
      <c r="W5" t="s">
        <v>313</v>
      </c>
      <c r="X5" t="s">
        <v>316</v>
      </c>
    </row>
    <row r="6" spans="1:58" x14ac:dyDescent="0.25">
      <c r="A6" s="3"/>
      <c r="B6" s="3"/>
      <c r="H6" s="3"/>
      <c r="I6" s="3"/>
      <c r="L6" s="94"/>
      <c r="M6" s="94"/>
      <c r="W6" t="s">
        <v>58</v>
      </c>
      <c r="X6" t="s">
        <v>60</v>
      </c>
    </row>
    <row r="7" spans="1:58" x14ac:dyDescent="0.25">
      <c r="A7" s="3"/>
      <c r="B7" s="3"/>
      <c r="H7" s="3"/>
      <c r="I7" s="3"/>
      <c r="L7" s="94"/>
      <c r="M7" s="94"/>
      <c r="W7" t="s">
        <v>58</v>
      </c>
    </row>
    <row r="8" spans="1:58" x14ac:dyDescent="0.25">
      <c r="A8" s="3"/>
      <c r="B8" s="3"/>
      <c r="F8" t="str">
        <f>SUBSTITUTE(Tab_Calculs[[#This Row],[Compteur]]," ","_")</f>
        <v/>
      </c>
      <c r="H8" s="3"/>
      <c r="I8" s="3"/>
      <c r="L8" s="94"/>
      <c r="M8" s="94"/>
      <c r="W8" t="s">
        <v>313</v>
      </c>
    </row>
    <row r="9" spans="1:58" x14ac:dyDescent="0.25">
      <c r="A9" s="3">
        <f>DATE(Tab_Calculs[[#This Row],[ANNEE]],Tab_Calculs[[#This Row],[MOIS]],1)</f>
        <v>40179</v>
      </c>
      <c r="B9" s="3">
        <f>EDATE(Tab_Calculs[[#This Row],[Début mois]],1)-1</f>
        <v>40209</v>
      </c>
      <c r="C9">
        <v>1</v>
      </c>
      <c r="D9">
        <v>2010</v>
      </c>
      <c r="E9" t="s">
        <v>80</v>
      </c>
      <c r="F9" t="str">
        <f>SUBSTITUTE(Tab_Calculs[[#This Row],[Compteur]]," ","_")</f>
        <v>Compteur_1</v>
      </c>
      <c r="G9" t="str">
        <f>T(INDEX(Site!$B$33:$G$40, MATCH(Tab_Calculs[[#This Row],[Compteur]], Site!$B$33:$B$40,0),2))</f>
        <v/>
      </c>
      <c r="H9" s="3">
        <f t="array" aca="1" ref="H9" ca="1">MIN(IF(INDIRECT(CONCATENATE(Tab_Calculs[[#This Row],[Colonne1]],"!$B$2:$B$243"))&gt;=Calculs_Consos!$A9,INDIRECT(CONCATENATE(Tab_Calculs[[#This Row],[Colonne1]],"!$B$2:$B$243"))))</f>
        <v>0</v>
      </c>
      <c r="I9" s="3">
        <f ca="1">INDEX(INDIRECT(CONCATENATE("Tab_",Tab_Calculs[[#This Row],[Colonne1]])),Tab_Calculs[[#This Row],[index_date_livraison]],1)</f>
        <v>0</v>
      </c>
      <c r="J9">
        <f ca="1">MATCH(Tab_Calculs[[#This Row],[Date_livraison]],INDIRECT(CONCATENATE("Tab_",Tab_Calculs[[#This Row],[Colonne1]],"[Fin de période]")),0)</f>
        <v>1</v>
      </c>
      <c r="K9" t="e">
        <f ca="1">INDEX(INDIRECT(CONCATENATE("Tab_",Tab_Calculs[[#This Row],[Colonne1]])),Tab_Calculs[[#This Row],[index_date_livraison]]-1,6)*(MAX(Tab_Calculs[[#This Row],[Début periode livraison]],Tab_Calculs[[#This Row],[Début mois]])-Tab_Calculs[[#This Row],[Début mois]])</f>
        <v>#VALUE!</v>
      </c>
      <c r="L9" s="94">
        <f ca="1">INDEX(INDIRECT(CONCATENATE("Tab_",Tab_Calculs[[#This Row],[Colonne1]])),Tab_Calculs[[#This Row],[index_date_livraison]],6)*(1+MIN(Tab_Calculs[[#This Row],[Date_livraison]],Tab_Calculs[[#This Row],[fin mois]])-MAX(Tab_Calculs[[#This Row],[Début mois]],Tab_Calculs[[#This Row],[Début periode livraison]]))</f>
        <v>0</v>
      </c>
      <c r="M9" s="94" t="e">
        <f ca="1">INDEX(INDIRECT(CONCATENATE("Tab_",Tab_Calculs[[#This Row],[Colonne1]])),Tab_Calculs[[#This Row],[index_date_livraison]]+1,6)*(Tab_Calculs[[#This Row],[fin mois]]-MIN(Tab_Calculs[[#This Row],[fin mois]],Tab_Calculs[[#This Row],[Date_livraison]]))</f>
        <v>#VALUE!</v>
      </c>
      <c r="N9" t="str">
        <f ca="1">IFERROR(Tab_Calculs[[#This Row],[Ratio_jour_après_livr]]+Tab_Calculs[[#This Row],[Ratio_jour_avant_livr]]+Tab_Calculs[[#This Row],[ratio_avant_debut]],"")</f>
        <v/>
      </c>
      <c r="O9" t="e">
        <f ca="1">INDEX(INDIRECT(CONCATENATE("Tab_",Tab_Calculs[[#This Row],[Colonne1]])),Tab_Calculs[[#This Row],[index_date_livraison]]-1,7)*(MAX(Tab_Calculs[[#This Row],[Début periode livraison]],Tab_Calculs[[#This Row],[Début mois]])-Tab_Calculs[[#This Row],[Début mois]])</f>
        <v>#VALUE!</v>
      </c>
      <c r="P9">
        <f ca="1">INDEX(INDIRECT(CONCATENATE("Tab_",Tab_Calculs[[#This Row],[Colonne1]])),Tab_Calculs[[#This Row],[index_date_livraison]],7)*(1+MIN(Tab_Calculs[[#This Row],[Date_livraison]],Tab_Calculs[[#This Row],[fin mois]])-MAX(Tab_Calculs[[#This Row],[Début mois]],Tab_Calculs[[#This Row],[Début periode livraison]]))</f>
        <v>0</v>
      </c>
      <c r="Q9" t="e">
        <f ca="1">INDEX(INDIRECT(CONCATENATE("Tab_",Tab_Calculs[[#This Row],[Colonne1]])),Tab_Calculs[[#This Row],[index_date_livraison]]+1,7)*(Tab_Calculs[[#This Row],[fin mois]]-MIN(Tab_Calculs[[#This Row],[fin mois]],Tab_Calculs[[#This Row],[Date_livraison]]))</f>
        <v>#VALUE!</v>
      </c>
      <c r="R9" t="e">
        <f ca="1">Tab_Calculs[[#This Row],[Ratio_Cout_après_livr]]+Tab_Calculs[[#This Row],[Ratio_Cout_avant_livr]]+Tab_Calculs[[#This Row],[Ratio_Cout_avant_debut]]</f>
        <v>#VALUE!</v>
      </c>
      <c r="S9" t="str">
        <f ca="1">IFERROR(N9*VLOOKUP(Tab_Calculs[[#This Row],[Colonne1]],Controle_des_données!$B$7:$G$14,6,FALSE),"")</f>
        <v/>
      </c>
      <c r="T9" t="str">
        <f ca="1">IF(Tab_Calculs[[#This Row],[Combustible ]]="Electricité (kWh)",Tab_Calculs[[#This Row],[Conso_mois_kWh]]*2.3,Tab_Calculs[[#This Row],[Conso_mois_kWh]])</f>
        <v/>
      </c>
      <c r="U9" t="str">
        <f ca="1">IFERROR(N9*VLOOKUP(Tab_Calculs[[#This Row],[Colonne1]],Controle_des_données!$B$7:$H$14,7,FALSE),"")</f>
        <v/>
      </c>
      <c r="V9">
        <f ca="1">IFERROR(Tab_Calculs[[#This Row],[Cout_mois]]/Tab_Calculs[[#This Row],[Conso_mois_kWh]],0)</f>
        <v>0</v>
      </c>
      <c r="W9" t="str">
        <f>T(VLOOKUP(Tab_Calculs[[#This Row],[Compteur]],Site!$B$33:$G$40,3,FALSE))</f>
        <v/>
      </c>
      <c r="X9" t="str">
        <f>T(VLOOKUP(Tab_Calculs[[#This Row],[Compteur]],Site!$B$33:$G$40,4,FALSE))</f>
        <v/>
      </c>
      <c r="Y9" t="str">
        <f>T(VLOOKUP(Tab_Calculs[[#This Row],[Compteur]],Site!$B$33:$G$40,5,FALSE))</f>
        <v/>
      </c>
      <c r="Z9" t="str">
        <f>T(VLOOKUP(Tab_Calculs[[#This Row],[Compteur]],Site!$B$33:$G$40,6,FALSE))</f>
        <v/>
      </c>
      <c r="AA9">
        <f>IFERROR(GETPIVOTDATA("DJU(chauffagiste)",BDD_DJU!$P$13,"annee",Tab_Calculs[[#This Row],[ANNEE]],"mois_numero",Tab_Calculs[[#This Row],[MOIS]]),0)</f>
        <v>487.6</v>
      </c>
      <c r="AD9" t="s">
        <v>192</v>
      </c>
    </row>
    <row r="10" spans="1:58" x14ac:dyDescent="0.25">
      <c r="A10" s="3">
        <f>DATE(Tab_Calculs[[#This Row],[ANNEE]],Tab_Calculs[[#This Row],[MOIS]],1)</f>
        <v>40210</v>
      </c>
      <c r="B10" s="3">
        <f>EDATE(Tab_Calculs[[#This Row],[Début mois]],1)-1</f>
        <v>40237</v>
      </c>
      <c r="C10">
        <v>2</v>
      </c>
      <c r="D10">
        <v>2010</v>
      </c>
      <c r="E10" t="s">
        <v>80</v>
      </c>
      <c r="F10" t="str">
        <f>SUBSTITUTE(Tab_Calculs[[#This Row],[Compteur]]," ","_")</f>
        <v>Compteur_1</v>
      </c>
      <c r="G10" t="str">
        <f>T(INDEX(Site!$B$33:$G$40, MATCH(Tab_Calculs[[#This Row],[Compteur]], Site!$B$33:$B$40,0),2))</f>
        <v/>
      </c>
      <c r="H10" s="3">
        <f t="array" aca="1" ref="H10" ca="1">MIN(IF(INDIRECT(CONCATENATE(Tab_Calculs[[#This Row],[Colonne1]],"!$B$2:$B$243"))&gt;=Calculs_Consos!$A10,INDIRECT(CONCATENATE(Tab_Calculs[[#This Row],[Colonne1]],"!$B$2:$B$243"))))</f>
        <v>0</v>
      </c>
      <c r="I10" s="3">
        <f ca="1">INDEX(INDIRECT(CONCATENATE("Tab_",Tab_Calculs[[#This Row],[Colonne1]])),Tab_Calculs[[#This Row],[index_date_livraison]],1)</f>
        <v>0</v>
      </c>
      <c r="J10">
        <f ca="1">MATCH(Tab_Calculs[[#This Row],[Date_livraison]],INDIRECT(CONCATENATE("Tab_",Tab_Calculs[[#This Row],[Colonne1]],"[Fin de période]")),0)</f>
        <v>1</v>
      </c>
      <c r="K10" t="e">
        <f ca="1">INDEX(INDIRECT(CONCATENATE("Tab_",Tab_Calculs[[#This Row],[Colonne1]])),Tab_Calculs[[#This Row],[index_date_livraison]]-1,6)*(MAX(Tab_Calculs[[#This Row],[Début periode livraison]],Tab_Calculs[[#This Row],[Début mois]])-Tab_Calculs[[#This Row],[Début mois]])</f>
        <v>#VALUE!</v>
      </c>
      <c r="L10" s="94">
        <f ca="1">INDEX(INDIRECT(CONCATENATE("Tab_",Tab_Calculs[[#This Row],[Colonne1]])),Tab_Calculs[[#This Row],[index_date_livraison]],6)*(1+MIN(Tab_Calculs[[#This Row],[Date_livraison]],Tab_Calculs[[#This Row],[fin mois]])-MAX(Tab_Calculs[[#This Row],[Début mois]],Tab_Calculs[[#This Row],[Début periode livraison]]))</f>
        <v>0</v>
      </c>
      <c r="M10" s="94" t="e">
        <f ca="1">INDEX(INDIRECT(CONCATENATE("Tab_",Tab_Calculs[[#This Row],[Colonne1]])),Tab_Calculs[[#This Row],[index_date_livraison]]+1,6)*(Tab_Calculs[[#This Row],[fin mois]]-MIN(Tab_Calculs[[#This Row],[fin mois]],Tab_Calculs[[#This Row],[Date_livraison]]))</f>
        <v>#VALUE!</v>
      </c>
      <c r="N10" s="231" t="str">
        <f ca="1">IFERROR(Tab_Calculs[[#This Row],[Ratio_jour_après_livr]]+Tab_Calculs[[#This Row],[Ratio_jour_avant_livr]]+Tab_Calculs[[#This Row],[ratio_avant_debut]],"")</f>
        <v/>
      </c>
      <c r="O10" t="e">
        <f ca="1">INDEX(INDIRECT(CONCATENATE("Tab_",Tab_Calculs[[#This Row],[Colonne1]])),Tab_Calculs[[#This Row],[index_date_livraison]]-1,7)*(MAX(Tab_Calculs[[#This Row],[Début periode livraison]],Tab_Calculs[[#This Row],[Début mois]])-Tab_Calculs[[#This Row],[Début mois]])</f>
        <v>#VALUE!</v>
      </c>
      <c r="P10">
        <f ca="1">INDEX(INDIRECT(CONCATENATE("Tab_",Tab_Calculs[[#This Row],[Colonne1]])),Tab_Calculs[[#This Row],[index_date_livraison]],7)*(1+MIN(Tab_Calculs[[#This Row],[Date_livraison]],Tab_Calculs[[#This Row],[fin mois]])-MAX(Tab_Calculs[[#This Row],[Début mois]],Tab_Calculs[[#This Row],[Début periode livraison]]))</f>
        <v>0</v>
      </c>
      <c r="Q10" t="e">
        <f ca="1">INDEX(INDIRECT(CONCATENATE("Tab_",Tab_Calculs[[#This Row],[Colonne1]])),Tab_Calculs[[#This Row],[index_date_livraison]]+1,7)*(Tab_Calculs[[#This Row],[fin mois]]-MIN(Tab_Calculs[[#This Row],[fin mois]],Tab_Calculs[[#This Row],[Date_livraison]]))</f>
        <v>#VALUE!</v>
      </c>
      <c r="R10" t="e">
        <f ca="1">Tab_Calculs[[#This Row],[Ratio_Cout_après_livr]]+Tab_Calculs[[#This Row],[Ratio_Cout_avant_livr]]+Tab_Calculs[[#This Row],[Ratio_Cout_avant_debut]]</f>
        <v>#VALUE!</v>
      </c>
      <c r="S10" t="str">
        <f ca="1">IFERROR(N10*VLOOKUP(Tab_Calculs[[#This Row],[Colonne1]],Controle_des_données!$B$7:$G$14,6,FALSE),"")</f>
        <v/>
      </c>
      <c r="T10" t="str">
        <f ca="1">IF(Tab_Calculs[[#This Row],[Combustible ]]="Electricité (kWh)",Tab_Calculs[[#This Row],[Conso_mois_kWh]]*2.3,Tab_Calculs[[#This Row],[Conso_mois_kWh]])</f>
        <v/>
      </c>
      <c r="U10" t="str">
        <f ca="1">IFERROR(N10*VLOOKUP(Tab_Calculs[[#This Row],[Colonne1]],Controle_des_données!$B$7:$H$14,7,FALSE),"")</f>
        <v/>
      </c>
      <c r="V10">
        <f ca="1">IFERROR(Tab_Calculs[[#This Row],[Cout_mois]]/Tab_Calculs[[#This Row],[Conso_mois_kWh]],0)</f>
        <v>0</v>
      </c>
      <c r="W10" t="str">
        <f>T(VLOOKUP(Tab_Calculs[[#This Row],[Compteur]],Site!$B$33:$G$40,3,FALSE))</f>
        <v/>
      </c>
      <c r="X10" t="str">
        <f>T(VLOOKUP(Tab_Calculs[[#This Row],[Compteur]],Site!$B$33:$G$40,4,FALSE))</f>
        <v/>
      </c>
      <c r="Y10" t="str">
        <f>T(VLOOKUP(Tab_Calculs[[#This Row],[Compteur]],Site!$B$33:$G$40,5,FALSE))</f>
        <v/>
      </c>
      <c r="Z10" t="str">
        <f>T(VLOOKUP(Tab_Calculs[[#This Row],[Compteur]],Site!$B$33:$G$40,6,FALSE))</f>
        <v/>
      </c>
      <c r="AA10">
        <f>IFERROR(GETPIVOTDATA("DJU(chauffagiste)",BDD_DJU!$P$13,"annee",Tab_Calculs[[#This Row],[ANNEE]],"mois_numero",Tab_Calculs[[#This Row],[MOIS]]),0)</f>
        <v>370.3</v>
      </c>
      <c r="AE10" s="232" t="s">
        <v>165</v>
      </c>
    </row>
    <row r="11" spans="1:58" x14ac:dyDescent="0.25">
      <c r="A11" s="3">
        <f>DATE(Tab_Calculs[[#This Row],[ANNEE]],Tab_Calculs[[#This Row],[MOIS]],1)</f>
        <v>40238</v>
      </c>
      <c r="B11" s="3">
        <f>EDATE(Tab_Calculs[[#This Row],[Début mois]],1)-1</f>
        <v>40268</v>
      </c>
      <c r="C11">
        <v>3</v>
      </c>
      <c r="D11">
        <v>2010</v>
      </c>
      <c r="E11" t="s">
        <v>80</v>
      </c>
      <c r="F11" t="str">
        <f>SUBSTITUTE(Tab_Calculs[[#This Row],[Compteur]]," ","_")</f>
        <v>Compteur_1</v>
      </c>
      <c r="G11" t="str">
        <f>T(INDEX(Site!$B$33:$G$40, MATCH(Tab_Calculs[[#This Row],[Compteur]], Site!$B$33:$B$40,0),2))</f>
        <v/>
      </c>
      <c r="H11" s="3">
        <f t="array" aca="1" ref="H11" ca="1">MIN(IF(INDIRECT(CONCATENATE(Tab_Calculs[[#This Row],[Colonne1]],"!$B$2:$B$243"))&gt;=Calculs_Consos!$A11,INDIRECT(CONCATENATE(Tab_Calculs[[#This Row],[Colonne1]],"!$B$2:$B$243"))))</f>
        <v>0</v>
      </c>
      <c r="I11" s="3">
        <f ca="1">INDEX(INDIRECT(CONCATENATE("Tab_",Tab_Calculs[[#This Row],[Colonne1]])),Tab_Calculs[[#This Row],[index_date_livraison]],1)</f>
        <v>0</v>
      </c>
      <c r="J11">
        <f ca="1">MATCH(Tab_Calculs[[#This Row],[Date_livraison]],INDIRECT(CONCATENATE("Tab_",Tab_Calculs[[#This Row],[Colonne1]],"[Fin de période]")),0)</f>
        <v>1</v>
      </c>
      <c r="K11" t="e">
        <f ca="1">INDEX(INDIRECT(CONCATENATE("Tab_",Tab_Calculs[[#This Row],[Colonne1]])),Tab_Calculs[[#This Row],[index_date_livraison]]-1,6)*(MAX(Tab_Calculs[[#This Row],[Début periode livraison]],Tab_Calculs[[#This Row],[Début mois]])-Tab_Calculs[[#This Row],[Début mois]])</f>
        <v>#VALUE!</v>
      </c>
      <c r="L11" s="94">
        <f ca="1">INDEX(INDIRECT(CONCATENATE("Tab_",Tab_Calculs[[#This Row],[Colonne1]])),Tab_Calculs[[#This Row],[index_date_livraison]],6)*(1+MIN(Tab_Calculs[[#This Row],[Date_livraison]],Tab_Calculs[[#This Row],[fin mois]])-MAX(Tab_Calculs[[#This Row],[Début mois]],Tab_Calculs[[#This Row],[Début periode livraison]]))</f>
        <v>0</v>
      </c>
      <c r="M11" s="94" t="e">
        <f ca="1">INDEX(INDIRECT(CONCATENATE("Tab_",Tab_Calculs[[#This Row],[Colonne1]])),Tab_Calculs[[#This Row],[index_date_livraison]]+1,6)*(Tab_Calculs[[#This Row],[fin mois]]-MIN(Tab_Calculs[[#This Row],[fin mois]],Tab_Calculs[[#This Row],[Date_livraison]]))</f>
        <v>#VALUE!</v>
      </c>
      <c r="N11" s="231" t="str">
        <f ca="1">IFERROR(Tab_Calculs[[#This Row],[Ratio_jour_après_livr]]+Tab_Calculs[[#This Row],[Ratio_jour_avant_livr]]+Tab_Calculs[[#This Row],[ratio_avant_debut]],"")</f>
        <v/>
      </c>
      <c r="O11" t="e">
        <f ca="1">INDEX(INDIRECT(CONCATENATE("Tab_",Tab_Calculs[[#This Row],[Colonne1]])),Tab_Calculs[[#This Row],[index_date_livraison]]-1,7)*(MAX(Tab_Calculs[[#This Row],[Début periode livraison]],Tab_Calculs[[#This Row],[Début mois]])-Tab_Calculs[[#This Row],[Début mois]])</f>
        <v>#VALUE!</v>
      </c>
      <c r="P11">
        <f ca="1">INDEX(INDIRECT(CONCATENATE("Tab_",Tab_Calculs[[#This Row],[Colonne1]])),Tab_Calculs[[#This Row],[index_date_livraison]],7)*(1+MIN(Tab_Calculs[[#This Row],[Date_livraison]],Tab_Calculs[[#This Row],[fin mois]])-MAX(Tab_Calculs[[#This Row],[Début mois]],Tab_Calculs[[#This Row],[Début periode livraison]]))</f>
        <v>0</v>
      </c>
      <c r="Q11" t="e">
        <f ca="1">INDEX(INDIRECT(CONCATENATE("Tab_",Tab_Calculs[[#This Row],[Colonne1]])),Tab_Calculs[[#This Row],[index_date_livraison]]+1,7)*(Tab_Calculs[[#This Row],[fin mois]]-MIN(Tab_Calculs[[#This Row],[fin mois]],Tab_Calculs[[#This Row],[Date_livraison]]))</f>
        <v>#VALUE!</v>
      </c>
      <c r="R11" t="e">
        <f ca="1">Tab_Calculs[[#This Row],[Ratio_Cout_après_livr]]+Tab_Calculs[[#This Row],[Ratio_Cout_avant_livr]]+Tab_Calculs[[#This Row],[Ratio_Cout_avant_debut]]</f>
        <v>#VALUE!</v>
      </c>
      <c r="S11" t="str">
        <f ca="1">IFERROR(N11*VLOOKUP(Tab_Calculs[[#This Row],[Colonne1]],Controle_des_données!$B$7:$G$14,6,FALSE),"")</f>
        <v/>
      </c>
      <c r="T11" t="str">
        <f ca="1">IF(Tab_Calculs[[#This Row],[Combustible ]]="Electricité (kWh)",Tab_Calculs[[#This Row],[Conso_mois_kWh]]*2.3,Tab_Calculs[[#This Row],[Conso_mois_kWh]])</f>
        <v/>
      </c>
      <c r="U11" t="str">
        <f ca="1">IFERROR(N11*VLOOKUP(Tab_Calculs[[#This Row],[Colonne1]],Controle_des_données!$B$7:$H$14,7,FALSE),"")</f>
        <v/>
      </c>
      <c r="V11">
        <f ca="1">IFERROR(Tab_Calculs[[#This Row],[Cout_mois]]/Tab_Calculs[[#This Row],[Conso_mois_kWh]],0)</f>
        <v>0</v>
      </c>
      <c r="W11" t="str">
        <f>T(VLOOKUP(Tab_Calculs[[#This Row],[Compteur]],Site!$B$33:$G$40,3,FALSE))</f>
        <v/>
      </c>
      <c r="X11" t="str">
        <f>T(VLOOKUP(Tab_Calculs[[#This Row],[Compteur]],Site!$B$33:$G$40,4,FALSE))</f>
        <v/>
      </c>
      <c r="Y11" t="str">
        <f>T(VLOOKUP(Tab_Calculs[[#This Row],[Compteur]],Site!$B$33:$G$40,5,FALSE))</f>
        <v/>
      </c>
      <c r="Z11" t="str">
        <f>T(VLOOKUP(Tab_Calculs[[#This Row],[Compteur]],Site!$B$33:$G$40,6,FALSE))</f>
        <v/>
      </c>
      <c r="AA11">
        <f>IFERROR(GETPIVOTDATA("DJU(chauffagiste)",BDD_DJU!$P$13,"annee",Tab_Calculs[[#This Row],[ANNEE]],"mois_numero",Tab_Calculs[[#This Row],[MOIS]]),0)</f>
        <v>312.8</v>
      </c>
      <c r="AE11" s="231" t="s">
        <v>235</v>
      </c>
      <c r="AI11" s="231" t="s">
        <v>367</v>
      </c>
      <c r="AJ11" s="231" t="s">
        <v>368</v>
      </c>
      <c r="AK11" s="231" t="s">
        <v>369</v>
      </c>
      <c r="AL11" s="231" t="s">
        <v>370</v>
      </c>
      <c r="AM11" s="231" t="s">
        <v>313</v>
      </c>
      <c r="AQ11" s="231" t="s">
        <v>375</v>
      </c>
      <c r="AR11" s="231" t="s">
        <v>376</v>
      </c>
      <c r="AS11" s="231" t="s">
        <v>377</v>
      </c>
      <c r="AT11" s="231" t="s">
        <v>378</v>
      </c>
      <c r="AU11" s="231" t="s">
        <v>58</v>
      </c>
      <c r="AY11" s="231" t="s">
        <v>343</v>
      </c>
      <c r="AZ11" s="231" t="s">
        <v>344</v>
      </c>
      <c r="BA11" s="231" t="s">
        <v>348</v>
      </c>
      <c r="BB11" s="231" t="s">
        <v>351</v>
      </c>
      <c r="BC11" s="231" t="s">
        <v>345</v>
      </c>
      <c r="BD11" s="231" t="s">
        <v>346</v>
      </c>
      <c r="BE11" s="231" t="s">
        <v>349</v>
      </c>
      <c r="BF11" s="231" t="s">
        <v>352</v>
      </c>
    </row>
    <row r="12" spans="1:58" x14ac:dyDescent="0.25">
      <c r="A12" s="3">
        <f>DATE(Tab_Calculs[[#This Row],[ANNEE]],Tab_Calculs[[#This Row],[MOIS]],1)</f>
        <v>40269</v>
      </c>
      <c r="B12" s="3">
        <f>EDATE(Tab_Calculs[[#This Row],[Début mois]],1)-1</f>
        <v>40298</v>
      </c>
      <c r="C12">
        <v>4</v>
      </c>
      <c r="D12">
        <v>2010</v>
      </c>
      <c r="E12" t="s">
        <v>80</v>
      </c>
      <c r="F12" t="str">
        <f>SUBSTITUTE(Tab_Calculs[[#This Row],[Compteur]]," ","_")</f>
        <v>Compteur_1</v>
      </c>
      <c r="G12" t="str">
        <f>T(INDEX(Site!$B$33:$G$40, MATCH(Tab_Calculs[[#This Row],[Compteur]], Site!$B$33:$B$40,0),2))</f>
        <v/>
      </c>
      <c r="H12" s="3">
        <f t="array" aca="1" ref="H12" ca="1">MIN(IF(INDIRECT(CONCATENATE(Tab_Calculs[[#This Row],[Colonne1]],"!$B$2:$B$243"))&gt;=Calculs_Consos!$A12,INDIRECT(CONCATENATE(Tab_Calculs[[#This Row],[Colonne1]],"!$B$2:$B$243"))))</f>
        <v>0</v>
      </c>
      <c r="I12" s="3">
        <f ca="1">INDEX(INDIRECT(CONCATENATE("Tab_",Tab_Calculs[[#This Row],[Colonne1]])),Tab_Calculs[[#This Row],[index_date_livraison]],1)</f>
        <v>0</v>
      </c>
      <c r="J12">
        <f ca="1">MATCH(Tab_Calculs[[#This Row],[Date_livraison]],INDIRECT(CONCATENATE("Tab_",Tab_Calculs[[#This Row],[Colonne1]],"[Fin de période]")),0)</f>
        <v>1</v>
      </c>
      <c r="K12" t="e">
        <f ca="1">INDEX(INDIRECT(CONCATENATE("Tab_",Tab_Calculs[[#This Row],[Colonne1]])),Tab_Calculs[[#This Row],[index_date_livraison]]-1,6)*(MAX(Tab_Calculs[[#This Row],[Début periode livraison]],Tab_Calculs[[#This Row],[Début mois]])-Tab_Calculs[[#This Row],[Début mois]])</f>
        <v>#VALUE!</v>
      </c>
      <c r="L12" s="94">
        <f ca="1">INDEX(INDIRECT(CONCATENATE("Tab_",Tab_Calculs[[#This Row],[Colonne1]])),Tab_Calculs[[#This Row],[index_date_livraison]],6)*(1+MIN(Tab_Calculs[[#This Row],[Date_livraison]],Tab_Calculs[[#This Row],[fin mois]])-MAX(Tab_Calculs[[#This Row],[Début mois]],Tab_Calculs[[#This Row],[Début periode livraison]]))</f>
        <v>0</v>
      </c>
      <c r="M12" s="94" t="e">
        <f ca="1">INDEX(INDIRECT(CONCATENATE("Tab_",Tab_Calculs[[#This Row],[Colonne1]])),Tab_Calculs[[#This Row],[index_date_livraison]]+1,6)*(Tab_Calculs[[#This Row],[fin mois]]-MIN(Tab_Calculs[[#This Row],[fin mois]],Tab_Calculs[[#This Row],[Date_livraison]]))</f>
        <v>#VALUE!</v>
      </c>
      <c r="N12" s="231" t="str">
        <f ca="1">IFERROR(Tab_Calculs[[#This Row],[Ratio_jour_après_livr]]+Tab_Calculs[[#This Row],[Ratio_jour_avant_livr]]+Tab_Calculs[[#This Row],[ratio_avant_debut]],"")</f>
        <v/>
      </c>
      <c r="O12" t="e">
        <f ca="1">INDEX(INDIRECT(CONCATENATE("Tab_",Tab_Calculs[[#This Row],[Colonne1]])),Tab_Calculs[[#This Row],[index_date_livraison]]-1,7)*(MAX(Tab_Calculs[[#This Row],[Début periode livraison]],Tab_Calculs[[#This Row],[Début mois]])-Tab_Calculs[[#This Row],[Début mois]])</f>
        <v>#VALUE!</v>
      </c>
      <c r="P12">
        <f ca="1">INDEX(INDIRECT(CONCATENATE("Tab_",Tab_Calculs[[#This Row],[Colonne1]])),Tab_Calculs[[#This Row],[index_date_livraison]],7)*(1+MIN(Tab_Calculs[[#This Row],[Date_livraison]],Tab_Calculs[[#This Row],[fin mois]])-MAX(Tab_Calculs[[#This Row],[Début mois]],Tab_Calculs[[#This Row],[Début periode livraison]]))</f>
        <v>0</v>
      </c>
      <c r="Q12" t="e">
        <f ca="1">INDEX(INDIRECT(CONCATENATE("Tab_",Tab_Calculs[[#This Row],[Colonne1]])),Tab_Calculs[[#This Row],[index_date_livraison]]+1,7)*(Tab_Calculs[[#This Row],[fin mois]]-MIN(Tab_Calculs[[#This Row],[fin mois]],Tab_Calculs[[#This Row],[Date_livraison]]))</f>
        <v>#VALUE!</v>
      </c>
      <c r="R12" t="e">
        <f ca="1">Tab_Calculs[[#This Row],[Ratio_Cout_après_livr]]+Tab_Calculs[[#This Row],[Ratio_Cout_avant_livr]]+Tab_Calculs[[#This Row],[Ratio_Cout_avant_debut]]</f>
        <v>#VALUE!</v>
      </c>
      <c r="S12" t="str">
        <f ca="1">IFERROR(N12*VLOOKUP(Tab_Calculs[[#This Row],[Colonne1]],Controle_des_données!$B$7:$G$14,6,FALSE),"")</f>
        <v/>
      </c>
      <c r="T12" t="str">
        <f ca="1">IF(Tab_Calculs[[#This Row],[Combustible ]]="Electricité (kWh)",Tab_Calculs[[#This Row],[Conso_mois_kWh]]*2.3,Tab_Calculs[[#This Row],[Conso_mois_kWh]])</f>
        <v/>
      </c>
      <c r="U12" t="str">
        <f ca="1">IFERROR(N12*VLOOKUP(Tab_Calculs[[#This Row],[Colonne1]],Controle_des_données!$B$7:$H$14,7,FALSE),"")</f>
        <v/>
      </c>
      <c r="V12">
        <f ca="1">IFERROR(Tab_Calculs[[#This Row],[Cout_mois]]/Tab_Calculs[[#This Row],[Conso_mois_kWh]],0)</f>
        <v>0</v>
      </c>
      <c r="W12" t="str">
        <f>T(VLOOKUP(Tab_Calculs[[#This Row],[Compteur]],Site!$B$33:$G$40,3,FALSE))</f>
        <v/>
      </c>
      <c r="X12" t="str">
        <f>T(VLOOKUP(Tab_Calculs[[#This Row],[Compteur]],Site!$B$33:$G$40,4,FALSE))</f>
        <v/>
      </c>
      <c r="Y12" t="str">
        <f>T(VLOOKUP(Tab_Calculs[[#This Row],[Compteur]],Site!$B$33:$G$40,5,FALSE))</f>
        <v/>
      </c>
      <c r="Z12" t="str">
        <f>T(VLOOKUP(Tab_Calculs[[#This Row],[Compteur]],Site!$B$33:$G$40,6,FALSE))</f>
        <v/>
      </c>
      <c r="AA12">
        <f>IFERROR(GETPIVOTDATA("DJU(chauffagiste)",BDD_DJU!$P$13,"annee",Tab_Calculs[[#This Row],[ANNEE]],"mois_numero",Tab_Calculs[[#This Row],[MOIS]]),0)</f>
        <v>199.2</v>
      </c>
      <c r="AE12" s="231"/>
      <c r="AM12" s="231" t="s">
        <v>379</v>
      </c>
      <c r="AU12" s="231" t="s">
        <v>379</v>
      </c>
    </row>
    <row r="13" spans="1:58" x14ac:dyDescent="0.25">
      <c r="A13" s="3">
        <f>DATE(Tab_Calculs[[#This Row],[ANNEE]],Tab_Calculs[[#This Row],[MOIS]],1)</f>
        <v>40299</v>
      </c>
      <c r="B13" s="3">
        <f>EDATE(Tab_Calculs[[#This Row],[Début mois]],1)-1</f>
        <v>40329</v>
      </c>
      <c r="C13">
        <v>5</v>
      </c>
      <c r="D13">
        <v>2010</v>
      </c>
      <c r="E13" t="s">
        <v>80</v>
      </c>
      <c r="F13" t="str">
        <f>SUBSTITUTE(Tab_Calculs[[#This Row],[Compteur]]," ","_")</f>
        <v>Compteur_1</v>
      </c>
      <c r="G13" t="str">
        <f>T(INDEX(Site!$B$33:$G$40, MATCH(Tab_Calculs[[#This Row],[Compteur]], Site!$B$33:$B$40,0),2))</f>
        <v/>
      </c>
      <c r="H13" s="3">
        <f t="array" aca="1" ref="H13" ca="1">MIN(IF(INDIRECT(CONCATENATE(Tab_Calculs[[#This Row],[Colonne1]],"!$B$2:$B$243"))&gt;=Calculs_Consos!$A13,INDIRECT(CONCATENATE(Tab_Calculs[[#This Row],[Colonne1]],"!$B$2:$B$243"))))</f>
        <v>0</v>
      </c>
      <c r="I13" s="3">
        <f ca="1">INDEX(INDIRECT(CONCATENATE("Tab_",Tab_Calculs[[#This Row],[Colonne1]])),Tab_Calculs[[#This Row],[index_date_livraison]],1)</f>
        <v>0</v>
      </c>
      <c r="J13">
        <f ca="1">MATCH(Tab_Calculs[[#This Row],[Date_livraison]],INDIRECT(CONCATENATE("Tab_",Tab_Calculs[[#This Row],[Colonne1]],"[Fin de période]")),0)</f>
        <v>1</v>
      </c>
      <c r="K13" t="e">
        <f ca="1">INDEX(INDIRECT(CONCATENATE("Tab_",Tab_Calculs[[#This Row],[Colonne1]])),Tab_Calculs[[#This Row],[index_date_livraison]]-1,6)*(MAX(Tab_Calculs[[#This Row],[Début periode livraison]],Tab_Calculs[[#This Row],[Début mois]])-Tab_Calculs[[#This Row],[Début mois]])</f>
        <v>#VALUE!</v>
      </c>
      <c r="L13" s="94">
        <f ca="1">INDEX(INDIRECT(CONCATENATE("Tab_",Tab_Calculs[[#This Row],[Colonne1]])),Tab_Calculs[[#This Row],[index_date_livraison]],6)*(1+MIN(Tab_Calculs[[#This Row],[Date_livraison]],Tab_Calculs[[#This Row],[fin mois]])-MAX(Tab_Calculs[[#This Row],[Début mois]],Tab_Calculs[[#This Row],[Début periode livraison]]))</f>
        <v>0</v>
      </c>
      <c r="M13" s="94" t="e">
        <f ca="1">INDEX(INDIRECT(CONCATENATE("Tab_",Tab_Calculs[[#This Row],[Colonne1]])),Tab_Calculs[[#This Row],[index_date_livraison]]+1,6)*(Tab_Calculs[[#This Row],[fin mois]]-MIN(Tab_Calculs[[#This Row],[fin mois]],Tab_Calculs[[#This Row],[Date_livraison]]))</f>
        <v>#VALUE!</v>
      </c>
      <c r="N13" s="231" t="str">
        <f ca="1">IFERROR(Tab_Calculs[[#This Row],[Ratio_jour_après_livr]]+Tab_Calculs[[#This Row],[Ratio_jour_avant_livr]]+Tab_Calculs[[#This Row],[ratio_avant_debut]],"")</f>
        <v/>
      </c>
      <c r="O13" t="e">
        <f ca="1">INDEX(INDIRECT(CONCATENATE("Tab_",Tab_Calculs[[#This Row],[Colonne1]])),Tab_Calculs[[#This Row],[index_date_livraison]]-1,7)*(MAX(Tab_Calculs[[#This Row],[Début periode livraison]],Tab_Calculs[[#This Row],[Début mois]])-Tab_Calculs[[#This Row],[Début mois]])</f>
        <v>#VALUE!</v>
      </c>
      <c r="P13">
        <f ca="1">INDEX(INDIRECT(CONCATENATE("Tab_",Tab_Calculs[[#This Row],[Colonne1]])),Tab_Calculs[[#This Row],[index_date_livraison]],7)*(1+MIN(Tab_Calculs[[#This Row],[Date_livraison]],Tab_Calculs[[#This Row],[fin mois]])-MAX(Tab_Calculs[[#This Row],[Début mois]],Tab_Calculs[[#This Row],[Début periode livraison]]))</f>
        <v>0</v>
      </c>
      <c r="Q13" t="e">
        <f ca="1">INDEX(INDIRECT(CONCATENATE("Tab_",Tab_Calculs[[#This Row],[Colonne1]])),Tab_Calculs[[#This Row],[index_date_livraison]]+1,7)*(Tab_Calculs[[#This Row],[fin mois]]-MIN(Tab_Calculs[[#This Row],[fin mois]],Tab_Calculs[[#This Row],[Date_livraison]]))</f>
        <v>#VALUE!</v>
      </c>
      <c r="R13" t="e">
        <f ca="1">Tab_Calculs[[#This Row],[Ratio_Cout_après_livr]]+Tab_Calculs[[#This Row],[Ratio_Cout_avant_livr]]+Tab_Calculs[[#This Row],[Ratio_Cout_avant_debut]]</f>
        <v>#VALUE!</v>
      </c>
      <c r="S13" t="str">
        <f ca="1">IFERROR(N13*VLOOKUP(Tab_Calculs[[#This Row],[Colonne1]],Controle_des_données!$B$7:$G$14,6,FALSE),"")</f>
        <v/>
      </c>
      <c r="T13" t="str">
        <f ca="1">IF(Tab_Calculs[[#This Row],[Combustible ]]="Electricité (kWh)",Tab_Calculs[[#This Row],[Conso_mois_kWh]]*2.3,Tab_Calculs[[#This Row],[Conso_mois_kWh]])</f>
        <v/>
      </c>
      <c r="U13" t="str">
        <f ca="1">IFERROR(N13*VLOOKUP(Tab_Calculs[[#This Row],[Colonne1]],Controle_des_données!$B$7:$H$14,7,FALSE),"")</f>
        <v/>
      </c>
      <c r="V13">
        <f ca="1">IFERROR(Tab_Calculs[[#This Row],[Cout_mois]]/Tab_Calculs[[#This Row],[Conso_mois_kWh]],0)</f>
        <v>0</v>
      </c>
      <c r="W13" t="str">
        <f>T(VLOOKUP(Tab_Calculs[[#This Row],[Compteur]],Site!$B$33:$G$40,3,FALSE))</f>
        <v/>
      </c>
      <c r="X13" t="str">
        <f>T(VLOOKUP(Tab_Calculs[[#This Row],[Compteur]],Site!$B$33:$G$40,4,FALSE))</f>
        <v/>
      </c>
      <c r="Y13" t="str">
        <f>T(VLOOKUP(Tab_Calculs[[#This Row],[Compteur]],Site!$B$33:$G$40,5,FALSE))</f>
        <v/>
      </c>
      <c r="Z13" t="str">
        <f>T(VLOOKUP(Tab_Calculs[[#This Row],[Compteur]],Site!$B$33:$G$40,6,FALSE))</f>
        <v/>
      </c>
      <c r="AA13">
        <f>IFERROR(GETPIVOTDATA("DJU(chauffagiste)",BDD_DJU!$P$13,"annee",Tab_Calculs[[#This Row],[ANNEE]],"mois_numero",Tab_Calculs[[#This Row],[MOIS]]),0)</f>
        <v>155.4</v>
      </c>
      <c r="AD13" s="232" t="s">
        <v>34</v>
      </c>
      <c r="AE13" s="231" t="s">
        <v>342</v>
      </c>
      <c r="AF13" s="231" t="s">
        <v>347</v>
      </c>
      <c r="AG13" s="231" t="s">
        <v>350</v>
      </c>
      <c r="AH13" s="231" t="s">
        <v>353</v>
      </c>
      <c r="AM13" s="231" t="s">
        <v>342</v>
      </c>
      <c r="AN13" s="231" t="s">
        <v>347</v>
      </c>
      <c r="AO13" s="231" t="s">
        <v>350</v>
      </c>
      <c r="AP13" s="231" t="s">
        <v>353</v>
      </c>
      <c r="AU13" s="231" t="s">
        <v>342</v>
      </c>
      <c r="AV13" s="231" t="s">
        <v>347</v>
      </c>
      <c r="AW13" s="231" t="s">
        <v>350</v>
      </c>
      <c r="AX13" s="231" t="s">
        <v>353</v>
      </c>
    </row>
    <row r="14" spans="1:58" x14ac:dyDescent="0.25">
      <c r="A14" s="3">
        <f>DATE(Tab_Calculs[[#This Row],[ANNEE]],Tab_Calculs[[#This Row],[MOIS]],1)</f>
        <v>40330</v>
      </c>
      <c r="B14" s="3">
        <f>EDATE(Tab_Calculs[[#This Row],[Début mois]],1)-1</f>
        <v>40359</v>
      </c>
      <c r="C14">
        <v>6</v>
      </c>
      <c r="D14">
        <v>2010</v>
      </c>
      <c r="E14" t="s">
        <v>80</v>
      </c>
      <c r="F14" t="str">
        <f>SUBSTITUTE(Tab_Calculs[[#This Row],[Compteur]]," ","_")</f>
        <v>Compteur_1</v>
      </c>
      <c r="G14" t="str">
        <f>T(INDEX(Site!$B$33:$G$40, MATCH(Tab_Calculs[[#This Row],[Compteur]], Site!$B$33:$B$40,0),2))</f>
        <v/>
      </c>
      <c r="H14" s="3">
        <f t="array" aca="1" ref="H14" ca="1">MIN(IF(INDIRECT(CONCATENATE(Tab_Calculs[[#This Row],[Colonne1]],"!$B$2:$B$243"))&gt;=Calculs_Consos!$A14,INDIRECT(CONCATENATE(Tab_Calculs[[#This Row],[Colonne1]],"!$B$2:$B$243"))))</f>
        <v>0</v>
      </c>
      <c r="I14" s="3">
        <f ca="1">INDEX(INDIRECT(CONCATENATE("Tab_",Tab_Calculs[[#This Row],[Colonne1]])),Tab_Calculs[[#This Row],[index_date_livraison]],1)</f>
        <v>0</v>
      </c>
      <c r="J14">
        <f ca="1">MATCH(Tab_Calculs[[#This Row],[Date_livraison]],INDIRECT(CONCATENATE("Tab_",Tab_Calculs[[#This Row],[Colonne1]],"[Fin de période]")),0)</f>
        <v>1</v>
      </c>
      <c r="K14" t="e">
        <f ca="1">INDEX(INDIRECT(CONCATENATE("Tab_",Tab_Calculs[[#This Row],[Colonne1]])),Tab_Calculs[[#This Row],[index_date_livraison]]-1,6)*(MAX(Tab_Calculs[[#This Row],[Début periode livraison]],Tab_Calculs[[#This Row],[Début mois]])-Tab_Calculs[[#This Row],[Début mois]])</f>
        <v>#VALUE!</v>
      </c>
      <c r="L14" s="94">
        <f ca="1">INDEX(INDIRECT(CONCATENATE("Tab_",Tab_Calculs[[#This Row],[Colonne1]])),Tab_Calculs[[#This Row],[index_date_livraison]],6)*(1+MIN(Tab_Calculs[[#This Row],[Date_livraison]],Tab_Calculs[[#This Row],[fin mois]])-MAX(Tab_Calculs[[#This Row],[Début mois]],Tab_Calculs[[#This Row],[Début periode livraison]]))</f>
        <v>0</v>
      </c>
      <c r="M14" s="94" t="e">
        <f ca="1">INDEX(INDIRECT(CONCATENATE("Tab_",Tab_Calculs[[#This Row],[Colonne1]])),Tab_Calculs[[#This Row],[index_date_livraison]]+1,6)*(Tab_Calculs[[#This Row],[fin mois]]-MIN(Tab_Calculs[[#This Row],[fin mois]],Tab_Calculs[[#This Row],[Date_livraison]]))</f>
        <v>#VALUE!</v>
      </c>
      <c r="N14" s="231" t="str">
        <f ca="1">IFERROR(Tab_Calculs[[#This Row],[Ratio_jour_après_livr]]+Tab_Calculs[[#This Row],[Ratio_jour_avant_livr]]+Tab_Calculs[[#This Row],[ratio_avant_debut]],"")</f>
        <v/>
      </c>
      <c r="O14" t="e">
        <f ca="1">INDEX(INDIRECT(CONCATENATE("Tab_",Tab_Calculs[[#This Row],[Colonne1]])),Tab_Calculs[[#This Row],[index_date_livraison]]-1,7)*(MAX(Tab_Calculs[[#This Row],[Début periode livraison]],Tab_Calculs[[#This Row],[Début mois]])-Tab_Calculs[[#This Row],[Début mois]])</f>
        <v>#VALUE!</v>
      </c>
      <c r="P14">
        <f ca="1">INDEX(INDIRECT(CONCATENATE("Tab_",Tab_Calculs[[#This Row],[Colonne1]])),Tab_Calculs[[#This Row],[index_date_livraison]],7)*(1+MIN(Tab_Calculs[[#This Row],[Date_livraison]],Tab_Calculs[[#This Row],[fin mois]])-MAX(Tab_Calculs[[#This Row],[Début mois]],Tab_Calculs[[#This Row],[Début periode livraison]]))</f>
        <v>0</v>
      </c>
      <c r="Q14" t="e">
        <f ca="1">INDEX(INDIRECT(CONCATENATE("Tab_",Tab_Calculs[[#This Row],[Colonne1]])),Tab_Calculs[[#This Row],[index_date_livraison]]+1,7)*(Tab_Calculs[[#This Row],[fin mois]]-MIN(Tab_Calculs[[#This Row],[fin mois]],Tab_Calculs[[#This Row],[Date_livraison]]))</f>
        <v>#VALUE!</v>
      </c>
      <c r="R14" t="e">
        <f ca="1">Tab_Calculs[[#This Row],[Ratio_Cout_après_livr]]+Tab_Calculs[[#This Row],[Ratio_Cout_avant_livr]]+Tab_Calculs[[#This Row],[Ratio_Cout_avant_debut]]</f>
        <v>#VALUE!</v>
      </c>
      <c r="S14" t="str">
        <f ca="1">IFERROR(N14*VLOOKUP(Tab_Calculs[[#This Row],[Colonne1]],Controle_des_données!$B$7:$G$14,6,FALSE),"")</f>
        <v/>
      </c>
      <c r="T14" t="str">
        <f ca="1">IF(Tab_Calculs[[#This Row],[Combustible ]]="Electricité (kWh)",Tab_Calculs[[#This Row],[Conso_mois_kWh]]*2.3,Tab_Calculs[[#This Row],[Conso_mois_kWh]])</f>
        <v/>
      </c>
      <c r="U14" t="str">
        <f ca="1">IFERROR(N14*VLOOKUP(Tab_Calculs[[#This Row],[Colonne1]],Controle_des_données!$B$7:$H$14,7,FALSE),"")</f>
        <v/>
      </c>
      <c r="V14">
        <f ca="1">IFERROR(Tab_Calculs[[#This Row],[Cout_mois]]/Tab_Calculs[[#This Row],[Conso_mois_kWh]],0)</f>
        <v>0</v>
      </c>
      <c r="W14" t="str">
        <f>T(VLOOKUP(Tab_Calculs[[#This Row],[Compteur]],Site!$B$33:$G$40,3,FALSE))</f>
        <v/>
      </c>
      <c r="X14" t="str">
        <f>T(VLOOKUP(Tab_Calculs[[#This Row],[Compteur]],Site!$B$33:$G$40,4,FALSE))</f>
        <v/>
      </c>
      <c r="Y14" t="str">
        <f>T(VLOOKUP(Tab_Calculs[[#This Row],[Compteur]],Site!$B$33:$G$40,5,FALSE))</f>
        <v/>
      </c>
      <c r="Z14" t="str">
        <f>T(VLOOKUP(Tab_Calculs[[#This Row],[Compteur]],Site!$B$33:$G$40,6,FALSE))</f>
        <v/>
      </c>
      <c r="AA14">
        <f>IFERROR(GETPIVOTDATA("DJU(chauffagiste)",BDD_DJU!$P$13,"annee",Tab_Calculs[[#This Row],[ANNEE]],"mois_numero",Tab_Calculs[[#This Row],[MOIS]]),0)</f>
        <v>46.7</v>
      </c>
      <c r="AD14" s="233">
        <v>2010</v>
      </c>
      <c r="AE14" s="221">
        <v>0</v>
      </c>
      <c r="AF14" s="221">
        <v>0</v>
      </c>
      <c r="AG14" s="221">
        <v>0</v>
      </c>
      <c r="AH14" s="221">
        <v>0</v>
      </c>
      <c r="AI14" s="221">
        <v>0</v>
      </c>
      <c r="AJ14" s="221">
        <v>0</v>
      </c>
      <c r="AK14" s="221">
        <v>0</v>
      </c>
      <c r="AL14" s="221">
        <v>0</v>
      </c>
      <c r="AM14" s="221"/>
      <c r="AN14" s="221"/>
      <c r="AO14" s="221"/>
      <c r="AP14" s="221"/>
      <c r="AQ14" s="221"/>
      <c r="AR14" s="221"/>
      <c r="AS14" s="221"/>
      <c r="AT14" s="221"/>
      <c r="AU14" s="221"/>
      <c r="AV14" s="221"/>
      <c r="AW14" s="221"/>
      <c r="AX14" s="221"/>
      <c r="AY14" s="221"/>
      <c r="AZ14" s="221"/>
      <c r="BA14" s="221"/>
      <c r="BB14" s="221"/>
      <c r="BC14" s="221">
        <v>0</v>
      </c>
      <c r="BD14" s="221">
        <v>0</v>
      </c>
      <c r="BE14" s="221">
        <v>0</v>
      </c>
      <c r="BF14" s="221">
        <v>0</v>
      </c>
    </row>
    <row r="15" spans="1:58" x14ac:dyDescent="0.25">
      <c r="A15" s="3">
        <f>DATE(Tab_Calculs[[#This Row],[ANNEE]],Tab_Calculs[[#This Row],[MOIS]],1)</f>
        <v>40360</v>
      </c>
      <c r="B15" s="3">
        <f>EDATE(Tab_Calculs[[#This Row],[Début mois]],1)-1</f>
        <v>40390</v>
      </c>
      <c r="C15">
        <v>7</v>
      </c>
      <c r="D15">
        <v>2010</v>
      </c>
      <c r="E15" t="s">
        <v>80</v>
      </c>
      <c r="F15" t="str">
        <f>SUBSTITUTE(Tab_Calculs[[#This Row],[Compteur]]," ","_")</f>
        <v>Compteur_1</v>
      </c>
      <c r="G15" t="str">
        <f>T(INDEX(Site!$B$33:$G$40, MATCH(Tab_Calculs[[#This Row],[Compteur]], Site!$B$33:$B$40,0),2))</f>
        <v/>
      </c>
      <c r="H15" s="3">
        <f t="array" aca="1" ref="H15" ca="1">MIN(IF(INDIRECT(CONCATENATE(Tab_Calculs[[#This Row],[Colonne1]],"!$B$2:$B$243"))&gt;=Calculs_Consos!$A15,INDIRECT(CONCATENATE(Tab_Calculs[[#This Row],[Colonne1]],"!$B$2:$B$243"))))</f>
        <v>0</v>
      </c>
      <c r="I15" s="3">
        <f ca="1">INDEX(INDIRECT(CONCATENATE("Tab_",Tab_Calculs[[#This Row],[Colonne1]])),Tab_Calculs[[#This Row],[index_date_livraison]],1)</f>
        <v>0</v>
      </c>
      <c r="J15">
        <f ca="1">MATCH(Tab_Calculs[[#This Row],[Date_livraison]],INDIRECT(CONCATENATE("Tab_",Tab_Calculs[[#This Row],[Colonne1]],"[Fin de période]")),0)</f>
        <v>1</v>
      </c>
      <c r="K15" t="e">
        <f ca="1">INDEX(INDIRECT(CONCATENATE("Tab_",Tab_Calculs[[#This Row],[Colonne1]])),Tab_Calculs[[#This Row],[index_date_livraison]]-1,6)*(MAX(Tab_Calculs[[#This Row],[Début periode livraison]],Tab_Calculs[[#This Row],[Début mois]])-Tab_Calculs[[#This Row],[Début mois]])</f>
        <v>#VALUE!</v>
      </c>
      <c r="L15" s="94">
        <f ca="1">INDEX(INDIRECT(CONCATENATE("Tab_",Tab_Calculs[[#This Row],[Colonne1]])),Tab_Calculs[[#This Row],[index_date_livraison]],6)*(1+MIN(Tab_Calculs[[#This Row],[Date_livraison]],Tab_Calculs[[#This Row],[fin mois]])-MAX(Tab_Calculs[[#This Row],[Début mois]],Tab_Calculs[[#This Row],[Début periode livraison]]))</f>
        <v>0</v>
      </c>
      <c r="M15" s="94" t="e">
        <f ca="1">INDEX(INDIRECT(CONCATENATE("Tab_",Tab_Calculs[[#This Row],[Colonne1]])),Tab_Calculs[[#This Row],[index_date_livraison]]+1,6)*(Tab_Calculs[[#This Row],[fin mois]]-MIN(Tab_Calculs[[#This Row],[fin mois]],Tab_Calculs[[#This Row],[Date_livraison]]))</f>
        <v>#VALUE!</v>
      </c>
      <c r="N15" s="231" t="str">
        <f ca="1">IFERROR(Tab_Calculs[[#This Row],[Ratio_jour_après_livr]]+Tab_Calculs[[#This Row],[Ratio_jour_avant_livr]]+Tab_Calculs[[#This Row],[ratio_avant_debut]],"")</f>
        <v/>
      </c>
      <c r="O15" t="e">
        <f ca="1">INDEX(INDIRECT(CONCATENATE("Tab_",Tab_Calculs[[#This Row],[Colonne1]])),Tab_Calculs[[#This Row],[index_date_livraison]]-1,7)*(MAX(Tab_Calculs[[#This Row],[Début periode livraison]],Tab_Calculs[[#This Row],[Début mois]])-Tab_Calculs[[#This Row],[Début mois]])</f>
        <v>#VALUE!</v>
      </c>
      <c r="P15">
        <f ca="1">INDEX(INDIRECT(CONCATENATE("Tab_",Tab_Calculs[[#This Row],[Colonne1]])),Tab_Calculs[[#This Row],[index_date_livraison]],7)*(1+MIN(Tab_Calculs[[#This Row],[Date_livraison]],Tab_Calculs[[#This Row],[fin mois]])-MAX(Tab_Calculs[[#This Row],[Début mois]],Tab_Calculs[[#This Row],[Début periode livraison]]))</f>
        <v>0</v>
      </c>
      <c r="Q15" t="e">
        <f ca="1">INDEX(INDIRECT(CONCATENATE("Tab_",Tab_Calculs[[#This Row],[Colonne1]])),Tab_Calculs[[#This Row],[index_date_livraison]]+1,7)*(Tab_Calculs[[#This Row],[fin mois]]-MIN(Tab_Calculs[[#This Row],[fin mois]],Tab_Calculs[[#This Row],[Date_livraison]]))</f>
        <v>#VALUE!</v>
      </c>
      <c r="R15" t="e">
        <f ca="1">Tab_Calculs[[#This Row],[Ratio_Cout_après_livr]]+Tab_Calculs[[#This Row],[Ratio_Cout_avant_livr]]+Tab_Calculs[[#This Row],[Ratio_Cout_avant_debut]]</f>
        <v>#VALUE!</v>
      </c>
      <c r="S15" t="str">
        <f ca="1">IFERROR(N15*VLOOKUP(Tab_Calculs[[#This Row],[Colonne1]],Controle_des_données!$B$7:$G$14,6,FALSE),"")</f>
        <v/>
      </c>
      <c r="T15" t="str">
        <f ca="1">IF(Tab_Calculs[[#This Row],[Combustible ]]="Electricité (kWh)",Tab_Calculs[[#This Row],[Conso_mois_kWh]]*2.3,Tab_Calculs[[#This Row],[Conso_mois_kWh]])</f>
        <v/>
      </c>
      <c r="U15" t="str">
        <f ca="1">IFERROR(N15*VLOOKUP(Tab_Calculs[[#This Row],[Colonne1]],Controle_des_données!$B$7:$H$14,7,FALSE),"")</f>
        <v/>
      </c>
      <c r="V15">
        <f ca="1">IFERROR(Tab_Calculs[[#This Row],[Cout_mois]]/Tab_Calculs[[#This Row],[Conso_mois_kWh]],0)</f>
        <v>0</v>
      </c>
      <c r="W15" t="str">
        <f>T(VLOOKUP(Tab_Calculs[[#This Row],[Compteur]],Site!$B$33:$G$40,3,FALSE))</f>
        <v/>
      </c>
      <c r="X15" t="str">
        <f>T(VLOOKUP(Tab_Calculs[[#This Row],[Compteur]],Site!$B$33:$G$40,4,FALSE))</f>
        <v/>
      </c>
      <c r="Y15" t="str">
        <f>T(VLOOKUP(Tab_Calculs[[#This Row],[Compteur]],Site!$B$33:$G$40,5,FALSE))</f>
        <v/>
      </c>
      <c r="Z15" t="str">
        <f>T(VLOOKUP(Tab_Calculs[[#This Row],[Compteur]],Site!$B$33:$G$40,6,FALSE))</f>
        <v/>
      </c>
      <c r="AA15">
        <f>IFERROR(GETPIVOTDATA("DJU(chauffagiste)",BDD_DJU!$P$13,"annee",Tab_Calculs[[#This Row],[ANNEE]],"mois_numero",Tab_Calculs[[#This Row],[MOIS]]),0)</f>
        <v>22.2</v>
      </c>
      <c r="AD15" s="233">
        <v>2011</v>
      </c>
      <c r="AE15" s="221">
        <v>0</v>
      </c>
      <c r="AF15" s="221">
        <v>0</v>
      </c>
      <c r="AG15" s="221">
        <v>0</v>
      </c>
      <c r="AH15" s="221">
        <v>0</v>
      </c>
      <c r="AI15" s="221">
        <v>0</v>
      </c>
      <c r="AJ15" s="221">
        <v>0</v>
      </c>
      <c r="AK15" s="221">
        <v>0</v>
      </c>
      <c r="AL15" s="221">
        <v>0</v>
      </c>
      <c r="AM15" s="221"/>
      <c r="AN15" s="221"/>
      <c r="AO15" s="221"/>
      <c r="AP15" s="221"/>
      <c r="AQ15" s="221"/>
      <c r="AR15" s="221"/>
      <c r="AS15" s="221"/>
      <c r="AT15" s="221"/>
      <c r="AU15" s="221"/>
      <c r="AV15" s="221"/>
      <c r="AW15" s="221"/>
      <c r="AX15" s="221"/>
      <c r="AY15" s="221"/>
      <c r="AZ15" s="221"/>
      <c r="BA15" s="221"/>
      <c r="BB15" s="221"/>
      <c r="BC15" s="221">
        <v>0</v>
      </c>
      <c r="BD15" s="221">
        <v>0</v>
      </c>
      <c r="BE15" s="221">
        <v>0</v>
      </c>
      <c r="BF15" s="221">
        <v>0</v>
      </c>
    </row>
    <row r="16" spans="1:58" x14ac:dyDescent="0.25">
      <c r="A16" s="3">
        <f>DATE(Tab_Calculs[[#This Row],[ANNEE]],Tab_Calculs[[#This Row],[MOIS]],1)</f>
        <v>40391</v>
      </c>
      <c r="B16" s="3">
        <f>EDATE(Tab_Calculs[[#This Row],[Début mois]],1)-1</f>
        <v>40421</v>
      </c>
      <c r="C16">
        <v>8</v>
      </c>
      <c r="D16">
        <v>2010</v>
      </c>
      <c r="E16" t="s">
        <v>80</v>
      </c>
      <c r="F16" t="str">
        <f>SUBSTITUTE(Tab_Calculs[[#This Row],[Compteur]]," ","_")</f>
        <v>Compteur_1</v>
      </c>
      <c r="G16" t="str">
        <f>T(INDEX(Site!$B$33:$G$40, MATCH(Tab_Calculs[[#This Row],[Compteur]], Site!$B$33:$B$40,0),2))</f>
        <v/>
      </c>
      <c r="H16" s="3">
        <f t="array" aca="1" ref="H16" ca="1">MIN(IF(INDIRECT(CONCATENATE(Tab_Calculs[[#This Row],[Colonne1]],"!$B$2:$B$243"))&gt;=Calculs_Consos!$A16,INDIRECT(CONCATENATE(Tab_Calculs[[#This Row],[Colonne1]],"!$B$2:$B$243"))))</f>
        <v>0</v>
      </c>
      <c r="I16" s="3">
        <f ca="1">INDEX(INDIRECT(CONCATENATE("Tab_",Tab_Calculs[[#This Row],[Colonne1]])),Tab_Calculs[[#This Row],[index_date_livraison]],1)</f>
        <v>0</v>
      </c>
      <c r="J16">
        <f ca="1">MATCH(Tab_Calculs[[#This Row],[Date_livraison]],INDIRECT(CONCATENATE("Tab_",Tab_Calculs[[#This Row],[Colonne1]],"[Fin de période]")),0)</f>
        <v>1</v>
      </c>
      <c r="K16" t="e">
        <f ca="1">INDEX(INDIRECT(CONCATENATE("Tab_",Tab_Calculs[[#This Row],[Colonne1]])),Tab_Calculs[[#This Row],[index_date_livraison]]-1,6)*(MAX(Tab_Calculs[[#This Row],[Début periode livraison]],Tab_Calculs[[#This Row],[Début mois]])-Tab_Calculs[[#This Row],[Début mois]])</f>
        <v>#VALUE!</v>
      </c>
      <c r="L16" s="94">
        <f ca="1">INDEX(INDIRECT(CONCATENATE("Tab_",Tab_Calculs[[#This Row],[Colonne1]])),Tab_Calculs[[#This Row],[index_date_livraison]],6)*(1+MIN(Tab_Calculs[[#This Row],[Date_livraison]],Tab_Calculs[[#This Row],[fin mois]])-MAX(Tab_Calculs[[#This Row],[Début mois]],Tab_Calculs[[#This Row],[Début periode livraison]]))</f>
        <v>0</v>
      </c>
      <c r="M16" s="94" t="e">
        <f ca="1">INDEX(INDIRECT(CONCATENATE("Tab_",Tab_Calculs[[#This Row],[Colonne1]])),Tab_Calculs[[#This Row],[index_date_livraison]]+1,6)*(Tab_Calculs[[#This Row],[fin mois]]-MIN(Tab_Calculs[[#This Row],[fin mois]],Tab_Calculs[[#This Row],[Date_livraison]]))</f>
        <v>#VALUE!</v>
      </c>
      <c r="N16" s="231" t="str">
        <f ca="1">IFERROR(Tab_Calculs[[#This Row],[Ratio_jour_après_livr]]+Tab_Calculs[[#This Row],[Ratio_jour_avant_livr]]+Tab_Calculs[[#This Row],[ratio_avant_debut]],"")</f>
        <v/>
      </c>
      <c r="O16" t="e">
        <f ca="1">INDEX(INDIRECT(CONCATENATE("Tab_",Tab_Calculs[[#This Row],[Colonne1]])),Tab_Calculs[[#This Row],[index_date_livraison]]-1,7)*(MAX(Tab_Calculs[[#This Row],[Début periode livraison]],Tab_Calculs[[#This Row],[Début mois]])-Tab_Calculs[[#This Row],[Début mois]])</f>
        <v>#VALUE!</v>
      </c>
      <c r="P16">
        <f ca="1">INDEX(INDIRECT(CONCATENATE("Tab_",Tab_Calculs[[#This Row],[Colonne1]])),Tab_Calculs[[#This Row],[index_date_livraison]],7)*(1+MIN(Tab_Calculs[[#This Row],[Date_livraison]],Tab_Calculs[[#This Row],[fin mois]])-MAX(Tab_Calculs[[#This Row],[Début mois]],Tab_Calculs[[#This Row],[Début periode livraison]]))</f>
        <v>0</v>
      </c>
      <c r="Q16" t="e">
        <f ca="1">INDEX(INDIRECT(CONCATENATE("Tab_",Tab_Calculs[[#This Row],[Colonne1]])),Tab_Calculs[[#This Row],[index_date_livraison]]+1,7)*(Tab_Calculs[[#This Row],[fin mois]]-MIN(Tab_Calculs[[#This Row],[fin mois]],Tab_Calculs[[#This Row],[Date_livraison]]))</f>
        <v>#VALUE!</v>
      </c>
      <c r="R16" t="e">
        <f ca="1">Tab_Calculs[[#This Row],[Ratio_Cout_après_livr]]+Tab_Calculs[[#This Row],[Ratio_Cout_avant_livr]]+Tab_Calculs[[#This Row],[Ratio_Cout_avant_debut]]</f>
        <v>#VALUE!</v>
      </c>
      <c r="S16" t="str">
        <f ca="1">IFERROR(N16*VLOOKUP(Tab_Calculs[[#This Row],[Colonne1]],Controle_des_données!$B$7:$G$14,6,FALSE),"")</f>
        <v/>
      </c>
      <c r="T16" t="str">
        <f ca="1">IF(Tab_Calculs[[#This Row],[Combustible ]]="Electricité (kWh)",Tab_Calculs[[#This Row],[Conso_mois_kWh]]*2.3,Tab_Calculs[[#This Row],[Conso_mois_kWh]])</f>
        <v/>
      </c>
      <c r="U16" t="str">
        <f ca="1">IFERROR(N16*VLOOKUP(Tab_Calculs[[#This Row],[Colonne1]],Controle_des_données!$B$7:$H$14,7,FALSE),"")</f>
        <v/>
      </c>
      <c r="V16">
        <f ca="1">IFERROR(Tab_Calculs[[#This Row],[Cout_mois]]/Tab_Calculs[[#This Row],[Conso_mois_kWh]],0)</f>
        <v>0</v>
      </c>
      <c r="W16" t="str">
        <f>T(VLOOKUP(Tab_Calculs[[#This Row],[Compteur]],Site!$B$33:$G$40,3,FALSE))</f>
        <v/>
      </c>
      <c r="X16" t="str">
        <f>T(VLOOKUP(Tab_Calculs[[#This Row],[Compteur]],Site!$B$33:$G$40,4,FALSE))</f>
        <v/>
      </c>
      <c r="Y16" t="str">
        <f>T(VLOOKUP(Tab_Calculs[[#This Row],[Compteur]],Site!$B$33:$G$40,5,FALSE))</f>
        <v/>
      </c>
      <c r="Z16" t="str">
        <f>T(VLOOKUP(Tab_Calculs[[#This Row],[Compteur]],Site!$B$33:$G$40,6,FALSE))</f>
        <v/>
      </c>
      <c r="AA16">
        <f>IFERROR(GETPIVOTDATA("DJU(chauffagiste)",BDD_DJU!$P$13,"annee",Tab_Calculs[[#This Row],[ANNEE]],"mois_numero",Tab_Calculs[[#This Row],[MOIS]]),0)</f>
        <v>41.5</v>
      </c>
      <c r="AD16" s="233">
        <v>2012</v>
      </c>
      <c r="AE16" s="221">
        <v>0</v>
      </c>
      <c r="AF16" s="221">
        <v>0</v>
      </c>
      <c r="AG16" s="221">
        <v>0</v>
      </c>
      <c r="AH16" s="221">
        <v>0</v>
      </c>
      <c r="AI16" s="221">
        <v>0</v>
      </c>
      <c r="AJ16" s="221">
        <v>0</v>
      </c>
      <c r="AK16" s="221">
        <v>0</v>
      </c>
      <c r="AL16" s="221">
        <v>0</v>
      </c>
      <c r="AM16" s="221"/>
      <c r="AN16" s="221"/>
      <c r="AO16" s="221"/>
      <c r="AP16" s="221"/>
      <c r="AQ16" s="221"/>
      <c r="AR16" s="221"/>
      <c r="AS16" s="221"/>
      <c r="AT16" s="221"/>
      <c r="AU16" s="221"/>
      <c r="AV16" s="221"/>
      <c r="AW16" s="221"/>
      <c r="AX16" s="221"/>
      <c r="AY16" s="221"/>
      <c r="AZ16" s="221"/>
      <c r="BA16" s="221"/>
      <c r="BB16" s="221"/>
      <c r="BC16" s="221">
        <v>0</v>
      </c>
      <c r="BD16" s="221">
        <v>0</v>
      </c>
      <c r="BE16" s="221">
        <v>0</v>
      </c>
      <c r="BF16" s="221">
        <v>0</v>
      </c>
    </row>
    <row r="17" spans="1:58" x14ac:dyDescent="0.25">
      <c r="A17" s="3">
        <f>DATE(Tab_Calculs[[#This Row],[ANNEE]],Tab_Calculs[[#This Row],[MOIS]],1)</f>
        <v>40422</v>
      </c>
      <c r="B17" s="3">
        <f>EDATE(Tab_Calculs[[#This Row],[Début mois]],1)-1</f>
        <v>40451</v>
      </c>
      <c r="C17">
        <v>9</v>
      </c>
      <c r="D17">
        <v>2010</v>
      </c>
      <c r="E17" t="s">
        <v>80</v>
      </c>
      <c r="F17" t="str">
        <f>SUBSTITUTE(Tab_Calculs[[#This Row],[Compteur]]," ","_")</f>
        <v>Compteur_1</v>
      </c>
      <c r="G17" t="str">
        <f>T(INDEX(Site!$B$33:$G$40, MATCH(Tab_Calculs[[#This Row],[Compteur]], Site!$B$33:$B$40,0),2))</f>
        <v/>
      </c>
      <c r="H17" s="3">
        <f t="array" aca="1" ref="H17" ca="1">MIN(IF(INDIRECT(CONCATENATE(Tab_Calculs[[#This Row],[Colonne1]],"!$B$2:$B$243"))&gt;=Calculs_Consos!$A17,INDIRECT(CONCATENATE(Tab_Calculs[[#This Row],[Colonne1]],"!$B$2:$B$243"))))</f>
        <v>0</v>
      </c>
      <c r="I17" s="3">
        <f ca="1">INDEX(INDIRECT(CONCATENATE("Tab_",Tab_Calculs[[#This Row],[Colonne1]])),Tab_Calculs[[#This Row],[index_date_livraison]],1)</f>
        <v>0</v>
      </c>
      <c r="J17">
        <f ca="1">MATCH(Tab_Calculs[[#This Row],[Date_livraison]],INDIRECT(CONCATENATE("Tab_",Tab_Calculs[[#This Row],[Colonne1]],"[Fin de période]")),0)</f>
        <v>1</v>
      </c>
      <c r="K17" t="e">
        <f ca="1">INDEX(INDIRECT(CONCATENATE("Tab_",Tab_Calculs[[#This Row],[Colonne1]])),Tab_Calculs[[#This Row],[index_date_livraison]]-1,6)*(MAX(Tab_Calculs[[#This Row],[Début periode livraison]],Tab_Calculs[[#This Row],[Début mois]])-Tab_Calculs[[#This Row],[Début mois]])</f>
        <v>#VALUE!</v>
      </c>
      <c r="L17" s="94">
        <f ca="1">INDEX(INDIRECT(CONCATENATE("Tab_",Tab_Calculs[[#This Row],[Colonne1]])),Tab_Calculs[[#This Row],[index_date_livraison]],6)*(1+MIN(Tab_Calculs[[#This Row],[Date_livraison]],Tab_Calculs[[#This Row],[fin mois]])-MAX(Tab_Calculs[[#This Row],[Début mois]],Tab_Calculs[[#This Row],[Début periode livraison]]))</f>
        <v>0</v>
      </c>
      <c r="M17" s="94" t="e">
        <f ca="1">INDEX(INDIRECT(CONCATENATE("Tab_",Tab_Calculs[[#This Row],[Colonne1]])),Tab_Calculs[[#This Row],[index_date_livraison]]+1,6)*(Tab_Calculs[[#This Row],[fin mois]]-MIN(Tab_Calculs[[#This Row],[fin mois]],Tab_Calculs[[#This Row],[Date_livraison]]))</f>
        <v>#VALUE!</v>
      </c>
      <c r="N17" s="231" t="str">
        <f ca="1">IFERROR(Tab_Calculs[[#This Row],[Ratio_jour_après_livr]]+Tab_Calculs[[#This Row],[Ratio_jour_avant_livr]]+Tab_Calculs[[#This Row],[ratio_avant_debut]],"")</f>
        <v/>
      </c>
      <c r="O17" t="e">
        <f ca="1">INDEX(INDIRECT(CONCATENATE("Tab_",Tab_Calculs[[#This Row],[Colonne1]])),Tab_Calculs[[#This Row],[index_date_livraison]]-1,7)*(MAX(Tab_Calculs[[#This Row],[Début periode livraison]],Tab_Calculs[[#This Row],[Début mois]])-Tab_Calculs[[#This Row],[Début mois]])</f>
        <v>#VALUE!</v>
      </c>
      <c r="P17">
        <f ca="1">INDEX(INDIRECT(CONCATENATE("Tab_",Tab_Calculs[[#This Row],[Colonne1]])),Tab_Calculs[[#This Row],[index_date_livraison]],7)*(1+MIN(Tab_Calculs[[#This Row],[Date_livraison]],Tab_Calculs[[#This Row],[fin mois]])-MAX(Tab_Calculs[[#This Row],[Début mois]],Tab_Calculs[[#This Row],[Début periode livraison]]))</f>
        <v>0</v>
      </c>
      <c r="Q17" t="e">
        <f ca="1">INDEX(INDIRECT(CONCATENATE("Tab_",Tab_Calculs[[#This Row],[Colonne1]])),Tab_Calculs[[#This Row],[index_date_livraison]]+1,7)*(Tab_Calculs[[#This Row],[fin mois]]-MIN(Tab_Calculs[[#This Row],[fin mois]],Tab_Calculs[[#This Row],[Date_livraison]]))</f>
        <v>#VALUE!</v>
      </c>
      <c r="R17" t="e">
        <f ca="1">Tab_Calculs[[#This Row],[Ratio_Cout_après_livr]]+Tab_Calculs[[#This Row],[Ratio_Cout_avant_livr]]+Tab_Calculs[[#This Row],[Ratio_Cout_avant_debut]]</f>
        <v>#VALUE!</v>
      </c>
      <c r="S17" t="str">
        <f ca="1">IFERROR(N17*VLOOKUP(Tab_Calculs[[#This Row],[Colonne1]],Controle_des_données!$B$7:$G$14,6,FALSE),"")</f>
        <v/>
      </c>
      <c r="T17" t="str">
        <f ca="1">IF(Tab_Calculs[[#This Row],[Combustible ]]="Electricité (kWh)",Tab_Calculs[[#This Row],[Conso_mois_kWh]]*2.3,Tab_Calculs[[#This Row],[Conso_mois_kWh]])</f>
        <v/>
      </c>
      <c r="U17" t="str">
        <f ca="1">IFERROR(N17*VLOOKUP(Tab_Calculs[[#This Row],[Colonne1]],Controle_des_données!$B$7:$H$14,7,FALSE),"")</f>
        <v/>
      </c>
      <c r="V17">
        <f ca="1">IFERROR(Tab_Calculs[[#This Row],[Cout_mois]]/Tab_Calculs[[#This Row],[Conso_mois_kWh]],0)</f>
        <v>0</v>
      </c>
      <c r="W17" t="str">
        <f>T(VLOOKUP(Tab_Calculs[[#This Row],[Compteur]],Site!$B$33:$G$40,3,FALSE))</f>
        <v/>
      </c>
      <c r="X17" t="str">
        <f>T(VLOOKUP(Tab_Calculs[[#This Row],[Compteur]],Site!$B$33:$G$40,4,FALSE))</f>
        <v/>
      </c>
      <c r="Y17" t="str">
        <f>T(VLOOKUP(Tab_Calculs[[#This Row],[Compteur]],Site!$B$33:$G$40,5,FALSE))</f>
        <v/>
      </c>
      <c r="Z17" t="str">
        <f>T(VLOOKUP(Tab_Calculs[[#This Row],[Compteur]],Site!$B$33:$G$40,6,FALSE))</f>
        <v/>
      </c>
      <c r="AA17">
        <f>IFERROR(GETPIVOTDATA("DJU(chauffagiste)",BDD_DJU!$P$13,"annee",Tab_Calculs[[#This Row],[ANNEE]],"mois_numero",Tab_Calculs[[#This Row],[MOIS]]),0)</f>
        <v>95.4</v>
      </c>
      <c r="AD17" s="233">
        <v>2013</v>
      </c>
      <c r="AE17" s="221">
        <v>0</v>
      </c>
      <c r="AF17" s="221">
        <v>0</v>
      </c>
      <c r="AG17" s="221">
        <v>0</v>
      </c>
      <c r="AH17" s="221">
        <v>0</v>
      </c>
      <c r="AI17" s="221">
        <v>0</v>
      </c>
      <c r="AJ17" s="221">
        <v>0</v>
      </c>
      <c r="AK17" s="221">
        <v>0</v>
      </c>
      <c r="AL17" s="221">
        <v>0</v>
      </c>
      <c r="AM17" s="221"/>
      <c r="AN17" s="221"/>
      <c r="AO17" s="221"/>
      <c r="AP17" s="221"/>
      <c r="AQ17" s="221"/>
      <c r="AR17" s="221"/>
      <c r="AS17" s="221"/>
      <c r="AT17" s="221"/>
      <c r="AU17" s="221"/>
      <c r="AV17" s="221"/>
      <c r="AW17" s="221"/>
      <c r="AX17" s="221"/>
      <c r="AY17" s="221"/>
      <c r="AZ17" s="221"/>
      <c r="BA17" s="221"/>
      <c r="BB17" s="221"/>
      <c r="BC17" s="221">
        <v>0</v>
      </c>
      <c r="BD17" s="221">
        <v>0</v>
      </c>
      <c r="BE17" s="221">
        <v>0</v>
      </c>
      <c r="BF17" s="221">
        <v>0</v>
      </c>
    </row>
    <row r="18" spans="1:58" x14ac:dyDescent="0.25">
      <c r="A18" s="3">
        <f>DATE(Tab_Calculs[[#This Row],[ANNEE]],Tab_Calculs[[#This Row],[MOIS]],1)</f>
        <v>40452</v>
      </c>
      <c r="B18" s="3">
        <f>EDATE(Tab_Calculs[[#This Row],[Début mois]],1)-1</f>
        <v>40482</v>
      </c>
      <c r="C18">
        <v>10</v>
      </c>
      <c r="D18">
        <v>2010</v>
      </c>
      <c r="E18" t="s">
        <v>80</v>
      </c>
      <c r="F18" t="str">
        <f>SUBSTITUTE(Tab_Calculs[[#This Row],[Compteur]]," ","_")</f>
        <v>Compteur_1</v>
      </c>
      <c r="G18" t="str">
        <f>T(INDEX(Site!$B$33:$G$40, MATCH(Tab_Calculs[[#This Row],[Compteur]], Site!$B$33:$B$40,0),2))</f>
        <v/>
      </c>
      <c r="H18" s="3">
        <f t="array" aca="1" ref="H18" ca="1">MIN(IF(INDIRECT(CONCATENATE(Tab_Calculs[[#This Row],[Colonne1]],"!$B$2:$B$243"))&gt;=Calculs_Consos!$A18,INDIRECT(CONCATENATE(Tab_Calculs[[#This Row],[Colonne1]],"!$B$2:$B$243"))))</f>
        <v>0</v>
      </c>
      <c r="I18" s="3">
        <f ca="1">INDEX(INDIRECT(CONCATENATE("Tab_",Tab_Calculs[[#This Row],[Colonne1]])),Tab_Calculs[[#This Row],[index_date_livraison]],1)</f>
        <v>0</v>
      </c>
      <c r="J18">
        <f ca="1">MATCH(Tab_Calculs[[#This Row],[Date_livraison]],INDIRECT(CONCATENATE("Tab_",Tab_Calculs[[#This Row],[Colonne1]],"[Fin de période]")),0)</f>
        <v>1</v>
      </c>
      <c r="K18" t="e">
        <f ca="1">INDEX(INDIRECT(CONCATENATE("Tab_",Tab_Calculs[[#This Row],[Colonne1]])),Tab_Calculs[[#This Row],[index_date_livraison]]-1,6)*(MAX(Tab_Calculs[[#This Row],[Début periode livraison]],Tab_Calculs[[#This Row],[Début mois]])-Tab_Calculs[[#This Row],[Début mois]])</f>
        <v>#VALUE!</v>
      </c>
      <c r="L18" s="94">
        <f ca="1">INDEX(INDIRECT(CONCATENATE("Tab_",Tab_Calculs[[#This Row],[Colonne1]])),Tab_Calculs[[#This Row],[index_date_livraison]],6)*(1+MIN(Tab_Calculs[[#This Row],[Date_livraison]],Tab_Calculs[[#This Row],[fin mois]])-MAX(Tab_Calculs[[#This Row],[Début mois]],Tab_Calculs[[#This Row],[Début periode livraison]]))</f>
        <v>0</v>
      </c>
      <c r="M18" s="94" t="e">
        <f ca="1">INDEX(INDIRECT(CONCATENATE("Tab_",Tab_Calculs[[#This Row],[Colonne1]])),Tab_Calculs[[#This Row],[index_date_livraison]]+1,6)*(Tab_Calculs[[#This Row],[fin mois]]-MIN(Tab_Calculs[[#This Row],[fin mois]],Tab_Calculs[[#This Row],[Date_livraison]]))</f>
        <v>#VALUE!</v>
      </c>
      <c r="N18" s="231" t="str">
        <f ca="1">IFERROR(Tab_Calculs[[#This Row],[Ratio_jour_après_livr]]+Tab_Calculs[[#This Row],[Ratio_jour_avant_livr]]+Tab_Calculs[[#This Row],[ratio_avant_debut]],"")</f>
        <v/>
      </c>
      <c r="O18" t="e">
        <f ca="1">INDEX(INDIRECT(CONCATENATE("Tab_",Tab_Calculs[[#This Row],[Colonne1]])),Tab_Calculs[[#This Row],[index_date_livraison]]-1,7)*(MAX(Tab_Calculs[[#This Row],[Début periode livraison]],Tab_Calculs[[#This Row],[Début mois]])-Tab_Calculs[[#This Row],[Début mois]])</f>
        <v>#VALUE!</v>
      </c>
      <c r="P18">
        <f ca="1">INDEX(INDIRECT(CONCATENATE("Tab_",Tab_Calculs[[#This Row],[Colonne1]])),Tab_Calculs[[#This Row],[index_date_livraison]],7)*(1+MIN(Tab_Calculs[[#This Row],[Date_livraison]],Tab_Calculs[[#This Row],[fin mois]])-MAX(Tab_Calculs[[#This Row],[Début mois]],Tab_Calculs[[#This Row],[Début periode livraison]]))</f>
        <v>0</v>
      </c>
      <c r="Q18" t="e">
        <f ca="1">INDEX(INDIRECT(CONCATENATE("Tab_",Tab_Calculs[[#This Row],[Colonne1]])),Tab_Calculs[[#This Row],[index_date_livraison]]+1,7)*(Tab_Calculs[[#This Row],[fin mois]]-MIN(Tab_Calculs[[#This Row],[fin mois]],Tab_Calculs[[#This Row],[Date_livraison]]))</f>
        <v>#VALUE!</v>
      </c>
      <c r="R18" t="e">
        <f ca="1">Tab_Calculs[[#This Row],[Ratio_Cout_après_livr]]+Tab_Calculs[[#This Row],[Ratio_Cout_avant_livr]]+Tab_Calculs[[#This Row],[Ratio_Cout_avant_debut]]</f>
        <v>#VALUE!</v>
      </c>
      <c r="S18" t="str">
        <f ca="1">IFERROR(N18*VLOOKUP(Tab_Calculs[[#This Row],[Colonne1]],Controle_des_données!$B$7:$G$14,6,FALSE),"")</f>
        <v/>
      </c>
      <c r="T18" t="str">
        <f ca="1">IF(Tab_Calculs[[#This Row],[Combustible ]]="Electricité (kWh)",Tab_Calculs[[#This Row],[Conso_mois_kWh]]*2.3,Tab_Calculs[[#This Row],[Conso_mois_kWh]])</f>
        <v/>
      </c>
      <c r="U18" t="str">
        <f ca="1">IFERROR(N18*VLOOKUP(Tab_Calculs[[#This Row],[Colonne1]],Controle_des_données!$B$7:$H$14,7,FALSE),"")</f>
        <v/>
      </c>
      <c r="V18">
        <f ca="1">IFERROR(Tab_Calculs[[#This Row],[Cout_mois]]/Tab_Calculs[[#This Row],[Conso_mois_kWh]],0)</f>
        <v>0</v>
      </c>
      <c r="W18" t="str">
        <f>T(VLOOKUP(Tab_Calculs[[#This Row],[Compteur]],Site!$B$33:$G$40,3,FALSE))</f>
        <v/>
      </c>
      <c r="X18" t="str">
        <f>T(VLOOKUP(Tab_Calculs[[#This Row],[Compteur]],Site!$B$33:$G$40,4,FALSE))</f>
        <v/>
      </c>
      <c r="Y18" t="str">
        <f>T(VLOOKUP(Tab_Calculs[[#This Row],[Compteur]],Site!$B$33:$G$40,5,FALSE))</f>
        <v/>
      </c>
      <c r="Z18" t="str">
        <f>T(VLOOKUP(Tab_Calculs[[#This Row],[Compteur]],Site!$B$33:$G$40,6,FALSE))</f>
        <v/>
      </c>
      <c r="AA18">
        <f>IFERROR(GETPIVOTDATA("DJU(chauffagiste)",BDD_DJU!$P$13,"annee",Tab_Calculs[[#This Row],[ANNEE]],"mois_numero",Tab_Calculs[[#This Row],[MOIS]]),0)</f>
        <v>190.1</v>
      </c>
      <c r="AD18" s="233">
        <v>2014</v>
      </c>
      <c r="AE18" s="221">
        <v>0</v>
      </c>
      <c r="AF18" s="221">
        <v>0</v>
      </c>
      <c r="AG18" s="221">
        <v>0</v>
      </c>
      <c r="AH18" s="221">
        <v>0</v>
      </c>
      <c r="AI18" s="221">
        <v>0</v>
      </c>
      <c r="AJ18" s="221">
        <v>0</v>
      </c>
      <c r="AK18" s="221">
        <v>0</v>
      </c>
      <c r="AL18" s="221">
        <v>0</v>
      </c>
      <c r="AM18" s="221"/>
      <c r="AN18" s="221"/>
      <c r="AO18" s="221"/>
      <c r="AP18" s="221"/>
      <c r="AQ18" s="221"/>
      <c r="AR18" s="221"/>
      <c r="AS18" s="221"/>
      <c r="AT18" s="221"/>
      <c r="AU18" s="221"/>
      <c r="AV18" s="221"/>
      <c r="AW18" s="221"/>
      <c r="AX18" s="221"/>
      <c r="AY18" s="221"/>
      <c r="AZ18" s="221"/>
      <c r="BA18" s="221"/>
      <c r="BB18" s="221"/>
      <c r="BC18" s="221">
        <v>0</v>
      </c>
      <c r="BD18" s="221">
        <v>0</v>
      </c>
      <c r="BE18" s="221">
        <v>0</v>
      </c>
      <c r="BF18" s="221">
        <v>0</v>
      </c>
    </row>
    <row r="19" spans="1:58" x14ac:dyDescent="0.25">
      <c r="A19" s="3">
        <f>DATE(Tab_Calculs[[#This Row],[ANNEE]],Tab_Calculs[[#This Row],[MOIS]],1)</f>
        <v>40483</v>
      </c>
      <c r="B19" s="3">
        <f>EDATE(Tab_Calculs[[#This Row],[Début mois]],1)-1</f>
        <v>40512</v>
      </c>
      <c r="C19">
        <v>11</v>
      </c>
      <c r="D19">
        <v>2010</v>
      </c>
      <c r="E19" t="s">
        <v>80</v>
      </c>
      <c r="F19" t="str">
        <f>SUBSTITUTE(Tab_Calculs[[#This Row],[Compteur]]," ","_")</f>
        <v>Compteur_1</v>
      </c>
      <c r="G19" t="str">
        <f>T(INDEX(Site!$B$33:$G$40, MATCH(Tab_Calculs[[#This Row],[Compteur]], Site!$B$33:$B$40,0),2))</f>
        <v/>
      </c>
      <c r="H19" s="3">
        <f t="array" aca="1" ref="H19" ca="1">MIN(IF(INDIRECT(CONCATENATE(Tab_Calculs[[#This Row],[Colonne1]],"!$B$2:$B$243"))&gt;=Calculs_Consos!$A19,INDIRECT(CONCATENATE(Tab_Calculs[[#This Row],[Colonne1]],"!$B$2:$B$243"))))</f>
        <v>0</v>
      </c>
      <c r="I19" s="3">
        <f ca="1">INDEX(INDIRECT(CONCATENATE("Tab_",Tab_Calculs[[#This Row],[Colonne1]])),Tab_Calculs[[#This Row],[index_date_livraison]],1)</f>
        <v>0</v>
      </c>
      <c r="J19">
        <f ca="1">MATCH(Tab_Calculs[[#This Row],[Date_livraison]],INDIRECT(CONCATENATE("Tab_",Tab_Calculs[[#This Row],[Colonne1]],"[Fin de période]")),0)</f>
        <v>1</v>
      </c>
      <c r="K19" t="e">
        <f ca="1">INDEX(INDIRECT(CONCATENATE("Tab_",Tab_Calculs[[#This Row],[Colonne1]])),Tab_Calculs[[#This Row],[index_date_livraison]]-1,6)*(MAX(Tab_Calculs[[#This Row],[Début periode livraison]],Tab_Calculs[[#This Row],[Début mois]])-Tab_Calculs[[#This Row],[Début mois]])</f>
        <v>#VALUE!</v>
      </c>
      <c r="L19" s="94">
        <f ca="1">INDEX(INDIRECT(CONCATENATE("Tab_",Tab_Calculs[[#This Row],[Colonne1]])),Tab_Calculs[[#This Row],[index_date_livraison]],6)*(1+MIN(Tab_Calculs[[#This Row],[Date_livraison]],Tab_Calculs[[#This Row],[fin mois]])-MAX(Tab_Calculs[[#This Row],[Début mois]],Tab_Calculs[[#This Row],[Début periode livraison]]))</f>
        <v>0</v>
      </c>
      <c r="M19" s="94" t="e">
        <f ca="1">INDEX(INDIRECT(CONCATENATE("Tab_",Tab_Calculs[[#This Row],[Colonne1]])),Tab_Calculs[[#This Row],[index_date_livraison]]+1,6)*(Tab_Calculs[[#This Row],[fin mois]]-MIN(Tab_Calculs[[#This Row],[fin mois]],Tab_Calculs[[#This Row],[Date_livraison]]))</f>
        <v>#VALUE!</v>
      </c>
      <c r="N19" s="231" t="str">
        <f ca="1">IFERROR(Tab_Calculs[[#This Row],[Ratio_jour_après_livr]]+Tab_Calculs[[#This Row],[Ratio_jour_avant_livr]]+Tab_Calculs[[#This Row],[ratio_avant_debut]],"")</f>
        <v/>
      </c>
      <c r="O19" t="e">
        <f ca="1">INDEX(INDIRECT(CONCATENATE("Tab_",Tab_Calculs[[#This Row],[Colonne1]])),Tab_Calculs[[#This Row],[index_date_livraison]]-1,7)*(MAX(Tab_Calculs[[#This Row],[Début periode livraison]],Tab_Calculs[[#This Row],[Début mois]])-Tab_Calculs[[#This Row],[Début mois]])</f>
        <v>#VALUE!</v>
      </c>
      <c r="P19">
        <f ca="1">INDEX(INDIRECT(CONCATENATE("Tab_",Tab_Calculs[[#This Row],[Colonne1]])),Tab_Calculs[[#This Row],[index_date_livraison]],7)*(1+MIN(Tab_Calculs[[#This Row],[Date_livraison]],Tab_Calculs[[#This Row],[fin mois]])-MAX(Tab_Calculs[[#This Row],[Début mois]],Tab_Calculs[[#This Row],[Début periode livraison]]))</f>
        <v>0</v>
      </c>
      <c r="Q19" t="e">
        <f ca="1">INDEX(INDIRECT(CONCATENATE("Tab_",Tab_Calculs[[#This Row],[Colonne1]])),Tab_Calculs[[#This Row],[index_date_livraison]]+1,7)*(Tab_Calculs[[#This Row],[fin mois]]-MIN(Tab_Calculs[[#This Row],[fin mois]],Tab_Calculs[[#This Row],[Date_livraison]]))</f>
        <v>#VALUE!</v>
      </c>
      <c r="R19" t="e">
        <f ca="1">Tab_Calculs[[#This Row],[Ratio_Cout_après_livr]]+Tab_Calculs[[#This Row],[Ratio_Cout_avant_livr]]+Tab_Calculs[[#This Row],[Ratio_Cout_avant_debut]]</f>
        <v>#VALUE!</v>
      </c>
      <c r="S19" t="str">
        <f ca="1">IFERROR(N19*VLOOKUP(Tab_Calculs[[#This Row],[Colonne1]],Controle_des_données!$B$7:$G$14,6,FALSE),"")</f>
        <v/>
      </c>
      <c r="T19" t="str">
        <f ca="1">IF(Tab_Calculs[[#This Row],[Combustible ]]="Electricité (kWh)",Tab_Calculs[[#This Row],[Conso_mois_kWh]]*2.3,Tab_Calculs[[#This Row],[Conso_mois_kWh]])</f>
        <v/>
      </c>
      <c r="U19" t="str">
        <f ca="1">IFERROR(N19*VLOOKUP(Tab_Calculs[[#This Row],[Colonne1]],Controle_des_données!$B$7:$H$14,7,FALSE),"")</f>
        <v/>
      </c>
      <c r="V19">
        <f ca="1">IFERROR(Tab_Calculs[[#This Row],[Cout_mois]]/Tab_Calculs[[#This Row],[Conso_mois_kWh]],0)</f>
        <v>0</v>
      </c>
      <c r="W19" t="str">
        <f>T(VLOOKUP(Tab_Calculs[[#This Row],[Compteur]],Site!$B$33:$G$40,3,FALSE))</f>
        <v/>
      </c>
      <c r="X19" t="str">
        <f>T(VLOOKUP(Tab_Calculs[[#This Row],[Compteur]],Site!$B$33:$G$40,4,FALSE))</f>
        <v/>
      </c>
      <c r="Y19" t="str">
        <f>T(VLOOKUP(Tab_Calculs[[#This Row],[Compteur]],Site!$B$33:$G$40,5,FALSE))</f>
        <v/>
      </c>
      <c r="Z19" t="str">
        <f>T(VLOOKUP(Tab_Calculs[[#This Row],[Compteur]],Site!$B$33:$G$40,6,FALSE))</f>
        <v/>
      </c>
      <c r="AA19">
        <f>IFERROR(GETPIVOTDATA("DJU(chauffagiste)",BDD_DJU!$P$13,"annee",Tab_Calculs[[#This Row],[ANNEE]],"mois_numero",Tab_Calculs[[#This Row],[MOIS]]),0)</f>
        <v>320.89999999999998</v>
      </c>
      <c r="AD19" s="233">
        <v>2015</v>
      </c>
      <c r="AE19" s="221">
        <v>0</v>
      </c>
      <c r="AF19" s="221">
        <v>0</v>
      </c>
      <c r="AG19" s="221">
        <v>0</v>
      </c>
      <c r="AH19" s="221">
        <v>0</v>
      </c>
      <c r="AI19" s="221">
        <v>0</v>
      </c>
      <c r="AJ19" s="221">
        <v>0</v>
      </c>
      <c r="AK19" s="221">
        <v>0</v>
      </c>
      <c r="AL19" s="221">
        <v>0</v>
      </c>
      <c r="AM19" s="221"/>
      <c r="AN19" s="221"/>
      <c r="AO19" s="221"/>
      <c r="AP19" s="221"/>
      <c r="AQ19" s="221"/>
      <c r="AR19" s="221"/>
      <c r="AS19" s="221"/>
      <c r="AT19" s="221"/>
      <c r="AU19" s="221"/>
      <c r="AV19" s="221"/>
      <c r="AW19" s="221"/>
      <c r="AX19" s="221"/>
      <c r="AY19" s="221"/>
      <c r="AZ19" s="221"/>
      <c r="BA19" s="221"/>
      <c r="BB19" s="221"/>
      <c r="BC19" s="221">
        <v>0</v>
      </c>
      <c r="BD19" s="221">
        <v>0</v>
      </c>
      <c r="BE19" s="221">
        <v>0</v>
      </c>
      <c r="BF19" s="221">
        <v>0</v>
      </c>
    </row>
    <row r="20" spans="1:58" x14ac:dyDescent="0.25">
      <c r="A20" s="3">
        <f>DATE(Tab_Calculs[[#This Row],[ANNEE]],Tab_Calculs[[#This Row],[MOIS]],1)</f>
        <v>40513</v>
      </c>
      <c r="B20" s="3">
        <f>EDATE(Tab_Calculs[[#This Row],[Début mois]],1)-1</f>
        <v>40543</v>
      </c>
      <c r="C20">
        <v>12</v>
      </c>
      <c r="D20">
        <v>2010</v>
      </c>
      <c r="E20" t="s">
        <v>80</v>
      </c>
      <c r="F20" t="str">
        <f>SUBSTITUTE(Tab_Calculs[[#This Row],[Compteur]]," ","_")</f>
        <v>Compteur_1</v>
      </c>
      <c r="G20" t="str">
        <f>T(INDEX(Site!$B$33:$G$40, MATCH(Tab_Calculs[[#This Row],[Compteur]], Site!$B$33:$B$40,0),2))</f>
        <v/>
      </c>
      <c r="H20" s="3">
        <f t="array" aca="1" ref="H20" ca="1">MIN(IF(INDIRECT(CONCATENATE(Tab_Calculs[[#This Row],[Colonne1]],"!$B$2:$B$243"))&gt;=Calculs_Consos!$A20,INDIRECT(CONCATENATE(Tab_Calculs[[#This Row],[Colonne1]],"!$B$2:$B$243"))))</f>
        <v>0</v>
      </c>
      <c r="I20" s="3">
        <f ca="1">INDEX(INDIRECT(CONCATENATE("Tab_",Tab_Calculs[[#This Row],[Colonne1]])),Tab_Calculs[[#This Row],[index_date_livraison]],1)</f>
        <v>0</v>
      </c>
      <c r="J20">
        <f ca="1">MATCH(Tab_Calculs[[#This Row],[Date_livraison]],INDIRECT(CONCATENATE("Tab_",Tab_Calculs[[#This Row],[Colonne1]],"[Fin de période]")),0)</f>
        <v>1</v>
      </c>
      <c r="K20" t="e">
        <f ca="1">INDEX(INDIRECT(CONCATENATE("Tab_",Tab_Calculs[[#This Row],[Colonne1]])),Tab_Calculs[[#This Row],[index_date_livraison]]-1,6)*(MAX(Tab_Calculs[[#This Row],[Début periode livraison]],Tab_Calculs[[#This Row],[Début mois]])-Tab_Calculs[[#This Row],[Début mois]])</f>
        <v>#VALUE!</v>
      </c>
      <c r="L20" s="94">
        <f ca="1">INDEX(INDIRECT(CONCATENATE("Tab_",Tab_Calculs[[#This Row],[Colonne1]])),Tab_Calculs[[#This Row],[index_date_livraison]],6)*(1+MIN(Tab_Calculs[[#This Row],[Date_livraison]],Tab_Calculs[[#This Row],[fin mois]])-MAX(Tab_Calculs[[#This Row],[Début mois]],Tab_Calculs[[#This Row],[Début periode livraison]]))</f>
        <v>0</v>
      </c>
      <c r="M20" s="94" t="e">
        <f ca="1">INDEX(INDIRECT(CONCATENATE("Tab_",Tab_Calculs[[#This Row],[Colonne1]])),Tab_Calculs[[#This Row],[index_date_livraison]]+1,6)*(Tab_Calculs[[#This Row],[fin mois]]-MIN(Tab_Calculs[[#This Row],[fin mois]],Tab_Calculs[[#This Row],[Date_livraison]]))</f>
        <v>#VALUE!</v>
      </c>
      <c r="N20" s="231" t="str">
        <f ca="1">IFERROR(Tab_Calculs[[#This Row],[Ratio_jour_après_livr]]+Tab_Calculs[[#This Row],[Ratio_jour_avant_livr]]+Tab_Calculs[[#This Row],[ratio_avant_debut]],"")</f>
        <v/>
      </c>
      <c r="O20" t="e">
        <f ca="1">INDEX(INDIRECT(CONCATENATE("Tab_",Tab_Calculs[[#This Row],[Colonne1]])),Tab_Calculs[[#This Row],[index_date_livraison]]-1,7)*(MAX(Tab_Calculs[[#This Row],[Début periode livraison]],Tab_Calculs[[#This Row],[Début mois]])-Tab_Calculs[[#This Row],[Début mois]])</f>
        <v>#VALUE!</v>
      </c>
      <c r="P20">
        <f ca="1">INDEX(INDIRECT(CONCATENATE("Tab_",Tab_Calculs[[#This Row],[Colonne1]])),Tab_Calculs[[#This Row],[index_date_livraison]],7)*(1+MIN(Tab_Calculs[[#This Row],[Date_livraison]],Tab_Calculs[[#This Row],[fin mois]])-MAX(Tab_Calculs[[#This Row],[Début mois]],Tab_Calculs[[#This Row],[Début periode livraison]]))</f>
        <v>0</v>
      </c>
      <c r="Q20" t="e">
        <f ca="1">INDEX(INDIRECT(CONCATENATE("Tab_",Tab_Calculs[[#This Row],[Colonne1]])),Tab_Calculs[[#This Row],[index_date_livraison]]+1,7)*(Tab_Calculs[[#This Row],[fin mois]]-MIN(Tab_Calculs[[#This Row],[fin mois]],Tab_Calculs[[#This Row],[Date_livraison]]))</f>
        <v>#VALUE!</v>
      </c>
      <c r="R20" t="e">
        <f ca="1">Tab_Calculs[[#This Row],[Ratio_Cout_après_livr]]+Tab_Calculs[[#This Row],[Ratio_Cout_avant_livr]]+Tab_Calculs[[#This Row],[Ratio_Cout_avant_debut]]</f>
        <v>#VALUE!</v>
      </c>
      <c r="S20" t="str">
        <f ca="1">IFERROR(N20*VLOOKUP(Tab_Calculs[[#This Row],[Colonne1]],Controle_des_données!$B$7:$G$14,6,FALSE),"")</f>
        <v/>
      </c>
      <c r="T20" t="str">
        <f ca="1">IF(Tab_Calculs[[#This Row],[Combustible ]]="Electricité (kWh)",Tab_Calculs[[#This Row],[Conso_mois_kWh]]*2.3,Tab_Calculs[[#This Row],[Conso_mois_kWh]])</f>
        <v/>
      </c>
      <c r="U20" t="str">
        <f ca="1">IFERROR(N20*VLOOKUP(Tab_Calculs[[#This Row],[Colonne1]],Controle_des_données!$B$7:$H$14,7,FALSE),"")</f>
        <v/>
      </c>
      <c r="V20">
        <f ca="1">IFERROR(Tab_Calculs[[#This Row],[Cout_mois]]/Tab_Calculs[[#This Row],[Conso_mois_kWh]],0)</f>
        <v>0</v>
      </c>
      <c r="W20" t="str">
        <f>T(VLOOKUP(Tab_Calculs[[#This Row],[Compteur]],Site!$B$33:$G$40,3,FALSE))</f>
        <v/>
      </c>
      <c r="X20" t="str">
        <f>T(VLOOKUP(Tab_Calculs[[#This Row],[Compteur]],Site!$B$33:$G$40,4,FALSE))</f>
        <v/>
      </c>
      <c r="Y20" t="str">
        <f>T(VLOOKUP(Tab_Calculs[[#This Row],[Compteur]],Site!$B$33:$G$40,5,FALSE))</f>
        <v/>
      </c>
      <c r="Z20" t="str">
        <f>T(VLOOKUP(Tab_Calculs[[#This Row],[Compteur]],Site!$B$33:$G$40,6,FALSE))</f>
        <v/>
      </c>
      <c r="AA20">
        <f>IFERROR(GETPIVOTDATA("DJU(chauffagiste)",BDD_DJU!$P$13,"annee",Tab_Calculs[[#This Row],[ANNEE]],"mois_numero",Tab_Calculs[[#This Row],[MOIS]]),0)</f>
        <v>500.7</v>
      </c>
      <c r="AD20" s="233">
        <v>2016</v>
      </c>
      <c r="AE20" s="221">
        <v>0</v>
      </c>
      <c r="AF20" s="221">
        <v>0</v>
      </c>
      <c r="AG20" s="221">
        <v>0</v>
      </c>
      <c r="AH20" s="221">
        <v>0</v>
      </c>
      <c r="AI20" s="221">
        <v>0</v>
      </c>
      <c r="AJ20" s="221">
        <v>0</v>
      </c>
      <c r="AK20" s="221">
        <v>0</v>
      </c>
      <c r="AL20" s="221">
        <v>0</v>
      </c>
      <c r="AM20" s="221"/>
      <c r="AN20" s="221"/>
      <c r="AO20" s="221"/>
      <c r="AP20" s="221"/>
      <c r="AQ20" s="221"/>
      <c r="AR20" s="221"/>
      <c r="AS20" s="221"/>
      <c r="AT20" s="221"/>
      <c r="AU20" s="221"/>
      <c r="AV20" s="221"/>
      <c r="AW20" s="221"/>
      <c r="AX20" s="221"/>
      <c r="AY20" s="221"/>
      <c r="AZ20" s="221"/>
      <c r="BA20" s="221"/>
      <c r="BB20" s="221"/>
      <c r="BC20" s="221">
        <v>0</v>
      </c>
      <c r="BD20" s="221">
        <v>0</v>
      </c>
      <c r="BE20" s="221">
        <v>0</v>
      </c>
      <c r="BF20" s="221">
        <v>0</v>
      </c>
    </row>
    <row r="21" spans="1:58" x14ac:dyDescent="0.25">
      <c r="A21" s="3">
        <f>DATE(Tab_Calculs[[#This Row],[ANNEE]],Tab_Calculs[[#This Row],[MOIS]],1)</f>
        <v>40544</v>
      </c>
      <c r="B21" s="3">
        <f>EDATE(Tab_Calculs[[#This Row],[Début mois]],1)-1</f>
        <v>40574</v>
      </c>
      <c r="C21">
        <v>1</v>
      </c>
      <c r="D21">
        <v>2011</v>
      </c>
      <c r="E21" t="s">
        <v>80</v>
      </c>
      <c r="F21" t="str">
        <f>SUBSTITUTE(Tab_Calculs[[#This Row],[Compteur]]," ","_")</f>
        <v>Compteur_1</v>
      </c>
      <c r="G21" t="str">
        <f>T(INDEX(Site!$B$33:$G$40, MATCH(Tab_Calculs[[#This Row],[Compteur]], Site!$B$33:$B$40,0),2))</f>
        <v/>
      </c>
      <c r="H21" s="3">
        <f t="array" aca="1" ref="H21" ca="1">MIN(IF(INDIRECT(CONCATENATE(Tab_Calculs[[#This Row],[Colonne1]],"!$B$2:$B$243"))&gt;=Calculs_Consos!$A21,INDIRECT(CONCATENATE(Tab_Calculs[[#This Row],[Colonne1]],"!$B$2:$B$243"))))</f>
        <v>0</v>
      </c>
      <c r="I21" s="3">
        <f ca="1">INDEX(INDIRECT(CONCATENATE("Tab_",Tab_Calculs[[#This Row],[Colonne1]])),Tab_Calculs[[#This Row],[index_date_livraison]],1)</f>
        <v>0</v>
      </c>
      <c r="J21">
        <f ca="1">MATCH(Tab_Calculs[[#This Row],[Date_livraison]],INDIRECT(CONCATENATE("Tab_",Tab_Calculs[[#This Row],[Colonne1]],"[Fin de période]")),0)</f>
        <v>1</v>
      </c>
      <c r="K21" t="e">
        <f ca="1">INDEX(INDIRECT(CONCATENATE("Tab_",Tab_Calculs[[#This Row],[Colonne1]])),Tab_Calculs[[#This Row],[index_date_livraison]]-1,6)*(MAX(Tab_Calculs[[#This Row],[Début periode livraison]],Tab_Calculs[[#This Row],[Début mois]])-Tab_Calculs[[#This Row],[Début mois]])</f>
        <v>#VALUE!</v>
      </c>
      <c r="L21" s="94">
        <f ca="1">INDEX(INDIRECT(CONCATENATE("Tab_",Tab_Calculs[[#This Row],[Colonne1]])),Tab_Calculs[[#This Row],[index_date_livraison]],6)*(1+MIN(Tab_Calculs[[#This Row],[Date_livraison]],Tab_Calculs[[#This Row],[fin mois]])-MAX(Tab_Calculs[[#This Row],[Début mois]],Tab_Calculs[[#This Row],[Début periode livraison]]))</f>
        <v>0</v>
      </c>
      <c r="M21" s="94" t="e">
        <f ca="1">INDEX(INDIRECT(CONCATENATE("Tab_",Tab_Calculs[[#This Row],[Colonne1]])),Tab_Calculs[[#This Row],[index_date_livraison]]+1,6)*(Tab_Calculs[[#This Row],[fin mois]]-MIN(Tab_Calculs[[#This Row],[fin mois]],Tab_Calculs[[#This Row],[Date_livraison]]))</f>
        <v>#VALUE!</v>
      </c>
      <c r="N21" s="231" t="str">
        <f ca="1">IFERROR(Tab_Calculs[[#This Row],[Ratio_jour_après_livr]]+Tab_Calculs[[#This Row],[Ratio_jour_avant_livr]]+Tab_Calculs[[#This Row],[ratio_avant_debut]],"")</f>
        <v/>
      </c>
      <c r="O21" t="e">
        <f ca="1">INDEX(INDIRECT(CONCATENATE("Tab_",Tab_Calculs[[#This Row],[Colonne1]])),Tab_Calculs[[#This Row],[index_date_livraison]]-1,7)*(MAX(Tab_Calculs[[#This Row],[Début periode livraison]],Tab_Calculs[[#This Row],[Début mois]])-Tab_Calculs[[#This Row],[Début mois]])</f>
        <v>#VALUE!</v>
      </c>
      <c r="P21">
        <f ca="1">INDEX(INDIRECT(CONCATENATE("Tab_",Tab_Calculs[[#This Row],[Colonne1]])),Tab_Calculs[[#This Row],[index_date_livraison]],7)*(1+MIN(Tab_Calculs[[#This Row],[Date_livraison]],Tab_Calculs[[#This Row],[fin mois]])-MAX(Tab_Calculs[[#This Row],[Début mois]],Tab_Calculs[[#This Row],[Début periode livraison]]))</f>
        <v>0</v>
      </c>
      <c r="Q21" t="e">
        <f ca="1">INDEX(INDIRECT(CONCATENATE("Tab_",Tab_Calculs[[#This Row],[Colonne1]])),Tab_Calculs[[#This Row],[index_date_livraison]]+1,7)*(Tab_Calculs[[#This Row],[fin mois]]-MIN(Tab_Calculs[[#This Row],[fin mois]],Tab_Calculs[[#This Row],[Date_livraison]]))</f>
        <v>#VALUE!</v>
      </c>
      <c r="R21" t="e">
        <f ca="1">Tab_Calculs[[#This Row],[Ratio_Cout_après_livr]]+Tab_Calculs[[#This Row],[Ratio_Cout_avant_livr]]+Tab_Calculs[[#This Row],[Ratio_Cout_avant_debut]]</f>
        <v>#VALUE!</v>
      </c>
      <c r="S21" t="str">
        <f ca="1">IFERROR(N21*VLOOKUP(Tab_Calculs[[#This Row],[Colonne1]],Controle_des_données!$B$7:$G$14,6,FALSE),"")</f>
        <v/>
      </c>
      <c r="T21" t="str">
        <f ca="1">IF(Tab_Calculs[[#This Row],[Combustible ]]="Electricité (kWh)",Tab_Calculs[[#This Row],[Conso_mois_kWh]]*2.3,Tab_Calculs[[#This Row],[Conso_mois_kWh]])</f>
        <v/>
      </c>
      <c r="U21" t="str">
        <f ca="1">IFERROR(N21*VLOOKUP(Tab_Calculs[[#This Row],[Colonne1]],Controle_des_données!$B$7:$H$14,7,FALSE),"")</f>
        <v/>
      </c>
      <c r="V21">
        <f ca="1">IFERROR(Tab_Calculs[[#This Row],[Cout_mois]]/Tab_Calculs[[#This Row],[Conso_mois_kWh]],0)</f>
        <v>0</v>
      </c>
      <c r="W21" t="str">
        <f>T(VLOOKUP(Tab_Calculs[[#This Row],[Compteur]],Site!$B$33:$G$40,3,FALSE))</f>
        <v/>
      </c>
      <c r="X21" t="str">
        <f>T(VLOOKUP(Tab_Calculs[[#This Row],[Compteur]],Site!$B$33:$G$40,4,FALSE))</f>
        <v/>
      </c>
      <c r="Y21" t="str">
        <f>T(VLOOKUP(Tab_Calculs[[#This Row],[Compteur]],Site!$B$33:$G$40,5,FALSE))</f>
        <v/>
      </c>
      <c r="Z21" t="str">
        <f>T(VLOOKUP(Tab_Calculs[[#This Row],[Compteur]],Site!$B$33:$G$40,6,FALSE))</f>
        <v/>
      </c>
      <c r="AA21">
        <f>IFERROR(GETPIVOTDATA("DJU(chauffagiste)",BDD_DJU!$P$13,"annee",Tab_Calculs[[#This Row],[ANNEE]],"mois_numero",Tab_Calculs[[#This Row],[MOIS]]),0)</f>
        <v>392.2</v>
      </c>
      <c r="AD21" s="233">
        <v>2017</v>
      </c>
      <c r="AE21" s="221">
        <v>0</v>
      </c>
      <c r="AF21" s="221">
        <v>0</v>
      </c>
      <c r="AG21" s="221">
        <v>0</v>
      </c>
      <c r="AH21" s="221">
        <v>0</v>
      </c>
      <c r="AI21" s="221">
        <v>0</v>
      </c>
      <c r="AJ21" s="221">
        <v>0</v>
      </c>
      <c r="AK21" s="221">
        <v>0</v>
      </c>
      <c r="AL21" s="221">
        <v>0</v>
      </c>
      <c r="AM21" s="221"/>
      <c r="AN21" s="221"/>
      <c r="AO21" s="221"/>
      <c r="AP21" s="221"/>
      <c r="AQ21" s="221"/>
      <c r="AR21" s="221"/>
      <c r="AS21" s="221"/>
      <c r="AT21" s="221"/>
      <c r="AU21" s="221"/>
      <c r="AV21" s="221"/>
      <c r="AW21" s="221"/>
      <c r="AX21" s="221"/>
      <c r="AY21" s="221"/>
      <c r="AZ21" s="221"/>
      <c r="BA21" s="221"/>
      <c r="BB21" s="221"/>
      <c r="BC21" s="221">
        <v>0</v>
      </c>
      <c r="BD21" s="221">
        <v>0</v>
      </c>
      <c r="BE21" s="221">
        <v>0</v>
      </c>
      <c r="BF21" s="221">
        <v>0</v>
      </c>
    </row>
    <row r="22" spans="1:58" x14ac:dyDescent="0.25">
      <c r="A22" s="3">
        <f>DATE(Tab_Calculs[[#This Row],[ANNEE]],Tab_Calculs[[#This Row],[MOIS]],1)</f>
        <v>40575</v>
      </c>
      <c r="B22" s="3">
        <f>EDATE(Tab_Calculs[[#This Row],[Début mois]],1)-1</f>
        <v>40602</v>
      </c>
      <c r="C22">
        <v>2</v>
      </c>
      <c r="D22">
        <v>2011</v>
      </c>
      <c r="E22" t="s">
        <v>80</v>
      </c>
      <c r="F22" t="str">
        <f>SUBSTITUTE(Tab_Calculs[[#This Row],[Compteur]]," ","_")</f>
        <v>Compteur_1</v>
      </c>
      <c r="G22" t="str">
        <f>T(INDEX(Site!$B$33:$G$40, MATCH(Tab_Calculs[[#This Row],[Compteur]], Site!$B$33:$B$40,0),2))</f>
        <v/>
      </c>
      <c r="H22" s="3">
        <f t="array" aca="1" ref="H22" ca="1">MIN(IF(INDIRECT(CONCATENATE(Tab_Calculs[[#This Row],[Colonne1]],"!$B$2:$B$243"))&gt;=Calculs_Consos!$A22,INDIRECT(CONCATENATE(Tab_Calculs[[#This Row],[Colonne1]],"!$B$2:$B$243"))))</f>
        <v>0</v>
      </c>
      <c r="I22" s="3">
        <f ca="1">INDEX(INDIRECT(CONCATENATE("Tab_",Tab_Calculs[[#This Row],[Colonne1]])),Tab_Calculs[[#This Row],[index_date_livraison]],1)</f>
        <v>0</v>
      </c>
      <c r="J22">
        <f ca="1">MATCH(Tab_Calculs[[#This Row],[Date_livraison]],INDIRECT(CONCATENATE("Tab_",Tab_Calculs[[#This Row],[Colonne1]],"[Fin de période]")),0)</f>
        <v>1</v>
      </c>
      <c r="K22" t="e">
        <f ca="1">INDEX(INDIRECT(CONCATENATE("Tab_",Tab_Calculs[[#This Row],[Colonne1]])),Tab_Calculs[[#This Row],[index_date_livraison]]-1,6)*(MAX(Tab_Calculs[[#This Row],[Début periode livraison]],Tab_Calculs[[#This Row],[Début mois]])-Tab_Calculs[[#This Row],[Début mois]])</f>
        <v>#VALUE!</v>
      </c>
      <c r="L22" s="94">
        <f ca="1">INDEX(INDIRECT(CONCATENATE("Tab_",Tab_Calculs[[#This Row],[Colonne1]])),Tab_Calculs[[#This Row],[index_date_livraison]],6)*(1+MIN(Tab_Calculs[[#This Row],[Date_livraison]],Tab_Calculs[[#This Row],[fin mois]])-MAX(Tab_Calculs[[#This Row],[Début mois]],Tab_Calculs[[#This Row],[Début periode livraison]]))</f>
        <v>0</v>
      </c>
      <c r="M22" s="94" t="e">
        <f ca="1">INDEX(INDIRECT(CONCATENATE("Tab_",Tab_Calculs[[#This Row],[Colonne1]])),Tab_Calculs[[#This Row],[index_date_livraison]]+1,6)*(Tab_Calculs[[#This Row],[fin mois]]-MIN(Tab_Calculs[[#This Row],[fin mois]],Tab_Calculs[[#This Row],[Date_livraison]]))</f>
        <v>#VALUE!</v>
      </c>
      <c r="N22" s="231" t="str">
        <f ca="1">IFERROR(Tab_Calculs[[#This Row],[Ratio_jour_après_livr]]+Tab_Calculs[[#This Row],[Ratio_jour_avant_livr]]+Tab_Calculs[[#This Row],[ratio_avant_debut]],"")</f>
        <v/>
      </c>
      <c r="O22" t="e">
        <f ca="1">INDEX(INDIRECT(CONCATENATE("Tab_",Tab_Calculs[[#This Row],[Colonne1]])),Tab_Calculs[[#This Row],[index_date_livraison]]-1,7)*(MAX(Tab_Calculs[[#This Row],[Début periode livraison]],Tab_Calculs[[#This Row],[Début mois]])-Tab_Calculs[[#This Row],[Début mois]])</f>
        <v>#VALUE!</v>
      </c>
      <c r="P22">
        <f ca="1">INDEX(INDIRECT(CONCATENATE("Tab_",Tab_Calculs[[#This Row],[Colonne1]])),Tab_Calculs[[#This Row],[index_date_livraison]],7)*(1+MIN(Tab_Calculs[[#This Row],[Date_livraison]],Tab_Calculs[[#This Row],[fin mois]])-MAX(Tab_Calculs[[#This Row],[Début mois]],Tab_Calculs[[#This Row],[Début periode livraison]]))</f>
        <v>0</v>
      </c>
      <c r="Q22" t="e">
        <f ca="1">INDEX(INDIRECT(CONCATENATE("Tab_",Tab_Calculs[[#This Row],[Colonne1]])),Tab_Calculs[[#This Row],[index_date_livraison]]+1,7)*(Tab_Calculs[[#This Row],[fin mois]]-MIN(Tab_Calculs[[#This Row],[fin mois]],Tab_Calculs[[#This Row],[Date_livraison]]))</f>
        <v>#VALUE!</v>
      </c>
      <c r="R22" t="e">
        <f ca="1">Tab_Calculs[[#This Row],[Ratio_Cout_après_livr]]+Tab_Calculs[[#This Row],[Ratio_Cout_avant_livr]]+Tab_Calculs[[#This Row],[Ratio_Cout_avant_debut]]</f>
        <v>#VALUE!</v>
      </c>
      <c r="S22" t="str">
        <f ca="1">IFERROR(N22*VLOOKUP(Tab_Calculs[[#This Row],[Colonne1]],Controle_des_données!$B$7:$G$14,6,FALSE),"")</f>
        <v/>
      </c>
      <c r="T22" t="str">
        <f ca="1">IF(Tab_Calculs[[#This Row],[Combustible ]]="Electricité (kWh)",Tab_Calculs[[#This Row],[Conso_mois_kWh]]*2.3,Tab_Calculs[[#This Row],[Conso_mois_kWh]])</f>
        <v/>
      </c>
      <c r="U22" t="str">
        <f ca="1">IFERROR(N22*VLOOKUP(Tab_Calculs[[#This Row],[Colonne1]],Controle_des_données!$B$7:$H$14,7,FALSE),"")</f>
        <v/>
      </c>
      <c r="V22">
        <f ca="1">IFERROR(Tab_Calculs[[#This Row],[Cout_mois]]/Tab_Calculs[[#This Row],[Conso_mois_kWh]],0)</f>
        <v>0</v>
      </c>
      <c r="W22" t="str">
        <f>T(VLOOKUP(Tab_Calculs[[#This Row],[Compteur]],Site!$B$33:$G$40,3,FALSE))</f>
        <v/>
      </c>
      <c r="X22" t="str">
        <f>T(VLOOKUP(Tab_Calculs[[#This Row],[Compteur]],Site!$B$33:$G$40,4,FALSE))</f>
        <v/>
      </c>
      <c r="Y22" t="str">
        <f>T(VLOOKUP(Tab_Calculs[[#This Row],[Compteur]],Site!$B$33:$G$40,5,FALSE))</f>
        <v/>
      </c>
      <c r="Z22" t="str">
        <f>T(VLOOKUP(Tab_Calculs[[#This Row],[Compteur]],Site!$B$33:$G$40,6,FALSE))</f>
        <v/>
      </c>
      <c r="AA22">
        <f>IFERROR(GETPIVOTDATA("DJU(chauffagiste)",BDD_DJU!$P$13,"annee",Tab_Calculs[[#This Row],[ANNEE]],"mois_numero",Tab_Calculs[[#This Row],[MOIS]]),0)</f>
        <v>299.10000000000002</v>
      </c>
      <c r="AD22" s="233">
        <v>2018</v>
      </c>
      <c r="AE22" s="221">
        <v>0</v>
      </c>
      <c r="AF22" s="221">
        <v>0</v>
      </c>
      <c r="AG22" s="221">
        <v>0</v>
      </c>
      <c r="AH22" s="221">
        <v>0</v>
      </c>
      <c r="AI22" s="221">
        <v>0</v>
      </c>
      <c r="AJ22" s="221">
        <v>0</v>
      </c>
      <c r="AK22" s="221">
        <v>0</v>
      </c>
      <c r="AL22" s="221">
        <v>0</v>
      </c>
      <c r="AM22" s="221"/>
      <c r="AN22" s="221"/>
      <c r="AO22" s="221"/>
      <c r="AP22" s="221"/>
      <c r="AQ22" s="221"/>
      <c r="AR22" s="221"/>
      <c r="AS22" s="221"/>
      <c r="AT22" s="221"/>
      <c r="AU22" s="221"/>
      <c r="AV22" s="221"/>
      <c r="AW22" s="221"/>
      <c r="AX22" s="221"/>
      <c r="AY22" s="221"/>
      <c r="AZ22" s="221"/>
      <c r="BA22" s="221"/>
      <c r="BB22" s="221"/>
      <c r="BC22" s="221">
        <v>0</v>
      </c>
      <c r="BD22" s="221">
        <v>0</v>
      </c>
      <c r="BE22" s="221">
        <v>0</v>
      </c>
      <c r="BF22" s="221">
        <v>0</v>
      </c>
    </row>
    <row r="23" spans="1:58" x14ac:dyDescent="0.25">
      <c r="A23" s="3">
        <f>DATE(Tab_Calculs[[#This Row],[ANNEE]],Tab_Calculs[[#This Row],[MOIS]],1)</f>
        <v>40603</v>
      </c>
      <c r="B23" s="3">
        <f>EDATE(Tab_Calculs[[#This Row],[Début mois]],1)-1</f>
        <v>40633</v>
      </c>
      <c r="C23">
        <v>3</v>
      </c>
      <c r="D23">
        <v>2011</v>
      </c>
      <c r="E23" t="s">
        <v>80</v>
      </c>
      <c r="F23" t="str">
        <f>SUBSTITUTE(Tab_Calculs[[#This Row],[Compteur]]," ","_")</f>
        <v>Compteur_1</v>
      </c>
      <c r="G23" t="str">
        <f>T(INDEX(Site!$B$33:$G$40, MATCH(Tab_Calculs[[#This Row],[Compteur]], Site!$B$33:$B$40,0),2))</f>
        <v/>
      </c>
      <c r="H23" s="3">
        <f t="array" aca="1" ref="H23" ca="1">MIN(IF(INDIRECT(CONCATENATE(Tab_Calculs[[#This Row],[Colonne1]],"!$B$2:$B$243"))&gt;=Calculs_Consos!$A23,INDIRECT(CONCATENATE(Tab_Calculs[[#This Row],[Colonne1]],"!$B$2:$B$243"))))</f>
        <v>0</v>
      </c>
      <c r="I23" s="3">
        <f ca="1">INDEX(INDIRECT(CONCATENATE("Tab_",Tab_Calculs[[#This Row],[Colonne1]])),Tab_Calculs[[#This Row],[index_date_livraison]],1)</f>
        <v>0</v>
      </c>
      <c r="J23">
        <f ca="1">MATCH(Tab_Calculs[[#This Row],[Date_livraison]],INDIRECT(CONCATENATE("Tab_",Tab_Calculs[[#This Row],[Colonne1]],"[Fin de période]")),0)</f>
        <v>1</v>
      </c>
      <c r="K23" t="e">
        <f ca="1">INDEX(INDIRECT(CONCATENATE("Tab_",Tab_Calculs[[#This Row],[Colonne1]])),Tab_Calculs[[#This Row],[index_date_livraison]]-1,6)*(MAX(Tab_Calculs[[#This Row],[Début periode livraison]],Tab_Calculs[[#This Row],[Début mois]])-Tab_Calculs[[#This Row],[Début mois]])</f>
        <v>#VALUE!</v>
      </c>
      <c r="L23" s="94">
        <f ca="1">INDEX(INDIRECT(CONCATENATE("Tab_",Tab_Calculs[[#This Row],[Colonne1]])),Tab_Calculs[[#This Row],[index_date_livraison]],6)*(1+MIN(Tab_Calculs[[#This Row],[Date_livraison]],Tab_Calculs[[#This Row],[fin mois]])-MAX(Tab_Calculs[[#This Row],[Début mois]],Tab_Calculs[[#This Row],[Début periode livraison]]))</f>
        <v>0</v>
      </c>
      <c r="M23" s="94" t="e">
        <f ca="1">INDEX(INDIRECT(CONCATENATE("Tab_",Tab_Calculs[[#This Row],[Colonne1]])),Tab_Calculs[[#This Row],[index_date_livraison]]+1,6)*(Tab_Calculs[[#This Row],[fin mois]]-MIN(Tab_Calculs[[#This Row],[fin mois]],Tab_Calculs[[#This Row],[Date_livraison]]))</f>
        <v>#VALUE!</v>
      </c>
      <c r="N23" s="231" t="str">
        <f ca="1">IFERROR(Tab_Calculs[[#This Row],[Ratio_jour_après_livr]]+Tab_Calculs[[#This Row],[Ratio_jour_avant_livr]]+Tab_Calculs[[#This Row],[ratio_avant_debut]],"")</f>
        <v/>
      </c>
      <c r="O23" t="e">
        <f ca="1">INDEX(INDIRECT(CONCATENATE("Tab_",Tab_Calculs[[#This Row],[Colonne1]])),Tab_Calculs[[#This Row],[index_date_livraison]]-1,7)*(MAX(Tab_Calculs[[#This Row],[Début periode livraison]],Tab_Calculs[[#This Row],[Début mois]])-Tab_Calculs[[#This Row],[Début mois]])</f>
        <v>#VALUE!</v>
      </c>
      <c r="P23">
        <f ca="1">INDEX(INDIRECT(CONCATENATE("Tab_",Tab_Calculs[[#This Row],[Colonne1]])),Tab_Calculs[[#This Row],[index_date_livraison]],7)*(1+MIN(Tab_Calculs[[#This Row],[Date_livraison]],Tab_Calculs[[#This Row],[fin mois]])-MAX(Tab_Calculs[[#This Row],[Début mois]],Tab_Calculs[[#This Row],[Début periode livraison]]))</f>
        <v>0</v>
      </c>
      <c r="Q23" t="e">
        <f ca="1">INDEX(INDIRECT(CONCATENATE("Tab_",Tab_Calculs[[#This Row],[Colonne1]])),Tab_Calculs[[#This Row],[index_date_livraison]]+1,7)*(Tab_Calculs[[#This Row],[fin mois]]-MIN(Tab_Calculs[[#This Row],[fin mois]],Tab_Calculs[[#This Row],[Date_livraison]]))</f>
        <v>#VALUE!</v>
      </c>
      <c r="R23" t="e">
        <f ca="1">Tab_Calculs[[#This Row],[Ratio_Cout_après_livr]]+Tab_Calculs[[#This Row],[Ratio_Cout_avant_livr]]+Tab_Calculs[[#This Row],[Ratio_Cout_avant_debut]]</f>
        <v>#VALUE!</v>
      </c>
      <c r="S23" t="str">
        <f ca="1">IFERROR(N23*VLOOKUP(Tab_Calculs[[#This Row],[Colonne1]],Controle_des_données!$B$7:$G$14,6,FALSE),"")</f>
        <v/>
      </c>
      <c r="T23" t="str">
        <f ca="1">IF(Tab_Calculs[[#This Row],[Combustible ]]="Electricité (kWh)",Tab_Calculs[[#This Row],[Conso_mois_kWh]]*2.3,Tab_Calculs[[#This Row],[Conso_mois_kWh]])</f>
        <v/>
      </c>
      <c r="U23" t="str">
        <f ca="1">IFERROR(N23*VLOOKUP(Tab_Calculs[[#This Row],[Colonne1]],Controle_des_données!$B$7:$H$14,7,FALSE),"")</f>
        <v/>
      </c>
      <c r="V23">
        <f ca="1">IFERROR(Tab_Calculs[[#This Row],[Cout_mois]]/Tab_Calculs[[#This Row],[Conso_mois_kWh]],0)</f>
        <v>0</v>
      </c>
      <c r="W23" t="str">
        <f>T(VLOOKUP(Tab_Calculs[[#This Row],[Compteur]],Site!$B$33:$G$40,3,FALSE))</f>
        <v/>
      </c>
      <c r="X23" t="str">
        <f>T(VLOOKUP(Tab_Calculs[[#This Row],[Compteur]],Site!$B$33:$G$40,4,FALSE))</f>
        <v/>
      </c>
      <c r="Y23" t="str">
        <f>T(VLOOKUP(Tab_Calculs[[#This Row],[Compteur]],Site!$B$33:$G$40,5,FALSE))</f>
        <v/>
      </c>
      <c r="Z23" t="str">
        <f>T(VLOOKUP(Tab_Calculs[[#This Row],[Compteur]],Site!$B$33:$G$40,6,FALSE))</f>
        <v/>
      </c>
      <c r="AA23">
        <f>IFERROR(GETPIVOTDATA("DJU(chauffagiste)",BDD_DJU!$P$13,"annee",Tab_Calculs[[#This Row],[ANNEE]],"mois_numero",Tab_Calculs[[#This Row],[MOIS]]),0)</f>
        <v>266.5</v>
      </c>
      <c r="AD23" s="233">
        <v>2019</v>
      </c>
      <c r="AE23" s="221">
        <v>0</v>
      </c>
      <c r="AF23" s="221">
        <v>0</v>
      </c>
      <c r="AG23" s="221">
        <v>0</v>
      </c>
      <c r="AH23" s="221">
        <v>0</v>
      </c>
      <c r="AI23" s="221">
        <v>0</v>
      </c>
      <c r="AJ23" s="221">
        <v>0</v>
      </c>
      <c r="AK23" s="221">
        <v>0</v>
      </c>
      <c r="AL23" s="221">
        <v>0</v>
      </c>
      <c r="AM23" s="221"/>
      <c r="AN23" s="221"/>
      <c r="AO23" s="221"/>
      <c r="AP23" s="221"/>
      <c r="AQ23" s="221"/>
      <c r="AR23" s="221"/>
      <c r="AS23" s="221"/>
      <c r="AT23" s="221"/>
      <c r="AU23" s="221"/>
      <c r="AV23" s="221"/>
      <c r="AW23" s="221"/>
      <c r="AX23" s="221"/>
      <c r="AY23" s="221"/>
      <c r="AZ23" s="221"/>
      <c r="BA23" s="221"/>
      <c r="BB23" s="221"/>
      <c r="BC23" s="221">
        <v>0</v>
      </c>
      <c r="BD23" s="221">
        <v>0</v>
      </c>
      <c r="BE23" s="221">
        <v>0</v>
      </c>
      <c r="BF23" s="221">
        <v>0</v>
      </c>
    </row>
    <row r="24" spans="1:58" x14ac:dyDescent="0.25">
      <c r="A24" s="3">
        <f>DATE(Tab_Calculs[[#This Row],[ANNEE]],Tab_Calculs[[#This Row],[MOIS]],1)</f>
        <v>40634</v>
      </c>
      <c r="B24" s="3">
        <f>EDATE(Tab_Calculs[[#This Row],[Début mois]],1)-1</f>
        <v>40663</v>
      </c>
      <c r="C24">
        <v>4</v>
      </c>
      <c r="D24">
        <v>2011</v>
      </c>
      <c r="E24" t="s">
        <v>80</v>
      </c>
      <c r="F24" t="str">
        <f>SUBSTITUTE(Tab_Calculs[[#This Row],[Compteur]]," ","_")</f>
        <v>Compteur_1</v>
      </c>
      <c r="G24" t="str">
        <f>T(INDEX(Site!$B$33:$G$40, MATCH(Tab_Calculs[[#This Row],[Compteur]], Site!$B$33:$B$40,0),2))</f>
        <v/>
      </c>
      <c r="H24" s="3">
        <f t="array" aca="1" ref="H24" ca="1">MIN(IF(INDIRECT(CONCATENATE(Tab_Calculs[[#This Row],[Colonne1]],"!$B$2:$B$243"))&gt;=Calculs_Consos!$A24,INDIRECT(CONCATENATE(Tab_Calculs[[#This Row],[Colonne1]],"!$B$2:$B$243"))))</f>
        <v>0</v>
      </c>
      <c r="I24" s="3">
        <f ca="1">INDEX(INDIRECT(CONCATENATE("Tab_",Tab_Calculs[[#This Row],[Colonne1]])),Tab_Calculs[[#This Row],[index_date_livraison]],1)</f>
        <v>0</v>
      </c>
      <c r="J24">
        <f ca="1">MATCH(Tab_Calculs[[#This Row],[Date_livraison]],INDIRECT(CONCATENATE("Tab_",Tab_Calculs[[#This Row],[Colonne1]],"[Fin de période]")),0)</f>
        <v>1</v>
      </c>
      <c r="K24" t="e">
        <f ca="1">INDEX(INDIRECT(CONCATENATE("Tab_",Tab_Calculs[[#This Row],[Colonne1]])),Tab_Calculs[[#This Row],[index_date_livraison]]-1,6)*(MAX(Tab_Calculs[[#This Row],[Début periode livraison]],Tab_Calculs[[#This Row],[Début mois]])-Tab_Calculs[[#This Row],[Début mois]])</f>
        <v>#VALUE!</v>
      </c>
      <c r="L24" s="94">
        <f ca="1">INDEX(INDIRECT(CONCATENATE("Tab_",Tab_Calculs[[#This Row],[Colonne1]])),Tab_Calculs[[#This Row],[index_date_livraison]],6)*(1+MIN(Tab_Calculs[[#This Row],[Date_livraison]],Tab_Calculs[[#This Row],[fin mois]])-MAX(Tab_Calculs[[#This Row],[Début mois]],Tab_Calculs[[#This Row],[Début periode livraison]]))</f>
        <v>0</v>
      </c>
      <c r="M24" s="94" t="e">
        <f ca="1">INDEX(INDIRECT(CONCATENATE("Tab_",Tab_Calculs[[#This Row],[Colonne1]])),Tab_Calculs[[#This Row],[index_date_livraison]]+1,6)*(Tab_Calculs[[#This Row],[fin mois]]-MIN(Tab_Calculs[[#This Row],[fin mois]],Tab_Calculs[[#This Row],[Date_livraison]]))</f>
        <v>#VALUE!</v>
      </c>
      <c r="N24" s="231" t="str">
        <f ca="1">IFERROR(Tab_Calculs[[#This Row],[Ratio_jour_après_livr]]+Tab_Calculs[[#This Row],[Ratio_jour_avant_livr]]+Tab_Calculs[[#This Row],[ratio_avant_debut]],"")</f>
        <v/>
      </c>
      <c r="O24" t="e">
        <f ca="1">INDEX(INDIRECT(CONCATENATE("Tab_",Tab_Calculs[[#This Row],[Colonne1]])),Tab_Calculs[[#This Row],[index_date_livraison]]-1,7)*(MAX(Tab_Calculs[[#This Row],[Début periode livraison]],Tab_Calculs[[#This Row],[Début mois]])-Tab_Calculs[[#This Row],[Début mois]])</f>
        <v>#VALUE!</v>
      </c>
      <c r="P24">
        <f ca="1">INDEX(INDIRECT(CONCATENATE("Tab_",Tab_Calculs[[#This Row],[Colonne1]])),Tab_Calculs[[#This Row],[index_date_livraison]],7)*(1+MIN(Tab_Calculs[[#This Row],[Date_livraison]],Tab_Calculs[[#This Row],[fin mois]])-MAX(Tab_Calculs[[#This Row],[Début mois]],Tab_Calculs[[#This Row],[Début periode livraison]]))</f>
        <v>0</v>
      </c>
      <c r="Q24" t="e">
        <f ca="1">INDEX(INDIRECT(CONCATENATE("Tab_",Tab_Calculs[[#This Row],[Colonne1]])),Tab_Calculs[[#This Row],[index_date_livraison]]+1,7)*(Tab_Calculs[[#This Row],[fin mois]]-MIN(Tab_Calculs[[#This Row],[fin mois]],Tab_Calculs[[#This Row],[Date_livraison]]))</f>
        <v>#VALUE!</v>
      </c>
      <c r="R24" t="e">
        <f ca="1">Tab_Calculs[[#This Row],[Ratio_Cout_après_livr]]+Tab_Calculs[[#This Row],[Ratio_Cout_avant_livr]]+Tab_Calculs[[#This Row],[Ratio_Cout_avant_debut]]</f>
        <v>#VALUE!</v>
      </c>
      <c r="S24" t="str">
        <f ca="1">IFERROR(N24*VLOOKUP(Tab_Calculs[[#This Row],[Colonne1]],Controle_des_données!$B$7:$G$14,6,FALSE),"")</f>
        <v/>
      </c>
      <c r="T24" t="str">
        <f ca="1">IF(Tab_Calculs[[#This Row],[Combustible ]]="Electricité (kWh)",Tab_Calculs[[#This Row],[Conso_mois_kWh]]*2.3,Tab_Calculs[[#This Row],[Conso_mois_kWh]])</f>
        <v/>
      </c>
      <c r="U24" t="str">
        <f ca="1">IFERROR(N24*VLOOKUP(Tab_Calculs[[#This Row],[Colonne1]],Controle_des_données!$B$7:$H$14,7,FALSE),"")</f>
        <v/>
      </c>
      <c r="V24">
        <f ca="1">IFERROR(Tab_Calculs[[#This Row],[Cout_mois]]/Tab_Calculs[[#This Row],[Conso_mois_kWh]],0)</f>
        <v>0</v>
      </c>
      <c r="W24" t="str">
        <f>T(VLOOKUP(Tab_Calculs[[#This Row],[Compteur]],Site!$B$33:$G$40,3,FALSE))</f>
        <v/>
      </c>
      <c r="X24" t="str">
        <f>T(VLOOKUP(Tab_Calculs[[#This Row],[Compteur]],Site!$B$33:$G$40,4,FALSE))</f>
        <v/>
      </c>
      <c r="Y24" t="str">
        <f>T(VLOOKUP(Tab_Calculs[[#This Row],[Compteur]],Site!$B$33:$G$40,5,FALSE))</f>
        <v/>
      </c>
      <c r="Z24" t="str">
        <f>T(VLOOKUP(Tab_Calculs[[#This Row],[Compteur]],Site!$B$33:$G$40,6,FALSE))</f>
        <v/>
      </c>
      <c r="AA24">
        <f>IFERROR(GETPIVOTDATA("DJU(chauffagiste)",BDD_DJU!$P$13,"annee",Tab_Calculs[[#This Row],[ANNEE]],"mois_numero",Tab_Calculs[[#This Row],[MOIS]]),0)</f>
        <v>136.19999999999999</v>
      </c>
      <c r="AD24" s="233">
        <v>2020</v>
      </c>
      <c r="AE24" s="221">
        <v>0</v>
      </c>
      <c r="AF24" s="221">
        <v>0</v>
      </c>
      <c r="AG24" s="221">
        <v>0</v>
      </c>
      <c r="AH24" s="221">
        <v>0</v>
      </c>
      <c r="AI24" s="221">
        <v>0</v>
      </c>
      <c r="AJ24" s="221">
        <v>0</v>
      </c>
      <c r="AK24" s="221">
        <v>0</v>
      </c>
      <c r="AL24" s="221">
        <v>0</v>
      </c>
      <c r="AM24" s="221"/>
      <c r="AN24" s="221"/>
      <c r="AO24" s="221"/>
      <c r="AP24" s="221"/>
      <c r="AQ24" s="221"/>
      <c r="AR24" s="221"/>
      <c r="AS24" s="221"/>
      <c r="AT24" s="221"/>
      <c r="AU24" s="221"/>
      <c r="AV24" s="221"/>
      <c r="AW24" s="221"/>
      <c r="AX24" s="221"/>
      <c r="AY24" s="221"/>
      <c r="AZ24" s="221"/>
      <c r="BA24" s="221"/>
      <c r="BB24" s="221"/>
      <c r="BC24" s="221">
        <v>0</v>
      </c>
      <c r="BD24" s="221">
        <v>0</v>
      </c>
      <c r="BE24" s="221">
        <v>0</v>
      </c>
      <c r="BF24" s="221">
        <v>0</v>
      </c>
    </row>
    <row r="25" spans="1:58" x14ac:dyDescent="0.25">
      <c r="A25" s="3">
        <f>DATE(Tab_Calculs[[#This Row],[ANNEE]],Tab_Calculs[[#This Row],[MOIS]],1)</f>
        <v>40664</v>
      </c>
      <c r="B25" s="3">
        <f>EDATE(Tab_Calculs[[#This Row],[Début mois]],1)-1</f>
        <v>40694</v>
      </c>
      <c r="C25">
        <v>5</v>
      </c>
      <c r="D25">
        <v>2011</v>
      </c>
      <c r="E25" t="s">
        <v>80</v>
      </c>
      <c r="F25" t="str">
        <f>SUBSTITUTE(Tab_Calculs[[#This Row],[Compteur]]," ","_")</f>
        <v>Compteur_1</v>
      </c>
      <c r="G25" t="str">
        <f>T(INDEX(Site!$B$33:$G$40, MATCH(Tab_Calculs[[#This Row],[Compteur]], Site!$B$33:$B$40,0),2))</f>
        <v/>
      </c>
      <c r="H25" s="3">
        <f t="array" aca="1" ref="H25" ca="1">MIN(IF(INDIRECT(CONCATENATE(Tab_Calculs[[#This Row],[Colonne1]],"!$B$2:$B$243"))&gt;=Calculs_Consos!$A25,INDIRECT(CONCATENATE(Tab_Calculs[[#This Row],[Colonne1]],"!$B$2:$B$243"))))</f>
        <v>0</v>
      </c>
      <c r="I25" s="3">
        <f ca="1">INDEX(INDIRECT(CONCATENATE("Tab_",Tab_Calculs[[#This Row],[Colonne1]])),Tab_Calculs[[#This Row],[index_date_livraison]],1)</f>
        <v>0</v>
      </c>
      <c r="J25">
        <f ca="1">MATCH(Tab_Calculs[[#This Row],[Date_livraison]],INDIRECT(CONCATENATE("Tab_",Tab_Calculs[[#This Row],[Colonne1]],"[Fin de période]")),0)</f>
        <v>1</v>
      </c>
      <c r="K25" t="e">
        <f ca="1">INDEX(INDIRECT(CONCATENATE("Tab_",Tab_Calculs[[#This Row],[Colonne1]])),Tab_Calculs[[#This Row],[index_date_livraison]]-1,6)*(MAX(Tab_Calculs[[#This Row],[Début periode livraison]],Tab_Calculs[[#This Row],[Début mois]])-Tab_Calculs[[#This Row],[Début mois]])</f>
        <v>#VALUE!</v>
      </c>
      <c r="L25" s="94">
        <f ca="1">INDEX(INDIRECT(CONCATENATE("Tab_",Tab_Calculs[[#This Row],[Colonne1]])),Tab_Calculs[[#This Row],[index_date_livraison]],6)*(1+MIN(Tab_Calculs[[#This Row],[Date_livraison]],Tab_Calculs[[#This Row],[fin mois]])-MAX(Tab_Calculs[[#This Row],[Début mois]],Tab_Calculs[[#This Row],[Début periode livraison]]))</f>
        <v>0</v>
      </c>
      <c r="M25" s="94" t="e">
        <f ca="1">INDEX(INDIRECT(CONCATENATE("Tab_",Tab_Calculs[[#This Row],[Colonne1]])),Tab_Calculs[[#This Row],[index_date_livraison]]+1,6)*(Tab_Calculs[[#This Row],[fin mois]]-MIN(Tab_Calculs[[#This Row],[fin mois]],Tab_Calculs[[#This Row],[Date_livraison]]))</f>
        <v>#VALUE!</v>
      </c>
      <c r="N25" s="231" t="str">
        <f ca="1">IFERROR(Tab_Calculs[[#This Row],[Ratio_jour_après_livr]]+Tab_Calculs[[#This Row],[Ratio_jour_avant_livr]]+Tab_Calculs[[#This Row],[ratio_avant_debut]],"")</f>
        <v/>
      </c>
      <c r="O25" t="e">
        <f ca="1">INDEX(INDIRECT(CONCATENATE("Tab_",Tab_Calculs[[#This Row],[Colonne1]])),Tab_Calculs[[#This Row],[index_date_livraison]]-1,7)*(MAX(Tab_Calculs[[#This Row],[Début periode livraison]],Tab_Calculs[[#This Row],[Début mois]])-Tab_Calculs[[#This Row],[Début mois]])</f>
        <v>#VALUE!</v>
      </c>
      <c r="P25">
        <f ca="1">INDEX(INDIRECT(CONCATENATE("Tab_",Tab_Calculs[[#This Row],[Colonne1]])),Tab_Calculs[[#This Row],[index_date_livraison]],7)*(1+MIN(Tab_Calculs[[#This Row],[Date_livraison]],Tab_Calculs[[#This Row],[fin mois]])-MAX(Tab_Calculs[[#This Row],[Début mois]],Tab_Calculs[[#This Row],[Début periode livraison]]))</f>
        <v>0</v>
      </c>
      <c r="Q25" t="e">
        <f ca="1">INDEX(INDIRECT(CONCATENATE("Tab_",Tab_Calculs[[#This Row],[Colonne1]])),Tab_Calculs[[#This Row],[index_date_livraison]]+1,7)*(Tab_Calculs[[#This Row],[fin mois]]-MIN(Tab_Calculs[[#This Row],[fin mois]],Tab_Calculs[[#This Row],[Date_livraison]]))</f>
        <v>#VALUE!</v>
      </c>
      <c r="R25" t="e">
        <f ca="1">Tab_Calculs[[#This Row],[Ratio_Cout_après_livr]]+Tab_Calculs[[#This Row],[Ratio_Cout_avant_livr]]+Tab_Calculs[[#This Row],[Ratio_Cout_avant_debut]]</f>
        <v>#VALUE!</v>
      </c>
      <c r="S25" t="str">
        <f ca="1">IFERROR(N25*VLOOKUP(Tab_Calculs[[#This Row],[Colonne1]],Controle_des_données!$B$7:$G$14,6,FALSE),"")</f>
        <v/>
      </c>
      <c r="T25" t="str">
        <f ca="1">IF(Tab_Calculs[[#This Row],[Combustible ]]="Electricité (kWh)",Tab_Calculs[[#This Row],[Conso_mois_kWh]]*2.3,Tab_Calculs[[#This Row],[Conso_mois_kWh]])</f>
        <v/>
      </c>
      <c r="U25" t="str">
        <f ca="1">IFERROR(N25*VLOOKUP(Tab_Calculs[[#This Row],[Colonne1]],Controle_des_données!$B$7:$H$14,7,FALSE),"")</f>
        <v/>
      </c>
      <c r="V25">
        <f ca="1">IFERROR(Tab_Calculs[[#This Row],[Cout_mois]]/Tab_Calculs[[#This Row],[Conso_mois_kWh]],0)</f>
        <v>0</v>
      </c>
      <c r="W25" t="str">
        <f>T(VLOOKUP(Tab_Calculs[[#This Row],[Compteur]],Site!$B$33:$G$40,3,FALSE))</f>
        <v/>
      </c>
      <c r="X25" t="str">
        <f>T(VLOOKUP(Tab_Calculs[[#This Row],[Compteur]],Site!$B$33:$G$40,4,FALSE))</f>
        <v/>
      </c>
      <c r="Y25" t="str">
        <f>T(VLOOKUP(Tab_Calculs[[#This Row],[Compteur]],Site!$B$33:$G$40,5,FALSE))</f>
        <v/>
      </c>
      <c r="Z25" t="str">
        <f>T(VLOOKUP(Tab_Calculs[[#This Row],[Compteur]],Site!$B$33:$G$40,6,FALSE))</f>
        <v/>
      </c>
      <c r="AA25">
        <f>IFERROR(GETPIVOTDATA("DJU(chauffagiste)",BDD_DJU!$P$13,"annee",Tab_Calculs[[#This Row],[ANNEE]],"mois_numero",Tab_Calculs[[#This Row],[MOIS]]),0)</f>
        <v>91.9</v>
      </c>
      <c r="AD25" s="233">
        <v>2021</v>
      </c>
      <c r="AE25" s="221">
        <v>0</v>
      </c>
      <c r="AF25" s="221">
        <v>0</v>
      </c>
      <c r="AG25" s="221">
        <v>0</v>
      </c>
      <c r="AH25" s="221">
        <v>0</v>
      </c>
      <c r="AI25" s="221">
        <v>0</v>
      </c>
      <c r="AJ25" s="221">
        <v>0</v>
      </c>
      <c r="AK25" s="221">
        <v>0</v>
      </c>
      <c r="AL25" s="221">
        <v>0</v>
      </c>
      <c r="AM25" s="221"/>
      <c r="AN25" s="221"/>
      <c r="AO25" s="221"/>
      <c r="AP25" s="221"/>
      <c r="AQ25" s="221"/>
      <c r="AR25" s="221"/>
      <c r="AS25" s="221"/>
      <c r="AT25" s="221"/>
      <c r="AU25" s="221"/>
      <c r="AV25" s="221"/>
      <c r="AW25" s="221"/>
      <c r="AX25" s="221"/>
      <c r="AY25" s="221"/>
      <c r="AZ25" s="221"/>
      <c r="BA25" s="221"/>
      <c r="BB25" s="221"/>
      <c r="BC25" s="221">
        <v>0</v>
      </c>
      <c r="BD25" s="221">
        <v>0</v>
      </c>
      <c r="BE25" s="221">
        <v>0</v>
      </c>
      <c r="BF25" s="221">
        <v>0</v>
      </c>
    </row>
    <row r="26" spans="1:58" x14ac:dyDescent="0.25">
      <c r="A26" s="3">
        <f>DATE(Tab_Calculs[[#This Row],[ANNEE]],Tab_Calculs[[#This Row],[MOIS]],1)</f>
        <v>40695</v>
      </c>
      <c r="B26" s="3">
        <f>EDATE(Tab_Calculs[[#This Row],[Début mois]],1)-1</f>
        <v>40724</v>
      </c>
      <c r="C26">
        <v>6</v>
      </c>
      <c r="D26">
        <v>2011</v>
      </c>
      <c r="E26" t="s">
        <v>80</v>
      </c>
      <c r="F26" t="str">
        <f>SUBSTITUTE(Tab_Calculs[[#This Row],[Compteur]]," ","_")</f>
        <v>Compteur_1</v>
      </c>
      <c r="G26" t="str">
        <f>T(INDEX(Site!$B$33:$G$40, MATCH(Tab_Calculs[[#This Row],[Compteur]], Site!$B$33:$B$40,0),2))</f>
        <v/>
      </c>
      <c r="H26" s="3">
        <f t="array" aca="1" ref="H26" ca="1">MIN(IF(INDIRECT(CONCATENATE(Tab_Calculs[[#This Row],[Colonne1]],"!$B$2:$B$243"))&gt;=Calculs_Consos!$A26,INDIRECT(CONCATENATE(Tab_Calculs[[#This Row],[Colonne1]],"!$B$2:$B$243"))))</f>
        <v>0</v>
      </c>
      <c r="I26" s="3">
        <f ca="1">INDEX(INDIRECT(CONCATENATE("Tab_",Tab_Calculs[[#This Row],[Colonne1]])),Tab_Calculs[[#This Row],[index_date_livraison]],1)</f>
        <v>0</v>
      </c>
      <c r="J26">
        <f ca="1">MATCH(Tab_Calculs[[#This Row],[Date_livraison]],INDIRECT(CONCATENATE("Tab_",Tab_Calculs[[#This Row],[Colonne1]],"[Fin de période]")),0)</f>
        <v>1</v>
      </c>
      <c r="K26" t="e">
        <f ca="1">INDEX(INDIRECT(CONCATENATE("Tab_",Tab_Calculs[[#This Row],[Colonne1]])),Tab_Calculs[[#This Row],[index_date_livraison]]-1,6)*(MAX(Tab_Calculs[[#This Row],[Début periode livraison]],Tab_Calculs[[#This Row],[Début mois]])-Tab_Calculs[[#This Row],[Début mois]])</f>
        <v>#VALUE!</v>
      </c>
      <c r="L26" s="94">
        <f ca="1">INDEX(INDIRECT(CONCATENATE("Tab_",Tab_Calculs[[#This Row],[Colonne1]])),Tab_Calculs[[#This Row],[index_date_livraison]],6)*(1+MIN(Tab_Calculs[[#This Row],[Date_livraison]],Tab_Calculs[[#This Row],[fin mois]])-MAX(Tab_Calculs[[#This Row],[Début mois]],Tab_Calculs[[#This Row],[Début periode livraison]]))</f>
        <v>0</v>
      </c>
      <c r="M26" s="94" t="e">
        <f ca="1">INDEX(INDIRECT(CONCATENATE("Tab_",Tab_Calculs[[#This Row],[Colonne1]])),Tab_Calculs[[#This Row],[index_date_livraison]]+1,6)*(Tab_Calculs[[#This Row],[fin mois]]-MIN(Tab_Calculs[[#This Row],[fin mois]],Tab_Calculs[[#This Row],[Date_livraison]]))</f>
        <v>#VALUE!</v>
      </c>
      <c r="N26" s="231" t="str">
        <f ca="1">IFERROR(Tab_Calculs[[#This Row],[Ratio_jour_après_livr]]+Tab_Calculs[[#This Row],[Ratio_jour_avant_livr]]+Tab_Calculs[[#This Row],[ratio_avant_debut]],"")</f>
        <v/>
      </c>
      <c r="O26" t="e">
        <f ca="1">INDEX(INDIRECT(CONCATENATE("Tab_",Tab_Calculs[[#This Row],[Colonne1]])),Tab_Calculs[[#This Row],[index_date_livraison]]-1,7)*(MAX(Tab_Calculs[[#This Row],[Début periode livraison]],Tab_Calculs[[#This Row],[Début mois]])-Tab_Calculs[[#This Row],[Début mois]])</f>
        <v>#VALUE!</v>
      </c>
      <c r="P26">
        <f ca="1">INDEX(INDIRECT(CONCATENATE("Tab_",Tab_Calculs[[#This Row],[Colonne1]])),Tab_Calculs[[#This Row],[index_date_livraison]],7)*(1+MIN(Tab_Calculs[[#This Row],[Date_livraison]],Tab_Calculs[[#This Row],[fin mois]])-MAX(Tab_Calculs[[#This Row],[Début mois]],Tab_Calculs[[#This Row],[Début periode livraison]]))</f>
        <v>0</v>
      </c>
      <c r="Q26" t="e">
        <f ca="1">INDEX(INDIRECT(CONCATENATE("Tab_",Tab_Calculs[[#This Row],[Colonne1]])),Tab_Calculs[[#This Row],[index_date_livraison]]+1,7)*(Tab_Calculs[[#This Row],[fin mois]]-MIN(Tab_Calculs[[#This Row],[fin mois]],Tab_Calculs[[#This Row],[Date_livraison]]))</f>
        <v>#VALUE!</v>
      </c>
      <c r="R26" t="e">
        <f ca="1">Tab_Calculs[[#This Row],[Ratio_Cout_après_livr]]+Tab_Calculs[[#This Row],[Ratio_Cout_avant_livr]]+Tab_Calculs[[#This Row],[Ratio_Cout_avant_debut]]</f>
        <v>#VALUE!</v>
      </c>
      <c r="S26" t="str">
        <f ca="1">IFERROR(N26*VLOOKUP(Tab_Calculs[[#This Row],[Colonne1]],Controle_des_données!$B$7:$G$14,6,FALSE),"")</f>
        <v/>
      </c>
      <c r="T26" t="str">
        <f ca="1">IF(Tab_Calculs[[#This Row],[Combustible ]]="Electricité (kWh)",Tab_Calculs[[#This Row],[Conso_mois_kWh]]*2.3,Tab_Calculs[[#This Row],[Conso_mois_kWh]])</f>
        <v/>
      </c>
      <c r="U26" t="str">
        <f ca="1">IFERROR(N26*VLOOKUP(Tab_Calculs[[#This Row],[Colonne1]],Controle_des_données!$B$7:$H$14,7,FALSE),"")</f>
        <v/>
      </c>
      <c r="V26">
        <f ca="1">IFERROR(Tab_Calculs[[#This Row],[Cout_mois]]/Tab_Calculs[[#This Row],[Conso_mois_kWh]],0)</f>
        <v>0</v>
      </c>
      <c r="W26" t="str">
        <f>T(VLOOKUP(Tab_Calculs[[#This Row],[Compteur]],Site!$B$33:$G$40,3,FALSE))</f>
        <v/>
      </c>
      <c r="X26" t="str">
        <f>T(VLOOKUP(Tab_Calculs[[#This Row],[Compteur]],Site!$B$33:$G$40,4,FALSE))</f>
        <v/>
      </c>
      <c r="Y26" t="str">
        <f>T(VLOOKUP(Tab_Calculs[[#This Row],[Compteur]],Site!$B$33:$G$40,5,FALSE))</f>
        <v/>
      </c>
      <c r="Z26" t="str">
        <f>T(VLOOKUP(Tab_Calculs[[#This Row],[Compteur]],Site!$B$33:$G$40,6,FALSE))</f>
        <v/>
      </c>
      <c r="AA26">
        <f>IFERROR(GETPIVOTDATA("DJU(chauffagiste)",BDD_DJU!$P$13,"annee",Tab_Calculs[[#This Row],[ANNEE]],"mois_numero",Tab_Calculs[[#This Row],[MOIS]]),0)</f>
        <v>55.8</v>
      </c>
      <c r="AD26" s="233">
        <v>2022</v>
      </c>
      <c r="AE26" s="221">
        <v>0</v>
      </c>
      <c r="AF26" s="221">
        <v>0</v>
      </c>
      <c r="AG26" s="221">
        <v>0</v>
      </c>
      <c r="AH26" s="221">
        <v>0</v>
      </c>
      <c r="AI26" s="221">
        <v>0</v>
      </c>
      <c r="AJ26" s="221">
        <v>0</v>
      </c>
      <c r="AK26" s="221">
        <v>0</v>
      </c>
      <c r="AL26" s="221">
        <v>0</v>
      </c>
      <c r="AM26" s="221"/>
      <c r="AN26" s="221"/>
      <c r="AO26" s="221"/>
      <c r="AP26" s="221"/>
      <c r="AQ26" s="221"/>
      <c r="AR26" s="221"/>
      <c r="AS26" s="221"/>
      <c r="AT26" s="221"/>
      <c r="AU26" s="221"/>
      <c r="AV26" s="221"/>
      <c r="AW26" s="221"/>
      <c r="AX26" s="221"/>
      <c r="AY26" s="221"/>
      <c r="AZ26" s="221"/>
      <c r="BA26" s="221"/>
      <c r="BB26" s="221"/>
      <c r="BC26" s="221">
        <v>0</v>
      </c>
      <c r="BD26" s="221">
        <v>0</v>
      </c>
      <c r="BE26" s="221">
        <v>0</v>
      </c>
      <c r="BF26" s="221">
        <v>0</v>
      </c>
    </row>
    <row r="27" spans="1:58" x14ac:dyDescent="0.25">
      <c r="A27" s="3">
        <f>DATE(Tab_Calculs[[#This Row],[ANNEE]],Tab_Calculs[[#This Row],[MOIS]],1)</f>
        <v>40725</v>
      </c>
      <c r="B27" s="3">
        <f>EDATE(Tab_Calculs[[#This Row],[Début mois]],1)-1</f>
        <v>40755</v>
      </c>
      <c r="C27">
        <v>7</v>
      </c>
      <c r="D27">
        <v>2011</v>
      </c>
      <c r="E27" t="s">
        <v>80</v>
      </c>
      <c r="F27" t="str">
        <f>SUBSTITUTE(Tab_Calculs[[#This Row],[Compteur]]," ","_")</f>
        <v>Compteur_1</v>
      </c>
      <c r="G27" t="str">
        <f>T(INDEX(Site!$B$33:$G$40, MATCH(Tab_Calculs[[#This Row],[Compteur]], Site!$B$33:$B$40,0),2))</f>
        <v/>
      </c>
      <c r="H27" s="3">
        <f t="array" aca="1" ref="H27" ca="1">MIN(IF(INDIRECT(CONCATENATE(Tab_Calculs[[#This Row],[Colonne1]],"!$B$2:$B$243"))&gt;=Calculs_Consos!$A27,INDIRECT(CONCATENATE(Tab_Calculs[[#This Row],[Colonne1]],"!$B$2:$B$243"))))</f>
        <v>0</v>
      </c>
      <c r="I27" s="3">
        <f ca="1">INDEX(INDIRECT(CONCATENATE("Tab_",Tab_Calculs[[#This Row],[Colonne1]])),Tab_Calculs[[#This Row],[index_date_livraison]],1)</f>
        <v>0</v>
      </c>
      <c r="J27">
        <f ca="1">MATCH(Tab_Calculs[[#This Row],[Date_livraison]],INDIRECT(CONCATENATE("Tab_",Tab_Calculs[[#This Row],[Colonne1]],"[Fin de période]")),0)</f>
        <v>1</v>
      </c>
      <c r="K27" t="e">
        <f ca="1">INDEX(INDIRECT(CONCATENATE("Tab_",Tab_Calculs[[#This Row],[Colonne1]])),Tab_Calculs[[#This Row],[index_date_livraison]]-1,6)*(MAX(Tab_Calculs[[#This Row],[Début periode livraison]],Tab_Calculs[[#This Row],[Début mois]])-Tab_Calculs[[#This Row],[Début mois]])</f>
        <v>#VALUE!</v>
      </c>
      <c r="L27" s="94">
        <f ca="1">INDEX(INDIRECT(CONCATENATE("Tab_",Tab_Calculs[[#This Row],[Colonne1]])),Tab_Calculs[[#This Row],[index_date_livraison]],6)*(1+MIN(Tab_Calculs[[#This Row],[Date_livraison]],Tab_Calculs[[#This Row],[fin mois]])-MAX(Tab_Calculs[[#This Row],[Début mois]],Tab_Calculs[[#This Row],[Début periode livraison]]))</f>
        <v>0</v>
      </c>
      <c r="M27" s="94" t="e">
        <f ca="1">INDEX(INDIRECT(CONCATENATE("Tab_",Tab_Calculs[[#This Row],[Colonne1]])),Tab_Calculs[[#This Row],[index_date_livraison]]+1,6)*(Tab_Calculs[[#This Row],[fin mois]]-MIN(Tab_Calculs[[#This Row],[fin mois]],Tab_Calculs[[#This Row],[Date_livraison]]))</f>
        <v>#VALUE!</v>
      </c>
      <c r="N27" s="231" t="str">
        <f ca="1">IFERROR(Tab_Calculs[[#This Row],[Ratio_jour_après_livr]]+Tab_Calculs[[#This Row],[Ratio_jour_avant_livr]]+Tab_Calculs[[#This Row],[ratio_avant_debut]],"")</f>
        <v/>
      </c>
      <c r="O27" t="e">
        <f ca="1">INDEX(INDIRECT(CONCATENATE("Tab_",Tab_Calculs[[#This Row],[Colonne1]])),Tab_Calculs[[#This Row],[index_date_livraison]]-1,7)*(MAX(Tab_Calculs[[#This Row],[Début periode livraison]],Tab_Calculs[[#This Row],[Début mois]])-Tab_Calculs[[#This Row],[Début mois]])</f>
        <v>#VALUE!</v>
      </c>
      <c r="P27">
        <f ca="1">INDEX(INDIRECT(CONCATENATE("Tab_",Tab_Calculs[[#This Row],[Colonne1]])),Tab_Calculs[[#This Row],[index_date_livraison]],7)*(1+MIN(Tab_Calculs[[#This Row],[Date_livraison]],Tab_Calculs[[#This Row],[fin mois]])-MAX(Tab_Calculs[[#This Row],[Début mois]],Tab_Calculs[[#This Row],[Début periode livraison]]))</f>
        <v>0</v>
      </c>
      <c r="Q27" t="e">
        <f ca="1">INDEX(INDIRECT(CONCATENATE("Tab_",Tab_Calculs[[#This Row],[Colonne1]])),Tab_Calculs[[#This Row],[index_date_livraison]]+1,7)*(Tab_Calculs[[#This Row],[fin mois]]-MIN(Tab_Calculs[[#This Row],[fin mois]],Tab_Calculs[[#This Row],[Date_livraison]]))</f>
        <v>#VALUE!</v>
      </c>
      <c r="R27" t="e">
        <f ca="1">Tab_Calculs[[#This Row],[Ratio_Cout_après_livr]]+Tab_Calculs[[#This Row],[Ratio_Cout_avant_livr]]+Tab_Calculs[[#This Row],[Ratio_Cout_avant_debut]]</f>
        <v>#VALUE!</v>
      </c>
      <c r="S27" t="str">
        <f ca="1">IFERROR(N27*VLOOKUP(Tab_Calculs[[#This Row],[Colonne1]],Controle_des_données!$B$7:$G$14,6,FALSE),"")</f>
        <v/>
      </c>
      <c r="T27" t="str">
        <f ca="1">IF(Tab_Calculs[[#This Row],[Combustible ]]="Electricité (kWh)",Tab_Calculs[[#This Row],[Conso_mois_kWh]]*2.3,Tab_Calculs[[#This Row],[Conso_mois_kWh]])</f>
        <v/>
      </c>
      <c r="U27" t="str">
        <f ca="1">IFERROR(N27*VLOOKUP(Tab_Calculs[[#This Row],[Colonne1]],Controle_des_données!$B$7:$H$14,7,FALSE),"")</f>
        <v/>
      </c>
      <c r="V27">
        <f ca="1">IFERROR(Tab_Calculs[[#This Row],[Cout_mois]]/Tab_Calculs[[#This Row],[Conso_mois_kWh]],0)</f>
        <v>0</v>
      </c>
      <c r="W27" t="str">
        <f>T(VLOOKUP(Tab_Calculs[[#This Row],[Compteur]],Site!$B$33:$G$40,3,FALSE))</f>
        <v/>
      </c>
      <c r="X27" t="str">
        <f>T(VLOOKUP(Tab_Calculs[[#This Row],[Compteur]],Site!$B$33:$G$40,4,FALSE))</f>
        <v/>
      </c>
      <c r="Y27" t="str">
        <f>T(VLOOKUP(Tab_Calculs[[#This Row],[Compteur]],Site!$B$33:$G$40,5,FALSE))</f>
        <v/>
      </c>
      <c r="Z27" t="str">
        <f>T(VLOOKUP(Tab_Calculs[[#This Row],[Compteur]],Site!$B$33:$G$40,6,FALSE))</f>
        <v/>
      </c>
      <c r="AA27">
        <f>IFERROR(GETPIVOTDATA("DJU(chauffagiste)",BDD_DJU!$P$13,"annee",Tab_Calculs[[#This Row],[ANNEE]],"mois_numero",Tab_Calculs[[#This Row],[MOIS]]),0)</f>
        <v>50.8</v>
      </c>
      <c r="AD27" s="233">
        <v>2023</v>
      </c>
      <c r="AE27" s="221">
        <v>0</v>
      </c>
      <c r="AF27" s="221">
        <v>0</v>
      </c>
      <c r="AG27" s="221">
        <v>0</v>
      </c>
      <c r="AH27" s="221">
        <v>0</v>
      </c>
      <c r="AI27" s="221">
        <v>0</v>
      </c>
      <c r="AJ27" s="221">
        <v>0</v>
      </c>
      <c r="AK27" s="221">
        <v>0</v>
      </c>
      <c r="AL27" s="221">
        <v>0</v>
      </c>
      <c r="AM27" s="221"/>
      <c r="AN27" s="221"/>
      <c r="AO27" s="221"/>
      <c r="AP27" s="221"/>
      <c r="AQ27" s="221"/>
      <c r="AR27" s="221"/>
      <c r="AS27" s="221"/>
      <c r="AT27" s="221"/>
      <c r="AU27" s="221"/>
      <c r="AV27" s="221"/>
      <c r="AW27" s="221"/>
      <c r="AX27" s="221"/>
      <c r="AY27" s="221"/>
      <c r="AZ27" s="221"/>
      <c r="BA27" s="221"/>
      <c r="BB27" s="221"/>
      <c r="BC27" s="221">
        <v>0</v>
      </c>
      <c r="BD27" s="221">
        <v>0</v>
      </c>
      <c r="BE27" s="221">
        <v>0</v>
      </c>
      <c r="BF27" s="221">
        <v>0</v>
      </c>
    </row>
    <row r="28" spans="1:58" x14ac:dyDescent="0.25">
      <c r="A28" s="3">
        <f>DATE(Tab_Calculs[[#This Row],[ANNEE]],Tab_Calculs[[#This Row],[MOIS]],1)</f>
        <v>40756</v>
      </c>
      <c r="B28" s="3">
        <f>EDATE(Tab_Calculs[[#This Row],[Début mois]],1)-1</f>
        <v>40786</v>
      </c>
      <c r="C28">
        <v>8</v>
      </c>
      <c r="D28">
        <v>2011</v>
      </c>
      <c r="E28" t="s">
        <v>80</v>
      </c>
      <c r="F28" t="str">
        <f>SUBSTITUTE(Tab_Calculs[[#This Row],[Compteur]]," ","_")</f>
        <v>Compteur_1</v>
      </c>
      <c r="G28" t="str">
        <f>T(INDEX(Site!$B$33:$G$40, MATCH(Tab_Calculs[[#This Row],[Compteur]], Site!$B$33:$B$40,0),2))</f>
        <v/>
      </c>
      <c r="H28" s="3">
        <f t="array" aca="1" ref="H28" ca="1">MIN(IF(INDIRECT(CONCATENATE(Tab_Calculs[[#This Row],[Colonne1]],"!$B$2:$B$243"))&gt;=Calculs_Consos!$A28,INDIRECT(CONCATENATE(Tab_Calculs[[#This Row],[Colonne1]],"!$B$2:$B$243"))))</f>
        <v>0</v>
      </c>
      <c r="I28" s="3">
        <f ca="1">INDEX(INDIRECT(CONCATENATE("Tab_",Tab_Calculs[[#This Row],[Colonne1]])),Tab_Calculs[[#This Row],[index_date_livraison]],1)</f>
        <v>0</v>
      </c>
      <c r="J28">
        <f ca="1">MATCH(Tab_Calculs[[#This Row],[Date_livraison]],INDIRECT(CONCATENATE("Tab_",Tab_Calculs[[#This Row],[Colonne1]],"[Fin de période]")),0)</f>
        <v>1</v>
      </c>
      <c r="K28" t="e">
        <f ca="1">INDEX(INDIRECT(CONCATENATE("Tab_",Tab_Calculs[[#This Row],[Colonne1]])),Tab_Calculs[[#This Row],[index_date_livraison]]-1,6)*(MAX(Tab_Calculs[[#This Row],[Début periode livraison]],Tab_Calculs[[#This Row],[Début mois]])-Tab_Calculs[[#This Row],[Début mois]])</f>
        <v>#VALUE!</v>
      </c>
      <c r="L28" s="94">
        <f ca="1">INDEX(INDIRECT(CONCATENATE("Tab_",Tab_Calculs[[#This Row],[Colonne1]])),Tab_Calculs[[#This Row],[index_date_livraison]],6)*(1+MIN(Tab_Calculs[[#This Row],[Date_livraison]],Tab_Calculs[[#This Row],[fin mois]])-MAX(Tab_Calculs[[#This Row],[Début mois]],Tab_Calculs[[#This Row],[Début periode livraison]]))</f>
        <v>0</v>
      </c>
      <c r="M28" s="94" t="e">
        <f ca="1">INDEX(INDIRECT(CONCATENATE("Tab_",Tab_Calculs[[#This Row],[Colonne1]])),Tab_Calculs[[#This Row],[index_date_livraison]]+1,6)*(Tab_Calculs[[#This Row],[fin mois]]-MIN(Tab_Calculs[[#This Row],[fin mois]],Tab_Calculs[[#This Row],[Date_livraison]]))</f>
        <v>#VALUE!</v>
      </c>
      <c r="N28" s="231" t="str">
        <f ca="1">IFERROR(Tab_Calculs[[#This Row],[Ratio_jour_après_livr]]+Tab_Calculs[[#This Row],[Ratio_jour_avant_livr]]+Tab_Calculs[[#This Row],[ratio_avant_debut]],"")</f>
        <v/>
      </c>
      <c r="O28" t="e">
        <f ca="1">INDEX(INDIRECT(CONCATENATE("Tab_",Tab_Calculs[[#This Row],[Colonne1]])),Tab_Calculs[[#This Row],[index_date_livraison]]-1,7)*(MAX(Tab_Calculs[[#This Row],[Début periode livraison]],Tab_Calculs[[#This Row],[Début mois]])-Tab_Calculs[[#This Row],[Début mois]])</f>
        <v>#VALUE!</v>
      </c>
      <c r="P28">
        <f ca="1">INDEX(INDIRECT(CONCATENATE("Tab_",Tab_Calculs[[#This Row],[Colonne1]])),Tab_Calculs[[#This Row],[index_date_livraison]],7)*(1+MIN(Tab_Calculs[[#This Row],[Date_livraison]],Tab_Calculs[[#This Row],[fin mois]])-MAX(Tab_Calculs[[#This Row],[Début mois]],Tab_Calculs[[#This Row],[Début periode livraison]]))</f>
        <v>0</v>
      </c>
      <c r="Q28" t="e">
        <f ca="1">INDEX(INDIRECT(CONCATENATE("Tab_",Tab_Calculs[[#This Row],[Colonne1]])),Tab_Calculs[[#This Row],[index_date_livraison]]+1,7)*(Tab_Calculs[[#This Row],[fin mois]]-MIN(Tab_Calculs[[#This Row],[fin mois]],Tab_Calculs[[#This Row],[Date_livraison]]))</f>
        <v>#VALUE!</v>
      </c>
      <c r="R28" t="e">
        <f ca="1">Tab_Calculs[[#This Row],[Ratio_Cout_après_livr]]+Tab_Calculs[[#This Row],[Ratio_Cout_avant_livr]]+Tab_Calculs[[#This Row],[Ratio_Cout_avant_debut]]</f>
        <v>#VALUE!</v>
      </c>
      <c r="S28" t="str">
        <f ca="1">IFERROR(N28*VLOOKUP(Tab_Calculs[[#This Row],[Colonne1]],Controle_des_données!$B$7:$G$14,6,FALSE),"")</f>
        <v/>
      </c>
      <c r="T28" t="str">
        <f ca="1">IF(Tab_Calculs[[#This Row],[Combustible ]]="Electricité (kWh)",Tab_Calculs[[#This Row],[Conso_mois_kWh]]*2.3,Tab_Calculs[[#This Row],[Conso_mois_kWh]])</f>
        <v/>
      </c>
      <c r="U28" t="str">
        <f ca="1">IFERROR(N28*VLOOKUP(Tab_Calculs[[#This Row],[Colonne1]],Controle_des_données!$B$7:$H$14,7,FALSE),"")</f>
        <v/>
      </c>
      <c r="V28">
        <f ca="1">IFERROR(Tab_Calculs[[#This Row],[Cout_mois]]/Tab_Calculs[[#This Row],[Conso_mois_kWh]],0)</f>
        <v>0</v>
      </c>
      <c r="W28" t="str">
        <f>T(VLOOKUP(Tab_Calculs[[#This Row],[Compteur]],Site!$B$33:$G$40,3,FALSE))</f>
        <v/>
      </c>
      <c r="X28" t="str">
        <f>T(VLOOKUP(Tab_Calculs[[#This Row],[Compteur]],Site!$B$33:$G$40,4,FALSE))</f>
        <v/>
      </c>
      <c r="Y28" t="str">
        <f>T(VLOOKUP(Tab_Calculs[[#This Row],[Compteur]],Site!$B$33:$G$40,5,FALSE))</f>
        <v/>
      </c>
      <c r="Z28" t="str">
        <f>T(VLOOKUP(Tab_Calculs[[#This Row],[Compteur]],Site!$B$33:$G$40,6,FALSE))</f>
        <v/>
      </c>
      <c r="AA28">
        <f>IFERROR(GETPIVOTDATA("DJU(chauffagiste)",BDD_DJU!$P$13,"annee",Tab_Calculs[[#This Row],[ANNEE]],"mois_numero",Tab_Calculs[[#This Row],[MOIS]]),0)</f>
        <v>34.700000000000003</v>
      </c>
      <c r="AD28" s="233">
        <v>2024</v>
      </c>
      <c r="AE28" s="221">
        <v>0</v>
      </c>
      <c r="AF28" s="221">
        <v>0</v>
      </c>
      <c r="AG28" s="221">
        <v>0</v>
      </c>
      <c r="AH28" s="221">
        <v>0</v>
      </c>
      <c r="AI28" s="221">
        <v>0</v>
      </c>
      <c r="AJ28" s="221">
        <v>0</v>
      </c>
      <c r="AK28" s="221">
        <v>0</v>
      </c>
      <c r="AL28" s="221">
        <v>0</v>
      </c>
      <c r="AM28" s="221"/>
      <c r="AN28" s="221"/>
      <c r="AO28" s="221"/>
      <c r="AP28" s="221"/>
      <c r="AQ28" s="221"/>
      <c r="AR28" s="221"/>
      <c r="AS28" s="221"/>
      <c r="AT28" s="221"/>
      <c r="AU28" s="221"/>
      <c r="AV28" s="221"/>
      <c r="AW28" s="221"/>
      <c r="AX28" s="221"/>
      <c r="AY28" s="221"/>
      <c r="AZ28" s="221"/>
      <c r="BA28" s="221"/>
      <c r="BB28" s="221"/>
      <c r="BC28" s="221">
        <v>0</v>
      </c>
      <c r="BD28" s="221">
        <v>0</v>
      </c>
      <c r="BE28" s="221">
        <v>0</v>
      </c>
      <c r="BF28" s="221">
        <v>0</v>
      </c>
    </row>
    <row r="29" spans="1:58" x14ac:dyDescent="0.25">
      <c r="A29" s="3">
        <f>DATE(Tab_Calculs[[#This Row],[ANNEE]],Tab_Calculs[[#This Row],[MOIS]],1)</f>
        <v>40787</v>
      </c>
      <c r="B29" s="3">
        <f>EDATE(Tab_Calculs[[#This Row],[Début mois]],1)-1</f>
        <v>40816</v>
      </c>
      <c r="C29">
        <v>9</v>
      </c>
      <c r="D29">
        <v>2011</v>
      </c>
      <c r="E29" t="s">
        <v>80</v>
      </c>
      <c r="F29" t="str">
        <f>SUBSTITUTE(Tab_Calculs[[#This Row],[Compteur]]," ","_")</f>
        <v>Compteur_1</v>
      </c>
      <c r="G29" t="str">
        <f>T(INDEX(Site!$B$33:$G$40, MATCH(Tab_Calculs[[#This Row],[Compteur]], Site!$B$33:$B$40,0),2))</f>
        <v/>
      </c>
      <c r="H29" s="3">
        <f t="array" aca="1" ref="H29" ca="1">MIN(IF(INDIRECT(CONCATENATE(Tab_Calculs[[#This Row],[Colonne1]],"!$B$2:$B$243"))&gt;=Calculs_Consos!$A29,INDIRECT(CONCATENATE(Tab_Calculs[[#This Row],[Colonne1]],"!$B$2:$B$243"))))</f>
        <v>0</v>
      </c>
      <c r="I29" s="3">
        <f ca="1">INDEX(INDIRECT(CONCATENATE("Tab_",Tab_Calculs[[#This Row],[Colonne1]])),Tab_Calculs[[#This Row],[index_date_livraison]],1)</f>
        <v>0</v>
      </c>
      <c r="J29">
        <f ca="1">MATCH(Tab_Calculs[[#This Row],[Date_livraison]],INDIRECT(CONCATENATE("Tab_",Tab_Calculs[[#This Row],[Colonne1]],"[Fin de période]")),0)</f>
        <v>1</v>
      </c>
      <c r="K29" t="e">
        <f ca="1">INDEX(INDIRECT(CONCATENATE("Tab_",Tab_Calculs[[#This Row],[Colonne1]])),Tab_Calculs[[#This Row],[index_date_livraison]]-1,6)*(MAX(Tab_Calculs[[#This Row],[Début periode livraison]],Tab_Calculs[[#This Row],[Début mois]])-Tab_Calculs[[#This Row],[Début mois]])</f>
        <v>#VALUE!</v>
      </c>
      <c r="L29" s="94">
        <f ca="1">INDEX(INDIRECT(CONCATENATE("Tab_",Tab_Calculs[[#This Row],[Colonne1]])),Tab_Calculs[[#This Row],[index_date_livraison]],6)*(1+MIN(Tab_Calculs[[#This Row],[Date_livraison]],Tab_Calculs[[#This Row],[fin mois]])-MAX(Tab_Calculs[[#This Row],[Début mois]],Tab_Calculs[[#This Row],[Début periode livraison]]))</f>
        <v>0</v>
      </c>
      <c r="M29" s="94" t="e">
        <f ca="1">INDEX(INDIRECT(CONCATENATE("Tab_",Tab_Calculs[[#This Row],[Colonne1]])),Tab_Calculs[[#This Row],[index_date_livraison]]+1,6)*(Tab_Calculs[[#This Row],[fin mois]]-MIN(Tab_Calculs[[#This Row],[fin mois]],Tab_Calculs[[#This Row],[Date_livraison]]))</f>
        <v>#VALUE!</v>
      </c>
      <c r="N29" s="231" t="str">
        <f ca="1">IFERROR(Tab_Calculs[[#This Row],[Ratio_jour_après_livr]]+Tab_Calculs[[#This Row],[Ratio_jour_avant_livr]]+Tab_Calculs[[#This Row],[ratio_avant_debut]],"")</f>
        <v/>
      </c>
      <c r="O29" t="e">
        <f ca="1">INDEX(INDIRECT(CONCATENATE("Tab_",Tab_Calculs[[#This Row],[Colonne1]])),Tab_Calculs[[#This Row],[index_date_livraison]]-1,7)*(MAX(Tab_Calculs[[#This Row],[Début periode livraison]],Tab_Calculs[[#This Row],[Début mois]])-Tab_Calculs[[#This Row],[Début mois]])</f>
        <v>#VALUE!</v>
      </c>
      <c r="P29">
        <f ca="1">INDEX(INDIRECT(CONCATENATE("Tab_",Tab_Calculs[[#This Row],[Colonne1]])),Tab_Calculs[[#This Row],[index_date_livraison]],7)*(1+MIN(Tab_Calculs[[#This Row],[Date_livraison]],Tab_Calculs[[#This Row],[fin mois]])-MAX(Tab_Calculs[[#This Row],[Début mois]],Tab_Calculs[[#This Row],[Début periode livraison]]))</f>
        <v>0</v>
      </c>
      <c r="Q29" t="e">
        <f ca="1">INDEX(INDIRECT(CONCATENATE("Tab_",Tab_Calculs[[#This Row],[Colonne1]])),Tab_Calculs[[#This Row],[index_date_livraison]]+1,7)*(Tab_Calculs[[#This Row],[fin mois]]-MIN(Tab_Calculs[[#This Row],[fin mois]],Tab_Calculs[[#This Row],[Date_livraison]]))</f>
        <v>#VALUE!</v>
      </c>
      <c r="R29" t="e">
        <f ca="1">Tab_Calculs[[#This Row],[Ratio_Cout_après_livr]]+Tab_Calculs[[#This Row],[Ratio_Cout_avant_livr]]+Tab_Calculs[[#This Row],[Ratio_Cout_avant_debut]]</f>
        <v>#VALUE!</v>
      </c>
      <c r="S29" t="str">
        <f ca="1">IFERROR(N29*VLOOKUP(Tab_Calculs[[#This Row],[Colonne1]],Controle_des_données!$B$7:$G$14,6,FALSE),"")</f>
        <v/>
      </c>
      <c r="T29" t="str">
        <f ca="1">IF(Tab_Calculs[[#This Row],[Combustible ]]="Electricité (kWh)",Tab_Calculs[[#This Row],[Conso_mois_kWh]]*2.3,Tab_Calculs[[#This Row],[Conso_mois_kWh]])</f>
        <v/>
      </c>
      <c r="U29" t="str">
        <f ca="1">IFERROR(N29*VLOOKUP(Tab_Calculs[[#This Row],[Colonne1]],Controle_des_données!$B$7:$H$14,7,FALSE),"")</f>
        <v/>
      </c>
      <c r="V29">
        <f ca="1">IFERROR(Tab_Calculs[[#This Row],[Cout_mois]]/Tab_Calculs[[#This Row],[Conso_mois_kWh]],0)</f>
        <v>0</v>
      </c>
      <c r="W29" t="str">
        <f>T(VLOOKUP(Tab_Calculs[[#This Row],[Compteur]],Site!$B$33:$G$40,3,FALSE))</f>
        <v/>
      </c>
      <c r="X29" t="str">
        <f>T(VLOOKUP(Tab_Calculs[[#This Row],[Compteur]],Site!$B$33:$G$40,4,FALSE))</f>
        <v/>
      </c>
      <c r="Y29" t="str">
        <f>T(VLOOKUP(Tab_Calculs[[#This Row],[Compteur]],Site!$B$33:$G$40,5,FALSE))</f>
        <v/>
      </c>
      <c r="Z29" t="str">
        <f>T(VLOOKUP(Tab_Calculs[[#This Row],[Compteur]],Site!$B$33:$G$40,6,FALSE))</f>
        <v/>
      </c>
      <c r="AA29">
        <f>IFERROR(GETPIVOTDATA("DJU(chauffagiste)",BDD_DJU!$P$13,"annee",Tab_Calculs[[#This Row],[ANNEE]],"mois_numero",Tab_Calculs[[#This Row],[MOIS]]),0)</f>
        <v>51.3</v>
      </c>
      <c r="AD29" s="233">
        <v>2025</v>
      </c>
      <c r="AE29" s="221">
        <v>0</v>
      </c>
      <c r="AF29" s="221">
        <v>0</v>
      </c>
      <c r="AG29" s="221">
        <v>0</v>
      </c>
      <c r="AH29" s="221">
        <v>0</v>
      </c>
      <c r="AI29" s="221">
        <v>0</v>
      </c>
      <c r="AJ29" s="221">
        <v>0</v>
      </c>
      <c r="AK29" s="221">
        <v>0</v>
      </c>
      <c r="AL29" s="221">
        <v>0</v>
      </c>
      <c r="AM29" s="221"/>
      <c r="AN29" s="221"/>
      <c r="AO29" s="221"/>
      <c r="AP29" s="221"/>
      <c r="AQ29" s="221"/>
      <c r="AR29" s="221"/>
      <c r="AS29" s="221"/>
      <c r="AT29" s="221"/>
      <c r="AU29" s="221"/>
      <c r="AV29" s="221"/>
      <c r="AW29" s="221"/>
      <c r="AX29" s="221"/>
      <c r="AY29" s="221"/>
      <c r="AZ29" s="221"/>
      <c r="BA29" s="221"/>
      <c r="BB29" s="221"/>
      <c r="BC29" s="221">
        <v>0</v>
      </c>
      <c r="BD29" s="221">
        <v>0</v>
      </c>
      <c r="BE29" s="221">
        <v>0</v>
      </c>
      <c r="BF29" s="221">
        <v>0</v>
      </c>
    </row>
    <row r="30" spans="1:58" x14ac:dyDescent="0.25">
      <c r="A30" s="3">
        <f>DATE(Tab_Calculs[[#This Row],[ANNEE]],Tab_Calculs[[#This Row],[MOIS]],1)</f>
        <v>40817</v>
      </c>
      <c r="B30" s="3">
        <f>EDATE(Tab_Calculs[[#This Row],[Début mois]],1)-1</f>
        <v>40847</v>
      </c>
      <c r="C30">
        <v>10</v>
      </c>
      <c r="D30">
        <v>2011</v>
      </c>
      <c r="E30" t="s">
        <v>80</v>
      </c>
      <c r="F30" t="str">
        <f>SUBSTITUTE(Tab_Calculs[[#This Row],[Compteur]]," ","_")</f>
        <v>Compteur_1</v>
      </c>
      <c r="G30" t="str">
        <f>T(INDEX(Site!$B$33:$G$40, MATCH(Tab_Calculs[[#This Row],[Compteur]], Site!$B$33:$B$40,0),2))</f>
        <v/>
      </c>
      <c r="H30" s="3">
        <f t="array" aca="1" ref="H30" ca="1">MIN(IF(INDIRECT(CONCATENATE(Tab_Calculs[[#This Row],[Colonne1]],"!$B$2:$B$243"))&gt;=Calculs_Consos!$A30,INDIRECT(CONCATENATE(Tab_Calculs[[#This Row],[Colonne1]],"!$B$2:$B$243"))))</f>
        <v>0</v>
      </c>
      <c r="I30" s="3">
        <f ca="1">INDEX(INDIRECT(CONCATENATE("Tab_",Tab_Calculs[[#This Row],[Colonne1]])),Tab_Calculs[[#This Row],[index_date_livraison]],1)</f>
        <v>0</v>
      </c>
      <c r="J30">
        <f ca="1">MATCH(Tab_Calculs[[#This Row],[Date_livraison]],INDIRECT(CONCATENATE("Tab_",Tab_Calculs[[#This Row],[Colonne1]],"[Fin de période]")),0)</f>
        <v>1</v>
      </c>
      <c r="K30" t="e">
        <f ca="1">INDEX(INDIRECT(CONCATENATE("Tab_",Tab_Calculs[[#This Row],[Colonne1]])),Tab_Calculs[[#This Row],[index_date_livraison]]-1,6)*(MAX(Tab_Calculs[[#This Row],[Début periode livraison]],Tab_Calculs[[#This Row],[Début mois]])-Tab_Calculs[[#This Row],[Début mois]])</f>
        <v>#VALUE!</v>
      </c>
      <c r="L30" s="94">
        <f ca="1">INDEX(INDIRECT(CONCATENATE("Tab_",Tab_Calculs[[#This Row],[Colonne1]])),Tab_Calculs[[#This Row],[index_date_livraison]],6)*(1+MIN(Tab_Calculs[[#This Row],[Date_livraison]],Tab_Calculs[[#This Row],[fin mois]])-MAX(Tab_Calculs[[#This Row],[Début mois]],Tab_Calculs[[#This Row],[Début periode livraison]]))</f>
        <v>0</v>
      </c>
      <c r="M30" s="94" t="e">
        <f ca="1">INDEX(INDIRECT(CONCATENATE("Tab_",Tab_Calculs[[#This Row],[Colonne1]])),Tab_Calculs[[#This Row],[index_date_livraison]]+1,6)*(Tab_Calculs[[#This Row],[fin mois]]-MIN(Tab_Calculs[[#This Row],[fin mois]],Tab_Calculs[[#This Row],[Date_livraison]]))</f>
        <v>#VALUE!</v>
      </c>
      <c r="N30" s="231" t="str">
        <f ca="1">IFERROR(Tab_Calculs[[#This Row],[Ratio_jour_après_livr]]+Tab_Calculs[[#This Row],[Ratio_jour_avant_livr]]+Tab_Calculs[[#This Row],[ratio_avant_debut]],"")</f>
        <v/>
      </c>
      <c r="O30" t="e">
        <f ca="1">INDEX(INDIRECT(CONCATENATE("Tab_",Tab_Calculs[[#This Row],[Colonne1]])),Tab_Calculs[[#This Row],[index_date_livraison]]-1,7)*(MAX(Tab_Calculs[[#This Row],[Début periode livraison]],Tab_Calculs[[#This Row],[Début mois]])-Tab_Calculs[[#This Row],[Début mois]])</f>
        <v>#VALUE!</v>
      </c>
      <c r="P30">
        <f ca="1">INDEX(INDIRECT(CONCATENATE("Tab_",Tab_Calculs[[#This Row],[Colonne1]])),Tab_Calculs[[#This Row],[index_date_livraison]],7)*(1+MIN(Tab_Calculs[[#This Row],[Date_livraison]],Tab_Calculs[[#This Row],[fin mois]])-MAX(Tab_Calculs[[#This Row],[Début mois]],Tab_Calculs[[#This Row],[Début periode livraison]]))</f>
        <v>0</v>
      </c>
      <c r="Q30" t="e">
        <f ca="1">INDEX(INDIRECT(CONCATENATE("Tab_",Tab_Calculs[[#This Row],[Colonne1]])),Tab_Calculs[[#This Row],[index_date_livraison]]+1,7)*(Tab_Calculs[[#This Row],[fin mois]]-MIN(Tab_Calculs[[#This Row],[fin mois]],Tab_Calculs[[#This Row],[Date_livraison]]))</f>
        <v>#VALUE!</v>
      </c>
      <c r="R30" t="e">
        <f ca="1">Tab_Calculs[[#This Row],[Ratio_Cout_après_livr]]+Tab_Calculs[[#This Row],[Ratio_Cout_avant_livr]]+Tab_Calculs[[#This Row],[Ratio_Cout_avant_debut]]</f>
        <v>#VALUE!</v>
      </c>
      <c r="S30" t="str">
        <f ca="1">IFERROR(N30*VLOOKUP(Tab_Calculs[[#This Row],[Colonne1]],Controle_des_données!$B$7:$G$14,6,FALSE),"")</f>
        <v/>
      </c>
      <c r="T30" t="str">
        <f ca="1">IF(Tab_Calculs[[#This Row],[Combustible ]]="Electricité (kWh)",Tab_Calculs[[#This Row],[Conso_mois_kWh]]*2.3,Tab_Calculs[[#This Row],[Conso_mois_kWh]])</f>
        <v/>
      </c>
      <c r="U30" t="str">
        <f ca="1">IFERROR(N30*VLOOKUP(Tab_Calculs[[#This Row],[Colonne1]],Controle_des_données!$B$7:$H$14,7,FALSE),"")</f>
        <v/>
      </c>
      <c r="V30">
        <f ca="1">IFERROR(Tab_Calculs[[#This Row],[Cout_mois]]/Tab_Calculs[[#This Row],[Conso_mois_kWh]],0)</f>
        <v>0</v>
      </c>
      <c r="W30" t="str">
        <f>T(VLOOKUP(Tab_Calculs[[#This Row],[Compteur]],Site!$B$33:$G$40,3,FALSE))</f>
        <v/>
      </c>
      <c r="X30" t="str">
        <f>T(VLOOKUP(Tab_Calculs[[#This Row],[Compteur]],Site!$B$33:$G$40,4,FALSE))</f>
        <v/>
      </c>
      <c r="Y30" t="str">
        <f>T(VLOOKUP(Tab_Calculs[[#This Row],[Compteur]],Site!$B$33:$G$40,5,FALSE))</f>
        <v/>
      </c>
      <c r="Z30" t="str">
        <f>T(VLOOKUP(Tab_Calculs[[#This Row],[Compteur]],Site!$B$33:$G$40,6,FALSE))</f>
        <v/>
      </c>
      <c r="AA30">
        <f>IFERROR(GETPIVOTDATA("DJU(chauffagiste)",BDD_DJU!$P$13,"annee",Tab_Calculs[[#This Row],[ANNEE]],"mois_numero",Tab_Calculs[[#This Row],[MOIS]]),0)</f>
        <v>145.6</v>
      </c>
      <c r="AD30" s="233" t="s">
        <v>379</v>
      </c>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row>
    <row r="31" spans="1:58" x14ac:dyDescent="0.25">
      <c r="A31" s="3">
        <f>DATE(Tab_Calculs[[#This Row],[ANNEE]],Tab_Calculs[[#This Row],[MOIS]],1)</f>
        <v>40848</v>
      </c>
      <c r="B31" s="3">
        <f>EDATE(Tab_Calculs[[#This Row],[Début mois]],1)-1</f>
        <v>40877</v>
      </c>
      <c r="C31">
        <v>11</v>
      </c>
      <c r="D31">
        <v>2011</v>
      </c>
      <c r="E31" t="s">
        <v>80</v>
      </c>
      <c r="F31" t="str">
        <f>SUBSTITUTE(Tab_Calculs[[#This Row],[Compteur]]," ","_")</f>
        <v>Compteur_1</v>
      </c>
      <c r="G31" t="str">
        <f>T(INDEX(Site!$B$33:$G$40, MATCH(Tab_Calculs[[#This Row],[Compteur]], Site!$B$33:$B$40,0),2))</f>
        <v/>
      </c>
      <c r="H31" s="3">
        <f t="array" aca="1" ref="H31" ca="1">MIN(IF(INDIRECT(CONCATENATE(Tab_Calculs[[#This Row],[Colonne1]],"!$B$2:$B$243"))&gt;=Calculs_Consos!$A31,INDIRECT(CONCATENATE(Tab_Calculs[[#This Row],[Colonne1]],"!$B$2:$B$243"))))</f>
        <v>0</v>
      </c>
      <c r="I31" s="3">
        <f ca="1">INDEX(INDIRECT(CONCATENATE("Tab_",Tab_Calculs[[#This Row],[Colonne1]])),Tab_Calculs[[#This Row],[index_date_livraison]],1)</f>
        <v>0</v>
      </c>
      <c r="J31">
        <f ca="1">MATCH(Tab_Calculs[[#This Row],[Date_livraison]],INDIRECT(CONCATENATE("Tab_",Tab_Calculs[[#This Row],[Colonne1]],"[Fin de période]")),0)</f>
        <v>1</v>
      </c>
      <c r="K31" t="e">
        <f ca="1">INDEX(INDIRECT(CONCATENATE("Tab_",Tab_Calculs[[#This Row],[Colonne1]])),Tab_Calculs[[#This Row],[index_date_livraison]]-1,6)*(MAX(Tab_Calculs[[#This Row],[Début periode livraison]],Tab_Calculs[[#This Row],[Début mois]])-Tab_Calculs[[#This Row],[Début mois]])</f>
        <v>#VALUE!</v>
      </c>
      <c r="L31" s="94">
        <f ca="1">INDEX(INDIRECT(CONCATENATE("Tab_",Tab_Calculs[[#This Row],[Colonne1]])),Tab_Calculs[[#This Row],[index_date_livraison]],6)*(1+MIN(Tab_Calculs[[#This Row],[Date_livraison]],Tab_Calculs[[#This Row],[fin mois]])-MAX(Tab_Calculs[[#This Row],[Début mois]],Tab_Calculs[[#This Row],[Début periode livraison]]))</f>
        <v>0</v>
      </c>
      <c r="M31" s="94" t="e">
        <f ca="1">INDEX(INDIRECT(CONCATENATE("Tab_",Tab_Calculs[[#This Row],[Colonne1]])),Tab_Calculs[[#This Row],[index_date_livraison]]+1,6)*(Tab_Calculs[[#This Row],[fin mois]]-MIN(Tab_Calculs[[#This Row],[fin mois]],Tab_Calculs[[#This Row],[Date_livraison]]))</f>
        <v>#VALUE!</v>
      </c>
      <c r="N31" s="231" t="str">
        <f ca="1">IFERROR(Tab_Calculs[[#This Row],[Ratio_jour_après_livr]]+Tab_Calculs[[#This Row],[Ratio_jour_avant_livr]]+Tab_Calculs[[#This Row],[ratio_avant_debut]],"")</f>
        <v/>
      </c>
      <c r="O31" t="e">
        <f ca="1">INDEX(INDIRECT(CONCATENATE("Tab_",Tab_Calculs[[#This Row],[Colonne1]])),Tab_Calculs[[#This Row],[index_date_livraison]]-1,7)*(MAX(Tab_Calculs[[#This Row],[Début periode livraison]],Tab_Calculs[[#This Row],[Début mois]])-Tab_Calculs[[#This Row],[Début mois]])</f>
        <v>#VALUE!</v>
      </c>
      <c r="P31">
        <f ca="1">INDEX(INDIRECT(CONCATENATE("Tab_",Tab_Calculs[[#This Row],[Colonne1]])),Tab_Calculs[[#This Row],[index_date_livraison]],7)*(1+MIN(Tab_Calculs[[#This Row],[Date_livraison]],Tab_Calculs[[#This Row],[fin mois]])-MAX(Tab_Calculs[[#This Row],[Début mois]],Tab_Calculs[[#This Row],[Début periode livraison]]))</f>
        <v>0</v>
      </c>
      <c r="Q31" t="e">
        <f ca="1">INDEX(INDIRECT(CONCATENATE("Tab_",Tab_Calculs[[#This Row],[Colonne1]])),Tab_Calculs[[#This Row],[index_date_livraison]]+1,7)*(Tab_Calculs[[#This Row],[fin mois]]-MIN(Tab_Calculs[[#This Row],[fin mois]],Tab_Calculs[[#This Row],[Date_livraison]]))</f>
        <v>#VALUE!</v>
      </c>
      <c r="R31" t="e">
        <f ca="1">Tab_Calculs[[#This Row],[Ratio_Cout_après_livr]]+Tab_Calculs[[#This Row],[Ratio_Cout_avant_livr]]+Tab_Calculs[[#This Row],[Ratio_Cout_avant_debut]]</f>
        <v>#VALUE!</v>
      </c>
      <c r="S31" t="str">
        <f ca="1">IFERROR(N31*VLOOKUP(Tab_Calculs[[#This Row],[Colonne1]],Controle_des_données!$B$7:$G$14,6,FALSE),"")</f>
        <v/>
      </c>
      <c r="T31" t="str">
        <f ca="1">IF(Tab_Calculs[[#This Row],[Combustible ]]="Electricité (kWh)",Tab_Calculs[[#This Row],[Conso_mois_kWh]]*2.3,Tab_Calculs[[#This Row],[Conso_mois_kWh]])</f>
        <v/>
      </c>
      <c r="U31" t="str">
        <f ca="1">IFERROR(N31*VLOOKUP(Tab_Calculs[[#This Row],[Colonne1]],Controle_des_données!$B$7:$H$14,7,FALSE),"")</f>
        <v/>
      </c>
      <c r="V31">
        <f ca="1">IFERROR(Tab_Calculs[[#This Row],[Cout_mois]]/Tab_Calculs[[#This Row],[Conso_mois_kWh]],0)</f>
        <v>0</v>
      </c>
      <c r="W31" t="str">
        <f>T(VLOOKUP(Tab_Calculs[[#This Row],[Compteur]],Site!$B$33:$G$40,3,FALSE))</f>
        <v/>
      </c>
      <c r="X31" t="str">
        <f>T(VLOOKUP(Tab_Calculs[[#This Row],[Compteur]],Site!$B$33:$G$40,4,FALSE))</f>
        <v/>
      </c>
      <c r="Y31" t="str">
        <f>T(VLOOKUP(Tab_Calculs[[#This Row],[Compteur]],Site!$B$33:$G$40,5,FALSE))</f>
        <v/>
      </c>
      <c r="Z31" t="str">
        <f>T(VLOOKUP(Tab_Calculs[[#This Row],[Compteur]],Site!$B$33:$G$40,6,FALSE))</f>
        <v/>
      </c>
      <c r="AA31">
        <f>IFERROR(GETPIVOTDATA("DJU(chauffagiste)",BDD_DJU!$P$13,"annee",Tab_Calculs[[#This Row],[ANNEE]],"mois_numero",Tab_Calculs[[#This Row],[MOIS]]),0)</f>
        <v>205.3</v>
      </c>
      <c r="AD31" s="233" t="s">
        <v>35</v>
      </c>
      <c r="AE31" s="221">
        <v>0</v>
      </c>
      <c r="AF31" s="221">
        <v>0</v>
      </c>
      <c r="AG31" s="221">
        <v>0</v>
      </c>
      <c r="AH31" s="221">
        <v>0</v>
      </c>
      <c r="AI31" s="221">
        <v>0</v>
      </c>
      <c r="AJ31" s="221">
        <v>0</v>
      </c>
      <c r="AK31" s="221">
        <v>0</v>
      </c>
      <c r="AL31" s="221">
        <v>0</v>
      </c>
      <c r="AM31" s="221"/>
      <c r="AN31" s="221"/>
      <c r="AO31" s="221"/>
      <c r="AP31" s="221"/>
      <c r="AQ31" s="221"/>
      <c r="AR31" s="221"/>
      <c r="AS31" s="221"/>
      <c r="AT31" s="221"/>
      <c r="AU31" s="221"/>
      <c r="AV31" s="221"/>
      <c r="AW31" s="221"/>
      <c r="AX31" s="221"/>
      <c r="AY31" s="221"/>
      <c r="AZ31" s="221"/>
      <c r="BA31" s="221"/>
      <c r="BB31" s="221"/>
      <c r="BC31" s="221">
        <v>0</v>
      </c>
      <c r="BD31" s="221">
        <v>0</v>
      </c>
      <c r="BE31" s="221">
        <v>0</v>
      </c>
      <c r="BF31" s="221">
        <v>0</v>
      </c>
    </row>
    <row r="32" spans="1:58" x14ac:dyDescent="0.25">
      <c r="A32" s="3">
        <f>DATE(Tab_Calculs[[#This Row],[ANNEE]],Tab_Calculs[[#This Row],[MOIS]],1)</f>
        <v>40878</v>
      </c>
      <c r="B32" s="3">
        <f>EDATE(Tab_Calculs[[#This Row],[Début mois]],1)-1</f>
        <v>40908</v>
      </c>
      <c r="C32">
        <v>12</v>
      </c>
      <c r="D32">
        <v>2011</v>
      </c>
      <c r="E32" t="s">
        <v>80</v>
      </c>
      <c r="F32" t="str">
        <f>SUBSTITUTE(Tab_Calculs[[#This Row],[Compteur]]," ","_")</f>
        <v>Compteur_1</v>
      </c>
      <c r="G32" t="str">
        <f>T(INDEX(Site!$B$33:$G$40, MATCH(Tab_Calculs[[#This Row],[Compteur]], Site!$B$33:$B$40,0),2))</f>
        <v/>
      </c>
      <c r="H32" s="3">
        <f t="array" aca="1" ref="H32" ca="1">MIN(IF(INDIRECT(CONCATENATE(Tab_Calculs[[#This Row],[Colonne1]],"!$B$2:$B$243"))&gt;=Calculs_Consos!$A32,INDIRECT(CONCATENATE(Tab_Calculs[[#This Row],[Colonne1]],"!$B$2:$B$243"))))</f>
        <v>0</v>
      </c>
      <c r="I32" s="3">
        <f ca="1">INDEX(INDIRECT(CONCATENATE("Tab_",Tab_Calculs[[#This Row],[Colonne1]])),Tab_Calculs[[#This Row],[index_date_livraison]],1)</f>
        <v>0</v>
      </c>
      <c r="J32">
        <f ca="1">MATCH(Tab_Calculs[[#This Row],[Date_livraison]],INDIRECT(CONCATENATE("Tab_",Tab_Calculs[[#This Row],[Colonne1]],"[Fin de période]")),0)</f>
        <v>1</v>
      </c>
      <c r="K32" t="e">
        <f ca="1">INDEX(INDIRECT(CONCATENATE("Tab_",Tab_Calculs[[#This Row],[Colonne1]])),Tab_Calculs[[#This Row],[index_date_livraison]]-1,6)*(MAX(Tab_Calculs[[#This Row],[Début periode livraison]],Tab_Calculs[[#This Row],[Début mois]])-Tab_Calculs[[#This Row],[Début mois]])</f>
        <v>#VALUE!</v>
      </c>
      <c r="L32" s="94">
        <f ca="1">INDEX(INDIRECT(CONCATENATE("Tab_",Tab_Calculs[[#This Row],[Colonne1]])),Tab_Calculs[[#This Row],[index_date_livraison]],6)*(1+MIN(Tab_Calculs[[#This Row],[Date_livraison]],Tab_Calculs[[#This Row],[fin mois]])-MAX(Tab_Calculs[[#This Row],[Début mois]],Tab_Calculs[[#This Row],[Début periode livraison]]))</f>
        <v>0</v>
      </c>
      <c r="M32" s="94" t="e">
        <f ca="1">INDEX(INDIRECT(CONCATENATE("Tab_",Tab_Calculs[[#This Row],[Colonne1]])),Tab_Calculs[[#This Row],[index_date_livraison]]+1,6)*(Tab_Calculs[[#This Row],[fin mois]]-MIN(Tab_Calculs[[#This Row],[fin mois]],Tab_Calculs[[#This Row],[Date_livraison]]))</f>
        <v>#VALUE!</v>
      </c>
      <c r="N32" s="231" t="str">
        <f ca="1">IFERROR(Tab_Calculs[[#This Row],[Ratio_jour_après_livr]]+Tab_Calculs[[#This Row],[Ratio_jour_avant_livr]]+Tab_Calculs[[#This Row],[ratio_avant_debut]],"")</f>
        <v/>
      </c>
      <c r="O32" t="e">
        <f ca="1">INDEX(INDIRECT(CONCATENATE("Tab_",Tab_Calculs[[#This Row],[Colonne1]])),Tab_Calculs[[#This Row],[index_date_livraison]]-1,7)*(MAX(Tab_Calculs[[#This Row],[Début periode livraison]],Tab_Calculs[[#This Row],[Début mois]])-Tab_Calculs[[#This Row],[Début mois]])</f>
        <v>#VALUE!</v>
      </c>
      <c r="P32">
        <f ca="1">INDEX(INDIRECT(CONCATENATE("Tab_",Tab_Calculs[[#This Row],[Colonne1]])),Tab_Calculs[[#This Row],[index_date_livraison]],7)*(1+MIN(Tab_Calculs[[#This Row],[Date_livraison]],Tab_Calculs[[#This Row],[fin mois]])-MAX(Tab_Calculs[[#This Row],[Début mois]],Tab_Calculs[[#This Row],[Début periode livraison]]))</f>
        <v>0</v>
      </c>
      <c r="Q32" t="e">
        <f ca="1">INDEX(INDIRECT(CONCATENATE("Tab_",Tab_Calculs[[#This Row],[Colonne1]])),Tab_Calculs[[#This Row],[index_date_livraison]]+1,7)*(Tab_Calculs[[#This Row],[fin mois]]-MIN(Tab_Calculs[[#This Row],[fin mois]],Tab_Calculs[[#This Row],[Date_livraison]]))</f>
        <v>#VALUE!</v>
      </c>
      <c r="R32" t="e">
        <f ca="1">Tab_Calculs[[#This Row],[Ratio_Cout_après_livr]]+Tab_Calculs[[#This Row],[Ratio_Cout_avant_livr]]+Tab_Calculs[[#This Row],[Ratio_Cout_avant_debut]]</f>
        <v>#VALUE!</v>
      </c>
      <c r="S32" t="str">
        <f ca="1">IFERROR(N32*VLOOKUP(Tab_Calculs[[#This Row],[Colonne1]],Controle_des_données!$B$7:$G$14,6,FALSE),"")</f>
        <v/>
      </c>
      <c r="T32" t="str">
        <f ca="1">IF(Tab_Calculs[[#This Row],[Combustible ]]="Electricité (kWh)",Tab_Calculs[[#This Row],[Conso_mois_kWh]]*2.3,Tab_Calculs[[#This Row],[Conso_mois_kWh]])</f>
        <v/>
      </c>
      <c r="U32" t="str">
        <f ca="1">IFERROR(N32*VLOOKUP(Tab_Calculs[[#This Row],[Colonne1]],Controle_des_données!$B$7:$H$14,7,FALSE),"")</f>
        <v/>
      </c>
      <c r="V32">
        <f ca="1">IFERROR(Tab_Calculs[[#This Row],[Cout_mois]]/Tab_Calculs[[#This Row],[Conso_mois_kWh]],0)</f>
        <v>0</v>
      </c>
      <c r="W32" t="str">
        <f>T(VLOOKUP(Tab_Calculs[[#This Row],[Compteur]],Site!$B$33:$G$40,3,FALSE))</f>
        <v/>
      </c>
      <c r="X32" t="str">
        <f>T(VLOOKUP(Tab_Calculs[[#This Row],[Compteur]],Site!$B$33:$G$40,4,FALSE))</f>
        <v/>
      </c>
      <c r="Y32" t="str">
        <f>T(VLOOKUP(Tab_Calculs[[#This Row],[Compteur]],Site!$B$33:$G$40,5,FALSE))</f>
        <v/>
      </c>
      <c r="Z32" t="str">
        <f>T(VLOOKUP(Tab_Calculs[[#This Row],[Compteur]],Site!$B$33:$G$40,6,FALSE))</f>
        <v/>
      </c>
      <c r="AA32">
        <f>IFERROR(GETPIVOTDATA("DJU(chauffagiste)",BDD_DJU!$P$13,"annee",Tab_Calculs[[#This Row],[ANNEE]],"mois_numero",Tab_Calculs[[#This Row],[MOIS]]),0)</f>
        <v>307.5</v>
      </c>
    </row>
    <row r="33" spans="1:47" x14ac:dyDescent="0.25">
      <c r="A33" s="3">
        <f>DATE(Tab_Calculs[[#This Row],[ANNEE]],Tab_Calculs[[#This Row],[MOIS]],1)</f>
        <v>40909</v>
      </c>
      <c r="B33" s="3">
        <f>EDATE(Tab_Calculs[[#This Row],[Début mois]],1)-1</f>
        <v>40939</v>
      </c>
      <c r="C33">
        <v>1</v>
      </c>
      <c r="D33">
        <v>2012</v>
      </c>
      <c r="E33" t="s">
        <v>80</v>
      </c>
      <c r="F33" t="str">
        <f>SUBSTITUTE(Tab_Calculs[[#This Row],[Compteur]]," ","_")</f>
        <v>Compteur_1</v>
      </c>
      <c r="G33" t="str">
        <f>T(INDEX(Site!$B$33:$G$40, MATCH(Tab_Calculs[[#This Row],[Compteur]], Site!$B$33:$B$40,0),2))</f>
        <v/>
      </c>
      <c r="H33" s="3">
        <f t="array" aca="1" ref="H33" ca="1">MIN(IF(INDIRECT(CONCATENATE(Tab_Calculs[[#This Row],[Colonne1]],"!$B$2:$B$243"))&gt;=Calculs_Consos!$A33,INDIRECT(CONCATENATE(Tab_Calculs[[#This Row],[Colonne1]],"!$B$2:$B$243"))))</f>
        <v>0</v>
      </c>
      <c r="I33" s="3">
        <f ca="1">INDEX(INDIRECT(CONCATENATE("Tab_",Tab_Calculs[[#This Row],[Colonne1]])),Tab_Calculs[[#This Row],[index_date_livraison]],1)</f>
        <v>0</v>
      </c>
      <c r="J33">
        <f ca="1">MATCH(Tab_Calculs[[#This Row],[Date_livraison]],INDIRECT(CONCATENATE("Tab_",Tab_Calculs[[#This Row],[Colonne1]],"[Fin de période]")),0)</f>
        <v>1</v>
      </c>
      <c r="K33" t="e">
        <f ca="1">INDEX(INDIRECT(CONCATENATE("Tab_",Tab_Calculs[[#This Row],[Colonne1]])),Tab_Calculs[[#This Row],[index_date_livraison]]-1,6)*(MAX(Tab_Calculs[[#This Row],[Début periode livraison]],Tab_Calculs[[#This Row],[Début mois]])-Tab_Calculs[[#This Row],[Début mois]])</f>
        <v>#VALUE!</v>
      </c>
      <c r="L33" s="94">
        <f ca="1">INDEX(INDIRECT(CONCATENATE("Tab_",Tab_Calculs[[#This Row],[Colonne1]])),Tab_Calculs[[#This Row],[index_date_livraison]],6)*(1+MIN(Tab_Calculs[[#This Row],[Date_livraison]],Tab_Calculs[[#This Row],[fin mois]])-MAX(Tab_Calculs[[#This Row],[Début mois]],Tab_Calculs[[#This Row],[Début periode livraison]]))</f>
        <v>0</v>
      </c>
      <c r="M33" s="94" t="e">
        <f ca="1">INDEX(INDIRECT(CONCATENATE("Tab_",Tab_Calculs[[#This Row],[Colonne1]])),Tab_Calculs[[#This Row],[index_date_livraison]]+1,6)*(Tab_Calculs[[#This Row],[fin mois]]-MIN(Tab_Calculs[[#This Row],[fin mois]],Tab_Calculs[[#This Row],[Date_livraison]]))</f>
        <v>#VALUE!</v>
      </c>
      <c r="N33" s="231" t="str">
        <f ca="1">IFERROR(Tab_Calculs[[#This Row],[Ratio_jour_après_livr]]+Tab_Calculs[[#This Row],[Ratio_jour_avant_livr]]+Tab_Calculs[[#This Row],[ratio_avant_debut]],"")</f>
        <v/>
      </c>
      <c r="O33" t="e">
        <f ca="1">INDEX(INDIRECT(CONCATENATE("Tab_",Tab_Calculs[[#This Row],[Colonne1]])),Tab_Calculs[[#This Row],[index_date_livraison]]-1,7)*(MAX(Tab_Calculs[[#This Row],[Début periode livraison]],Tab_Calculs[[#This Row],[Début mois]])-Tab_Calculs[[#This Row],[Début mois]])</f>
        <v>#VALUE!</v>
      </c>
      <c r="P33">
        <f ca="1">INDEX(INDIRECT(CONCATENATE("Tab_",Tab_Calculs[[#This Row],[Colonne1]])),Tab_Calculs[[#This Row],[index_date_livraison]],7)*(1+MIN(Tab_Calculs[[#This Row],[Date_livraison]],Tab_Calculs[[#This Row],[fin mois]])-MAX(Tab_Calculs[[#This Row],[Début mois]],Tab_Calculs[[#This Row],[Début periode livraison]]))</f>
        <v>0</v>
      </c>
      <c r="Q33" t="e">
        <f ca="1">INDEX(INDIRECT(CONCATENATE("Tab_",Tab_Calculs[[#This Row],[Colonne1]])),Tab_Calculs[[#This Row],[index_date_livraison]]+1,7)*(Tab_Calculs[[#This Row],[fin mois]]-MIN(Tab_Calculs[[#This Row],[fin mois]],Tab_Calculs[[#This Row],[Date_livraison]]))</f>
        <v>#VALUE!</v>
      </c>
      <c r="R33" t="e">
        <f ca="1">Tab_Calculs[[#This Row],[Ratio_Cout_après_livr]]+Tab_Calculs[[#This Row],[Ratio_Cout_avant_livr]]+Tab_Calculs[[#This Row],[Ratio_Cout_avant_debut]]</f>
        <v>#VALUE!</v>
      </c>
      <c r="S33" t="str">
        <f ca="1">IFERROR(N33*VLOOKUP(Tab_Calculs[[#This Row],[Colonne1]],Controle_des_données!$B$7:$G$14,6,FALSE),"")</f>
        <v/>
      </c>
      <c r="T33" t="str">
        <f ca="1">IF(Tab_Calculs[[#This Row],[Combustible ]]="Electricité (kWh)",Tab_Calculs[[#This Row],[Conso_mois_kWh]]*2.3,Tab_Calculs[[#This Row],[Conso_mois_kWh]])</f>
        <v/>
      </c>
      <c r="U33" t="str">
        <f ca="1">IFERROR(N33*VLOOKUP(Tab_Calculs[[#This Row],[Colonne1]],Controle_des_données!$B$7:$H$14,7,FALSE),"")</f>
        <v/>
      </c>
      <c r="V33">
        <f ca="1">IFERROR(Tab_Calculs[[#This Row],[Cout_mois]]/Tab_Calculs[[#This Row],[Conso_mois_kWh]],0)</f>
        <v>0</v>
      </c>
      <c r="W33" t="str">
        <f>T(VLOOKUP(Tab_Calculs[[#This Row],[Compteur]],Site!$B$33:$G$40,3,FALSE))</f>
        <v/>
      </c>
      <c r="X33" t="str">
        <f>T(VLOOKUP(Tab_Calculs[[#This Row],[Compteur]],Site!$B$33:$G$40,4,FALSE))</f>
        <v/>
      </c>
      <c r="Y33" t="str">
        <f>T(VLOOKUP(Tab_Calculs[[#This Row],[Compteur]],Site!$B$33:$G$40,5,FALSE))</f>
        <v/>
      </c>
      <c r="Z33" t="str">
        <f>T(VLOOKUP(Tab_Calculs[[#This Row],[Compteur]],Site!$B$33:$G$40,6,FALSE))</f>
        <v/>
      </c>
      <c r="AA33">
        <f>IFERROR(GETPIVOTDATA("DJU(chauffagiste)",BDD_DJU!$P$13,"annee",Tab_Calculs[[#This Row],[ANNEE]],"mois_numero",Tab_Calculs[[#This Row],[MOIS]]),0)</f>
        <v>348.8</v>
      </c>
    </row>
    <row r="34" spans="1:47" x14ac:dyDescent="0.25">
      <c r="A34" s="3">
        <f>DATE(Tab_Calculs[[#This Row],[ANNEE]],Tab_Calculs[[#This Row],[MOIS]],1)</f>
        <v>40940</v>
      </c>
      <c r="B34" s="3">
        <f>EDATE(Tab_Calculs[[#This Row],[Début mois]],1)-1</f>
        <v>40968</v>
      </c>
      <c r="C34">
        <v>2</v>
      </c>
      <c r="D34">
        <v>2012</v>
      </c>
      <c r="E34" t="s">
        <v>80</v>
      </c>
      <c r="F34" t="str">
        <f>SUBSTITUTE(Tab_Calculs[[#This Row],[Compteur]]," ","_")</f>
        <v>Compteur_1</v>
      </c>
      <c r="G34" t="str">
        <f>T(INDEX(Site!$B$33:$G$40, MATCH(Tab_Calculs[[#This Row],[Compteur]], Site!$B$33:$B$40,0),2))</f>
        <v/>
      </c>
      <c r="H34" s="3">
        <f t="array" aca="1" ref="H34" ca="1">MIN(IF(INDIRECT(CONCATENATE(Tab_Calculs[[#This Row],[Colonne1]],"!$B$2:$B$243"))&gt;=Calculs_Consos!$A34,INDIRECT(CONCATENATE(Tab_Calculs[[#This Row],[Colonne1]],"!$B$2:$B$243"))))</f>
        <v>0</v>
      </c>
      <c r="I34" s="3">
        <f ca="1">INDEX(INDIRECT(CONCATENATE("Tab_",Tab_Calculs[[#This Row],[Colonne1]])),Tab_Calculs[[#This Row],[index_date_livraison]],1)</f>
        <v>0</v>
      </c>
      <c r="J34">
        <f ca="1">MATCH(Tab_Calculs[[#This Row],[Date_livraison]],INDIRECT(CONCATENATE("Tab_",Tab_Calculs[[#This Row],[Colonne1]],"[Fin de période]")),0)</f>
        <v>1</v>
      </c>
      <c r="K34" t="e">
        <f ca="1">INDEX(INDIRECT(CONCATENATE("Tab_",Tab_Calculs[[#This Row],[Colonne1]])),Tab_Calculs[[#This Row],[index_date_livraison]]-1,6)*(MAX(Tab_Calculs[[#This Row],[Début periode livraison]],Tab_Calculs[[#This Row],[Début mois]])-Tab_Calculs[[#This Row],[Début mois]])</f>
        <v>#VALUE!</v>
      </c>
      <c r="L34" s="94">
        <f ca="1">INDEX(INDIRECT(CONCATENATE("Tab_",Tab_Calculs[[#This Row],[Colonne1]])),Tab_Calculs[[#This Row],[index_date_livraison]],6)*(1+MIN(Tab_Calculs[[#This Row],[Date_livraison]],Tab_Calculs[[#This Row],[fin mois]])-MAX(Tab_Calculs[[#This Row],[Début mois]],Tab_Calculs[[#This Row],[Début periode livraison]]))</f>
        <v>0</v>
      </c>
      <c r="M34" s="94" t="e">
        <f ca="1">INDEX(INDIRECT(CONCATENATE("Tab_",Tab_Calculs[[#This Row],[Colonne1]])),Tab_Calculs[[#This Row],[index_date_livraison]]+1,6)*(Tab_Calculs[[#This Row],[fin mois]]-MIN(Tab_Calculs[[#This Row],[fin mois]],Tab_Calculs[[#This Row],[Date_livraison]]))</f>
        <v>#VALUE!</v>
      </c>
      <c r="N34" s="231" t="str">
        <f ca="1">IFERROR(Tab_Calculs[[#This Row],[Ratio_jour_après_livr]]+Tab_Calculs[[#This Row],[Ratio_jour_avant_livr]]+Tab_Calculs[[#This Row],[ratio_avant_debut]],"")</f>
        <v/>
      </c>
      <c r="O34" t="e">
        <f ca="1">INDEX(INDIRECT(CONCATENATE("Tab_",Tab_Calculs[[#This Row],[Colonne1]])),Tab_Calculs[[#This Row],[index_date_livraison]]-1,7)*(MAX(Tab_Calculs[[#This Row],[Début periode livraison]],Tab_Calculs[[#This Row],[Début mois]])-Tab_Calculs[[#This Row],[Début mois]])</f>
        <v>#VALUE!</v>
      </c>
      <c r="P34">
        <f ca="1">INDEX(INDIRECT(CONCATENATE("Tab_",Tab_Calculs[[#This Row],[Colonne1]])),Tab_Calculs[[#This Row],[index_date_livraison]],7)*(1+MIN(Tab_Calculs[[#This Row],[Date_livraison]],Tab_Calculs[[#This Row],[fin mois]])-MAX(Tab_Calculs[[#This Row],[Début mois]],Tab_Calculs[[#This Row],[Début periode livraison]]))</f>
        <v>0</v>
      </c>
      <c r="Q34" t="e">
        <f ca="1">INDEX(INDIRECT(CONCATENATE("Tab_",Tab_Calculs[[#This Row],[Colonne1]])),Tab_Calculs[[#This Row],[index_date_livraison]]+1,7)*(Tab_Calculs[[#This Row],[fin mois]]-MIN(Tab_Calculs[[#This Row],[fin mois]],Tab_Calculs[[#This Row],[Date_livraison]]))</f>
        <v>#VALUE!</v>
      </c>
      <c r="R34" t="e">
        <f ca="1">Tab_Calculs[[#This Row],[Ratio_Cout_après_livr]]+Tab_Calculs[[#This Row],[Ratio_Cout_avant_livr]]+Tab_Calculs[[#This Row],[Ratio_Cout_avant_debut]]</f>
        <v>#VALUE!</v>
      </c>
      <c r="S34" t="str">
        <f ca="1">IFERROR(N34*VLOOKUP(Tab_Calculs[[#This Row],[Colonne1]],Controle_des_données!$B$7:$G$14,6,FALSE),"")</f>
        <v/>
      </c>
      <c r="T34" t="str">
        <f ca="1">IF(Tab_Calculs[[#This Row],[Combustible ]]="Electricité (kWh)",Tab_Calculs[[#This Row],[Conso_mois_kWh]]*2.3,Tab_Calculs[[#This Row],[Conso_mois_kWh]])</f>
        <v/>
      </c>
      <c r="U34" t="str">
        <f ca="1">IFERROR(N34*VLOOKUP(Tab_Calculs[[#This Row],[Colonne1]],Controle_des_données!$B$7:$H$14,7,FALSE),"")</f>
        <v/>
      </c>
      <c r="V34">
        <f ca="1">IFERROR(Tab_Calculs[[#This Row],[Cout_mois]]/Tab_Calculs[[#This Row],[Conso_mois_kWh]],0)</f>
        <v>0</v>
      </c>
      <c r="W34" t="str">
        <f>T(VLOOKUP(Tab_Calculs[[#This Row],[Compteur]],Site!$B$33:$G$40,3,FALSE))</f>
        <v/>
      </c>
      <c r="X34" t="str">
        <f>T(VLOOKUP(Tab_Calculs[[#This Row],[Compteur]],Site!$B$33:$G$40,4,FALSE))</f>
        <v/>
      </c>
      <c r="Y34" t="str">
        <f>T(VLOOKUP(Tab_Calculs[[#This Row],[Compteur]],Site!$B$33:$G$40,5,FALSE))</f>
        <v/>
      </c>
      <c r="Z34" t="str">
        <f>T(VLOOKUP(Tab_Calculs[[#This Row],[Compteur]],Site!$B$33:$G$40,6,FALSE))</f>
        <v/>
      </c>
      <c r="AA34">
        <f>IFERROR(GETPIVOTDATA("DJU(chauffagiste)",BDD_DJU!$P$13,"annee",Tab_Calculs[[#This Row],[ANNEE]],"mois_numero",Tab_Calculs[[#This Row],[MOIS]]),0)</f>
        <v>469.8</v>
      </c>
    </row>
    <row r="35" spans="1:47" x14ac:dyDescent="0.25">
      <c r="A35" s="3">
        <f>DATE(Tab_Calculs[[#This Row],[ANNEE]],Tab_Calculs[[#This Row],[MOIS]],1)</f>
        <v>40969</v>
      </c>
      <c r="B35" s="3">
        <f>EDATE(Tab_Calculs[[#This Row],[Début mois]],1)-1</f>
        <v>40999</v>
      </c>
      <c r="C35">
        <v>3</v>
      </c>
      <c r="D35">
        <v>2012</v>
      </c>
      <c r="E35" t="s">
        <v>80</v>
      </c>
      <c r="F35" t="str">
        <f>SUBSTITUTE(Tab_Calculs[[#This Row],[Compteur]]," ","_")</f>
        <v>Compteur_1</v>
      </c>
      <c r="G35" t="str">
        <f>T(INDEX(Site!$B$33:$G$40, MATCH(Tab_Calculs[[#This Row],[Compteur]], Site!$B$33:$B$40,0),2))</f>
        <v/>
      </c>
      <c r="H35" s="3">
        <f t="array" aca="1" ref="H35" ca="1">MIN(IF(INDIRECT(CONCATENATE(Tab_Calculs[[#This Row],[Colonne1]],"!$B$2:$B$243"))&gt;=Calculs_Consos!$A35,INDIRECT(CONCATENATE(Tab_Calculs[[#This Row],[Colonne1]],"!$B$2:$B$243"))))</f>
        <v>0</v>
      </c>
      <c r="I35" s="3">
        <f ca="1">INDEX(INDIRECT(CONCATENATE("Tab_",Tab_Calculs[[#This Row],[Colonne1]])),Tab_Calculs[[#This Row],[index_date_livraison]],1)</f>
        <v>0</v>
      </c>
      <c r="J35">
        <f ca="1">MATCH(Tab_Calculs[[#This Row],[Date_livraison]],INDIRECT(CONCATENATE("Tab_",Tab_Calculs[[#This Row],[Colonne1]],"[Fin de période]")),0)</f>
        <v>1</v>
      </c>
      <c r="K35" t="e">
        <f ca="1">INDEX(INDIRECT(CONCATENATE("Tab_",Tab_Calculs[[#This Row],[Colonne1]])),Tab_Calculs[[#This Row],[index_date_livraison]]-1,6)*(MAX(Tab_Calculs[[#This Row],[Début periode livraison]],Tab_Calculs[[#This Row],[Début mois]])-Tab_Calculs[[#This Row],[Début mois]])</f>
        <v>#VALUE!</v>
      </c>
      <c r="L35" s="94">
        <f ca="1">INDEX(INDIRECT(CONCATENATE("Tab_",Tab_Calculs[[#This Row],[Colonne1]])),Tab_Calculs[[#This Row],[index_date_livraison]],6)*(1+MIN(Tab_Calculs[[#This Row],[Date_livraison]],Tab_Calculs[[#This Row],[fin mois]])-MAX(Tab_Calculs[[#This Row],[Début mois]],Tab_Calculs[[#This Row],[Début periode livraison]]))</f>
        <v>0</v>
      </c>
      <c r="M35" s="94" t="e">
        <f ca="1">INDEX(INDIRECT(CONCATENATE("Tab_",Tab_Calculs[[#This Row],[Colonne1]])),Tab_Calculs[[#This Row],[index_date_livraison]]+1,6)*(Tab_Calculs[[#This Row],[fin mois]]-MIN(Tab_Calculs[[#This Row],[fin mois]],Tab_Calculs[[#This Row],[Date_livraison]]))</f>
        <v>#VALUE!</v>
      </c>
      <c r="N35" s="231" t="str">
        <f ca="1">IFERROR(Tab_Calculs[[#This Row],[Ratio_jour_après_livr]]+Tab_Calculs[[#This Row],[Ratio_jour_avant_livr]]+Tab_Calculs[[#This Row],[ratio_avant_debut]],"")</f>
        <v/>
      </c>
      <c r="O35" t="e">
        <f ca="1">INDEX(INDIRECT(CONCATENATE("Tab_",Tab_Calculs[[#This Row],[Colonne1]])),Tab_Calculs[[#This Row],[index_date_livraison]]-1,7)*(MAX(Tab_Calculs[[#This Row],[Début periode livraison]],Tab_Calculs[[#This Row],[Début mois]])-Tab_Calculs[[#This Row],[Début mois]])</f>
        <v>#VALUE!</v>
      </c>
      <c r="P35">
        <f ca="1">INDEX(INDIRECT(CONCATENATE("Tab_",Tab_Calculs[[#This Row],[Colonne1]])),Tab_Calculs[[#This Row],[index_date_livraison]],7)*(1+MIN(Tab_Calculs[[#This Row],[Date_livraison]],Tab_Calculs[[#This Row],[fin mois]])-MAX(Tab_Calculs[[#This Row],[Début mois]],Tab_Calculs[[#This Row],[Début periode livraison]]))</f>
        <v>0</v>
      </c>
      <c r="Q35" t="e">
        <f ca="1">INDEX(INDIRECT(CONCATENATE("Tab_",Tab_Calculs[[#This Row],[Colonne1]])),Tab_Calculs[[#This Row],[index_date_livraison]]+1,7)*(Tab_Calculs[[#This Row],[fin mois]]-MIN(Tab_Calculs[[#This Row],[fin mois]],Tab_Calculs[[#This Row],[Date_livraison]]))</f>
        <v>#VALUE!</v>
      </c>
      <c r="R35" t="e">
        <f ca="1">Tab_Calculs[[#This Row],[Ratio_Cout_après_livr]]+Tab_Calculs[[#This Row],[Ratio_Cout_avant_livr]]+Tab_Calculs[[#This Row],[Ratio_Cout_avant_debut]]</f>
        <v>#VALUE!</v>
      </c>
      <c r="S35" t="str">
        <f ca="1">IFERROR(N35*VLOOKUP(Tab_Calculs[[#This Row],[Colonne1]],Controle_des_données!$B$7:$G$14,6,FALSE),"")</f>
        <v/>
      </c>
      <c r="T35" t="str">
        <f ca="1">IF(Tab_Calculs[[#This Row],[Combustible ]]="Electricité (kWh)",Tab_Calculs[[#This Row],[Conso_mois_kWh]]*2.3,Tab_Calculs[[#This Row],[Conso_mois_kWh]])</f>
        <v/>
      </c>
      <c r="U35" t="str">
        <f ca="1">IFERROR(N35*VLOOKUP(Tab_Calculs[[#This Row],[Colonne1]],Controle_des_données!$B$7:$H$14,7,FALSE),"")</f>
        <v/>
      </c>
      <c r="V35">
        <f ca="1">IFERROR(Tab_Calculs[[#This Row],[Cout_mois]]/Tab_Calculs[[#This Row],[Conso_mois_kWh]],0)</f>
        <v>0</v>
      </c>
      <c r="W35" t="str">
        <f>T(VLOOKUP(Tab_Calculs[[#This Row],[Compteur]],Site!$B$33:$G$40,3,FALSE))</f>
        <v/>
      </c>
      <c r="X35" t="str">
        <f>T(VLOOKUP(Tab_Calculs[[#This Row],[Compteur]],Site!$B$33:$G$40,4,FALSE))</f>
        <v/>
      </c>
      <c r="Y35" t="str">
        <f>T(VLOOKUP(Tab_Calculs[[#This Row],[Compteur]],Site!$B$33:$G$40,5,FALSE))</f>
        <v/>
      </c>
      <c r="Z35" t="str">
        <f>T(VLOOKUP(Tab_Calculs[[#This Row],[Compteur]],Site!$B$33:$G$40,6,FALSE))</f>
        <v/>
      </c>
      <c r="AA35">
        <f>IFERROR(GETPIVOTDATA("DJU(chauffagiste)",BDD_DJU!$P$13,"annee",Tab_Calculs[[#This Row],[ANNEE]],"mois_numero",Tab_Calculs[[#This Row],[MOIS]]),0)</f>
        <v>247.3</v>
      </c>
    </row>
    <row r="36" spans="1:47" x14ac:dyDescent="0.25">
      <c r="A36" s="3">
        <f>DATE(Tab_Calculs[[#This Row],[ANNEE]],Tab_Calculs[[#This Row],[MOIS]],1)</f>
        <v>41000</v>
      </c>
      <c r="B36" s="3">
        <f>EDATE(Tab_Calculs[[#This Row],[Début mois]],1)-1</f>
        <v>41029</v>
      </c>
      <c r="C36">
        <v>4</v>
      </c>
      <c r="D36">
        <v>2012</v>
      </c>
      <c r="E36" t="s">
        <v>80</v>
      </c>
      <c r="F36" t="str">
        <f>SUBSTITUTE(Tab_Calculs[[#This Row],[Compteur]]," ","_")</f>
        <v>Compteur_1</v>
      </c>
      <c r="G36" t="str">
        <f>T(INDEX(Site!$B$33:$G$40, MATCH(Tab_Calculs[[#This Row],[Compteur]], Site!$B$33:$B$40,0),2))</f>
        <v/>
      </c>
      <c r="H36" s="3">
        <f t="array" aca="1" ref="H36" ca="1">MIN(IF(INDIRECT(CONCATENATE(Tab_Calculs[[#This Row],[Colonne1]],"!$B$2:$B$243"))&gt;=Calculs_Consos!$A36,INDIRECT(CONCATENATE(Tab_Calculs[[#This Row],[Colonne1]],"!$B$2:$B$243"))))</f>
        <v>0</v>
      </c>
      <c r="I36" s="3">
        <f ca="1">INDEX(INDIRECT(CONCATENATE("Tab_",Tab_Calculs[[#This Row],[Colonne1]])),Tab_Calculs[[#This Row],[index_date_livraison]],1)</f>
        <v>0</v>
      </c>
      <c r="J36">
        <f ca="1">MATCH(Tab_Calculs[[#This Row],[Date_livraison]],INDIRECT(CONCATENATE("Tab_",Tab_Calculs[[#This Row],[Colonne1]],"[Fin de période]")),0)</f>
        <v>1</v>
      </c>
      <c r="K36" t="e">
        <f ca="1">INDEX(INDIRECT(CONCATENATE("Tab_",Tab_Calculs[[#This Row],[Colonne1]])),Tab_Calculs[[#This Row],[index_date_livraison]]-1,6)*(MAX(Tab_Calculs[[#This Row],[Début periode livraison]],Tab_Calculs[[#This Row],[Début mois]])-Tab_Calculs[[#This Row],[Début mois]])</f>
        <v>#VALUE!</v>
      </c>
      <c r="L36" s="94">
        <f ca="1">INDEX(INDIRECT(CONCATENATE("Tab_",Tab_Calculs[[#This Row],[Colonne1]])),Tab_Calculs[[#This Row],[index_date_livraison]],6)*(1+MIN(Tab_Calculs[[#This Row],[Date_livraison]],Tab_Calculs[[#This Row],[fin mois]])-MAX(Tab_Calculs[[#This Row],[Début mois]],Tab_Calculs[[#This Row],[Début periode livraison]]))</f>
        <v>0</v>
      </c>
      <c r="M36" s="94" t="e">
        <f ca="1">INDEX(INDIRECT(CONCATENATE("Tab_",Tab_Calculs[[#This Row],[Colonne1]])),Tab_Calculs[[#This Row],[index_date_livraison]]+1,6)*(Tab_Calculs[[#This Row],[fin mois]]-MIN(Tab_Calculs[[#This Row],[fin mois]],Tab_Calculs[[#This Row],[Date_livraison]]))</f>
        <v>#VALUE!</v>
      </c>
      <c r="N36" s="231" t="str">
        <f ca="1">IFERROR(Tab_Calculs[[#This Row],[Ratio_jour_après_livr]]+Tab_Calculs[[#This Row],[Ratio_jour_avant_livr]]+Tab_Calculs[[#This Row],[ratio_avant_debut]],"")</f>
        <v/>
      </c>
      <c r="O36" t="e">
        <f ca="1">INDEX(INDIRECT(CONCATENATE("Tab_",Tab_Calculs[[#This Row],[Colonne1]])),Tab_Calculs[[#This Row],[index_date_livraison]]-1,7)*(MAX(Tab_Calculs[[#This Row],[Début periode livraison]],Tab_Calculs[[#This Row],[Début mois]])-Tab_Calculs[[#This Row],[Début mois]])</f>
        <v>#VALUE!</v>
      </c>
      <c r="P36">
        <f ca="1">INDEX(INDIRECT(CONCATENATE("Tab_",Tab_Calculs[[#This Row],[Colonne1]])),Tab_Calculs[[#This Row],[index_date_livraison]],7)*(1+MIN(Tab_Calculs[[#This Row],[Date_livraison]],Tab_Calculs[[#This Row],[fin mois]])-MAX(Tab_Calculs[[#This Row],[Début mois]],Tab_Calculs[[#This Row],[Début periode livraison]]))</f>
        <v>0</v>
      </c>
      <c r="Q36" t="e">
        <f ca="1">INDEX(INDIRECT(CONCATENATE("Tab_",Tab_Calculs[[#This Row],[Colonne1]])),Tab_Calculs[[#This Row],[index_date_livraison]]+1,7)*(Tab_Calculs[[#This Row],[fin mois]]-MIN(Tab_Calculs[[#This Row],[fin mois]],Tab_Calculs[[#This Row],[Date_livraison]]))</f>
        <v>#VALUE!</v>
      </c>
      <c r="R36" t="e">
        <f ca="1">Tab_Calculs[[#This Row],[Ratio_Cout_après_livr]]+Tab_Calculs[[#This Row],[Ratio_Cout_avant_livr]]+Tab_Calculs[[#This Row],[Ratio_Cout_avant_debut]]</f>
        <v>#VALUE!</v>
      </c>
      <c r="S36" t="str">
        <f ca="1">IFERROR(N36*VLOOKUP(Tab_Calculs[[#This Row],[Colonne1]],Controle_des_données!$B$7:$G$14,6,FALSE),"")</f>
        <v/>
      </c>
      <c r="T36" t="str">
        <f ca="1">IF(Tab_Calculs[[#This Row],[Combustible ]]="Electricité (kWh)",Tab_Calculs[[#This Row],[Conso_mois_kWh]]*2.3,Tab_Calculs[[#This Row],[Conso_mois_kWh]])</f>
        <v/>
      </c>
      <c r="U36" t="str">
        <f ca="1">IFERROR(N36*VLOOKUP(Tab_Calculs[[#This Row],[Colonne1]],Controle_des_données!$B$7:$H$14,7,FALSE),"")</f>
        <v/>
      </c>
      <c r="V36">
        <f ca="1">IFERROR(Tab_Calculs[[#This Row],[Cout_mois]]/Tab_Calculs[[#This Row],[Conso_mois_kWh]],0)</f>
        <v>0</v>
      </c>
      <c r="W36" t="str">
        <f>T(VLOOKUP(Tab_Calculs[[#This Row],[Compteur]],Site!$B$33:$G$40,3,FALSE))</f>
        <v/>
      </c>
      <c r="X36" t="str">
        <f>T(VLOOKUP(Tab_Calculs[[#This Row],[Compteur]],Site!$B$33:$G$40,4,FALSE))</f>
        <v/>
      </c>
      <c r="Y36" t="str">
        <f>T(VLOOKUP(Tab_Calculs[[#This Row],[Compteur]],Site!$B$33:$G$40,5,FALSE))</f>
        <v/>
      </c>
      <c r="Z36" t="str">
        <f>T(VLOOKUP(Tab_Calculs[[#This Row],[Compteur]],Site!$B$33:$G$40,6,FALSE))</f>
        <v/>
      </c>
      <c r="AA36">
        <f>IFERROR(GETPIVOTDATA("DJU(chauffagiste)",BDD_DJU!$P$13,"annee",Tab_Calculs[[#This Row],[ANNEE]],"mois_numero",Tab_Calculs[[#This Row],[MOIS]]),0)</f>
        <v>253.8</v>
      </c>
    </row>
    <row r="37" spans="1:47" x14ac:dyDescent="0.25">
      <c r="A37" s="3">
        <f>DATE(Tab_Calculs[[#This Row],[ANNEE]],Tab_Calculs[[#This Row],[MOIS]],1)</f>
        <v>41030</v>
      </c>
      <c r="B37" s="3">
        <f>EDATE(Tab_Calculs[[#This Row],[Début mois]],1)-1</f>
        <v>41060</v>
      </c>
      <c r="C37">
        <v>5</v>
      </c>
      <c r="D37">
        <v>2012</v>
      </c>
      <c r="E37" t="s">
        <v>80</v>
      </c>
      <c r="F37" t="str">
        <f>SUBSTITUTE(Tab_Calculs[[#This Row],[Compteur]]," ","_")</f>
        <v>Compteur_1</v>
      </c>
      <c r="G37" t="str">
        <f>T(INDEX(Site!$B$33:$G$40, MATCH(Tab_Calculs[[#This Row],[Compteur]], Site!$B$33:$B$40,0),2))</f>
        <v/>
      </c>
      <c r="H37" s="3">
        <f t="array" aca="1" ref="H37" ca="1">MIN(IF(INDIRECT(CONCATENATE(Tab_Calculs[[#This Row],[Colonne1]],"!$B$2:$B$243"))&gt;=Calculs_Consos!$A37,INDIRECT(CONCATENATE(Tab_Calculs[[#This Row],[Colonne1]],"!$B$2:$B$243"))))</f>
        <v>0</v>
      </c>
      <c r="I37" s="3">
        <f ca="1">INDEX(INDIRECT(CONCATENATE("Tab_",Tab_Calculs[[#This Row],[Colonne1]])),Tab_Calculs[[#This Row],[index_date_livraison]],1)</f>
        <v>0</v>
      </c>
      <c r="J37">
        <f ca="1">MATCH(Tab_Calculs[[#This Row],[Date_livraison]],INDIRECT(CONCATENATE("Tab_",Tab_Calculs[[#This Row],[Colonne1]],"[Fin de période]")),0)</f>
        <v>1</v>
      </c>
      <c r="K37" t="e">
        <f ca="1">INDEX(INDIRECT(CONCATENATE("Tab_",Tab_Calculs[[#This Row],[Colonne1]])),Tab_Calculs[[#This Row],[index_date_livraison]]-1,6)*(MAX(Tab_Calculs[[#This Row],[Début periode livraison]],Tab_Calculs[[#This Row],[Début mois]])-Tab_Calculs[[#This Row],[Début mois]])</f>
        <v>#VALUE!</v>
      </c>
      <c r="L37" s="94">
        <f ca="1">INDEX(INDIRECT(CONCATENATE("Tab_",Tab_Calculs[[#This Row],[Colonne1]])),Tab_Calculs[[#This Row],[index_date_livraison]],6)*(1+MIN(Tab_Calculs[[#This Row],[Date_livraison]],Tab_Calculs[[#This Row],[fin mois]])-MAX(Tab_Calculs[[#This Row],[Début mois]],Tab_Calculs[[#This Row],[Début periode livraison]]))</f>
        <v>0</v>
      </c>
      <c r="M37" s="94" t="e">
        <f ca="1">INDEX(INDIRECT(CONCATENATE("Tab_",Tab_Calculs[[#This Row],[Colonne1]])),Tab_Calculs[[#This Row],[index_date_livraison]]+1,6)*(Tab_Calculs[[#This Row],[fin mois]]-MIN(Tab_Calculs[[#This Row],[fin mois]],Tab_Calculs[[#This Row],[Date_livraison]]))</f>
        <v>#VALUE!</v>
      </c>
      <c r="N37" s="231" t="str">
        <f ca="1">IFERROR(Tab_Calculs[[#This Row],[Ratio_jour_après_livr]]+Tab_Calculs[[#This Row],[Ratio_jour_avant_livr]]+Tab_Calculs[[#This Row],[ratio_avant_debut]],"")</f>
        <v/>
      </c>
      <c r="O37" t="e">
        <f ca="1">INDEX(INDIRECT(CONCATENATE("Tab_",Tab_Calculs[[#This Row],[Colonne1]])),Tab_Calculs[[#This Row],[index_date_livraison]]-1,7)*(MAX(Tab_Calculs[[#This Row],[Début periode livraison]],Tab_Calculs[[#This Row],[Début mois]])-Tab_Calculs[[#This Row],[Début mois]])</f>
        <v>#VALUE!</v>
      </c>
      <c r="P37">
        <f ca="1">INDEX(INDIRECT(CONCATENATE("Tab_",Tab_Calculs[[#This Row],[Colonne1]])),Tab_Calculs[[#This Row],[index_date_livraison]],7)*(1+MIN(Tab_Calculs[[#This Row],[Date_livraison]],Tab_Calculs[[#This Row],[fin mois]])-MAX(Tab_Calculs[[#This Row],[Début mois]],Tab_Calculs[[#This Row],[Début periode livraison]]))</f>
        <v>0</v>
      </c>
      <c r="Q37" t="e">
        <f ca="1">INDEX(INDIRECT(CONCATENATE("Tab_",Tab_Calculs[[#This Row],[Colonne1]])),Tab_Calculs[[#This Row],[index_date_livraison]]+1,7)*(Tab_Calculs[[#This Row],[fin mois]]-MIN(Tab_Calculs[[#This Row],[fin mois]],Tab_Calculs[[#This Row],[Date_livraison]]))</f>
        <v>#VALUE!</v>
      </c>
      <c r="R37" t="e">
        <f ca="1">Tab_Calculs[[#This Row],[Ratio_Cout_après_livr]]+Tab_Calculs[[#This Row],[Ratio_Cout_avant_livr]]+Tab_Calculs[[#This Row],[Ratio_Cout_avant_debut]]</f>
        <v>#VALUE!</v>
      </c>
      <c r="S37" t="str">
        <f ca="1">IFERROR(N37*VLOOKUP(Tab_Calculs[[#This Row],[Colonne1]],Controle_des_données!$B$7:$G$14,6,FALSE),"")</f>
        <v/>
      </c>
      <c r="T37" t="str">
        <f ca="1">IF(Tab_Calculs[[#This Row],[Combustible ]]="Electricité (kWh)",Tab_Calculs[[#This Row],[Conso_mois_kWh]]*2.3,Tab_Calculs[[#This Row],[Conso_mois_kWh]])</f>
        <v/>
      </c>
      <c r="U37" t="str">
        <f ca="1">IFERROR(N37*VLOOKUP(Tab_Calculs[[#This Row],[Colonne1]],Controle_des_données!$B$7:$H$14,7,FALSE),"")</f>
        <v/>
      </c>
      <c r="V37">
        <f ca="1">IFERROR(Tab_Calculs[[#This Row],[Cout_mois]]/Tab_Calculs[[#This Row],[Conso_mois_kWh]],0)</f>
        <v>0</v>
      </c>
      <c r="W37" t="str">
        <f>T(VLOOKUP(Tab_Calculs[[#This Row],[Compteur]],Site!$B$33:$G$40,3,FALSE))</f>
        <v/>
      </c>
      <c r="X37" t="str">
        <f>T(VLOOKUP(Tab_Calculs[[#This Row],[Compteur]],Site!$B$33:$G$40,4,FALSE))</f>
        <v/>
      </c>
      <c r="Y37" t="str">
        <f>T(VLOOKUP(Tab_Calculs[[#This Row],[Compteur]],Site!$B$33:$G$40,5,FALSE))</f>
        <v/>
      </c>
      <c r="Z37" t="str">
        <f>T(VLOOKUP(Tab_Calculs[[#This Row],[Compteur]],Site!$B$33:$G$40,6,FALSE))</f>
        <v/>
      </c>
      <c r="AA37">
        <f>IFERROR(GETPIVOTDATA("DJU(chauffagiste)",BDD_DJU!$P$13,"annee",Tab_Calculs[[#This Row],[ANNEE]],"mois_numero",Tab_Calculs[[#This Row],[MOIS]]),0)</f>
        <v>113.8</v>
      </c>
    </row>
    <row r="38" spans="1:47" x14ac:dyDescent="0.25">
      <c r="A38" s="3">
        <f>DATE(Tab_Calculs[[#This Row],[ANNEE]],Tab_Calculs[[#This Row],[MOIS]],1)</f>
        <v>41061</v>
      </c>
      <c r="B38" s="3">
        <f>EDATE(Tab_Calculs[[#This Row],[Début mois]],1)-1</f>
        <v>41090</v>
      </c>
      <c r="C38">
        <v>6</v>
      </c>
      <c r="D38">
        <v>2012</v>
      </c>
      <c r="E38" t="s">
        <v>80</v>
      </c>
      <c r="F38" t="str">
        <f>SUBSTITUTE(Tab_Calculs[[#This Row],[Compteur]]," ","_")</f>
        <v>Compteur_1</v>
      </c>
      <c r="G38" t="str">
        <f>T(INDEX(Site!$B$33:$G$40, MATCH(Tab_Calculs[[#This Row],[Compteur]], Site!$B$33:$B$40,0),2))</f>
        <v/>
      </c>
      <c r="H38" s="3">
        <f t="array" aca="1" ref="H38" ca="1">MIN(IF(INDIRECT(CONCATENATE(Tab_Calculs[[#This Row],[Colonne1]],"!$B$2:$B$243"))&gt;=Calculs_Consos!$A38,INDIRECT(CONCATENATE(Tab_Calculs[[#This Row],[Colonne1]],"!$B$2:$B$243"))))</f>
        <v>0</v>
      </c>
      <c r="I38" s="3">
        <f ca="1">INDEX(INDIRECT(CONCATENATE("Tab_",Tab_Calculs[[#This Row],[Colonne1]])),Tab_Calculs[[#This Row],[index_date_livraison]],1)</f>
        <v>0</v>
      </c>
      <c r="J38">
        <f ca="1">MATCH(Tab_Calculs[[#This Row],[Date_livraison]],INDIRECT(CONCATENATE("Tab_",Tab_Calculs[[#This Row],[Colonne1]],"[Fin de période]")),0)</f>
        <v>1</v>
      </c>
      <c r="K38" t="e">
        <f ca="1">INDEX(INDIRECT(CONCATENATE("Tab_",Tab_Calculs[[#This Row],[Colonne1]])),Tab_Calculs[[#This Row],[index_date_livraison]]-1,6)*(MAX(Tab_Calculs[[#This Row],[Début periode livraison]],Tab_Calculs[[#This Row],[Début mois]])-Tab_Calculs[[#This Row],[Début mois]])</f>
        <v>#VALUE!</v>
      </c>
      <c r="L38" s="94">
        <f ca="1">INDEX(INDIRECT(CONCATENATE("Tab_",Tab_Calculs[[#This Row],[Colonne1]])),Tab_Calculs[[#This Row],[index_date_livraison]],6)*(1+MIN(Tab_Calculs[[#This Row],[Date_livraison]],Tab_Calculs[[#This Row],[fin mois]])-MAX(Tab_Calculs[[#This Row],[Début mois]],Tab_Calculs[[#This Row],[Début periode livraison]]))</f>
        <v>0</v>
      </c>
      <c r="M38" s="94" t="e">
        <f ca="1">INDEX(INDIRECT(CONCATENATE("Tab_",Tab_Calculs[[#This Row],[Colonne1]])),Tab_Calculs[[#This Row],[index_date_livraison]]+1,6)*(Tab_Calculs[[#This Row],[fin mois]]-MIN(Tab_Calculs[[#This Row],[fin mois]],Tab_Calculs[[#This Row],[Date_livraison]]))</f>
        <v>#VALUE!</v>
      </c>
      <c r="N38" s="231" t="str">
        <f ca="1">IFERROR(Tab_Calculs[[#This Row],[Ratio_jour_après_livr]]+Tab_Calculs[[#This Row],[Ratio_jour_avant_livr]]+Tab_Calculs[[#This Row],[ratio_avant_debut]],"")</f>
        <v/>
      </c>
      <c r="O38" t="e">
        <f ca="1">INDEX(INDIRECT(CONCATENATE("Tab_",Tab_Calculs[[#This Row],[Colonne1]])),Tab_Calculs[[#This Row],[index_date_livraison]]-1,7)*(MAX(Tab_Calculs[[#This Row],[Début periode livraison]],Tab_Calculs[[#This Row],[Début mois]])-Tab_Calculs[[#This Row],[Début mois]])</f>
        <v>#VALUE!</v>
      </c>
      <c r="P38">
        <f ca="1">INDEX(INDIRECT(CONCATENATE("Tab_",Tab_Calculs[[#This Row],[Colonne1]])),Tab_Calculs[[#This Row],[index_date_livraison]],7)*(1+MIN(Tab_Calculs[[#This Row],[Date_livraison]],Tab_Calculs[[#This Row],[fin mois]])-MAX(Tab_Calculs[[#This Row],[Début mois]],Tab_Calculs[[#This Row],[Début periode livraison]]))</f>
        <v>0</v>
      </c>
      <c r="Q38" t="e">
        <f ca="1">INDEX(INDIRECT(CONCATENATE("Tab_",Tab_Calculs[[#This Row],[Colonne1]])),Tab_Calculs[[#This Row],[index_date_livraison]]+1,7)*(Tab_Calculs[[#This Row],[fin mois]]-MIN(Tab_Calculs[[#This Row],[fin mois]],Tab_Calculs[[#This Row],[Date_livraison]]))</f>
        <v>#VALUE!</v>
      </c>
      <c r="R38" t="e">
        <f ca="1">Tab_Calculs[[#This Row],[Ratio_Cout_après_livr]]+Tab_Calculs[[#This Row],[Ratio_Cout_avant_livr]]+Tab_Calculs[[#This Row],[Ratio_Cout_avant_debut]]</f>
        <v>#VALUE!</v>
      </c>
      <c r="S38" t="str">
        <f ca="1">IFERROR(N38*VLOOKUP(Tab_Calculs[[#This Row],[Colonne1]],Controle_des_données!$B$7:$G$14,6,FALSE),"")</f>
        <v/>
      </c>
      <c r="T38" t="str">
        <f ca="1">IF(Tab_Calculs[[#This Row],[Combustible ]]="Electricité (kWh)",Tab_Calculs[[#This Row],[Conso_mois_kWh]]*2.3,Tab_Calculs[[#This Row],[Conso_mois_kWh]])</f>
        <v/>
      </c>
      <c r="U38" t="str">
        <f ca="1">IFERROR(N38*VLOOKUP(Tab_Calculs[[#This Row],[Colonne1]],Controle_des_données!$B$7:$H$14,7,FALSE),"")</f>
        <v/>
      </c>
      <c r="V38">
        <f ca="1">IFERROR(Tab_Calculs[[#This Row],[Cout_mois]]/Tab_Calculs[[#This Row],[Conso_mois_kWh]],0)</f>
        <v>0</v>
      </c>
      <c r="W38" t="str">
        <f>T(VLOOKUP(Tab_Calculs[[#This Row],[Compteur]],Site!$B$33:$G$40,3,FALSE))</f>
        <v/>
      </c>
      <c r="X38" t="str">
        <f>T(VLOOKUP(Tab_Calculs[[#This Row],[Compteur]],Site!$B$33:$G$40,4,FALSE))</f>
        <v/>
      </c>
      <c r="Y38" t="str">
        <f>T(VLOOKUP(Tab_Calculs[[#This Row],[Compteur]],Site!$B$33:$G$40,5,FALSE))</f>
        <v/>
      </c>
      <c r="Z38" t="str">
        <f>T(VLOOKUP(Tab_Calculs[[#This Row],[Compteur]],Site!$B$33:$G$40,6,FALSE))</f>
        <v/>
      </c>
      <c r="AA38">
        <f>IFERROR(GETPIVOTDATA("DJU(chauffagiste)",BDD_DJU!$P$13,"annee",Tab_Calculs[[#This Row],[ANNEE]],"mois_numero",Tab_Calculs[[#This Row],[MOIS]]),0)</f>
        <v>59.4</v>
      </c>
    </row>
    <row r="39" spans="1:47" x14ac:dyDescent="0.25">
      <c r="A39" s="3">
        <f>DATE(Tab_Calculs[[#This Row],[ANNEE]],Tab_Calculs[[#This Row],[MOIS]],1)</f>
        <v>41091</v>
      </c>
      <c r="B39" s="3">
        <f>EDATE(Tab_Calculs[[#This Row],[Début mois]],1)-1</f>
        <v>41121</v>
      </c>
      <c r="C39">
        <v>7</v>
      </c>
      <c r="D39">
        <v>2012</v>
      </c>
      <c r="E39" t="s">
        <v>80</v>
      </c>
      <c r="F39" t="str">
        <f>SUBSTITUTE(Tab_Calculs[[#This Row],[Compteur]]," ","_")</f>
        <v>Compteur_1</v>
      </c>
      <c r="G39" t="str">
        <f>T(INDEX(Site!$B$33:$G$40, MATCH(Tab_Calculs[[#This Row],[Compteur]], Site!$B$33:$B$40,0),2))</f>
        <v/>
      </c>
      <c r="H39" s="3">
        <f t="array" aca="1" ref="H39" ca="1">MIN(IF(INDIRECT(CONCATENATE(Tab_Calculs[[#This Row],[Colonne1]],"!$B$2:$B$243"))&gt;=Calculs_Consos!$A39,INDIRECT(CONCATENATE(Tab_Calculs[[#This Row],[Colonne1]],"!$B$2:$B$243"))))</f>
        <v>0</v>
      </c>
      <c r="I39" s="3">
        <f ca="1">INDEX(INDIRECT(CONCATENATE("Tab_",Tab_Calculs[[#This Row],[Colonne1]])),Tab_Calculs[[#This Row],[index_date_livraison]],1)</f>
        <v>0</v>
      </c>
      <c r="J39">
        <f ca="1">MATCH(Tab_Calculs[[#This Row],[Date_livraison]],INDIRECT(CONCATENATE("Tab_",Tab_Calculs[[#This Row],[Colonne1]],"[Fin de période]")),0)</f>
        <v>1</v>
      </c>
      <c r="K39" t="e">
        <f ca="1">INDEX(INDIRECT(CONCATENATE("Tab_",Tab_Calculs[[#This Row],[Colonne1]])),Tab_Calculs[[#This Row],[index_date_livraison]]-1,6)*(MAX(Tab_Calculs[[#This Row],[Début periode livraison]],Tab_Calculs[[#This Row],[Début mois]])-Tab_Calculs[[#This Row],[Début mois]])</f>
        <v>#VALUE!</v>
      </c>
      <c r="L39" s="94">
        <f ca="1">INDEX(INDIRECT(CONCATENATE("Tab_",Tab_Calculs[[#This Row],[Colonne1]])),Tab_Calculs[[#This Row],[index_date_livraison]],6)*(1+MIN(Tab_Calculs[[#This Row],[Date_livraison]],Tab_Calculs[[#This Row],[fin mois]])-MAX(Tab_Calculs[[#This Row],[Début mois]],Tab_Calculs[[#This Row],[Début periode livraison]]))</f>
        <v>0</v>
      </c>
      <c r="M39" s="94" t="e">
        <f ca="1">INDEX(INDIRECT(CONCATENATE("Tab_",Tab_Calculs[[#This Row],[Colonne1]])),Tab_Calculs[[#This Row],[index_date_livraison]]+1,6)*(Tab_Calculs[[#This Row],[fin mois]]-MIN(Tab_Calculs[[#This Row],[fin mois]],Tab_Calculs[[#This Row],[Date_livraison]]))</f>
        <v>#VALUE!</v>
      </c>
      <c r="N39" s="231" t="str">
        <f ca="1">IFERROR(Tab_Calculs[[#This Row],[Ratio_jour_après_livr]]+Tab_Calculs[[#This Row],[Ratio_jour_avant_livr]]+Tab_Calculs[[#This Row],[ratio_avant_debut]],"")</f>
        <v/>
      </c>
      <c r="O39" t="e">
        <f ca="1">INDEX(INDIRECT(CONCATENATE("Tab_",Tab_Calculs[[#This Row],[Colonne1]])),Tab_Calculs[[#This Row],[index_date_livraison]]-1,7)*(MAX(Tab_Calculs[[#This Row],[Début periode livraison]],Tab_Calculs[[#This Row],[Début mois]])-Tab_Calculs[[#This Row],[Début mois]])</f>
        <v>#VALUE!</v>
      </c>
      <c r="P39">
        <f ca="1">INDEX(INDIRECT(CONCATENATE("Tab_",Tab_Calculs[[#This Row],[Colonne1]])),Tab_Calculs[[#This Row],[index_date_livraison]],7)*(1+MIN(Tab_Calculs[[#This Row],[Date_livraison]],Tab_Calculs[[#This Row],[fin mois]])-MAX(Tab_Calculs[[#This Row],[Début mois]],Tab_Calculs[[#This Row],[Début periode livraison]]))</f>
        <v>0</v>
      </c>
      <c r="Q39" t="e">
        <f ca="1">INDEX(INDIRECT(CONCATENATE("Tab_",Tab_Calculs[[#This Row],[Colonne1]])),Tab_Calculs[[#This Row],[index_date_livraison]]+1,7)*(Tab_Calculs[[#This Row],[fin mois]]-MIN(Tab_Calculs[[#This Row],[fin mois]],Tab_Calculs[[#This Row],[Date_livraison]]))</f>
        <v>#VALUE!</v>
      </c>
      <c r="R39" t="e">
        <f ca="1">Tab_Calculs[[#This Row],[Ratio_Cout_après_livr]]+Tab_Calculs[[#This Row],[Ratio_Cout_avant_livr]]+Tab_Calculs[[#This Row],[Ratio_Cout_avant_debut]]</f>
        <v>#VALUE!</v>
      </c>
      <c r="S39" t="str">
        <f ca="1">IFERROR(N39*VLOOKUP(Tab_Calculs[[#This Row],[Colonne1]],Controle_des_données!$B$7:$G$14,6,FALSE),"")</f>
        <v/>
      </c>
      <c r="T39" t="str">
        <f ca="1">IF(Tab_Calculs[[#This Row],[Combustible ]]="Electricité (kWh)",Tab_Calculs[[#This Row],[Conso_mois_kWh]]*2.3,Tab_Calculs[[#This Row],[Conso_mois_kWh]])</f>
        <v/>
      </c>
      <c r="U39" t="str">
        <f ca="1">IFERROR(N39*VLOOKUP(Tab_Calculs[[#This Row],[Colonne1]],Controle_des_données!$B$7:$H$14,7,FALSE),"")</f>
        <v/>
      </c>
      <c r="V39">
        <f ca="1">IFERROR(Tab_Calculs[[#This Row],[Cout_mois]]/Tab_Calculs[[#This Row],[Conso_mois_kWh]],0)</f>
        <v>0</v>
      </c>
      <c r="W39" t="str">
        <f>T(VLOOKUP(Tab_Calculs[[#This Row],[Compteur]],Site!$B$33:$G$40,3,FALSE))</f>
        <v/>
      </c>
      <c r="X39" t="str">
        <f>T(VLOOKUP(Tab_Calculs[[#This Row],[Compteur]],Site!$B$33:$G$40,4,FALSE))</f>
        <v/>
      </c>
      <c r="Y39" t="str">
        <f>T(VLOOKUP(Tab_Calculs[[#This Row],[Compteur]],Site!$B$33:$G$40,5,FALSE))</f>
        <v/>
      </c>
      <c r="Z39" t="str">
        <f>T(VLOOKUP(Tab_Calculs[[#This Row],[Compteur]],Site!$B$33:$G$40,6,FALSE))</f>
        <v/>
      </c>
      <c r="AA39">
        <f>IFERROR(GETPIVOTDATA("DJU(chauffagiste)",BDD_DJU!$P$13,"annee",Tab_Calculs[[#This Row],[ANNEE]],"mois_numero",Tab_Calculs[[#This Row],[MOIS]]),0)</f>
        <v>48.9</v>
      </c>
    </row>
    <row r="40" spans="1:47" x14ac:dyDescent="0.25">
      <c r="A40" s="3">
        <f>DATE(Tab_Calculs[[#This Row],[ANNEE]],Tab_Calculs[[#This Row],[MOIS]],1)</f>
        <v>41122</v>
      </c>
      <c r="B40" s="3">
        <f>EDATE(Tab_Calculs[[#This Row],[Début mois]],1)-1</f>
        <v>41152</v>
      </c>
      <c r="C40">
        <v>8</v>
      </c>
      <c r="D40">
        <v>2012</v>
      </c>
      <c r="E40" t="s">
        <v>80</v>
      </c>
      <c r="F40" t="str">
        <f>SUBSTITUTE(Tab_Calculs[[#This Row],[Compteur]]," ","_")</f>
        <v>Compteur_1</v>
      </c>
      <c r="G40" t="str">
        <f>T(INDEX(Site!$B$33:$G$40, MATCH(Tab_Calculs[[#This Row],[Compteur]], Site!$B$33:$B$40,0),2))</f>
        <v/>
      </c>
      <c r="H40" s="3">
        <f t="array" aca="1" ref="H40" ca="1">MIN(IF(INDIRECT(CONCATENATE(Tab_Calculs[[#This Row],[Colonne1]],"!$B$2:$B$243"))&gt;=Calculs_Consos!$A40,INDIRECT(CONCATENATE(Tab_Calculs[[#This Row],[Colonne1]],"!$B$2:$B$243"))))</f>
        <v>0</v>
      </c>
      <c r="I40" s="3">
        <f ca="1">INDEX(INDIRECT(CONCATENATE("Tab_",Tab_Calculs[[#This Row],[Colonne1]])),Tab_Calculs[[#This Row],[index_date_livraison]],1)</f>
        <v>0</v>
      </c>
      <c r="J40">
        <f ca="1">MATCH(Tab_Calculs[[#This Row],[Date_livraison]],INDIRECT(CONCATENATE("Tab_",Tab_Calculs[[#This Row],[Colonne1]],"[Fin de période]")),0)</f>
        <v>1</v>
      </c>
      <c r="K40" t="e">
        <f ca="1">INDEX(INDIRECT(CONCATENATE("Tab_",Tab_Calculs[[#This Row],[Colonne1]])),Tab_Calculs[[#This Row],[index_date_livraison]]-1,6)*(MAX(Tab_Calculs[[#This Row],[Début periode livraison]],Tab_Calculs[[#This Row],[Début mois]])-Tab_Calculs[[#This Row],[Début mois]])</f>
        <v>#VALUE!</v>
      </c>
      <c r="L40" s="94">
        <f ca="1">INDEX(INDIRECT(CONCATENATE("Tab_",Tab_Calculs[[#This Row],[Colonne1]])),Tab_Calculs[[#This Row],[index_date_livraison]],6)*(1+MIN(Tab_Calculs[[#This Row],[Date_livraison]],Tab_Calculs[[#This Row],[fin mois]])-MAX(Tab_Calculs[[#This Row],[Début mois]],Tab_Calculs[[#This Row],[Début periode livraison]]))</f>
        <v>0</v>
      </c>
      <c r="M40" s="94" t="e">
        <f ca="1">INDEX(INDIRECT(CONCATENATE("Tab_",Tab_Calculs[[#This Row],[Colonne1]])),Tab_Calculs[[#This Row],[index_date_livraison]]+1,6)*(Tab_Calculs[[#This Row],[fin mois]]-MIN(Tab_Calculs[[#This Row],[fin mois]],Tab_Calculs[[#This Row],[Date_livraison]]))</f>
        <v>#VALUE!</v>
      </c>
      <c r="N40" s="231" t="str">
        <f ca="1">IFERROR(Tab_Calculs[[#This Row],[Ratio_jour_après_livr]]+Tab_Calculs[[#This Row],[Ratio_jour_avant_livr]]+Tab_Calculs[[#This Row],[ratio_avant_debut]],"")</f>
        <v/>
      </c>
      <c r="O40" t="e">
        <f ca="1">INDEX(INDIRECT(CONCATENATE("Tab_",Tab_Calculs[[#This Row],[Colonne1]])),Tab_Calculs[[#This Row],[index_date_livraison]]-1,7)*(MAX(Tab_Calculs[[#This Row],[Début periode livraison]],Tab_Calculs[[#This Row],[Début mois]])-Tab_Calculs[[#This Row],[Début mois]])</f>
        <v>#VALUE!</v>
      </c>
      <c r="P40">
        <f ca="1">INDEX(INDIRECT(CONCATENATE("Tab_",Tab_Calculs[[#This Row],[Colonne1]])),Tab_Calculs[[#This Row],[index_date_livraison]],7)*(1+MIN(Tab_Calculs[[#This Row],[Date_livraison]],Tab_Calculs[[#This Row],[fin mois]])-MAX(Tab_Calculs[[#This Row],[Début mois]],Tab_Calculs[[#This Row],[Début periode livraison]]))</f>
        <v>0</v>
      </c>
      <c r="Q40" t="e">
        <f ca="1">INDEX(INDIRECT(CONCATENATE("Tab_",Tab_Calculs[[#This Row],[Colonne1]])),Tab_Calculs[[#This Row],[index_date_livraison]]+1,7)*(Tab_Calculs[[#This Row],[fin mois]]-MIN(Tab_Calculs[[#This Row],[fin mois]],Tab_Calculs[[#This Row],[Date_livraison]]))</f>
        <v>#VALUE!</v>
      </c>
      <c r="R40" t="e">
        <f ca="1">Tab_Calculs[[#This Row],[Ratio_Cout_après_livr]]+Tab_Calculs[[#This Row],[Ratio_Cout_avant_livr]]+Tab_Calculs[[#This Row],[Ratio_Cout_avant_debut]]</f>
        <v>#VALUE!</v>
      </c>
      <c r="S40" t="str">
        <f ca="1">IFERROR(N40*VLOOKUP(Tab_Calculs[[#This Row],[Colonne1]],Controle_des_données!$B$7:$G$14,6,FALSE),"")</f>
        <v/>
      </c>
      <c r="T40" t="str">
        <f ca="1">IF(Tab_Calculs[[#This Row],[Combustible ]]="Electricité (kWh)",Tab_Calculs[[#This Row],[Conso_mois_kWh]]*2.3,Tab_Calculs[[#This Row],[Conso_mois_kWh]])</f>
        <v/>
      </c>
      <c r="U40" t="str">
        <f ca="1">IFERROR(N40*VLOOKUP(Tab_Calculs[[#This Row],[Colonne1]],Controle_des_données!$B$7:$H$14,7,FALSE),"")</f>
        <v/>
      </c>
      <c r="V40">
        <f ca="1">IFERROR(Tab_Calculs[[#This Row],[Cout_mois]]/Tab_Calculs[[#This Row],[Conso_mois_kWh]],0)</f>
        <v>0</v>
      </c>
      <c r="W40" t="str">
        <f>T(VLOOKUP(Tab_Calculs[[#This Row],[Compteur]],Site!$B$33:$G$40,3,FALSE))</f>
        <v/>
      </c>
      <c r="X40" t="str">
        <f>T(VLOOKUP(Tab_Calculs[[#This Row],[Compteur]],Site!$B$33:$G$40,4,FALSE))</f>
        <v/>
      </c>
      <c r="Y40" t="str">
        <f>T(VLOOKUP(Tab_Calculs[[#This Row],[Compteur]],Site!$B$33:$G$40,5,FALSE))</f>
        <v/>
      </c>
      <c r="Z40" t="str">
        <f>T(VLOOKUP(Tab_Calculs[[#This Row],[Compteur]],Site!$B$33:$G$40,6,FALSE))</f>
        <v/>
      </c>
      <c r="AA40">
        <f>IFERROR(GETPIVOTDATA("DJU(chauffagiste)",BDD_DJU!$P$13,"annee",Tab_Calculs[[#This Row],[ANNEE]],"mois_numero",Tab_Calculs[[#This Row],[MOIS]]),0)</f>
        <v>28.8</v>
      </c>
    </row>
    <row r="41" spans="1:47" x14ac:dyDescent="0.25">
      <c r="A41" s="3">
        <f>DATE(Tab_Calculs[[#This Row],[ANNEE]],Tab_Calculs[[#This Row],[MOIS]],1)</f>
        <v>41153</v>
      </c>
      <c r="B41" s="3">
        <f>EDATE(Tab_Calculs[[#This Row],[Début mois]],1)-1</f>
        <v>41182</v>
      </c>
      <c r="C41">
        <v>9</v>
      </c>
      <c r="D41">
        <v>2012</v>
      </c>
      <c r="E41" t="s">
        <v>80</v>
      </c>
      <c r="F41" t="str">
        <f>SUBSTITUTE(Tab_Calculs[[#This Row],[Compteur]]," ","_")</f>
        <v>Compteur_1</v>
      </c>
      <c r="G41" t="str">
        <f>T(INDEX(Site!$B$33:$G$40, MATCH(Tab_Calculs[[#This Row],[Compteur]], Site!$B$33:$B$40,0),2))</f>
        <v/>
      </c>
      <c r="H41" s="3">
        <f t="array" aca="1" ref="H41" ca="1">MIN(IF(INDIRECT(CONCATENATE(Tab_Calculs[[#This Row],[Colonne1]],"!$B$2:$B$243"))&gt;=Calculs_Consos!$A41,INDIRECT(CONCATENATE(Tab_Calculs[[#This Row],[Colonne1]],"!$B$2:$B$243"))))</f>
        <v>0</v>
      </c>
      <c r="I41" s="3">
        <f ca="1">INDEX(INDIRECT(CONCATENATE("Tab_",Tab_Calculs[[#This Row],[Colonne1]])),Tab_Calculs[[#This Row],[index_date_livraison]],1)</f>
        <v>0</v>
      </c>
      <c r="J41">
        <f ca="1">MATCH(Tab_Calculs[[#This Row],[Date_livraison]],INDIRECT(CONCATENATE("Tab_",Tab_Calculs[[#This Row],[Colonne1]],"[Fin de période]")),0)</f>
        <v>1</v>
      </c>
      <c r="K41" t="e">
        <f ca="1">INDEX(INDIRECT(CONCATENATE("Tab_",Tab_Calculs[[#This Row],[Colonne1]])),Tab_Calculs[[#This Row],[index_date_livraison]]-1,6)*(MAX(Tab_Calculs[[#This Row],[Début periode livraison]],Tab_Calculs[[#This Row],[Début mois]])-Tab_Calculs[[#This Row],[Début mois]])</f>
        <v>#VALUE!</v>
      </c>
      <c r="L41" s="94">
        <f ca="1">INDEX(INDIRECT(CONCATENATE("Tab_",Tab_Calculs[[#This Row],[Colonne1]])),Tab_Calculs[[#This Row],[index_date_livraison]],6)*(1+MIN(Tab_Calculs[[#This Row],[Date_livraison]],Tab_Calculs[[#This Row],[fin mois]])-MAX(Tab_Calculs[[#This Row],[Début mois]],Tab_Calculs[[#This Row],[Début periode livraison]]))</f>
        <v>0</v>
      </c>
      <c r="M41" s="94" t="e">
        <f ca="1">INDEX(INDIRECT(CONCATENATE("Tab_",Tab_Calculs[[#This Row],[Colonne1]])),Tab_Calculs[[#This Row],[index_date_livraison]]+1,6)*(Tab_Calculs[[#This Row],[fin mois]]-MIN(Tab_Calculs[[#This Row],[fin mois]],Tab_Calculs[[#This Row],[Date_livraison]]))</f>
        <v>#VALUE!</v>
      </c>
      <c r="N41" s="231" t="str">
        <f ca="1">IFERROR(Tab_Calculs[[#This Row],[Ratio_jour_après_livr]]+Tab_Calculs[[#This Row],[Ratio_jour_avant_livr]]+Tab_Calculs[[#This Row],[ratio_avant_debut]],"")</f>
        <v/>
      </c>
      <c r="O41" t="e">
        <f ca="1">INDEX(INDIRECT(CONCATENATE("Tab_",Tab_Calculs[[#This Row],[Colonne1]])),Tab_Calculs[[#This Row],[index_date_livraison]]-1,7)*(MAX(Tab_Calculs[[#This Row],[Début periode livraison]],Tab_Calculs[[#This Row],[Début mois]])-Tab_Calculs[[#This Row],[Début mois]])</f>
        <v>#VALUE!</v>
      </c>
      <c r="P41">
        <f ca="1">INDEX(INDIRECT(CONCATENATE("Tab_",Tab_Calculs[[#This Row],[Colonne1]])),Tab_Calculs[[#This Row],[index_date_livraison]],7)*(1+MIN(Tab_Calculs[[#This Row],[Date_livraison]],Tab_Calculs[[#This Row],[fin mois]])-MAX(Tab_Calculs[[#This Row],[Début mois]],Tab_Calculs[[#This Row],[Début periode livraison]]))</f>
        <v>0</v>
      </c>
      <c r="Q41" t="e">
        <f ca="1">INDEX(INDIRECT(CONCATENATE("Tab_",Tab_Calculs[[#This Row],[Colonne1]])),Tab_Calculs[[#This Row],[index_date_livraison]]+1,7)*(Tab_Calculs[[#This Row],[fin mois]]-MIN(Tab_Calculs[[#This Row],[fin mois]],Tab_Calculs[[#This Row],[Date_livraison]]))</f>
        <v>#VALUE!</v>
      </c>
      <c r="R41" t="e">
        <f ca="1">Tab_Calculs[[#This Row],[Ratio_Cout_après_livr]]+Tab_Calculs[[#This Row],[Ratio_Cout_avant_livr]]+Tab_Calculs[[#This Row],[Ratio_Cout_avant_debut]]</f>
        <v>#VALUE!</v>
      </c>
      <c r="S41" t="str">
        <f ca="1">IFERROR(N41*VLOOKUP(Tab_Calculs[[#This Row],[Colonne1]],Controle_des_données!$B$7:$G$14,6,FALSE),"")</f>
        <v/>
      </c>
      <c r="T41" t="str">
        <f ca="1">IF(Tab_Calculs[[#This Row],[Combustible ]]="Electricité (kWh)",Tab_Calculs[[#This Row],[Conso_mois_kWh]]*2.3,Tab_Calculs[[#This Row],[Conso_mois_kWh]])</f>
        <v/>
      </c>
      <c r="U41" t="str">
        <f ca="1">IFERROR(N41*VLOOKUP(Tab_Calculs[[#This Row],[Colonne1]],Controle_des_données!$B$7:$H$14,7,FALSE),"")</f>
        <v/>
      </c>
      <c r="V41">
        <f ca="1">IFERROR(Tab_Calculs[[#This Row],[Cout_mois]]/Tab_Calculs[[#This Row],[Conso_mois_kWh]],0)</f>
        <v>0</v>
      </c>
      <c r="W41" t="str">
        <f>T(VLOOKUP(Tab_Calculs[[#This Row],[Compteur]],Site!$B$33:$G$40,3,FALSE))</f>
        <v/>
      </c>
      <c r="X41" t="str">
        <f>T(VLOOKUP(Tab_Calculs[[#This Row],[Compteur]],Site!$B$33:$G$40,4,FALSE))</f>
        <v/>
      </c>
      <c r="Y41" t="str">
        <f>T(VLOOKUP(Tab_Calculs[[#This Row],[Compteur]],Site!$B$33:$G$40,5,FALSE))</f>
        <v/>
      </c>
      <c r="Z41" t="str">
        <f>T(VLOOKUP(Tab_Calculs[[#This Row],[Compteur]],Site!$B$33:$G$40,6,FALSE))</f>
        <v/>
      </c>
      <c r="AA41">
        <f>IFERROR(GETPIVOTDATA("DJU(chauffagiste)",BDD_DJU!$P$13,"annee",Tab_Calculs[[#This Row],[ANNEE]],"mois_numero",Tab_Calculs[[#This Row],[MOIS]]),0)</f>
        <v>108.1</v>
      </c>
      <c r="AD41" t="s">
        <v>221</v>
      </c>
    </row>
    <row r="42" spans="1:47" x14ac:dyDescent="0.25">
      <c r="A42" s="3">
        <f>DATE(Tab_Calculs[[#This Row],[ANNEE]],Tab_Calculs[[#This Row],[MOIS]],1)</f>
        <v>41183</v>
      </c>
      <c r="B42" s="3">
        <f>EDATE(Tab_Calculs[[#This Row],[Début mois]],1)-1</f>
        <v>41213</v>
      </c>
      <c r="C42">
        <v>10</v>
      </c>
      <c r="D42">
        <v>2012</v>
      </c>
      <c r="E42" t="s">
        <v>80</v>
      </c>
      <c r="F42" t="str">
        <f>SUBSTITUTE(Tab_Calculs[[#This Row],[Compteur]]," ","_")</f>
        <v>Compteur_1</v>
      </c>
      <c r="G42" t="str">
        <f>T(INDEX(Site!$B$33:$G$40, MATCH(Tab_Calculs[[#This Row],[Compteur]], Site!$B$33:$B$40,0),2))</f>
        <v/>
      </c>
      <c r="H42" s="3">
        <f t="array" aca="1" ref="H42" ca="1">MIN(IF(INDIRECT(CONCATENATE(Tab_Calculs[[#This Row],[Colonne1]],"!$B$2:$B$243"))&gt;=Calculs_Consos!$A42,INDIRECT(CONCATENATE(Tab_Calculs[[#This Row],[Colonne1]],"!$B$2:$B$243"))))</f>
        <v>0</v>
      </c>
      <c r="I42" s="3">
        <f ca="1">INDEX(INDIRECT(CONCATENATE("Tab_",Tab_Calculs[[#This Row],[Colonne1]])),Tab_Calculs[[#This Row],[index_date_livraison]],1)</f>
        <v>0</v>
      </c>
      <c r="J42">
        <f ca="1">MATCH(Tab_Calculs[[#This Row],[Date_livraison]],INDIRECT(CONCATENATE("Tab_",Tab_Calculs[[#This Row],[Colonne1]],"[Fin de période]")),0)</f>
        <v>1</v>
      </c>
      <c r="K42" t="e">
        <f ca="1">INDEX(INDIRECT(CONCATENATE("Tab_",Tab_Calculs[[#This Row],[Colonne1]])),Tab_Calculs[[#This Row],[index_date_livraison]]-1,6)*(MAX(Tab_Calculs[[#This Row],[Début periode livraison]],Tab_Calculs[[#This Row],[Début mois]])-Tab_Calculs[[#This Row],[Début mois]])</f>
        <v>#VALUE!</v>
      </c>
      <c r="L42" s="94">
        <f ca="1">INDEX(INDIRECT(CONCATENATE("Tab_",Tab_Calculs[[#This Row],[Colonne1]])),Tab_Calculs[[#This Row],[index_date_livraison]],6)*(1+MIN(Tab_Calculs[[#This Row],[Date_livraison]],Tab_Calculs[[#This Row],[fin mois]])-MAX(Tab_Calculs[[#This Row],[Début mois]],Tab_Calculs[[#This Row],[Début periode livraison]]))</f>
        <v>0</v>
      </c>
      <c r="M42" s="94" t="e">
        <f ca="1">INDEX(INDIRECT(CONCATENATE("Tab_",Tab_Calculs[[#This Row],[Colonne1]])),Tab_Calculs[[#This Row],[index_date_livraison]]+1,6)*(Tab_Calculs[[#This Row],[fin mois]]-MIN(Tab_Calculs[[#This Row],[fin mois]],Tab_Calculs[[#This Row],[Date_livraison]]))</f>
        <v>#VALUE!</v>
      </c>
      <c r="N42" s="231" t="str">
        <f ca="1">IFERROR(Tab_Calculs[[#This Row],[Ratio_jour_après_livr]]+Tab_Calculs[[#This Row],[Ratio_jour_avant_livr]]+Tab_Calculs[[#This Row],[ratio_avant_debut]],"")</f>
        <v/>
      </c>
      <c r="O42" t="e">
        <f ca="1">INDEX(INDIRECT(CONCATENATE("Tab_",Tab_Calculs[[#This Row],[Colonne1]])),Tab_Calculs[[#This Row],[index_date_livraison]]-1,7)*(MAX(Tab_Calculs[[#This Row],[Début periode livraison]],Tab_Calculs[[#This Row],[Début mois]])-Tab_Calculs[[#This Row],[Début mois]])</f>
        <v>#VALUE!</v>
      </c>
      <c r="P42">
        <f ca="1">INDEX(INDIRECT(CONCATENATE("Tab_",Tab_Calculs[[#This Row],[Colonne1]])),Tab_Calculs[[#This Row],[index_date_livraison]],7)*(1+MIN(Tab_Calculs[[#This Row],[Date_livraison]],Tab_Calculs[[#This Row],[fin mois]])-MAX(Tab_Calculs[[#This Row],[Début mois]],Tab_Calculs[[#This Row],[Début periode livraison]]))</f>
        <v>0</v>
      </c>
      <c r="Q42" t="e">
        <f ca="1">INDEX(INDIRECT(CONCATENATE("Tab_",Tab_Calculs[[#This Row],[Colonne1]])),Tab_Calculs[[#This Row],[index_date_livraison]]+1,7)*(Tab_Calculs[[#This Row],[fin mois]]-MIN(Tab_Calculs[[#This Row],[fin mois]],Tab_Calculs[[#This Row],[Date_livraison]]))</f>
        <v>#VALUE!</v>
      </c>
      <c r="R42" t="e">
        <f ca="1">Tab_Calculs[[#This Row],[Ratio_Cout_après_livr]]+Tab_Calculs[[#This Row],[Ratio_Cout_avant_livr]]+Tab_Calculs[[#This Row],[Ratio_Cout_avant_debut]]</f>
        <v>#VALUE!</v>
      </c>
      <c r="S42" t="str">
        <f ca="1">IFERROR(N42*VLOOKUP(Tab_Calculs[[#This Row],[Colonne1]],Controle_des_données!$B$7:$G$14,6,FALSE),"")</f>
        <v/>
      </c>
      <c r="T42" t="str">
        <f ca="1">IF(Tab_Calculs[[#This Row],[Combustible ]]="Electricité (kWh)",Tab_Calculs[[#This Row],[Conso_mois_kWh]]*2.3,Tab_Calculs[[#This Row],[Conso_mois_kWh]])</f>
        <v/>
      </c>
      <c r="U42" t="str">
        <f ca="1">IFERROR(N42*VLOOKUP(Tab_Calculs[[#This Row],[Colonne1]],Controle_des_données!$B$7:$H$14,7,FALSE),"")</f>
        <v/>
      </c>
      <c r="V42">
        <f ca="1">IFERROR(Tab_Calculs[[#This Row],[Cout_mois]]/Tab_Calculs[[#This Row],[Conso_mois_kWh]],0)</f>
        <v>0</v>
      </c>
      <c r="W42" t="str">
        <f>T(VLOOKUP(Tab_Calculs[[#This Row],[Compteur]],Site!$B$33:$G$40,3,FALSE))</f>
        <v/>
      </c>
      <c r="X42" t="str">
        <f>T(VLOOKUP(Tab_Calculs[[#This Row],[Compteur]],Site!$B$33:$G$40,4,FALSE))</f>
        <v/>
      </c>
      <c r="Y42" t="str">
        <f>T(VLOOKUP(Tab_Calculs[[#This Row],[Compteur]],Site!$B$33:$G$40,5,FALSE))</f>
        <v/>
      </c>
      <c r="Z42" t="str">
        <f>T(VLOOKUP(Tab_Calculs[[#This Row],[Compteur]],Site!$B$33:$G$40,6,FALSE))</f>
        <v/>
      </c>
      <c r="AA42">
        <f>IFERROR(GETPIVOTDATA("DJU(chauffagiste)",BDD_DJU!$P$13,"annee",Tab_Calculs[[#This Row],[ANNEE]],"mois_numero",Tab_Calculs[[#This Row],[MOIS]]),0)</f>
        <v>161.69999999999999</v>
      </c>
    </row>
    <row r="43" spans="1:47" x14ac:dyDescent="0.25">
      <c r="A43" s="3">
        <f>DATE(Tab_Calculs[[#This Row],[ANNEE]],Tab_Calculs[[#This Row],[MOIS]],1)</f>
        <v>41214</v>
      </c>
      <c r="B43" s="3">
        <f>EDATE(Tab_Calculs[[#This Row],[Début mois]],1)-1</f>
        <v>41243</v>
      </c>
      <c r="C43">
        <v>11</v>
      </c>
      <c r="D43">
        <v>2012</v>
      </c>
      <c r="E43" t="s">
        <v>80</v>
      </c>
      <c r="F43" t="str">
        <f>SUBSTITUTE(Tab_Calculs[[#This Row],[Compteur]]," ","_")</f>
        <v>Compteur_1</v>
      </c>
      <c r="G43" t="str">
        <f>T(INDEX(Site!$B$33:$G$40, MATCH(Tab_Calculs[[#This Row],[Compteur]], Site!$B$33:$B$40,0),2))</f>
        <v/>
      </c>
      <c r="H43" s="3">
        <f t="array" aca="1" ref="H43" ca="1">MIN(IF(INDIRECT(CONCATENATE(Tab_Calculs[[#This Row],[Colonne1]],"!$B$2:$B$243"))&gt;=Calculs_Consos!$A43,INDIRECT(CONCATENATE(Tab_Calculs[[#This Row],[Colonne1]],"!$B$2:$B$243"))))</f>
        <v>0</v>
      </c>
      <c r="I43" s="3">
        <f ca="1">INDEX(INDIRECT(CONCATENATE("Tab_",Tab_Calculs[[#This Row],[Colonne1]])),Tab_Calculs[[#This Row],[index_date_livraison]],1)</f>
        <v>0</v>
      </c>
      <c r="J43">
        <f ca="1">MATCH(Tab_Calculs[[#This Row],[Date_livraison]],INDIRECT(CONCATENATE("Tab_",Tab_Calculs[[#This Row],[Colonne1]],"[Fin de période]")),0)</f>
        <v>1</v>
      </c>
      <c r="K43" t="e">
        <f ca="1">INDEX(INDIRECT(CONCATENATE("Tab_",Tab_Calculs[[#This Row],[Colonne1]])),Tab_Calculs[[#This Row],[index_date_livraison]]-1,6)*(MAX(Tab_Calculs[[#This Row],[Début periode livraison]],Tab_Calculs[[#This Row],[Début mois]])-Tab_Calculs[[#This Row],[Début mois]])</f>
        <v>#VALUE!</v>
      </c>
      <c r="L43" s="94">
        <f ca="1">INDEX(INDIRECT(CONCATENATE("Tab_",Tab_Calculs[[#This Row],[Colonne1]])),Tab_Calculs[[#This Row],[index_date_livraison]],6)*(1+MIN(Tab_Calculs[[#This Row],[Date_livraison]],Tab_Calculs[[#This Row],[fin mois]])-MAX(Tab_Calculs[[#This Row],[Début mois]],Tab_Calculs[[#This Row],[Début periode livraison]]))</f>
        <v>0</v>
      </c>
      <c r="M43" s="94" t="e">
        <f ca="1">INDEX(INDIRECT(CONCATENATE("Tab_",Tab_Calculs[[#This Row],[Colonne1]])),Tab_Calculs[[#This Row],[index_date_livraison]]+1,6)*(Tab_Calculs[[#This Row],[fin mois]]-MIN(Tab_Calculs[[#This Row],[fin mois]],Tab_Calculs[[#This Row],[Date_livraison]]))</f>
        <v>#VALUE!</v>
      </c>
      <c r="N43" s="231" t="str">
        <f ca="1">IFERROR(Tab_Calculs[[#This Row],[Ratio_jour_après_livr]]+Tab_Calculs[[#This Row],[Ratio_jour_avant_livr]]+Tab_Calculs[[#This Row],[ratio_avant_debut]],"")</f>
        <v/>
      </c>
      <c r="O43" t="e">
        <f ca="1">INDEX(INDIRECT(CONCATENATE("Tab_",Tab_Calculs[[#This Row],[Colonne1]])),Tab_Calculs[[#This Row],[index_date_livraison]]-1,7)*(MAX(Tab_Calculs[[#This Row],[Début periode livraison]],Tab_Calculs[[#This Row],[Début mois]])-Tab_Calculs[[#This Row],[Début mois]])</f>
        <v>#VALUE!</v>
      </c>
      <c r="P43">
        <f ca="1">INDEX(INDIRECT(CONCATENATE("Tab_",Tab_Calculs[[#This Row],[Colonne1]])),Tab_Calculs[[#This Row],[index_date_livraison]],7)*(1+MIN(Tab_Calculs[[#This Row],[Date_livraison]],Tab_Calculs[[#This Row],[fin mois]])-MAX(Tab_Calculs[[#This Row],[Début mois]],Tab_Calculs[[#This Row],[Début periode livraison]]))</f>
        <v>0</v>
      </c>
      <c r="Q43" t="e">
        <f ca="1">INDEX(INDIRECT(CONCATENATE("Tab_",Tab_Calculs[[#This Row],[Colonne1]])),Tab_Calculs[[#This Row],[index_date_livraison]]+1,7)*(Tab_Calculs[[#This Row],[fin mois]]-MIN(Tab_Calculs[[#This Row],[fin mois]],Tab_Calculs[[#This Row],[Date_livraison]]))</f>
        <v>#VALUE!</v>
      </c>
      <c r="R43" t="e">
        <f ca="1">Tab_Calculs[[#This Row],[Ratio_Cout_après_livr]]+Tab_Calculs[[#This Row],[Ratio_Cout_avant_livr]]+Tab_Calculs[[#This Row],[Ratio_Cout_avant_debut]]</f>
        <v>#VALUE!</v>
      </c>
      <c r="S43" t="str">
        <f ca="1">IFERROR(N43*VLOOKUP(Tab_Calculs[[#This Row],[Colonne1]],Controle_des_données!$B$7:$G$14,6,FALSE),"")</f>
        <v/>
      </c>
      <c r="T43" t="str">
        <f ca="1">IF(Tab_Calculs[[#This Row],[Combustible ]]="Electricité (kWh)",Tab_Calculs[[#This Row],[Conso_mois_kWh]]*2.3,Tab_Calculs[[#This Row],[Conso_mois_kWh]])</f>
        <v/>
      </c>
      <c r="U43" t="str">
        <f ca="1">IFERROR(N43*VLOOKUP(Tab_Calculs[[#This Row],[Colonne1]],Controle_des_données!$B$7:$H$14,7,FALSE),"")</f>
        <v/>
      </c>
      <c r="V43">
        <f ca="1">IFERROR(Tab_Calculs[[#This Row],[Cout_mois]]/Tab_Calculs[[#This Row],[Conso_mois_kWh]],0)</f>
        <v>0</v>
      </c>
      <c r="W43" t="str">
        <f>T(VLOOKUP(Tab_Calculs[[#This Row],[Compteur]],Site!$B$33:$G$40,3,FALSE))</f>
        <v/>
      </c>
      <c r="X43" t="str">
        <f>T(VLOOKUP(Tab_Calculs[[#This Row],[Compteur]],Site!$B$33:$G$40,4,FALSE))</f>
        <v/>
      </c>
      <c r="Y43" t="str">
        <f>T(VLOOKUP(Tab_Calculs[[#This Row],[Compteur]],Site!$B$33:$G$40,5,FALSE))</f>
        <v/>
      </c>
      <c r="Z43" t="str">
        <f>T(VLOOKUP(Tab_Calculs[[#This Row],[Compteur]],Site!$B$33:$G$40,6,FALSE))</f>
        <v/>
      </c>
      <c r="AA43">
        <f>IFERROR(GETPIVOTDATA("DJU(chauffagiste)",BDD_DJU!$P$13,"annee",Tab_Calculs[[#This Row],[ANNEE]],"mois_numero",Tab_Calculs[[#This Row],[MOIS]]),0)</f>
        <v>300.39999999999998</v>
      </c>
    </row>
    <row r="44" spans="1:47" x14ac:dyDescent="0.25">
      <c r="A44" s="3">
        <f>DATE(Tab_Calculs[[#This Row],[ANNEE]],Tab_Calculs[[#This Row],[MOIS]],1)</f>
        <v>41244</v>
      </c>
      <c r="B44" s="3">
        <f>EDATE(Tab_Calculs[[#This Row],[Début mois]],1)-1</f>
        <v>41274</v>
      </c>
      <c r="C44">
        <v>12</v>
      </c>
      <c r="D44">
        <v>2012</v>
      </c>
      <c r="E44" t="s">
        <v>80</v>
      </c>
      <c r="F44" t="str">
        <f>SUBSTITUTE(Tab_Calculs[[#This Row],[Compteur]]," ","_")</f>
        <v>Compteur_1</v>
      </c>
      <c r="G44" t="str">
        <f>T(INDEX(Site!$B$33:$G$40, MATCH(Tab_Calculs[[#This Row],[Compteur]], Site!$B$33:$B$40,0),2))</f>
        <v/>
      </c>
      <c r="H44" s="3">
        <f t="array" aca="1" ref="H44" ca="1">MIN(IF(INDIRECT(CONCATENATE(Tab_Calculs[[#This Row],[Colonne1]],"!$B$2:$B$243"))&gt;=Calculs_Consos!$A44,INDIRECT(CONCATENATE(Tab_Calculs[[#This Row],[Colonne1]],"!$B$2:$B$243"))))</f>
        <v>0</v>
      </c>
      <c r="I44" s="3">
        <f ca="1">INDEX(INDIRECT(CONCATENATE("Tab_",Tab_Calculs[[#This Row],[Colonne1]])),Tab_Calculs[[#This Row],[index_date_livraison]],1)</f>
        <v>0</v>
      </c>
      <c r="J44">
        <f ca="1">MATCH(Tab_Calculs[[#This Row],[Date_livraison]],INDIRECT(CONCATENATE("Tab_",Tab_Calculs[[#This Row],[Colonne1]],"[Fin de période]")),0)</f>
        <v>1</v>
      </c>
      <c r="K44" t="e">
        <f ca="1">INDEX(INDIRECT(CONCATENATE("Tab_",Tab_Calculs[[#This Row],[Colonne1]])),Tab_Calculs[[#This Row],[index_date_livraison]]-1,6)*(MAX(Tab_Calculs[[#This Row],[Début periode livraison]],Tab_Calculs[[#This Row],[Début mois]])-Tab_Calculs[[#This Row],[Début mois]])</f>
        <v>#VALUE!</v>
      </c>
      <c r="L44" s="94">
        <f ca="1">INDEX(INDIRECT(CONCATENATE("Tab_",Tab_Calculs[[#This Row],[Colonne1]])),Tab_Calculs[[#This Row],[index_date_livraison]],6)*(1+MIN(Tab_Calculs[[#This Row],[Date_livraison]],Tab_Calculs[[#This Row],[fin mois]])-MAX(Tab_Calculs[[#This Row],[Début mois]],Tab_Calculs[[#This Row],[Début periode livraison]]))</f>
        <v>0</v>
      </c>
      <c r="M44" s="94" t="e">
        <f ca="1">INDEX(INDIRECT(CONCATENATE("Tab_",Tab_Calculs[[#This Row],[Colonne1]])),Tab_Calculs[[#This Row],[index_date_livraison]]+1,6)*(Tab_Calculs[[#This Row],[fin mois]]-MIN(Tab_Calculs[[#This Row],[fin mois]],Tab_Calculs[[#This Row],[Date_livraison]]))</f>
        <v>#VALUE!</v>
      </c>
      <c r="N44" s="231" t="str">
        <f ca="1">IFERROR(Tab_Calculs[[#This Row],[Ratio_jour_après_livr]]+Tab_Calculs[[#This Row],[Ratio_jour_avant_livr]]+Tab_Calculs[[#This Row],[ratio_avant_debut]],"")</f>
        <v/>
      </c>
      <c r="O44" t="e">
        <f ca="1">INDEX(INDIRECT(CONCATENATE("Tab_",Tab_Calculs[[#This Row],[Colonne1]])),Tab_Calculs[[#This Row],[index_date_livraison]]-1,7)*(MAX(Tab_Calculs[[#This Row],[Début periode livraison]],Tab_Calculs[[#This Row],[Début mois]])-Tab_Calculs[[#This Row],[Début mois]])</f>
        <v>#VALUE!</v>
      </c>
      <c r="P44">
        <f ca="1">INDEX(INDIRECT(CONCATENATE("Tab_",Tab_Calculs[[#This Row],[Colonne1]])),Tab_Calculs[[#This Row],[index_date_livraison]],7)*(1+MIN(Tab_Calculs[[#This Row],[Date_livraison]],Tab_Calculs[[#This Row],[fin mois]])-MAX(Tab_Calculs[[#This Row],[Début mois]],Tab_Calculs[[#This Row],[Début periode livraison]]))</f>
        <v>0</v>
      </c>
      <c r="Q44" t="e">
        <f ca="1">INDEX(INDIRECT(CONCATENATE("Tab_",Tab_Calculs[[#This Row],[Colonne1]])),Tab_Calculs[[#This Row],[index_date_livraison]]+1,7)*(Tab_Calculs[[#This Row],[fin mois]]-MIN(Tab_Calculs[[#This Row],[fin mois]],Tab_Calculs[[#This Row],[Date_livraison]]))</f>
        <v>#VALUE!</v>
      </c>
      <c r="R44" t="e">
        <f ca="1">Tab_Calculs[[#This Row],[Ratio_Cout_après_livr]]+Tab_Calculs[[#This Row],[Ratio_Cout_avant_livr]]+Tab_Calculs[[#This Row],[Ratio_Cout_avant_debut]]</f>
        <v>#VALUE!</v>
      </c>
      <c r="S44" t="str">
        <f ca="1">IFERROR(N44*VLOOKUP(Tab_Calculs[[#This Row],[Colonne1]],Controle_des_données!$B$7:$G$14,6,FALSE),"")</f>
        <v/>
      </c>
      <c r="T44" t="str">
        <f ca="1">IF(Tab_Calculs[[#This Row],[Combustible ]]="Electricité (kWh)",Tab_Calculs[[#This Row],[Conso_mois_kWh]]*2.3,Tab_Calculs[[#This Row],[Conso_mois_kWh]])</f>
        <v/>
      </c>
      <c r="U44" t="str">
        <f ca="1">IFERROR(N44*VLOOKUP(Tab_Calculs[[#This Row],[Colonne1]],Controle_des_données!$B$7:$H$14,7,FALSE),"")</f>
        <v/>
      </c>
      <c r="V44">
        <f ca="1">IFERROR(Tab_Calculs[[#This Row],[Cout_mois]]/Tab_Calculs[[#This Row],[Conso_mois_kWh]],0)</f>
        <v>0</v>
      </c>
      <c r="W44" t="str">
        <f>T(VLOOKUP(Tab_Calculs[[#This Row],[Compteur]],Site!$B$33:$G$40,3,FALSE))</f>
        <v/>
      </c>
      <c r="X44" t="str">
        <f>T(VLOOKUP(Tab_Calculs[[#This Row],[Compteur]],Site!$B$33:$G$40,4,FALSE))</f>
        <v/>
      </c>
      <c r="Y44" t="str">
        <f>T(VLOOKUP(Tab_Calculs[[#This Row],[Compteur]],Site!$B$33:$G$40,5,FALSE))</f>
        <v/>
      </c>
      <c r="Z44" t="str">
        <f>T(VLOOKUP(Tab_Calculs[[#This Row],[Compteur]],Site!$B$33:$G$40,6,FALSE))</f>
        <v/>
      </c>
      <c r="AA44">
        <f>IFERROR(GETPIVOTDATA("DJU(chauffagiste)",BDD_DJU!$P$13,"annee",Tab_Calculs[[#This Row],[ANNEE]],"mois_numero",Tab_Calculs[[#This Row],[MOIS]]),0)</f>
        <v>333.7</v>
      </c>
    </row>
    <row r="45" spans="1:47" x14ac:dyDescent="0.25">
      <c r="A45" s="3">
        <f>DATE(Tab_Calculs[[#This Row],[ANNEE]],Tab_Calculs[[#This Row],[MOIS]],1)</f>
        <v>41275</v>
      </c>
      <c r="B45" s="3">
        <f>EDATE(Tab_Calculs[[#This Row],[Début mois]],1)-1</f>
        <v>41305</v>
      </c>
      <c r="C45">
        <v>1</v>
      </c>
      <c r="D45">
        <v>2013</v>
      </c>
      <c r="E45" t="s">
        <v>80</v>
      </c>
      <c r="F45" t="str">
        <f>SUBSTITUTE(Tab_Calculs[[#This Row],[Compteur]]," ","_")</f>
        <v>Compteur_1</v>
      </c>
      <c r="G45" t="str">
        <f>T(INDEX(Site!$B$33:$G$40, MATCH(Tab_Calculs[[#This Row],[Compteur]], Site!$B$33:$B$40,0),2))</f>
        <v/>
      </c>
      <c r="H45" s="3">
        <f t="array" aca="1" ref="H45" ca="1">MIN(IF(INDIRECT(CONCATENATE(Tab_Calculs[[#This Row],[Colonne1]],"!$B$2:$B$243"))&gt;=Calculs_Consos!$A45,INDIRECT(CONCATENATE(Tab_Calculs[[#This Row],[Colonne1]],"!$B$2:$B$243"))))</f>
        <v>0</v>
      </c>
      <c r="I45" s="3">
        <f ca="1">INDEX(INDIRECT(CONCATENATE("Tab_",Tab_Calculs[[#This Row],[Colonne1]])),Tab_Calculs[[#This Row],[index_date_livraison]],1)</f>
        <v>0</v>
      </c>
      <c r="J45">
        <f ca="1">MATCH(Tab_Calculs[[#This Row],[Date_livraison]],INDIRECT(CONCATENATE("Tab_",Tab_Calculs[[#This Row],[Colonne1]],"[Fin de période]")),0)</f>
        <v>1</v>
      </c>
      <c r="K45" t="e">
        <f ca="1">INDEX(INDIRECT(CONCATENATE("Tab_",Tab_Calculs[[#This Row],[Colonne1]])),Tab_Calculs[[#This Row],[index_date_livraison]]-1,6)*(MAX(Tab_Calculs[[#This Row],[Début periode livraison]],Tab_Calculs[[#This Row],[Début mois]])-Tab_Calculs[[#This Row],[Début mois]])</f>
        <v>#VALUE!</v>
      </c>
      <c r="L45" s="94">
        <f ca="1">INDEX(INDIRECT(CONCATENATE("Tab_",Tab_Calculs[[#This Row],[Colonne1]])),Tab_Calculs[[#This Row],[index_date_livraison]],6)*(1+MIN(Tab_Calculs[[#This Row],[Date_livraison]],Tab_Calculs[[#This Row],[fin mois]])-MAX(Tab_Calculs[[#This Row],[Début mois]],Tab_Calculs[[#This Row],[Début periode livraison]]))</f>
        <v>0</v>
      </c>
      <c r="M45" s="94" t="e">
        <f ca="1">INDEX(INDIRECT(CONCATENATE("Tab_",Tab_Calculs[[#This Row],[Colonne1]])),Tab_Calculs[[#This Row],[index_date_livraison]]+1,6)*(Tab_Calculs[[#This Row],[fin mois]]-MIN(Tab_Calculs[[#This Row],[fin mois]],Tab_Calculs[[#This Row],[Date_livraison]]))</f>
        <v>#VALUE!</v>
      </c>
      <c r="N45" s="231" t="str">
        <f ca="1">IFERROR(Tab_Calculs[[#This Row],[Ratio_jour_après_livr]]+Tab_Calculs[[#This Row],[Ratio_jour_avant_livr]]+Tab_Calculs[[#This Row],[ratio_avant_debut]],"")</f>
        <v/>
      </c>
      <c r="O45" t="e">
        <f ca="1">INDEX(INDIRECT(CONCATENATE("Tab_",Tab_Calculs[[#This Row],[Colonne1]])),Tab_Calculs[[#This Row],[index_date_livraison]]-1,7)*(MAX(Tab_Calculs[[#This Row],[Début periode livraison]],Tab_Calculs[[#This Row],[Début mois]])-Tab_Calculs[[#This Row],[Début mois]])</f>
        <v>#VALUE!</v>
      </c>
      <c r="P45">
        <f ca="1">INDEX(INDIRECT(CONCATENATE("Tab_",Tab_Calculs[[#This Row],[Colonne1]])),Tab_Calculs[[#This Row],[index_date_livraison]],7)*(1+MIN(Tab_Calculs[[#This Row],[Date_livraison]],Tab_Calculs[[#This Row],[fin mois]])-MAX(Tab_Calculs[[#This Row],[Début mois]],Tab_Calculs[[#This Row],[Début periode livraison]]))</f>
        <v>0</v>
      </c>
      <c r="Q45" t="e">
        <f ca="1">INDEX(INDIRECT(CONCATENATE("Tab_",Tab_Calculs[[#This Row],[Colonne1]])),Tab_Calculs[[#This Row],[index_date_livraison]]+1,7)*(Tab_Calculs[[#This Row],[fin mois]]-MIN(Tab_Calculs[[#This Row],[fin mois]],Tab_Calculs[[#This Row],[Date_livraison]]))</f>
        <v>#VALUE!</v>
      </c>
      <c r="R45" t="e">
        <f ca="1">Tab_Calculs[[#This Row],[Ratio_Cout_après_livr]]+Tab_Calculs[[#This Row],[Ratio_Cout_avant_livr]]+Tab_Calculs[[#This Row],[Ratio_Cout_avant_debut]]</f>
        <v>#VALUE!</v>
      </c>
      <c r="S45" t="str">
        <f ca="1">IFERROR(N45*VLOOKUP(Tab_Calculs[[#This Row],[Colonne1]],Controle_des_données!$B$7:$G$14,6,FALSE),"")</f>
        <v/>
      </c>
      <c r="T45" t="str">
        <f ca="1">IF(Tab_Calculs[[#This Row],[Combustible ]]="Electricité (kWh)",Tab_Calculs[[#This Row],[Conso_mois_kWh]]*2.3,Tab_Calculs[[#This Row],[Conso_mois_kWh]])</f>
        <v/>
      </c>
      <c r="U45" t="str">
        <f ca="1">IFERROR(N45*VLOOKUP(Tab_Calculs[[#This Row],[Colonne1]],Controle_des_données!$B$7:$H$14,7,FALSE),"")</f>
        <v/>
      </c>
      <c r="V45">
        <f ca="1">IFERROR(Tab_Calculs[[#This Row],[Cout_mois]]/Tab_Calculs[[#This Row],[Conso_mois_kWh]],0)</f>
        <v>0</v>
      </c>
      <c r="W45" t="str">
        <f>T(VLOOKUP(Tab_Calculs[[#This Row],[Compteur]],Site!$B$33:$G$40,3,FALSE))</f>
        <v/>
      </c>
      <c r="X45" t="str">
        <f>T(VLOOKUP(Tab_Calculs[[#This Row],[Compteur]],Site!$B$33:$G$40,4,FALSE))</f>
        <v/>
      </c>
      <c r="Y45" t="str">
        <f>T(VLOOKUP(Tab_Calculs[[#This Row],[Compteur]],Site!$B$33:$G$40,5,FALSE))</f>
        <v/>
      </c>
      <c r="Z45" t="str">
        <f>T(VLOOKUP(Tab_Calculs[[#This Row],[Compteur]],Site!$B$33:$G$40,6,FALSE))</f>
        <v/>
      </c>
      <c r="AA45">
        <f>IFERROR(GETPIVOTDATA("DJU(chauffagiste)",BDD_DJU!$P$13,"annee",Tab_Calculs[[#This Row],[ANNEE]],"mois_numero",Tab_Calculs[[#This Row],[MOIS]]),0)</f>
        <v>409.5</v>
      </c>
      <c r="AD45" s="232" t="s">
        <v>347</v>
      </c>
      <c r="AE45" s="232" t="s">
        <v>165</v>
      </c>
    </row>
    <row r="46" spans="1:47" x14ac:dyDescent="0.25">
      <c r="A46" s="3">
        <f>DATE(Tab_Calculs[[#This Row],[ANNEE]],Tab_Calculs[[#This Row],[MOIS]],1)</f>
        <v>41306</v>
      </c>
      <c r="B46" s="3">
        <f>EDATE(Tab_Calculs[[#This Row],[Début mois]],1)-1</f>
        <v>41333</v>
      </c>
      <c r="C46">
        <v>2</v>
      </c>
      <c r="D46">
        <v>2013</v>
      </c>
      <c r="E46" t="s">
        <v>80</v>
      </c>
      <c r="F46" t="str">
        <f>SUBSTITUTE(Tab_Calculs[[#This Row],[Compteur]]," ","_")</f>
        <v>Compteur_1</v>
      </c>
      <c r="G46" t="str">
        <f>T(INDEX(Site!$B$33:$G$40, MATCH(Tab_Calculs[[#This Row],[Compteur]], Site!$B$33:$B$40,0),2))</f>
        <v/>
      </c>
      <c r="H46" s="3">
        <f t="array" aca="1" ref="H46" ca="1">MIN(IF(INDIRECT(CONCATENATE(Tab_Calculs[[#This Row],[Colonne1]],"!$B$2:$B$243"))&gt;=Calculs_Consos!$A46,INDIRECT(CONCATENATE(Tab_Calculs[[#This Row],[Colonne1]],"!$B$2:$B$243"))))</f>
        <v>0</v>
      </c>
      <c r="I46" s="3">
        <f ca="1">INDEX(INDIRECT(CONCATENATE("Tab_",Tab_Calculs[[#This Row],[Colonne1]])),Tab_Calculs[[#This Row],[index_date_livraison]],1)</f>
        <v>0</v>
      </c>
      <c r="J46">
        <f ca="1">MATCH(Tab_Calculs[[#This Row],[Date_livraison]],INDIRECT(CONCATENATE("Tab_",Tab_Calculs[[#This Row],[Colonne1]],"[Fin de période]")),0)</f>
        <v>1</v>
      </c>
      <c r="K46" t="e">
        <f ca="1">INDEX(INDIRECT(CONCATENATE("Tab_",Tab_Calculs[[#This Row],[Colonne1]])),Tab_Calculs[[#This Row],[index_date_livraison]]-1,6)*(MAX(Tab_Calculs[[#This Row],[Début periode livraison]],Tab_Calculs[[#This Row],[Début mois]])-Tab_Calculs[[#This Row],[Début mois]])</f>
        <v>#VALUE!</v>
      </c>
      <c r="L46" s="94">
        <f ca="1">INDEX(INDIRECT(CONCATENATE("Tab_",Tab_Calculs[[#This Row],[Colonne1]])),Tab_Calculs[[#This Row],[index_date_livraison]],6)*(1+MIN(Tab_Calculs[[#This Row],[Date_livraison]],Tab_Calculs[[#This Row],[fin mois]])-MAX(Tab_Calculs[[#This Row],[Début mois]],Tab_Calculs[[#This Row],[Début periode livraison]]))</f>
        <v>0</v>
      </c>
      <c r="M46" s="94" t="e">
        <f ca="1">INDEX(INDIRECT(CONCATENATE("Tab_",Tab_Calculs[[#This Row],[Colonne1]])),Tab_Calculs[[#This Row],[index_date_livraison]]+1,6)*(Tab_Calculs[[#This Row],[fin mois]]-MIN(Tab_Calculs[[#This Row],[fin mois]],Tab_Calculs[[#This Row],[Date_livraison]]))</f>
        <v>#VALUE!</v>
      </c>
      <c r="N46" s="231" t="str">
        <f ca="1">IFERROR(Tab_Calculs[[#This Row],[Ratio_jour_après_livr]]+Tab_Calculs[[#This Row],[Ratio_jour_avant_livr]]+Tab_Calculs[[#This Row],[ratio_avant_debut]],"")</f>
        <v/>
      </c>
      <c r="O46" t="e">
        <f ca="1">INDEX(INDIRECT(CONCATENATE("Tab_",Tab_Calculs[[#This Row],[Colonne1]])),Tab_Calculs[[#This Row],[index_date_livraison]]-1,7)*(MAX(Tab_Calculs[[#This Row],[Début periode livraison]],Tab_Calculs[[#This Row],[Début mois]])-Tab_Calculs[[#This Row],[Début mois]])</f>
        <v>#VALUE!</v>
      </c>
      <c r="P46">
        <f ca="1">INDEX(INDIRECT(CONCATENATE("Tab_",Tab_Calculs[[#This Row],[Colonne1]])),Tab_Calculs[[#This Row],[index_date_livraison]],7)*(1+MIN(Tab_Calculs[[#This Row],[Date_livraison]],Tab_Calculs[[#This Row],[fin mois]])-MAX(Tab_Calculs[[#This Row],[Début mois]],Tab_Calculs[[#This Row],[Début periode livraison]]))</f>
        <v>0</v>
      </c>
      <c r="Q46" t="e">
        <f ca="1">INDEX(INDIRECT(CONCATENATE("Tab_",Tab_Calculs[[#This Row],[Colonne1]])),Tab_Calculs[[#This Row],[index_date_livraison]]+1,7)*(Tab_Calculs[[#This Row],[fin mois]]-MIN(Tab_Calculs[[#This Row],[fin mois]],Tab_Calculs[[#This Row],[Date_livraison]]))</f>
        <v>#VALUE!</v>
      </c>
      <c r="R46" t="e">
        <f ca="1">Tab_Calculs[[#This Row],[Ratio_Cout_après_livr]]+Tab_Calculs[[#This Row],[Ratio_Cout_avant_livr]]+Tab_Calculs[[#This Row],[Ratio_Cout_avant_debut]]</f>
        <v>#VALUE!</v>
      </c>
      <c r="S46" t="str">
        <f ca="1">IFERROR(N46*VLOOKUP(Tab_Calculs[[#This Row],[Colonne1]],Controle_des_données!$B$7:$G$14,6,FALSE),"")</f>
        <v/>
      </c>
      <c r="T46" t="str">
        <f ca="1">IF(Tab_Calculs[[#This Row],[Combustible ]]="Electricité (kWh)",Tab_Calculs[[#This Row],[Conso_mois_kWh]]*2.3,Tab_Calculs[[#This Row],[Conso_mois_kWh]])</f>
        <v/>
      </c>
      <c r="U46" t="str">
        <f ca="1">IFERROR(N46*VLOOKUP(Tab_Calculs[[#This Row],[Colonne1]],Controle_des_données!$B$7:$H$14,7,FALSE),"")</f>
        <v/>
      </c>
      <c r="V46">
        <f ca="1">IFERROR(Tab_Calculs[[#This Row],[Cout_mois]]/Tab_Calculs[[#This Row],[Conso_mois_kWh]],0)</f>
        <v>0</v>
      </c>
      <c r="W46" t="str">
        <f>T(VLOOKUP(Tab_Calculs[[#This Row],[Compteur]],Site!$B$33:$G$40,3,FALSE))</f>
        <v/>
      </c>
      <c r="X46" t="str">
        <f>T(VLOOKUP(Tab_Calculs[[#This Row],[Compteur]],Site!$B$33:$G$40,4,FALSE))</f>
        <v/>
      </c>
      <c r="Y46" t="str">
        <f>T(VLOOKUP(Tab_Calculs[[#This Row],[Compteur]],Site!$B$33:$G$40,5,FALSE))</f>
        <v/>
      </c>
      <c r="Z46" t="str">
        <f>T(VLOOKUP(Tab_Calculs[[#This Row],[Compteur]],Site!$B$33:$G$40,6,FALSE))</f>
        <v/>
      </c>
      <c r="AA46">
        <f>IFERROR(GETPIVOTDATA("DJU(chauffagiste)",BDD_DJU!$P$13,"annee",Tab_Calculs[[#This Row],[ANNEE]],"mois_numero",Tab_Calculs[[#This Row],[MOIS]]),0)</f>
        <v>389.8</v>
      </c>
      <c r="AD46" s="232" t="s">
        <v>34</v>
      </c>
      <c r="AE46" s="231">
        <v>2010</v>
      </c>
      <c r="AF46" s="231">
        <v>2011</v>
      </c>
      <c r="AG46" s="231">
        <v>2012</v>
      </c>
      <c r="AH46" s="231">
        <v>2013</v>
      </c>
      <c r="AI46" s="231">
        <v>2014</v>
      </c>
      <c r="AJ46" s="231">
        <v>2015</v>
      </c>
      <c r="AK46" s="231">
        <v>2016</v>
      </c>
      <c r="AL46" s="231">
        <v>2017</v>
      </c>
      <c r="AM46" s="231">
        <v>2018</v>
      </c>
      <c r="AN46" s="231">
        <v>2019</v>
      </c>
      <c r="AO46" s="231">
        <v>2020</v>
      </c>
      <c r="AP46" s="231">
        <v>2021</v>
      </c>
      <c r="AQ46" s="231">
        <v>2022</v>
      </c>
      <c r="AR46" s="231">
        <v>2023</v>
      </c>
      <c r="AS46" s="231">
        <v>2024</v>
      </c>
      <c r="AT46" s="231">
        <v>2025</v>
      </c>
      <c r="AU46" s="231" t="s">
        <v>379</v>
      </c>
    </row>
    <row r="47" spans="1:47" x14ac:dyDescent="0.25">
      <c r="A47" s="3">
        <f>DATE(Tab_Calculs[[#This Row],[ANNEE]],Tab_Calculs[[#This Row],[MOIS]],1)</f>
        <v>41334</v>
      </c>
      <c r="B47" s="3">
        <f>EDATE(Tab_Calculs[[#This Row],[Début mois]],1)-1</f>
        <v>41364</v>
      </c>
      <c r="C47">
        <v>3</v>
      </c>
      <c r="D47">
        <v>2013</v>
      </c>
      <c r="E47" t="s">
        <v>80</v>
      </c>
      <c r="F47" t="str">
        <f>SUBSTITUTE(Tab_Calculs[[#This Row],[Compteur]]," ","_")</f>
        <v>Compteur_1</v>
      </c>
      <c r="G47" t="str">
        <f>T(INDEX(Site!$B$33:$G$40, MATCH(Tab_Calculs[[#This Row],[Compteur]], Site!$B$33:$B$40,0),2))</f>
        <v/>
      </c>
      <c r="H47" s="3">
        <f t="array" aca="1" ref="H47" ca="1">MIN(IF(INDIRECT(CONCATENATE(Tab_Calculs[[#This Row],[Colonne1]],"!$B$2:$B$243"))&gt;=Calculs_Consos!$A47,INDIRECT(CONCATENATE(Tab_Calculs[[#This Row],[Colonne1]],"!$B$2:$B$243"))))</f>
        <v>0</v>
      </c>
      <c r="I47" s="3">
        <f ca="1">INDEX(INDIRECT(CONCATENATE("Tab_",Tab_Calculs[[#This Row],[Colonne1]])),Tab_Calculs[[#This Row],[index_date_livraison]],1)</f>
        <v>0</v>
      </c>
      <c r="J47">
        <f ca="1">MATCH(Tab_Calculs[[#This Row],[Date_livraison]],INDIRECT(CONCATENATE("Tab_",Tab_Calculs[[#This Row],[Colonne1]],"[Fin de période]")),0)</f>
        <v>1</v>
      </c>
      <c r="K47" t="e">
        <f ca="1">INDEX(INDIRECT(CONCATENATE("Tab_",Tab_Calculs[[#This Row],[Colonne1]])),Tab_Calculs[[#This Row],[index_date_livraison]]-1,6)*(MAX(Tab_Calculs[[#This Row],[Début periode livraison]],Tab_Calculs[[#This Row],[Début mois]])-Tab_Calculs[[#This Row],[Début mois]])</f>
        <v>#VALUE!</v>
      </c>
      <c r="L47" s="94">
        <f ca="1">INDEX(INDIRECT(CONCATENATE("Tab_",Tab_Calculs[[#This Row],[Colonne1]])),Tab_Calculs[[#This Row],[index_date_livraison]],6)*(1+MIN(Tab_Calculs[[#This Row],[Date_livraison]],Tab_Calculs[[#This Row],[fin mois]])-MAX(Tab_Calculs[[#This Row],[Début mois]],Tab_Calculs[[#This Row],[Début periode livraison]]))</f>
        <v>0</v>
      </c>
      <c r="M47" s="94" t="e">
        <f ca="1">INDEX(INDIRECT(CONCATENATE("Tab_",Tab_Calculs[[#This Row],[Colonne1]])),Tab_Calculs[[#This Row],[index_date_livraison]]+1,6)*(Tab_Calculs[[#This Row],[fin mois]]-MIN(Tab_Calculs[[#This Row],[fin mois]],Tab_Calculs[[#This Row],[Date_livraison]]))</f>
        <v>#VALUE!</v>
      </c>
      <c r="N47" s="231" t="str">
        <f ca="1">IFERROR(Tab_Calculs[[#This Row],[Ratio_jour_après_livr]]+Tab_Calculs[[#This Row],[Ratio_jour_avant_livr]]+Tab_Calculs[[#This Row],[ratio_avant_debut]],"")</f>
        <v/>
      </c>
      <c r="O47" t="e">
        <f ca="1">INDEX(INDIRECT(CONCATENATE("Tab_",Tab_Calculs[[#This Row],[Colonne1]])),Tab_Calculs[[#This Row],[index_date_livraison]]-1,7)*(MAX(Tab_Calculs[[#This Row],[Début periode livraison]],Tab_Calculs[[#This Row],[Début mois]])-Tab_Calculs[[#This Row],[Début mois]])</f>
        <v>#VALUE!</v>
      </c>
      <c r="P47">
        <f ca="1">INDEX(INDIRECT(CONCATENATE("Tab_",Tab_Calculs[[#This Row],[Colonne1]])),Tab_Calculs[[#This Row],[index_date_livraison]],7)*(1+MIN(Tab_Calculs[[#This Row],[Date_livraison]],Tab_Calculs[[#This Row],[fin mois]])-MAX(Tab_Calculs[[#This Row],[Début mois]],Tab_Calculs[[#This Row],[Début periode livraison]]))</f>
        <v>0</v>
      </c>
      <c r="Q47" t="e">
        <f ca="1">INDEX(INDIRECT(CONCATENATE("Tab_",Tab_Calculs[[#This Row],[Colonne1]])),Tab_Calculs[[#This Row],[index_date_livraison]]+1,7)*(Tab_Calculs[[#This Row],[fin mois]]-MIN(Tab_Calculs[[#This Row],[fin mois]],Tab_Calculs[[#This Row],[Date_livraison]]))</f>
        <v>#VALUE!</v>
      </c>
      <c r="R47" t="e">
        <f ca="1">Tab_Calculs[[#This Row],[Ratio_Cout_après_livr]]+Tab_Calculs[[#This Row],[Ratio_Cout_avant_livr]]+Tab_Calculs[[#This Row],[Ratio_Cout_avant_debut]]</f>
        <v>#VALUE!</v>
      </c>
      <c r="S47" t="str">
        <f ca="1">IFERROR(N47*VLOOKUP(Tab_Calculs[[#This Row],[Colonne1]],Controle_des_données!$B$7:$G$14,6,FALSE),"")</f>
        <v/>
      </c>
      <c r="T47" t="str">
        <f ca="1">IF(Tab_Calculs[[#This Row],[Combustible ]]="Electricité (kWh)",Tab_Calculs[[#This Row],[Conso_mois_kWh]]*2.3,Tab_Calculs[[#This Row],[Conso_mois_kWh]])</f>
        <v/>
      </c>
      <c r="U47" t="str">
        <f ca="1">IFERROR(N47*VLOOKUP(Tab_Calculs[[#This Row],[Colonne1]],Controle_des_données!$B$7:$H$14,7,FALSE),"")</f>
        <v/>
      </c>
      <c r="V47">
        <f ca="1">IFERROR(Tab_Calculs[[#This Row],[Cout_mois]]/Tab_Calculs[[#This Row],[Conso_mois_kWh]],0)</f>
        <v>0</v>
      </c>
      <c r="W47" t="str">
        <f>T(VLOOKUP(Tab_Calculs[[#This Row],[Compteur]],Site!$B$33:$G$40,3,FALSE))</f>
        <v/>
      </c>
      <c r="X47" t="str">
        <f>T(VLOOKUP(Tab_Calculs[[#This Row],[Compteur]],Site!$B$33:$G$40,4,FALSE))</f>
        <v/>
      </c>
      <c r="Y47" t="str">
        <f>T(VLOOKUP(Tab_Calculs[[#This Row],[Compteur]],Site!$B$33:$G$40,5,FALSE))</f>
        <v/>
      </c>
      <c r="Z47" t="str">
        <f>T(VLOOKUP(Tab_Calculs[[#This Row],[Compteur]],Site!$B$33:$G$40,6,FALSE))</f>
        <v/>
      </c>
      <c r="AA47">
        <f>IFERROR(GETPIVOTDATA("DJU(chauffagiste)",BDD_DJU!$P$13,"annee",Tab_Calculs[[#This Row],[ANNEE]],"mois_numero",Tab_Calculs[[#This Row],[MOIS]]),0)</f>
        <v>360.4</v>
      </c>
      <c r="AD47" s="233">
        <v>1</v>
      </c>
      <c r="AE47" s="221">
        <v>0</v>
      </c>
      <c r="AF47" s="221">
        <v>0</v>
      </c>
      <c r="AG47" s="221">
        <v>0</v>
      </c>
      <c r="AH47" s="221">
        <v>0</v>
      </c>
      <c r="AI47" s="221">
        <v>0</v>
      </c>
      <c r="AJ47" s="221">
        <v>0</v>
      </c>
      <c r="AK47" s="221">
        <v>0</v>
      </c>
      <c r="AL47" s="221">
        <v>0</v>
      </c>
      <c r="AM47" s="221">
        <v>0</v>
      </c>
      <c r="AN47" s="221">
        <v>0</v>
      </c>
      <c r="AO47" s="221">
        <v>0</v>
      </c>
      <c r="AP47" s="221">
        <v>0</v>
      </c>
      <c r="AQ47" s="221">
        <v>0</v>
      </c>
      <c r="AR47" s="221">
        <v>0</v>
      </c>
      <c r="AS47" s="221">
        <v>0</v>
      </c>
      <c r="AT47" s="221">
        <v>0</v>
      </c>
      <c r="AU47" s="221"/>
    </row>
    <row r="48" spans="1:47" x14ac:dyDescent="0.25">
      <c r="A48" s="3">
        <f>DATE(Tab_Calculs[[#This Row],[ANNEE]],Tab_Calculs[[#This Row],[MOIS]],1)</f>
        <v>41365</v>
      </c>
      <c r="B48" s="3">
        <f>EDATE(Tab_Calculs[[#This Row],[Début mois]],1)-1</f>
        <v>41394</v>
      </c>
      <c r="C48">
        <v>4</v>
      </c>
      <c r="D48">
        <v>2013</v>
      </c>
      <c r="E48" t="s">
        <v>80</v>
      </c>
      <c r="F48" t="str">
        <f>SUBSTITUTE(Tab_Calculs[[#This Row],[Compteur]]," ","_")</f>
        <v>Compteur_1</v>
      </c>
      <c r="G48" t="str">
        <f>T(INDEX(Site!$B$33:$G$40, MATCH(Tab_Calculs[[#This Row],[Compteur]], Site!$B$33:$B$40,0),2))</f>
        <v/>
      </c>
      <c r="H48" s="3">
        <f t="array" aca="1" ref="H48" ca="1">MIN(IF(INDIRECT(CONCATENATE(Tab_Calculs[[#This Row],[Colonne1]],"!$B$2:$B$243"))&gt;=Calculs_Consos!$A48,INDIRECT(CONCATENATE(Tab_Calculs[[#This Row],[Colonne1]],"!$B$2:$B$243"))))</f>
        <v>0</v>
      </c>
      <c r="I48" s="3">
        <f ca="1">INDEX(INDIRECT(CONCATENATE("Tab_",Tab_Calculs[[#This Row],[Colonne1]])),Tab_Calculs[[#This Row],[index_date_livraison]],1)</f>
        <v>0</v>
      </c>
      <c r="J48">
        <f ca="1">MATCH(Tab_Calculs[[#This Row],[Date_livraison]],INDIRECT(CONCATENATE("Tab_",Tab_Calculs[[#This Row],[Colonne1]],"[Fin de période]")),0)</f>
        <v>1</v>
      </c>
      <c r="K48" t="e">
        <f ca="1">INDEX(INDIRECT(CONCATENATE("Tab_",Tab_Calculs[[#This Row],[Colonne1]])),Tab_Calculs[[#This Row],[index_date_livraison]]-1,6)*(MAX(Tab_Calculs[[#This Row],[Début periode livraison]],Tab_Calculs[[#This Row],[Début mois]])-Tab_Calculs[[#This Row],[Début mois]])</f>
        <v>#VALUE!</v>
      </c>
      <c r="L48" s="94">
        <f ca="1">INDEX(INDIRECT(CONCATENATE("Tab_",Tab_Calculs[[#This Row],[Colonne1]])),Tab_Calculs[[#This Row],[index_date_livraison]],6)*(1+MIN(Tab_Calculs[[#This Row],[Date_livraison]],Tab_Calculs[[#This Row],[fin mois]])-MAX(Tab_Calculs[[#This Row],[Début mois]],Tab_Calculs[[#This Row],[Début periode livraison]]))</f>
        <v>0</v>
      </c>
      <c r="M48" s="94" t="e">
        <f ca="1">INDEX(INDIRECT(CONCATENATE("Tab_",Tab_Calculs[[#This Row],[Colonne1]])),Tab_Calculs[[#This Row],[index_date_livraison]]+1,6)*(Tab_Calculs[[#This Row],[fin mois]]-MIN(Tab_Calculs[[#This Row],[fin mois]],Tab_Calculs[[#This Row],[Date_livraison]]))</f>
        <v>#VALUE!</v>
      </c>
      <c r="N48" s="231" t="str">
        <f ca="1">IFERROR(Tab_Calculs[[#This Row],[Ratio_jour_après_livr]]+Tab_Calculs[[#This Row],[Ratio_jour_avant_livr]]+Tab_Calculs[[#This Row],[ratio_avant_debut]],"")</f>
        <v/>
      </c>
      <c r="O48" t="e">
        <f ca="1">INDEX(INDIRECT(CONCATENATE("Tab_",Tab_Calculs[[#This Row],[Colonne1]])),Tab_Calculs[[#This Row],[index_date_livraison]]-1,7)*(MAX(Tab_Calculs[[#This Row],[Début periode livraison]],Tab_Calculs[[#This Row],[Début mois]])-Tab_Calculs[[#This Row],[Début mois]])</f>
        <v>#VALUE!</v>
      </c>
      <c r="P48">
        <f ca="1">INDEX(INDIRECT(CONCATENATE("Tab_",Tab_Calculs[[#This Row],[Colonne1]])),Tab_Calculs[[#This Row],[index_date_livraison]],7)*(1+MIN(Tab_Calculs[[#This Row],[Date_livraison]],Tab_Calculs[[#This Row],[fin mois]])-MAX(Tab_Calculs[[#This Row],[Début mois]],Tab_Calculs[[#This Row],[Début periode livraison]]))</f>
        <v>0</v>
      </c>
      <c r="Q48" t="e">
        <f ca="1">INDEX(INDIRECT(CONCATENATE("Tab_",Tab_Calculs[[#This Row],[Colonne1]])),Tab_Calculs[[#This Row],[index_date_livraison]]+1,7)*(Tab_Calculs[[#This Row],[fin mois]]-MIN(Tab_Calculs[[#This Row],[fin mois]],Tab_Calculs[[#This Row],[Date_livraison]]))</f>
        <v>#VALUE!</v>
      </c>
      <c r="R48" t="e">
        <f ca="1">Tab_Calculs[[#This Row],[Ratio_Cout_après_livr]]+Tab_Calculs[[#This Row],[Ratio_Cout_avant_livr]]+Tab_Calculs[[#This Row],[Ratio_Cout_avant_debut]]</f>
        <v>#VALUE!</v>
      </c>
      <c r="S48" t="str">
        <f ca="1">IFERROR(N48*VLOOKUP(Tab_Calculs[[#This Row],[Colonne1]],Controle_des_données!$B$7:$G$14,6,FALSE),"")</f>
        <v/>
      </c>
      <c r="T48" t="str">
        <f ca="1">IF(Tab_Calculs[[#This Row],[Combustible ]]="Electricité (kWh)",Tab_Calculs[[#This Row],[Conso_mois_kWh]]*2.3,Tab_Calculs[[#This Row],[Conso_mois_kWh]])</f>
        <v/>
      </c>
      <c r="U48" t="str">
        <f ca="1">IFERROR(N48*VLOOKUP(Tab_Calculs[[#This Row],[Colonne1]],Controle_des_données!$B$7:$H$14,7,FALSE),"")</f>
        <v/>
      </c>
      <c r="V48">
        <f ca="1">IFERROR(Tab_Calculs[[#This Row],[Cout_mois]]/Tab_Calculs[[#This Row],[Conso_mois_kWh]],0)</f>
        <v>0</v>
      </c>
      <c r="W48" t="str">
        <f>T(VLOOKUP(Tab_Calculs[[#This Row],[Compteur]],Site!$B$33:$G$40,3,FALSE))</f>
        <v/>
      </c>
      <c r="X48" t="str">
        <f>T(VLOOKUP(Tab_Calculs[[#This Row],[Compteur]],Site!$B$33:$G$40,4,FALSE))</f>
        <v/>
      </c>
      <c r="Y48" t="str">
        <f>T(VLOOKUP(Tab_Calculs[[#This Row],[Compteur]],Site!$B$33:$G$40,5,FALSE))</f>
        <v/>
      </c>
      <c r="Z48" t="str">
        <f>T(VLOOKUP(Tab_Calculs[[#This Row],[Compteur]],Site!$B$33:$G$40,6,FALSE))</f>
        <v/>
      </c>
      <c r="AA48">
        <f>IFERROR(GETPIVOTDATA("DJU(chauffagiste)",BDD_DJU!$P$13,"annee",Tab_Calculs[[#This Row],[ANNEE]],"mois_numero",Tab_Calculs[[#This Row],[MOIS]]),0)</f>
        <v>247.2</v>
      </c>
      <c r="AD48" s="233">
        <v>2</v>
      </c>
      <c r="AE48" s="221">
        <v>0</v>
      </c>
      <c r="AF48" s="221">
        <v>0</v>
      </c>
      <c r="AG48" s="221">
        <v>0</v>
      </c>
      <c r="AH48" s="221">
        <v>0</v>
      </c>
      <c r="AI48" s="221">
        <v>0</v>
      </c>
      <c r="AJ48" s="221">
        <v>0</v>
      </c>
      <c r="AK48" s="221">
        <v>0</v>
      </c>
      <c r="AL48" s="221">
        <v>0</v>
      </c>
      <c r="AM48" s="221">
        <v>0</v>
      </c>
      <c r="AN48" s="221">
        <v>0</v>
      </c>
      <c r="AO48" s="221">
        <v>0</v>
      </c>
      <c r="AP48" s="221">
        <v>0</v>
      </c>
      <c r="AQ48" s="221">
        <v>0</v>
      </c>
      <c r="AR48" s="221">
        <v>0</v>
      </c>
      <c r="AS48" s="221">
        <v>0</v>
      </c>
      <c r="AT48" s="221">
        <v>0</v>
      </c>
      <c r="AU48" s="221"/>
    </row>
    <row r="49" spans="1:47" x14ac:dyDescent="0.25">
      <c r="A49" s="3">
        <f>DATE(Tab_Calculs[[#This Row],[ANNEE]],Tab_Calculs[[#This Row],[MOIS]],1)</f>
        <v>41395</v>
      </c>
      <c r="B49" s="3">
        <f>EDATE(Tab_Calculs[[#This Row],[Début mois]],1)-1</f>
        <v>41425</v>
      </c>
      <c r="C49">
        <v>5</v>
      </c>
      <c r="D49">
        <v>2013</v>
      </c>
      <c r="E49" t="s">
        <v>80</v>
      </c>
      <c r="F49" t="str">
        <f>SUBSTITUTE(Tab_Calculs[[#This Row],[Compteur]]," ","_")</f>
        <v>Compteur_1</v>
      </c>
      <c r="G49" t="str">
        <f>T(INDEX(Site!$B$33:$G$40, MATCH(Tab_Calculs[[#This Row],[Compteur]], Site!$B$33:$B$40,0),2))</f>
        <v/>
      </c>
      <c r="H49" s="3">
        <f t="array" aca="1" ref="H49" ca="1">MIN(IF(INDIRECT(CONCATENATE(Tab_Calculs[[#This Row],[Colonne1]],"!$B$2:$B$243"))&gt;=Calculs_Consos!$A49,INDIRECT(CONCATENATE(Tab_Calculs[[#This Row],[Colonne1]],"!$B$2:$B$243"))))</f>
        <v>0</v>
      </c>
      <c r="I49" s="3">
        <f ca="1">INDEX(INDIRECT(CONCATENATE("Tab_",Tab_Calculs[[#This Row],[Colonne1]])),Tab_Calculs[[#This Row],[index_date_livraison]],1)</f>
        <v>0</v>
      </c>
      <c r="J49">
        <f ca="1">MATCH(Tab_Calculs[[#This Row],[Date_livraison]],INDIRECT(CONCATENATE("Tab_",Tab_Calculs[[#This Row],[Colonne1]],"[Fin de période]")),0)</f>
        <v>1</v>
      </c>
      <c r="K49" t="e">
        <f ca="1">INDEX(INDIRECT(CONCATENATE("Tab_",Tab_Calculs[[#This Row],[Colonne1]])),Tab_Calculs[[#This Row],[index_date_livraison]]-1,6)*(MAX(Tab_Calculs[[#This Row],[Début periode livraison]],Tab_Calculs[[#This Row],[Début mois]])-Tab_Calculs[[#This Row],[Début mois]])</f>
        <v>#VALUE!</v>
      </c>
      <c r="L49" s="94">
        <f ca="1">INDEX(INDIRECT(CONCATENATE("Tab_",Tab_Calculs[[#This Row],[Colonne1]])),Tab_Calculs[[#This Row],[index_date_livraison]],6)*(1+MIN(Tab_Calculs[[#This Row],[Date_livraison]],Tab_Calculs[[#This Row],[fin mois]])-MAX(Tab_Calculs[[#This Row],[Début mois]],Tab_Calculs[[#This Row],[Début periode livraison]]))</f>
        <v>0</v>
      </c>
      <c r="M49" s="94" t="e">
        <f ca="1">INDEX(INDIRECT(CONCATENATE("Tab_",Tab_Calculs[[#This Row],[Colonne1]])),Tab_Calculs[[#This Row],[index_date_livraison]]+1,6)*(Tab_Calculs[[#This Row],[fin mois]]-MIN(Tab_Calculs[[#This Row],[fin mois]],Tab_Calculs[[#This Row],[Date_livraison]]))</f>
        <v>#VALUE!</v>
      </c>
      <c r="N49" s="231" t="str">
        <f ca="1">IFERROR(Tab_Calculs[[#This Row],[Ratio_jour_après_livr]]+Tab_Calculs[[#This Row],[Ratio_jour_avant_livr]]+Tab_Calculs[[#This Row],[ratio_avant_debut]],"")</f>
        <v/>
      </c>
      <c r="O49" t="e">
        <f ca="1">INDEX(INDIRECT(CONCATENATE("Tab_",Tab_Calculs[[#This Row],[Colonne1]])),Tab_Calculs[[#This Row],[index_date_livraison]]-1,7)*(MAX(Tab_Calculs[[#This Row],[Début periode livraison]],Tab_Calculs[[#This Row],[Début mois]])-Tab_Calculs[[#This Row],[Début mois]])</f>
        <v>#VALUE!</v>
      </c>
      <c r="P49">
        <f ca="1">INDEX(INDIRECT(CONCATENATE("Tab_",Tab_Calculs[[#This Row],[Colonne1]])),Tab_Calculs[[#This Row],[index_date_livraison]],7)*(1+MIN(Tab_Calculs[[#This Row],[Date_livraison]],Tab_Calculs[[#This Row],[fin mois]])-MAX(Tab_Calculs[[#This Row],[Début mois]],Tab_Calculs[[#This Row],[Début periode livraison]]))</f>
        <v>0</v>
      </c>
      <c r="Q49" t="e">
        <f ca="1">INDEX(INDIRECT(CONCATENATE("Tab_",Tab_Calculs[[#This Row],[Colonne1]])),Tab_Calculs[[#This Row],[index_date_livraison]]+1,7)*(Tab_Calculs[[#This Row],[fin mois]]-MIN(Tab_Calculs[[#This Row],[fin mois]],Tab_Calculs[[#This Row],[Date_livraison]]))</f>
        <v>#VALUE!</v>
      </c>
      <c r="R49" t="e">
        <f ca="1">Tab_Calculs[[#This Row],[Ratio_Cout_après_livr]]+Tab_Calculs[[#This Row],[Ratio_Cout_avant_livr]]+Tab_Calculs[[#This Row],[Ratio_Cout_avant_debut]]</f>
        <v>#VALUE!</v>
      </c>
      <c r="S49" t="str">
        <f ca="1">IFERROR(N49*VLOOKUP(Tab_Calculs[[#This Row],[Colonne1]],Controle_des_données!$B$7:$G$14,6,FALSE),"")</f>
        <v/>
      </c>
      <c r="T49" t="str">
        <f ca="1">IF(Tab_Calculs[[#This Row],[Combustible ]]="Electricité (kWh)",Tab_Calculs[[#This Row],[Conso_mois_kWh]]*2.3,Tab_Calculs[[#This Row],[Conso_mois_kWh]])</f>
        <v/>
      </c>
      <c r="U49" t="str">
        <f ca="1">IFERROR(N49*VLOOKUP(Tab_Calculs[[#This Row],[Colonne1]],Controle_des_données!$B$7:$H$14,7,FALSE),"")</f>
        <v/>
      </c>
      <c r="V49">
        <f ca="1">IFERROR(Tab_Calculs[[#This Row],[Cout_mois]]/Tab_Calculs[[#This Row],[Conso_mois_kWh]],0)</f>
        <v>0</v>
      </c>
      <c r="W49" t="str">
        <f>T(VLOOKUP(Tab_Calculs[[#This Row],[Compteur]],Site!$B$33:$G$40,3,FALSE))</f>
        <v/>
      </c>
      <c r="X49" t="str">
        <f>T(VLOOKUP(Tab_Calculs[[#This Row],[Compteur]],Site!$B$33:$G$40,4,FALSE))</f>
        <v/>
      </c>
      <c r="Y49" t="str">
        <f>T(VLOOKUP(Tab_Calculs[[#This Row],[Compteur]],Site!$B$33:$G$40,5,FALSE))</f>
        <v/>
      </c>
      <c r="Z49" t="str">
        <f>T(VLOOKUP(Tab_Calculs[[#This Row],[Compteur]],Site!$B$33:$G$40,6,FALSE))</f>
        <v/>
      </c>
      <c r="AA49">
        <f>IFERROR(GETPIVOTDATA("DJU(chauffagiste)",BDD_DJU!$P$13,"annee",Tab_Calculs[[#This Row],[ANNEE]],"mois_numero",Tab_Calculs[[#This Row],[MOIS]]),0)</f>
        <v>175.2</v>
      </c>
      <c r="AD49" s="233">
        <v>3</v>
      </c>
      <c r="AE49" s="221">
        <v>0</v>
      </c>
      <c r="AF49" s="221">
        <v>0</v>
      </c>
      <c r="AG49" s="221">
        <v>0</v>
      </c>
      <c r="AH49" s="221">
        <v>0</v>
      </c>
      <c r="AI49" s="221">
        <v>0</v>
      </c>
      <c r="AJ49" s="221">
        <v>0</v>
      </c>
      <c r="AK49" s="221">
        <v>0</v>
      </c>
      <c r="AL49" s="221">
        <v>0</v>
      </c>
      <c r="AM49" s="221">
        <v>0</v>
      </c>
      <c r="AN49" s="221">
        <v>0</v>
      </c>
      <c r="AO49" s="221">
        <v>0</v>
      </c>
      <c r="AP49" s="221">
        <v>0</v>
      </c>
      <c r="AQ49" s="221">
        <v>0</v>
      </c>
      <c r="AR49" s="221">
        <v>0</v>
      </c>
      <c r="AS49" s="221">
        <v>0</v>
      </c>
      <c r="AT49" s="221">
        <v>0</v>
      </c>
      <c r="AU49" s="221"/>
    </row>
    <row r="50" spans="1:47" x14ac:dyDescent="0.25">
      <c r="A50" s="3">
        <f>DATE(Tab_Calculs[[#This Row],[ANNEE]],Tab_Calculs[[#This Row],[MOIS]],1)</f>
        <v>41426</v>
      </c>
      <c r="B50" s="3">
        <f>EDATE(Tab_Calculs[[#This Row],[Début mois]],1)-1</f>
        <v>41455</v>
      </c>
      <c r="C50">
        <v>6</v>
      </c>
      <c r="D50">
        <v>2013</v>
      </c>
      <c r="E50" t="s">
        <v>80</v>
      </c>
      <c r="F50" t="str">
        <f>SUBSTITUTE(Tab_Calculs[[#This Row],[Compteur]]," ","_")</f>
        <v>Compteur_1</v>
      </c>
      <c r="G50" t="str">
        <f>T(INDEX(Site!$B$33:$G$40, MATCH(Tab_Calculs[[#This Row],[Compteur]], Site!$B$33:$B$40,0),2))</f>
        <v/>
      </c>
      <c r="H50" s="3">
        <f t="array" aca="1" ref="H50" ca="1">MIN(IF(INDIRECT(CONCATENATE(Tab_Calculs[[#This Row],[Colonne1]],"!$B$2:$B$243"))&gt;=Calculs_Consos!$A50,INDIRECT(CONCATENATE(Tab_Calculs[[#This Row],[Colonne1]],"!$B$2:$B$243"))))</f>
        <v>0</v>
      </c>
      <c r="I50" s="3">
        <f ca="1">INDEX(INDIRECT(CONCATENATE("Tab_",Tab_Calculs[[#This Row],[Colonne1]])),Tab_Calculs[[#This Row],[index_date_livraison]],1)</f>
        <v>0</v>
      </c>
      <c r="J50">
        <f ca="1">MATCH(Tab_Calculs[[#This Row],[Date_livraison]],INDIRECT(CONCATENATE("Tab_",Tab_Calculs[[#This Row],[Colonne1]],"[Fin de période]")),0)</f>
        <v>1</v>
      </c>
      <c r="K50" t="e">
        <f ca="1">INDEX(INDIRECT(CONCATENATE("Tab_",Tab_Calculs[[#This Row],[Colonne1]])),Tab_Calculs[[#This Row],[index_date_livraison]]-1,6)*(MAX(Tab_Calculs[[#This Row],[Début periode livraison]],Tab_Calculs[[#This Row],[Début mois]])-Tab_Calculs[[#This Row],[Début mois]])</f>
        <v>#VALUE!</v>
      </c>
      <c r="L50" s="94">
        <f ca="1">INDEX(INDIRECT(CONCATENATE("Tab_",Tab_Calculs[[#This Row],[Colonne1]])),Tab_Calculs[[#This Row],[index_date_livraison]],6)*(1+MIN(Tab_Calculs[[#This Row],[Date_livraison]],Tab_Calculs[[#This Row],[fin mois]])-MAX(Tab_Calculs[[#This Row],[Début mois]],Tab_Calculs[[#This Row],[Début periode livraison]]))</f>
        <v>0</v>
      </c>
      <c r="M50" s="94" t="e">
        <f ca="1">INDEX(INDIRECT(CONCATENATE("Tab_",Tab_Calculs[[#This Row],[Colonne1]])),Tab_Calculs[[#This Row],[index_date_livraison]]+1,6)*(Tab_Calculs[[#This Row],[fin mois]]-MIN(Tab_Calculs[[#This Row],[fin mois]],Tab_Calculs[[#This Row],[Date_livraison]]))</f>
        <v>#VALUE!</v>
      </c>
      <c r="N50" s="231" t="str">
        <f ca="1">IFERROR(Tab_Calculs[[#This Row],[Ratio_jour_après_livr]]+Tab_Calculs[[#This Row],[Ratio_jour_avant_livr]]+Tab_Calculs[[#This Row],[ratio_avant_debut]],"")</f>
        <v/>
      </c>
      <c r="O50" t="e">
        <f ca="1">INDEX(INDIRECT(CONCATENATE("Tab_",Tab_Calculs[[#This Row],[Colonne1]])),Tab_Calculs[[#This Row],[index_date_livraison]]-1,7)*(MAX(Tab_Calculs[[#This Row],[Début periode livraison]],Tab_Calculs[[#This Row],[Début mois]])-Tab_Calculs[[#This Row],[Début mois]])</f>
        <v>#VALUE!</v>
      </c>
      <c r="P50">
        <f ca="1">INDEX(INDIRECT(CONCATENATE("Tab_",Tab_Calculs[[#This Row],[Colonne1]])),Tab_Calculs[[#This Row],[index_date_livraison]],7)*(1+MIN(Tab_Calculs[[#This Row],[Date_livraison]],Tab_Calculs[[#This Row],[fin mois]])-MAX(Tab_Calculs[[#This Row],[Début mois]],Tab_Calculs[[#This Row],[Début periode livraison]]))</f>
        <v>0</v>
      </c>
      <c r="Q50" t="e">
        <f ca="1">INDEX(INDIRECT(CONCATENATE("Tab_",Tab_Calculs[[#This Row],[Colonne1]])),Tab_Calculs[[#This Row],[index_date_livraison]]+1,7)*(Tab_Calculs[[#This Row],[fin mois]]-MIN(Tab_Calculs[[#This Row],[fin mois]],Tab_Calculs[[#This Row],[Date_livraison]]))</f>
        <v>#VALUE!</v>
      </c>
      <c r="R50" t="e">
        <f ca="1">Tab_Calculs[[#This Row],[Ratio_Cout_après_livr]]+Tab_Calculs[[#This Row],[Ratio_Cout_avant_livr]]+Tab_Calculs[[#This Row],[Ratio_Cout_avant_debut]]</f>
        <v>#VALUE!</v>
      </c>
      <c r="S50" t="str">
        <f ca="1">IFERROR(N50*VLOOKUP(Tab_Calculs[[#This Row],[Colonne1]],Controle_des_données!$B$7:$G$14,6,FALSE),"")</f>
        <v/>
      </c>
      <c r="T50" t="str">
        <f ca="1">IF(Tab_Calculs[[#This Row],[Combustible ]]="Electricité (kWh)",Tab_Calculs[[#This Row],[Conso_mois_kWh]]*2.3,Tab_Calculs[[#This Row],[Conso_mois_kWh]])</f>
        <v/>
      </c>
      <c r="U50" t="str">
        <f ca="1">IFERROR(N50*VLOOKUP(Tab_Calculs[[#This Row],[Colonne1]],Controle_des_données!$B$7:$H$14,7,FALSE),"")</f>
        <v/>
      </c>
      <c r="V50">
        <f ca="1">IFERROR(Tab_Calculs[[#This Row],[Cout_mois]]/Tab_Calculs[[#This Row],[Conso_mois_kWh]],0)</f>
        <v>0</v>
      </c>
      <c r="W50" t="str">
        <f>T(VLOOKUP(Tab_Calculs[[#This Row],[Compteur]],Site!$B$33:$G$40,3,FALSE))</f>
        <v/>
      </c>
      <c r="X50" t="str">
        <f>T(VLOOKUP(Tab_Calculs[[#This Row],[Compteur]],Site!$B$33:$G$40,4,FALSE))</f>
        <v/>
      </c>
      <c r="Y50" t="str">
        <f>T(VLOOKUP(Tab_Calculs[[#This Row],[Compteur]],Site!$B$33:$G$40,5,FALSE))</f>
        <v/>
      </c>
      <c r="Z50" t="str">
        <f>T(VLOOKUP(Tab_Calculs[[#This Row],[Compteur]],Site!$B$33:$G$40,6,FALSE))</f>
        <v/>
      </c>
      <c r="AA50">
        <f>IFERROR(GETPIVOTDATA("DJU(chauffagiste)",BDD_DJU!$P$13,"annee",Tab_Calculs[[#This Row],[ANNEE]],"mois_numero",Tab_Calculs[[#This Row],[MOIS]]),0)</f>
        <v>68</v>
      </c>
      <c r="AD50" s="233">
        <v>4</v>
      </c>
      <c r="AE50" s="221">
        <v>0</v>
      </c>
      <c r="AF50" s="221">
        <v>0</v>
      </c>
      <c r="AG50" s="221">
        <v>0</v>
      </c>
      <c r="AH50" s="221">
        <v>0</v>
      </c>
      <c r="AI50" s="221">
        <v>0</v>
      </c>
      <c r="AJ50" s="221">
        <v>0</v>
      </c>
      <c r="AK50" s="221">
        <v>0</v>
      </c>
      <c r="AL50" s="221">
        <v>0</v>
      </c>
      <c r="AM50" s="221">
        <v>0</v>
      </c>
      <c r="AN50" s="221">
        <v>0</v>
      </c>
      <c r="AO50" s="221">
        <v>0</v>
      </c>
      <c r="AP50" s="221">
        <v>0</v>
      </c>
      <c r="AQ50" s="221">
        <v>0</v>
      </c>
      <c r="AR50" s="221">
        <v>0</v>
      </c>
      <c r="AS50" s="221">
        <v>0</v>
      </c>
      <c r="AT50" s="221">
        <v>0</v>
      </c>
      <c r="AU50" s="221"/>
    </row>
    <row r="51" spans="1:47" x14ac:dyDescent="0.25">
      <c r="A51" s="3">
        <f>DATE(Tab_Calculs[[#This Row],[ANNEE]],Tab_Calculs[[#This Row],[MOIS]],1)</f>
        <v>41456</v>
      </c>
      <c r="B51" s="3">
        <f>EDATE(Tab_Calculs[[#This Row],[Début mois]],1)-1</f>
        <v>41486</v>
      </c>
      <c r="C51">
        <v>7</v>
      </c>
      <c r="D51">
        <v>2013</v>
      </c>
      <c r="E51" t="s">
        <v>80</v>
      </c>
      <c r="F51" t="str">
        <f>SUBSTITUTE(Tab_Calculs[[#This Row],[Compteur]]," ","_")</f>
        <v>Compteur_1</v>
      </c>
      <c r="G51" t="str">
        <f>T(INDEX(Site!$B$33:$G$40, MATCH(Tab_Calculs[[#This Row],[Compteur]], Site!$B$33:$B$40,0),2))</f>
        <v/>
      </c>
      <c r="H51" s="3">
        <f t="array" aca="1" ref="H51" ca="1">MIN(IF(INDIRECT(CONCATENATE(Tab_Calculs[[#This Row],[Colonne1]],"!$B$2:$B$243"))&gt;=Calculs_Consos!$A51,INDIRECT(CONCATENATE(Tab_Calculs[[#This Row],[Colonne1]],"!$B$2:$B$243"))))</f>
        <v>0</v>
      </c>
      <c r="I51" s="3">
        <f ca="1">INDEX(INDIRECT(CONCATENATE("Tab_",Tab_Calculs[[#This Row],[Colonne1]])),Tab_Calculs[[#This Row],[index_date_livraison]],1)</f>
        <v>0</v>
      </c>
      <c r="J51">
        <f ca="1">MATCH(Tab_Calculs[[#This Row],[Date_livraison]],INDIRECT(CONCATENATE("Tab_",Tab_Calculs[[#This Row],[Colonne1]],"[Fin de période]")),0)</f>
        <v>1</v>
      </c>
      <c r="K51" t="e">
        <f ca="1">INDEX(INDIRECT(CONCATENATE("Tab_",Tab_Calculs[[#This Row],[Colonne1]])),Tab_Calculs[[#This Row],[index_date_livraison]]-1,6)*(MAX(Tab_Calculs[[#This Row],[Début periode livraison]],Tab_Calculs[[#This Row],[Début mois]])-Tab_Calculs[[#This Row],[Début mois]])</f>
        <v>#VALUE!</v>
      </c>
      <c r="L51" s="94">
        <f ca="1">INDEX(INDIRECT(CONCATENATE("Tab_",Tab_Calculs[[#This Row],[Colonne1]])),Tab_Calculs[[#This Row],[index_date_livraison]],6)*(1+MIN(Tab_Calculs[[#This Row],[Date_livraison]],Tab_Calculs[[#This Row],[fin mois]])-MAX(Tab_Calculs[[#This Row],[Début mois]],Tab_Calculs[[#This Row],[Début periode livraison]]))</f>
        <v>0</v>
      </c>
      <c r="M51" s="94" t="e">
        <f ca="1">INDEX(INDIRECT(CONCATENATE("Tab_",Tab_Calculs[[#This Row],[Colonne1]])),Tab_Calculs[[#This Row],[index_date_livraison]]+1,6)*(Tab_Calculs[[#This Row],[fin mois]]-MIN(Tab_Calculs[[#This Row],[fin mois]],Tab_Calculs[[#This Row],[Date_livraison]]))</f>
        <v>#VALUE!</v>
      </c>
      <c r="N51" s="231" t="str">
        <f ca="1">IFERROR(Tab_Calculs[[#This Row],[Ratio_jour_après_livr]]+Tab_Calculs[[#This Row],[Ratio_jour_avant_livr]]+Tab_Calculs[[#This Row],[ratio_avant_debut]],"")</f>
        <v/>
      </c>
      <c r="O51" t="e">
        <f ca="1">INDEX(INDIRECT(CONCATENATE("Tab_",Tab_Calculs[[#This Row],[Colonne1]])),Tab_Calculs[[#This Row],[index_date_livraison]]-1,7)*(MAX(Tab_Calculs[[#This Row],[Début periode livraison]],Tab_Calculs[[#This Row],[Début mois]])-Tab_Calculs[[#This Row],[Début mois]])</f>
        <v>#VALUE!</v>
      </c>
      <c r="P51">
        <f ca="1">INDEX(INDIRECT(CONCATENATE("Tab_",Tab_Calculs[[#This Row],[Colonne1]])),Tab_Calculs[[#This Row],[index_date_livraison]],7)*(1+MIN(Tab_Calculs[[#This Row],[Date_livraison]],Tab_Calculs[[#This Row],[fin mois]])-MAX(Tab_Calculs[[#This Row],[Début mois]],Tab_Calculs[[#This Row],[Début periode livraison]]))</f>
        <v>0</v>
      </c>
      <c r="Q51" t="e">
        <f ca="1">INDEX(INDIRECT(CONCATENATE("Tab_",Tab_Calculs[[#This Row],[Colonne1]])),Tab_Calculs[[#This Row],[index_date_livraison]]+1,7)*(Tab_Calculs[[#This Row],[fin mois]]-MIN(Tab_Calculs[[#This Row],[fin mois]],Tab_Calculs[[#This Row],[Date_livraison]]))</f>
        <v>#VALUE!</v>
      </c>
      <c r="R51" t="e">
        <f ca="1">Tab_Calculs[[#This Row],[Ratio_Cout_après_livr]]+Tab_Calculs[[#This Row],[Ratio_Cout_avant_livr]]+Tab_Calculs[[#This Row],[Ratio_Cout_avant_debut]]</f>
        <v>#VALUE!</v>
      </c>
      <c r="S51" t="str">
        <f ca="1">IFERROR(N51*VLOOKUP(Tab_Calculs[[#This Row],[Colonne1]],Controle_des_données!$B$7:$G$14,6,FALSE),"")</f>
        <v/>
      </c>
      <c r="T51" t="str">
        <f ca="1">IF(Tab_Calculs[[#This Row],[Combustible ]]="Electricité (kWh)",Tab_Calculs[[#This Row],[Conso_mois_kWh]]*2.3,Tab_Calculs[[#This Row],[Conso_mois_kWh]])</f>
        <v/>
      </c>
      <c r="U51" t="str">
        <f ca="1">IFERROR(N51*VLOOKUP(Tab_Calculs[[#This Row],[Colonne1]],Controle_des_données!$B$7:$H$14,7,FALSE),"")</f>
        <v/>
      </c>
      <c r="V51">
        <f ca="1">IFERROR(Tab_Calculs[[#This Row],[Cout_mois]]/Tab_Calculs[[#This Row],[Conso_mois_kWh]],0)</f>
        <v>0</v>
      </c>
      <c r="W51" t="str">
        <f>T(VLOOKUP(Tab_Calculs[[#This Row],[Compteur]],Site!$B$33:$G$40,3,FALSE))</f>
        <v/>
      </c>
      <c r="X51" t="str">
        <f>T(VLOOKUP(Tab_Calculs[[#This Row],[Compteur]],Site!$B$33:$G$40,4,FALSE))</f>
        <v/>
      </c>
      <c r="Y51" t="str">
        <f>T(VLOOKUP(Tab_Calculs[[#This Row],[Compteur]],Site!$B$33:$G$40,5,FALSE))</f>
        <v/>
      </c>
      <c r="Z51" t="str">
        <f>T(VLOOKUP(Tab_Calculs[[#This Row],[Compteur]],Site!$B$33:$G$40,6,FALSE))</f>
        <v/>
      </c>
      <c r="AA51">
        <f>IFERROR(GETPIVOTDATA("DJU(chauffagiste)",BDD_DJU!$P$13,"annee",Tab_Calculs[[#This Row],[ANNEE]],"mois_numero",Tab_Calculs[[#This Row],[MOIS]]),0)</f>
        <v>13.3</v>
      </c>
      <c r="AD51" s="233">
        <v>5</v>
      </c>
      <c r="AE51" s="221">
        <v>0</v>
      </c>
      <c r="AF51" s="221">
        <v>0</v>
      </c>
      <c r="AG51" s="221">
        <v>0</v>
      </c>
      <c r="AH51" s="221">
        <v>0</v>
      </c>
      <c r="AI51" s="221">
        <v>0</v>
      </c>
      <c r="AJ51" s="221">
        <v>0</v>
      </c>
      <c r="AK51" s="221">
        <v>0</v>
      </c>
      <c r="AL51" s="221">
        <v>0</v>
      </c>
      <c r="AM51" s="221">
        <v>0</v>
      </c>
      <c r="AN51" s="221">
        <v>0</v>
      </c>
      <c r="AO51" s="221">
        <v>0</v>
      </c>
      <c r="AP51" s="221">
        <v>0</v>
      </c>
      <c r="AQ51" s="221">
        <v>0</v>
      </c>
      <c r="AR51" s="221">
        <v>0</v>
      </c>
      <c r="AS51" s="221">
        <v>0</v>
      </c>
      <c r="AT51" s="221">
        <v>0</v>
      </c>
      <c r="AU51" s="221"/>
    </row>
    <row r="52" spans="1:47" x14ac:dyDescent="0.25">
      <c r="A52" s="3">
        <f>DATE(Tab_Calculs[[#This Row],[ANNEE]],Tab_Calculs[[#This Row],[MOIS]],1)</f>
        <v>41487</v>
      </c>
      <c r="B52" s="3">
        <f>EDATE(Tab_Calculs[[#This Row],[Début mois]],1)-1</f>
        <v>41517</v>
      </c>
      <c r="C52">
        <v>8</v>
      </c>
      <c r="D52">
        <v>2013</v>
      </c>
      <c r="E52" t="s">
        <v>80</v>
      </c>
      <c r="F52" t="str">
        <f>SUBSTITUTE(Tab_Calculs[[#This Row],[Compteur]]," ","_")</f>
        <v>Compteur_1</v>
      </c>
      <c r="G52" t="str">
        <f>T(INDEX(Site!$B$33:$G$40, MATCH(Tab_Calculs[[#This Row],[Compteur]], Site!$B$33:$B$40,0),2))</f>
        <v/>
      </c>
      <c r="H52" s="3">
        <f t="array" aca="1" ref="H52" ca="1">MIN(IF(INDIRECT(CONCATENATE(Tab_Calculs[[#This Row],[Colonne1]],"!$B$2:$B$243"))&gt;=Calculs_Consos!$A52,INDIRECT(CONCATENATE(Tab_Calculs[[#This Row],[Colonne1]],"!$B$2:$B$243"))))</f>
        <v>0</v>
      </c>
      <c r="I52" s="3">
        <f ca="1">INDEX(INDIRECT(CONCATENATE("Tab_",Tab_Calculs[[#This Row],[Colonne1]])),Tab_Calculs[[#This Row],[index_date_livraison]],1)</f>
        <v>0</v>
      </c>
      <c r="J52">
        <f ca="1">MATCH(Tab_Calculs[[#This Row],[Date_livraison]],INDIRECT(CONCATENATE("Tab_",Tab_Calculs[[#This Row],[Colonne1]],"[Fin de période]")),0)</f>
        <v>1</v>
      </c>
      <c r="K52" t="e">
        <f ca="1">INDEX(INDIRECT(CONCATENATE("Tab_",Tab_Calculs[[#This Row],[Colonne1]])),Tab_Calculs[[#This Row],[index_date_livraison]]-1,6)*(MAX(Tab_Calculs[[#This Row],[Début periode livraison]],Tab_Calculs[[#This Row],[Début mois]])-Tab_Calculs[[#This Row],[Début mois]])</f>
        <v>#VALUE!</v>
      </c>
      <c r="L52" s="94">
        <f ca="1">INDEX(INDIRECT(CONCATENATE("Tab_",Tab_Calculs[[#This Row],[Colonne1]])),Tab_Calculs[[#This Row],[index_date_livraison]],6)*(1+MIN(Tab_Calculs[[#This Row],[Date_livraison]],Tab_Calculs[[#This Row],[fin mois]])-MAX(Tab_Calculs[[#This Row],[Début mois]],Tab_Calculs[[#This Row],[Début periode livraison]]))</f>
        <v>0</v>
      </c>
      <c r="M52" s="94" t="e">
        <f ca="1">INDEX(INDIRECT(CONCATENATE("Tab_",Tab_Calculs[[#This Row],[Colonne1]])),Tab_Calculs[[#This Row],[index_date_livraison]]+1,6)*(Tab_Calculs[[#This Row],[fin mois]]-MIN(Tab_Calculs[[#This Row],[fin mois]],Tab_Calculs[[#This Row],[Date_livraison]]))</f>
        <v>#VALUE!</v>
      </c>
      <c r="N52" s="231" t="str">
        <f ca="1">IFERROR(Tab_Calculs[[#This Row],[Ratio_jour_après_livr]]+Tab_Calculs[[#This Row],[Ratio_jour_avant_livr]]+Tab_Calculs[[#This Row],[ratio_avant_debut]],"")</f>
        <v/>
      </c>
      <c r="O52" t="e">
        <f ca="1">INDEX(INDIRECT(CONCATENATE("Tab_",Tab_Calculs[[#This Row],[Colonne1]])),Tab_Calculs[[#This Row],[index_date_livraison]]-1,7)*(MAX(Tab_Calculs[[#This Row],[Début periode livraison]],Tab_Calculs[[#This Row],[Début mois]])-Tab_Calculs[[#This Row],[Début mois]])</f>
        <v>#VALUE!</v>
      </c>
      <c r="P52">
        <f ca="1">INDEX(INDIRECT(CONCATENATE("Tab_",Tab_Calculs[[#This Row],[Colonne1]])),Tab_Calculs[[#This Row],[index_date_livraison]],7)*(1+MIN(Tab_Calculs[[#This Row],[Date_livraison]],Tab_Calculs[[#This Row],[fin mois]])-MAX(Tab_Calculs[[#This Row],[Début mois]],Tab_Calculs[[#This Row],[Début periode livraison]]))</f>
        <v>0</v>
      </c>
      <c r="Q52" t="e">
        <f ca="1">INDEX(INDIRECT(CONCATENATE("Tab_",Tab_Calculs[[#This Row],[Colonne1]])),Tab_Calculs[[#This Row],[index_date_livraison]]+1,7)*(Tab_Calculs[[#This Row],[fin mois]]-MIN(Tab_Calculs[[#This Row],[fin mois]],Tab_Calculs[[#This Row],[Date_livraison]]))</f>
        <v>#VALUE!</v>
      </c>
      <c r="R52" t="e">
        <f ca="1">Tab_Calculs[[#This Row],[Ratio_Cout_après_livr]]+Tab_Calculs[[#This Row],[Ratio_Cout_avant_livr]]+Tab_Calculs[[#This Row],[Ratio_Cout_avant_debut]]</f>
        <v>#VALUE!</v>
      </c>
      <c r="S52" t="str">
        <f ca="1">IFERROR(N52*VLOOKUP(Tab_Calculs[[#This Row],[Colonne1]],Controle_des_données!$B$7:$G$14,6,FALSE),"")</f>
        <v/>
      </c>
      <c r="T52" t="str">
        <f ca="1">IF(Tab_Calculs[[#This Row],[Combustible ]]="Electricité (kWh)",Tab_Calculs[[#This Row],[Conso_mois_kWh]]*2.3,Tab_Calculs[[#This Row],[Conso_mois_kWh]])</f>
        <v/>
      </c>
      <c r="U52" t="str">
        <f ca="1">IFERROR(N52*VLOOKUP(Tab_Calculs[[#This Row],[Colonne1]],Controle_des_données!$B$7:$H$14,7,FALSE),"")</f>
        <v/>
      </c>
      <c r="V52">
        <f ca="1">IFERROR(Tab_Calculs[[#This Row],[Cout_mois]]/Tab_Calculs[[#This Row],[Conso_mois_kWh]],0)</f>
        <v>0</v>
      </c>
      <c r="W52" t="str">
        <f>T(VLOOKUP(Tab_Calculs[[#This Row],[Compteur]],Site!$B$33:$G$40,3,FALSE))</f>
        <v/>
      </c>
      <c r="X52" t="str">
        <f>T(VLOOKUP(Tab_Calculs[[#This Row],[Compteur]],Site!$B$33:$G$40,4,FALSE))</f>
        <v/>
      </c>
      <c r="Y52" t="str">
        <f>T(VLOOKUP(Tab_Calculs[[#This Row],[Compteur]],Site!$B$33:$G$40,5,FALSE))</f>
        <v/>
      </c>
      <c r="Z52" t="str">
        <f>T(VLOOKUP(Tab_Calculs[[#This Row],[Compteur]],Site!$B$33:$G$40,6,FALSE))</f>
        <v/>
      </c>
      <c r="AA52">
        <f>IFERROR(GETPIVOTDATA("DJU(chauffagiste)",BDD_DJU!$P$13,"annee",Tab_Calculs[[#This Row],[ANNEE]],"mois_numero",Tab_Calculs[[#This Row],[MOIS]]),0)</f>
        <v>38.5</v>
      </c>
      <c r="AD52" s="233">
        <v>6</v>
      </c>
      <c r="AE52" s="221">
        <v>0</v>
      </c>
      <c r="AF52" s="221">
        <v>0</v>
      </c>
      <c r="AG52" s="221">
        <v>0</v>
      </c>
      <c r="AH52" s="221">
        <v>0</v>
      </c>
      <c r="AI52" s="221">
        <v>0</v>
      </c>
      <c r="AJ52" s="221">
        <v>0</v>
      </c>
      <c r="AK52" s="221">
        <v>0</v>
      </c>
      <c r="AL52" s="221">
        <v>0</v>
      </c>
      <c r="AM52" s="221">
        <v>0</v>
      </c>
      <c r="AN52" s="221">
        <v>0</v>
      </c>
      <c r="AO52" s="221">
        <v>0</v>
      </c>
      <c r="AP52" s="221">
        <v>0</v>
      </c>
      <c r="AQ52" s="221">
        <v>0</v>
      </c>
      <c r="AR52" s="221">
        <v>0</v>
      </c>
      <c r="AS52" s="221">
        <v>0</v>
      </c>
      <c r="AT52" s="221">
        <v>0</v>
      </c>
      <c r="AU52" s="221"/>
    </row>
    <row r="53" spans="1:47" x14ac:dyDescent="0.25">
      <c r="A53" s="3">
        <f>DATE(Tab_Calculs[[#This Row],[ANNEE]],Tab_Calculs[[#This Row],[MOIS]],1)</f>
        <v>41518</v>
      </c>
      <c r="B53" s="3">
        <f>EDATE(Tab_Calculs[[#This Row],[Début mois]],1)-1</f>
        <v>41547</v>
      </c>
      <c r="C53">
        <v>9</v>
      </c>
      <c r="D53">
        <v>2013</v>
      </c>
      <c r="E53" t="s">
        <v>80</v>
      </c>
      <c r="F53" t="str">
        <f>SUBSTITUTE(Tab_Calculs[[#This Row],[Compteur]]," ","_")</f>
        <v>Compteur_1</v>
      </c>
      <c r="G53" t="str">
        <f>T(INDEX(Site!$B$33:$G$40, MATCH(Tab_Calculs[[#This Row],[Compteur]], Site!$B$33:$B$40,0),2))</f>
        <v/>
      </c>
      <c r="H53" s="3">
        <f t="array" aca="1" ref="H53" ca="1">MIN(IF(INDIRECT(CONCATENATE(Tab_Calculs[[#This Row],[Colonne1]],"!$B$2:$B$243"))&gt;=Calculs_Consos!$A53,INDIRECT(CONCATENATE(Tab_Calculs[[#This Row],[Colonne1]],"!$B$2:$B$243"))))</f>
        <v>0</v>
      </c>
      <c r="I53" s="3">
        <f ca="1">INDEX(INDIRECT(CONCATENATE("Tab_",Tab_Calculs[[#This Row],[Colonne1]])),Tab_Calculs[[#This Row],[index_date_livraison]],1)</f>
        <v>0</v>
      </c>
      <c r="J53">
        <f ca="1">MATCH(Tab_Calculs[[#This Row],[Date_livraison]],INDIRECT(CONCATENATE("Tab_",Tab_Calculs[[#This Row],[Colonne1]],"[Fin de période]")),0)</f>
        <v>1</v>
      </c>
      <c r="K53" t="e">
        <f ca="1">INDEX(INDIRECT(CONCATENATE("Tab_",Tab_Calculs[[#This Row],[Colonne1]])),Tab_Calculs[[#This Row],[index_date_livraison]]-1,6)*(MAX(Tab_Calculs[[#This Row],[Début periode livraison]],Tab_Calculs[[#This Row],[Début mois]])-Tab_Calculs[[#This Row],[Début mois]])</f>
        <v>#VALUE!</v>
      </c>
      <c r="L53" s="94">
        <f ca="1">INDEX(INDIRECT(CONCATENATE("Tab_",Tab_Calculs[[#This Row],[Colonne1]])),Tab_Calculs[[#This Row],[index_date_livraison]],6)*(1+MIN(Tab_Calculs[[#This Row],[Date_livraison]],Tab_Calculs[[#This Row],[fin mois]])-MAX(Tab_Calculs[[#This Row],[Début mois]],Tab_Calculs[[#This Row],[Début periode livraison]]))</f>
        <v>0</v>
      </c>
      <c r="M53" s="94" t="e">
        <f ca="1">INDEX(INDIRECT(CONCATENATE("Tab_",Tab_Calculs[[#This Row],[Colonne1]])),Tab_Calculs[[#This Row],[index_date_livraison]]+1,6)*(Tab_Calculs[[#This Row],[fin mois]]-MIN(Tab_Calculs[[#This Row],[fin mois]],Tab_Calculs[[#This Row],[Date_livraison]]))</f>
        <v>#VALUE!</v>
      </c>
      <c r="N53" s="231" t="str">
        <f ca="1">IFERROR(Tab_Calculs[[#This Row],[Ratio_jour_après_livr]]+Tab_Calculs[[#This Row],[Ratio_jour_avant_livr]]+Tab_Calculs[[#This Row],[ratio_avant_debut]],"")</f>
        <v/>
      </c>
      <c r="O53" t="e">
        <f ca="1">INDEX(INDIRECT(CONCATENATE("Tab_",Tab_Calculs[[#This Row],[Colonne1]])),Tab_Calculs[[#This Row],[index_date_livraison]]-1,7)*(MAX(Tab_Calculs[[#This Row],[Début periode livraison]],Tab_Calculs[[#This Row],[Début mois]])-Tab_Calculs[[#This Row],[Début mois]])</f>
        <v>#VALUE!</v>
      </c>
      <c r="P53">
        <f ca="1">INDEX(INDIRECT(CONCATENATE("Tab_",Tab_Calculs[[#This Row],[Colonne1]])),Tab_Calculs[[#This Row],[index_date_livraison]],7)*(1+MIN(Tab_Calculs[[#This Row],[Date_livraison]],Tab_Calculs[[#This Row],[fin mois]])-MAX(Tab_Calculs[[#This Row],[Début mois]],Tab_Calculs[[#This Row],[Début periode livraison]]))</f>
        <v>0</v>
      </c>
      <c r="Q53" t="e">
        <f ca="1">INDEX(INDIRECT(CONCATENATE("Tab_",Tab_Calculs[[#This Row],[Colonne1]])),Tab_Calculs[[#This Row],[index_date_livraison]]+1,7)*(Tab_Calculs[[#This Row],[fin mois]]-MIN(Tab_Calculs[[#This Row],[fin mois]],Tab_Calculs[[#This Row],[Date_livraison]]))</f>
        <v>#VALUE!</v>
      </c>
      <c r="R53" t="e">
        <f ca="1">Tab_Calculs[[#This Row],[Ratio_Cout_après_livr]]+Tab_Calculs[[#This Row],[Ratio_Cout_avant_livr]]+Tab_Calculs[[#This Row],[Ratio_Cout_avant_debut]]</f>
        <v>#VALUE!</v>
      </c>
      <c r="S53" t="str">
        <f ca="1">IFERROR(N53*VLOOKUP(Tab_Calculs[[#This Row],[Colonne1]],Controle_des_données!$B$7:$G$14,6,FALSE),"")</f>
        <v/>
      </c>
      <c r="T53" t="str">
        <f ca="1">IF(Tab_Calculs[[#This Row],[Combustible ]]="Electricité (kWh)",Tab_Calculs[[#This Row],[Conso_mois_kWh]]*2.3,Tab_Calculs[[#This Row],[Conso_mois_kWh]])</f>
        <v/>
      </c>
      <c r="U53" t="str">
        <f ca="1">IFERROR(N53*VLOOKUP(Tab_Calculs[[#This Row],[Colonne1]],Controle_des_données!$B$7:$H$14,7,FALSE),"")</f>
        <v/>
      </c>
      <c r="V53">
        <f ca="1">IFERROR(Tab_Calculs[[#This Row],[Cout_mois]]/Tab_Calculs[[#This Row],[Conso_mois_kWh]],0)</f>
        <v>0</v>
      </c>
      <c r="W53" t="str">
        <f>T(VLOOKUP(Tab_Calculs[[#This Row],[Compteur]],Site!$B$33:$G$40,3,FALSE))</f>
        <v/>
      </c>
      <c r="X53" t="str">
        <f>T(VLOOKUP(Tab_Calculs[[#This Row],[Compteur]],Site!$B$33:$G$40,4,FALSE))</f>
        <v/>
      </c>
      <c r="Y53" t="str">
        <f>T(VLOOKUP(Tab_Calculs[[#This Row],[Compteur]],Site!$B$33:$G$40,5,FALSE))</f>
        <v/>
      </c>
      <c r="Z53" t="str">
        <f>T(VLOOKUP(Tab_Calculs[[#This Row],[Compteur]],Site!$B$33:$G$40,6,FALSE))</f>
        <v/>
      </c>
      <c r="AA53">
        <f>IFERROR(GETPIVOTDATA("DJU(chauffagiste)",BDD_DJU!$P$13,"annee",Tab_Calculs[[#This Row],[ANNEE]],"mois_numero",Tab_Calculs[[#This Row],[MOIS]]),0)</f>
        <v>69.2</v>
      </c>
      <c r="AD53" s="233">
        <v>7</v>
      </c>
      <c r="AE53" s="221">
        <v>0</v>
      </c>
      <c r="AF53" s="221">
        <v>0</v>
      </c>
      <c r="AG53" s="221">
        <v>0</v>
      </c>
      <c r="AH53" s="221">
        <v>0</v>
      </c>
      <c r="AI53" s="221">
        <v>0</v>
      </c>
      <c r="AJ53" s="221">
        <v>0</v>
      </c>
      <c r="AK53" s="221">
        <v>0</v>
      </c>
      <c r="AL53" s="221">
        <v>0</v>
      </c>
      <c r="AM53" s="221">
        <v>0</v>
      </c>
      <c r="AN53" s="221">
        <v>0</v>
      </c>
      <c r="AO53" s="221">
        <v>0</v>
      </c>
      <c r="AP53" s="221">
        <v>0</v>
      </c>
      <c r="AQ53" s="221">
        <v>0</v>
      </c>
      <c r="AR53" s="221">
        <v>0</v>
      </c>
      <c r="AS53" s="221">
        <v>0</v>
      </c>
      <c r="AT53" s="221">
        <v>0</v>
      </c>
      <c r="AU53" s="221"/>
    </row>
    <row r="54" spans="1:47" x14ac:dyDescent="0.25">
      <c r="A54" s="3">
        <f>DATE(Tab_Calculs[[#This Row],[ANNEE]],Tab_Calculs[[#This Row],[MOIS]],1)</f>
        <v>41548</v>
      </c>
      <c r="B54" s="3">
        <f>EDATE(Tab_Calculs[[#This Row],[Début mois]],1)-1</f>
        <v>41578</v>
      </c>
      <c r="C54">
        <v>10</v>
      </c>
      <c r="D54">
        <v>2013</v>
      </c>
      <c r="E54" t="s">
        <v>80</v>
      </c>
      <c r="F54" t="str">
        <f>SUBSTITUTE(Tab_Calculs[[#This Row],[Compteur]]," ","_")</f>
        <v>Compteur_1</v>
      </c>
      <c r="G54" t="str">
        <f>T(INDEX(Site!$B$33:$G$40, MATCH(Tab_Calculs[[#This Row],[Compteur]], Site!$B$33:$B$40,0),2))</f>
        <v/>
      </c>
      <c r="H54" s="3">
        <f t="array" aca="1" ref="H54" ca="1">MIN(IF(INDIRECT(CONCATENATE(Tab_Calculs[[#This Row],[Colonne1]],"!$B$2:$B$243"))&gt;=Calculs_Consos!$A54,INDIRECT(CONCATENATE(Tab_Calculs[[#This Row],[Colonne1]],"!$B$2:$B$243"))))</f>
        <v>0</v>
      </c>
      <c r="I54" s="3">
        <f ca="1">INDEX(INDIRECT(CONCATENATE("Tab_",Tab_Calculs[[#This Row],[Colonne1]])),Tab_Calculs[[#This Row],[index_date_livraison]],1)</f>
        <v>0</v>
      </c>
      <c r="J54">
        <f ca="1">MATCH(Tab_Calculs[[#This Row],[Date_livraison]],INDIRECT(CONCATENATE("Tab_",Tab_Calculs[[#This Row],[Colonne1]],"[Fin de période]")),0)</f>
        <v>1</v>
      </c>
      <c r="K54" t="e">
        <f ca="1">INDEX(INDIRECT(CONCATENATE("Tab_",Tab_Calculs[[#This Row],[Colonne1]])),Tab_Calculs[[#This Row],[index_date_livraison]]-1,6)*(MAX(Tab_Calculs[[#This Row],[Début periode livraison]],Tab_Calculs[[#This Row],[Début mois]])-Tab_Calculs[[#This Row],[Début mois]])</f>
        <v>#VALUE!</v>
      </c>
      <c r="L54" s="94">
        <f ca="1">INDEX(INDIRECT(CONCATENATE("Tab_",Tab_Calculs[[#This Row],[Colonne1]])),Tab_Calculs[[#This Row],[index_date_livraison]],6)*(1+MIN(Tab_Calculs[[#This Row],[Date_livraison]],Tab_Calculs[[#This Row],[fin mois]])-MAX(Tab_Calculs[[#This Row],[Début mois]],Tab_Calculs[[#This Row],[Début periode livraison]]))</f>
        <v>0</v>
      </c>
      <c r="M54" s="94" t="e">
        <f ca="1">INDEX(INDIRECT(CONCATENATE("Tab_",Tab_Calculs[[#This Row],[Colonne1]])),Tab_Calculs[[#This Row],[index_date_livraison]]+1,6)*(Tab_Calculs[[#This Row],[fin mois]]-MIN(Tab_Calculs[[#This Row],[fin mois]],Tab_Calculs[[#This Row],[Date_livraison]]))</f>
        <v>#VALUE!</v>
      </c>
      <c r="N54" s="231" t="str">
        <f ca="1">IFERROR(Tab_Calculs[[#This Row],[Ratio_jour_après_livr]]+Tab_Calculs[[#This Row],[Ratio_jour_avant_livr]]+Tab_Calculs[[#This Row],[ratio_avant_debut]],"")</f>
        <v/>
      </c>
      <c r="O54" t="e">
        <f ca="1">INDEX(INDIRECT(CONCATENATE("Tab_",Tab_Calculs[[#This Row],[Colonne1]])),Tab_Calculs[[#This Row],[index_date_livraison]]-1,7)*(MAX(Tab_Calculs[[#This Row],[Début periode livraison]],Tab_Calculs[[#This Row],[Début mois]])-Tab_Calculs[[#This Row],[Début mois]])</f>
        <v>#VALUE!</v>
      </c>
      <c r="P54">
        <f ca="1">INDEX(INDIRECT(CONCATENATE("Tab_",Tab_Calculs[[#This Row],[Colonne1]])),Tab_Calculs[[#This Row],[index_date_livraison]],7)*(1+MIN(Tab_Calculs[[#This Row],[Date_livraison]],Tab_Calculs[[#This Row],[fin mois]])-MAX(Tab_Calculs[[#This Row],[Début mois]],Tab_Calculs[[#This Row],[Début periode livraison]]))</f>
        <v>0</v>
      </c>
      <c r="Q54" t="e">
        <f ca="1">INDEX(INDIRECT(CONCATENATE("Tab_",Tab_Calculs[[#This Row],[Colonne1]])),Tab_Calculs[[#This Row],[index_date_livraison]]+1,7)*(Tab_Calculs[[#This Row],[fin mois]]-MIN(Tab_Calculs[[#This Row],[fin mois]],Tab_Calculs[[#This Row],[Date_livraison]]))</f>
        <v>#VALUE!</v>
      </c>
      <c r="R54" t="e">
        <f ca="1">Tab_Calculs[[#This Row],[Ratio_Cout_après_livr]]+Tab_Calculs[[#This Row],[Ratio_Cout_avant_livr]]+Tab_Calculs[[#This Row],[Ratio_Cout_avant_debut]]</f>
        <v>#VALUE!</v>
      </c>
      <c r="S54" t="str">
        <f ca="1">IFERROR(N54*VLOOKUP(Tab_Calculs[[#This Row],[Colonne1]],Controle_des_données!$B$7:$G$14,6,FALSE),"")</f>
        <v/>
      </c>
      <c r="T54" t="str">
        <f ca="1">IF(Tab_Calculs[[#This Row],[Combustible ]]="Electricité (kWh)",Tab_Calculs[[#This Row],[Conso_mois_kWh]]*2.3,Tab_Calculs[[#This Row],[Conso_mois_kWh]])</f>
        <v/>
      </c>
      <c r="U54" t="str">
        <f ca="1">IFERROR(N54*VLOOKUP(Tab_Calculs[[#This Row],[Colonne1]],Controle_des_données!$B$7:$H$14,7,FALSE),"")</f>
        <v/>
      </c>
      <c r="V54">
        <f ca="1">IFERROR(Tab_Calculs[[#This Row],[Cout_mois]]/Tab_Calculs[[#This Row],[Conso_mois_kWh]],0)</f>
        <v>0</v>
      </c>
      <c r="W54" t="str">
        <f>T(VLOOKUP(Tab_Calculs[[#This Row],[Compteur]],Site!$B$33:$G$40,3,FALSE))</f>
        <v/>
      </c>
      <c r="X54" t="str">
        <f>T(VLOOKUP(Tab_Calculs[[#This Row],[Compteur]],Site!$B$33:$G$40,4,FALSE))</f>
        <v/>
      </c>
      <c r="Y54" t="str">
        <f>T(VLOOKUP(Tab_Calculs[[#This Row],[Compteur]],Site!$B$33:$G$40,5,FALSE))</f>
        <v/>
      </c>
      <c r="Z54" t="str">
        <f>T(VLOOKUP(Tab_Calculs[[#This Row],[Compteur]],Site!$B$33:$G$40,6,FALSE))</f>
        <v/>
      </c>
      <c r="AA54">
        <f>IFERROR(GETPIVOTDATA("DJU(chauffagiste)",BDD_DJU!$P$13,"annee",Tab_Calculs[[#This Row],[ANNEE]],"mois_numero",Tab_Calculs[[#This Row],[MOIS]]),0)</f>
        <v>122.6</v>
      </c>
      <c r="AD54" s="233">
        <v>8</v>
      </c>
      <c r="AE54" s="221">
        <v>0</v>
      </c>
      <c r="AF54" s="221">
        <v>0</v>
      </c>
      <c r="AG54" s="221">
        <v>0</v>
      </c>
      <c r="AH54" s="221">
        <v>0</v>
      </c>
      <c r="AI54" s="221">
        <v>0</v>
      </c>
      <c r="AJ54" s="221">
        <v>0</v>
      </c>
      <c r="AK54" s="221">
        <v>0</v>
      </c>
      <c r="AL54" s="221">
        <v>0</v>
      </c>
      <c r="AM54" s="221">
        <v>0</v>
      </c>
      <c r="AN54" s="221">
        <v>0</v>
      </c>
      <c r="AO54" s="221">
        <v>0</v>
      </c>
      <c r="AP54" s="221">
        <v>0</v>
      </c>
      <c r="AQ54" s="221">
        <v>0</v>
      </c>
      <c r="AR54" s="221">
        <v>0</v>
      </c>
      <c r="AS54" s="221">
        <v>0</v>
      </c>
      <c r="AT54" s="221">
        <v>0</v>
      </c>
      <c r="AU54" s="221"/>
    </row>
    <row r="55" spans="1:47" x14ac:dyDescent="0.25">
      <c r="A55" s="3">
        <f>DATE(Tab_Calculs[[#This Row],[ANNEE]],Tab_Calculs[[#This Row],[MOIS]],1)</f>
        <v>41579</v>
      </c>
      <c r="B55" s="3">
        <f>EDATE(Tab_Calculs[[#This Row],[Début mois]],1)-1</f>
        <v>41608</v>
      </c>
      <c r="C55">
        <v>11</v>
      </c>
      <c r="D55">
        <v>2013</v>
      </c>
      <c r="E55" t="s">
        <v>80</v>
      </c>
      <c r="F55" t="str">
        <f>SUBSTITUTE(Tab_Calculs[[#This Row],[Compteur]]," ","_")</f>
        <v>Compteur_1</v>
      </c>
      <c r="G55" t="str">
        <f>T(INDEX(Site!$B$33:$G$40, MATCH(Tab_Calculs[[#This Row],[Compteur]], Site!$B$33:$B$40,0),2))</f>
        <v/>
      </c>
      <c r="H55" s="3">
        <f t="array" aca="1" ref="H55" ca="1">MIN(IF(INDIRECT(CONCATENATE(Tab_Calculs[[#This Row],[Colonne1]],"!$B$2:$B$243"))&gt;=Calculs_Consos!$A55,INDIRECT(CONCATENATE(Tab_Calculs[[#This Row],[Colonne1]],"!$B$2:$B$243"))))</f>
        <v>0</v>
      </c>
      <c r="I55" s="3">
        <f ca="1">INDEX(INDIRECT(CONCATENATE("Tab_",Tab_Calculs[[#This Row],[Colonne1]])),Tab_Calculs[[#This Row],[index_date_livraison]],1)</f>
        <v>0</v>
      </c>
      <c r="J55">
        <f ca="1">MATCH(Tab_Calculs[[#This Row],[Date_livraison]],INDIRECT(CONCATENATE("Tab_",Tab_Calculs[[#This Row],[Colonne1]],"[Fin de période]")),0)</f>
        <v>1</v>
      </c>
      <c r="K55" t="e">
        <f ca="1">INDEX(INDIRECT(CONCATENATE("Tab_",Tab_Calculs[[#This Row],[Colonne1]])),Tab_Calculs[[#This Row],[index_date_livraison]]-1,6)*(MAX(Tab_Calculs[[#This Row],[Début periode livraison]],Tab_Calculs[[#This Row],[Début mois]])-Tab_Calculs[[#This Row],[Début mois]])</f>
        <v>#VALUE!</v>
      </c>
      <c r="L55" s="94">
        <f ca="1">INDEX(INDIRECT(CONCATENATE("Tab_",Tab_Calculs[[#This Row],[Colonne1]])),Tab_Calculs[[#This Row],[index_date_livraison]],6)*(1+MIN(Tab_Calculs[[#This Row],[Date_livraison]],Tab_Calculs[[#This Row],[fin mois]])-MAX(Tab_Calculs[[#This Row],[Début mois]],Tab_Calculs[[#This Row],[Début periode livraison]]))</f>
        <v>0</v>
      </c>
      <c r="M55" s="94" t="e">
        <f ca="1">INDEX(INDIRECT(CONCATENATE("Tab_",Tab_Calculs[[#This Row],[Colonne1]])),Tab_Calculs[[#This Row],[index_date_livraison]]+1,6)*(Tab_Calculs[[#This Row],[fin mois]]-MIN(Tab_Calculs[[#This Row],[fin mois]],Tab_Calculs[[#This Row],[Date_livraison]]))</f>
        <v>#VALUE!</v>
      </c>
      <c r="N55" s="231" t="str">
        <f ca="1">IFERROR(Tab_Calculs[[#This Row],[Ratio_jour_après_livr]]+Tab_Calculs[[#This Row],[Ratio_jour_avant_livr]]+Tab_Calculs[[#This Row],[ratio_avant_debut]],"")</f>
        <v/>
      </c>
      <c r="O55" t="e">
        <f ca="1">INDEX(INDIRECT(CONCATENATE("Tab_",Tab_Calculs[[#This Row],[Colonne1]])),Tab_Calculs[[#This Row],[index_date_livraison]]-1,7)*(MAX(Tab_Calculs[[#This Row],[Début periode livraison]],Tab_Calculs[[#This Row],[Début mois]])-Tab_Calculs[[#This Row],[Début mois]])</f>
        <v>#VALUE!</v>
      </c>
      <c r="P55">
        <f ca="1">INDEX(INDIRECT(CONCATENATE("Tab_",Tab_Calculs[[#This Row],[Colonne1]])),Tab_Calculs[[#This Row],[index_date_livraison]],7)*(1+MIN(Tab_Calculs[[#This Row],[Date_livraison]],Tab_Calculs[[#This Row],[fin mois]])-MAX(Tab_Calculs[[#This Row],[Début mois]],Tab_Calculs[[#This Row],[Début periode livraison]]))</f>
        <v>0</v>
      </c>
      <c r="Q55" t="e">
        <f ca="1">INDEX(INDIRECT(CONCATENATE("Tab_",Tab_Calculs[[#This Row],[Colonne1]])),Tab_Calculs[[#This Row],[index_date_livraison]]+1,7)*(Tab_Calculs[[#This Row],[fin mois]]-MIN(Tab_Calculs[[#This Row],[fin mois]],Tab_Calculs[[#This Row],[Date_livraison]]))</f>
        <v>#VALUE!</v>
      </c>
      <c r="R55" t="e">
        <f ca="1">Tab_Calculs[[#This Row],[Ratio_Cout_après_livr]]+Tab_Calculs[[#This Row],[Ratio_Cout_avant_livr]]+Tab_Calculs[[#This Row],[Ratio_Cout_avant_debut]]</f>
        <v>#VALUE!</v>
      </c>
      <c r="S55" t="str">
        <f ca="1">IFERROR(N55*VLOOKUP(Tab_Calculs[[#This Row],[Colonne1]],Controle_des_données!$B$7:$G$14,6,FALSE),"")</f>
        <v/>
      </c>
      <c r="T55" t="str">
        <f ca="1">IF(Tab_Calculs[[#This Row],[Combustible ]]="Electricité (kWh)",Tab_Calculs[[#This Row],[Conso_mois_kWh]]*2.3,Tab_Calculs[[#This Row],[Conso_mois_kWh]])</f>
        <v/>
      </c>
      <c r="U55" t="str">
        <f ca="1">IFERROR(N55*VLOOKUP(Tab_Calculs[[#This Row],[Colonne1]],Controle_des_données!$B$7:$H$14,7,FALSE),"")</f>
        <v/>
      </c>
      <c r="V55">
        <f ca="1">IFERROR(Tab_Calculs[[#This Row],[Cout_mois]]/Tab_Calculs[[#This Row],[Conso_mois_kWh]],0)</f>
        <v>0</v>
      </c>
      <c r="W55" t="str">
        <f>T(VLOOKUP(Tab_Calculs[[#This Row],[Compteur]],Site!$B$33:$G$40,3,FALSE))</f>
        <v/>
      </c>
      <c r="X55" t="str">
        <f>T(VLOOKUP(Tab_Calculs[[#This Row],[Compteur]],Site!$B$33:$G$40,4,FALSE))</f>
        <v/>
      </c>
      <c r="Y55" t="str">
        <f>T(VLOOKUP(Tab_Calculs[[#This Row],[Compteur]],Site!$B$33:$G$40,5,FALSE))</f>
        <v/>
      </c>
      <c r="Z55" t="str">
        <f>T(VLOOKUP(Tab_Calculs[[#This Row],[Compteur]],Site!$B$33:$G$40,6,FALSE))</f>
        <v/>
      </c>
      <c r="AA55">
        <f>IFERROR(GETPIVOTDATA("DJU(chauffagiste)",BDD_DJU!$P$13,"annee",Tab_Calculs[[#This Row],[ANNEE]],"mois_numero",Tab_Calculs[[#This Row],[MOIS]]),0)</f>
        <v>311.10000000000002</v>
      </c>
      <c r="AD55" s="233">
        <v>9</v>
      </c>
      <c r="AE55" s="221">
        <v>0</v>
      </c>
      <c r="AF55" s="221">
        <v>0</v>
      </c>
      <c r="AG55" s="221">
        <v>0</v>
      </c>
      <c r="AH55" s="221">
        <v>0</v>
      </c>
      <c r="AI55" s="221">
        <v>0</v>
      </c>
      <c r="AJ55" s="221">
        <v>0</v>
      </c>
      <c r="AK55" s="221">
        <v>0</v>
      </c>
      <c r="AL55" s="221">
        <v>0</v>
      </c>
      <c r="AM55" s="221">
        <v>0</v>
      </c>
      <c r="AN55" s="221">
        <v>0</v>
      </c>
      <c r="AO55" s="221">
        <v>0</v>
      </c>
      <c r="AP55" s="221">
        <v>0</v>
      </c>
      <c r="AQ55" s="221">
        <v>0</v>
      </c>
      <c r="AR55" s="221">
        <v>0</v>
      </c>
      <c r="AS55" s="221">
        <v>0</v>
      </c>
      <c r="AT55" s="221">
        <v>0</v>
      </c>
      <c r="AU55" s="221"/>
    </row>
    <row r="56" spans="1:47" x14ac:dyDescent="0.25">
      <c r="A56" s="3">
        <f>DATE(Tab_Calculs[[#This Row],[ANNEE]],Tab_Calculs[[#This Row],[MOIS]],1)</f>
        <v>41609</v>
      </c>
      <c r="B56" s="3">
        <f>EDATE(Tab_Calculs[[#This Row],[Début mois]],1)-1</f>
        <v>41639</v>
      </c>
      <c r="C56">
        <v>12</v>
      </c>
      <c r="D56">
        <v>2013</v>
      </c>
      <c r="E56" t="s">
        <v>80</v>
      </c>
      <c r="F56" t="str">
        <f>SUBSTITUTE(Tab_Calculs[[#This Row],[Compteur]]," ","_")</f>
        <v>Compteur_1</v>
      </c>
      <c r="G56" t="str">
        <f>T(INDEX(Site!$B$33:$G$40, MATCH(Tab_Calculs[[#This Row],[Compteur]], Site!$B$33:$B$40,0),2))</f>
        <v/>
      </c>
      <c r="H56" s="3">
        <f t="array" aca="1" ref="H56" ca="1">MIN(IF(INDIRECT(CONCATENATE(Tab_Calculs[[#This Row],[Colonne1]],"!$B$2:$B$243"))&gt;=Calculs_Consos!$A56,INDIRECT(CONCATENATE(Tab_Calculs[[#This Row],[Colonne1]],"!$B$2:$B$243"))))</f>
        <v>0</v>
      </c>
      <c r="I56" s="3">
        <f ca="1">INDEX(INDIRECT(CONCATENATE("Tab_",Tab_Calculs[[#This Row],[Colonne1]])),Tab_Calculs[[#This Row],[index_date_livraison]],1)</f>
        <v>0</v>
      </c>
      <c r="J56">
        <f ca="1">MATCH(Tab_Calculs[[#This Row],[Date_livraison]],INDIRECT(CONCATENATE("Tab_",Tab_Calculs[[#This Row],[Colonne1]],"[Fin de période]")),0)</f>
        <v>1</v>
      </c>
      <c r="K56" t="e">
        <f ca="1">INDEX(INDIRECT(CONCATENATE("Tab_",Tab_Calculs[[#This Row],[Colonne1]])),Tab_Calculs[[#This Row],[index_date_livraison]]-1,6)*(MAX(Tab_Calculs[[#This Row],[Début periode livraison]],Tab_Calculs[[#This Row],[Début mois]])-Tab_Calculs[[#This Row],[Début mois]])</f>
        <v>#VALUE!</v>
      </c>
      <c r="L56" s="94">
        <f ca="1">INDEX(INDIRECT(CONCATENATE("Tab_",Tab_Calculs[[#This Row],[Colonne1]])),Tab_Calculs[[#This Row],[index_date_livraison]],6)*(1+MIN(Tab_Calculs[[#This Row],[Date_livraison]],Tab_Calculs[[#This Row],[fin mois]])-MAX(Tab_Calculs[[#This Row],[Début mois]],Tab_Calculs[[#This Row],[Début periode livraison]]))</f>
        <v>0</v>
      </c>
      <c r="M56" s="94" t="e">
        <f ca="1">INDEX(INDIRECT(CONCATENATE("Tab_",Tab_Calculs[[#This Row],[Colonne1]])),Tab_Calculs[[#This Row],[index_date_livraison]]+1,6)*(Tab_Calculs[[#This Row],[fin mois]]-MIN(Tab_Calculs[[#This Row],[fin mois]],Tab_Calculs[[#This Row],[Date_livraison]]))</f>
        <v>#VALUE!</v>
      </c>
      <c r="N56" s="231" t="str">
        <f ca="1">IFERROR(Tab_Calculs[[#This Row],[Ratio_jour_après_livr]]+Tab_Calculs[[#This Row],[Ratio_jour_avant_livr]]+Tab_Calculs[[#This Row],[ratio_avant_debut]],"")</f>
        <v/>
      </c>
      <c r="O56" t="e">
        <f ca="1">INDEX(INDIRECT(CONCATENATE("Tab_",Tab_Calculs[[#This Row],[Colonne1]])),Tab_Calculs[[#This Row],[index_date_livraison]]-1,7)*(MAX(Tab_Calculs[[#This Row],[Début periode livraison]],Tab_Calculs[[#This Row],[Début mois]])-Tab_Calculs[[#This Row],[Début mois]])</f>
        <v>#VALUE!</v>
      </c>
      <c r="P56">
        <f ca="1">INDEX(INDIRECT(CONCATENATE("Tab_",Tab_Calculs[[#This Row],[Colonne1]])),Tab_Calculs[[#This Row],[index_date_livraison]],7)*(1+MIN(Tab_Calculs[[#This Row],[Date_livraison]],Tab_Calculs[[#This Row],[fin mois]])-MAX(Tab_Calculs[[#This Row],[Début mois]],Tab_Calculs[[#This Row],[Début periode livraison]]))</f>
        <v>0</v>
      </c>
      <c r="Q56" t="e">
        <f ca="1">INDEX(INDIRECT(CONCATENATE("Tab_",Tab_Calculs[[#This Row],[Colonne1]])),Tab_Calculs[[#This Row],[index_date_livraison]]+1,7)*(Tab_Calculs[[#This Row],[fin mois]]-MIN(Tab_Calculs[[#This Row],[fin mois]],Tab_Calculs[[#This Row],[Date_livraison]]))</f>
        <v>#VALUE!</v>
      </c>
      <c r="R56" t="e">
        <f ca="1">Tab_Calculs[[#This Row],[Ratio_Cout_après_livr]]+Tab_Calculs[[#This Row],[Ratio_Cout_avant_livr]]+Tab_Calculs[[#This Row],[Ratio_Cout_avant_debut]]</f>
        <v>#VALUE!</v>
      </c>
      <c r="S56" t="str">
        <f ca="1">IFERROR(N56*VLOOKUP(Tab_Calculs[[#This Row],[Colonne1]],Controle_des_données!$B$7:$G$14,6,FALSE),"")</f>
        <v/>
      </c>
      <c r="T56" t="str">
        <f ca="1">IF(Tab_Calculs[[#This Row],[Combustible ]]="Electricité (kWh)",Tab_Calculs[[#This Row],[Conso_mois_kWh]]*2.3,Tab_Calculs[[#This Row],[Conso_mois_kWh]])</f>
        <v/>
      </c>
      <c r="U56" t="str">
        <f ca="1">IFERROR(N56*VLOOKUP(Tab_Calculs[[#This Row],[Colonne1]],Controle_des_données!$B$7:$H$14,7,FALSE),"")</f>
        <v/>
      </c>
      <c r="V56">
        <f ca="1">IFERROR(Tab_Calculs[[#This Row],[Cout_mois]]/Tab_Calculs[[#This Row],[Conso_mois_kWh]],0)</f>
        <v>0</v>
      </c>
      <c r="W56" t="str">
        <f>T(VLOOKUP(Tab_Calculs[[#This Row],[Compteur]],Site!$B$33:$G$40,3,FALSE))</f>
        <v/>
      </c>
      <c r="X56" t="str">
        <f>T(VLOOKUP(Tab_Calculs[[#This Row],[Compteur]],Site!$B$33:$G$40,4,FALSE))</f>
        <v/>
      </c>
      <c r="Y56" t="str">
        <f>T(VLOOKUP(Tab_Calculs[[#This Row],[Compteur]],Site!$B$33:$G$40,5,FALSE))</f>
        <v/>
      </c>
      <c r="Z56" t="str">
        <f>T(VLOOKUP(Tab_Calculs[[#This Row],[Compteur]],Site!$B$33:$G$40,6,FALSE))</f>
        <v/>
      </c>
      <c r="AA56">
        <f>IFERROR(GETPIVOTDATA("DJU(chauffagiste)",BDD_DJU!$P$13,"annee",Tab_Calculs[[#This Row],[ANNEE]],"mois_numero",Tab_Calculs[[#This Row],[MOIS]]),0)</f>
        <v>380.4</v>
      </c>
      <c r="AD56" s="233">
        <v>10</v>
      </c>
      <c r="AE56" s="221">
        <v>0</v>
      </c>
      <c r="AF56" s="221">
        <v>0</v>
      </c>
      <c r="AG56" s="221">
        <v>0</v>
      </c>
      <c r="AH56" s="221">
        <v>0</v>
      </c>
      <c r="AI56" s="221">
        <v>0</v>
      </c>
      <c r="AJ56" s="221">
        <v>0</v>
      </c>
      <c r="AK56" s="221">
        <v>0</v>
      </c>
      <c r="AL56" s="221">
        <v>0</v>
      </c>
      <c r="AM56" s="221">
        <v>0</v>
      </c>
      <c r="AN56" s="221">
        <v>0</v>
      </c>
      <c r="AO56" s="221">
        <v>0</v>
      </c>
      <c r="AP56" s="221">
        <v>0</v>
      </c>
      <c r="AQ56" s="221">
        <v>0</v>
      </c>
      <c r="AR56" s="221">
        <v>0</v>
      </c>
      <c r="AS56" s="221">
        <v>0</v>
      </c>
      <c r="AT56" s="221">
        <v>0</v>
      </c>
      <c r="AU56" s="221"/>
    </row>
    <row r="57" spans="1:47" x14ac:dyDescent="0.25">
      <c r="A57" s="3">
        <f>DATE(Tab_Calculs[[#This Row],[ANNEE]],Tab_Calculs[[#This Row],[MOIS]],1)</f>
        <v>41640</v>
      </c>
      <c r="B57" s="3">
        <f>EDATE(Tab_Calculs[[#This Row],[Début mois]],1)-1</f>
        <v>41670</v>
      </c>
      <c r="C57">
        <v>1</v>
      </c>
      <c r="D57">
        <v>2014</v>
      </c>
      <c r="E57" t="s">
        <v>80</v>
      </c>
      <c r="F57" t="str">
        <f>SUBSTITUTE(Tab_Calculs[[#This Row],[Compteur]]," ","_")</f>
        <v>Compteur_1</v>
      </c>
      <c r="G57" t="str">
        <f>T(INDEX(Site!$B$33:$G$40, MATCH(Tab_Calculs[[#This Row],[Compteur]], Site!$B$33:$B$40,0),2))</f>
        <v/>
      </c>
      <c r="H57" s="3">
        <f t="array" aca="1" ref="H57" ca="1">MIN(IF(INDIRECT(CONCATENATE(Tab_Calculs[[#This Row],[Colonne1]],"!$B$2:$B$243"))&gt;=Calculs_Consos!$A57,INDIRECT(CONCATENATE(Tab_Calculs[[#This Row],[Colonne1]],"!$B$2:$B$243"))))</f>
        <v>0</v>
      </c>
      <c r="I57" s="3">
        <f ca="1">INDEX(INDIRECT(CONCATENATE("Tab_",Tab_Calculs[[#This Row],[Colonne1]])),Tab_Calculs[[#This Row],[index_date_livraison]],1)</f>
        <v>0</v>
      </c>
      <c r="J57">
        <f ca="1">MATCH(Tab_Calculs[[#This Row],[Date_livraison]],INDIRECT(CONCATENATE("Tab_",Tab_Calculs[[#This Row],[Colonne1]],"[Fin de période]")),0)</f>
        <v>1</v>
      </c>
      <c r="K57" t="e">
        <f ca="1">INDEX(INDIRECT(CONCATENATE("Tab_",Tab_Calculs[[#This Row],[Colonne1]])),Tab_Calculs[[#This Row],[index_date_livraison]]-1,6)*(MAX(Tab_Calculs[[#This Row],[Début periode livraison]],Tab_Calculs[[#This Row],[Début mois]])-Tab_Calculs[[#This Row],[Début mois]])</f>
        <v>#VALUE!</v>
      </c>
      <c r="L57" s="94">
        <f ca="1">INDEX(INDIRECT(CONCATENATE("Tab_",Tab_Calculs[[#This Row],[Colonne1]])),Tab_Calculs[[#This Row],[index_date_livraison]],6)*(1+MIN(Tab_Calculs[[#This Row],[Date_livraison]],Tab_Calculs[[#This Row],[fin mois]])-MAX(Tab_Calculs[[#This Row],[Début mois]],Tab_Calculs[[#This Row],[Début periode livraison]]))</f>
        <v>0</v>
      </c>
      <c r="M57" s="94" t="e">
        <f ca="1">INDEX(INDIRECT(CONCATENATE("Tab_",Tab_Calculs[[#This Row],[Colonne1]])),Tab_Calculs[[#This Row],[index_date_livraison]]+1,6)*(Tab_Calculs[[#This Row],[fin mois]]-MIN(Tab_Calculs[[#This Row],[fin mois]],Tab_Calculs[[#This Row],[Date_livraison]]))</f>
        <v>#VALUE!</v>
      </c>
      <c r="N57" s="231" t="str">
        <f ca="1">IFERROR(Tab_Calculs[[#This Row],[Ratio_jour_après_livr]]+Tab_Calculs[[#This Row],[Ratio_jour_avant_livr]]+Tab_Calculs[[#This Row],[ratio_avant_debut]],"")</f>
        <v/>
      </c>
      <c r="O57" t="e">
        <f ca="1">INDEX(INDIRECT(CONCATENATE("Tab_",Tab_Calculs[[#This Row],[Colonne1]])),Tab_Calculs[[#This Row],[index_date_livraison]]-1,7)*(MAX(Tab_Calculs[[#This Row],[Début periode livraison]],Tab_Calculs[[#This Row],[Début mois]])-Tab_Calculs[[#This Row],[Début mois]])</f>
        <v>#VALUE!</v>
      </c>
      <c r="P57">
        <f ca="1">INDEX(INDIRECT(CONCATENATE("Tab_",Tab_Calculs[[#This Row],[Colonne1]])),Tab_Calculs[[#This Row],[index_date_livraison]],7)*(1+MIN(Tab_Calculs[[#This Row],[Date_livraison]],Tab_Calculs[[#This Row],[fin mois]])-MAX(Tab_Calculs[[#This Row],[Début mois]],Tab_Calculs[[#This Row],[Début periode livraison]]))</f>
        <v>0</v>
      </c>
      <c r="Q57" t="e">
        <f ca="1">INDEX(INDIRECT(CONCATENATE("Tab_",Tab_Calculs[[#This Row],[Colonne1]])),Tab_Calculs[[#This Row],[index_date_livraison]]+1,7)*(Tab_Calculs[[#This Row],[fin mois]]-MIN(Tab_Calculs[[#This Row],[fin mois]],Tab_Calculs[[#This Row],[Date_livraison]]))</f>
        <v>#VALUE!</v>
      </c>
      <c r="R57" t="e">
        <f ca="1">Tab_Calculs[[#This Row],[Ratio_Cout_après_livr]]+Tab_Calculs[[#This Row],[Ratio_Cout_avant_livr]]+Tab_Calculs[[#This Row],[Ratio_Cout_avant_debut]]</f>
        <v>#VALUE!</v>
      </c>
      <c r="S57" t="str">
        <f ca="1">IFERROR(N57*VLOOKUP(Tab_Calculs[[#This Row],[Colonne1]],Controle_des_données!$B$7:$G$14,6,FALSE),"")</f>
        <v/>
      </c>
      <c r="T57" t="str">
        <f ca="1">IF(Tab_Calculs[[#This Row],[Combustible ]]="Electricité (kWh)",Tab_Calculs[[#This Row],[Conso_mois_kWh]]*2.3,Tab_Calculs[[#This Row],[Conso_mois_kWh]])</f>
        <v/>
      </c>
      <c r="U57" t="str">
        <f ca="1">IFERROR(N57*VLOOKUP(Tab_Calculs[[#This Row],[Colonne1]],Controle_des_données!$B$7:$H$14,7,FALSE),"")</f>
        <v/>
      </c>
      <c r="V57">
        <f ca="1">IFERROR(Tab_Calculs[[#This Row],[Cout_mois]]/Tab_Calculs[[#This Row],[Conso_mois_kWh]],0)</f>
        <v>0</v>
      </c>
      <c r="W57" t="str">
        <f>T(VLOOKUP(Tab_Calculs[[#This Row],[Compteur]],Site!$B$33:$G$40,3,FALSE))</f>
        <v/>
      </c>
      <c r="X57" t="str">
        <f>T(VLOOKUP(Tab_Calculs[[#This Row],[Compteur]],Site!$B$33:$G$40,4,FALSE))</f>
        <v/>
      </c>
      <c r="Y57" t="str">
        <f>T(VLOOKUP(Tab_Calculs[[#This Row],[Compteur]],Site!$B$33:$G$40,5,FALSE))</f>
        <v/>
      </c>
      <c r="Z57" t="str">
        <f>T(VLOOKUP(Tab_Calculs[[#This Row],[Compteur]],Site!$B$33:$G$40,6,FALSE))</f>
        <v/>
      </c>
      <c r="AA57">
        <f>IFERROR(GETPIVOTDATA("DJU(chauffagiste)",BDD_DJU!$P$13,"annee",Tab_Calculs[[#This Row],[ANNEE]],"mois_numero",Tab_Calculs[[#This Row],[MOIS]]),0)</f>
        <v>320.5</v>
      </c>
      <c r="AD57" s="233">
        <v>11</v>
      </c>
      <c r="AE57" s="221">
        <v>0</v>
      </c>
      <c r="AF57" s="221">
        <v>0</v>
      </c>
      <c r="AG57" s="221">
        <v>0</v>
      </c>
      <c r="AH57" s="221">
        <v>0</v>
      </c>
      <c r="AI57" s="221">
        <v>0</v>
      </c>
      <c r="AJ57" s="221">
        <v>0</v>
      </c>
      <c r="AK57" s="221">
        <v>0</v>
      </c>
      <c r="AL57" s="221">
        <v>0</v>
      </c>
      <c r="AM57" s="221">
        <v>0</v>
      </c>
      <c r="AN57" s="221">
        <v>0</v>
      </c>
      <c r="AO57" s="221">
        <v>0</v>
      </c>
      <c r="AP57" s="221">
        <v>0</v>
      </c>
      <c r="AQ57" s="221">
        <v>0</v>
      </c>
      <c r="AR57" s="221">
        <v>0</v>
      </c>
      <c r="AS57" s="221">
        <v>0</v>
      </c>
      <c r="AT57" s="221">
        <v>0</v>
      </c>
      <c r="AU57" s="221"/>
    </row>
    <row r="58" spans="1:47" x14ac:dyDescent="0.25">
      <c r="A58" s="3">
        <f>DATE(Tab_Calculs[[#This Row],[ANNEE]],Tab_Calculs[[#This Row],[MOIS]],1)</f>
        <v>41671</v>
      </c>
      <c r="B58" s="3">
        <f>EDATE(Tab_Calculs[[#This Row],[Début mois]],1)-1</f>
        <v>41698</v>
      </c>
      <c r="C58">
        <v>2</v>
      </c>
      <c r="D58">
        <v>2014</v>
      </c>
      <c r="E58" t="s">
        <v>80</v>
      </c>
      <c r="F58" t="str">
        <f>SUBSTITUTE(Tab_Calculs[[#This Row],[Compteur]]," ","_")</f>
        <v>Compteur_1</v>
      </c>
      <c r="G58" t="str">
        <f>T(INDEX(Site!$B$33:$G$40, MATCH(Tab_Calculs[[#This Row],[Compteur]], Site!$B$33:$B$40,0),2))</f>
        <v/>
      </c>
      <c r="H58" s="3">
        <f t="array" aca="1" ref="H58" ca="1">MIN(IF(INDIRECT(CONCATENATE(Tab_Calculs[[#This Row],[Colonne1]],"!$B$2:$B$243"))&gt;=Calculs_Consos!$A58,INDIRECT(CONCATENATE(Tab_Calculs[[#This Row],[Colonne1]],"!$B$2:$B$243"))))</f>
        <v>0</v>
      </c>
      <c r="I58" s="3">
        <f ca="1">INDEX(INDIRECT(CONCATENATE("Tab_",Tab_Calculs[[#This Row],[Colonne1]])),Tab_Calculs[[#This Row],[index_date_livraison]],1)</f>
        <v>0</v>
      </c>
      <c r="J58">
        <f ca="1">MATCH(Tab_Calculs[[#This Row],[Date_livraison]],INDIRECT(CONCATENATE("Tab_",Tab_Calculs[[#This Row],[Colonne1]],"[Fin de période]")),0)</f>
        <v>1</v>
      </c>
      <c r="K58" t="e">
        <f ca="1">INDEX(INDIRECT(CONCATENATE("Tab_",Tab_Calculs[[#This Row],[Colonne1]])),Tab_Calculs[[#This Row],[index_date_livraison]]-1,6)*(MAX(Tab_Calculs[[#This Row],[Début periode livraison]],Tab_Calculs[[#This Row],[Début mois]])-Tab_Calculs[[#This Row],[Début mois]])</f>
        <v>#VALUE!</v>
      </c>
      <c r="L58" s="94">
        <f ca="1">INDEX(INDIRECT(CONCATENATE("Tab_",Tab_Calculs[[#This Row],[Colonne1]])),Tab_Calculs[[#This Row],[index_date_livraison]],6)*(1+MIN(Tab_Calculs[[#This Row],[Date_livraison]],Tab_Calculs[[#This Row],[fin mois]])-MAX(Tab_Calculs[[#This Row],[Début mois]],Tab_Calculs[[#This Row],[Début periode livraison]]))</f>
        <v>0</v>
      </c>
      <c r="M58" s="94" t="e">
        <f ca="1">INDEX(INDIRECT(CONCATENATE("Tab_",Tab_Calculs[[#This Row],[Colonne1]])),Tab_Calculs[[#This Row],[index_date_livraison]]+1,6)*(Tab_Calculs[[#This Row],[fin mois]]-MIN(Tab_Calculs[[#This Row],[fin mois]],Tab_Calculs[[#This Row],[Date_livraison]]))</f>
        <v>#VALUE!</v>
      </c>
      <c r="N58" s="231" t="str">
        <f ca="1">IFERROR(Tab_Calculs[[#This Row],[Ratio_jour_après_livr]]+Tab_Calculs[[#This Row],[Ratio_jour_avant_livr]]+Tab_Calculs[[#This Row],[ratio_avant_debut]],"")</f>
        <v/>
      </c>
      <c r="O58" t="e">
        <f ca="1">INDEX(INDIRECT(CONCATENATE("Tab_",Tab_Calculs[[#This Row],[Colonne1]])),Tab_Calculs[[#This Row],[index_date_livraison]]-1,7)*(MAX(Tab_Calculs[[#This Row],[Début periode livraison]],Tab_Calculs[[#This Row],[Début mois]])-Tab_Calculs[[#This Row],[Début mois]])</f>
        <v>#VALUE!</v>
      </c>
      <c r="P58">
        <f ca="1">INDEX(INDIRECT(CONCATENATE("Tab_",Tab_Calculs[[#This Row],[Colonne1]])),Tab_Calculs[[#This Row],[index_date_livraison]],7)*(1+MIN(Tab_Calculs[[#This Row],[Date_livraison]],Tab_Calculs[[#This Row],[fin mois]])-MAX(Tab_Calculs[[#This Row],[Début mois]],Tab_Calculs[[#This Row],[Début periode livraison]]))</f>
        <v>0</v>
      </c>
      <c r="Q58" t="e">
        <f ca="1">INDEX(INDIRECT(CONCATENATE("Tab_",Tab_Calculs[[#This Row],[Colonne1]])),Tab_Calculs[[#This Row],[index_date_livraison]]+1,7)*(Tab_Calculs[[#This Row],[fin mois]]-MIN(Tab_Calculs[[#This Row],[fin mois]],Tab_Calculs[[#This Row],[Date_livraison]]))</f>
        <v>#VALUE!</v>
      </c>
      <c r="R58" t="e">
        <f ca="1">Tab_Calculs[[#This Row],[Ratio_Cout_après_livr]]+Tab_Calculs[[#This Row],[Ratio_Cout_avant_livr]]+Tab_Calculs[[#This Row],[Ratio_Cout_avant_debut]]</f>
        <v>#VALUE!</v>
      </c>
      <c r="S58" t="str">
        <f ca="1">IFERROR(N58*VLOOKUP(Tab_Calculs[[#This Row],[Colonne1]],Controle_des_données!$B$7:$G$14,6,FALSE),"")</f>
        <v/>
      </c>
      <c r="T58" t="str">
        <f ca="1">IF(Tab_Calculs[[#This Row],[Combustible ]]="Electricité (kWh)",Tab_Calculs[[#This Row],[Conso_mois_kWh]]*2.3,Tab_Calculs[[#This Row],[Conso_mois_kWh]])</f>
        <v/>
      </c>
      <c r="U58" t="str">
        <f ca="1">IFERROR(N58*VLOOKUP(Tab_Calculs[[#This Row],[Colonne1]],Controle_des_données!$B$7:$H$14,7,FALSE),"")</f>
        <v/>
      </c>
      <c r="V58">
        <f ca="1">IFERROR(Tab_Calculs[[#This Row],[Cout_mois]]/Tab_Calculs[[#This Row],[Conso_mois_kWh]],0)</f>
        <v>0</v>
      </c>
      <c r="W58" t="str">
        <f>T(VLOOKUP(Tab_Calculs[[#This Row],[Compteur]],Site!$B$33:$G$40,3,FALSE))</f>
        <v/>
      </c>
      <c r="X58" t="str">
        <f>T(VLOOKUP(Tab_Calculs[[#This Row],[Compteur]],Site!$B$33:$G$40,4,FALSE))</f>
        <v/>
      </c>
      <c r="Y58" t="str">
        <f>T(VLOOKUP(Tab_Calculs[[#This Row],[Compteur]],Site!$B$33:$G$40,5,FALSE))</f>
        <v/>
      </c>
      <c r="Z58" t="str">
        <f>T(VLOOKUP(Tab_Calculs[[#This Row],[Compteur]],Site!$B$33:$G$40,6,FALSE))</f>
        <v/>
      </c>
      <c r="AA58">
        <f>IFERROR(GETPIVOTDATA("DJU(chauffagiste)",BDD_DJU!$P$13,"annee",Tab_Calculs[[#This Row],[ANNEE]],"mois_numero",Tab_Calculs[[#This Row],[MOIS]]),0)</f>
        <v>281.3</v>
      </c>
      <c r="AD58" s="233">
        <v>12</v>
      </c>
      <c r="AE58" s="221">
        <v>0</v>
      </c>
      <c r="AF58" s="221">
        <v>0</v>
      </c>
      <c r="AG58" s="221">
        <v>0</v>
      </c>
      <c r="AH58" s="221">
        <v>0</v>
      </c>
      <c r="AI58" s="221">
        <v>0</v>
      </c>
      <c r="AJ58" s="221">
        <v>0</v>
      </c>
      <c r="AK58" s="221">
        <v>0</v>
      </c>
      <c r="AL58" s="221">
        <v>0</v>
      </c>
      <c r="AM58" s="221">
        <v>0</v>
      </c>
      <c r="AN58" s="221">
        <v>0</v>
      </c>
      <c r="AO58" s="221">
        <v>0</v>
      </c>
      <c r="AP58" s="221">
        <v>0</v>
      </c>
      <c r="AQ58" s="221">
        <v>0</v>
      </c>
      <c r="AR58" s="221">
        <v>0</v>
      </c>
      <c r="AS58" s="221">
        <v>0</v>
      </c>
      <c r="AT58" s="221">
        <v>0</v>
      </c>
      <c r="AU58" s="221"/>
    </row>
    <row r="59" spans="1:47" x14ac:dyDescent="0.25">
      <c r="A59" s="3">
        <f>DATE(Tab_Calculs[[#This Row],[ANNEE]],Tab_Calculs[[#This Row],[MOIS]],1)</f>
        <v>41699</v>
      </c>
      <c r="B59" s="3">
        <f>EDATE(Tab_Calculs[[#This Row],[Début mois]],1)-1</f>
        <v>41729</v>
      </c>
      <c r="C59">
        <v>3</v>
      </c>
      <c r="D59">
        <v>2014</v>
      </c>
      <c r="E59" t="s">
        <v>80</v>
      </c>
      <c r="F59" t="str">
        <f>SUBSTITUTE(Tab_Calculs[[#This Row],[Compteur]]," ","_")</f>
        <v>Compteur_1</v>
      </c>
      <c r="G59" t="str">
        <f>T(INDEX(Site!$B$33:$G$40, MATCH(Tab_Calculs[[#This Row],[Compteur]], Site!$B$33:$B$40,0),2))</f>
        <v/>
      </c>
      <c r="H59" s="3">
        <f t="array" aca="1" ref="H59" ca="1">MIN(IF(INDIRECT(CONCATENATE(Tab_Calculs[[#This Row],[Colonne1]],"!$B$2:$B$243"))&gt;=Calculs_Consos!$A59,INDIRECT(CONCATENATE(Tab_Calculs[[#This Row],[Colonne1]],"!$B$2:$B$243"))))</f>
        <v>0</v>
      </c>
      <c r="I59" s="3">
        <f ca="1">INDEX(INDIRECT(CONCATENATE("Tab_",Tab_Calculs[[#This Row],[Colonne1]])),Tab_Calculs[[#This Row],[index_date_livraison]],1)</f>
        <v>0</v>
      </c>
      <c r="J59">
        <f ca="1">MATCH(Tab_Calculs[[#This Row],[Date_livraison]],INDIRECT(CONCATENATE("Tab_",Tab_Calculs[[#This Row],[Colonne1]],"[Fin de période]")),0)</f>
        <v>1</v>
      </c>
      <c r="K59" t="e">
        <f ca="1">INDEX(INDIRECT(CONCATENATE("Tab_",Tab_Calculs[[#This Row],[Colonne1]])),Tab_Calculs[[#This Row],[index_date_livraison]]-1,6)*(MAX(Tab_Calculs[[#This Row],[Début periode livraison]],Tab_Calculs[[#This Row],[Début mois]])-Tab_Calculs[[#This Row],[Début mois]])</f>
        <v>#VALUE!</v>
      </c>
      <c r="L59" s="94">
        <f ca="1">INDEX(INDIRECT(CONCATENATE("Tab_",Tab_Calculs[[#This Row],[Colonne1]])),Tab_Calculs[[#This Row],[index_date_livraison]],6)*(1+MIN(Tab_Calculs[[#This Row],[Date_livraison]],Tab_Calculs[[#This Row],[fin mois]])-MAX(Tab_Calculs[[#This Row],[Début mois]],Tab_Calculs[[#This Row],[Début periode livraison]]))</f>
        <v>0</v>
      </c>
      <c r="M59" s="94" t="e">
        <f ca="1">INDEX(INDIRECT(CONCATENATE("Tab_",Tab_Calculs[[#This Row],[Colonne1]])),Tab_Calculs[[#This Row],[index_date_livraison]]+1,6)*(Tab_Calculs[[#This Row],[fin mois]]-MIN(Tab_Calculs[[#This Row],[fin mois]],Tab_Calculs[[#This Row],[Date_livraison]]))</f>
        <v>#VALUE!</v>
      </c>
      <c r="N59" s="231" t="str">
        <f ca="1">IFERROR(Tab_Calculs[[#This Row],[Ratio_jour_après_livr]]+Tab_Calculs[[#This Row],[Ratio_jour_avant_livr]]+Tab_Calculs[[#This Row],[ratio_avant_debut]],"")</f>
        <v/>
      </c>
      <c r="O59" t="e">
        <f ca="1">INDEX(INDIRECT(CONCATENATE("Tab_",Tab_Calculs[[#This Row],[Colonne1]])),Tab_Calculs[[#This Row],[index_date_livraison]]-1,7)*(MAX(Tab_Calculs[[#This Row],[Début periode livraison]],Tab_Calculs[[#This Row],[Début mois]])-Tab_Calculs[[#This Row],[Début mois]])</f>
        <v>#VALUE!</v>
      </c>
      <c r="P59">
        <f ca="1">INDEX(INDIRECT(CONCATENATE("Tab_",Tab_Calculs[[#This Row],[Colonne1]])),Tab_Calculs[[#This Row],[index_date_livraison]],7)*(1+MIN(Tab_Calculs[[#This Row],[Date_livraison]],Tab_Calculs[[#This Row],[fin mois]])-MAX(Tab_Calculs[[#This Row],[Début mois]],Tab_Calculs[[#This Row],[Début periode livraison]]))</f>
        <v>0</v>
      </c>
      <c r="Q59" t="e">
        <f ca="1">INDEX(INDIRECT(CONCATENATE("Tab_",Tab_Calculs[[#This Row],[Colonne1]])),Tab_Calculs[[#This Row],[index_date_livraison]]+1,7)*(Tab_Calculs[[#This Row],[fin mois]]-MIN(Tab_Calculs[[#This Row],[fin mois]],Tab_Calculs[[#This Row],[Date_livraison]]))</f>
        <v>#VALUE!</v>
      </c>
      <c r="R59" t="e">
        <f ca="1">Tab_Calculs[[#This Row],[Ratio_Cout_après_livr]]+Tab_Calculs[[#This Row],[Ratio_Cout_avant_livr]]+Tab_Calculs[[#This Row],[Ratio_Cout_avant_debut]]</f>
        <v>#VALUE!</v>
      </c>
      <c r="S59" t="str">
        <f ca="1">IFERROR(N59*VLOOKUP(Tab_Calculs[[#This Row],[Colonne1]],Controle_des_données!$B$7:$G$14,6,FALSE),"")</f>
        <v/>
      </c>
      <c r="T59" t="str">
        <f ca="1">IF(Tab_Calculs[[#This Row],[Combustible ]]="Electricité (kWh)",Tab_Calculs[[#This Row],[Conso_mois_kWh]]*2.3,Tab_Calculs[[#This Row],[Conso_mois_kWh]])</f>
        <v/>
      </c>
      <c r="U59" t="str">
        <f ca="1">IFERROR(N59*VLOOKUP(Tab_Calculs[[#This Row],[Colonne1]],Controle_des_données!$B$7:$H$14,7,FALSE),"")</f>
        <v/>
      </c>
      <c r="V59">
        <f ca="1">IFERROR(Tab_Calculs[[#This Row],[Cout_mois]]/Tab_Calculs[[#This Row],[Conso_mois_kWh]],0)</f>
        <v>0</v>
      </c>
      <c r="W59" t="str">
        <f>T(VLOOKUP(Tab_Calculs[[#This Row],[Compteur]],Site!$B$33:$G$40,3,FALSE))</f>
        <v/>
      </c>
      <c r="X59" t="str">
        <f>T(VLOOKUP(Tab_Calculs[[#This Row],[Compteur]],Site!$B$33:$G$40,4,FALSE))</f>
        <v/>
      </c>
      <c r="Y59" t="str">
        <f>T(VLOOKUP(Tab_Calculs[[#This Row],[Compteur]],Site!$B$33:$G$40,5,FALSE))</f>
        <v/>
      </c>
      <c r="Z59" t="str">
        <f>T(VLOOKUP(Tab_Calculs[[#This Row],[Compteur]],Site!$B$33:$G$40,6,FALSE))</f>
        <v/>
      </c>
      <c r="AA59">
        <f>IFERROR(GETPIVOTDATA("DJU(chauffagiste)",BDD_DJU!$P$13,"annee",Tab_Calculs[[#This Row],[ANNEE]],"mois_numero",Tab_Calculs[[#This Row],[MOIS]]),0)</f>
        <v>263.89999999999998</v>
      </c>
      <c r="AD59" s="233" t="s">
        <v>379</v>
      </c>
      <c r="AE59" s="221"/>
      <c r="AF59" s="221"/>
      <c r="AG59" s="221"/>
      <c r="AH59" s="221"/>
      <c r="AI59" s="221"/>
      <c r="AJ59" s="221"/>
      <c r="AK59" s="221"/>
      <c r="AL59" s="221"/>
      <c r="AM59" s="221"/>
      <c r="AN59" s="221"/>
      <c r="AO59" s="221"/>
      <c r="AP59" s="221"/>
      <c r="AQ59" s="221"/>
      <c r="AR59" s="221"/>
      <c r="AS59" s="221"/>
      <c r="AT59" s="221"/>
      <c r="AU59" s="221"/>
    </row>
    <row r="60" spans="1:47" x14ac:dyDescent="0.25">
      <c r="A60" s="3">
        <f>DATE(Tab_Calculs[[#This Row],[ANNEE]],Tab_Calculs[[#This Row],[MOIS]],1)</f>
        <v>41730</v>
      </c>
      <c r="B60" s="3">
        <f>EDATE(Tab_Calculs[[#This Row],[Début mois]],1)-1</f>
        <v>41759</v>
      </c>
      <c r="C60">
        <v>4</v>
      </c>
      <c r="D60">
        <v>2014</v>
      </c>
      <c r="E60" t="s">
        <v>80</v>
      </c>
      <c r="F60" t="str">
        <f>SUBSTITUTE(Tab_Calculs[[#This Row],[Compteur]]," ","_")</f>
        <v>Compteur_1</v>
      </c>
      <c r="G60" t="str">
        <f>T(INDEX(Site!$B$33:$G$40, MATCH(Tab_Calculs[[#This Row],[Compteur]], Site!$B$33:$B$40,0),2))</f>
        <v/>
      </c>
      <c r="H60" s="3">
        <f t="array" aca="1" ref="H60" ca="1">MIN(IF(INDIRECT(CONCATENATE(Tab_Calculs[[#This Row],[Colonne1]],"!$B$2:$B$243"))&gt;=Calculs_Consos!$A60,INDIRECT(CONCATENATE(Tab_Calculs[[#This Row],[Colonne1]],"!$B$2:$B$243"))))</f>
        <v>0</v>
      </c>
      <c r="I60" s="3">
        <f ca="1">INDEX(INDIRECT(CONCATENATE("Tab_",Tab_Calculs[[#This Row],[Colonne1]])),Tab_Calculs[[#This Row],[index_date_livraison]],1)</f>
        <v>0</v>
      </c>
      <c r="J60">
        <f ca="1">MATCH(Tab_Calculs[[#This Row],[Date_livraison]],INDIRECT(CONCATENATE("Tab_",Tab_Calculs[[#This Row],[Colonne1]],"[Fin de période]")),0)</f>
        <v>1</v>
      </c>
      <c r="K60" t="e">
        <f ca="1">INDEX(INDIRECT(CONCATENATE("Tab_",Tab_Calculs[[#This Row],[Colonne1]])),Tab_Calculs[[#This Row],[index_date_livraison]]-1,6)*(MAX(Tab_Calculs[[#This Row],[Début periode livraison]],Tab_Calculs[[#This Row],[Début mois]])-Tab_Calculs[[#This Row],[Début mois]])</f>
        <v>#VALUE!</v>
      </c>
      <c r="L60" s="94">
        <f ca="1">INDEX(INDIRECT(CONCATENATE("Tab_",Tab_Calculs[[#This Row],[Colonne1]])),Tab_Calculs[[#This Row],[index_date_livraison]],6)*(1+MIN(Tab_Calculs[[#This Row],[Date_livraison]],Tab_Calculs[[#This Row],[fin mois]])-MAX(Tab_Calculs[[#This Row],[Début mois]],Tab_Calculs[[#This Row],[Début periode livraison]]))</f>
        <v>0</v>
      </c>
      <c r="M60" s="94" t="e">
        <f ca="1">INDEX(INDIRECT(CONCATENATE("Tab_",Tab_Calculs[[#This Row],[Colonne1]])),Tab_Calculs[[#This Row],[index_date_livraison]]+1,6)*(Tab_Calculs[[#This Row],[fin mois]]-MIN(Tab_Calculs[[#This Row],[fin mois]],Tab_Calculs[[#This Row],[Date_livraison]]))</f>
        <v>#VALUE!</v>
      </c>
      <c r="N60" s="231" t="str">
        <f ca="1">IFERROR(Tab_Calculs[[#This Row],[Ratio_jour_après_livr]]+Tab_Calculs[[#This Row],[Ratio_jour_avant_livr]]+Tab_Calculs[[#This Row],[ratio_avant_debut]],"")</f>
        <v/>
      </c>
      <c r="O60" t="e">
        <f ca="1">INDEX(INDIRECT(CONCATENATE("Tab_",Tab_Calculs[[#This Row],[Colonne1]])),Tab_Calculs[[#This Row],[index_date_livraison]]-1,7)*(MAX(Tab_Calculs[[#This Row],[Début periode livraison]],Tab_Calculs[[#This Row],[Début mois]])-Tab_Calculs[[#This Row],[Début mois]])</f>
        <v>#VALUE!</v>
      </c>
      <c r="P60">
        <f ca="1">INDEX(INDIRECT(CONCATENATE("Tab_",Tab_Calculs[[#This Row],[Colonne1]])),Tab_Calculs[[#This Row],[index_date_livraison]],7)*(1+MIN(Tab_Calculs[[#This Row],[Date_livraison]],Tab_Calculs[[#This Row],[fin mois]])-MAX(Tab_Calculs[[#This Row],[Début mois]],Tab_Calculs[[#This Row],[Début periode livraison]]))</f>
        <v>0</v>
      </c>
      <c r="Q60" t="e">
        <f ca="1">INDEX(INDIRECT(CONCATENATE("Tab_",Tab_Calculs[[#This Row],[Colonne1]])),Tab_Calculs[[#This Row],[index_date_livraison]]+1,7)*(Tab_Calculs[[#This Row],[fin mois]]-MIN(Tab_Calculs[[#This Row],[fin mois]],Tab_Calculs[[#This Row],[Date_livraison]]))</f>
        <v>#VALUE!</v>
      </c>
      <c r="R60" t="e">
        <f ca="1">Tab_Calculs[[#This Row],[Ratio_Cout_après_livr]]+Tab_Calculs[[#This Row],[Ratio_Cout_avant_livr]]+Tab_Calculs[[#This Row],[Ratio_Cout_avant_debut]]</f>
        <v>#VALUE!</v>
      </c>
      <c r="S60" t="str">
        <f ca="1">IFERROR(N60*VLOOKUP(Tab_Calculs[[#This Row],[Colonne1]],Controle_des_données!$B$7:$G$14,6,FALSE),"")</f>
        <v/>
      </c>
      <c r="T60" t="str">
        <f ca="1">IF(Tab_Calculs[[#This Row],[Combustible ]]="Electricité (kWh)",Tab_Calculs[[#This Row],[Conso_mois_kWh]]*2.3,Tab_Calculs[[#This Row],[Conso_mois_kWh]])</f>
        <v/>
      </c>
      <c r="U60" t="str">
        <f ca="1">IFERROR(N60*VLOOKUP(Tab_Calculs[[#This Row],[Colonne1]],Controle_des_données!$B$7:$H$14,7,FALSE),"")</f>
        <v/>
      </c>
      <c r="V60">
        <f ca="1">IFERROR(Tab_Calculs[[#This Row],[Cout_mois]]/Tab_Calculs[[#This Row],[Conso_mois_kWh]],0)</f>
        <v>0</v>
      </c>
      <c r="W60" t="str">
        <f>T(VLOOKUP(Tab_Calculs[[#This Row],[Compteur]],Site!$B$33:$G$40,3,FALSE))</f>
        <v/>
      </c>
      <c r="X60" t="str">
        <f>T(VLOOKUP(Tab_Calculs[[#This Row],[Compteur]],Site!$B$33:$G$40,4,FALSE))</f>
        <v/>
      </c>
      <c r="Y60" t="str">
        <f>T(VLOOKUP(Tab_Calculs[[#This Row],[Compteur]],Site!$B$33:$G$40,5,FALSE))</f>
        <v/>
      </c>
      <c r="Z60" t="str">
        <f>T(VLOOKUP(Tab_Calculs[[#This Row],[Compteur]],Site!$B$33:$G$40,6,FALSE))</f>
        <v/>
      </c>
      <c r="AA60">
        <f>IFERROR(GETPIVOTDATA("DJU(chauffagiste)",BDD_DJU!$P$13,"annee",Tab_Calculs[[#This Row],[ANNEE]],"mois_numero",Tab_Calculs[[#This Row],[MOIS]]),0)</f>
        <v>174.2</v>
      </c>
      <c r="AD60" s="233" t="s">
        <v>35</v>
      </c>
      <c r="AE60" s="221">
        <v>0</v>
      </c>
      <c r="AF60" s="221">
        <v>0</v>
      </c>
      <c r="AG60" s="221">
        <v>0</v>
      </c>
      <c r="AH60" s="221">
        <v>0</v>
      </c>
      <c r="AI60" s="221">
        <v>0</v>
      </c>
      <c r="AJ60" s="221">
        <v>0</v>
      </c>
      <c r="AK60" s="221">
        <v>0</v>
      </c>
      <c r="AL60" s="221">
        <v>0</v>
      </c>
      <c r="AM60" s="221">
        <v>0</v>
      </c>
      <c r="AN60" s="221">
        <v>0</v>
      </c>
      <c r="AO60" s="221">
        <v>0</v>
      </c>
      <c r="AP60" s="221">
        <v>0</v>
      </c>
      <c r="AQ60" s="221">
        <v>0</v>
      </c>
      <c r="AR60" s="221">
        <v>0</v>
      </c>
      <c r="AS60" s="221">
        <v>0</v>
      </c>
      <c r="AT60" s="221">
        <v>0</v>
      </c>
      <c r="AU60" s="221"/>
    </row>
    <row r="61" spans="1:47" x14ac:dyDescent="0.25">
      <c r="A61" s="3">
        <f>DATE(Tab_Calculs[[#This Row],[ANNEE]],Tab_Calculs[[#This Row],[MOIS]],1)</f>
        <v>41760</v>
      </c>
      <c r="B61" s="3">
        <f>EDATE(Tab_Calculs[[#This Row],[Début mois]],1)-1</f>
        <v>41790</v>
      </c>
      <c r="C61">
        <v>5</v>
      </c>
      <c r="D61">
        <v>2014</v>
      </c>
      <c r="E61" t="s">
        <v>80</v>
      </c>
      <c r="F61" t="str">
        <f>SUBSTITUTE(Tab_Calculs[[#This Row],[Compteur]]," ","_")</f>
        <v>Compteur_1</v>
      </c>
      <c r="G61" t="str">
        <f>T(INDEX(Site!$B$33:$G$40, MATCH(Tab_Calculs[[#This Row],[Compteur]], Site!$B$33:$B$40,0),2))</f>
        <v/>
      </c>
      <c r="H61" s="3">
        <f t="array" aca="1" ref="H61" ca="1">MIN(IF(INDIRECT(CONCATENATE(Tab_Calculs[[#This Row],[Colonne1]],"!$B$2:$B$243"))&gt;=Calculs_Consos!$A61,INDIRECT(CONCATENATE(Tab_Calculs[[#This Row],[Colonne1]],"!$B$2:$B$243"))))</f>
        <v>0</v>
      </c>
      <c r="I61" s="3">
        <f ca="1">INDEX(INDIRECT(CONCATENATE("Tab_",Tab_Calculs[[#This Row],[Colonne1]])),Tab_Calculs[[#This Row],[index_date_livraison]],1)</f>
        <v>0</v>
      </c>
      <c r="J61">
        <f ca="1">MATCH(Tab_Calculs[[#This Row],[Date_livraison]],INDIRECT(CONCATENATE("Tab_",Tab_Calculs[[#This Row],[Colonne1]],"[Fin de période]")),0)</f>
        <v>1</v>
      </c>
      <c r="K61" t="e">
        <f ca="1">INDEX(INDIRECT(CONCATENATE("Tab_",Tab_Calculs[[#This Row],[Colonne1]])),Tab_Calculs[[#This Row],[index_date_livraison]]-1,6)*(MAX(Tab_Calculs[[#This Row],[Début periode livraison]],Tab_Calculs[[#This Row],[Début mois]])-Tab_Calculs[[#This Row],[Début mois]])</f>
        <v>#VALUE!</v>
      </c>
      <c r="L61" s="94">
        <f ca="1">INDEX(INDIRECT(CONCATENATE("Tab_",Tab_Calculs[[#This Row],[Colonne1]])),Tab_Calculs[[#This Row],[index_date_livraison]],6)*(1+MIN(Tab_Calculs[[#This Row],[Date_livraison]],Tab_Calculs[[#This Row],[fin mois]])-MAX(Tab_Calculs[[#This Row],[Début mois]],Tab_Calculs[[#This Row],[Début periode livraison]]))</f>
        <v>0</v>
      </c>
      <c r="M61" s="94" t="e">
        <f ca="1">INDEX(INDIRECT(CONCATENATE("Tab_",Tab_Calculs[[#This Row],[Colonne1]])),Tab_Calculs[[#This Row],[index_date_livraison]]+1,6)*(Tab_Calculs[[#This Row],[fin mois]]-MIN(Tab_Calculs[[#This Row],[fin mois]],Tab_Calculs[[#This Row],[Date_livraison]]))</f>
        <v>#VALUE!</v>
      </c>
      <c r="N61" s="231" t="str">
        <f ca="1">IFERROR(Tab_Calculs[[#This Row],[Ratio_jour_après_livr]]+Tab_Calculs[[#This Row],[Ratio_jour_avant_livr]]+Tab_Calculs[[#This Row],[ratio_avant_debut]],"")</f>
        <v/>
      </c>
      <c r="O61" t="e">
        <f ca="1">INDEX(INDIRECT(CONCATENATE("Tab_",Tab_Calculs[[#This Row],[Colonne1]])),Tab_Calculs[[#This Row],[index_date_livraison]]-1,7)*(MAX(Tab_Calculs[[#This Row],[Début periode livraison]],Tab_Calculs[[#This Row],[Début mois]])-Tab_Calculs[[#This Row],[Début mois]])</f>
        <v>#VALUE!</v>
      </c>
      <c r="P61">
        <f ca="1">INDEX(INDIRECT(CONCATENATE("Tab_",Tab_Calculs[[#This Row],[Colonne1]])),Tab_Calculs[[#This Row],[index_date_livraison]],7)*(1+MIN(Tab_Calculs[[#This Row],[Date_livraison]],Tab_Calculs[[#This Row],[fin mois]])-MAX(Tab_Calculs[[#This Row],[Début mois]],Tab_Calculs[[#This Row],[Début periode livraison]]))</f>
        <v>0</v>
      </c>
      <c r="Q61" t="e">
        <f ca="1">INDEX(INDIRECT(CONCATENATE("Tab_",Tab_Calculs[[#This Row],[Colonne1]])),Tab_Calculs[[#This Row],[index_date_livraison]]+1,7)*(Tab_Calculs[[#This Row],[fin mois]]-MIN(Tab_Calculs[[#This Row],[fin mois]],Tab_Calculs[[#This Row],[Date_livraison]]))</f>
        <v>#VALUE!</v>
      </c>
      <c r="R61" t="e">
        <f ca="1">Tab_Calculs[[#This Row],[Ratio_Cout_après_livr]]+Tab_Calculs[[#This Row],[Ratio_Cout_avant_livr]]+Tab_Calculs[[#This Row],[Ratio_Cout_avant_debut]]</f>
        <v>#VALUE!</v>
      </c>
      <c r="S61" t="str">
        <f ca="1">IFERROR(N61*VLOOKUP(Tab_Calculs[[#This Row],[Colonne1]],Controle_des_données!$B$7:$G$14,6,FALSE),"")</f>
        <v/>
      </c>
      <c r="T61" t="str">
        <f ca="1">IF(Tab_Calculs[[#This Row],[Combustible ]]="Electricité (kWh)",Tab_Calculs[[#This Row],[Conso_mois_kWh]]*2.3,Tab_Calculs[[#This Row],[Conso_mois_kWh]])</f>
        <v/>
      </c>
      <c r="U61" t="str">
        <f ca="1">IFERROR(N61*VLOOKUP(Tab_Calculs[[#This Row],[Colonne1]],Controle_des_données!$B$7:$H$14,7,FALSE),"")</f>
        <v/>
      </c>
      <c r="V61">
        <f ca="1">IFERROR(Tab_Calculs[[#This Row],[Cout_mois]]/Tab_Calculs[[#This Row],[Conso_mois_kWh]],0)</f>
        <v>0</v>
      </c>
      <c r="W61" t="str">
        <f>T(VLOOKUP(Tab_Calculs[[#This Row],[Compteur]],Site!$B$33:$G$40,3,FALSE))</f>
        <v/>
      </c>
      <c r="X61" t="str">
        <f>T(VLOOKUP(Tab_Calculs[[#This Row],[Compteur]],Site!$B$33:$G$40,4,FALSE))</f>
        <v/>
      </c>
      <c r="Y61" t="str">
        <f>T(VLOOKUP(Tab_Calculs[[#This Row],[Compteur]],Site!$B$33:$G$40,5,FALSE))</f>
        <v/>
      </c>
      <c r="Z61" t="str">
        <f>T(VLOOKUP(Tab_Calculs[[#This Row],[Compteur]],Site!$B$33:$G$40,6,FALSE))</f>
        <v/>
      </c>
      <c r="AA61">
        <f>IFERROR(GETPIVOTDATA("DJU(chauffagiste)",BDD_DJU!$P$13,"annee",Tab_Calculs[[#This Row],[ANNEE]],"mois_numero",Tab_Calculs[[#This Row],[MOIS]]),0)</f>
        <v>134.5</v>
      </c>
    </row>
    <row r="62" spans="1:47" x14ac:dyDescent="0.25">
      <c r="A62" s="3">
        <f>DATE(Tab_Calculs[[#This Row],[ANNEE]],Tab_Calculs[[#This Row],[MOIS]],1)</f>
        <v>41791</v>
      </c>
      <c r="B62" s="3">
        <f>EDATE(Tab_Calculs[[#This Row],[Début mois]],1)-1</f>
        <v>41820</v>
      </c>
      <c r="C62">
        <v>6</v>
      </c>
      <c r="D62">
        <v>2014</v>
      </c>
      <c r="E62" t="s">
        <v>80</v>
      </c>
      <c r="F62" t="str">
        <f>SUBSTITUTE(Tab_Calculs[[#This Row],[Compteur]]," ","_")</f>
        <v>Compteur_1</v>
      </c>
      <c r="G62" t="str">
        <f>T(INDEX(Site!$B$33:$G$40, MATCH(Tab_Calculs[[#This Row],[Compteur]], Site!$B$33:$B$40,0),2))</f>
        <v/>
      </c>
      <c r="H62" s="3">
        <f t="array" aca="1" ref="H62" ca="1">MIN(IF(INDIRECT(CONCATENATE(Tab_Calculs[[#This Row],[Colonne1]],"!$B$2:$B$243"))&gt;=Calculs_Consos!$A62,INDIRECT(CONCATENATE(Tab_Calculs[[#This Row],[Colonne1]],"!$B$2:$B$243"))))</f>
        <v>0</v>
      </c>
      <c r="I62" s="3">
        <f ca="1">INDEX(INDIRECT(CONCATENATE("Tab_",Tab_Calculs[[#This Row],[Colonne1]])),Tab_Calculs[[#This Row],[index_date_livraison]],1)</f>
        <v>0</v>
      </c>
      <c r="J62">
        <f ca="1">MATCH(Tab_Calculs[[#This Row],[Date_livraison]],INDIRECT(CONCATENATE("Tab_",Tab_Calculs[[#This Row],[Colonne1]],"[Fin de période]")),0)</f>
        <v>1</v>
      </c>
      <c r="K62" t="e">
        <f ca="1">INDEX(INDIRECT(CONCATENATE("Tab_",Tab_Calculs[[#This Row],[Colonne1]])),Tab_Calculs[[#This Row],[index_date_livraison]]-1,6)*(MAX(Tab_Calculs[[#This Row],[Début periode livraison]],Tab_Calculs[[#This Row],[Début mois]])-Tab_Calculs[[#This Row],[Début mois]])</f>
        <v>#VALUE!</v>
      </c>
      <c r="L62" s="94">
        <f ca="1">INDEX(INDIRECT(CONCATENATE("Tab_",Tab_Calculs[[#This Row],[Colonne1]])),Tab_Calculs[[#This Row],[index_date_livraison]],6)*(1+MIN(Tab_Calculs[[#This Row],[Date_livraison]],Tab_Calculs[[#This Row],[fin mois]])-MAX(Tab_Calculs[[#This Row],[Début mois]],Tab_Calculs[[#This Row],[Début periode livraison]]))</f>
        <v>0</v>
      </c>
      <c r="M62" s="94" t="e">
        <f ca="1">INDEX(INDIRECT(CONCATENATE("Tab_",Tab_Calculs[[#This Row],[Colonne1]])),Tab_Calculs[[#This Row],[index_date_livraison]]+1,6)*(Tab_Calculs[[#This Row],[fin mois]]-MIN(Tab_Calculs[[#This Row],[fin mois]],Tab_Calculs[[#This Row],[Date_livraison]]))</f>
        <v>#VALUE!</v>
      </c>
      <c r="N62" s="231" t="str">
        <f ca="1">IFERROR(Tab_Calculs[[#This Row],[Ratio_jour_après_livr]]+Tab_Calculs[[#This Row],[Ratio_jour_avant_livr]]+Tab_Calculs[[#This Row],[ratio_avant_debut]],"")</f>
        <v/>
      </c>
      <c r="O62" t="e">
        <f ca="1">INDEX(INDIRECT(CONCATENATE("Tab_",Tab_Calculs[[#This Row],[Colonne1]])),Tab_Calculs[[#This Row],[index_date_livraison]]-1,7)*(MAX(Tab_Calculs[[#This Row],[Début periode livraison]],Tab_Calculs[[#This Row],[Début mois]])-Tab_Calculs[[#This Row],[Début mois]])</f>
        <v>#VALUE!</v>
      </c>
      <c r="P62">
        <f ca="1">INDEX(INDIRECT(CONCATENATE("Tab_",Tab_Calculs[[#This Row],[Colonne1]])),Tab_Calculs[[#This Row],[index_date_livraison]],7)*(1+MIN(Tab_Calculs[[#This Row],[Date_livraison]],Tab_Calculs[[#This Row],[fin mois]])-MAX(Tab_Calculs[[#This Row],[Début mois]],Tab_Calculs[[#This Row],[Début periode livraison]]))</f>
        <v>0</v>
      </c>
      <c r="Q62" t="e">
        <f ca="1">INDEX(INDIRECT(CONCATENATE("Tab_",Tab_Calculs[[#This Row],[Colonne1]])),Tab_Calculs[[#This Row],[index_date_livraison]]+1,7)*(Tab_Calculs[[#This Row],[fin mois]]-MIN(Tab_Calculs[[#This Row],[fin mois]],Tab_Calculs[[#This Row],[Date_livraison]]))</f>
        <v>#VALUE!</v>
      </c>
      <c r="R62" t="e">
        <f ca="1">Tab_Calculs[[#This Row],[Ratio_Cout_après_livr]]+Tab_Calculs[[#This Row],[Ratio_Cout_avant_livr]]+Tab_Calculs[[#This Row],[Ratio_Cout_avant_debut]]</f>
        <v>#VALUE!</v>
      </c>
      <c r="S62" t="str">
        <f ca="1">IFERROR(N62*VLOOKUP(Tab_Calculs[[#This Row],[Colonne1]],Controle_des_données!$B$7:$G$14,6,FALSE),"")</f>
        <v/>
      </c>
      <c r="T62" t="str">
        <f ca="1">IF(Tab_Calculs[[#This Row],[Combustible ]]="Electricité (kWh)",Tab_Calculs[[#This Row],[Conso_mois_kWh]]*2.3,Tab_Calculs[[#This Row],[Conso_mois_kWh]])</f>
        <v/>
      </c>
      <c r="U62" t="str">
        <f ca="1">IFERROR(N62*VLOOKUP(Tab_Calculs[[#This Row],[Colonne1]],Controle_des_données!$B$7:$H$14,7,FALSE),"")</f>
        <v/>
      </c>
      <c r="V62">
        <f ca="1">IFERROR(Tab_Calculs[[#This Row],[Cout_mois]]/Tab_Calculs[[#This Row],[Conso_mois_kWh]],0)</f>
        <v>0</v>
      </c>
      <c r="W62" t="str">
        <f>T(VLOOKUP(Tab_Calculs[[#This Row],[Compteur]],Site!$B$33:$G$40,3,FALSE))</f>
        <v/>
      </c>
      <c r="X62" t="str">
        <f>T(VLOOKUP(Tab_Calculs[[#This Row],[Compteur]],Site!$B$33:$G$40,4,FALSE))</f>
        <v/>
      </c>
      <c r="Y62" t="str">
        <f>T(VLOOKUP(Tab_Calculs[[#This Row],[Compteur]],Site!$B$33:$G$40,5,FALSE))</f>
        <v/>
      </c>
      <c r="Z62" t="str">
        <f>T(VLOOKUP(Tab_Calculs[[#This Row],[Compteur]],Site!$B$33:$G$40,6,FALSE))</f>
        <v/>
      </c>
      <c r="AA62">
        <f>IFERROR(GETPIVOTDATA("DJU(chauffagiste)",BDD_DJU!$P$13,"annee",Tab_Calculs[[#This Row],[ANNEE]],"mois_numero",Tab_Calculs[[#This Row],[MOIS]]),0)</f>
        <v>48.5</v>
      </c>
    </row>
    <row r="63" spans="1:47" x14ac:dyDescent="0.25">
      <c r="A63" s="3">
        <f>DATE(Tab_Calculs[[#This Row],[ANNEE]],Tab_Calculs[[#This Row],[MOIS]],1)</f>
        <v>41821</v>
      </c>
      <c r="B63" s="3">
        <f>EDATE(Tab_Calculs[[#This Row],[Début mois]],1)-1</f>
        <v>41851</v>
      </c>
      <c r="C63">
        <v>7</v>
      </c>
      <c r="D63">
        <v>2014</v>
      </c>
      <c r="E63" t="s">
        <v>80</v>
      </c>
      <c r="F63" t="str">
        <f>SUBSTITUTE(Tab_Calculs[[#This Row],[Compteur]]," ","_")</f>
        <v>Compteur_1</v>
      </c>
      <c r="G63" t="str">
        <f>T(INDEX(Site!$B$33:$G$40, MATCH(Tab_Calculs[[#This Row],[Compteur]], Site!$B$33:$B$40,0),2))</f>
        <v/>
      </c>
      <c r="H63" s="3">
        <f t="array" aca="1" ref="H63" ca="1">MIN(IF(INDIRECT(CONCATENATE(Tab_Calculs[[#This Row],[Colonne1]],"!$B$2:$B$243"))&gt;=Calculs_Consos!$A63,INDIRECT(CONCATENATE(Tab_Calculs[[#This Row],[Colonne1]],"!$B$2:$B$243"))))</f>
        <v>0</v>
      </c>
      <c r="I63" s="3">
        <f ca="1">INDEX(INDIRECT(CONCATENATE("Tab_",Tab_Calculs[[#This Row],[Colonne1]])),Tab_Calculs[[#This Row],[index_date_livraison]],1)</f>
        <v>0</v>
      </c>
      <c r="J63">
        <f ca="1">MATCH(Tab_Calculs[[#This Row],[Date_livraison]],INDIRECT(CONCATENATE("Tab_",Tab_Calculs[[#This Row],[Colonne1]],"[Fin de période]")),0)</f>
        <v>1</v>
      </c>
      <c r="K63" t="e">
        <f ca="1">INDEX(INDIRECT(CONCATENATE("Tab_",Tab_Calculs[[#This Row],[Colonne1]])),Tab_Calculs[[#This Row],[index_date_livraison]]-1,6)*(MAX(Tab_Calculs[[#This Row],[Début periode livraison]],Tab_Calculs[[#This Row],[Début mois]])-Tab_Calculs[[#This Row],[Début mois]])</f>
        <v>#VALUE!</v>
      </c>
      <c r="L63" s="94">
        <f ca="1">INDEX(INDIRECT(CONCATENATE("Tab_",Tab_Calculs[[#This Row],[Colonne1]])),Tab_Calculs[[#This Row],[index_date_livraison]],6)*(1+MIN(Tab_Calculs[[#This Row],[Date_livraison]],Tab_Calculs[[#This Row],[fin mois]])-MAX(Tab_Calculs[[#This Row],[Début mois]],Tab_Calculs[[#This Row],[Début periode livraison]]))</f>
        <v>0</v>
      </c>
      <c r="M63" s="94" t="e">
        <f ca="1">INDEX(INDIRECT(CONCATENATE("Tab_",Tab_Calculs[[#This Row],[Colonne1]])),Tab_Calculs[[#This Row],[index_date_livraison]]+1,6)*(Tab_Calculs[[#This Row],[fin mois]]-MIN(Tab_Calculs[[#This Row],[fin mois]],Tab_Calculs[[#This Row],[Date_livraison]]))</f>
        <v>#VALUE!</v>
      </c>
      <c r="N63" s="231" t="str">
        <f ca="1">IFERROR(Tab_Calculs[[#This Row],[Ratio_jour_après_livr]]+Tab_Calculs[[#This Row],[Ratio_jour_avant_livr]]+Tab_Calculs[[#This Row],[ratio_avant_debut]],"")</f>
        <v/>
      </c>
      <c r="O63" t="e">
        <f ca="1">INDEX(INDIRECT(CONCATENATE("Tab_",Tab_Calculs[[#This Row],[Colonne1]])),Tab_Calculs[[#This Row],[index_date_livraison]]-1,7)*(MAX(Tab_Calculs[[#This Row],[Début periode livraison]],Tab_Calculs[[#This Row],[Début mois]])-Tab_Calculs[[#This Row],[Début mois]])</f>
        <v>#VALUE!</v>
      </c>
      <c r="P63">
        <f ca="1">INDEX(INDIRECT(CONCATENATE("Tab_",Tab_Calculs[[#This Row],[Colonne1]])),Tab_Calculs[[#This Row],[index_date_livraison]],7)*(1+MIN(Tab_Calculs[[#This Row],[Date_livraison]],Tab_Calculs[[#This Row],[fin mois]])-MAX(Tab_Calculs[[#This Row],[Début mois]],Tab_Calculs[[#This Row],[Début periode livraison]]))</f>
        <v>0</v>
      </c>
      <c r="Q63" t="e">
        <f ca="1">INDEX(INDIRECT(CONCATENATE("Tab_",Tab_Calculs[[#This Row],[Colonne1]])),Tab_Calculs[[#This Row],[index_date_livraison]]+1,7)*(Tab_Calculs[[#This Row],[fin mois]]-MIN(Tab_Calculs[[#This Row],[fin mois]],Tab_Calculs[[#This Row],[Date_livraison]]))</f>
        <v>#VALUE!</v>
      </c>
      <c r="R63" t="e">
        <f ca="1">Tab_Calculs[[#This Row],[Ratio_Cout_après_livr]]+Tab_Calculs[[#This Row],[Ratio_Cout_avant_livr]]+Tab_Calculs[[#This Row],[Ratio_Cout_avant_debut]]</f>
        <v>#VALUE!</v>
      </c>
      <c r="S63" t="str">
        <f ca="1">IFERROR(N63*VLOOKUP(Tab_Calculs[[#This Row],[Colonne1]],Controle_des_données!$B$7:$G$14,6,FALSE),"")</f>
        <v/>
      </c>
      <c r="T63" t="str">
        <f ca="1">IF(Tab_Calculs[[#This Row],[Combustible ]]="Electricité (kWh)",Tab_Calculs[[#This Row],[Conso_mois_kWh]]*2.3,Tab_Calculs[[#This Row],[Conso_mois_kWh]])</f>
        <v/>
      </c>
      <c r="U63" t="str">
        <f ca="1">IFERROR(N63*VLOOKUP(Tab_Calculs[[#This Row],[Colonne1]],Controle_des_données!$B$7:$H$14,7,FALSE),"")</f>
        <v/>
      </c>
      <c r="V63">
        <f ca="1">IFERROR(Tab_Calculs[[#This Row],[Cout_mois]]/Tab_Calculs[[#This Row],[Conso_mois_kWh]],0)</f>
        <v>0</v>
      </c>
      <c r="W63" t="str">
        <f>T(VLOOKUP(Tab_Calculs[[#This Row],[Compteur]],Site!$B$33:$G$40,3,FALSE))</f>
        <v/>
      </c>
      <c r="X63" t="str">
        <f>T(VLOOKUP(Tab_Calculs[[#This Row],[Compteur]],Site!$B$33:$G$40,4,FALSE))</f>
        <v/>
      </c>
      <c r="Y63" t="str">
        <f>T(VLOOKUP(Tab_Calculs[[#This Row],[Compteur]],Site!$B$33:$G$40,5,FALSE))</f>
        <v/>
      </c>
      <c r="Z63" t="str">
        <f>T(VLOOKUP(Tab_Calculs[[#This Row],[Compteur]],Site!$B$33:$G$40,6,FALSE))</f>
        <v/>
      </c>
      <c r="AA63">
        <f>IFERROR(GETPIVOTDATA("DJU(chauffagiste)",BDD_DJU!$P$13,"annee",Tab_Calculs[[#This Row],[ANNEE]],"mois_numero",Tab_Calculs[[#This Row],[MOIS]]),0)</f>
        <v>22.6</v>
      </c>
    </row>
    <row r="64" spans="1:47" x14ac:dyDescent="0.25">
      <c r="A64" s="3">
        <f>DATE(Tab_Calculs[[#This Row],[ANNEE]],Tab_Calculs[[#This Row],[MOIS]],1)</f>
        <v>41852</v>
      </c>
      <c r="B64" s="3">
        <f>EDATE(Tab_Calculs[[#This Row],[Début mois]],1)-1</f>
        <v>41882</v>
      </c>
      <c r="C64">
        <v>8</v>
      </c>
      <c r="D64">
        <v>2014</v>
      </c>
      <c r="E64" t="s">
        <v>80</v>
      </c>
      <c r="F64" t="str">
        <f>SUBSTITUTE(Tab_Calculs[[#This Row],[Compteur]]," ","_")</f>
        <v>Compteur_1</v>
      </c>
      <c r="G64" t="str">
        <f>T(INDEX(Site!$B$33:$G$40, MATCH(Tab_Calculs[[#This Row],[Compteur]], Site!$B$33:$B$40,0),2))</f>
        <v/>
      </c>
      <c r="H64" s="3">
        <f t="array" aca="1" ref="H64" ca="1">MIN(IF(INDIRECT(CONCATENATE(Tab_Calculs[[#This Row],[Colonne1]],"!$B$2:$B$243"))&gt;=Calculs_Consos!$A64,INDIRECT(CONCATENATE(Tab_Calculs[[#This Row],[Colonne1]],"!$B$2:$B$243"))))</f>
        <v>0</v>
      </c>
      <c r="I64" s="3">
        <f ca="1">INDEX(INDIRECT(CONCATENATE("Tab_",Tab_Calculs[[#This Row],[Colonne1]])),Tab_Calculs[[#This Row],[index_date_livraison]],1)</f>
        <v>0</v>
      </c>
      <c r="J64">
        <f ca="1">MATCH(Tab_Calculs[[#This Row],[Date_livraison]],INDIRECT(CONCATENATE("Tab_",Tab_Calculs[[#This Row],[Colonne1]],"[Fin de période]")),0)</f>
        <v>1</v>
      </c>
      <c r="K64" t="e">
        <f ca="1">INDEX(INDIRECT(CONCATENATE("Tab_",Tab_Calculs[[#This Row],[Colonne1]])),Tab_Calculs[[#This Row],[index_date_livraison]]-1,6)*(MAX(Tab_Calculs[[#This Row],[Début periode livraison]],Tab_Calculs[[#This Row],[Début mois]])-Tab_Calculs[[#This Row],[Début mois]])</f>
        <v>#VALUE!</v>
      </c>
      <c r="L64" s="94">
        <f ca="1">INDEX(INDIRECT(CONCATENATE("Tab_",Tab_Calculs[[#This Row],[Colonne1]])),Tab_Calculs[[#This Row],[index_date_livraison]],6)*(1+MIN(Tab_Calculs[[#This Row],[Date_livraison]],Tab_Calculs[[#This Row],[fin mois]])-MAX(Tab_Calculs[[#This Row],[Début mois]],Tab_Calculs[[#This Row],[Début periode livraison]]))</f>
        <v>0</v>
      </c>
      <c r="M64" s="94" t="e">
        <f ca="1">INDEX(INDIRECT(CONCATENATE("Tab_",Tab_Calculs[[#This Row],[Colonne1]])),Tab_Calculs[[#This Row],[index_date_livraison]]+1,6)*(Tab_Calculs[[#This Row],[fin mois]]-MIN(Tab_Calculs[[#This Row],[fin mois]],Tab_Calculs[[#This Row],[Date_livraison]]))</f>
        <v>#VALUE!</v>
      </c>
      <c r="N64" s="231" t="str">
        <f ca="1">IFERROR(Tab_Calculs[[#This Row],[Ratio_jour_après_livr]]+Tab_Calculs[[#This Row],[Ratio_jour_avant_livr]]+Tab_Calculs[[#This Row],[ratio_avant_debut]],"")</f>
        <v/>
      </c>
      <c r="O64" t="e">
        <f ca="1">INDEX(INDIRECT(CONCATENATE("Tab_",Tab_Calculs[[#This Row],[Colonne1]])),Tab_Calculs[[#This Row],[index_date_livraison]]-1,7)*(MAX(Tab_Calculs[[#This Row],[Début periode livraison]],Tab_Calculs[[#This Row],[Début mois]])-Tab_Calculs[[#This Row],[Début mois]])</f>
        <v>#VALUE!</v>
      </c>
      <c r="P64">
        <f ca="1">INDEX(INDIRECT(CONCATENATE("Tab_",Tab_Calculs[[#This Row],[Colonne1]])),Tab_Calculs[[#This Row],[index_date_livraison]],7)*(1+MIN(Tab_Calculs[[#This Row],[Date_livraison]],Tab_Calculs[[#This Row],[fin mois]])-MAX(Tab_Calculs[[#This Row],[Début mois]],Tab_Calculs[[#This Row],[Début periode livraison]]))</f>
        <v>0</v>
      </c>
      <c r="Q64" t="e">
        <f ca="1">INDEX(INDIRECT(CONCATENATE("Tab_",Tab_Calculs[[#This Row],[Colonne1]])),Tab_Calculs[[#This Row],[index_date_livraison]]+1,7)*(Tab_Calculs[[#This Row],[fin mois]]-MIN(Tab_Calculs[[#This Row],[fin mois]],Tab_Calculs[[#This Row],[Date_livraison]]))</f>
        <v>#VALUE!</v>
      </c>
      <c r="R64" t="e">
        <f ca="1">Tab_Calculs[[#This Row],[Ratio_Cout_après_livr]]+Tab_Calculs[[#This Row],[Ratio_Cout_avant_livr]]+Tab_Calculs[[#This Row],[Ratio_Cout_avant_debut]]</f>
        <v>#VALUE!</v>
      </c>
      <c r="S64" t="str">
        <f ca="1">IFERROR(N64*VLOOKUP(Tab_Calculs[[#This Row],[Colonne1]],Controle_des_données!$B$7:$G$14,6,FALSE),"")</f>
        <v/>
      </c>
      <c r="T64" t="str">
        <f ca="1">IF(Tab_Calculs[[#This Row],[Combustible ]]="Electricité (kWh)",Tab_Calculs[[#This Row],[Conso_mois_kWh]]*2.3,Tab_Calculs[[#This Row],[Conso_mois_kWh]])</f>
        <v/>
      </c>
      <c r="U64" t="str">
        <f ca="1">IFERROR(N64*VLOOKUP(Tab_Calculs[[#This Row],[Colonne1]],Controle_des_données!$B$7:$H$14,7,FALSE),"")</f>
        <v/>
      </c>
      <c r="V64">
        <f ca="1">IFERROR(Tab_Calculs[[#This Row],[Cout_mois]]/Tab_Calculs[[#This Row],[Conso_mois_kWh]],0)</f>
        <v>0</v>
      </c>
      <c r="W64" t="str">
        <f>T(VLOOKUP(Tab_Calculs[[#This Row],[Compteur]],Site!$B$33:$G$40,3,FALSE))</f>
        <v/>
      </c>
      <c r="X64" t="str">
        <f>T(VLOOKUP(Tab_Calculs[[#This Row],[Compteur]],Site!$B$33:$G$40,4,FALSE))</f>
        <v/>
      </c>
      <c r="Y64" t="str">
        <f>T(VLOOKUP(Tab_Calculs[[#This Row],[Compteur]],Site!$B$33:$G$40,5,FALSE))</f>
        <v/>
      </c>
      <c r="Z64" t="str">
        <f>T(VLOOKUP(Tab_Calculs[[#This Row],[Compteur]],Site!$B$33:$G$40,6,FALSE))</f>
        <v/>
      </c>
      <c r="AA64">
        <f>IFERROR(GETPIVOTDATA("DJU(chauffagiste)",BDD_DJU!$P$13,"annee",Tab_Calculs[[#This Row],[ANNEE]],"mois_numero",Tab_Calculs[[#This Row],[MOIS]]),0)</f>
        <v>51.9</v>
      </c>
    </row>
    <row r="65" spans="1:27" x14ac:dyDescent="0.25">
      <c r="A65" s="3">
        <f>DATE(Tab_Calculs[[#This Row],[ANNEE]],Tab_Calculs[[#This Row],[MOIS]],1)</f>
        <v>41883</v>
      </c>
      <c r="B65" s="3">
        <f>EDATE(Tab_Calculs[[#This Row],[Début mois]],1)-1</f>
        <v>41912</v>
      </c>
      <c r="C65">
        <v>9</v>
      </c>
      <c r="D65">
        <v>2014</v>
      </c>
      <c r="E65" t="s">
        <v>80</v>
      </c>
      <c r="F65" t="str">
        <f>SUBSTITUTE(Tab_Calculs[[#This Row],[Compteur]]," ","_")</f>
        <v>Compteur_1</v>
      </c>
      <c r="G65" t="str">
        <f>T(INDEX(Site!$B$33:$G$40, MATCH(Tab_Calculs[[#This Row],[Compteur]], Site!$B$33:$B$40,0),2))</f>
        <v/>
      </c>
      <c r="H65" s="3">
        <f t="array" aca="1" ref="H65" ca="1">MIN(IF(INDIRECT(CONCATENATE(Tab_Calculs[[#This Row],[Colonne1]],"!$B$2:$B$243"))&gt;=Calculs_Consos!$A65,INDIRECT(CONCATENATE(Tab_Calculs[[#This Row],[Colonne1]],"!$B$2:$B$243"))))</f>
        <v>0</v>
      </c>
      <c r="I65" s="3">
        <f ca="1">INDEX(INDIRECT(CONCATENATE("Tab_",Tab_Calculs[[#This Row],[Colonne1]])),Tab_Calculs[[#This Row],[index_date_livraison]],1)</f>
        <v>0</v>
      </c>
      <c r="J65">
        <f ca="1">MATCH(Tab_Calculs[[#This Row],[Date_livraison]],INDIRECT(CONCATENATE("Tab_",Tab_Calculs[[#This Row],[Colonne1]],"[Fin de période]")),0)</f>
        <v>1</v>
      </c>
      <c r="K65" t="e">
        <f ca="1">INDEX(INDIRECT(CONCATENATE("Tab_",Tab_Calculs[[#This Row],[Colonne1]])),Tab_Calculs[[#This Row],[index_date_livraison]]-1,6)*(MAX(Tab_Calculs[[#This Row],[Début periode livraison]],Tab_Calculs[[#This Row],[Début mois]])-Tab_Calculs[[#This Row],[Début mois]])</f>
        <v>#VALUE!</v>
      </c>
      <c r="L65" s="94">
        <f ca="1">INDEX(INDIRECT(CONCATENATE("Tab_",Tab_Calculs[[#This Row],[Colonne1]])),Tab_Calculs[[#This Row],[index_date_livraison]],6)*(1+MIN(Tab_Calculs[[#This Row],[Date_livraison]],Tab_Calculs[[#This Row],[fin mois]])-MAX(Tab_Calculs[[#This Row],[Début mois]],Tab_Calculs[[#This Row],[Début periode livraison]]))</f>
        <v>0</v>
      </c>
      <c r="M65" s="94" t="e">
        <f ca="1">INDEX(INDIRECT(CONCATENATE("Tab_",Tab_Calculs[[#This Row],[Colonne1]])),Tab_Calculs[[#This Row],[index_date_livraison]]+1,6)*(Tab_Calculs[[#This Row],[fin mois]]-MIN(Tab_Calculs[[#This Row],[fin mois]],Tab_Calculs[[#This Row],[Date_livraison]]))</f>
        <v>#VALUE!</v>
      </c>
      <c r="N65" s="231" t="str">
        <f ca="1">IFERROR(Tab_Calculs[[#This Row],[Ratio_jour_après_livr]]+Tab_Calculs[[#This Row],[Ratio_jour_avant_livr]]+Tab_Calculs[[#This Row],[ratio_avant_debut]],"")</f>
        <v/>
      </c>
      <c r="O65" t="e">
        <f ca="1">INDEX(INDIRECT(CONCATENATE("Tab_",Tab_Calculs[[#This Row],[Colonne1]])),Tab_Calculs[[#This Row],[index_date_livraison]]-1,7)*(MAX(Tab_Calculs[[#This Row],[Début periode livraison]],Tab_Calculs[[#This Row],[Début mois]])-Tab_Calculs[[#This Row],[Début mois]])</f>
        <v>#VALUE!</v>
      </c>
      <c r="P65">
        <f ca="1">INDEX(INDIRECT(CONCATENATE("Tab_",Tab_Calculs[[#This Row],[Colonne1]])),Tab_Calculs[[#This Row],[index_date_livraison]],7)*(1+MIN(Tab_Calculs[[#This Row],[Date_livraison]],Tab_Calculs[[#This Row],[fin mois]])-MAX(Tab_Calculs[[#This Row],[Début mois]],Tab_Calculs[[#This Row],[Début periode livraison]]))</f>
        <v>0</v>
      </c>
      <c r="Q65" t="e">
        <f ca="1">INDEX(INDIRECT(CONCATENATE("Tab_",Tab_Calculs[[#This Row],[Colonne1]])),Tab_Calculs[[#This Row],[index_date_livraison]]+1,7)*(Tab_Calculs[[#This Row],[fin mois]]-MIN(Tab_Calculs[[#This Row],[fin mois]],Tab_Calculs[[#This Row],[Date_livraison]]))</f>
        <v>#VALUE!</v>
      </c>
      <c r="R65" t="e">
        <f ca="1">Tab_Calculs[[#This Row],[Ratio_Cout_après_livr]]+Tab_Calculs[[#This Row],[Ratio_Cout_avant_livr]]+Tab_Calculs[[#This Row],[Ratio_Cout_avant_debut]]</f>
        <v>#VALUE!</v>
      </c>
      <c r="S65" t="str">
        <f ca="1">IFERROR(N65*VLOOKUP(Tab_Calculs[[#This Row],[Colonne1]],Controle_des_données!$B$7:$G$14,6,FALSE),"")</f>
        <v/>
      </c>
      <c r="T65" t="str">
        <f ca="1">IF(Tab_Calculs[[#This Row],[Combustible ]]="Electricité (kWh)",Tab_Calculs[[#This Row],[Conso_mois_kWh]]*2.3,Tab_Calculs[[#This Row],[Conso_mois_kWh]])</f>
        <v/>
      </c>
      <c r="U65" t="str">
        <f ca="1">IFERROR(N65*VLOOKUP(Tab_Calculs[[#This Row],[Colonne1]],Controle_des_données!$B$7:$H$14,7,FALSE),"")</f>
        <v/>
      </c>
      <c r="V65">
        <f ca="1">IFERROR(Tab_Calculs[[#This Row],[Cout_mois]]/Tab_Calculs[[#This Row],[Conso_mois_kWh]],0)</f>
        <v>0</v>
      </c>
      <c r="W65" t="str">
        <f>T(VLOOKUP(Tab_Calculs[[#This Row],[Compteur]],Site!$B$33:$G$40,3,FALSE))</f>
        <v/>
      </c>
      <c r="X65" t="str">
        <f>T(VLOOKUP(Tab_Calculs[[#This Row],[Compteur]],Site!$B$33:$G$40,4,FALSE))</f>
        <v/>
      </c>
      <c r="Y65" t="str">
        <f>T(VLOOKUP(Tab_Calculs[[#This Row],[Compteur]],Site!$B$33:$G$40,5,FALSE))</f>
        <v/>
      </c>
      <c r="Z65" t="str">
        <f>T(VLOOKUP(Tab_Calculs[[#This Row],[Compteur]],Site!$B$33:$G$40,6,FALSE))</f>
        <v/>
      </c>
      <c r="AA65">
        <f>IFERROR(GETPIVOTDATA("DJU(chauffagiste)",BDD_DJU!$P$13,"annee",Tab_Calculs[[#This Row],[ANNEE]],"mois_numero",Tab_Calculs[[#This Row],[MOIS]]),0)</f>
        <v>54.3</v>
      </c>
    </row>
    <row r="66" spans="1:27" x14ac:dyDescent="0.25">
      <c r="A66" s="3">
        <f>DATE(Tab_Calculs[[#This Row],[ANNEE]],Tab_Calculs[[#This Row],[MOIS]],1)</f>
        <v>41913</v>
      </c>
      <c r="B66" s="3">
        <f>EDATE(Tab_Calculs[[#This Row],[Début mois]],1)-1</f>
        <v>41943</v>
      </c>
      <c r="C66">
        <v>10</v>
      </c>
      <c r="D66">
        <v>2014</v>
      </c>
      <c r="E66" t="s">
        <v>80</v>
      </c>
      <c r="F66" t="str">
        <f>SUBSTITUTE(Tab_Calculs[[#This Row],[Compteur]]," ","_")</f>
        <v>Compteur_1</v>
      </c>
      <c r="G66" t="str">
        <f>T(INDEX(Site!$B$33:$G$40, MATCH(Tab_Calculs[[#This Row],[Compteur]], Site!$B$33:$B$40,0),2))</f>
        <v/>
      </c>
      <c r="H66" s="3">
        <f t="array" aca="1" ref="H66" ca="1">MIN(IF(INDIRECT(CONCATENATE(Tab_Calculs[[#This Row],[Colonne1]],"!$B$2:$B$243"))&gt;=Calculs_Consos!$A66,INDIRECT(CONCATENATE(Tab_Calculs[[#This Row],[Colonne1]],"!$B$2:$B$243"))))</f>
        <v>0</v>
      </c>
      <c r="I66" s="3">
        <f ca="1">INDEX(INDIRECT(CONCATENATE("Tab_",Tab_Calculs[[#This Row],[Colonne1]])),Tab_Calculs[[#This Row],[index_date_livraison]],1)</f>
        <v>0</v>
      </c>
      <c r="J66">
        <f ca="1">MATCH(Tab_Calculs[[#This Row],[Date_livraison]],INDIRECT(CONCATENATE("Tab_",Tab_Calculs[[#This Row],[Colonne1]],"[Fin de période]")),0)</f>
        <v>1</v>
      </c>
      <c r="K66" t="e">
        <f ca="1">INDEX(INDIRECT(CONCATENATE("Tab_",Tab_Calculs[[#This Row],[Colonne1]])),Tab_Calculs[[#This Row],[index_date_livraison]]-1,6)*(MAX(Tab_Calculs[[#This Row],[Début periode livraison]],Tab_Calculs[[#This Row],[Début mois]])-Tab_Calculs[[#This Row],[Début mois]])</f>
        <v>#VALUE!</v>
      </c>
      <c r="L66" s="94">
        <f ca="1">INDEX(INDIRECT(CONCATENATE("Tab_",Tab_Calculs[[#This Row],[Colonne1]])),Tab_Calculs[[#This Row],[index_date_livraison]],6)*(1+MIN(Tab_Calculs[[#This Row],[Date_livraison]],Tab_Calculs[[#This Row],[fin mois]])-MAX(Tab_Calculs[[#This Row],[Début mois]],Tab_Calculs[[#This Row],[Début periode livraison]]))</f>
        <v>0</v>
      </c>
      <c r="M66" s="94" t="e">
        <f ca="1">INDEX(INDIRECT(CONCATENATE("Tab_",Tab_Calculs[[#This Row],[Colonne1]])),Tab_Calculs[[#This Row],[index_date_livraison]]+1,6)*(Tab_Calculs[[#This Row],[fin mois]]-MIN(Tab_Calculs[[#This Row],[fin mois]],Tab_Calculs[[#This Row],[Date_livraison]]))</f>
        <v>#VALUE!</v>
      </c>
      <c r="N66" s="231" t="str">
        <f ca="1">IFERROR(Tab_Calculs[[#This Row],[Ratio_jour_après_livr]]+Tab_Calculs[[#This Row],[Ratio_jour_avant_livr]]+Tab_Calculs[[#This Row],[ratio_avant_debut]],"")</f>
        <v/>
      </c>
      <c r="O66" t="e">
        <f ca="1">INDEX(INDIRECT(CONCATENATE("Tab_",Tab_Calculs[[#This Row],[Colonne1]])),Tab_Calculs[[#This Row],[index_date_livraison]]-1,7)*(MAX(Tab_Calculs[[#This Row],[Début periode livraison]],Tab_Calculs[[#This Row],[Début mois]])-Tab_Calculs[[#This Row],[Début mois]])</f>
        <v>#VALUE!</v>
      </c>
      <c r="P66">
        <f ca="1">INDEX(INDIRECT(CONCATENATE("Tab_",Tab_Calculs[[#This Row],[Colonne1]])),Tab_Calculs[[#This Row],[index_date_livraison]],7)*(1+MIN(Tab_Calculs[[#This Row],[Date_livraison]],Tab_Calculs[[#This Row],[fin mois]])-MAX(Tab_Calculs[[#This Row],[Début mois]],Tab_Calculs[[#This Row],[Début periode livraison]]))</f>
        <v>0</v>
      </c>
      <c r="Q66" t="e">
        <f ca="1">INDEX(INDIRECT(CONCATENATE("Tab_",Tab_Calculs[[#This Row],[Colonne1]])),Tab_Calculs[[#This Row],[index_date_livraison]]+1,7)*(Tab_Calculs[[#This Row],[fin mois]]-MIN(Tab_Calculs[[#This Row],[fin mois]],Tab_Calculs[[#This Row],[Date_livraison]]))</f>
        <v>#VALUE!</v>
      </c>
      <c r="R66" t="e">
        <f ca="1">Tab_Calculs[[#This Row],[Ratio_Cout_après_livr]]+Tab_Calculs[[#This Row],[Ratio_Cout_avant_livr]]+Tab_Calculs[[#This Row],[Ratio_Cout_avant_debut]]</f>
        <v>#VALUE!</v>
      </c>
      <c r="S66" t="str">
        <f ca="1">IFERROR(N66*VLOOKUP(Tab_Calculs[[#This Row],[Colonne1]],Controle_des_données!$B$7:$G$14,6,FALSE),"")</f>
        <v/>
      </c>
      <c r="T66" t="str">
        <f ca="1">IF(Tab_Calculs[[#This Row],[Combustible ]]="Electricité (kWh)",Tab_Calculs[[#This Row],[Conso_mois_kWh]]*2.3,Tab_Calculs[[#This Row],[Conso_mois_kWh]])</f>
        <v/>
      </c>
      <c r="U66" t="str">
        <f ca="1">IFERROR(N66*VLOOKUP(Tab_Calculs[[#This Row],[Colonne1]],Controle_des_données!$B$7:$H$14,7,FALSE),"")</f>
        <v/>
      </c>
      <c r="V66">
        <f ca="1">IFERROR(Tab_Calculs[[#This Row],[Cout_mois]]/Tab_Calculs[[#This Row],[Conso_mois_kWh]],0)</f>
        <v>0</v>
      </c>
      <c r="W66" t="str">
        <f>T(VLOOKUP(Tab_Calculs[[#This Row],[Compteur]],Site!$B$33:$G$40,3,FALSE))</f>
        <v/>
      </c>
      <c r="X66" t="str">
        <f>T(VLOOKUP(Tab_Calculs[[#This Row],[Compteur]],Site!$B$33:$G$40,4,FALSE))</f>
        <v/>
      </c>
      <c r="Y66" t="str">
        <f>T(VLOOKUP(Tab_Calculs[[#This Row],[Compteur]],Site!$B$33:$G$40,5,FALSE))</f>
        <v/>
      </c>
      <c r="Z66" t="str">
        <f>T(VLOOKUP(Tab_Calculs[[#This Row],[Compteur]],Site!$B$33:$G$40,6,FALSE))</f>
        <v/>
      </c>
      <c r="AA66">
        <f>IFERROR(GETPIVOTDATA("DJU(chauffagiste)",BDD_DJU!$P$13,"annee",Tab_Calculs[[#This Row],[ANNEE]],"mois_numero",Tab_Calculs[[#This Row],[MOIS]]),0)</f>
        <v>124.2</v>
      </c>
    </row>
    <row r="67" spans="1:27" x14ac:dyDescent="0.25">
      <c r="A67" s="3">
        <f>DATE(Tab_Calculs[[#This Row],[ANNEE]],Tab_Calculs[[#This Row],[MOIS]],1)</f>
        <v>41944</v>
      </c>
      <c r="B67" s="3">
        <f>EDATE(Tab_Calculs[[#This Row],[Début mois]],1)-1</f>
        <v>41973</v>
      </c>
      <c r="C67">
        <v>11</v>
      </c>
      <c r="D67">
        <v>2014</v>
      </c>
      <c r="E67" t="s">
        <v>80</v>
      </c>
      <c r="F67" t="str">
        <f>SUBSTITUTE(Tab_Calculs[[#This Row],[Compteur]]," ","_")</f>
        <v>Compteur_1</v>
      </c>
      <c r="G67" t="str">
        <f>T(INDEX(Site!$B$33:$G$40, MATCH(Tab_Calculs[[#This Row],[Compteur]], Site!$B$33:$B$40,0),2))</f>
        <v/>
      </c>
      <c r="H67" s="3">
        <f t="array" aca="1" ref="H67" ca="1">MIN(IF(INDIRECT(CONCATENATE(Tab_Calculs[[#This Row],[Colonne1]],"!$B$2:$B$243"))&gt;=Calculs_Consos!$A67,INDIRECT(CONCATENATE(Tab_Calculs[[#This Row],[Colonne1]],"!$B$2:$B$243"))))</f>
        <v>0</v>
      </c>
      <c r="I67" s="3">
        <f ca="1">INDEX(INDIRECT(CONCATENATE("Tab_",Tab_Calculs[[#This Row],[Colonne1]])),Tab_Calculs[[#This Row],[index_date_livraison]],1)</f>
        <v>0</v>
      </c>
      <c r="J67">
        <f ca="1">MATCH(Tab_Calculs[[#This Row],[Date_livraison]],INDIRECT(CONCATENATE("Tab_",Tab_Calculs[[#This Row],[Colonne1]],"[Fin de période]")),0)</f>
        <v>1</v>
      </c>
      <c r="K67" t="e">
        <f ca="1">INDEX(INDIRECT(CONCATENATE("Tab_",Tab_Calculs[[#This Row],[Colonne1]])),Tab_Calculs[[#This Row],[index_date_livraison]]-1,6)*(MAX(Tab_Calculs[[#This Row],[Début periode livraison]],Tab_Calculs[[#This Row],[Début mois]])-Tab_Calculs[[#This Row],[Début mois]])</f>
        <v>#VALUE!</v>
      </c>
      <c r="L67" s="94">
        <f ca="1">INDEX(INDIRECT(CONCATENATE("Tab_",Tab_Calculs[[#This Row],[Colonne1]])),Tab_Calculs[[#This Row],[index_date_livraison]],6)*(1+MIN(Tab_Calculs[[#This Row],[Date_livraison]],Tab_Calculs[[#This Row],[fin mois]])-MAX(Tab_Calculs[[#This Row],[Début mois]],Tab_Calculs[[#This Row],[Début periode livraison]]))</f>
        <v>0</v>
      </c>
      <c r="M67" s="94" t="e">
        <f ca="1">INDEX(INDIRECT(CONCATENATE("Tab_",Tab_Calculs[[#This Row],[Colonne1]])),Tab_Calculs[[#This Row],[index_date_livraison]]+1,6)*(Tab_Calculs[[#This Row],[fin mois]]-MIN(Tab_Calculs[[#This Row],[fin mois]],Tab_Calculs[[#This Row],[Date_livraison]]))</f>
        <v>#VALUE!</v>
      </c>
      <c r="N67" s="231" t="str">
        <f ca="1">IFERROR(Tab_Calculs[[#This Row],[Ratio_jour_après_livr]]+Tab_Calculs[[#This Row],[Ratio_jour_avant_livr]]+Tab_Calculs[[#This Row],[ratio_avant_debut]],"")</f>
        <v/>
      </c>
      <c r="O67" t="e">
        <f ca="1">INDEX(INDIRECT(CONCATENATE("Tab_",Tab_Calculs[[#This Row],[Colonne1]])),Tab_Calculs[[#This Row],[index_date_livraison]]-1,7)*(MAX(Tab_Calculs[[#This Row],[Début periode livraison]],Tab_Calculs[[#This Row],[Début mois]])-Tab_Calculs[[#This Row],[Début mois]])</f>
        <v>#VALUE!</v>
      </c>
      <c r="P67">
        <f ca="1">INDEX(INDIRECT(CONCATENATE("Tab_",Tab_Calculs[[#This Row],[Colonne1]])),Tab_Calculs[[#This Row],[index_date_livraison]],7)*(1+MIN(Tab_Calculs[[#This Row],[Date_livraison]],Tab_Calculs[[#This Row],[fin mois]])-MAX(Tab_Calculs[[#This Row],[Début mois]],Tab_Calculs[[#This Row],[Début periode livraison]]))</f>
        <v>0</v>
      </c>
      <c r="Q67" t="e">
        <f ca="1">INDEX(INDIRECT(CONCATENATE("Tab_",Tab_Calculs[[#This Row],[Colonne1]])),Tab_Calculs[[#This Row],[index_date_livraison]]+1,7)*(Tab_Calculs[[#This Row],[fin mois]]-MIN(Tab_Calculs[[#This Row],[fin mois]],Tab_Calculs[[#This Row],[Date_livraison]]))</f>
        <v>#VALUE!</v>
      </c>
      <c r="R67" t="e">
        <f ca="1">Tab_Calculs[[#This Row],[Ratio_Cout_après_livr]]+Tab_Calculs[[#This Row],[Ratio_Cout_avant_livr]]+Tab_Calculs[[#This Row],[Ratio_Cout_avant_debut]]</f>
        <v>#VALUE!</v>
      </c>
      <c r="S67" t="str">
        <f ca="1">IFERROR(N67*VLOOKUP(Tab_Calculs[[#This Row],[Colonne1]],Controle_des_données!$B$7:$G$14,6,FALSE),"")</f>
        <v/>
      </c>
      <c r="T67" t="str">
        <f ca="1">IF(Tab_Calculs[[#This Row],[Combustible ]]="Electricité (kWh)",Tab_Calculs[[#This Row],[Conso_mois_kWh]]*2.3,Tab_Calculs[[#This Row],[Conso_mois_kWh]])</f>
        <v/>
      </c>
      <c r="U67" t="str">
        <f ca="1">IFERROR(N67*VLOOKUP(Tab_Calculs[[#This Row],[Colonne1]],Controle_des_données!$B$7:$H$14,7,FALSE),"")</f>
        <v/>
      </c>
      <c r="V67">
        <f ca="1">IFERROR(Tab_Calculs[[#This Row],[Cout_mois]]/Tab_Calculs[[#This Row],[Conso_mois_kWh]],0)</f>
        <v>0</v>
      </c>
      <c r="W67" t="str">
        <f>T(VLOOKUP(Tab_Calculs[[#This Row],[Compteur]],Site!$B$33:$G$40,3,FALSE))</f>
        <v/>
      </c>
      <c r="X67" t="str">
        <f>T(VLOOKUP(Tab_Calculs[[#This Row],[Compteur]],Site!$B$33:$G$40,4,FALSE))</f>
        <v/>
      </c>
      <c r="Y67" t="str">
        <f>T(VLOOKUP(Tab_Calculs[[#This Row],[Compteur]],Site!$B$33:$G$40,5,FALSE))</f>
        <v/>
      </c>
      <c r="Z67" t="str">
        <f>T(VLOOKUP(Tab_Calculs[[#This Row],[Compteur]],Site!$B$33:$G$40,6,FALSE))</f>
        <v/>
      </c>
      <c r="AA67">
        <f>IFERROR(GETPIVOTDATA("DJU(chauffagiste)",BDD_DJU!$P$13,"annee",Tab_Calculs[[#This Row],[ANNEE]],"mois_numero",Tab_Calculs[[#This Row],[MOIS]]),0)</f>
        <v>219.5</v>
      </c>
    </row>
    <row r="68" spans="1:27" x14ac:dyDescent="0.25">
      <c r="A68" s="3">
        <f>DATE(Tab_Calculs[[#This Row],[ANNEE]],Tab_Calculs[[#This Row],[MOIS]],1)</f>
        <v>41974</v>
      </c>
      <c r="B68" s="3">
        <f>EDATE(Tab_Calculs[[#This Row],[Début mois]],1)-1</f>
        <v>42004</v>
      </c>
      <c r="C68">
        <v>12</v>
      </c>
      <c r="D68">
        <v>2014</v>
      </c>
      <c r="E68" t="s">
        <v>80</v>
      </c>
      <c r="F68" t="str">
        <f>SUBSTITUTE(Tab_Calculs[[#This Row],[Compteur]]," ","_")</f>
        <v>Compteur_1</v>
      </c>
      <c r="G68" t="str">
        <f>T(INDEX(Site!$B$33:$G$40, MATCH(Tab_Calculs[[#This Row],[Compteur]], Site!$B$33:$B$40,0),2))</f>
        <v/>
      </c>
      <c r="H68" s="3">
        <f t="array" aca="1" ref="H68" ca="1">MIN(IF(INDIRECT(CONCATENATE(Tab_Calculs[[#This Row],[Colonne1]],"!$B$2:$B$243"))&gt;=Calculs_Consos!$A68,INDIRECT(CONCATENATE(Tab_Calculs[[#This Row],[Colonne1]],"!$B$2:$B$243"))))</f>
        <v>0</v>
      </c>
      <c r="I68" s="3">
        <f ca="1">INDEX(INDIRECT(CONCATENATE("Tab_",Tab_Calculs[[#This Row],[Colonne1]])),Tab_Calculs[[#This Row],[index_date_livraison]],1)</f>
        <v>0</v>
      </c>
      <c r="J68">
        <f ca="1">MATCH(Tab_Calculs[[#This Row],[Date_livraison]],INDIRECT(CONCATENATE("Tab_",Tab_Calculs[[#This Row],[Colonne1]],"[Fin de période]")),0)</f>
        <v>1</v>
      </c>
      <c r="K68" t="e">
        <f ca="1">INDEX(INDIRECT(CONCATENATE("Tab_",Tab_Calculs[[#This Row],[Colonne1]])),Tab_Calculs[[#This Row],[index_date_livraison]]-1,6)*(MAX(Tab_Calculs[[#This Row],[Début periode livraison]],Tab_Calculs[[#This Row],[Début mois]])-Tab_Calculs[[#This Row],[Début mois]])</f>
        <v>#VALUE!</v>
      </c>
      <c r="L68" s="94">
        <f ca="1">INDEX(INDIRECT(CONCATENATE("Tab_",Tab_Calculs[[#This Row],[Colonne1]])),Tab_Calculs[[#This Row],[index_date_livraison]],6)*(1+MIN(Tab_Calculs[[#This Row],[Date_livraison]],Tab_Calculs[[#This Row],[fin mois]])-MAX(Tab_Calculs[[#This Row],[Début mois]],Tab_Calculs[[#This Row],[Début periode livraison]]))</f>
        <v>0</v>
      </c>
      <c r="M68" s="94" t="e">
        <f ca="1">INDEX(INDIRECT(CONCATENATE("Tab_",Tab_Calculs[[#This Row],[Colonne1]])),Tab_Calculs[[#This Row],[index_date_livraison]]+1,6)*(Tab_Calculs[[#This Row],[fin mois]]-MIN(Tab_Calculs[[#This Row],[fin mois]],Tab_Calculs[[#This Row],[Date_livraison]]))</f>
        <v>#VALUE!</v>
      </c>
      <c r="N68" s="231" t="str">
        <f ca="1">IFERROR(Tab_Calculs[[#This Row],[Ratio_jour_après_livr]]+Tab_Calculs[[#This Row],[Ratio_jour_avant_livr]]+Tab_Calculs[[#This Row],[ratio_avant_debut]],"")</f>
        <v/>
      </c>
      <c r="O68" t="e">
        <f ca="1">INDEX(INDIRECT(CONCATENATE("Tab_",Tab_Calculs[[#This Row],[Colonne1]])),Tab_Calculs[[#This Row],[index_date_livraison]]-1,7)*(MAX(Tab_Calculs[[#This Row],[Début periode livraison]],Tab_Calculs[[#This Row],[Début mois]])-Tab_Calculs[[#This Row],[Début mois]])</f>
        <v>#VALUE!</v>
      </c>
      <c r="P68">
        <f ca="1">INDEX(INDIRECT(CONCATENATE("Tab_",Tab_Calculs[[#This Row],[Colonne1]])),Tab_Calculs[[#This Row],[index_date_livraison]],7)*(1+MIN(Tab_Calculs[[#This Row],[Date_livraison]],Tab_Calculs[[#This Row],[fin mois]])-MAX(Tab_Calculs[[#This Row],[Début mois]],Tab_Calculs[[#This Row],[Début periode livraison]]))</f>
        <v>0</v>
      </c>
      <c r="Q68" t="e">
        <f ca="1">INDEX(INDIRECT(CONCATENATE("Tab_",Tab_Calculs[[#This Row],[Colonne1]])),Tab_Calculs[[#This Row],[index_date_livraison]]+1,7)*(Tab_Calculs[[#This Row],[fin mois]]-MIN(Tab_Calculs[[#This Row],[fin mois]],Tab_Calculs[[#This Row],[Date_livraison]]))</f>
        <v>#VALUE!</v>
      </c>
      <c r="R68" t="e">
        <f ca="1">Tab_Calculs[[#This Row],[Ratio_Cout_après_livr]]+Tab_Calculs[[#This Row],[Ratio_Cout_avant_livr]]+Tab_Calculs[[#This Row],[Ratio_Cout_avant_debut]]</f>
        <v>#VALUE!</v>
      </c>
      <c r="S68" t="str">
        <f ca="1">IFERROR(N68*VLOOKUP(Tab_Calculs[[#This Row],[Colonne1]],Controle_des_données!$B$7:$G$14,6,FALSE),"")</f>
        <v/>
      </c>
      <c r="T68" t="str">
        <f ca="1">IF(Tab_Calculs[[#This Row],[Combustible ]]="Electricité (kWh)",Tab_Calculs[[#This Row],[Conso_mois_kWh]]*2.3,Tab_Calculs[[#This Row],[Conso_mois_kWh]])</f>
        <v/>
      </c>
      <c r="U68" t="str">
        <f ca="1">IFERROR(N68*VLOOKUP(Tab_Calculs[[#This Row],[Colonne1]],Controle_des_données!$B$7:$H$14,7,FALSE),"")</f>
        <v/>
      </c>
      <c r="V68">
        <f ca="1">IFERROR(Tab_Calculs[[#This Row],[Cout_mois]]/Tab_Calculs[[#This Row],[Conso_mois_kWh]],0)</f>
        <v>0</v>
      </c>
      <c r="W68" t="str">
        <f>T(VLOOKUP(Tab_Calculs[[#This Row],[Compteur]],Site!$B$33:$G$40,3,FALSE))</f>
        <v/>
      </c>
      <c r="X68" t="str">
        <f>T(VLOOKUP(Tab_Calculs[[#This Row],[Compteur]],Site!$B$33:$G$40,4,FALSE))</f>
        <v/>
      </c>
      <c r="Y68" t="str">
        <f>T(VLOOKUP(Tab_Calculs[[#This Row],[Compteur]],Site!$B$33:$G$40,5,FALSE))</f>
        <v/>
      </c>
      <c r="Z68" t="str">
        <f>T(VLOOKUP(Tab_Calculs[[#This Row],[Compteur]],Site!$B$33:$G$40,6,FALSE))</f>
        <v/>
      </c>
      <c r="AA68">
        <f>IFERROR(GETPIVOTDATA("DJU(chauffagiste)",BDD_DJU!$P$13,"annee",Tab_Calculs[[#This Row],[ANNEE]],"mois_numero",Tab_Calculs[[#This Row],[MOIS]]),0)</f>
        <v>374.8</v>
      </c>
    </row>
    <row r="69" spans="1:27" x14ac:dyDescent="0.25">
      <c r="A69" s="3">
        <f>DATE(Tab_Calculs[[#This Row],[ANNEE]],Tab_Calculs[[#This Row],[MOIS]],1)</f>
        <v>42005</v>
      </c>
      <c r="B69" s="3">
        <f>EDATE(Tab_Calculs[[#This Row],[Début mois]],1)-1</f>
        <v>42035</v>
      </c>
      <c r="C69">
        <v>1</v>
      </c>
      <c r="D69">
        <f>D57+1</f>
        <v>2015</v>
      </c>
      <c r="E69" t="s">
        <v>80</v>
      </c>
      <c r="F69" t="str">
        <f>SUBSTITUTE(Tab_Calculs[[#This Row],[Compteur]]," ","_")</f>
        <v>Compteur_1</v>
      </c>
      <c r="G69" t="str">
        <f>T(INDEX(Site!$B$33:$G$40, MATCH(Tab_Calculs[[#This Row],[Compteur]], Site!$B$33:$B$40,0),2))</f>
        <v/>
      </c>
      <c r="H69" s="3">
        <f t="array" aca="1" ref="H69" ca="1">MIN(IF(INDIRECT(CONCATENATE(Tab_Calculs[[#This Row],[Colonne1]],"!$B$2:$B$243"))&gt;=Calculs_Consos!$A69,INDIRECT(CONCATENATE(Tab_Calculs[[#This Row],[Colonne1]],"!$B$2:$B$243"))))</f>
        <v>0</v>
      </c>
      <c r="I69" s="3">
        <f ca="1">INDEX(INDIRECT(CONCATENATE("Tab_",Tab_Calculs[[#This Row],[Colonne1]])),Tab_Calculs[[#This Row],[index_date_livraison]],1)</f>
        <v>0</v>
      </c>
      <c r="J69">
        <f ca="1">MATCH(Tab_Calculs[[#This Row],[Date_livraison]],INDIRECT(CONCATENATE("Tab_",Tab_Calculs[[#This Row],[Colonne1]],"[Fin de période]")),0)</f>
        <v>1</v>
      </c>
      <c r="K69" t="e">
        <f ca="1">INDEX(INDIRECT(CONCATENATE("Tab_",Tab_Calculs[[#This Row],[Colonne1]])),Tab_Calculs[[#This Row],[index_date_livraison]]-1,6)*(MAX(Tab_Calculs[[#This Row],[Début periode livraison]],Tab_Calculs[[#This Row],[Début mois]])-Tab_Calculs[[#This Row],[Début mois]])</f>
        <v>#VALUE!</v>
      </c>
      <c r="L69" s="94">
        <f ca="1">INDEX(INDIRECT(CONCATENATE("Tab_",Tab_Calculs[[#This Row],[Colonne1]])),Tab_Calculs[[#This Row],[index_date_livraison]],6)*(1+MIN(Tab_Calculs[[#This Row],[Date_livraison]],Tab_Calculs[[#This Row],[fin mois]])-MAX(Tab_Calculs[[#This Row],[Début mois]],Tab_Calculs[[#This Row],[Début periode livraison]]))</f>
        <v>0</v>
      </c>
      <c r="M69" s="94" t="e">
        <f ca="1">INDEX(INDIRECT(CONCATENATE("Tab_",Tab_Calculs[[#This Row],[Colonne1]])),Tab_Calculs[[#This Row],[index_date_livraison]]+1,6)*(Tab_Calculs[[#This Row],[fin mois]]-MIN(Tab_Calculs[[#This Row],[fin mois]],Tab_Calculs[[#This Row],[Date_livraison]]))</f>
        <v>#VALUE!</v>
      </c>
      <c r="N69" s="231" t="str">
        <f ca="1">IFERROR(Tab_Calculs[[#This Row],[Ratio_jour_après_livr]]+Tab_Calculs[[#This Row],[Ratio_jour_avant_livr]]+Tab_Calculs[[#This Row],[ratio_avant_debut]],"")</f>
        <v/>
      </c>
      <c r="O69" t="e">
        <f ca="1">INDEX(INDIRECT(CONCATENATE("Tab_",Tab_Calculs[[#This Row],[Colonne1]])),Tab_Calculs[[#This Row],[index_date_livraison]]-1,7)*(MAX(Tab_Calculs[[#This Row],[Début periode livraison]],Tab_Calculs[[#This Row],[Début mois]])-Tab_Calculs[[#This Row],[Début mois]])</f>
        <v>#VALUE!</v>
      </c>
      <c r="P69">
        <f ca="1">INDEX(INDIRECT(CONCATENATE("Tab_",Tab_Calculs[[#This Row],[Colonne1]])),Tab_Calculs[[#This Row],[index_date_livraison]],7)*(1+MIN(Tab_Calculs[[#This Row],[Date_livraison]],Tab_Calculs[[#This Row],[fin mois]])-MAX(Tab_Calculs[[#This Row],[Début mois]],Tab_Calculs[[#This Row],[Début periode livraison]]))</f>
        <v>0</v>
      </c>
      <c r="Q69" t="e">
        <f ca="1">INDEX(INDIRECT(CONCATENATE("Tab_",Tab_Calculs[[#This Row],[Colonne1]])),Tab_Calculs[[#This Row],[index_date_livraison]]+1,7)*(Tab_Calculs[[#This Row],[fin mois]]-MIN(Tab_Calculs[[#This Row],[fin mois]],Tab_Calculs[[#This Row],[Date_livraison]]))</f>
        <v>#VALUE!</v>
      </c>
      <c r="R69" t="e">
        <f ca="1">Tab_Calculs[[#This Row],[Ratio_Cout_après_livr]]+Tab_Calculs[[#This Row],[Ratio_Cout_avant_livr]]+Tab_Calculs[[#This Row],[Ratio_Cout_avant_debut]]</f>
        <v>#VALUE!</v>
      </c>
      <c r="S69" t="str">
        <f ca="1">IFERROR(N69*VLOOKUP(Tab_Calculs[[#This Row],[Colonne1]],Controle_des_données!$B$7:$G$14,6,FALSE),"")</f>
        <v/>
      </c>
      <c r="T69" t="str">
        <f ca="1">IF(Tab_Calculs[[#This Row],[Combustible ]]="Electricité (kWh)",Tab_Calculs[[#This Row],[Conso_mois_kWh]]*2.3,Tab_Calculs[[#This Row],[Conso_mois_kWh]])</f>
        <v/>
      </c>
      <c r="U69" t="str">
        <f ca="1">IFERROR(N69*VLOOKUP(Tab_Calculs[[#This Row],[Colonne1]],Controle_des_données!$B$7:$H$14,7,FALSE),"")</f>
        <v/>
      </c>
      <c r="V69">
        <f ca="1">IFERROR(Tab_Calculs[[#This Row],[Cout_mois]]/Tab_Calculs[[#This Row],[Conso_mois_kWh]],0)</f>
        <v>0</v>
      </c>
      <c r="W69" t="str">
        <f>T(VLOOKUP(Tab_Calculs[[#This Row],[Compteur]],Site!$B$33:$G$40,3,FALSE))</f>
        <v/>
      </c>
      <c r="X69" t="str">
        <f>T(VLOOKUP(Tab_Calculs[[#This Row],[Compteur]],Site!$B$33:$G$40,4,FALSE))</f>
        <v/>
      </c>
      <c r="Y69" t="str">
        <f>T(VLOOKUP(Tab_Calculs[[#This Row],[Compteur]],Site!$B$33:$G$40,5,FALSE))</f>
        <v/>
      </c>
      <c r="Z69" t="str">
        <f>T(VLOOKUP(Tab_Calculs[[#This Row],[Compteur]],Site!$B$33:$G$40,6,FALSE))</f>
        <v/>
      </c>
      <c r="AA69">
        <f>IFERROR(GETPIVOTDATA("DJU(chauffagiste)",BDD_DJU!$P$13,"annee",Tab_Calculs[[#This Row],[ANNEE]],"mois_numero",Tab_Calculs[[#This Row],[MOIS]]),0)</f>
        <v>392.1</v>
      </c>
    </row>
    <row r="70" spans="1:27" x14ac:dyDescent="0.25">
      <c r="A70" s="3">
        <f>DATE(Tab_Calculs[[#This Row],[ANNEE]],Tab_Calculs[[#This Row],[MOIS]],1)</f>
        <v>42036</v>
      </c>
      <c r="B70" s="3">
        <f>EDATE(Tab_Calculs[[#This Row],[Début mois]],1)-1</f>
        <v>42063</v>
      </c>
      <c r="C70">
        <v>2</v>
      </c>
      <c r="D70">
        <f t="shared" ref="D70:D133" si="0">D58+1</f>
        <v>2015</v>
      </c>
      <c r="E70" t="s">
        <v>80</v>
      </c>
      <c r="F70" t="str">
        <f>SUBSTITUTE(Tab_Calculs[[#This Row],[Compteur]]," ","_")</f>
        <v>Compteur_1</v>
      </c>
      <c r="G70" t="str">
        <f>T(INDEX(Site!$B$33:$G$40, MATCH(Tab_Calculs[[#This Row],[Compteur]], Site!$B$33:$B$40,0),2))</f>
        <v/>
      </c>
      <c r="H70" s="3">
        <f t="array" aca="1" ref="H70" ca="1">MIN(IF(INDIRECT(CONCATENATE(Tab_Calculs[[#This Row],[Colonne1]],"!$B$2:$B$243"))&gt;=Calculs_Consos!$A70,INDIRECT(CONCATENATE(Tab_Calculs[[#This Row],[Colonne1]],"!$B$2:$B$243"))))</f>
        <v>0</v>
      </c>
      <c r="I70" s="3">
        <f ca="1">INDEX(INDIRECT(CONCATENATE("Tab_",Tab_Calculs[[#This Row],[Colonne1]])),Tab_Calculs[[#This Row],[index_date_livraison]],1)</f>
        <v>0</v>
      </c>
      <c r="J70">
        <f ca="1">MATCH(Tab_Calculs[[#This Row],[Date_livraison]],INDIRECT(CONCATENATE("Tab_",Tab_Calculs[[#This Row],[Colonne1]],"[Fin de période]")),0)</f>
        <v>1</v>
      </c>
      <c r="K70" t="e">
        <f ca="1">INDEX(INDIRECT(CONCATENATE("Tab_",Tab_Calculs[[#This Row],[Colonne1]])),Tab_Calculs[[#This Row],[index_date_livraison]]-1,6)*(MAX(Tab_Calculs[[#This Row],[Début periode livraison]],Tab_Calculs[[#This Row],[Début mois]])-Tab_Calculs[[#This Row],[Début mois]])</f>
        <v>#VALUE!</v>
      </c>
      <c r="L70" s="94">
        <f ca="1">INDEX(INDIRECT(CONCATENATE("Tab_",Tab_Calculs[[#This Row],[Colonne1]])),Tab_Calculs[[#This Row],[index_date_livraison]],6)*(1+MIN(Tab_Calculs[[#This Row],[Date_livraison]],Tab_Calculs[[#This Row],[fin mois]])-MAX(Tab_Calculs[[#This Row],[Début mois]],Tab_Calculs[[#This Row],[Début periode livraison]]))</f>
        <v>0</v>
      </c>
      <c r="M70" s="94" t="e">
        <f ca="1">INDEX(INDIRECT(CONCATENATE("Tab_",Tab_Calculs[[#This Row],[Colonne1]])),Tab_Calculs[[#This Row],[index_date_livraison]]+1,6)*(Tab_Calculs[[#This Row],[fin mois]]-MIN(Tab_Calculs[[#This Row],[fin mois]],Tab_Calculs[[#This Row],[Date_livraison]]))</f>
        <v>#VALUE!</v>
      </c>
      <c r="N70" s="231" t="str">
        <f ca="1">IFERROR(Tab_Calculs[[#This Row],[Ratio_jour_après_livr]]+Tab_Calculs[[#This Row],[Ratio_jour_avant_livr]]+Tab_Calculs[[#This Row],[ratio_avant_debut]],"")</f>
        <v/>
      </c>
      <c r="O70" t="e">
        <f ca="1">INDEX(INDIRECT(CONCATENATE("Tab_",Tab_Calculs[[#This Row],[Colonne1]])),Tab_Calculs[[#This Row],[index_date_livraison]]-1,7)*(MAX(Tab_Calculs[[#This Row],[Début periode livraison]],Tab_Calculs[[#This Row],[Début mois]])-Tab_Calculs[[#This Row],[Début mois]])</f>
        <v>#VALUE!</v>
      </c>
      <c r="P70">
        <f ca="1">INDEX(INDIRECT(CONCATENATE("Tab_",Tab_Calculs[[#This Row],[Colonne1]])),Tab_Calculs[[#This Row],[index_date_livraison]],7)*(1+MIN(Tab_Calculs[[#This Row],[Date_livraison]],Tab_Calculs[[#This Row],[fin mois]])-MAX(Tab_Calculs[[#This Row],[Début mois]],Tab_Calculs[[#This Row],[Début periode livraison]]))</f>
        <v>0</v>
      </c>
      <c r="Q70" t="e">
        <f ca="1">INDEX(INDIRECT(CONCATENATE("Tab_",Tab_Calculs[[#This Row],[Colonne1]])),Tab_Calculs[[#This Row],[index_date_livraison]]+1,7)*(Tab_Calculs[[#This Row],[fin mois]]-MIN(Tab_Calculs[[#This Row],[fin mois]],Tab_Calculs[[#This Row],[Date_livraison]]))</f>
        <v>#VALUE!</v>
      </c>
      <c r="R70" t="e">
        <f ca="1">Tab_Calculs[[#This Row],[Ratio_Cout_après_livr]]+Tab_Calculs[[#This Row],[Ratio_Cout_avant_livr]]+Tab_Calculs[[#This Row],[Ratio_Cout_avant_debut]]</f>
        <v>#VALUE!</v>
      </c>
      <c r="S70" t="str">
        <f ca="1">IFERROR(N70*VLOOKUP(Tab_Calculs[[#This Row],[Colonne1]],Controle_des_données!$B$7:$G$14,6,FALSE),"")</f>
        <v/>
      </c>
      <c r="T70" t="str">
        <f ca="1">IF(Tab_Calculs[[#This Row],[Combustible ]]="Electricité (kWh)",Tab_Calculs[[#This Row],[Conso_mois_kWh]]*2.3,Tab_Calculs[[#This Row],[Conso_mois_kWh]])</f>
        <v/>
      </c>
      <c r="U70" t="str">
        <f ca="1">IFERROR(N70*VLOOKUP(Tab_Calculs[[#This Row],[Colonne1]],Controle_des_données!$B$7:$H$14,7,FALSE),"")</f>
        <v/>
      </c>
      <c r="V70">
        <f ca="1">IFERROR(Tab_Calculs[[#This Row],[Cout_mois]]/Tab_Calculs[[#This Row],[Conso_mois_kWh]],0)</f>
        <v>0</v>
      </c>
      <c r="W70" t="str">
        <f>T(VLOOKUP(Tab_Calculs[[#This Row],[Compteur]],Site!$B$33:$G$40,3,FALSE))</f>
        <v/>
      </c>
      <c r="X70" t="str">
        <f>T(VLOOKUP(Tab_Calculs[[#This Row],[Compteur]],Site!$B$33:$G$40,4,FALSE))</f>
        <v/>
      </c>
      <c r="Y70" t="str">
        <f>T(VLOOKUP(Tab_Calculs[[#This Row],[Compteur]],Site!$B$33:$G$40,5,FALSE))</f>
        <v/>
      </c>
      <c r="Z70" t="str">
        <f>T(VLOOKUP(Tab_Calculs[[#This Row],[Compteur]],Site!$B$33:$G$40,6,FALSE))</f>
        <v/>
      </c>
      <c r="AA70">
        <f>IFERROR(GETPIVOTDATA("DJU(chauffagiste)",BDD_DJU!$P$13,"annee",Tab_Calculs[[#This Row],[ANNEE]],"mois_numero",Tab_Calculs[[#This Row],[MOIS]]),0)</f>
        <v>366.9</v>
      </c>
    </row>
    <row r="71" spans="1:27" x14ac:dyDescent="0.25">
      <c r="A71" s="3">
        <f>DATE(Tab_Calculs[[#This Row],[ANNEE]],Tab_Calculs[[#This Row],[MOIS]],1)</f>
        <v>42064</v>
      </c>
      <c r="B71" s="3">
        <f>EDATE(Tab_Calculs[[#This Row],[Début mois]],1)-1</f>
        <v>42094</v>
      </c>
      <c r="C71">
        <v>3</v>
      </c>
      <c r="D71">
        <f t="shared" si="0"/>
        <v>2015</v>
      </c>
      <c r="E71" t="s">
        <v>80</v>
      </c>
      <c r="F71" t="str">
        <f>SUBSTITUTE(Tab_Calculs[[#This Row],[Compteur]]," ","_")</f>
        <v>Compteur_1</v>
      </c>
      <c r="G71" t="str">
        <f>T(INDEX(Site!$B$33:$G$40, MATCH(Tab_Calculs[[#This Row],[Compteur]], Site!$B$33:$B$40,0),2))</f>
        <v/>
      </c>
      <c r="H71" s="3">
        <f t="array" aca="1" ref="H71" ca="1">MIN(IF(INDIRECT(CONCATENATE(Tab_Calculs[[#This Row],[Colonne1]],"!$B$2:$B$243"))&gt;=Calculs_Consos!$A71,INDIRECT(CONCATENATE(Tab_Calculs[[#This Row],[Colonne1]],"!$B$2:$B$243"))))</f>
        <v>0</v>
      </c>
      <c r="I71" s="3">
        <f ca="1">INDEX(INDIRECT(CONCATENATE("Tab_",Tab_Calculs[[#This Row],[Colonne1]])),Tab_Calculs[[#This Row],[index_date_livraison]],1)</f>
        <v>0</v>
      </c>
      <c r="J71">
        <f ca="1">MATCH(Tab_Calculs[[#This Row],[Date_livraison]],INDIRECT(CONCATENATE("Tab_",Tab_Calculs[[#This Row],[Colonne1]],"[Fin de période]")),0)</f>
        <v>1</v>
      </c>
      <c r="K71" t="e">
        <f ca="1">INDEX(INDIRECT(CONCATENATE("Tab_",Tab_Calculs[[#This Row],[Colonne1]])),Tab_Calculs[[#This Row],[index_date_livraison]]-1,6)*(MAX(Tab_Calculs[[#This Row],[Début periode livraison]],Tab_Calculs[[#This Row],[Début mois]])-Tab_Calculs[[#This Row],[Début mois]])</f>
        <v>#VALUE!</v>
      </c>
      <c r="L71" s="94">
        <f ca="1">INDEX(INDIRECT(CONCATENATE("Tab_",Tab_Calculs[[#This Row],[Colonne1]])),Tab_Calculs[[#This Row],[index_date_livraison]],6)*(1+MIN(Tab_Calculs[[#This Row],[Date_livraison]],Tab_Calculs[[#This Row],[fin mois]])-MAX(Tab_Calculs[[#This Row],[Début mois]],Tab_Calculs[[#This Row],[Début periode livraison]]))</f>
        <v>0</v>
      </c>
      <c r="M71" s="94" t="e">
        <f ca="1">INDEX(INDIRECT(CONCATENATE("Tab_",Tab_Calculs[[#This Row],[Colonne1]])),Tab_Calculs[[#This Row],[index_date_livraison]]+1,6)*(Tab_Calculs[[#This Row],[fin mois]]-MIN(Tab_Calculs[[#This Row],[fin mois]],Tab_Calculs[[#This Row],[Date_livraison]]))</f>
        <v>#VALUE!</v>
      </c>
      <c r="N71" s="231" t="str">
        <f ca="1">IFERROR(Tab_Calculs[[#This Row],[Ratio_jour_après_livr]]+Tab_Calculs[[#This Row],[Ratio_jour_avant_livr]]+Tab_Calculs[[#This Row],[ratio_avant_debut]],"")</f>
        <v/>
      </c>
      <c r="O71" t="e">
        <f ca="1">INDEX(INDIRECT(CONCATENATE("Tab_",Tab_Calculs[[#This Row],[Colonne1]])),Tab_Calculs[[#This Row],[index_date_livraison]]-1,7)*(MAX(Tab_Calculs[[#This Row],[Début periode livraison]],Tab_Calculs[[#This Row],[Début mois]])-Tab_Calculs[[#This Row],[Début mois]])</f>
        <v>#VALUE!</v>
      </c>
      <c r="P71">
        <f ca="1">INDEX(INDIRECT(CONCATENATE("Tab_",Tab_Calculs[[#This Row],[Colonne1]])),Tab_Calculs[[#This Row],[index_date_livraison]],7)*(1+MIN(Tab_Calculs[[#This Row],[Date_livraison]],Tab_Calculs[[#This Row],[fin mois]])-MAX(Tab_Calculs[[#This Row],[Début mois]],Tab_Calculs[[#This Row],[Début periode livraison]]))</f>
        <v>0</v>
      </c>
      <c r="Q71" t="e">
        <f ca="1">INDEX(INDIRECT(CONCATENATE("Tab_",Tab_Calculs[[#This Row],[Colonne1]])),Tab_Calculs[[#This Row],[index_date_livraison]]+1,7)*(Tab_Calculs[[#This Row],[fin mois]]-MIN(Tab_Calculs[[#This Row],[fin mois]],Tab_Calculs[[#This Row],[Date_livraison]]))</f>
        <v>#VALUE!</v>
      </c>
      <c r="R71" t="e">
        <f ca="1">Tab_Calculs[[#This Row],[Ratio_Cout_après_livr]]+Tab_Calculs[[#This Row],[Ratio_Cout_avant_livr]]+Tab_Calculs[[#This Row],[Ratio_Cout_avant_debut]]</f>
        <v>#VALUE!</v>
      </c>
      <c r="S71" t="str">
        <f ca="1">IFERROR(N71*VLOOKUP(Tab_Calculs[[#This Row],[Colonne1]],Controle_des_données!$B$7:$G$14,6,FALSE),"")</f>
        <v/>
      </c>
      <c r="T71" t="str">
        <f ca="1">IF(Tab_Calculs[[#This Row],[Combustible ]]="Electricité (kWh)",Tab_Calculs[[#This Row],[Conso_mois_kWh]]*2.3,Tab_Calculs[[#This Row],[Conso_mois_kWh]])</f>
        <v/>
      </c>
      <c r="U71" t="str">
        <f ca="1">IFERROR(N71*VLOOKUP(Tab_Calculs[[#This Row],[Colonne1]],Controle_des_données!$B$7:$H$14,7,FALSE),"")</f>
        <v/>
      </c>
      <c r="V71">
        <f ca="1">IFERROR(Tab_Calculs[[#This Row],[Cout_mois]]/Tab_Calculs[[#This Row],[Conso_mois_kWh]],0)</f>
        <v>0</v>
      </c>
      <c r="W71" t="str">
        <f>T(VLOOKUP(Tab_Calculs[[#This Row],[Compteur]],Site!$B$33:$G$40,3,FALSE))</f>
        <v/>
      </c>
      <c r="X71" t="str">
        <f>T(VLOOKUP(Tab_Calculs[[#This Row],[Compteur]],Site!$B$33:$G$40,4,FALSE))</f>
        <v/>
      </c>
      <c r="Y71" t="str">
        <f>T(VLOOKUP(Tab_Calculs[[#This Row],[Compteur]],Site!$B$33:$G$40,5,FALSE))</f>
        <v/>
      </c>
      <c r="Z71" t="str">
        <f>T(VLOOKUP(Tab_Calculs[[#This Row],[Compteur]],Site!$B$33:$G$40,6,FALSE))</f>
        <v/>
      </c>
      <c r="AA71">
        <f>IFERROR(GETPIVOTDATA("DJU(chauffagiste)",BDD_DJU!$P$13,"annee",Tab_Calculs[[#This Row],[ANNEE]],"mois_numero",Tab_Calculs[[#This Row],[MOIS]]),0)</f>
        <v>303.8</v>
      </c>
    </row>
    <row r="72" spans="1:27" x14ac:dyDescent="0.25">
      <c r="A72" s="3">
        <f>DATE(Tab_Calculs[[#This Row],[ANNEE]],Tab_Calculs[[#This Row],[MOIS]],1)</f>
        <v>42095</v>
      </c>
      <c r="B72" s="3">
        <f>EDATE(Tab_Calculs[[#This Row],[Début mois]],1)-1</f>
        <v>42124</v>
      </c>
      <c r="C72">
        <v>4</v>
      </c>
      <c r="D72">
        <f t="shared" si="0"/>
        <v>2015</v>
      </c>
      <c r="E72" t="s">
        <v>80</v>
      </c>
      <c r="F72" t="str">
        <f>SUBSTITUTE(Tab_Calculs[[#This Row],[Compteur]]," ","_")</f>
        <v>Compteur_1</v>
      </c>
      <c r="G72" t="str">
        <f>T(INDEX(Site!$B$33:$G$40, MATCH(Tab_Calculs[[#This Row],[Compteur]], Site!$B$33:$B$40,0),2))</f>
        <v/>
      </c>
      <c r="H72" s="3">
        <f t="array" aca="1" ref="H72" ca="1">MIN(IF(INDIRECT(CONCATENATE(Tab_Calculs[[#This Row],[Colonne1]],"!$B$2:$B$243"))&gt;=Calculs_Consos!$A72,INDIRECT(CONCATENATE(Tab_Calculs[[#This Row],[Colonne1]],"!$B$2:$B$243"))))</f>
        <v>0</v>
      </c>
      <c r="I72" s="3">
        <f ca="1">INDEX(INDIRECT(CONCATENATE("Tab_",Tab_Calculs[[#This Row],[Colonne1]])),Tab_Calculs[[#This Row],[index_date_livraison]],1)</f>
        <v>0</v>
      </c>
      <c r="J72">
        <f ca="1">MATCH(Tab_Calculs[[#This Row],[Date_livraison]],INDIRECT(CONCATENATE("Tab_",Tab_Calculs[[#This Row],[Colonne1]],"[Fin de période]")),0)</f>
        <v>1</v>
      </c>
      <c r="K72" t="e">
        <f ca="1">INDEX(INDIRECT(CONCATENATE("Tab_",Tab_Calculs[[#This Row],[Colonne1]])),Tab_Calculs[[#This Row],[index_date_livraison]]-1,6)*(MAX(Tab_Calculs[[#This Row],[Début periode livraison]],Tab_Calculs[[#This Row],[Début mois]])-Tab_Calculs[[#This Row],[Début mois]])</f>
        <v>#VALUE!</v>
      </c>
      <c r="L72" s="94">
        <f ca="1">INDEX(INDIRECT(CONCATENATE("Tab_",Tab_Calculs[[#This Row],[Colonne1]])),Tab_Calculs[[#This Row],[index_date_livraison]],6)*(1+MIN(Tab_Calculs[[#This Row],[Date_livraison]],Tab_Calculs[[#This Row],[fin mois]])-MAX(Tab_Calculs[[#This Row],[Début mois]],Tab_Calculs[[#This Row],[Début periode livraison]]))</f>
        <v>0</v>
      </c>
      <c r="M72" s="94" t="e">
        <f ca="1">INDEX(INDIRECT(CONCATENATE("Tab_",Tab_Calculs[[#This Row],[Colonne1]])),Tab_Calculs[[#This Row],[index_date_livraison]]+1,6)*(Tab_Calculs[[#This Row],[fin mois]]-MIN(Tab_Calculs[[#This Row],[fin mois]],Tab_Calculs[[#This Row],[Date_livraison]]))</f>
        <v>#VALUE!</v>
      </c>
      <c r="N72" s="231" t="str">
        <f ca="1">IFERROR(Tab_Calculs[[#This Row],[Ratio_jour_après_livr]]+Tab_Calculs[[#This Row],[Ratio_jour_avant_livr]]+Tab_Calculs[[#This Row],[ratio_avant_debut]],"")</f>
        <v/>
      </c>
      <c r="O72" t="e">
        <f ca="1">INDEX(INDIRECT(CONCATENATE("Tab_",Tab_Calculs[[#This Row],[Colonne1]])),Tab_Calculs[[#This Row],[index_date_livraison]]-1,7)*(MAX(Tab_Calculs[[#This Row],[Début periode livraison]],Tab_Calculs[[#This Row],[Début mois]])-Tab_Calculs[[#This Row],[Début mois]])</f>
        <v>#VALUE!</v>
      </c>
      <c r="P72">
        <f ca="1">INDEX(INDIRECT(CONCATENATE("Tab_",Tab_Calculs[[#This Row],[Colonne1]])),Tab_Calculs[[#This Row],[index_date_livraison]],7)*(1+MIN(Tab_Calculs[[#This Row],[Date_livraison]],Tab_Calculs[[#This Row],[fin mois]])-MAX(Tab_Calculs[[#This Row],[Début mois]],Tab_Calculs[[#This Row],[Début periode livraison]]))</f>
        <v>0</v>
      </c>
      <c r="Q72" t="e">
        <f ca="1">INDEX(INDIRECT(CONCATENATE("Tab_",Tab_Calculs[[#This Row],[Colonne1]])),Tab_Calculs[[#This Row],[index_date_livraison]]+1,7)*(Tab_Calculs[[#This Row],[fin mois]]-MIN(Tab_Calculs[[#This Row],[fin mois]],Tab_Calculs[[#This Row],[Date_livraison]]))</f>
        <v>#VALUE!</v>
      </c>
      <c r="R72" t="e">
        <f ca="1">Tab_Calculs[[#This Row],[Ratio_Cout_après_livr]]+Tab_Calculs[[#This Row],[Ratio_Cout_avant_livr]]+Tab_Calculs[[#This Row],[Ratio_Cout_avant_debut]]</f>
        <v>#VALUE!</v>
      </c>
      <c r="S72" t="str">
        <f ca="1">IFERROR(N72*VLOOKUP(Tab_Calculs[[#This Row],[Colonne1]],Controle_des_données!$B$7:$G$14,6,FALSE),"")</f>
        <v/>
      </c>
      <c r="T72" t="str">
        <f ca="1">IF(Tab_Calculs[[#This Row],[Combustible ]]="Electricité (kWh)",Tab_Calculs[[#This Row],[Conso_mois_kWh]]*2.3,Tab_Calculs[[#This Row],[Conso_mois_kWh]])</f>
        <v/>
      </c>
      <c r="U72" t="str">
        <f ca="1">IFERROR(N72*VLOOKUP(Tab_Calculs[[#This Row],[Colonne1]],Controle_des_données!$B$7:$H$14,7,FALSE),"")</f>
        <v/>
      </c>
      <c r="V72">
        <f ca="1">IFERROR(Tab_Calculs[[#This Row],[Cout_mois]]/Tab_Calculs[[#This Row],[Conso_mois_kWh]],0)</f>
        <v>0</v>
      </c>
      <c r="W72" t="str">
        <f>T(VLOOKUP(Tab_Calculs[[#This Row],[Compteur]],Site!$B$33:$G$40,3,FALSE))</f>
        <v/>
      </c>
      <c r="X72" t="str">
        <f>T(VLOOKUP(Tab_Calculs[[#This Row],[Compteur]],Site!$B$33:$G$40,4,FALSE))</f>
        <v/>
      </c>
      <c r="Y72" t="str">
        <f>T(VLOOKUP(Tab_Calculs[[#This Row],[Compteur]],Site!$B$33:$G$40,5,FALSE))</f>
        <v/>
      </c>
      <c r="Z72" t="str">
        <f>T(VLOOKUP(Tab_Calculs[[#This Row],[Compteur]],Site!$B$33:$G$40,6,FALSE))</f>
        <v/>
      </c>
      <c r="AA72">
        <f>IFERROR(GETPIVOTDATA("DJU(chauffagiste)",BDD_DJU!$P$13,"annee",Tab_Calculs[[#This Row],[ANNEE]],"mois_numero",Tab_Calculs[[#This Row],[MOIS]]),0)</f>
        <v>166.6</v>
      </c>
    </row>
    <row r="73" spans="1:27" x14ac:dyDescent="0.25">
      <c r="A73" s="3">
        <f>DATE(Tab_Calculs[[#This Row],[ANNEE]],Tab_Calculs[[#This Row],[MOIS]],1)</f>
        <v>42125</v>
      </c>
      <c r="B73" s="3">
        <f>EDATE(Tab_Calculs[[#This Row],[Début mois]],1)-1</f>
        <v>42155</v>
      </c>
      <c r="C73">
        <v>5</v>
      </c>
      <c r="D73">
        <f t="shared" si="0"/>
        <v>2015</v>
      </c>
      <c r="E73" t="s">
        <v>80</v>
      </c>
      <c r="F73" t="str">
        <f>SUBSTITUTE(Tab_Calculs[[#This Row],[Compteur]]," ","_")</f>
        <v>Compteur_1</v>
      </c>
      <c r="G73" t="str">
        <f>T(INDEX(Site!$B$33:$G$40, MATCH(Tab_Calculs[[#This Row],[Compteur]], Site!$B$33:$B$40,0),2))</f>
        <v/>
      </c>
      <c r="H73" s="3">
        <f t="array" aca="1" ref="H73" ca="1">MIN(IF(INDIRECT(CONCATENATE(Tab_Calculs[[#This Row],[Colonne1]],"!$B$2:$B$243"))&gt;=Calculs_Consos!$A73,INDIRECT(CONCATENATE(Tab_Calculs[[#This Row],[Colonne1]],"!$B$2:$B$243"))))</f>
        <v>0</v>
      </c>
      <c r="I73" s="3">
        <f ca="1">INDEX(INDIRECT(CONCATENATE("Tab_",Tab_Calculs[[#This Row],[Colonne1]])),Tab_Calculs[[#This Row],[index_date_livraison]],1)</f>
        <v>0</v>
      </c>
      <c r="J73">
        <f ca="1">MATCH(Tab_Calculs[[#This Row],[Date_livraison]],INDIRECT(CONCATENATE("Tab_",Tab_Calculs[[#This Row],[Colonne1]],"[Fin de période]")),0)</f>
        <v>1</v>
      </c>
      <c r="K73" t="e">
        <f ca="1">INDEX(INDIRECT(CONCATENATE("Tab_",Tab_Calculs[[#This Row],[Colonne1]])),Tab_Calculs[[#This Row],[index_date_livraison]]-1,6)*(MAX(Tab_Calculs[[#This Row],[Début periode livraison]],Tab_Calculs[[#This Row],[Début mois]])-Tab_Calculs[[#This Row],[Début mois]])</f>
        <v>#VALUE!</v>
      </c>
      <c r="L73" s="94">
        <f ca="1">INDEX(INDIRECT(CONCATENATE("Tab_",Tab_Calculs[[#This Row],[Colonne1]])),Tab_Calculs[[#This Row],[index_date_livraison]],6)*(1+MIN(Tab_Calculs[[#This Row],[Date_livraison]],Tab_Calculs[[#This Row],[fin mois]])-MAX(Tab_Calculs[[#This Row],[Début mois]],Tab_Calculs[[#This Row],[Début periode livraison]]))</f>
        <v>0</v>
      </c>
      <c r="M73" s="94" t="e">
        <f ca="1">INDEX(INDIRECT(CONCATENATE("Tab_",Tab_Calculs[[#This Row],[Colonne1]])),Tab_Calculs[[#This Row],[index_date_livraison]]+1,6)*(Tab_Calculs[[#This Row],[fin mois]]-MIN(Tab_Calculs[[#This Row],[fin mois]],Tab_Calculs[[#This Row],[Date_livraison]]))</f>
        <v>#VALUE!</v>
      </c>
      <c r="N73" s="231" t="str">
        <f ca="1">IFERROR(Tab_Calculs[[#This Row],[Ratio_jour_après_livr]]+Tab_Calculs[[#This Row],[Ratio_jour_avant_livr]]+Tab_Calculs[[#This Row],[ratio_avant_debut]],"")</f>
        <v/>
      </c>
      <c r="O73" t="e">
        <f ca="1">INDEX(INDIRECT(CONCATENATE("Tab_",Tab_Calculs[[#This Row],[Colonne1]])),Tab_Calculs[[#This Row],[index_date_livraison]]-1,7)*(MAX(Tab_Calculs[[#This Row],[Début periode livraison]],Tab_Calculs[[#This Row],[Début mois]])-Tab_Calculs[[#This Row],[Début mois]])</f>
        <v>#VALUE!</v>
      </c>
      <c r="P73">
        <f ca="1">INDEX(INDIRECT(CONCATENATE("Tab_",Tab_Calculs[[#This Row],[Colonne1]])),Tab_Calculs[[#This Row],[index_date_livraison]],7)*(1+MIN(Tab_Calculs[[#This Row],[Date_livraison]],Tab_Calculs[[#This Row],[fin mois]])-MAX(Tab_Calculs[[#This Row],[Début mois]],Tab_Calculs[[#This Row],[Début periode livraison]]))</f>
        <v>0</v>
      </c>
      <c r="Q73" t="e">
        <f ca="1">INDEX(INDIRECT(CONCATENATE("Tab_",Tab_Calculs[[#This Row],[Colonne1]])),Tab_Calculs[[#This Row],[index_date_livraison]]+1,7)*(Tab_Calculs[[#This Row],[fin mois]]-MIN(Tab_Calculs[[#This Row],[fin mois]],Tab_Calculs[[#This Row],[Date_livraison]]))</f>
        <v>#VALUE!</v>
      </c>
      <c r="R73" t="e">
        <f ca="1">Tab_Calculs[[#This Row],[Ratio_Cout_après_livr]]+Tab_Calculs[[#This Row],[Ratio_Cout_avant_livr]]+Tab_Calculs[[#This Row],[Ratio_Cout_avant_debut]]</f>
        <v>#VALUE!</v>
      </c>
      <c r="S73" t="str">
        <f ca="1">IFERROR(N73*VLOOKUP(Tab_Calculs[[#This Row],[Colonne1]],Controle_des_données!$B$7:$G$14,6,FALSE),"")</f>
        <v/>
      </c>
      <c r="T73" t="str">
        <f ca="1">IF(Tab_Calculs[[#This Row],[Combustible ]]="Electricité (kWh)",Tab_Calculs[[#This Row],[Conso_mois_kWh]]*2.3,Tab_Calculs[[#This Row],[Conso_mois_kWh]])</f>
        <v/>
      </c>
      <c r="U73" t="str">
        <f ca="1">IFERROR(N73*VLOOKUP(Tab_Calculs[[#This Row],[Colonne1]],Controle_des_données!$B$7:$H$14,7,FALSE),"")</f>
        <v/>
      </c>
      <c r="V73">
        <f ca="1">IFERROR(Tab_Calculs[[#This Row],[Cout_mois]]/Tab_Calculs[[#This Row],[Conso_mois_kWh]],0)</f>
        <v>0</v>
      </c>
      <c r="W73" t="str">
        <f>T(VLOOKUP(Tab_Calculs[[#This Row],[Compteur]],Site!$B$33:$G$40,3,FALSE))</f>
        <v/>
      </c>
      <c r="X73" t="str">
        <f>T(VLOOKUP(Tab_Calculs[[#This Row],[Compteur]],Site!$B$33:$G$40,4,FALSE))</f>
        <v/>
      </c>
      <c r="Y73" t="str">
        <f>T(VLOOKUP(Tab_Calculs[[#This Row],[Compteur]],Site!$B$33:$G$40,5,FALSE))</f>
        <v/>
      </c>
      <c r="Z73" t="str">
        <f>T(VLOOKUP(Tab_Calculs[[#This Row],[Compteur]],Site!$B$33:$G$40,6,FALSE))</f>
        <v/>
      </c>
      <c r="AA73">
        <f>IFERROR(GETPIVOTDATA("DJU(chauffagiste)",BDD_DJU!$P$13,"annee",Tab_Calculs[[#This Row],[ANNEE]],"mois_numero",Tab_Calculs[[#This Row],[MOIS]]),0)</f>
        <v>119.9</v>
      </c>
    </row>
    <row r="74" spans="1:27" x14ac:dyDescent="0.25">
      <c r="A74" s="3">
        <f>DATE(Tab_Calculs[[#This Row],[ANNEE]],Tab_Calculs[[#This Row],[MOIS]],1)</f>
        <v>42156</v>
      </c>
      <c r="B74" s="3">
        <f>EDATE(Tab_Calculs[[#This Row],[Début mois]],1)-1</f>
        <v>42185</v>
      </c>
      <c r="C74">
        <v>6</v>
      </c>
      <c r="D74">
        <f t="shared" si="0"/>
        <v>2015</v>
      </c>
      <c r="E74" t="s">
        <v>80</v>
      </c>
      <c r="F74" t="str">
        <f>SUBSTITUTE(Tab_Calculs[[#This Row],[Compteur]]," ","_")</f>
        <v>Compteur_1</v>
      </c>
      <c r="G74" t="str">
        <f>T(INDEX(Site!$B$33:$G$40, MATCH(Tab_Calculs[[#This Row],[Compteur]], Site!$B$33:$B$40,0),2))</f>
        <v/>
      </c>
      <c r="H74" s="3">
        <f t="array" aca="1" ref="H74" ca="1">MIN(IF(INDIRECT(CONCATENATE(Tab_Calculs[[#This Row],[Colonne1]],"!$B$2:$B$243"))&gt;=Calculs_Consos!$A74,INDIRECT(CONCATENATE(Tab_Calculs[[#This Row],[Colonne1]],"!$B$2:$B$243"))))</f>
        <v>0</v>
      </c>
      <c r="I74" s="3">
        <f ca="1">INDEX(INDIRECT(CONCATENATE("Tab_",Tab_Calculs[[#This Row],[Colonne1]])),Tab_Calculs[[#This Row],[index_date_livraison]],1)</f>
        <v>0</v>
      </c>
      <c r="J74">
        <f ca="1">MATCH(Tab_Calculs[[#This Row],[Date_livraison]],INDIRECT(CONCATENATE("Tab_",Tab_Calculs[[#This Row],[Colonne1]],"[Fin de période]")),0)</f>
        <v>1</v>
      </c>
      <c r="K74" t="e">
        <f ca="1">INDEX(INDIRECT(CONCATENATE("Tab_",Tab_Calculs[[#This Row],[Colonne1]])),Tab_Calculs[[#This Row],[index_date_livraison]]-1,6)*(MAX(Tab_Calculs[[#This Row],[Début periode livraison]],Tab_Calculs[[#This Row],[Début mois]])-Tab_Calculs[[#This Row],[Début mois]])</f>
        <v>#VALUE!</v>
      </c>
      <c r="L74" s="94">
        <f ca="1">INDEX(INDIRECT(CONCATENATE("Tab_",Tab_Calculs[[#This Row],[Colonne1]])),Tab_Calculs[[#This Row],[index_date_livraison]],6)*(1+MIN(Tab_Calculs[[#This Row],[Date_livraison]],Tab_Calculs[[#This Row],[fin mois]])-MAX(Tab_Calculs[[#This Row],[Début mois]],Tab_Calculs[[#This Row],[Début periode livraison]]))</f>
        <v>0</v>
      </c>
      <c r="M74" s="94" t="e">
        <f ca="1">INDEX(INDIRECT(CONCATENATE("Tab_",Tab_Calculs[[#This Row],[Colonne1]])),Tab_Calculs[[#This Row],[index_date_livraison]]+1,6)*(Tab_Calculs[[#This Row],[fin mois]]-MIN(Tab_Calculs[[#This Row],[fin mois]],Tab_Calculs[[#This Row],[Date_livraison]]))</f>
        <v>#VALUE!</v>
      </c>
      <c r="N74" s="231" t="str">
        <f ca="1">IFERROR(Tab_Calculs[[#This Row],[Ratio_jour_après_livr]]+Tab_Calculs[[#This Row],[Ratio_jour_avant_livr]]+Tab_Calculs[[#This Row],[ratio_avant_debut]],"")</f>
        <v/>
      </c>
      <c r="O74" t="e">
        <f ca="1">INDEX(INDIRECT(CONCATENATE("Tab_",Tab_Calculs[[#This Row],[Colonne1]])),Tab_Calculs[[#This Row],[index_date_livraison]]-1,7)*(MAX(Tab_Calculs[[#This Row],[Début periode livraison]],Tab_Calculs[[#This Row],[Début mois]])-Tab_Calculs[[#This Row],[Début mois]])</f>
        <v>#VALUE!</v>
      </c>
      <c r="P74">
        <f ca="1">INDEX(INDIRECT(CONCATENATE("Tab_",Tab_Calculs[[#This Row],[Colonne1]])),Tab_Calculs[[#This Row],[index_date_livraison]],7)*(1+MIN(Tab_Calculs[[#This Row],[Date_livraison]],Tab_Calculs[[#This Row],[fin mois]])-MAX(Tab_Calculs[[#This Row],[Début mois]],Tab_Calculs[[#This Row],[Début periode livraison]]))</f>
        <v>0</v>
      </c>
      <c r="Q74" t="e">
        <f ca="1">INDEX(INDIRECT(CONCATENATE("Tab_",Tab_Calculs[[#This Row],[Colonne1]])),Tab_Calculs[[#This Row],[index_date_livraison]]+1,7)*(Tab_Calculs[[#This Row],[fin mois]]-MIN(Tab_Calculs[[#This Row],[fin mois]],Tab_Calculs[[#This Row],[Date_livraison]]))</f>
        <v>#VALUE!</v>
      </c>
      <c r="R74" t="e">
        <f ca="1">Tab_Calculs[[#This Row],[Ratio_Cout_après_livr]]+Tab_Calculs[[#This Row],[Ratio_Cout_avant_livr]]+Tab_Calculs[[#This Row],[Ratio_Cout_avant_debut]]</f>
        <v>#VALUE!</v>
      </c>
      <c r="S74" t="str">
        <f ca="1">IFERROR(N74*VLOOKUP(Tab_Calculs[[#This Row],[Colonne1]],Controle_des_données!$B$7:$G$14,6,FALSE),"")</f>
        <v/>
      </c>
      <c r="T74" t="str">
        <f ca="1">IF(Tab_Calculs[[#This Row],[Combustible ]]="Electricité (kWh)",Tab_Calculs[[#This Row],[Conso_mois_kWh]]*2.3,Tab_Calculs[[#This Row],[Conso_mois_kWh]])</f>
        <v/>
      </c>
      <c r="U74" t="str">
        <f ca="1">IFERROR(N74*VLOOKUP(Tab_Calculs[[#This Row],[Colonne1]],Controle_des_données!$B$7:$H$14,7,FALSE),"")</f>
        <v/>
      </c>
      <c r="V74">
        <f ca="1">IFERROR(Tab_Calculs[[#This Row],[Cout_mois]]/Tab_Calculs[[#This Row],[Conso_mois_kWh]],0)</f>
        <v>0</v>
      </c>
      <c r="W74" t="str">
        <f>T(VLOOKUP(Tab_Calculs[[#This Row],[Compteur]],Site!$B$33:$G$40,3,FALSE))</f>
        <v/>
      </c>
      <c r="X74" t="str">
        <f>T(VLOOKUP(Tab_Calculs[[#This Row],[Compteur]],Site!$B$33:$G$40,4,FALSE))</f>
        <v/>
      </c>
      <c r="Y74" t="str">
        <f>T(VLOOKUP(Tab_Calculs[[#This Row],[Compteur]],Site!$B$33:$G$40,5,FALSE))</f>
        <v/>
      </c>
      <c r="Z74" t="str">
        <f>T(VLOOKUP(Tab_Calculs[[#This Row],[Compteur]],Site!$B$33:$G$40,6,FALSE))</f>
        <v/>
      </c>
      <c r="AA74">
        <f>IFERROR(GETPIVOTDATA("DJU(chauffagiste)",BDD_DJU!$P$13,"annee",Tab_Calculs[[#This Row],[ANNEE]],"mois_numero",Tab_Calculs[[#This Row],[MOIS]]),0)</f>
        <v>51.8</v>
      </c>
    </row>
    <row r="75" spans="1:27" x14ac:dyDescent="0.25">
      <c r="A75" s="3">
        <f>DATE(Tab_Calculs[[#This Row],[ANNEE]],Tab_Calculs[[#This Row],[MOIS]],1)</f>
        <v>42186</v>
      </c>
      <c r="B75" s="3">
        <f>EDATE(Tab_Calculs[[#This Row],[Début mois]],1)-1</f>
        <v>42216</v>
      </c>
      <c r="C75">
        <v>7</v>
      </c>
      <c r="D75">
        <f t="shared" si="0"/>
        <v>2015</v>
      </c>
      <c r="E75" t="s">
        <v>80</v>
      </c>
      <c r="F75" t="str">
        <f>SUBSTITUTE(Tab_Calculs[[#This Row],[Compteur]]," ","_")</f>
        <v>Compteur_1</v>
      </c>
      <c r="G75" t="str">
        <f>T(INDEX(Site!$B$33:$G$40, MATCH(Tab_Calculs[[#This Row],[Compteur]], Site!$B$33:$B$40,0),2))</f>
        <v/>
      </c>
      <c r="H75" s="3">
        <f t="array" aca="1" ref="H75" ca="1">MIN(IF(INDIRECT(CONCATENATE(Tab_Calculs[[#This Row],[Colonne1]],"!$B$2:$B$243"))&gt;=Calculs_Consos!$A75,INDIRECT(CONCATENATE(Tab_Calculs[[#This Row],[Colonne1]],"!$B$2:$B$243"))))</f>
        <v>0</v>
      </c>
      <c r="I75" s="3">
        <f ca="1">INDEX(INDIRECT(CONCATENATE("Tab_",Tab_Calculs[[#This Row],[Colonne1]])),Tab_Calculs[[#This Row],[index_date_livraison]],1)</f>
        <v>0</v>
      </c>
      <c r="J75">
        <f ca="1">MATCH(Tab_Calculs[[#This Row],[Date_livraison]],INDIRECT(CONCATENATE("Tab_",Tab_Calculs[[#This Row],[Colonne1]],"[Fin de période]")),0)</f>
        <v>1</v>
      </c>
      <c r="K75" t="e">
        <f ca="1">INDEX(INDIRECT(CONCATENATE("Tab_",Tab_Calculs[[#This Row],[Colonne1]])),Tab_Calculs[[#This Row],[index_date_livraison]]-1,6)*(MAX(Tab_Calculs[[#This Row],[Début periode livraison]],Tab_Calculs[[#This Row],[Début mois]])-Tab_Calculs[[#This Row],[Début mois]])</f>
        <v>#VALUE!</v>
      </c>
      <c r="L75" s="94">
        <f ca="1">INDEX(INDIRECT(CONCATENATE("Tab_",Tab_Calculs[[#This Row],[Colonne1]])),Tab_Calculs[[#This Row],[index_date_livraison]],6)*(1+MIN(Tab_Calculs[[#This Row],[Date_livraison]],Tab_Calculs[[#This Row],[fin mois]])-MAX(Tab_Calculs[[#This Row],[Début mois]],Tab_Calculs[[#This Row],[Début periode livraison]]))</f>
        <v>0</v>
      </c>
      <c r="M75" s="94" t="e">
        <f ca="1">INDEX(INDIRECT(CONCATENATE("Tab_",Tab_Calculs[[#This Row],[Colonne1]])),Tab_Calculs[[#This Row],[index_date_livraison]]+1,6)*(Tab_Calculs[[#This Row],[fin mois]]-MIN(Tab_Calculs[[#This Row],[fin mois]],Tab_Calculs[[#This Row],[Date_livraison]]))</f>
        <v>#VALUE!</v>
      </c>
      <c r="N75" s="231" t="str">
        <f ca="1">IFERROR(Tab_Calculs[[#This Row],[Ratio_jour_après_livr]]+Tab_Calculs[[#This Row],[Ratio_jour_avant_livr]]+Tab_Calculs[[#This Row],[ratio_avant_debut]],"")</f>
        <v/>
      </c>
      <c r="O75" t="e">
        <f ca="1">INDEX(INDIRECT(CONCATENATE("Tab_",Tab_Calculs[[#This Row],[Colonne1]])),Tab_Calculs[[#This Row],[index_date_livraison]]-1,7)*(MAX(Tab_Calculs[[#This Row],[Début periode livraison]],Tab_Calculs[[#This Row],[Début mois]])-Tab_Calculs[[#This Row],[Début mois]])</f>
        <v>#VALUE!</v>
      </c>
      <c r="P75">
        <f ca="1">INDEX(INDIRECT(CONCATENATE("Tab_",Tab_Calculs[[#This Row],[Colonne1]])),Tab_Calculs[[#This Row],[index_date_livraison]],7)*(1+MIN(Tab_Calculs[[#This Row],[Date_livraison]],Tab_Calculs[[#This Row],[fin mois]])-MAX(Tab_Calculs[[#This Row],[Début mois]],Tab_Calculs[[#This Row],[Début periode livraison]]))</f>
        <v>0</v>
      </c>
      <c r="Q75" t="e">
        <f ca="1">INDEX(INDIRECT(CONCATENATE("Tab_",Tab_Calculs[[#This Row],[Colonne1]])),Tab_Calculs[[#This Row],[index_date_livraison]]+1,7)*(Tab_Calculs[[#This Row],[fin mois]]-MIN(Tab_Calculs[[#This Row],[fin mois]],Tab_Calculs[[#This Row],[Date_livraison]]))</f>
        <v>#VALUE!</v>
      </c>
      <c r="R75" t="e">
        <f ca="1">Tab_Calculs[[#This Row],[Ratio_Cout_après_livr]]+Tab_Calculs[[#This Row],[Ratio_Cout_avant_livr]]+Tab_Calculs[[#This Row],[Ratio_Cout_avant_debut]]</f>
        <v>#VALUE!</v>
      </c>
      <c r="S75" t="str">
        <f ca="1">IFERROR(N75*VLOOKUP(Tab_Calculs[[#This Row],[Colonne1]],Controle_des_données!$B$7:$G$14,6,FALSE),"")</f>
        <v/>
      </c>
      <c r="T75" t="str">
        <f ca="1">IF(Tab_Calculs[[#This Row],[Combustible ]]="Electricité (kWh)",Tab_Calculs[[#This Row],[Conso_mois_kWh]]*2.3,Tab_Calculs[[#This Row],[Conso_mois_kWh]])</f>
        <v/>
      </c>
      <c r="U75" t="str">
        <f ca="1">IFERROR(N75*VLOOKUP(Tab_Calculs[[#This Row],[Colonne1]],Controle_des_données!$B$7:$H$14,7,FALSE),"")</f>
        <v/>
      </c>
      <c r="V75">
        <f ca="1">IFERROR(Tab_Calculs[[#This Row],[Cout_mois]]/Tab_Calculs[[#This Row],[Conso_mois_kWh]],0)</f>
        <v>0</v>
      </c>
      <c r="W75" t="str">
        <f>T(VLOOKUP(Tab_Calculs[[#This Row],[Compteur]],Site!$B$33:$G$40,3,FALSE))</f>
        <v/>
      </c>
      <c r="X75" t="str">
        <f>T(VLOOKUP(Tab_Calculs[[#This Row],[Compteur]],Site!$B$33:$G$40,4,FALSE))</f>
        <v/>
      </c>
      <c r="Y75" t="str">
        <f>T(VLOOKUP(Tab_Calculs[[#This Row],[Compteur]],Site!$B$33:$G$40,5,FALSE))</f>
        <v/>
      </c>
      <c r="Z75" t="str">
        <f>T(VLOOKUP(Tab_Calculs[[#This Row],[Compteur]],Site!$B$33:$G$40,6,FALSE))</f>
        <v/>
      </c>
      <c r="AA75">
        <f>IFERROR(GETPIVOTDATA("DJU(chauffagiste)",BDD_DJU!$P$13,"annee",Tab_Calculs[[#This Row],[ANNEE]],"mois_numero",Tab_Calculs[[#This Row],[MOIS]]),0)</f>
        <v>29</v>
      </c>
    </row>
    <row r="76" spans="1:27" x14ac:dyDescent="0.25">
      <c r="A76" s="3">
        <f>DATE(Tab_Calculs[[#This Row],[ANNEE]],Tab_Calculs[[#This Row],[MOIS]],1)</f>
        <v>42217</v>
      </c>
      <c r="B76" s="3">
        <f>EDATE(Tab_Calculs[[#This Row],[Début mois]],1)-1</f>
        <v>42247</v>
      </c>
      <c r="C76">
        <v>8</v>
      </c>
      <c r="D76">
        <f t="shared" si="0"/>
        <v>2015</v>
      </c>
      <c r="E76" t="s">
        <v>80</v>
      </c>
      <c r="F76" t="str">
        <f>SUBSTITUTE(Tab_Calculs[[#This Row],[Compteur]]," ","_")</f>
        <v>Compteur_1</v>
      </c>
      <c r="G76" t="str">
        <f>T(INDEX(Site!$B$33:$G$40, MATCH(Tab_Calculs[[#This Row],[Compteur]], Site!$B$33:$B$40,0),2))</f>
        <v/>
      </c>
      <c r="H76" s="3">
        <f t="array" aca="1" ref="H76" ca="1">MIN(IF(INDIRECT(CONCATENATE(Tab_Calculs[[#This Row],[Colonne1]],"!$B$2:$B$243"))&gt;=Calculs_Consos!$A76,INDIRECT(CONCATENATE(Tab_Calculs[[#This Row],[Colonne1]],"!$B$2:$B$243"))))</f>
        <v>0</v>
      </c>
      <c r="I76" s="3">
        <f ca="1">INDEX(INDIRECT(CONCATENATE("Tab_",Tab_Calculs[[#This Row],[Colonne1]])),Tab_Calculs[[#This Row],[index_date_livraison]],1)</f>
        <v>0</v>
      </c>
      <c r="J76">
        <f ca="1">MATCH(Tab_Calculs[[#This Row],[Date_livraison]],INDIRECT(CONCATENATE("Tab_",Tab_Calculs[[#This Row],[Colonne1]],"[Fin de période]")),0)</f>
        <v>1</v>
      </c>
      <c r="K76" t="e">
        <f ca="1">INDEX(INDIRECT(CONCATENATE("Tab_",Tab_Calculs[[#This Row],[Colonne1]])),Tab_Calculs[[#This Row],[index_date_livraison]]-1,6)*(MAX(Tab_Calculs[[#This Row],[Début periode livraison]],Tab_Calculs[[#This Row],[Début mois]])-Tab_Calculs[[#This Row],[Début mois]])</f>
        <v>#VALUE!</v>
      </c>
      <c r="L76" s="94">
        <f ca="1">INDEX(INDIRECT(CONCATENATE("Tab_",Tab_Calculs[[#This Row],[Colonne1]])),Tab_Calculs[[#This Row],[index_date_livraison]],6)*(1+MIN(Tab_Calculs[[#This Row],[Date_livraison]],Tab_Calculs[[#This Row],[fin mois]])-MAX(Tab_Calculs[[#This Row],[Début mois]],Tab_Calculs[[#This Row],[Début periode livraison]]))</f>
        <v>0</v>
      </c>
      <c r="M76" s="94" t="e">
        <f ca="1">INDEX(INDIRECT(CONCATENATE("Tab_",Tab_Calculs[[#This Row],[Colonne1]])),Tab_Calculs[[#This Row],[index_date_livraison]]+1,6)*(Tab_Calculs[[#This Row],[fin mois]]-MIN(Tab_Calculs[[#This Row],[fin mois]],Tab_Calculs[[#This Row],[Date_livraison]]))</f>
        <v>#VALUE!</v>
      </c>
      <c r="N76" s="231" t="str">
        <f ca="1">IFERROR(Tab_Calculs[[#This Row],[Ratio_jour_après_livr]]+Tab_Calculs[[#This Row],[Ratio_jour_avant_livr]]+Tab_Calculs[[#This Row],[ratio_avant_debut]],"")</f>
        <v/>
      </c>
      <c r="O76" t="e">
        <f ca="1">INDEX(INDIRECT(CONCATENATE("Tab_",Tab_Calculs[[#This Row],[Colonne1]])),Tab_Calculs[[#This Row],[index_date_livraison]]-1,7)*(MAX(Tab_Calculs[[#This Row],[Début periode livraison]],Tab_Calculs[[#This Row],[Début mois]])-Tab_Calculs[[#This Row],[Début mois]])</f>
        <v>#VALUE!</v>
      </c>
      <c r="P76">
        <f ca="1">INDEX(INDIRECT(CONCATENATE("Tab_",Tab_Calculs[[#This Row],[Colonne1]])),Tab_Calculs[[#This Row],[index_date_livraison]],7)*(1+MIN(Tab_Calculs[[#This Row],[Date_livraison]],Tab_Calculs[[#This Row],[fin mois]])-MAX(Tab_Calculs[[#This Row],[Début mois]],Tab_Calculs[[#This Row],[Début periode livraison]]))</f>
        <v>0</v>
      </c>
      <c r="Q76" t="e">
        <f ca="1">INDEX(INDIRECT(CONCATENATE("Tab_",Tab_Calculs[[#This Row],[Colonne1]])),Tab_Calculs[[#This Row],[index_date_livraison]]+1,7)*(Tab_Calculs[[#This Row],[fin mois]]-MIN(Tab_Calculs[[#This Row],[fin mois]],Tab_Calculs[[#This Row],[Date_livraison]]))</f>
        <v>#VALUE!</v>
      </c>
      <c r="R76" t="e">
        <f ca="1">Tab_Calculs[[#This Row],[Ratio_Cout_après_livr]]+Tab_Calculs[[#This Row],[Ratio_Cout_avant_livr]]+Tab_Calculs[[#This Row],[Ratio_Cout_avant_debut]]</f>
        <v>#VALUE!</v>
      </c>
      <c r="S76" t="str">
        <f ca="1">IFERROR(N76*VLOOKUP(Tab_Calculs[[#This Row],[Colonne1]],Controle_des_données!$B$7:$G$14,6,FALSE),"")</f>
        <v/>
      </c>
      <c r="T76" t="str">
        <f ca="1">IF(Tab_Calculs[[#This Row],[Combustible ]]="Electricité (kWh)",Tab_Calculs[[#This Row],[Conso_mois_kWh]]*2.3,Tab_Calculs[[#This Row],[Conso_mois_kWh]])</f>
        <v/>
      </c>
      <c r="U76" t="str">
        <f ca="1">IFERROR(N76*VLOOKUP(Tab_Calculs[[#This Row],[Colonne1]],Controle_des_données!$B$7:$H$14,7,FALSE),"")</f>
        <v/>
      </c>
      <c r="V76">
        <f ca="1">IFERROR(Tab_Calculs[[#This Row],[Cout_mois]]/Tab_Calculs[[#This Row],[Conso_mois_kWh]],0)</f>
        <v>0</v>
      </c>
      <c r="W76" t="str">
        <f>T(VLOOKUP(Tab_Calculs[[#This Row],[Compteur]],Site!$B$33:$G$40,3,FALSE))</f>
        <v/>
      </c>
      <c r="X76" t="str">
        <f>T(VLOOKUP(Tab_Calculs[[#This Row],[Compteur]],Site!$B$33:$G$40,4,FALSE))</f>
        <v/>
      </c>
      <c r="Y76" t="str">
        <f>T(VLOOKUP(Tab_Calculs[[#This Row],[Compteur]],Site!$B$33:$G$40,5,FALSE))</f>
        <v/>
      </c>
      <c r="Z76" t="str">
        <f>T(VLOOKUP(Tab_Calculs[[#This Row],[Compteur]],Site!$B$33:$G$40,6,FALSE))</f>
        <v/>
      </c>
      <c r="AA76">
        <f>IFERROR(GETPIVOTDATA("DJU(chauffagiste)",BDD_DJU!$P$13,"annee",Tab_Calculs[[#This Row],[ANNEE]],"mois_numero",Tab_Calculs[[#This Row],[MOIS]]),0)</f>
        <v>32</v>
      </c>
    </row>
    <row r="77" spans="1:27" x14ac:dyDescent="0.25">
      <c r="A77" s="3">
        <f>DATE(Tab_Calculs[[#This Row],[ANNEE]],Tab_Calculs[[#This Row],[MOIS]],1)</f>
        <v>42248</v>
      </c>
      <c r="B77" s="3">
        <f>EDATE(Tab_Calculs[[#This Row],[Début mois]],1)-1</f>
        <v>42277</v>
      </c>
      <c r="C77">
        <v>9</v>
      </c>
      <c r="D77">
        <f t="shared" si="0"/>
        <v>2015</v>
      </c>
      <c r="E77" t="s">
        <v>80</v>
      </c>
      <c r="F77" t="str">
        <f>SUBSTITUTE(Tab_Calculs[[#This Row],[Compteur]]," ","_")</f>
        <v>Compteur_1</v>
      </c>
      <c r="G77" t="str">
        <f>T(INDEX(Site!$B$33:$G$40, MATCH(Tab_Calculs[[#This Row],[Compteur]], Site!$B$33:$B$40,0),2))</f>
        <v/>
      </c>
      <c r="H77" s="3">
        <f t="array" aca="1" ref="H77" ca="1">MIN(IF(INDIRECT(CONCATENATE(Tab_Calculs[[#This Row],[Colonne1]],"!$B$2:$B$243"))&gt;=Calculs_Consos!$A77,INDIRECT(CONCATENATE(Tab_Calculs[[#This Row],[Colonne1]],"!$B$2:$B$243"))))</f>
        <v>0</v>
      </c>
      <c r="I77" s="3">
        <f ca="1">INDEX(INDIRECT(CONCATENATE("Tab_",Tab_Calculs[[#This Row],[Colonne1]])),Tab_Calculs[[#This Row],[index_date_livraison]],1)</f>
        <v>0</v>
      </c>
      <c r="J77">
        <f ca="1">MATCH(Tab_Calculs[[#This Row],[Date_livraison]],INDIRECT(CONCATENATE("Tab_",Tab_Calculs[[#This Row],[Colonne1]],"[Fin de période]")),0)</f>
        <v>1</v>
      </c>
      <c r="K77" t="e">
        <f ca="1">INDEX(INDIRECT(CONCATENATE("Tab_",Tab_Calculs[[#This Row],[Colonne1]])),Tab_Calculs[[#This Row],[index_date_livraison]]-1,6)*(MAX(Tab_Calculs[[#This Row],[Début periode livraison]],Tab_Calculs[[#This Row],[Début mois]])-Tab_Calculs[[#This Row],[Début mois]])</f>
        <v>#VALUE!</v>
      </c>
      <c r="L77" s="94">
        <f ca="1">INDEX(INDIRECT(CONCATENATE("Tab_",Tab_Calculs[[#This Row],[Colonne1]])),Tab_Calculs[[#This Row],[index_date_livraison]],6)*(1+MIN(Tab_Calculs[[#This Row],[Date_livraison]],Tab_Calculs[[#This Row],[fin mois]])-MAX(Tab_Calculs[[#This Row],[Début mois]],Tab_Calculs[[#This Row],[Début periode livraison]]))</f>
        <v>0</v>
      </c>
      <c r="M77" s="94" t="e">
        <f ca="1">INDEX(INDIRECT(CONCATENATE("Tab_",Tab_Calculs[[#This Row],[Colonne1]])),Tab_Calculs[[#This Row],[index_date_livraison]]+1,6)*(Tab_Calculs[[#This Row],[fin mois]]-MIN(Tab_Calculs[[#This Row],[fin mois]],Tab_Calculs[[#This Row],[Date_livraison]]))</f>
        <v>#VALUE!</v>
      </c>
      <c r="N77" s="231" t="str">
        <f ca="1">IFERROR(Tab_Calculs[[#This Row],[Ratio_jour_après_livr]]+Tab_Calculs[[#This Row],[Ratio_jour_avant_livr]]+Tab_Calculs[[#This Row],[ratio_avant_debut]],"")</f>
        <v/>
      </c>
      <c r="O77" t="e">
        <f ca="1">INDEX(INDIRECT(CONCATENATE("Tab_",Tab_Calculs[[#This Row],[Colonne1]])),Tab_Calculs[[#This Row],[index_date_livraison]]-1,7)*(MAX(Tab_Calculs[[#This Row],[Début periode livraison]],Tab_Calculs[[#This Row],[Début mois]])-Tab_Calculs[[#This Row],[Début mois]])</f>
        <v>#VALUE!</v>
      </c>
      <c r="P77">
        <f ca="1">INDEX(INDIRECT(CONCATENATE("Tab_",Tab_Calculs[[#This Row],[Colonne1]])),Tab_Calculs[[#This Row],[index_date_livraison]],7)*(1+MIN(Tab_Calculs[[#This Row],[Date_livraison]],Tab_Calculs[[#This Row],[fin mois]])-MAX(Tab_Calculs[[#This Row],[Début mois]],Tab_Calculs[[#This Row],[Début periode livraison]]))</f>
        <v>0</v>
      </c>
      <c r="Q77" t="e">
        <f ca="1">INDEX(INDIRECT(CONCATENATE("Tab_",Tab_Calculs[[#This Row],[Colonne1]])),Tab_Calculs[[#This Row],[index_date_livraison]]+1,7)*(Tab_Calculs[[#This Row],[fin mois]]-MIN(Tab_Calculs[[#This Row],[fin mois]],Tab_Calculs[[#This Row],[Date_livraison]]))</f>
        <v>#VALUE!</v>
      </c>
      <c r="R77" t="e">
        <f ca="1">Tab_Calculs[[#This Row],[Ratio_Cout_après_livr]]+Tab_Calculs[[#This Row],[Ratio_Cout_avant_livr]]+Tab_Calculs[[#This Row],[Ratio_Cout_avant_debut]]</f>
        <v>#VALUE!</v>
      </c>
      <c r="S77" t="str">
        <f ca="1">IFERROR(N77*VLOOKUP(Tab_Calculs[[#This Row],[Colonne1]],Controle_des_données!$B$7:$G$14,6,FALSE),"")</f>
        <v/>
      </c>
      <c r="T77" t="str">
        <f ca="1">IF(Tab_Calculs[[#This Row],[Combustible ]]="Electricité (kWh)",Tab_Calculs[[#This Row],[Conso_mois_kWh]]*2.3,Tab_Calculs[[#This Row],[Conso_mois_kWh]])</f>
        <v/>
      </c>
      <c r="U77" t="str">
        <f ca="1">IFERROR(N77*VLOOKUP(Tab_Calculs[[#This Row],[Colonne1]],Controle_des_données!$B$7:$H$14,7,FALSE),"")</f>
        <v/>
      </c>
      <c r="V77">
        <f ca="1">IFERROR(Tab_Calculs[[#This Row],[Cout_mois]]/Tab_Calculs[[#This Row],[Conso_mois_kWh]],0)</f>
        <v>0</v>
      </c>
      <c r="W77" t="str">
        <f>T(VLOOKUP(Tab_Calculs[[#This Row],[Compteur]],Site!$B$33:$G$40,3,FALSE))</f>
        <v/>
      </c>
      <c r="X77" t="str">
        <f>T(VLOOKUP(Tab_Calculs[[#This Row],[Compteur]],Site!$B$33:$G$40,4,FALSE))</f>
        <v/>
      </c>
      <c r="Y77" t="str">
        <f>T(VLOOKUP(Tab_Calculs[[#This Row],[Compteur]],Site!$B$33:$G$40,5,FALSE))</f>
        <v/>
      </c>
      <c r="Z77" t="str">
        <f>T(VLOOKUP(Tab_Calculs[[#This Row],[Compteur]],Site!$B$33:$G$40,6,FALSE))</f>
        <v/>
      </c>
      <c r="AA77">
        <f>IFERROR(GETPIVOTDATA("DJU(chauffagiste)",BDD_DJU!$P$13,"annee",Tab_Calculs[[#This Row],[ANNEE]],"mois_numero",Tab_Calculs[[#This Row],[MOIS]]),0)</f>
        <v>96.9</v>
      </c>
    </row>
    <row r="78" spans="1:27" x14ac:dyDescent="0.25">
      <c r="A78" s="3">
        <f>DATE(Tab_Calculs[[#This Row],[ANNEE]],Tab_Calculs[[#This Row],[MOIS]],1)</f>
        <v>42278</v>
      </c>
      <c r="B78" s="3">
        <f>EDATE(Tab_Calculs[[#This Row],[Début mois]],1)-1</f>
        <v>42308</v>
      </c>
      <c r="C78">
        <v>10</v>
      </c>
      <c r="D78">
        <f t="shared" si="0"/>
        <v>2015</v>
      </c>
      <c r="E78" t="s">
        <v>80</v>
      </c>
      <c r="F78" t="str">
        <f>SUBSTITUTE(Tab_Calculs[[#This Row],[Compteur]]," ","_")</f>
        <v>Compteur_1</v>
      </c>
      <c r="G78" t="str">
        <f>T(INDEX(Site!$B$33:$G$40, MATCH(Tab_Calculs[[#This Row],[Compteur]], Site!$B$33:$B$40,0),2))</f>
        <v/>
      </c>
      <c r="H78" s="3">
        <f t="array" aca="1" ref="H78" ca="1">MIN(IF(INDIRECT(CONCATENATE(Tab_Calculs[[#This Row],[Colonne1]],"!$B$2:$B$243"))&gt;=Calculs_Consos!$A78,INDIRECT(CONCATENATE(Tab_Calculs[[#This Row],[Colonne1]],"!$B$2:$B$243"))))</f>
        <v>0</v>
      </c>
      <c r="I78" s="3">
        <f ca="1">INDEX(INDIRECT(CONCATENATE("Tab_",Tab_Calculs[[#This Row],[Colonne1]])),Tab_Calculs[[#This Row],[index_date_livraison]],1)</f>
        <v>0</v>
      </c>
      <c r="J78">
        <f ca="1">MATCH(Tab_Calculs[[#This Row],[Date_livraison]],INDIRECT(CONCATENATE("Tab_",Tab_Calculs[[#This Row],[Colonne1]],"[Fin de période]")),0)</f>
        <v>1</v>
      </c>
      <c r="K78" t="e">
        <f ca="1">INDEX(INDIRECT(CONCATENATE("Tab_",Tab_Calculs[[#This Row],[Colonne1]])),Tab_Calculs[[#This Row],[index_date_livraison]]-1,6)*(MAX(Tab_Calculs[[#This Row],[Début periode livraison]],Tab_Calculs[[#This Row],[Début mois]])-Tab_Calculs[[#This Row],[Début mois]])</f>
        <v>#VALUE!</v>
      </c>
      <c r="L78" s="94">
        <f ca="1">INDEX(INDIRECT(CONCATENATE("Tab_",Tab_Calculs[[#This Row],[Colonne1]])),Tab_Calculs[[#This Row],[index_date_livraison]],6)*(1+MIN(Tab_Calculs[[#This Row],[Date_livraison]],Tab_Calculs[[#This Row],[fin mois]])-MAX(Tab_Calculs[[#This Row],[Début mois]],Tab_Calculs[[#This Row],[Début periode livraison]]))</f>
        <v>0</v>
      </c>
      <c r="M78" s="94" t="e">
        <f ca="1">INDEX(INDIRECT(CONCATENATE("Tab_",Tab_Calculs[[#This Row],[Colonne1]])),Tab_Calculs[[#This Row],[index_date_livraison]]+1,6)*(Tab_Calculs[[#This Row],[fin mois]]-MIN(Tab_Calculs[[#This Row],[fin mois]],Tab_Calculs[[#This Row],[Date_livraison]]))</f>
        <v>#VALUE!</v>
      </c>
      <c r="N78" s="231" t="str">
        <f ca="1">IFERROR(Tab_Calculs[[#This Row],[Ratio_jour_après_livr]]+Tab_Calculs[[#This Row],[Ratio_jour_avant_livr]]+Tab_Calculs[[#This Row],[ratio_avant_debut]],"")</f>
        <v/>
      </c>
      <c r="O78" t="e">
        <f ca="1">INDEX(INDIRECT(CONCATENATE("Tab_",Tab_Calculs[[#This Row],[Colonne1]])),Tab_Calculs[[#This Row],[index_date_livraison]]-1,7)*(MAX(Tab_Calculs[[#This Row],[Début periode livraison]],Tab_Calculs[[#This Row],[Début mois]])-Tab_Calculs[[#This Row],[Début mois]])</f>
        <v>#VALUE!</v>
      </c>
      <c r="P78">
        <f ca="1">INDEX(INDIRECT(CONCATENATE("Tab_",Tab_Calculs[[#This Row],[Colonne1]])),Tab_Calculs[[#This Row],[index_date_livraison]],7)*(1+MIN(Tab_Calculs[[#This Row],[Date_livraison]],Tab_Calculs[[#This Row],[fin mois]])-MAX(Tab_Calculs[[#This Row],[Début mois]],Tab_Calculs[[#This Row],[Début periode livraison]]))</f>
        <v>0</v>
      </c>
      <c r="Q78" t="e">
        <f ca="1">INDEX(INDIRECT(CONCATENATE("Tab_",Tab_Calculs[[#This Row],[Colonne1]])),Tab_Calculs[[#This Row],[index_date_livraison]]+1,7)*(Tab_Calculs[[#This Row],[fin mois]]-MIN(Tab_Calculs[[#This Row],[fin mois]],Tab_Calculs[[#This Row],[Date_livraison]]))</f>
        <v>#VALUE!</v>
      </c>
      <c r="R78" t="e">
        <f ca="1">Tab_Calculs[[#This Row],[Ratio_Cout_après_livr]]+Tab_Calculs[[#This Row],[Ratio_Cout_avant_livr]]+Tab_Calculs[[#This Row],[Ratio_Cout_avant_debut]]</f>
        <v>#VALUE!</v>
      </c>
      <c r="S78" t="str">
        <f ca="1">IFERROR(N78*VLOOKUP(Tab_Calculs[[#This Row],[Colonne1]],Controle_des_données!$B$7:$G$14,6,FALSE),"")</f>
        <v/>
      </c>
      <c r="T78" t="str">
        <f ca="1">IF(Tab_Calculs[[#This Row],[Combustible ]]="Electricité (kWh)",Tab_Calculs[[#This Row],[Conso_mois_kWh]]*2.3,Tab_Calculs[[#This Row],[Conso_mois_kWh]])</f>
        <v/>
      </c>
      <c r="U78" t="str">
        <f ca="1">IFERROR(N78*VLOOKUP(Tab_Calculs[[#This Row],[Colonne1]],Controle_des_données!$B$7:$H$14,7,FALSE),"")</f>
        <v/>
      </c>
      <c r="V78">
        <f ca="1">IFERROR(Tab_Calculs[[#This Row],[Cout_mois]]/Tab_Calculs[[#This Row],[Conso_mois_kWh]],0)</f>
        <v>0</v>
      </c>
      <c r="W78" t="str">
        <f>T(VLOOKUP(Tab_Calculs[[#This Row],[Compteur]],Site!$B$33:$G$40,3,FALSE))</f>
        <v/>
      </c>
      <c r="X78" t="str">
        <f>T(VLOOKUP(Tab_Calculs[[#This Row],[Compteur]],Site!$B$33:$G$40,4,FALSE))</f>
        <v/>
      </c>
      <c r="Y78" t="str">
        <f>T(VLOOKUP(Tab_Calculs[[#This Row],[Compteur]],Site!$B$33:$G$40,5,FALSE))</f>
        <v/>
      </c>
      <c r="Z78" t="str">
        <f>T(VLOOKUP(Tab_Calculs[[#This Row],[Compteur]],Site!$B$33:$G$40,6,FALSE))</f>
        <v/>
      </c>
      <c r="AA78">
        <f>IFERROR(GETPIVOTDATA("DJU(chauffagiste)",BDD_DJU!$P$13,"annee",Tab_Calculs[[#This Row],[ANNEE]],"mois_numero",Tab_Calculs[[#This Row],[MOIS]]),0)</f>
        <v>181.1</v>
      </c>
    </row>
    <row r="79" spans="1:27" x14ac:dyDescent="0.25">
      <c r="A79" s="3">
        <f>DATE(Tab_Calculs[[#This Row],[ANNEE]],Tab_Calculs[[#This Row],[MOIS]],1)</f>
        <v>42309</v>
      </c>
      <c r="B79" s="3">
        <f>EDATE(Tab_Calculs[[#This Row],[Début mois]],1)-1</f>
        <v>42338</v>
      </c>
      <c r="C79">
        <v>11</v>
      </c>
      <c r="D79">
        <f t="shared" si="0"/>
        <v>2015</v>
      </c>
      <c r="E79" t="s">
        <v>80</v>
      </c>
      <c r="F79" t="str">
        <f>SUBSTITUTE(Tab_Calculs[[#This Row],[Compteur]]," ","_")</f>
        <v>Compteur_1</v>
      </c>
      <c r="G79" t="str">
        <f>T(INDEX(Site!$B$33:$G$40, MATCH(Tab_Calculs[[#This Row],[Compteur]], Site!$B$33:$B$40,0),2))</f>
        <v/>
      </c>
      <c r="H79" s="3">
        <f t="array" aca="1" ref="H79" ca="1">MIN(IF(INDIRECT(CONCATENATE(Tab_Calculs[[#This Row],[Colonne1]],"!$B$2:$B$243"))&gt;=Calculs_Consos!$A79,INDIRECT(CONCATENATE(Tab_Calculs[[#This Row],[Colonne1]],"!$B$2:$B$243"))))</f>
        <v>0</v>
      </c>
      <c r="I79" s="3">
        <f ca="1">INDEX(INDIRECT(CONCATENATE("Tab_",Tab_Calculs[[#This Row],[Colonne1]])),Tab_Calculs[[#This Row],[index_date_livraison]],1)</f>
        <v>0</v>
      </c>
      <c r="J79">
        <f ca="1">MATCH(Tab_Calculs[[#This Row],[Date_livraison]],INDIRECT(CONCATENATE("Tab_",Tab_Calculs[[#This Row],[Colonne1]],"[Fin de période]")),0)</f>
        <v>1</v>
      </c>
      <c r="K79" t="e">
        <f ca="1">INDEX(INDIRECT(CONCATENATE("Tab_",Tab_Calculs[[#This Row],[Colonne1]])),Tab_Calculs[[#This Row],[index_date_livraison]]-1,6)*(MAX(Tab_Calculs[[#This Row],[Début periode livraison]],Tab_Calculs[[#This Row],[Début mois]])-Tab_Calculs[[#This Row],[Début mois]])</f>
        <v>#VALUE!</v>
      </c>
      <c r="L79" s="94">
        <f ca="1">INDEX(INDIRECT(CONCATENATE("Tab_",Tab_Calculs[[#This Row],[Colonne1]])),Tab_Calculs[[#This Row],[index_date_livraison]],6)*(1+MIN(Tab_Calculs[[#This Row],[Date_livraison]],Tab_Calculs[[#This Row],[fin mois]])-MAX(Tab_Calculs[[#This Row],[Début mois]],Tab_Calculs[[#This Row],[Début periode livraison]]))</f>
        <v>0</v>
      </c>
      <c r="M79" s="94" t="e">
        <f ca="1">INDEX(INDIRECT(CONCATENATE("Tab_",Tab_Calculs[[#This Row],[Colonne1]])),Tab_Calculs[[#This Row],[index_date_livraison]]+1,6)*(Tab_Calculs[[#This Row],[fin mois]]-MIN(Tab_Calculs[[#This Row],[fin mois]],Tab_Calculs[[#This Row],[Date_livraison]]))</f>
        <v>#VALUE!</v>
      </c>
      <c r="N79" s="231" t="str">
        <f ca="1">IFERROR(Tab_Calculs[[#This Row],[Ratio_jour_après_livr]]+Tab_Calculs[[#This Row],[Ratio_jour_avant_livr]]+Tab_Calculs[[#This Row],[ratio_avant_debut]],"")</f>
        <v/>
      </c>
      <c r="O79" t="e">
        <f ca="1">INDEX(INDIRECT(CONCATENATE("Tab_",Tab_Calculs[[#This Row],[Colonne1]])),Tab_Calculs[[#This Row],[index_date_livraison]]-1,7)*(MAX(Tab_Calculs[[#This Row],[Début periode livraison]],Tab_Calculs[[#This Row],[Début mois]])-Tab_Calculs[[#This Row],[Début mois]])</f>
        <v>#VALUE!</v>
      </c>
      <c r="P79">
        <f ca="1">INDEX(INDIRECT(CONCATENATE("Tab_",Tab_Calculs[[#This Row],[Colonne1]])),Tab_Calculs[[#This Row],[index_date_livraison]],7)*(1+MIN(Tab_Calculs[[#This Row],[Date_livraison]],Tab_Calculs[[#This Row],[fin mois]])-MAX(Tab_Calculs[[#This Row],[Début mois]],Tab_Calculs[[#This Row],[Début periode livraison]]))</f>
        <v>0</v>
      </c>
      <c r="Q79" t="e">
        <f ca="1">INDEX(INDIRECT(CONCATENATE("Tab_",Tab_Calculs[[#This Row],[Colonne1]])),Tab_Calculs[[#This Row],[index_date_livraison]]+1,7)*(Tab_Calculs[[#This Row],[fin mois]]-MIN(Tab_Calculs[[#This Row],[fin mois]],Tab_Calculs[[#This Row],[Date_livraison]]))</f>
        <v>#VALUE!</v>
      </c>
      <c r="R79" t="e">
        <f ca="1">Tab_Calculs[[#This Row],[Ratio_Cout_après_livr]]+Tab_Calculs[[#This Row],[Ratio_Cout_avant_livr]]+Tab_Calculs[[#This Row],[Ratio_Cout_avant_debut]]</f>
        <v>#VALUE!</v>
      </c>
      <c r="S79" t="str">
        <f ca="1">IFERROR(N79*VLOOKUP(Tab_Calculs[[#This Row],[Colonne1]],Controle_des_données!$B$7:$G$14,6,FALSE),"")</f>
        <v/>
      </c>
      <c r="T79" t="str">
        <f ca="1">IF(Tab_Calculs[[#This Row],[Combustible ]]="Electricité (kWh)",Tab_Calculs[[#This Row],[Conso_mois_kWh]]*2.3,Tab_Calculs[[#This Row],[Conso_mois_kWh]])</f>
        <v/>
      </c>
      <c r="U79" t="str">
        <f ca="1">IFERROR(N79*VLOOKUP(Tab_Calculs[[#This Row],[Colonne1]],Controle_des_données!$B$7:$H$14,7,FALSE),"")</f>
        <v/>
      </c>
      <c r="V79">
        <f ca="1">IFERROR(Tab_Calculs[[#This Row],[Cout_mois]]/Tab_Calculs[[#This Row],[Conso_mois_kWh]],0)</f>
        <v>0</v>
      </c>
      <c r="W79" t="str">
        <f>T(VLOOKUP(Tab_Calculs[[#This Row],[Compteur]],Site!$B$33:$G$40,3,FALSE))</f>
        <v/>
      </c>
      <c r="X79" t="str">
        <f>T(VLOOKUP(Tab_Calculs[[#This Row],[Compteur]],Site!$B$33:$G$40,4,FALSE))</f>
        <v/>
      </c>
      <c r="Y79" t="str">
        <f>T(VLOOKUP(Tab_Calculs[[#This Row],[Compteur]],Site!$B$33:$G$40,5,FALSE))</f>
        <v/>
      </c>
      <c r="Z79" t="str">
        <f>T(VLOOKUP(Tab_Calculs[[#This Row],[Compteur]],Site!$B$33:$G$40,6,FALSE))</f>
        <v/>
      </c>
      <c r="AA79">
        <f>IFERROR(GETPIVOTDATA("DJU(chauffagiste)",BDD_DJU!$P$13,"annee",Tab_Calculs[[#This Row],[ANNEE]],"mois_numero",Tab_Calculs[[#This Row],[MOIS]]),0)</f>
        <v>191.1</v>
      </c>
    </row>
    <row r="80" spans="1:27" x14ac:dyDescent="0.25">
      <c r="A80" s="3">
        <f>DATE(Tab_Calculs[[#This Row],[ANNEE]],Tab_Calculs[[#This Row],[MOIS]],1)</f>
        <v>42339</v>
      </c>
      <c r="B80" s="3">
        <f>EDATE(Tab_Calculs[[#This Row],[Début mois]],1)-1</f>
        <v>42369</v>
      </c>
      <c r="C80">
        <v>12</v>
      </c>
      <c r="D80">
        <f t="shared" si="0"/>
        <v>2015</v>
      </c>
      <c r="E80" t="s">
        <v>80</v>
      </c>
      <c r="F80" t="str">
        <f>SUBSTITUTE(Tab_Calculs[[#This Row],[Compteur]]," ","_")</f>
        <v>Compteur_1</v>
      </c>
      <c r="G80" t="str">
        <f>T(INDEX(Site!$B$33:$G$40, MATCH(Tab_Calculs[[#This Row],[Compteur]], Site!$B$33:$B$40,0),2))</f>
        <v/>
      </c>
      <c r="H80" s="3">
        <f t="array" aca="1" ref="H80" ca="1">MIN(IF(INDIRECT(CONCATENATE(Tab_Calculs[[#This Row],[Colonne1]],"!$B$2:$B$243"))&gt;=Calculs_Consos!$A80,INDIRECT(CONCATENATE(Tab_Calculs[[#This Row],[Colonne1]],"!$B$2:$B$243"))))</f>
        <v>0</v>
      </c>
      <c r="I80" s="3">
        <f ca="1">INDEX(INDIRECT(CONCATENATE("Tab_",Tab_Calculs[[#This Row],[Colonne1]])),Tab_Calculs[[#This Row],[index_date_livraison]],1)</f>
        <v>0</v>
      </c>
      <c r="J80">
        <f ca="1">MATCH(Tab_Calculs[[#This Row],[Date_livraison]],INDIRECT(CONCATENATE("Tab_",Tab_Calculs[[#This Row],[Colonne1]],"[Fin de période]")),0)</f>
        <v>1</v>
      </c>
      <c r="K80" t="e">
        <f ca="1">INDEX(INDIRECT(CONCATENATE("Tab_",Tab_Calculs[[#This Row],[Colonne1]])),Tab_Calculs[[#This Row],[index_date_livraison]]-1,6)*(MAX(Tab_Calculs[[#This Row],[Début periode livraison]],Tab_Calculs[[#This Row],[Début mois]])-Tab_Calculs[[#This Row],[Début mois]])</f>
        <v>#VALUE!</v>
      </c>
      <c r="L80" s="94">
        <f ca="1">INDEX(INDIRECT(CONCATENATE("Tab_",Tab_Calculs[[#This Row],[Colonne1]])),Tab_Calculs[[#This Row],[index_date_livraison]],6)*(1+MIN(Tab_Calculs[[#This Row],[Date_livraison]],Tab_Calculs[[#This Row],[fin mois]])-MAX(Tab_Calculs[[#This Row],[Début mois]],Tab_Calculs[[#This Row],[Début periode livraison]]))</f>
        <v>0</v>
      </c>
      <c r="M80" s="94" t="e">
        <f ca="1">INDEX(INDIRECT(CONCATENATE("Tab_",Tab_Calculs[[#This Row],[Colonne1]])),Tab_Calculs[[#This Row],[index_date_livraison]]+1,6)*(Tab_Calculs[[#This Row],[fin mois]]-MIN(Tab_Calculs[[#This Row],[fin mois]],Tab_Calculs[[#This Row],[Date_livraison]]))</f>
        <v>#VALUE!</v>
      </c>
      <c r="N80" s="231" t="str">
        <f ca="1">IFERROR(Tab_Calculs[[#This Row],[Ratio_jour_après_livr]]+Tab_Calculs[[#This Row],[Ratio_jour_avant_livr]]+Tab_Calculs[[#This Row],[ratio_avant_debut]],"")</f>
        <v/>
      </c>
      <c r="O80" t="e">
        <f ca="1">INDEX(INDIRECT(CONCATENATE("Tab_",Tab_Calculs[[#This Row],[Colonne1]])),Tab_Calculs[[#This Row],[index_date_livraison]]-1,7)*(MAX(Tab_Calculs[[#This Row],[Début periode livraison]],Tab_Calculs[[#This Row],[Début mois]])-Tab_Calculs[[#This Row],[Début mois]])</f>
        <v>#VALUE!</v>
      </c>
      <c r="P80">
        <f ca="1">INDEX(INDIRECT(CONCATENATE("Tab_",Tab_Calculs[[#This Row],[Colonne1]])),Tab_Calculs[[#This Row],[index_date_livraison]],7)*(1+MIN(Tab_Calculs[[#This Row],[Date_livraison]],Tab_Calculs[[#This Row],[fin mois]])-MAX(Tab_Calculs[[#This Row],[Début mois]],Tab_Calculs[[#This Row],[Début periode livraison]]))</f>
        <v>0</v>
      </c>
      <c r="Q80" t="e">
        <f ca="1">INDEX(INDIRECT(CONCATENATE("Tab_",Tab_Calculs[[#This Row],[Colonne1]])),Tab_Calculs[[#This Row],[index_date_livraison]]+1,7)*(Tab_Calculs[[#This Row],[fin mois]]-MIN(Tab_Calculs[[#This Row],[fin mois]],Tab_Calculs[[#This Row],[Date_livraison]]))</f>
        <v>#VALUE!</v>
      </c>
      <c r="R80" t="e">
        <f ca="1">Tab_Calculs[[#This Row],[Ratio_Cout_après_livr]]+Tab_Calculs[[#This Row],[Ratio_Cout_avant_livr]]+Tab_Calculs[[#This Row],[Ratio_Cout_avant_debut]]</f>
        <v>#VALUE!</v>
      </c>
      <c r="S80" t="str">
        <f ca="1">IFERROR(N80*VLOOKUP(Tab_Calculs[[#This Row],[Colonne1]],Controle_des_données!$B$7:$G$14,6,FALSE),"")</f>
        <v/>
      </c>
      <c r="T80" t="str">
        <f ca="1">IF(Tab_Calculs[[#This Row],[Combustible ]]="Electricité (kWh)",Tab_Calculs[[#This Row],[Conso_mois_kWh]]*2.3,Tab_Calculs[[#This Row],[Conso_mois_kWh]])</f>
        <v/>
      </c>
      <c r="U80" t="str">
        <f ca="1">IFERROR(N80*VLOOKUP(Tab_Calculs[[#This Row],[Colonne1]],Controle_des_données!$B$7:$H$14,7,FALSE),"")</f>
        <v/>
      </c>
      <c r="V80">
        <f ca="1">IFERROR(Tab_Calculs[[#This Row],[Cout_mois]]/Tab_Calculs[[#This Row],[Conso_mois_kWh]],0)</f>
        <v>0</v>
      </c>
      <c r="W80" t="str">
        <f>T(VLOOKUP(Tab_Calculs[[#This Row],[Compteur]],Site!$B$33:$G$40,3,FALSE))</f>
        <v/>
      </c>
      <c r="X80" t="str">
        <f>T(VLOOKUP(Tab_Calculs[[#This Row],[Compteur]],Site!$B$33:$G$40,4,FALSE))</f>
        <v/>
      </c>
      <c r="Y80" t="str">
        <f>T(VLOOKUP(Tab_Calculs[[#This Row],[Compteur]],Site!$B$33:$G$40,5,FALSE))</f>
        <v/>
      </c>
      <c r="Z80" t="str">
        <f>T(VLOOKUP(Tab_Calculs[[#This Row],[Compteur]],Site!$B$33:$G$40,6,FALSE))</f>
        <v/>
      </c>
      <c r="AA80">
        <f>IFERROR(GETPIVOTDATA("DJU(chauffagiste)",BDD_DJU!$P$13,"annee",Tab_Calculs[[#This Row],[ANNEE]],"mois_numero",Tab_Calculs[[#This Row],[MOIS]]),0)</f>
        <v>258.5</v>
      </c>
    </row>
    <row r="81" spans="1:27" x14ac:dyDescent="0.25">
      <c r="A81" s="3">
        <f>DATE(Tab_Calculs[[#This Row],[ANNEE]],Tab_Calculs[[#This Row],[MOIS]],1)</f>
        <v>42370</v>
      </c>
      <c r="B81" s="3">
        <f>EDATE(Tab_Calculs[[#This Row],[Début mois]],1)-1</f>
        <v>42400</v>
      </c>
      <c r="C81">
        <f>C69</f>
        <v>1</v>
      </c>
      <c r="D81">
        <f t="shared" si="0"/>
        <v>2016</v>
      </c>
      <c r="E81" t="s">
        <v>80</v>
      </c>
      <c r="F81" t="str">
        <f>SUBSTITUTE(Tab_Calculs[[#This Row],[Compteur]]," ","_")</f>
        <v>Compteur_1</v>
      </c>
      <c r="G81" t="str">
        <f>T(INDEX(Site!$B$33:$G$40, MATCH(Tab_Calculs[[#This Row],[Compteur]], Site!$B$33:$B$40,0),2))</f>
        <v/>
      </c>
      <c r="H81" s="3">
        <f t="array" aca="1" ref="H81" ca="1">MIN(IF(INDIRECT(CONCATENATE(Tab_Calculs[[#This Row],[Colonne1]],"!$B$2:$B$243"))&gt;=Calculs_Consos!$A81,INDIRECT(CONCATENATE(Tab_Calculs[[#This Row],[Colonne1]],"!$B$2:$B$243"))))</f>
        <v>0</v>
      </c>
      <c r="I81" s="3">
        <f ca="1">INDEX(INDIRECT(CONCATENATE("Tab_",Tab_Calculs[[#This Row],[Colonne1]])),Tab_Calculs[[#This Row],[index_date_livraison]],1)</f>
        <v>0</v>
      </c>
      <c r="J81">
        <f ca="1">MATCH(Tab_Calculs[[#This Row],[Date_livraison]],INDIRECT(CONCATENATE("Tab_",Tab_Calculs[[#This Row],[Colonne1]],"[Fin de période]")),0)</f>
        <v>1</v>
      </c>
      <c r="K81" t="e">
        <f ca="1">INDEX(INDIRECT(CONCATENATE("Tab_",Tab_Calculs[[#This Row],[Colonne1]])),Tab_Calculs[[#This Row],[index_date_livraison]]-1,6)*(MAX(Tab_Calculs[[#This Row],[Début periode livraison]],Tab_Calculs[[#This Row],[Début mois]])-Tab_Calculs[[#This Row],[Début mois]])</f>
        <v>#VALUE!</v>
      </c>
      <c r="L81" s="94">
        <f ca="1">INDEX(INDIRECT(CONCATENATE("Tab_",Tab_Calculs[[#This Row],[Colonne1]])),Tab_Calculs[[#This Row],[index_date_livraison]],6)*(1+MIN(Tab_Calculs[[#This Row],[Date_livraison]],Tab_Calculs[[#This Row],[fin mois]])-MAX(Tab_Calculs[[#This Row],[Début mois]],Tab_Calculs[[#This Row],[Début periode livraison]]))</f>
        <v>0</v>
      </c>
      <c r="M81" s="94" t="e">
        <f ca="1">INDEX(INDIRECT(CONCATENATE("Tab_",Tab_Calculs[[#This Row],[Colonne1]])),Tab_Calculs[[#This Row],[index_date_livraison]]+1,6)*(Tab_Calculs[[#This Row],[fin mois]]-MIN(Tab_Calculs[[#This Row],[fin mois]],Tab_Calculs[[#This Row],[Date_livraison]]))</f>
        <v>#VALUE!</v>
      </c>
      <c r="N81" s="231" t="str">
        <f ca="1">IFERROR(Tab_Calculs[[#This Row],[Ratio_jour_après_livr]]+Tab_Calculs[[#This Row],[Ratio_jour_avant_livr]]+Tab_Calculs[[#This Row],[ratio_avant_debut]],"")</f>
        <v/>
      </c>
      <c r="O81" t="e">
        <f ca="1">INDEX(INDIRECT(CONCATENATE("Tab_",Tab_Calculs[[#This Row],[Colonne1]])),Tab_Calculs[[#This Row],[index_date_livraison]]-1,7)*(MAX(Tab_Calculs[[#This Row],[Début periode livraison]],Tab_Calculs[[#This Row],[Début mois]])-Tab_Calculs[[#This Row],[Début mois]])</f>
        <v>#VALUE!</v>
      </c>
      <c r="P81">
        <f ca="1">INDEX(INDIRECT(CONCATENATE("Tab_",Tab_Calculs[[#This Row],[Colonne1]])),Tab_Calculs[[#This Row],[index_date_livraison]],7)*(1+MIN(Tab_Calculs[[#This Row],[Date_livraison]],Tab_Calculs[[#This Row],[fin mois]])-MAX(Tab_Calculs[[#This Row],[Début mois]],Tab_Calculs[[#This Row],[Début periode livraison]]))</f>
        <v>0</v>
      </c>
      <c r="Q81" t="e">
        <f ca="1">INDEX(INDIRECT(CONCATENATE("Tab_",Tab_Calculs[[#This Row],[Colonne1]])),Tab_Calculs[[#This Row],[index_date_livraison]]+1,7)*(Tab_Calculs[[#This Row],[fin mois]]-MIN(Tab_Calculs[[#This Row],[fin mois]],Tab_Calculs[[#This Row],[Date_livraison]]))</f>
        <v>#VALUE!</v>
      </c>
      <c r="R81" t="e">
        <f ca="1">Tab_Calculs[[#This Row],[Ratio_Cout_après_livr]]+Tab_Calculs[[#This Row],[Ratio_Cout_avant_livr]]+Tab_Calculs[[#This Row],[Ratio_Cout_avant_debut]]</f>
        <v>#VALUE!</v>
      </c>
      <c r="S81" t="str">
        <f ca="1">IFERROR(N81*VLOOKUP(Tab_Calculs[[#This Row],[Colonne1]],Controle_des_données!$B$7:$G$14,6,FALSE),"")</f>
        <v/>
      </c>
      <c r="T81" t="str">
        <f ca="1">IF(Tab_Calculs[[#This Row],[Combustible ]]="Electricité (kWh)",Tab_Calculs[[#This Row],[Conso_mois_kWh]]*2.3,Tab_Calculs[[#This Row],[Conso_mois_kWh]])</f>
        <v/>
      </c>
      <c r="U81" t="str">
        <f ca="1">IFERROR(N81*VLOOKUP(Tab_Calculs[[#This Row],[Colonne1]],Controle_des_données!$B$7:$H$14,7,FALSE),"")</f>
        <v/>
      </c>
      <c r="V81">
        <f ca="1">IFERROR(Tab_Calculs[[#This Row],[Cout_mois]]/Tab_Calculs[[#This Row],[Conso_mois_kWh]],0)</f>
        <v>0</v>
      </c>
      <c r="W81" t="str">
        <f>T(VLOOKUP(Tab_Calculs[[#This Row],[Compteur]],Site!$B$33:$G$40,3,FALSE))</f>
        <v/>
      </c>
      <c r="X81" t="str">
        <f>T(VLOOKUP(Tab_Calculs[[#This Row],[Compteur]],Site!$B$33:$G$40,4,FALSE))</f>
        <v/>
      </c>
      <c r="Y81" t="str">
        <f>T(VLOOKUP(Tab_Calculs[[#This Row],[Compteur]],Site!$B$33:$G$40,5,FALSE))</f>
        <v/>
      </c>
      <c r="Z81" t="str">
        <f>T(VLOOKUP(Tab_Calculs[[#This Row],[Compteur]],Site!$B$33:$G$40,6,FALSE))</f>
        <v/>
      </c>
      <c r="AA81">
        <f>IFERROR(GETPIVOTDATA("DJU(chauffagiste)",BDD_DJU!$P$13,"annee",Tab_Calculs[[#This Row],[ANNEE]],"mois_numero",Tab_Calculs[[#This Row],[MOIS]]),0)</f>
        <v>348.4</v>
      </c>
    </row>
    <row r="82" spans="1:27" x14ac:dyDescent="0.25">
      <c r="A82" s="3">
        <f>DATE(Tab_Calculs[[#This Row],[ANNEE]],Tab_Calculs[[#This Row],[MOIS]],1)</f>
        <v>42401</v>
      </c>
      <c r="B82" s="3">
        <f>EDATE(Tab_Calculs[[#This Row],[Début mois]],1)-1</f>
        <v>42429</v>
      </c>
      <c r="C82">
        <f t="shared" ref="C82:C145" si="1">C70</f>
        <v>2</v>
      </c>
      <c r="D82">
        <f t="shared" si="0"/>
        <v>2016</v>
      </c>
      <c r="E82" t="s">
        <v>80</v>
      </c>
      <c r="F82" t="str">
        <f>SUBSTITUTE(Tab_Calculs[[#This Row],[Compteur]]," ","_")</f>
        <v>Compteur_1</v>
      </c>
      <c r="G82" t="str">
        <f>T(INDEX(Site!$B$33:$G$40, MATCH(Tab_Calculs[[#This Row],[Compteur]], Site!$B$33:$B$40,0),2))</f>
        <v/>
      </c>
      <c r="H82" s="3">
        <f t="array" aca="1" ref="H82" ca="1">MIN(IF(INDIRECT(CONCATENATE(Tab_Calculs[[#This Row],[Colonne1]],"!$B$2:$B$243"))&gt;=Calculs_Consos!$A82,INDIRECT(CONCATENATE(Tab_Calculs[[#This Row],[Colonne1]],"!$B$2:$B$243"))))</f>
        <v>0</v>
      </c>
      <c r="I82" s="3">
        <f ca="1">INDEX(INDIRECT(CONCATENATE("Tab_",Tab_Calculs[[#This Row],[Colonne1]])),Tab_Calculs[[#This Row],[index_date_livraison]],1)</f>
        <v>0</v>
      </c>
      <c r="J82">
        <f ca="1">MATCH(Tab_Calculs[[#This Row],[Date_livraison]],INDIRECT(CONCATENATE("Tab_",Tab_Calculs[[#This Row],[Colonne1]],"[Fin de période]")),0)</f>
        <v>1</v>
      </c>
      <c r="K82" t="e">
        <f ca="1">INDEX(INDIRECT(CONCATENATE("Tab_",Tab_Calculs[[#This Row],[Colonne1]])),Tab_Calculs[[#This Row],[index_date_livraison]]-1,6)*(MAX(Tab_Calculs[[#This Row],[Début periode livraison]],Tab_Calculs[[#This Row],[Début mois]])-Tab_Calculs[[#This Row],[Début mois]])</f>
        <v>#VALUE!</v>
      </c>
      <c r="L82" s="94">
        <f ca="1">INDEX(INDIRECT(CONCATENATE("Tab_",Tab_Calculs[[#This Row],[Colonne1]])),Tab_Calculs[[#This Row],[index_date_livraison]],6)*(1+MIN(Tab_Calculs[[#This Row],[Date_livraison]],Tab_Calculs[[#This Row],[fin mois]])-MAX(Tab_Calculs[[#This Row],[Début mois]],Tab_Calculs[[#This Row],[Début periode livraison]]))</f>
        <v>0</v>
      </c>
      <c r="M82" s="94" t="e">
        <f ca="1">INDEX(INDIRECT(CONCATENATE("Tab_",Tab_Calculs[[#This Row],[Colonne1]])),Tab_Calculs[[#This Row],[index_date_livraison]]+1,6)*(Tab_Calculs[[#This Row],[fin mois]]-MIN(Tab_Calculs[[#This Row],[fin mois]],Tab_Calculs[[#This Row],[Date_livraison]]))</f>
        <v>#VALUE!</v>
      </c>
      <c r="N82" s="231" t="str">
        <f ca="1">IFERROR(Tab_Calculs[[#This Row],[Ratio_jour_après_livr]]+Tab_Calculs[[#This Row],[Ratio_jour_avant_livr]]+Tab_Calculs[[#This Row],[ratio_avant_debut]],"")</f>
        <v/>
      </c>
      <c r="O82" t="e">
        <f ca="1">INDEX(INDIRECT(CONCATENATE("Tab_",Tab_Calculs[[#This Row],[Colonne1]])),Tab_Calculs[[#This Row],[index_date_livraison]]-1,7)*(MAX(Tab_Calculs[[#This Row],[Début periode livraison]],Tab_Calculs[[#This Row],[Début mois]])-Tab_Calculs[[#This Row],[Début mois]])</f>
        <v>#VALUE!</v>
      </c>
      <c r="P82">
        <f ca="1">INDEX(INDIRECT(CONCATENATE("Tab_",Tab_Calculs[[#This Row],[Colonne1]])),Tab_Calculs[[#This Row],[index_date_livraison]],7)*(1+MIN(Tab_Calculs[[#This Row],[Date_livraison]],Tab_Calculs[[#This Row],[fin mois]])-MAX(Tab_Calculs[[#This Row],[Début mois]],Tab_Calculs[[#This Row],[Début periode livraison]]))</f>
        <v>0</v>
      </c>
      <c r="Q82" t="e">
        <f ca="1">INDEX(INDIRECT(CONCATENATE("Tab_",Tab_Calculs[[#This Row],[Colonne1]])),Tab_Calculs[[#This Row],[index_date_livraison]]+1,7)*(Tab_Calculs[[#This Row],[fin mois]]-MIN(Tab_Calculs[[#This Row],[fin mois]],Tab_Calculs[[#This Row],[Date_livraison]]))</f>
        <v>#VALUE!</v>
      </c>
      <c r="R82" t="e">
        <f ca="1">Tab_Calculs[[#This Row],[Ratio_Cout_après_livr]]+Tab_Calculs[[#This Row],[Ratio_Cout_avant_livr]]+Tab_Calculs[[#This Row],[Ratio_Cout_avant_debut]]</f>
        <v>#VALUE!</v>
      </c>
      <c r="S82" t="str">
        <f ca="1">IFERROR(N82*VLOOKUP(Tab_Calculs[[#This Row],[Colonne1]],Controle_des_données!$B$7:$G$14,6,FALSE),"")</f>
        <v/>
      </c>
      <c r="T82" t="str">
        <f ca="1">IF(Tab_Calculs[[#This Row],[Combustible ]]="Electricité (kWh)",Tab_Calculs[[#This Row],[Conso_mois_kWh]]*2.3,Tab_Calculs[[#This Row],[Conso_mois_kWh]])</f>
        <v/>
      </c>
      <c r="U82" t="str">
        <f ca="1">IFERROR(N82*VLOOKUP(Tab_Calculs[[#This Row],[Colonne1]],Controle_des_données!$B$7:$H$14,7,FALSE),"")</f>
        <v/>
      </c>
      <c r="V82">
        <f ca="1">IFERROR(Tab_Calculs[[#This Row],[Cout_mois]]/Tab_Calculs[[#This Row],[Conso_mois_kWh]],0)</f>
        <v>0</v>
      </c>
      <c r="W82" t="str">
        <f>T(VLOOKUP(Tab_Calculs[[#This Row],[Compteur]],Site!$B$33:$G$40,3,FALSE))</f>
        <v/>
      </c>
      <c r="X82" t="str">
        <f>T(VLOOKUP(Tab_Calculs[[#This Row],[Compteur]],Site!$B$33:$G$40,4,FALSE))</f>
        <v/>
      </c>
      <c r="Y82" t="str">
        <f>T(VLOOKUP(Tab_Calculs[[#This Row],[Compteur]],Site!$B$33:$G$40,5,FALSE))</f>
        <v/>
      </c>
      <c r="Z82" t="str">
        <f>T(VLOOKUP(Tab_Calculs[[#This Row],[Compteur]],Site!$B$33:$G$40,6,FALSE))</f>
        <v/>
      </c>
      <c r="AA82">
        <f>IFERROR(GETPIVOTDATA("DJU(chauffagiste)",BDD_DJU!$P$13,"annee",Tab_Calculs[[#This Row],[ANNEE]],"mois_numero",Tab_Calculs[[#This Row],[MOIS]]),0)</f>
        <v>321.2</v>
      </c>
    </row>
    <row r="83" spans="1:27" x14ac:dyDescent="0.25">
      <c r="A83" s="3">
        <f>DATE(Tab_Calculs[[#This Row],[ANNEE]],Tab_Calculs[[#This Row],[MOIS]],1)</f>
        <v>42430</v>
      </c>
      <c r="B83" s="3">
        <f>EDATE(Tab_Calculs[[#This Row],[Début mois]],1)-1</f>
        <v>42460</v>
      </c>
      <c r="C83">
        <f t="shared" si="1"/>
        <v>3</v>
      </c>
      <c r="D83">
        <f t="shared" si="0"/>
        <v>2016</v>
      </c>
      <c r="E83" t="s">
        <v>80</v>
      </c>
      <c r="F83" t="str">
        <f>SUBSTITUTE(Tab_Calculs[[#This Row],[Compteur]]," ","_")</f>
        <v>Compteur_1</v>
      </c>
      <c r="G83" t="str">
        <f>T(INDEX(Site!$B$33:$G$40, MATCH(Tab_Calculs[[#This Row],[Compteur]], Site!$B$33:$B$40,0),2))</f>
        <v/>
      </c>
      <c r="H83" s="3">
        <f t="array" aca="1" ref="H83" ca="1">MIN(IF(INDIRECT(CONCATENATE(Tab_Calculs[[#This Row],[Colonne1]],"!$B$2:$B$243"))&gt;=Calculs_Consos!$A83,INDIRECT(CONCATENATE(Tab_Calculs[[#This Row],[Colonne1]],"!$B$2:$B$243"))))</f>
        <v>0</v>
      </c>
      <c r="I83" s="3">
        <f ca="1">INDEX(INDIRECT(CONCATENATE("Tab_",Tab_Calculs[[#This Row],[Colonne1]])),Tab_Calculs[[#This Row],[index_date_livraison]],1)</f>
        <v>0</v>
      </c>
      <c r="J83">
        <f ca="1">MATCH(Tab_Calculs[[#This Row],[Date_livraison]],INDIRECT(CONCATENATE("Tab_",Tab_Calculs[[#This Row],[Colonne1]],"[Fin de période]")),0)</f>
        <v>1</v>
      </c>
      <c r="K83" t="e">
        <f ca="1">INDEX(INDIRECT(CONCATENATE("Tab_",Tab_Calculs[[#This Row],[Colonne1]])),Tab_Calculs[[#This Row],[index_date_livraison]]-1,6)*(MAX(Tab_Calculs[[#This Row],[Début periode livraison]],Tab_Calculs[[#This Row],[Début mois]])-Tab_Calculs[[#This Row],[Début mois]])</f>
        <v>#VALUE!</v>
      </c>
      <c r="L83" s="94">
        <f ca="1">INDEX(INDIRECT(CONCATENATE("Tab_",Tab_Calculs[[#This Row],[Colonne1]])),Tab_Calculs[[#This Row],[index_date_livraison]],6)*(1+MIN(Tab_Calculs[[#This Row],[Date_livraison]],Tab_Calculs[[#This Row],[fin mois]])-MAX(Tab_Calculs[[#This Row],[Début mois]],Tab_Calculs[[#This Row],[Début periode livraison]]))</f>
        <v>0</v>
      </c>
      <c r="M83" s="94" t="e">
        <f ca="1">INDEX(INDIRECT(CONCATENATE("Tab_",Tab_Calculs[[#This Row],[Colonne1]])),Tab_Calculs[[#This Row],[index_date_livraison]]+1,6)*(Tab_Calculs[[#This Row],[fin mois]]-MIN(Tab_Calculs[[#This Row],[fin mois]],Tab_Calculs[[#This Row],[Date_livraison]]))</f>
        <v>#VALUE!</v>
      </c>
      <c r="N83" s="231" t="str">
        <f ca="1">IFERROR(Tab_Calculs[[#This Row],[Ratio_jour_après_livr]]+Tab_Calculs[[#This Row],[Ratio_jour_avant_livr]]+Tab_Calculs[[#This Row],[ratio_avant_debut]],"")</f>
        <v/>
      </c>
      <c r="O83" t="e">
        <f ca="1">INDEX(INDIRECT(CONCATENATE("Tab_",Tab_Calculs[[#This Row],[Colonne1]])),Tab_Calculs[[#This Row],[index_date_livraison]]-1,7)*(MAX(Tab_Calculs[[#This Row],[Début periode livraison]],Tab_Calculs[[#This Row],[Début mois]])-Tab_Calculs[[#This Row],[Début mois]])</f>
        <v>#VALUE!</v>
      </c>
      <c r="P83">
        <f ca="1">INDEX(INDIRECT(CONCATENATE("Tab_",Tab_Calculs[[#This Row],[Colonne1]])),Tab_Calculs[[#This Row],[index_date_livraison]],7)*(1+MIN(Tab_Calculs[[#This Row],[Date_livraison]],Tab_Calculs[[#This Row],[fin mois]])-MAX(Tab_Calculs[[#This Row],[Début mois]],Tab_Calculs[[#This Row],[Début periode livraison]]))</f>
        <v>0</v>
      </c>
      <c r="Q83" t="e">
        <f ca="1">INDEX(INDIRECT(CONCATENATE("Tab_",Tab_Calculs[[#This Row],[Colonne1]])),Tab_Calculs[[#This Row],[index_date_livraison]]+1,7)*(Tab_Calculs[[#This Row],[fin mois]]-MIN(Tab_Calculs[[#This Row],[fin mois]],Tab_Calculs[[#This Row],[Date_livraison]]))</f>
        <v>#VALUE!</v>
      </c>
      <c r="R83" t="e">
        <f ca="1">Tab_Calculs[[#This Row],[Ratio_Cout_après_livr]]+Tab_Calculs[[#This Row],[Ratio_Cout_avant_livr]]+Tab_Calculs[[#This Row],[Ratio_Cout_avant_debut]]</f>
        <v>#VALUE!</v>
      </c>
      <c r="S83" t="str">
        <f ca="1">IFERROR(N83*VLOOKUP(Tab_Calculs[[#This Row],[Colonne1]],Controle_des_données!$B$7:$G$14,6,FALSE),"")</f>
        <v/>
      </c>
      <c r="T83" t="str">
        <f ca="1">IF(Tab_Calculs[[#This Row],[Combustible ]]="Electricité (kWh)",Tab_Calculs[[#This Row],[Conso_mois_kWh]]*2.3,Tab_Calculs[[#This Row],[Conso_mois_kWh]])</f>
        <v/>
      </c>
      <c r="U83" t="str">
        <f ca="1">IFERROR(N83*VLOOKUP(Tab_Calculs[[#This Row],[Colonne1]],Controle_des_données!$B$7:$H$14,7,FALSE),"")</f>
        <v/>
      </c>
      <c r="V83">
        <f ca="1">IFERROR(Tab_Calculs[[#This Row],[Cout_mois]]/Tab_Calculs[[#This Row],[Conso_mois_kWh]],0)</f>
        <v>0</v>
      </c>
      <c r="W83" t="str">
        <f>T(VLOOKUP(Tab_Calculs[[#This Row],[Compteur]],Site!$B$33:$G$40,3,FALSE))</f>
        <v/>
      </c>
      <c r="X83" t="str">
        <f>T(VLOOKUP(Tab_Calculs[[#This Row],[Compteur]],Site!$B$33:$G$40,4,FALSE))</f>
        <v/>
      </c>
      <c r="Y83" t="str">
        <f>T(VLOOKUP(Tab_Calculs[[#This Row],[Compteur]],Site!$B$33:$G$40,5,FALSE))</f>
        <v/>
      </c>
      <c r="Z83" t="str">
        <f>T(VLOOKUP(Tab_Calculs[[#This Row],[Compteur]],Site!$B$33:$G$40,6,FALSE))</f>
        <v/>
      </c>
      <c r="AA83">
        <f>IFERROR(GETPIVOTDATA("DJU(chauffagiste)",BDD_DJU!$P$13,"annee",Tab_Calculs[[#This Row],[ANNEE]],"mois_numero",Tab_Calculs[[#This Row],[MOIS]]),0)</f>
        <v>328.3</v>
      </c>
    </row>
    <row r="84" spans="1:27" x14ac:dyDescent="0.25">
      <c r="A84" s="3">
        <f>DATE(Tab_Calculs[[#This Row],[ANNEE]],Tab_Calculs[[#This Row],[MOIS]],1)</f>
        <v>42461</v>
      </c>
      <c r="B84" s="3">
        <f>EDATE(Tab_Calculs[[#This Row],[Début mois]],1)-1</f>
        <v>42490</v>
      </c>
      <c r="C84">
        <f t="shared" si="1"/>
        <v>4</v>
      </c>
      <c r="D84">
        <f t="shared" si="0"/>
        <v>2016</v>
      </c>
      <c r="E84" t="s">
        <v>80</v>
      </c>
      <c r="F84" t="str">
        <f>SUBSTITUTE(Tab_Calculs[[#This Row],[Compteur]]," ","_")</f>
        <v>Compteur_1</v>
      </c>
      <c r="G84" t="str">
        <f>T(INDEX(Site!$B$33:$G$40, MATCH(Tab_Calculs[[#This Row],[Compteur]], Site!$B$33:$B$40,0),2))</f>
        <v/>
      </c>
      <c r="H84" s="3">
        <f t="array" aca="1" ref="H84" ca="1">MIN(IF(INDIRECT(CONCATENATE(Tab_Calculs[[#This Row],[Colonne1]],"!$B$2:$B$243"))&gt;=Calculs_Consos!$A84,INDIRECT(CONCATENATE(Tab_Calculs[[#This Row],[Colonne1]],"!$B$2:$B$243"))))</f>
        <v>0</v>
      </c>
      <c r="I84" s="3">
        <f ca="1">INDEX(INDIRECT(CONCATENATE("Tab_",Tab_Calculs[[#This Row],[Colonne1]])),Tab_Calculs[[#This Row],[index_date_livraison]],1)</f>
        <v>0</v>
      </c>
      <c r="J84">
        <f ca="1">MATCH(Tab_Calculs[[#This Row],[Date_livraison]],INDIRECT(CONCATENATE("Tab_",Tab_Calculs[[#This Row],[Colonne1]],"[Fin de période]")),0)</f>
        <v>1</v>
      </c>
      <c r="K84" t="e">
        <f ca="1">INDEX(INDIRECT(CONCATENATE("Tab_",Tab_Calculs[[#This Row],[Colonne1]])),Tab_Calculs[[#This Row],[index_date_livraison]]-1,6)*(MAX(Tab_Calculs[[#This Row],[Début periode livraison]],Tab_Calculs[[#This Row],[Début mois]])-Tab_Calculs[[#This Row],[Début mois]])</f>
        <v>#VALUE!</v>
      </c>
      <c r="L84" s="94">
        <f ca="1">INDEX(INDIRECT(CONCATENATE("Tab_",Tab_Calculs[[#This Row],[Colonne1]])),Tab_Calculs[[#This Row],[index_date_livraison]],6)*(1+MIN(Tab_Calculs[[#This Row],[Date_livraison]],Tab_Calculs[[#This Row],[fin mois]])-MAX(Tab_Calculs[[#This Row],[Début mois]],Tab_Calculs[[#This Row],[Début periode livraison]]))</f>
        <v>0</v>
      </c>
      <c r="M84" s="94" t="e">
        <f ca="1">INDEX(INDIRECT(CONCATENATE("Tab_",Tab_Calculs[[#This Row],[Colonne1]])),Tab_Calculs[[#This Row],[index_date_livraison]]+1,6)*(Tab_Calculs[[#This Row],[fin mois]]-MIN(Tab_Calculs[[#This Row],[fin mois]],Tab_Calculs[[#This Row],[Date_livraison]]))</f>
        <v>#VALUE!</v>
      </c>
      <c r="N84" s="231" t="str">
        <f ca="1">IFERROR(Tab_Calculs[[#This Row],[Ratio_jour_après_livr]]+Tab_Calculs[[#This Row],[Ratio_jour_avant_livr]]+Tab_Calculs[[#This Row],[ratio_avant_debut]],"")</f>
        <v/>
      </c>
      <c r="O84" t="e">
        <f ca="1">INDEX(INDIRECT(CONCATENATE("Tab_",Tab_Calculs[[#This Row],[Colonne1]])),Tab_Calculs[[#This Row],[index_date_livraison]]-1,7)*(MAX(Tab_Calculs[[#This Row],[Début periode livraison]],Tab_Calculs[[#This Row],[Début mois]])-Tab_Calculs[[#This Row],[Début mois]])</f>
        <v>#VALUE!</v>
      </c>
      <c r="P84">
        <f ca="1">INDEX(INDIRECT(CONCATENATE("Tab_",Tab_Calculs[[#This Row],[Colonne1]])),Tab_Calculs[[#This Row],[index_date_livraison]],7)*(1+MIN(Tab_Calculs[[#This Row],[Date_livraison]],Tab_Calculs[[#This Row],[fin mois]])-MAX(Tab_Calculs[[#This Row],[Début mois]],Tab_Calculs[[#This Row],[Début periode livraison]]))</f>
        <v>0</v>
      </c>
      <c r="Q84" t="e">
        <f ca="1">INDEX(INDIRECT(CONCATENATE("Tab_",Tab_Calculs[[#This Row],[Colonne1]])),Tab_Calculs[[#This Row],[index_date_livraison]]+1,7)*(Tab_Calculs[[#This Row],[fin mois]]-MIN(Tab_Calculs[[#This Row],[fin mois]],Tab_Calculs[[#This Row],[Date_livraison]]))</f>
        <v>#VALUE!</v>
      </c>
      <c r="R84" t="e">
        <f ca="1">Tab_Calculs[[#This Row],[Ratio_Cout_après_livr]]+Tab_Calculs[[#This Row],[Ratio_Cout_avant_livr]]+Tab_Calculs[[#This Row],[Ratio_Cout_avant_debut]]</f>
        <v>#VALUE!</v>
      </c>
      <c r="S84" t="str">
        <f ca="1">IFERROR(N84*VLOOKUP(Tab_Calculs[[#This Row],[Colonne1]],Controle_des_données!$B$7:$G$14,6,FALSE),"")</f>
        <v/>
      </c>
      <c r="T84" t="str">
        <f ca="1">IF(Tab_Calculs[[#This Row],[Combustible ]]="Electricité (kWh)",Tab_Calculs[[#This Row],[Conso_mois_kWh]]*2.3,Tab_Calculs[[#This Row],[Conso_mois_kWh]])</f>
        <v/>
      </c>
      <c r="U84" t="str">
        <f ca="1">IFERROR(N84*VLOOKUP(Tab_Calculs[[#This Row],[Colonne1]],Controle_des_données!$B$7:$H$14,7,FALSE),"")</f>
        <v/>
      </c>
      <c r="V84">
        <f ca="1">IFERROR(Tab_Calculs[[#This Row],[Cout_mois]]/Tab_Calculs[[#This Row],[Conso_mois_kWh]],0)</f>
        <v>0</v>
      </c>
      <c r="W84" t="str">
        <f>T(VLOOKUP(Tab_Calculs[[#This Row],[Compteur]],Site!$B$33:$G$40,3,FALSE))</f>
        <v/>
      </c>
      <c r="X84" t="str">
        <f>T(VLOOKUP(Tab_Calculs[[#This Row],[Compteur]],Site!$B$33:$G$40,4,FALSE))</f>
        <v/>
      </c>
      <c r="Y84" t="str">
        <f>T(VLOOKUP(Tab_Calculs[[#This Row],[Compteur]],Site!$B$33:$G$40,5,FALSE))</f>
        <v/>
      </c>
      <c r="Z84" t="str">
        <f>T(VLOOKUP(Tab_Calculs[[#This Row],[Compteur]],Site!$B$33:$G$40,6,FALSE))</f>
        <v/>
      </c>
      <c r="AA84">
        <f>IFERROR(GETPIVOTDATA("DJU(chauffagiste)",BDD_DJU!$P$13,"annee",Tab_Calculs[[#This Row],[ANNEE]],"mois_numero",Tab_Calculs[[#This Row],[MOIS]]),0)</f>
        <v>252.6</v>
      </c>
    </row>
    <row r="85" spans="1:27" x14ac:dyDescent="0.25">
      <c r="A85" s="3">
        <f>DATE(Tab_Calculs[[#This Row],[ANNEE]],Tab_Calculs[[#This Row],[MOIS]],1)</f>
        <v>42491</v>
      </c>
      <c r="B85" s="3">
        <f>EDATE(Tab_Calculs[[#This Row],[Début mois]],1)-1</f>
        <v>42521</v>
      </c>
      <c r="C85">
        <f t="shared" si="1"/>
        <v>5</v>
      </c>
      <c r="D85">
        <f t="shared" si="0"/>
        <v>2016</v>
      </c>
      <c r="E85" t="s">
        <v>80</v>
      </c>
      <c r="F85" t="str">
        <f>SUBSTITUTE(Tab_Calculs[[#This Row],[Compteur]]," ","_")</f>
        <v>Compteur_1</v>
      </c>
      <c r="G85" t="str">
        <f>T(INDEX(Site!$B$33:$G$40, MATCH(Tab_Calculs[[#This Row],[Compteur]], Site!$B$33:$B$40,0),2))</f>
        <v/>
      </c>
      <c r="H85" s="3">
        <f t="array" aca="1" ref="H85" ca="1">MIN(IF(INDIRECT(CONCATENATE(Tab_Calculs[[#This Row],[Colonne1]],"!$B$2:$B$243"))&gt;=Calculs_Consos!$A85,INDIRECT(CONCATENATE(Tab_Calculs[[#This Row],[Colonne1]],"!$B$2:$B$243"))))</f>
        <v>0</v>
      </c>
      <c r="I85" s="3">
        <f ca="1">INDEX(INDIRECT(CONCATENATE("Tab_",Tab_Calculs[[#This Row],[Colonne1]])),Tab_Calculs[[#This Row],[index_date_livraison]],1)</f>
        <v>0</v>
      </c>
      <c r="J85">
        <f ca="1">MATCH(Tab_Calculs[[#This Row],[Date_livraison]],INDIRECT(CONCATENATE("Tab_",Tab_Calculs[[#This Row],[Colonne1]],"[Fin de période]")),0)</f>
        <v>1</v>
      </c>
      <c r="K85" t="e">
        <f ca="1">INDEX(INDIRECT(CONCATENATE("Tab_",Tab_Calculs[[#This Row],[Colonne1]])),Tab_Calculs[[#This Row],[index_date_livraison]]-1,6)*(MAX(Tab_Calculs[[#This Row],[Début periode livraison]],Tab_Calculs[[#This Row],[Début mois]])-Tab_Calculs[[#This Row],[Début mois]])</f>
        <v>#VALUE!</v>
      </c>
      <c r="L85" s="94">
        <f ca="1">INDEX(INDIRECT(CONCATENATE("Tab_",Tab_Calculs[[#This Row],[Colonne1]])),Tab_Calculs[[#This Row],[index_date_livraison]],6)*(1+MIN(Tab_Calculs[[#This Row],[Date_livraison]],Tab_Calculs[[#This Row],[fin mois]])-MAX(Tab_Calculs[[#This Row],[Début mois]],Tab_Calculs[[#This Row],[Début periode livraison]]))</f>
        <v>0</v>
      </c>
      <c r="M85" s="94" t="e">
        <f ca="1">INDEX(INDIRECT(CONCATENATE("Tab_",Tab_Calculs[[#This Row],[Colonne1]])),Tab_Calculs[[#This Row],[index_date_livraison]]+1,6)*(Tab_Calculs[[#This Row],[fin mois]]-MIN(Tab_Calculs[[#This Row],[fin mois]],Tab_Calculs[[#This Row],[Date_livraison]]))</f>
        <v>#VALUE!</v>
      </c>
      <c r="N85" s="231" t="str">
        <f ca="1">IFERROR(Tab_Calculs[[#This Row],[Ratio_jour_après_livr]]+Tab_Calculs[[#This Row],[Ratio_jour_avant_livr]]+Tab_Calculs[[#This Row],[ratio_avant_debut]],"")</f>
        <v/>
      </c>
      <c r="O85" t="e">
        <f ca="1">INDEX(INDIRECT(CONCATENATE("Tab_",Tab_Calculs[[#This Row],[Colonne1]])),Tab_Calculs[[#This Row],[index_date_livraison]]-1,7)*(MAX(Tab_Calculs[[#This Row],[Début periode livraison]],Tab_Calculs[[#This Row],[Début mois]])-Tab_Calculs[[#This Row],[Début mois]])</f>
        <v>#VALUE!</v>
      </c>
      <c r="P85">
        <f ca="1">INDEX(INDIRECT(CONCATENATE("Tab_",Tab_Calculs[[#This Row],[Colonne1]])),Tab_Calculs[[#This Row],[index_date_livraison]],7)*(1+MIN(Tab_Calculs[[#This Row],[Date_livraison]],Tab_Calculs[[#This Row],[fin mois]])-MAX(Tab_Calculs[[#This Row],[Début mois]],Tab_Calculs[[#This Row],[Début periode livraison]]))</f>
        <v>0</v>
      </c>
      <c r="Q85" t="e">
        <f ca="1">INDEX(INDIRECT(CONCATENATE("Tab_",Tab_Calculs[[#This Row],[Colonne1]])),Tab_Calculs[[#This Row],[index_date_livraison]]+1,7)*(Tab_Calculs[[#This Row],[fin mois]]-MIN(Tab_Calculs[[#This Row],[fin mois]],Tab_Calculs[[#This Row],[Date_livraison]]))</f>
        <v>#VALUE!</v>
      </c>
      <c r="R85" t="e">
        <f ca="1">Tab_Calculs[[#This Row],[Ratio_Cout_après_livr]]+Tab_Calculs[[#This Row],[Ratio_Cout_avant_livr]]+Tab_Calculs[[#This Row],[Ratio_Cout_avant_debut]]</f>
        <v>#VALUE!</v>
      </c>
      <c r="S85" t="str">
        <f ca="1">IFERROR(N85*VLOOKUP(Tab_Calculs[[#This Row],[Colonne1]],Controle_des_données!$B$7:$G$14,6,FALSE),"")</f>
        <v/>
      </c>
      <c r="T85" t="str">
        <f ca="1">IF(Tab_Calculs[[#This Row],[Combustible ]]="Electricité (kWh)",Tab_Calculs[[#This Row],[Conso_mois_kWh]]*2.3,Tab_Calculs[[#This Row],[Conso_mois_kWh]])</f>
        <v/>
      </c>
      <c r="U85" t="str">
        <f ca="1">IFERROR(N85*VLOOKUP(Tab_Calculs[[#This Row],[Colonne1]],Controle_des_données!$B$7:$H$14,7,FALSE),"")</f>
        <v/>
      </c>
      <c r="V85">
        <f ca="1">IFERROR(Tab_Calculs[[#This Row],[Cout_mois]]/Tab_Calculs[[#This Row],[Conso_mois_kWh]],0)</f>
        <v>0</v>
      </c>
      <c r="W85" t="str">
        <f>T(VLOOKUP(Tab_Calculs[[#This Row],[Compteur]],Site!$B$33:$G$40,3,FALSE))</f>
        <v/>
      </c>
      <c r="X85" t="str">
        <f>T(VLOOKUP(Tab_Calculs[[#This Row],[Compteur]],Site!$B$33:$G$40,4,FALSE))</f>
        <v/>
      </c>
      <c r="Y85" t="str">
        <f>T(VLOOKUP(Tab_Calculs[[#This Row],[Compteur]],Site!$B$33:$G$40,5,FALSE))</f>
        <v/>
      </c>
      <c r="Z85" t="str">
        <f>T(VLOOKUP(Tab_Calculs[[#This Row],[Compteur]],Site!$B$33:$G$40,6,FALSE))</f>
        <v/>
      </c>
      <c r="AA85">
        <f>IFERROR(GETPIVOTDATA("DJU(chauffagiste)",BDD_DJU!$P$13,"annee",Tab_Calculs[[#This Row],[ANNEE]],"mois_numero",Tab_Calculs[[#This Row],[MOIS]]),0)</f>
        <v>124.3</v>
      </c>
    </row>
    <row r="86" spans="1:27" x14ac:dyDescent="0.25">
      <c r="A86" s="3">
        <f>DATE(Tab_Calculs[[#This Row],[ANNEE]],Tab_Calculs[[#This Row],[MOIS]],1)</f>
        <v>42522</v>
      </c>
      <c r="B86" s="3">
        <f>EDATE(Tab_Calculs[[#This Row],[Début mois]],1)-1</f>
        <v>42551</v>
      </c>
      <c r="C86">
        <f t="shared" si="1"/>
        <v>6</v>
      </c>
      <c r="D86">
        <f t="shared" si="0"/>
        <v>2016</v>
      </c>
      <c r="E86" t="s">
        <v>80</v>
      </c>
      <c r="F86" t="str">
        <f>SUBSTITUTE(Tab_Calculs[[#This Row],[Compteur]]," ","_")</f>
        <v>Compteur_1</v>
      </c>
      <c r="G86" t="str">
        <f>T(INDEX(Site!$B$33:$G$40, MATCH(Tab_Calculs[[#This Row],[Compteur]], Site!$B$33:$B$40,0),2))</f>
        <v/>
      </c>
      <c r="H86" s="3">
        <f t="array" aca="1" ref="H86" ca="1">MIN(IF(INDIRECT(CONCATENATE(Tab_Calculs[[#This Row],[Colonne1]],"!$B$2:$B$243"))&gt;=Calculs_Consos!$A86,INDIRECT(CONCATENATE(Tab_Calculs[[#This Row],[Colonne1]],"!$B$2:$B$243"))))</f>
        <v>0</v>
      </c>
      <c r="I86" s="3">
        <f ca="1">INDEX(INDIRECT(CONCATENATE("Tab_",Tab_Calculs[[#This Row],[Colonne1]])),Tab_Calculs[[#This Row],[index_date_livraison]],1)</f>
        <v>0</v>
      </c>
      <c r="J86">
        <f ca="1">MATCH(Tab_Calculs[[#This Row],[Date_livraison]],INDIRECT(CONCATENATE("Tab_",Tab_Calculs[[#This Row],[Colonne1]],"[Fin de période]")),0)</f>
        <v>1</v>
      </c>
      <c r="K86" t="e">
        <f ca="1">INDEX(INDIRECT(CONCATENATE("Tab_",Tab_Calculs[[#This Row],[Colonne1]])),Tab_Calculs[[#This Row],[index_date_livraison]]-1,6)*(MAX(Tab_Calculs[[#This Row],[Début periode livraison]],Tab_Calculs[[#This Row],[Début mois]])-Tab_Calculs[[#This Row],[Début mois]])</f>
        <v>#VALUE!</v>
      </c>
      <c r="L86" s="94">
        <f ca="1">INDEX(INDIRECT(CONCATENATE("Tab_",Tab_Calculs[[#This Row],[Colonne1]])),Tab_Calculs[[#This Row],[index_date_livraison]],6)*(1+MIN(Tab_Calculs[[#This Row],[Date_livraison]],Tab_Calculs[[#This Row],[fin mois]])-MAX(Tab_Calculs[[#This Row],[Début mois]],Tab_Calculs[[#This Row],[Début periode livraison]]))</f>
        <v>0</v>
      </c>
      <c r="M86" s="94" t="e">
        <f ca="1">INDEX(INDIRECT(CONCATENATE("Tab_",Tab_Calculs[[#This Row],[Colonne1]])),Tab_Calculs[[#This Row],[index_date_livraison]]+1,6)*(Tab_Calculs[[#This Row],[fin mois]]-MIN(Tab_Calculs[[#This Row],[fin mois]],Tab_Calculs[[#This Row],[Date_livraison]]))</f>
        <v>#VALUE!</v>
      </c>
      <c r="N86" s="231" t="str">
        <f ca="1">IFERROR(Tab_Calculs[[#This Row],[Ratio_jour_après_livr]]+Tab_Calculs[[#This Row],[Ratio_jour_avant_livr]]+Tab_Calculs[[#This Row],[ratio_avant_debut]],"")</f>
        <v/>
      </c>
      <c r="O86" t="e">
        <f ca="1">INDEX(INDIRECT(CONCATENATE("Tab_",Tab_Calculs[[#This Row],[Colonne1]])),Tab_Calculs[[#This Row],[index_date_livraison]]-1,7)*(MAX(Tab_Calculs[[#This Row],[Début periode livraison]],Tab_Calculs[[#This Row],[Début mois]])-Tab_Calculs[[#This Row],[Début mois]])</f>
        <v>#VALUE!</v>
      </c>
      <c r="P86">
        <f ca="1">INDEX(INDIRECT(CONCATENATE("Tab_",Tab_Calculs[[#This Row],[Colonne1]])),Tab_Calculs[[#This Row],[index_date_livraison]],7)*(1+MIN(Tab_Calculs[[#This Row],[Date_livraison]],Tab_Calculs[[#This Row],[fin mois]])-MAX(Tab_Calculs[[#This Row],[Début mois]],Tab_Calculs[[#This Row],[Début periode livraison]]))</f>
        <v>0</v>
      </c>
      <c r="Q86" t="e">
        <f ca="1">INDEX(INDIRECT(CONCATENATE("Tab_",Tab_Calculs[[#This Row],[Colonne1]])),Tab_Calculs[[#This Row],[index_date_livraison]]+1,7)*(Tab_Calculs[[#This Row],[fin mois]]-MIN(Tab_Calculs[[#This Row],[fin mois]],Tab_Calculs[[#This Row],[Date_livraison]]))</f>
        <v>#VALUE!</v>
      </c>
      <c r="R86" t="e">
        <f ca="1">Tab_Calculs[[#This Row],[Ratio_Cout_après_livr]]+Tab_Calculs[[#This Row],[Ratio_Cout_avant_livr]]+Tab_Calculs[[#This Row],[Ratio_Cout_avant_debut]]</f>
        <v>#VALUE!</v>
      </c>
      <c r="S86" t="str">
        <f ca="1">IFERROR(N86*VLOOKUP(Tab_Calculs[[#This Row],[Colonne1]],Controle_des_données!$B$7:$G$14,6,FALSE),"")</f>
        <v/>
      </c>
      <c r="T86" t="str">
        <f ca="1">IF(Tab_Calculs[[#This Row],[Combustible ]]="Electricité (kWh)",Tab_Calculs[[#This Row],[Conso_mois_kWh]]*2.3,Tab_Calculs[[#This Row],[Conso_mois_kWh]])</f>
        <v/>
      </c>
      <c r="U86" t="str">
        <f ca="1">IFERROR(N86*VLOOKUP(Tab_Calculs[[#This Row],[Colonne1]],Controle_des_données!$B$7:$H$14,7,FALSE),"")</f>
        <v/>
      </c>
      <c r="V86">
        <f ca="1">IFERROR(Tab_Calculs[[#This Row],[Cout_mois]]/Tab_Calculs[[#This Row],[Conso_mois_kWh]],0)</f>
        <v>0</v>
      </c>
      <c r="W86" t="str">
        <f>T(VLOOKUP(Tab_Calculs[[#This Row],[Compteur]],Site!$B$33:$G$40,3,FALSE))</f>
        <v/>
      </c>
      <c r="X86" t="str">
        <f>T(VLOOKUP(Tab_Calculs[[#This Row],[Compteur]],Site!$B$33:$G$40,4,FALSE))</f>
        <v/>
      </c>
      <c r="Y86" t="str">
        <f>T(VLOOKUP(Tab_Calculs[[#This Row],[Compteur]],Site!$B$33:$G$40,5,FALSE))</f>
        <v/>
      </c>
      <c r="Z86" t="str">
        <f>T(VLOOKUP(Tab_Calculs[[#This Row],[Compteur]],Site!$B$33:$G$40,6,FALSE))</f>
        <v/>
      </c>
      <c r="AA86">
        <f>IFERROR(GETPIVOTDATA("DJU(chauffagiste)",BDD_DJU!$P$13,"annee",Tab_Calculs[[#This Row],[ANNEE]],"mois_numero",Tab_Calculs[[#This Row],[MOIS]]),0)</f>
        <v>47.7</v>
      </c>
    </row>
    <row r="87" spans="1:27" x14ac:dyDescent="0.25">
      <c r="A87" s="3">
        <f>DATE(Tab_Calculs[[#This Row],[ANNEE]],Tab_Calculs[[#This Row],[MOIS]],1)</f>
        <v>42552</v>
      </c>
      <c r="B87" s="3">
        <f>EDATE(Tab_Calculs[[#This Row],[Début mois]],1)-1</f>
        <v>42582</v>
      </c>
      <c r="C87">
        <f t="shared" si="1"/>
        <v>7</v>
      </c>
      <c r="D87">
        <f t="shared" si="0"/>
        <v>2016</v>
      </c>
      <c r="E87" t="s">
        <v>80</v>
      </c>
      <c r="F87" t="str">
        <f>SUBSTITUTE(Tab_Calculs[[#This Row],[Compteur]]," ","_")</f>
        <v>Compteur_1</v>
      </c>
      <c r="G87" t="str">
        <f>T(INDEX(Site!$B$33:$G$40, MATCH(Tab_Calculs[[#This Row],[Compteur]], Site!$B$33:$B$40,0),2))</f>
        <v/>
      </c>
      <c r="H87" s="3">
        <f t="array" aca="1" ref="H87" ca="1">MIN(IF(INDIRECT(CONCATENATE(Tab_Calculs[[#This Row],[Colonne1]],"!$B$2:$B$243"))&gt;=Calculs_Consos!$A87,INDIRECT(CONCATENATE(Tab_Calculs[[#This Row],[Colonne1]],"!$B$2:$B$243"))))</f>
        <v>0</v>
      </c>
      <c r="I87" s="3">
        <f ca="1">INDEX(INDIRECT(CONCATENATE("Tab_",Tab_Calculs[[#This Row],[Colonne1]])),Tab_Calculs[[#This Row],[index_date_livraison]],1)</f>
        <v>0</v>
      </c>
      <c r="J87">
        <f ca="1">MATCH(Tab_Calculs[[#This Row],[Date_livraison]],INDIRECT(CONCATENATE("Tab_",Tab_Calculs[[#This Row],[Colonne1]],"[Fin de période]")),0)</f>
        <v>1</v>
      </c>
      <c r="K87" t="e">
        <f ca="1">INDEX(INDIRECT(CONCATENATE("Tab_",Tab_Calculs[[#This Row],[Colonne1]])),Tab_Calculs[[#This Row],[index_date_livraison]]-1,6)*(MAX(Tab_Calculs[[#This Row],[Début periode livraison]],Tab_Calculs[[#This Row],[Début mois]])-Tab_Calculs[[#This Row],[Début mois]])</f>
        <v>#VALUE!</v>
      </c>
      <c r="L87" s="94">
        <f ca="1">INDEX(INDIRECT(CONCATENATE("Tab_",Tab_Calculs[[#This Row],[Colonne1]])),Tab_Calculs[[#This Row],[index_date_livraison]],6)*(1+MIN(Tab_Calculs[[#This Row],[Date_livraison]],Tab_Calculs[[#This Row],[fin mois]])-MAX(Tab_Calculs[[#This Row],[Début mois]],Tab_Calculs[[#This Row],[Début periode livraison]]))</f>
        <v>0</v>
      </c>
      <c r="M87" s="94" t="e">
        <f ca="1">INDEX(INDIRECT(CONCATENATE("Tab_",Tab_Calculs[[#This Row],[Colonne1]])),Tab_Calculs[[#This Row],[index_date_livraison]]+1,6)*(Tab_Calculs[[#This Row],[fin mois]]-MIN(Tab_Calculs[[#This Row],[fin mois]],Tab_Calculs[[#This Row],[Date_livraison]]))</f>
        <v>#VALUE!</v>
      </c>
      <c r="N87" s="231" t="str">
        <f ca="1">IFERROR(Tab_Calculs[[#This Row],[Ratio_jour_après_livr]]+Tab_Calculs[[#This Row],[Ratio_jour_avant_livr]]+Tab_Calculs[[#This Row],[ratio_avant_debut]],"")</f>
        <v/>
      </c>
      <c r="O87" t="e">
        <f ca="1">INDEX(INDIRECT(CONCATENATE("Tab_",Tab_Calculs[[#This Row],[Colonne1]])),Tab_Calculs[[#This Row],[index_date_livraison]]-1,7)*(MAX(Tab_Calculs[[#This Row],[Début periode livraison]],Tab_Calculs[[#This Row],[Début mois]])-Tab_Calculs[[#This Row],[Début mois]])</f>
        <v>#VALUE!</v>
      </c>
      <c r="P87">
        <f ca="1">INDEX(INDIRECT(CONCATENATE("Tab_",Tab_Calculs[[#This Row],[Colonne1]])),Tab_Calculs[[#This Row],[index_date_livraison]],7)*(1+MIN(Tab_Calculs[[#This Row],[Date_livraison]],Tab_Calculs[[#This Row],[fin mois]])-MAX(Tab_Calculs[[#This Row],[Début mois]],Tab_Calculs[[#This Row],[Début periode livraison]]))</f>
        <v>0</v>
      </c>
      <c r="Q87" t="e">
        <f ca="1">INDEX(INDIRECT(CONCATENATE("Tab_",Tab_Calculs[[#This Row],[Colonne1]])),Tab_Calculs[[#This Row],[index_date_livraison]]+1,7)*(Tab_Calculs[[#This Row],[fin mois]]-MIN(Tab_Calculs[[#This Row],[fin mois]],Tab_Calculs[[#This Row],[Date_livraison]]))</f>
        <v>#VALUE!</v>
      </c>
      <c r="R87" t="e">
        <f ca="1">Tab_Calculs[[#This Row],[Ratio_Cout_après_livr]]+Tab_Calculs[[#This Row],[Ratio_Cout_avant_livr]]+Tab_Calculs[[#This Row],[Ratio_Cout_avant_debut]]</f>
        <v>#VALUE!</v>
      </c>
      <c r="S87" t="str">
        <f ca="1">IFERROR(N87*VLOOKUP(Tab_Calculs[[#This Row],[Colonne1]],Controle_des_données!$B$7:$G$14,6,FALSE),"")</f>
        <v/>
      </c>
      <c r="T87" t="str">
        <f ca="1">IF(Tab_Calculs[[#This Row],[Combustible ]]="Electricité (kWh)",Tab_Calculs[[#This Row],[Conso_mois_kWh]]*2.3,Tab_Calculs[[#This Row],[Conso_mois_kWh]])</f>
        <v/>
      </c>
      <c r="U87" t="str">
        <f ca="1">IFERROR(N87*VLOOKUP(Tab_Calculs[[#This Row],[Colonne1]],Controle_des_données!$B$7:$H$14,7,FALSE),"")</f>
        <v/>
      </c>
      <c r="V87">
        <f ca="1">IFERROR(Tab_Calculs[[#This Row],[Cout_mois]]/Tab_Calculs[[#This Row],[Conso_mois_kWh]],0)</f>
        <v>0</v>
      </c>
      <c r="W87" t="str">
        <f>T(VLOOKUP(Tab_Calculs[[#This Row],[Compteur]],Site!$B$33:$G$40,3,FALSE))</f>
        <v/>
      </c>
      <c r="X87" t="str">
        <f>T(VLOOKUP(Tab_Calculs[[#This Row],[Compteur]],Site!$B$33:$G$40,4,FALSE))</f>
        <v/>
      </c>
      <c r="Y87" t="str">
        <f>T(VLOOKUP(Tab_Calculs[[#This Row],[Compteur]],Site!$B$33:$G$40,5,FALSE))</f>
        <v/>
      </c>
      <c r="Z87" t="str">
        <f>T(VLOOKUP(Tab_Calculs[[#This Row],[Compteur]],Site!$B$33:$G$40,6,FALSE))</f>
        <v/>
      </c>
      <c r="AA87">
        <f>IFERROR(GETPIVOTDATA("DJU(chauffagiste)",BDD_DJU!$P$13,"annee",Tab_Calculs[[#This Row],[ANNEE]],"mois_numero",Tab_Calculs[[#This Row],[MOIS]]),0)</f>
        <v>32.299999999999997</v>
      </c>
    </row>
    <row r="88" spans="1:27" x14ac:dyDescent="0.25">
      <c r="A88" s="3">
        <f>DATE(Tab_Calculs[[#This Row],[ANNEE]],Tab_Calculs[[#This Row],[MOIS]],1)</f>
        <v>42583</v>
      </c>
      <c r="B88" s="3">
        <f>EDATE(Tab_Calculs[[#This Row],[Début mois]],1)-1</f>
        <v>42613</v>
      </c>
      <c r="C88">
        <f t="shared" si="1"/>
        <v>8</v>
      </c>
      <c r="D88">
        <f t="shared" si="0"/>
        <v>2016</v>
      </c>
      <c r="E88" t="s">
        <v>80</v>
      </c>
      <c r="F88" t="str">
        <f>SUBSTITUTE(Tab_Calculs[[#This Row],[Compteur]]," ","_")</f>
        <v>Compteur_1</v>
      </c>
      <c r="G88" t="str">
        <f>T(INDEX(Site!$B$33:$G$40, MATCH(Tab_Calculs[[#This Row],[Compteur]], Site!$B$33:$B$40,0),2))</f>
        <v/>
      </c>
      <c r="H88" s="3">
        <f t="array" aca="1" ref="H88" ca="1">MIN(IF(INDIRECT(CONCATENATE(Tab_Calculs[[#This Row],[Colonne1]],"!$B$2:$B$243"))&gt;=Calculs_Consos!$A88,INDIRECT(CONCATENATE(Tab_Calculs[[#This Row],[Colonne1]],"!$B$2:$B$243"))))</f>
        <v>0</v>
      </c>
      <c r="I88" s="3">
        <f ca="1">INDEX(INDIRECT(CONCATENATE("Tab_",Tab_Calculs[[#This Row],[Colonne1]])),Tab_Calculs[[#This Row],[index_date_livraison]],1)</f>
        <v>0</v>
      </c>
      <c r="J88">
        <f ca="1">MATCH(Tab_Calculs[[#This Row],[Date_livraison]],INDIRECT(CONCATENATE("Tab_",Tab_Calculs[[#This Row],[Colonne1]],"[Fin de période]")),0)</f>
        <v>1</v>
      </c>
      <c r="K88" t="e">
        <f ca="1">INDEX(INDIRECT(CONCATENATE("Tab_",Tab_Calculs[[#This Row],[Colonne1]])),Tab_Calculs[[#This Row],[index_date_livraison]]-1,6)*(MAX(Tab_Calculs[[#This Row],[Début periode livraison]],Tab_Calculs[[#This Row],[Début mois]])-Tab_Calculs[[#This Row],[Début mois]])</f>
        <v>#VALUE!</v>
      </c>
      <c r="L88" s="94">
        <f ca="1">INDEX(INDIRECT(CONCATENATE("Tab_",Tab_Calculs[[#This Row],[Colonne1]])),Tab_Calculs[[#This Row],[index_date_livraison]],6)*(1+MIN(Tab_Calculs[[#This Row],[Date_livraison]],Tab_Calculs[[#This Row],[fin mois]])-MAX(Tab_Calculs[[#This Row],[Début mois]],Tab_Calculs[[#This Row],[Début periode livraison]]))</f>
        <v>0</v>
      </c>
      <c r="M88" s="94" t="e">
        <f ca="1">INDEX(INDIRECT(CONCATENATE("Tab_",Tab_Calculs[[#This Row],[Colonne1]])),Tab_Calculs[[#This Row],[index_date_livraison]]+1,6)*(Tab_Calculs[[#This Row],[fin mois]]-MIN(Tab_Calculs[[#This Row],[fin mois]],Tab_Calculs[[#This Row],[Date_livraison]]))</f>
        <v>#VALUE!</v>
      </c>
      <c r="N88" s="231" t="str">
        <f ca="1">IFERROR(Tab_Calculs[[#This Row],[Ratio_jour_après_livr]]+Tab_Calculs[[#This Row],[Ratio_jour_avant_livr]]+Tab_Calculs[[#This Row],[ratio_avant_debut]],"")</f>
        <v/>
      </c>
      <c r="O88" t="e">
        <f ca="1">INDEX(INDIRECT(CONCATENATE("Tab_",Tab_Calculs[[#This Row],[Colonne1]])),Tab_Calculs[[#This Row],[index_date_livraison]]-1,7)*(MAX(Tab_Calculs[[#This Row],[Début periode livraison]],Tab_Calculs[[#This Row],[Début mois]])-Tab_Calculs[[#This Row],[Début mois]])</f>
        <v>#VALUE!</v>
      </c>
      <c r="P88">
        <f ca="1">INDEX(INDIRECT(CONCATENATE("Tab_",Tab_Calculs[[#This Row],[Colonne1]])),Tab_Calculs[[#This Row],[index_date_livraison]],7)*(1+MIN(Tab_Calculs[[#This Row],[Date_livraison]],Tab_Calculs[[#This Row],[fin mois]])-MAX(Tab_Calculs[[#This Row],[Début mois]],Tab_Calculs[[#This Row],[Début periode livraison]]))</f>
        <v>0</v>
      </c>
      <c r="Q88" t="e">
        <f ca="1">INDEX(INDIRECT(CONCATENATE("Tab_",Tab_Calculs[[#This Row],[Colonne1]])),Tab_Calculs[[#This Row],[index_date_livraison]]+1,7)*(Tab_Calculs[[#This Row],[fin mois]]-MIN(Tab_Calculs[[#This Row],[fin mois]],Tab_Calculs[[#This Row],[Date_livraison]]))</f>
        <v>#VALUE!</v>
      </c>
      <c r="R88" t="e">
        <f ca="1">Tab_Calculs[[#This Row],[Ratio_Cout_après_livr]]+Tab_Calculs[[#This Row],[Ratio_Cout_avant_livr]]+Tab_Calculs[[#This Row],[Ratio_Cout_avant_debut]]</f>
        <v>#VALUE!</v>
      </c>
      <c r="S88" t="str">
        <f ca="1">IFERROR(N88*VLOOKUP(Tab_Calculs[[#This Row],[Colonne1]],Controle_des_données!$B$7:$G$14,6,FALSE),"")</f>
        <v/>
      </c>
      <c r="T88" t="str">
        <f ca="1">IF(Tab_Calculs[[#This Row],[Combustible ]]="Electricité (kWh)",Tab_Calculs[[#This Row],[Conso_mois_kWh]]*2.3,Tab_Calculs[[#This Row],[Conso_mois_kWh]])</f>
        <v/>
      </c>
      <c r="U88" t="str">
        <f ca="1">IFERROR(N88*VLOOKUP(Tab_Calculs[[#This Row],[Colonne1]],Controle_des_données!$B$7:$H$14,7,FALSE),"")</f>
        <v/>
      </c>
      <c r="V88">
        <f ca="1">IFERROR(Tab_Calculs[[#This Row],[Cout_mois]]/Tab_Calculs[[#This Row],[Conso_mois_kWh]],0)</f>
        <v>0</v>
      </c>
      <c r="W88" t="str">
        <f>T(VLOOKUP(Tab_Calculs[[#This Row],[Compteur]],Site!$B$33:$G$40,3,FALSE))</f>
        <v/>
      </c>
      <c r="X88" t="str">
        <f>T(VLOOKUP(Tab_Calculs[[#This Row],[Compteur]],Site!$B$33:$G$40,4,FALSE))</f>
        <v/>
      </c>
      <c r="Y88" t="str">
        <f>T(VLOOKUP(Tab_Calculs[[#This Row],[Compteur]],Site!$B$33:$G$40,5,FALSE))</f>
        <v/>
      </c>
      <c r="Z88" t="str">
        <f>T(VLOOKUP(Tab_Calculs[[#This Row],[Compteur]],Site!$B$33:$G$40,6,FALSE))</f>
        <v/>
      </c>
      <c r="AA88">
        <f>IFERROR(GETPIVOTDATA("DJU(chauffagiste)",BDD_DJU!$P$13,"annee",Tab_Calculs[[#This Row],[ANNEE]],"mois_numero",Tab_Calculs[[#This Row],[MOIS]]),0)</f>
        <v>33.799999999999997</v>
      </c>
    </row>
    <row r="89" spans="1:27" x14ac:dyDescent="0.25">
      <c r="A89" s="3">
        <f>DATE(Tab_Calculs[[#This Row],[ANNEE]],Tab_Calculs[[#This Row],[MOIS]],1)</f>
        <v>42614</v>
      </c>
      <c r="B89" s="3">
        <f>EDATE(Tab_Calculs[[#This Row],[Début mois]],1)-1</f>
        <v>42643</v>
      </c>
      <c r="C89">
        <f t="shared" si="1"/>
        <v>9</v>
      </c>
      <c r="D89">
        <f t="shared" si="0"/>
        <v>2016</v>
      </c>
      <c r="E89" t="s">
        <v>80</v>
      </c>
      <c r="F89" t="str">
        <f>SUBSTITUTE(Tab_Calculs[[#This Row],[Compteur]]," ","_")</f>
        <v>Compteur_1</v>
      </c>
      <c r="G89" t="str">
        <f>T(INDEX(Site!$B$33:$G$40, MATCH(Tab_Calculs[[#This Row],[Compteur]], Site!$B$33:$B$40,0),2))</f>
        <v/>
      </c>
      <c r="H89" s="3">
        <f t="array" aca="1" ref="H89" ca="1">MIN(IF(INDIRECT(CONCATENATE(Tab_Calculs[[#This Row],[Colonne1]],"!$B$2:$B$243"))&gt;=Calculs_Consos!$A89,INDIRECT(CONCATENATE(Tab_Calculs[[#This Row],[Colonne1]],"!$B$2:$B$243"))))</f>
        <v>0</v>
      </c>
      <c r="I89" s="3">
        <f ca="1">INDEX(INDIRECT(CONCATENATE("Tab_",Tab_Calculs[[#This Row],[Colonne1]])),Tab_Calculs[[#This Row],[index_date_livraison]],1)</f>
        <v>0</v>
      </c>
      <c r="J89">
        <f ca="1">MATCH(Tab_Calculs[[#This Row],[Date_livraison]],INDIRECT(CONCATENATE("Tab_",Tab_Calculs[[#This Row],[Colonne1]],"[Fin de période]")),0)</f>
        <v>1</v>
      </c>
      <c r="K89" t="e">
        <f ca="1">INDEX(INDIRECT(CONCATENATE("Tab_",Tab_Calculs[[#This Row],[Colonne1]])),Tab_Calculs[[#This Row],[index_date_livraison]]-1,6)*(MAX(Tab_Calculs[[#This Row],[Début periode livraison]],Tab_Calculs[[#This Row],[Début mois]])-Tab_Calculs[[#This Row],[Début mois]])</f>
        <v>#VALUE!</v>
      </c>
      <c r="L89" s="94">
        <f ca="1">INDEX(INDIRECT(CONCATENATE("Tab_",Tab_Calculs[[#This Row],[Colonne1]])),Tab_Calculs[[#This Row],[index_date_livraison]],6)*(1+MIN(Tab_Calculs[[#This Row],[Date_livraison]],Tab_Calculs[[#This Row],[fin mois]])-MAX(Tab_Calculs[[#This Row],[Début mois]],Tab_Calculs[[#This Row],[Début periode livraison]]))</f>
        <v>0</v>
      </c>
      <c r="M89" s="94" t="e">
        <f ca="1">INDEX(INDIRECT(CONCATENATE("Tab_",Tab_Calculs[[#This Row],[Colonne1]])),Tab_Calculs[[#This Row],[index_date_livraison]]+1,6)*(Tab_Calculs[[#This Row],[fin mois]]-MIN(Tab_Calculs[[#This Row],[fin mois]],Tab_Calculs[[#This Row],[Date_livraison]]))</f>
        <v>#VALUE!</v>
      </c>
      <c r="N89" s="231" t="str">
        <f ca="1">IFERROR(Tab_Calculs[[#This Row],[Ratio_jour_après_livr]]+Tab_Calculs[[#This Row],[Ratio_jour_avant_livr]]+Tab_Calculs[[#This Row],[ratio_avant_debut]],"")</f>
        <v/>
      </c>
      <c r="O89" t="e">
        <f ca="1">INDEX(INDIRECT(CONCATENATE("Tab_",Tab_Calculs[[#This Row],[Colonne1]])),Tab_Calculs[[#This Row],[index_date_livraison]]-1,7)*(MAX(Tab_Calculs[[#This Row],[Début periode livraison]],Tab_Calculs[[#This Row],[Début mois]])-Tab_Calculs[[#This Row],[Début mois]])</f>
        <v>#VALUE!</v>
      </c>
      <c r="P89">
        <f ca="1">INDEX(INDIRECT(CONCATENATE("Tab_",Tab_Calculs[[#This Row],[Colonne1]])),Tab_Calculs[[#This Row],[index_date_livraison]],7)*(1+MIN(Tab_Calculs[[#This Row],[Date_livraison]],Tab_Calculs[[#This Row],[fin mois]])-MAX(Tab_Calculs[[#This Row],[Début mois]],Tab_Calculs[[#This Row],[Début periode livraison]]))</f>
        <v>0</v>
      </c>
      <c r="Q89" t="e">
        <f ca="1">INDEX(INDIRECT(CONCATENATE("Tab_",Tab_Calculs[[#This Row],[Colonne1]])),Tab_Calculs[[#This Row],[index_date_livraison]]+1,7)*(Tab_Calculs[[#This Row],[fin mois]]-MIN(Tab_Calculs[[#This Row],[fin mois]],Tab_Calculs[[#This Row],[Date_livraison]]))</f>
        <v>#VALUE!</v>
      </c>
      <c r="R89" t="e">
        <f ca="1">Tab_Calculs[[#This Row],[Ratio_Cout_après_livr]]+Tab_Calculs[[#This Row],[Ratio_Cout_avant_livr]]+Tab_Calculs[[#This Row],[Ratio_Cout_avant_debut]]</f>
        <v>#VALUE!</v>
      </c>
      <c r="S89" t="str">
        <f ca="1">IFERROR(N89*VLOOKUP(Tab_Calculs[[#This Row],[Colonne1]],Controle_des_données!$B$7:$G$14,6,FALSE),"")</f>
        <v/>
      </c>
      <c r="T89" t="str">
        <f ca="1">IF(Tab_Calculs[[#This Row],[Combustible ]]="Electricité (kWh)",Tab_Calculs[[#This Row],[Conso_mois_kWh]]*2.3,Tab_Calculs[[#This Row],[Conso_mois_kWh]])</f>
        <v/>
      </c>
      <c r="U89" t="str">
        <f ca="1">IFERROR(N89*VLOOKUP(Tab_Calculs[[#This Row],[Colonne1]],Controle_des_données!$B$7:$H$14,7,FALSE),"")</f>
        <v/>
      </c>
      <c r="V89">
        <f ca="1">IFERROR(Tab_Calculs[[#This Row],[Cout_mois]]/Tab_Calculs[[#This Row],[Conso_mois_kWh]],0)</f>
        <v>0</v>
      </c>
      <c r="W89" t="str">
        <f>T(VLOOKUP(Tab_Calculs[[#This Row],[Compteur]],Site!$B$33:$G$40,3,FALSE))</f>
        <v/>
      </c>
      <c r="X89" t="str">
        <f>T(VLOOKUP(Tab_Calculs[[#This Row],[Compteur]],Site!$B$33:$G$40,4,FALSE))</f>
        <v/>
      </c>
      <c r="Y89" t="str">
        <f>T(VLOOKUP(Tab_Calculs[[#This Row],[Compteur]],Site!$B$33:$G$40,5,FALSE))</f>
        <v/>
      </c>
      <c r="Z89" t="str">
        <f>T(VLOOKUP(Tab_Calculs[[#This Row],[Compteur]],Site!$B$33:$G$40,6,FALSE))</f>
        <v/>
      </c>
      <c r="AA89">
        <f>IFERROR(GETPIVOTDATA("DJU(chauffagiste)",BDD_DJU!$P$13,"annee",Tab_Calculs[[#This Row],[ANNEE]],"mois_numero",Tab_Calculs[[#This Row],[MOIS]]),0)</f>
        <v>43.5</v>
      </c>
    </row>
    <row r="90" spans="1:27" x14ac:dyDescent="0.25">
      <c r="A90" s="3">
        <f>DATE(Tab_Calculs[[#This Row],[ANNEE]],Tab_Calculs[[#This Row],[MOIS]],1)</f>
        <v>42644</v>
      </c>
      <c r="B90" s="3">
        <f>EDATE(Tab_Calculs[[#This Row],[Début mois]],1)-1</f>
        <v>42674</v>
      </c>
      <c r="C90">
        <f t="shared" si="1"/>
        <v>10</v>
      </c>
      <c r="D90">
        <f t="shared" si="0"/>
        <v>2016</v>
      </c>
      <c r="E90" t="s">
        <v>80</v>
      </c>
      <c r="F90" t="str">
        <f>SUBSTITUTE(Tab_Calculs[[#This Row],[Compteur]]," ","_")</f>
        <v>Compteur_1</v>
      </c>
      <c r="G90" t="str">
        <f>T(INDEX(Site!$B$33:$G$40, MATCH(Tab_Calculs[[#This Row],[Compteur]], Site!$B$33:$B$40,0),2))</f>
        <v/>
      </c>
      <c r="H90" s="3">
        <f t="array" aca="1" ref="H90" ca="1">MIN(IF(INDIRECT(CONCATENATE(Tab_Calculs[[#This Row],[Colonne1]],"!$B$2:$B$243"))&gt;=Calculs_Consos!$A90,INDIRECT(CONCATENATE(Tab_Calculs[[#This Row],[Colonne1]],"!$B$2:$B$243"))))</f>
        <v>0</v>
      </c>
      <c r="I90" s="3">
        <f ca="1">INDEX(INDIRECT(CONCATENATE("Tab_",Tab_Calculs[[#This Row],[Colonne1]])),Tab_Calculs[[#This Row],[index_date_livraison]],1)</f>
        <v>0</v>
      </c>
      <c r="J90">
        <f ca="1">MATCH(Tab_Calculs[[#This Row],[Date_livraison]],INDIRECT(CONCATENATE("Tab_",Tab_Calculs[[#This Row],[Colonne1]],"[Fin de période]")),0)</f>
        <v>1</v>
      </c>
      <c r="K90" t="e">
        <f ca="1">INDEX(INDIRECT(CONCATENATE("Tab_",Tab_Calculs[[#This Row],[Colonne1]])),Tab_Calculs[[#This Row],[index_date_livraison]]-1,6)*(MAX(Tab_Calculs[[#This Row],[Début periode livraison]],Tab_Calculs[[#This Row],[Début mois]])-Tab_Calculs[[#This Row],[Début mois]])</f>
        <v>#VALUE!</v>
      </c>
      <c r="L90" s="94">
        <f ca="1">INDEX(INDIRECT(CONCATENATE("Tab_",Tab_Calculs[[#This Row],[Colonne1]])),Tab_Calculs[[#This Row],[index_date_livraison]],6)*(1+MIN(Tab_Calculs[[#This Row],[Date_livraison]],Tab_Calculs[[#This Row],[fin mois]])-MAX(Tab_Calculs[[#This Row],[Début mois]],Tab_Calculs[[#This Row],[Début periode livraison]]))</f>
        <v>0</v>
      </c>
      <c r="M90" s="94" t="e">
        <f ca="1">INDEX(INDIRECT(CONCATENATE("Tab_",Tab_Calculs[[#This Row],[Colonne1]])),Tab_Calculs[[#This Row],[index_date_livraison]]+1,6)*(Tab_Calculs[[#This Row],[fin mois]]-MIN(Tab_Calculs[[#This Row],[fin mois]],Tab_Calculs[[#This Row],[Date_livraison]]))</f>
        <v>#VALUE!</v>
      </c>
      <c r="N90" s="231" t="str">
        <f ca="1">IFERROR(Tab_Calculs[[#This Row],[Ratio_jour_après_livr]]+Tab_Calculs[[#This Row],[Ratio_jour_avant_livr]]+Tab_Calculs[[#This Row],[ratio_avant_debut]],"")</f>
        <v/>
      </c>
      <c r="O90" t="e">
        <f ca="1">INDEX(INDIRECT(CONCATENATE("Tab_",Tab_Calculs[[#This Row],[Colonne1]])),Tab_Calculs[[#This Row],[index_date_livraison]]-1,7)*(MAX(Tab_Calculs[[#This Row],[Début periode livraison]],Tab_Calculs[[#This Row],[Début mois]])-Tab_Calculs[[#This Row],[Début mois]])</f>
        <v>#VALUE!</v>
      </c>
      <c r="P90">
        <f ca="1">INDEX(INDIRECT(CONCATENATE("Tab_",Tab_Calculs[[#This Row],[Colonne1]])),Tab_Calculs[[#This Row],[index_date_livraison]],7)*(1+MIN(Tab_Calculs[[#This Row],[Date_livraison]],Tab_Calculs[[#This Row],[fin mois]])-MAX(Tab_Calculs[[#This Row],[Début mois]],Tab_Calculs[[#This Row],[Début periode livraison]]))</f>
        <v>0</v>
      </c>
      <c r="Q90" t="e">
        <f ca="1">INDEX(INDIRECT(CONCATENATE("Tab_",Tab_Calculs[[#This Row],[Colonne1]])),Tab_Calculs[[#This Row],[index_date_livraison]]+1,7)*(Tab_Calculs[[#This Row],[fin mois]]-MIN(Tab_Calculs[[#This Row],[fin mois]],Tab_Calculs[[#This Row],[Date_livraison]]))</f>
        <v>#VALUE!</v>
      </c>
      <c r="R90" t="e">
        <f ca="1">Tab_Calculs[[#This Row],[Ratio_Cout_après_livr]]+Tab_Calculs[[#This Row],[Ratio_Cout_avant_livr]]+Tab_Calculs[[#This Row],[Ratio_Cout_avant_debut]]</f>
        <v>#VALUE!</v>
      </c>
      <c r="S90" t="str">
        <f ca="1">IFERROR(N90*VLOOKUP(Tab_Calculs[[#This Row],[Colonne1]],Controle_des_données!$B$7:$G$14,6,FALSE),"")</f>
        <v/>
      </c>
      <c r="T90" t="str">
        <f ca="1">IF(Tab_Calculs[[#This Row],[Combustible ]]="Electricité (kWh)",Tab_Calculs[[#This Row],[Conso_mois_kWh]]*2.3,Tab_Calculs[[#This Row],[Conso_mois_kWh]])</f>
        <v/>
      </c>
      <c r="U90" t="str">
        <f ca="1">IFERROR(N90*VLOOKUP(Tab_Calculs[[#This Row],[Colonne1]],Controle_des_données!$B$7:$H$14,7,FALSE),"")</f>
        <v/>
      </c>
      <c r="V90">
        <f ca="1">IFERROR(Tab_Calculs[[#This Row],[Cout_mois]]/Tab_Calculs[[#This Row],[Conso_mois_kWh]],0)</f>
        <v>0</v>
      </c>
      <c r="W90" t="str">
        <f>T(VLOOKUP(Tab_Calculs[[#This Row],[Compteur]],Site!$B$33:$G$40,3,FALSE))</f>
        <v/>
      </c>
      <c r="X90" t="str">
        <f>T(VLOOKUP(Tab_Calculs[[#This Row],[Compteur]],Site!$B$33:$G$40,4,FALSE))</f>
        <v/>
      </c>
      <c r="Y90" t="str">
        <f>T(VLOOKUP(Tab_Calculs[[#This Row],[Compteur]],Site!$B$33:$G$40,5,FALSE))</f>
        <v/>
      </c>
      <c r="Z90" t="str">
        <f>T(VLOOKUP(Tab_Calculs[[#This Row],[Compteur]],Site!$B$33:$G$40,6,FALSE))</f>
        <v/>
      </c>
      <c r="AA90">
        <f>IFERROR(GETPIVOTDATA("DJU(chauffagiste)",BDD_DJU!$P$13,"annee",Tab_Calculs[[#This Row],[ANNEE]],"mois_numero",Tab_Calculs[[#This Row],[MOIS]]),0)</f>
        <v>202.6</v>
      </c>
    </row>
    <row r="91" spans="1:27" x14ac:dyDescent="0.25">
      <c r="A91" s="3">
        <f>DATE(Tab_Calculs[[#This Row],[ANNEE]],Tab_Calculs[[#This Row],[MOIS]],1)</f>
        <v>42675</v>
      </c>
      <c r="B91" s="3">
        <f>EDATE(Tab_Calculs[[#This Row],[Début mois]],1)-1</f>
        <v>42704</v>
      </c>
      <c r="C91">
        <f t="shared" si="1"/>
        <v>11</v>
      </c>
      <c r="D91">
        <f t="shared" si="0"/>
        <v>2016</v>
      </c>
      <c r="E91" t="s">
        <v>80</v>
      </c>
      <c r="F91" t="str">
        <f>SUBSTITUTE(Tab_Calculs[[#This Row],[Compteur]]," ","_")</f>
        <v>Compteur_1</v>
      </c>
      <c r="G91" t="str">
        <f>T(INDEX(Site!$B$33:$G$40, MATCH(Tab_Calculs[[#This Row],[Compteur]], Site!$B$33:$B$40,0),2))</f>
        <v/>
      </c>
      <c r="H91" s="3">
        <f t="array" aca="1" ref="H91" ca="1">MIN(IF(INDIRECT(CONCATENATE(Tab_Calculs[[#This Row],[Colonne1]],"!$B$2:$B$243"))&gt;=Calculs_Consos!$A91,INDIRECT(CONCATENATE(Tab_Calculs[[#This Row],[Colonne1]],"!$B$2:$B$243"))))</f>
        <v>0</v>
      </c>
      <c r="I91" s="3">
        <f ca="1">INDEX(INDIRECT(CONCATENATE("Tab_",Tab_Calculs[[#This Row],[Colonne1]])),Tab_Calculs[[#This Row],[index_date_livraison]],1)</f>
        <v>0</v>
      </c>
      <c r="J91">
        <f ca="1">MATCH(Tab_Calculs[[#This Row],[Date_livraison]],INDIRECT(CONCATENATE("Tab_",Tab_Calculs[[#This Row],[Colonne1]],"[Fin de période]")),0)</f>
        <v>1</v>
      </c>
      <c r="K91" t="e">
        <f ca="1">INDEX(INDIRECT(CONCATENATE("Tab_",Tab_Calculs[[#This Row],[Colonne1]])),Tab_Calculs[[#This Row],[index_date_livraison]]-1,6)*(MAX(Tab_Calculs[[#This Row],[Début periode livraison]],Tab_Calculs[[#This Row],[Début mois]])-Tab_Calculs[[#This Row],[Début mois]])</f>
        <v>#VALUE!</v>
      </c>
      <c r="L91" s="94">
        <f ca="1">INDEX(INDIRECT(CONCATENATE("Tab_",Tab_Calculs[[#This Row],[Colonne1]])),Tab_Calculs[[#This Row],[index_date_livraison]],6)*(1+MIN(Tab_Calculs[[#This Row],[Date_livraison]],Tab_Calculs[[#This Row],[fin mois]])-MAX(Tab_Calculs[[#This Row],[Début mois]],Tab_Calculs[[#This Row],[Début periode livraison]]))</f>
        <v>0</v>
      </c>
      <c r="M91" s="94" t="e">
        <f ca="1">INDEX(INDIRECT(CONCATENATE("Tab_",Tab_Calculs[[#This Row],[Colonne1]])),Tab_Calculs[[#This Row],[index_date_livraison]]+1,6)*(Tab_Calculs[[#This Row],[fin mois]]-MIN(Tab_Calculs[[#This Row],[fin mois]],Tab_Calculs[[#This Row],[Date_livraison]]))</f>
        <v>#VALUE!</v>
      </c>
      <c r="N91" s="231" t="str">
        <f ca="1">IFERROR(Tab_Calculs[[#This Row],[Ratio_jour_après_livr]]+Tab_Calculs[[#This Row],[Ratio_jour_avant_livr]]+Tab_Calculs[[#This Row],[ratio_avant_debut]],"")</f>
        <v/>
      </c>
      <c r="O91" t="e">
        <f ca="1">INDEX(INDIRECT(CONCATENATE("Tab_",Tab_Calculs[[#This Row],[Colonne1]])),Tab_Calculs[[#This Row],[index_date_livraison]]-1,7)*(MAX(Tab_Calculs[[#This Row],[Début periode livraison]],Tab_Calculs[[#This Row],[Début mois]])-Tab_Calculs[[#This Row],[Début mois]])</f>
        <v>#VALUE!</v>
      </c>
      <c r="P91">
        <f ca="1">INDEX(INDIRECT(CONCATENATE("Tab_",Tab_Calculs[[#This Row],[Colonne1]])),Tab_Calculs[[#This Row],[index_date_livraison]],7)*(1+MIN(Tab_Calculs[[#This Row],[Date_livraison]],Tab_Calculs[[#This Row],[fin mois]])-MAX(Tab_Calculs[[#This Row],[Début mois]],Tab_Calculs[[#This Row],[Début periode livraison]]))</f>
        <v>0</v>
      </c>
      <c r="Q91" t="e">
        <f ca="1">INDEX(INDIRECT(CONCATENATE("Tab_",Tab_Calculs[[#This Row],[Colonne1]])),Tab_Calculs[[#This Row],[index_date_livraison]]+1,7)*(Tab_Calculs[[#This Row],[fin mois]]-MIN(Tab_Calculs[[#This Row],[fin mois]],Tab_Calculs[[#This Row],[Date_livraison]]))</f>
        <v>#VALUE!</v>
      </c>
      <c r="R91" t="e">
        <f ca="1">Tab_Calculs[[#This Row],[Ratio_Cout_après_livr]]+Tab_Calculs[[#This Row],[Ratio_Cout_avant_livr]]+Tab_Calculs[[#This Row],[Ratio_Cout_avant_debut]]</f>
        <v>#VALUE!</v>
      </c>
      <c r="S91" t="str">
        <f ca="1">IFERROR(N91*VLOOKUP(Tab_Calculs[[#This Row],[Colonne1]],Controle_des_données!$B$7:$G$14,6,FALSE),"")</f>
        <v/>
      </c>
      <c r="T91" t="str">
        <f ca="1">IF(Tab_Calculs[[#This Row],[Combustible ]]="Electricité (kWh)",Tab_Calculs[[#This Row],[Conso_mois_kWh]]*2.3,Tab_Calculs[[#This Row],[Conso_mois_kWh]])</f>
        <v/>
      </c>
      <c r="U91" t="str">
        <f ca="1">IFERROR(N91*VLOOKUP(Tab_Calculs[[#This Row],[Colonne1]],Controle_des_données!$B$7:$H$14,7,FALSE),"")</f>
        <v/>
      </c>
      <c r="V91">
        <f ca="1">IFERROR(Tab_Calculs[[#This Row],[Cout_mois]]/Tab_Calculs[[#This Row],[Conso_mois_kWh]],0)</f>
        <v>0</v>
      </c>
      <c r="W91" t="str">
        <f>T(VLOOKUP(Tab_Calculs[[#This Row],[Compteur]],Site!$B$33:$G$40,3,FALSE))</f>
        <v/>
      </c>
      <c r="X91" t="str">
        <f>T(VLOOKUP(Tab_Calculs[[#This Row],[Compteur]],Site!$B$33:$G$40,4,FALSE))</f>
        <v/>
      </c>
      <c r="Y91" t="str">
        <f>T(VLOOKUP(Tab_Calculs[[#This Row],[Compteur]],Site!$B$33:$G$40,5,FALSE))</f>
        <v/>
      </c>
      <c r="Z91" t="str">
        <f>T(VLOOKUP(Tab_Calculs[[#This Row],[Compteur]],Site!$B$33:$G$40,6,FALSE))</f>
        <v/>
      </c>
      <c r="AA91">
        <f>IFERROR(GETPIVOTDATA("DJU(chauffagiste)",BDD_DJU!$P$13,"annee",Tab_Calculs[[#This Row],[ANNEE]],"mois_numero",Tab_Calculs[[#This Row],[MOIS]]),0)</f>
        <v>289.2</v>
      </c>
    </row>
    <row r="92" spans="1:27" x14ac:dyDescent="0.25">
      <c r="A92" s="3">
        <f>DATE(Tab_Calculs[[#This Row],[ANNEE]],Tab_Calculs[[#This Row],[MOIS]],1)</f>
        <v>42705</v>
      </c>
      <c r="B92" s="3">
        <f>EDATE(Tab_Calculs[[#This Row],[Début mois]],1)-1</f>
        <v>42735</v>
      </c>
      <c r="C92">
        <f t="shared" si="1"/>
        <v>12</v>
      </c>
      <c r="D92">
        <f t="shared" si="0"/>
        <v>2016</v>
      </c>
      <c r="E92" t="s">
        <v>80</v>
      </c>
      <c r="F92" t="str">
        <f>SUBSTITUTE(Tab_Calculs[[#This Row],[Compteur]]," ","_")</f>
        <v>Compteur_1</v>
      </c>
      <c r="G92" t="str">
        <f>T(INDEX(Site!$B$33:$G$40, MATCH(Tab_Calculs[[#This Row],[Compteur]], Site!$B$33:$B$40,0),2))</f>
        <v/>
      </c>
      <c r="H92" s="3">
        <f t="array" aca="1" ref="H92" ca="1">MIN(IF(INDIRECT(CONCATENATE(Tab_Calculs[[#This Row],[Colonne1]],"!$B$2:$B$243"))&gt;=Calculs_Consos!$A92,INDIRECT(CONCATENATE(Tab_Calculs[[#This Row],[Colonne1]],"!$B$2:$B$243"))))</f>
        <v>0</v>
      </c>
      <c r="I92" s="3">
        <f ca="1">INDEX(INDIRECT(CONCATENATE("Tab_",Tab_Calculs[[#This Row],[Colonne1]])),Tab_Calculs[[#This Row],[index_date_livraison]],1)</f>
        <v>0</v>
      </c>
      <c r="J92">
        <f ca="1">MATCH(Tab_Calculs[[#This Row],[Date_livraison]],INDIRECT(CONCATENATE("Tab_",Tab_Calculs[[#This Row],[Colonne1]],"[Fin de période]")),0)</f>
        <v>1</v>
      </c>
      <c r="K92" t="e">
        <f ca="1">INDEX(INDIRECT(CONCATENATE("Tab_",Tab_Calculs[[#This Row],[Colonne1]])),Tab_Calculs[[#This Row],[index_date_livraison]]-1,6)*(MAX(Tab_Calculs[[#This Row],[Début periode livraison]],Tab_Calculs[[#This Row],[Début mois]])-Tab_Calculs[[#This Row],[Début mois]])</f>
        <v>#VALUE!</v>
      </c>
      <c r="L92" s="94">
        <f ca="1">INDEX(INDIRECT(CONCATENATE("Tab_",Tab_Calculs[[#This Row],[Colonne1]])),Tab_Calculs[[#This Row],[index_date_livraison]],6)*(1+MIN(Tab_Calculs[[#This Row],[Date_livraison]],Tab_Calculs[[#This Row],[fin mois]])-MAX(Tab_Calculs[[#This Row],[Début mois]],Tab_Calculs[[#This Row],[Début periode livraison]]))</f>
        <v>0</v>
      </c>
      <c r="M92" s="94" t="e">
        <f ca="1">INDEX(INDIRECT(CONCATENATE("Tab_",Tab_Calculs[[#This Row],[Colonne1]])),Tab_Calculs[[#This Row],[index_date_livraison]]+1,6)*(Tab_Calculs[[#This Row],[fin mois]]-MIN(Tab_Calculs[[#This Row],[fin mois]],Tab_Calculs[[#This Row],[Date_livraison]]))</f>
        <v>#VALUE!</v>
      </c>
      <c r="N92" s="231" t="str">
        <f ca="1">IFERROR(Tab_Calculs[[#This Row],[Ratio_jour_après_livr]]+Tab_Calculs[[#This Row],[Ratio_jour_avant_livr]]+Tab_Calculs[[#This Row],[ratio_avant_debut]],"")</f>
        <v/>
      </c>
      <c r="O92" t="e">
        <f ca="1">INDEX(INDIRECT(CONCATENATE("Tab_",Tab_Calculs[[#This Row],[Colonne1]])),Tab_Calculs[[#This Row],[index_date_livraison]]-1,7)*(MAX(Tab_Calculs[[#This Row],[Début periode livraison]],Tab_Calculs[[#This Row],[Début mois]])-Tab_Calculs[[#This Row],[Début mois]])</f>
        <v>#VALUE!</v>
      </c>
      <c r="P92">
        <f ca="1">INDEX(INDIRECT(CONCATENATE("Tab_",Tab_Calculs[[#This Row],[Colonne1]])),Tab_Calculs[[#This Row],[index_date_livraison]],7)*(1+MIN(Tab_Calculs[[#This Row],[Date_livraison]],Tab_Calculs[[#This Row],[fin mois]])-MAX(Tab_Calculs[[#This Row],[Début mois]],Tab_Calculs[[#This Row],[Début periode livraison]]))</f>
        <v>0</v>
      </c>
      <c r="Q92" t="e">
        <f ca="1">INDEX(INDIRECT(CONCATENATE("Tab_",Tab_Calculs[[#This Row],[Colonne1]])),Tab_Calculs[[#This Row],[index_date_livraison]]+1,7)*(Tab_Calculs[[#This Row],[fin mois]]-MIN(Tab_Calculs[[#This Row],[fin mois]],Tab_Calculs[[#This Row],[Date_livraison]]))</f>
        <v>#VALUE!</v>
      </c>
      <c r="R92" t="e">
        <f ca="1">Tab_Calculs[[#This Row],[Ratio_Cout_après_livr]]+Tab_Calculs[[#This Row],[Ratio_Cout_avant_livr]]+Tab_Calculs[[#This Row],[Ratio_Cout_avant_debut]]</f>
        <v>#VALUE!</v>
      </c>
      <c r="S92" t="str">
        <f ca="1">IFERROR(N92*VLOOKUP(Tab_Calculs[[#This Row],[Colonne1]],Controle_des_données!$B$7:$G$14,6,FALSE),"")</f>
        <v/>
      </c>
      <c r="T92" t="str">
        <f ca="1">IF(Tab_Calculs[[#This Row],[Combustible ]]="Electricité (kWh)",Tab_Calculs[[#This Row],[Conso_mois_kWh]]*2.3,Tab_Calculs[[#This Row],[Conso_mois_kWh]])</f>
        <v/>
      </c>
      <c r="U92" t="str">
        <f ca="1">IFERROR(N92*VLOOKUP(Tab_Calculs[[#This Row],[Colonne1]],Controle_des_données!$B$7:$H$14,7,FALSE),"")</f>
        <v/>
      </c>
      <c r="V92">
        <f ca="1">IFERROR(Tab_Calculs[[#This Row],[Cout_mois]]/Tab_Calculs[[#This Row],[Conso_mois_kWh]],0)</f>
        <v>0</v>
      </c>
      <c r="W92" t="str">
        <f>T(VLOOKUP(Tab_Calculs[[#This Row],[Compteur]],Site!$B$33:$G$40,3,FALSE))</f>
        <v/>
      </c>
      <c r="X92" t="str">
        <f>T(VLOOKUP(Tab_Calculs[[#This Row],[Compteur]],Site!$B$33:$G$40,4,FALSE))</f>
        <v/>
      </c>
      <c r="Y92" t="str">
        <f>T(VLOOKUP(Tab_Calculs[[#This Row],[Compteur]],Site!$B$33:$G$40,5,FALSE))</f>
        <v/>
      </c>
      <c r="Z92" t="str">
        <f>T(VLOOKUP(Tab_Calculs[[#This Row],[Compteur]],Site!$B$33:$G$40,6,FALSE))</f>
        <v/>
      </c>
      <c r="AA92">
        <f>IFERROR(GETPIVOTDATA("DJU(chauffagiste)",BDD_DJU!$P$13,"annee",Tab_Calculs[[#This Row],[ANNEE]],"mois_numero",Tab_Calculs[[#This Row],[MOIS]]),0)</f>
        <v>370.4</v>
      </c>
    </row>
    <row r="93" spans="1:27" x14ac:dyDescent="0.25">
      <c r="A93" s="3">
        <f>DATE(Tab_Calculs[[#This Row],[ANNEE]],Tab_Calculs[[#This Row],[MOIS]],1)</f>
        <v>42736</v>
      </c>
      <c r="B93" s="3">
        <f>EDATE(Tab_Calculs[[#This Row],[Début mois]],1)-1</f>
        <v>42766</v>
      </c>
      <c r="C93">
        <f t="shared" si="1"/>
        <v>1</v>
      </c>
      <c r="D93">
        <f t="shared" si="0"/>
        <v>2017</v>
      </c>
      <c r="E93" t="s">
        <v>80</v>
      </c>
      <c r="F93" t="str">
        <f>SUBSTITUTE(Tab_Calculs[[#This Row],[Compteur]]," ","_")</f>
        <v>Compteur_1</v>
      </c>
      <c r="G93" t="str">
        <f>T(INDEX(Site!$B$33:$G$40, MATCH(Tab_Calculs[[#This Row],[Compteur]], Site!$B$33:$B$40,0),2))</f>
        <v/>
      </c>
      <c r="H93" s="3">
        <f t="array" aca="1" ref="H93" ca="1">MIN(IF(INDIRECT(CONCATENATE(Tab_Calculs[[#This Row],[Colonne1]],"!$B$2:$B$243"))&gt;=Calculs_Consos!$A93,INDIRECT(CONCATENATE(Tab_Calculs[[#This Row],[Colonne1]],"!$B$2:$B$243"))))</f>
        <v>0</v>
      </c>
      <c r="I93" s="3">
        <f ca="1">INDEX(INDIRECT(CONCATENATE("Tab_",Tab_Calculs[[#This Row],[Colonne1]])),Tab_Calculs[[#This Row],[index_date_livraison]],1)</f>
        <v>0</v>
      </c>
      <c r="J93">
        <f ca="1">MATCH(Tab_Calculs[[#This Row],[Date_livraison]],INDIRECT(CONCATENATE("Tab_",Tab_Calculs[[#This Row],[Colonne1]],"[Fin de période]")),0)</f>
        <v>1</v>
      </c>
      <c r="K93" t="e">
        <f ca="1">INDEX(INDIRECT(CONCATENATE("Tab_",Tab_Calculs[[#This Row],[Colonne1]])),Tab_Calculs[[#This Row],[index_date_livraison]]-1,6)*(MAX(Tab_Calculs[[#This Row],[Début periode livraison]],Tab_Calculs[[#This Row],[Début mois]])-Tab_Calculs[[#This Row],[Début mois]])</f>
        <v>#VALUE!</v>
      </c>
      <c r="L93" s="94">
        <f ca="1">INDEX(INDIRECT(CONCATENATE("Tab_",Tab_Calculs[[#This Row],[Colonne1]])),Tab_Calculs[[#This Row],[index_date_livraison]],6)*(1+MIN(Tab_Calculs[[#This Row],[Date_livraison]],Tab_Calculs[[#This Row],[fin mois]])-MAX(Tab_Calculs[[#This Row],[Début mois]],Tab_Calculs[[#This Row],[Début periode livraison]]))</f>
        <v>0</v>
      </c>
      <c r="M93" s="94" t="e">
        <f ca="1">INDEX(INDIRECT(CONCATENATE("Tab_",Tab_Calculs[[#This Row],[Colonne1]])),Tab_Calculs[[#This Row],[index_date_livraison]]+1,6)*(Tab_Calculs[[#This Row],[fin mois]]-MIN(Tab_Calculs[[#This Row],[fin mois]],Tab_Calculs[[#This Row],[Date_livraison]]))</f>
        <v>#VALUE!</v>
      </c>
      <c r="N93" s="231" t="str">
        <f ca="1">IFERROR(Tab_Calculs[[#This Row],[Ratio_jour_après_livr]]+Tab_Calculs[[#This Row],[Ratio_jour_avant_livr]]+Tab_Calculs[[#This Row],[ratio_avant_debut]],"")</f>
        <v/>
      </c>
      <c r="O93" t="e">
        <f ca="1">INDEX(INDIRECT(CONCATENATE("Tab_",Tab_Calculs[[#This Row],[Colonne1]])),Tab_Calculs[[#This Row],[index_date_livraison]]-1,7)*(MAX(Tab_Calculs[[#This Row],[Début periode livraison]],Tab_Calculs[[#This Row],[Début mois]])-Tab_Calculs[[#This Row],[Début mois]])</f>
        <v>#VALUE!</v>
      </c>
      <c r="P93">
        <f ca="1">INDEX(INDIRECT(CONCATENATE("Tab_",Tab_Calculs[[#This Row],[Colonne1]])),Tab_Calculs[[#This Row],[index_date_livraison]],7)*(1+MIN(Tab_Calculs[[#This Row],[Date_livraison]],Tab_Calculs[[#This Row],[fin mois]])-MAX(Tab_Calculs[[#This Row],[Début mois]],Tab_Calculs[[#This Row],[Début periode livraison]]))</f>
        <v>0</v>
      </c>
      <c r="Q93" t="e">
        <f ca="1">INDEX(INDIRECT(CONCATENATE("Tab_",Tab_Calculs[[#This Row],[Colonne1]])),Tab_Calculs[[#This Row],[index_date_livraison]]+1,7)*(Tab_Calculs[[#This Row],[fin mois]]-MIN(Tab_Calculs[[#This Row],[fin mois]],Tab_Calculs[[#This Row],[Date_livraison]]))</f>
        <v>#VALUE!</v>
      </c>
      <c r="R93" t="e">
        <f ca="1">Tab_Calculs[[#This Row],[Ratio_Cout_après_livr]]+Tab_Calculs[[#This Row],[Ratio_Cout_avant_livr]]+Tab_Calculs[[#This Row],[Ratio_Cout_avant_debut]]</f>
        <v>#VALUE!</v>
      </c>
      <c r="S93" t="str">
        <f ca="1">IFERROR(N93*VLOOKUP(Tab_Calculs[[#This Row],[Colonne1]],Controle_des_données!$B$7:$G$14,6,FALSE),"")</f>
        <v/>
      </c>
      <c r="T93" t="str">
        <f ca="1">IF(Tab_Calculs[[#This Row],[Combustible ]]="Electricité (kWh)",Tab_Calculs[[#This Row],[Conso_mois_kWh]]*2.3,Tab_Calculs[[#This Row],[Conso_mois_kWh]])</f>
        <v/>
      </c>
      <c r="U93" t="str">
        <f ca="1">IFERROR(N93*VLOOKUP(Tab_Calculs[[#This Row],[Colonne1]],Controle_des_données!$B$7:$H$14,7,FALSE),"")</f>
        <v/>
      </c>
      <c r="V93">
        <f ca="1">IFERROR(Tab_Calculs[[#This Row],[Cout_mois]]/Tab_Calculs[[#This Row],[Conso_mois_kWh]],0)</f>
        <v>0</v>
      </c>
      <c r="W93" t="str">
        <f>T(VLOOKUP(Tab_Calculs[[#This Row],[Compteur]],Site!$B$33:$G$40,3,FALSE))</f>
        <v/>
      </c>
      <c r="X93" t="str">
        <f>T(VLOOKUP(Tab_Calculs[[#This Row],[Compteur]],Site!$B$33:$G$40,4,FALSE))</f>
        <v/>
      </c>
      <c r="Y93" t="str">
        <f>T(VLOOKUP(Tab_Calculs[[#This Row],[Compteur]],Site!$B$33:$G$40,5,FALSE))</f>
        <v/>
      </c>
      <c r="Z93" t="str">
        <f>T(VLOOKUP(Tab_Calculs[[#This Row],[Compteur]],Site!$B$33:$G$40,6,FALSE))</f>
        <v/>
      </c>
      <c r="AA93">
        <f>IFERROR(GETPIVOTDATA("DJU(chauffagiste)",BDD_DJU!$P$13,"annee",Tab_Calculs[[#This Row],[ANNEE]],"mois_numero",Tab_Calculs[[#This Row],[MOIS]]),0)</f>
        <v>451.9</v>
      </c>
    </row>
    <row r="94" spans="1:27" x14ac:dyDescent="0.25">
      <c r="A94" s="3">
        <f>DATE(Tab_Calculs[[#This Row],[ANNEE]],Tab_Calculs[[#This Row],[MOIS]],1)</f>
        <v>42767</v>
      </c>
      <c r="B94" s="3">
        <f>EDATE(Tab_Calculs[[#This Row],[Début mois]],1)-1</f>
        <v>42794</v>
      </c>
      <c r="C94">
        <f t="shared" si="1"/>
        <v>2</v>
      </c>
      <c r="D94">
        <f>D82+1</f>
        <v>2017</v>
      </c>
      <c r="E94" t="s">
        <v>80</v>
      </c>
      <c r="F94" t="str">
        <f>SUBSTITUTE(Tab_Calculs[[#This Row],[Compteur]]," ","_")</f>
        <v>Compteur_1</v>
      </c>
      <c r="G94" t="str">
        <f>T(INDEX(Site!$B$33:$G$40, MATCH(Tab_Calculs[[#This Row],[Compteur]], Site!$B$33:$B$40,0),2))</f>
        <v/>
      </c>
      <c r="H94" s="3">
        <f t="array" aca="1" ref="H94" ca="1">MIN(IF(INDIRECT(CONCATENATE(Tab_Calculs[[#This Row],[Colonne1]],"!$B$2:$B$243"))&gt;=Calculs_Consos!$A94,INDIRECT(CONCATENATE(Tab_Calculs[[#This Row],[Colonne1]],"!$B$2:$B$243"))))</f>
        <v>0</v>
      </c>
      <c r="I94" s="3">
        <f ca="1">INDEX(INDIRECT(CONCATENATE("Tab_",Tab_Calculs[[#This Row],[Colonne1]])),Tab_Calculs[[#This Row],[index_date_livraison]],1)</f>
        <v>0</v>
      </c>
      <c r="J94">
        <f ca="1">MATCH(Tab_Calculs[[#This Row],[Date_livraison]],INDIRECT(CONCATENATE("Tab_",Tab_Calculs[[#This Row],[Colonne1]],"[Fin de période]")),0)</f>
        <v>1</v>
      </c>
      <c r="K94" t="e">
        <f ca="1">INDEX(INDIRECT(CONCATENATE("Tab_",Tab_Calculs[[#This Row],[Colonne1]])),Tab_Calculs[[#This Row],[index_date_livraison]]-1,6)*(MAX(Tab_Calculs[[#This Row],[Début periode livraison]],Tab_Calculs[[#This Row],[Début mois]])-Tab_Calculs[[#This Row],[Début mois]])</f>
        <v>#VALUE!</v>
      </c>
      <c r="L94" s="94">
        <f ca="1">INDEX(INDIRECT(CONCATENATE("Tab_",Tab_Calculs[[#This Row],[Colonne1]])),Tab_Calculs[[#This Row],[index_date_livraison]],6)*(1+MIN(Tab_Calculs[[#This Row],[Date_livraison]],Tab_Calculs[[#This Row],[fin mois]])-MAX(Tab_Calculs[[#This Row],[Début mois]],Tab_Calculs[[#This Row],[Début periode livraison]]))</f>
        <v>0</v>
      </c>
      <c r="M94" s="94" t="e">
        <f ca="1">INDEX(INDIRECT(CONCATENATE("Tab_",Tab_Calculs[[#This Row],[Colonne1]])),Tab_Calculs[[#This Row],[index_date_livraison]]+1,6)*(Tab_Calculs[[#This Row],[fin mois]]-MIN(Tab_Calculs[[#This Row],[fin mois]],Tab_Calculs[[#This Row],[Date_livraison]]))</f>
        <v>#VALUE!</v>
      </c>
      <c r="N94" s="231" t="str">
        <f ca="1">IFERROR(Tab_Calculs[[#This Row],[Ratio_jour_après_livr]]+Tab_Calculs[[#This Row],[Ratio_jour_avant_livr]]+Tab_Calculs[[#This Row],[ratio_avant_debut]],"")</f>
        <v/>
      </c>
      <c r="O94" t="e">
        <f ca="1">INDEX(INDIRECT(CONCATENATE("Tab_",Tab_Calculs[[#This Row],[Colonne1]])),Tab_Calculs[[#This Row],[index_date_livraison]]-1,7)*(MAX(Tab_Calculs[[#This Row],[Début periode livraison]],Tab_Calculs[[#This Row],[Début mois]])-Tab_Calculs[[#This Row],[Début mois]])</f>
        <v>#VALUE!</v>
      </c>
      <c r="P94">
        <f ca="1">INDEX(INDIRECT(CONCATENATE("Tab_",Tab_Calculs[[#This Row],[Colonne1]])),Tab_Calculs[[#This Row],[index_date_livraison]],7)*(1+MIN(Tab_Calculs[[#This Row],[Date_livraison]],Tab_Calculs[[#This Row],[fin mois]])-MAX(Tab_Calculs[[#This Row],[Début mois]],Tab_Calculs[[#This Row],[Début periode livraison]]))</f>
        <v>0</v>
      </c>
      <c r="Q94" t="e">
        <f ca="1">INDEX(INDIRECT(CONCATENATE("Tab_",Tab_Calculs[[#This Row],[Colonne1]])),Tab_Calculs[[#This Row],[index_date_livraison]]+1,7)*(Tab_Calculs[[#This Row],[fin mois]]-MIN(Tab_Calculs[[#This Row],[fin mois]],Tab_Calculs[[#This Row],[Date_livraison]]))</f>
        <v>#VALUE!</v>
      </c>
      <c r="R94" t="e">
        <f ca="1">Tab_Calculs[[#This Row],[Ratio_Cout_après_livr]]+Tab_Calculs[[#This Row],[Ratio_Cout_avant_livr]]+Tab_Calculs[[#This Row],[Ratio_Cout_avant_debut]]</f>
        <v>#VALUE!</v>
      </c>
      <c r="S94" t="str">
        <f ca="1">IFERROR(N94*VLOOKUP(Tab_Calculs[[#This Row],[Colonne1]],Controle_des_données!$B$7:$G$14,6,FALSE),"")</f>
        <v/>
      </c>
      <c r="T94" t="str">
        <f ca="1">IF(Tab_Calculs[[#This Row],[Combustible ]]="Electricité (kWh)",Tab_Calculs[[#This Row],[Conso_mois_kWh]]*2.3,Tab_Calculs[[#This Row],[Conso_mois_kWh]])</f>
        <v/>
      </c>
      <c r="U94" t="str">
        <f ca="1">IFERROR(N94*VLOOKUP(Tab_Calculs[[#This Row],[Colonne1]],Controle_des_données!$B$7:$H$14,7,FALSE),"")</f>
        <v/>
      </c>
      <c r="V94">
        <f ca="1">IFERROR(Tab_Calculs[[#This Row],[Cout_mois]]/Tab_Calculs[[#This Row],[Conso_mois_kWh]],0)</f>
        <v>0</v>
      </c>
      <c r="W94" t="str">
        <f>T(VLOOKUP(Tab_Calculs[[#This Row],[Compteur]],Site!$B$33:$G$40,3,FALSE))</f>
        <v/>
      </c>
      <c r="X94" t="str">
        <f>T(VLOOKUP(Tab_Calculs[[#This Row],[Compteur]],Site!$B$33:$G$40,4,FALSE))</f>
        <v/>
      </c>
      <c r="Y94" t="str">
        <f>T(VLOOKUP(Tab_Calculs[[#This Row],[Compteur]],Site!$B$33:$G$40,5,FALSE))</f>
        <v/>
      </c>
      <c r="Z94" t="str">
        <f>T(VLOOKUP(Tab_Calculs[[#This Row],[Compteur]],Site!$B$33:$G$40,6,FALSE))</f>
        <v/>
      </c>
      <c r="AA94">
        <f>IFERROR(GETPIVOTDATA("DJU(chauffagiste)",BDD_DJU!$P$13,"annee",Tab_Calculs[[#This Row],[ANNEE]],"mois_numero",Tab_Calculs[[#This Row],[MOIS]]),0)</f>
        <v>287.8</v>
      </c>
    </row>
    <row r="95" spans="1:27" x14ac:dyDescent="0.25">
      <c r="A95" s="3">
        <f>DATE(Tab_Calculs[[#This Row],[ANNEE]],Tab_Calculs[[#This Row],[MOIS]],1)</f>
        <v>42795</v>
      </c>
      <c r="B95" s="3">
        <f>EDATE(Tab_Calculs[[#This Row],[Début mois]],1)-1</f>
        <v>42825</v>
      </c>
      <c r="C95">
        <f t="shared" si="1"/>
        <v>3</v>
      </c>
      <c r="D95">
        <f t="shared" si="0"/>
        <v>2017</v>
      </c>
      <c r="E95" t="s">
        <v>80</v>
      </c>
      <c r="F95" t="str">
        <f>SUBSTITUTE(Tab_Calculs[[#This Row],[Compteur]]," ","_")</f>
        <v>Compteur_1</v>
      </c>
      <c r="G95" t="str">
        <f>T(INDEX(Site!$B$33:$G$40, MATCH(Tab_Calculs[[#This Row],[Compteur]], Site!$B$33:$B$40,0),2))</f>
        <v/>
      </c>
      <c r="H95" s="3">
        <f t="array" aca="1" ref="H95" ca="1">MIN(IF(INDIRECT(CONCATENATE(Tab_Calculs[[#This Row],[Colonne1]],"!$B$2:$B$243"))&gt;=Calculs_Consos!$A95,INDIRECT(CONCATENATE(Tab_Calculs[[#This Row],[Colonne1]],"!$B$2:$B$243"))))</f>
        <v>0</v>
      </c>
      <c r="I95" s="3">
        <f ca="1">INDEX(INDIRECT(CONCATENATE("Tab_",Tab_Calculs[[#This Row],[Colonne1]])),Tab_Calculs[[#This Row],[index_date_livraison]],1)</f>
        <v>0</v>
      </c>
      <c r="J95">
        <f ca="1">MATCH(Tab_Calculs[[#This Row],[Date_livraison]],INDIRECT(CONCATENATE("Tab_",Tab_Calculs[[#This Row],[Colonne1]],"[Fin de période]")),0)</f>
        <v>1</v>
      </c>
      <c r="K95" t="e">
        <f ca="1">INDEX(INDIRECT(CONCATENATE("Tab_",Tab_Calculs[[#This Row],[Colonne1]])),Tab_Calculs[[#This Row],[index_date_livraison]]-1,6)*(MAX(Tab_Calculs[[#This Row],[Début periode livraison]],Tab_Calculs[[#This Row],[Début mois]])-Tab_Calculs[[#This Row],[Début mois]])</f>
        <v>#VALUE!</v>
      </c>
      <c r="L95" s="94">
        <f ca="1">INDEX(INDIRECT(CONCATENATE("Tab_",Tab_Calculs[[#This Row],[Colonne1]])),Tab_Calculs[[#This Row],[index_date_livraison]],6)*(1+MIN(Tab_Calculs[[#This Row],[Date_livraison]],Tab_Calculs[[#This Row],[fin mois]])-MAX(Tab_Calculs[[#This Row],[Début mois]],Tab_Calculs[[#This Row],[Début periode livraison]]))</f>
        <v>0</v>
      </c>
      <c r="M95" s="94" t="e">
        <f ca="1">INDEX(INDIRECT(CONCATENATE("Tab_",Tab_Calculs[[#This Row],[Colonne1]])),Tab_Calculs[[#This Row],[index_date_livraison]]+1,6)*(Tab_Calculs[[#This Row],[fin mois]]-MIN(Tab_Calculs[[#This Row],[fin mois]],Tab_Calculs[[#This Row],[Date_livraison]]))</f>
        <v>#VALUE!</v>
      </c>
      <c r="N95" s="231" t="str">
        <f ca="1">IFERROR(Tab_Calculs[[#This Row],[Ratio_jour_après_livr]]+Tab_Calculs[[#This Row],[Ratio_jour_avant_livr]]+Tab_Calculs[[#This Row],[ratio_avant_debut]],"")</f>
        <v/>
      </c>
      <c r="O95" t="e">
        <f ca="1">INDEX(INDIRECT(CONCATENATE("Tab_",Tab_Calculs[[#This Row],[Colonne1]])),Tab_Calculs[[#This Row],[index_date_livraison]]-1,7)*(MAX(Tab_Calculs[[#This Row],[Début periode livraison]],Tab_Calculs[[#This Row],[Début mois]])-Tab_Calculs[[#This Row],[Début mois]])</f>
        <v>#VALUE!</v>
      </c>
      <c r="P95">
        <f ca="1">INDEX(INDIRECT(CONCATENATE("Tab_",Tab_Calculs[[#This Row],[Colonne1]])),Tab_Calculs[[#This Row],[index_date_livraison]],7)*(1+MIN(Tab_Calculs[[#This Row],[Date_livraison]],Tab_Calculs[[#This Row],[fin mois]])-MAX(Tab_Calculs[[#This Row],[Début mois]],Tab_Calculs[[#This Row],[Début periode livraison]]))</f>
        <v>0</v>
      </c>
      <c r="Q95" t="e">
        <f ca="1">INDEX(INDIRECT(CONCATENATE("Tab_",Tab_Calculs[[#This Row],[Colonne1]])),Tab_Calculs[[#This Row],[index_date_livraison]]+1,7)*(Tab_Calculs[[#This Row],[fin mois]]-MIN(Tab_Calculs[[#This Row],[fin mois]],Tab_Calculs[[#This Row],[Date_livraison]]))</f>
        <v>#VALUE!</v>
      </c>
      <c r="R95" t="e">
        <f ca="1">Tab_Calculs[[#This Row],[Ratio_Cout_après_livr]]+Tab_Calculs[[#This Row],[Ratio_Cout_avant_livr]]+Tab_Calculs[[#This Row],[Ratio_Cout_avant_debut]]</f>
        <v>#VALUE!</v>
      </c>
      <c r="S95" t="str">
        <f ca="1">IFERROR(N95*VLOOKUP(Tab_Calculs[[#This Row],[Colonne1]],Controle_des_données!$B$7:$G$14,6,FALSE),"")</f>
        <v/>
      </c>
      <c r="T95" t="str">
        <f ca="1">IF(Tab_Calculs[[#This Row],[Combustible ]]="Electricité (kWh)",Tab_Calculs[[#This Row],[Conso_mois_kWh]]*2.3,Tab_Calculs[[#This Row],[Conso_mois_kWh]])</f>
        <v/>
      </c>
      <c r="U95" t="str">
        <f ca="1">IFERROR(N95*VLOOKUP(Tab_Calculs[[#This Row],[Colonne1]],Controle_des_données!$B$7:$H$14,7,FALSE),"")</f>
        <v/>
      </c>
      <c r="V95">
        <f ca="1">IFERROR(Tab_Calculs[[#This Row],[Cout_mois]]/Tab_Calculs[[#This Row],[Conso_mois_kWh]],0)</f>
        <v>0</v>
      </c>
      <c r="W95" t="str">
        <f>T(VLOOKUP(Tab_Calculs[[#This Row],[Compteur]],Site!$B$33:$G$40,3,FALSE))</f>
        <v/>
      </c>
      <c r="X95" t="str">
        <f>T(VLOOKUP(Tab_Calculs[[#This Row],[Compteur]],Site!$B$33:$G$40,4,FALSE))</f>
        <v/>
      </c>
      <c r="Y95" t="str">
        <f>T(VLOOKUP(Tab_Calculs[[#This Row],[Compteur]],Site!$B$33:$G$40,5,FALSE))</f>
        <v/>
      </c>
      <c r="Z95" t="str">
        <f>T(VLOOKUP(Tab_Calculs[[#This Row],[Compteur]],Site!$B$33:$G$40,6,FALSE))</f>
        <v/>
      </c>
      <c r="AA95">
        <f>IFERROR(GETPIVOTDATA("DJU(chauffagiste)",BDD_DJU!$P$13,"annee",Tab_Calculs[[#This Row],[ANNEE]],"mois_numero",Tab_Calculs[[#This Row],[MOIS]]),0)</f>
        <v>226.3</v>
      </c>
    </row>
    <row r="96" spans="1:27" x14ac:dyDescent="0.25">
      <c r="A96" s="3">
        <f>DATE(Tab_Calculs[[#This Row],[ANNEE]],Tab_Calculs[[#This Row],[MOIS]],1)</f>
        <v>42826</v>
      </c>
      <c r="B96" s="3">
        <f>EDATE(Tab_Calculs[[#This Row],[Début mois]],1)-1</f>
        <v>42855</v>
      </c>
      <c r="C96">
        <f t="shared" si="1"/>
        <v>4</v>
      </c>
      <c r="D96">
        <f t="shared" si="0"/>
        <v>2017</v>
      </c>
      <c r="E96" t="s">
        <v>80</v>
      </c>
      <c r="F96" t="str">
        <f>SUBSTITUTE(Tab_Calculs[[#This Row],[Compteur]]," ","_")</f>
        <v>Compteur_1</v>
      </c>
      <c r="G96" t="str">
        <f>T(INDEX(Site!$B$33:$G$40, MATCH(Tab_Calculs[[#This Row],[Compteur]], Site!$B$33:$B$40,0),2))</f>
        <v/>
      </c>
      <c r="H96" s="3">
        <f t="array" aca="1" ref="H96" ca="1">MIN(IF(INDIRECT(CONCATENATE(Tab_Calculs[[#This Row],[Colonne1]],"!$B$2:$B$243"))&gt;=Calculs_Consos!$A96,INDIRECT(CONCATENATE(Tab_Calculs[[#This Row],[Colonne1]],"!$B$2:$B$243"))))</f>
        <v>0</v>
      </c>
      <c r="I96" s="3">
        <f ca="1">INDEX(INDIRECT(CONCATENATE("Tab_",Tab_Calculs[[#This Row],[Colonne1]])),Tab_Calculs[[#This Row],[index_date_livraison]],1)</f>
        <v>0</v>
      </c>
      <c r="J96">
        <f ca="1">MATCH(Tab_Calculs[[#This Row],[Date_livraison]],INDIRECT(CONCATENATE("Tab_",Tab_Calculs[[#This Row],[Colonne1]],"[Fin de période]")),0)</f>
        <v>1</v>
      </c>
      <c r="K96" t="e">
        <f ca="1">INDEX(INDIRECT(CONCATENATE("Tab_",Tab_Calculs[[#This Row],[Colonne1]])),Tab_Calculs[[#This Row],[index_date_livraison]]-1,6)*(MAX(Tab_Calculs[[#This Row],[Début periode livraison]],Tab_Calculs[[#This Row],[Début mois]])-Tab_Calculs[[#This Row],[Début mois]])</f>
        <v>#VALUE!</v>
      </c>
      <c r="L96" s="94">
        <f ca="1">INDEX(INDIRECT(CONCATENATE("Tab_",Tab_Calculs[[#This Row],[Colonne1]])),Tab_Calculs[[#This Row],[index_date_livraison]],6)*(1+MIN(Tab_Calculs[[#This Row],[Date_livraison]],Tab_Calculs[[#This Row],[fin mois]])-MAX(Tab_Calculs[[#This Row],[Début mois]],Tab_Calculs[[#This Row],[Début periode livraison]]))</f>
        <v>0</v>
      </c>
      <c r="M96" s="94" t="e">
        <f ca="1">INDEX(INDIRECT(CONCATENATE("Tab_",Tab_Calculs[[#This Row],[Colonne1]])),Tab_Calculs[[#This Row],[index_date_livraison]]+1,6)*(Tab_Calculs[[#This Row],[fin mois]]-MIN(Tab_Calculs[[#This Row],[fin mois]],Tab_Calculs[[#This Row],[Date_livraison]]))</f>
        <v>#VALUE!</v>
      </c>
      <c r="N96" s="231" t="str">
        <f ca="1">IFERROR(Tab_Calculs[[#This Row],[Ratio_jour_après_livr]]+Tab_Calculs[[#This Row],[Ratio_jour_avant_livr]]+Tab_Calculs[[#This Row],[ratio_avant_debut]],"")</f>
        <v/>
      </c>
      <c r="O96" t="e">
        <f ca="1">INDEX(INDIRECT(CONCATENATE("Tab_",Tab_Calculs[[#This Row],[Colonne1]])),Tab_Calculs[[#This Row],[index_date_livraison]]-1,7)*(MAX(Tab_Calculs[[#This Row],[Début periode livraison]],Tab_Calculs[[#This Row],[Début mois]])-Tab_Calculs[[#This Row],[Début mois]])</f>
        <v>#VALUE!</v>
      </c>
      <c r="P96">
        <f ca="1">INDEX(INDIRECT(CONCATENATE("Tab_",Tab_Calculs[[#This Row],[Colonne1]])),Tab_Calculs[[#This Row],[index_date_livraison]],7)*(1+MIN(Tab_Calculs[[#This Row],[Date_livraison]],Tab_Calculs[[#This Row],[fin mois]])-MAX(Tab_Calculs[[#This Row],[Début mois]],Tab_Calculs[[#This Row],[Début periode livraison]]))</f>
        <v>0</v>
      </c>
      <c r="Q96" t="e">
        <f ca="1">INDEX(INDIRECT(CONCATENATE("Tab_",Tab_Calculs[[#This Row],[Colonne1]])),Tab_Calculs[[#This Row],[index_date_livraison]]+1,7)*(Tab_Calculs[[#This Row],[fin mois]]-MIN(Tab_Calculs[[#This Row],[fin mois]],Tab_Calculs[[#This Row],[Date_livraison]]))</f>
        <v>#VALUE!</v>
      </c>
      <c r="R96" t="e">
        <f ca="1">Tab_Calculs[[#This Row],[Ratio_Cout_après_livr]]+Tab_Calculs[[#This Row],[Ratio_Cout_avant_livr]]+Tab_Calculs[[#This Row],[Ratio_Cout_avant_debut]]</f>
        <v>#VALUE!</v>
      </c>
      <c r="S96" t="str">
        <f ca="1">IFERROR(N96*VLOOKUP(Tab_Calculs[[#This Row],[Colonne1]],Controle_des_données!$B$7:$G$14,6,FALSE),"")</f>
        <v/>
      </c>
      <c r="T96" t="str">
        <f ca="1">IF(Tab_Calculs[[#This Row],[Combustible ]]="Electricité (kWh)",Tab_Calculs[[#This Row],[Conso_mois_kWh]]*2.3,Tab_Calculs[[#This Row],[Conso_mois_kWh]])</f>
        <v/>
      </c>
      <c r="U96" t="str">
        <f ca="1">IFERROR(N96*VLOOKUP(Tab_Calculs[[#This Row],[Colonne1]],Controle_des_données!$B$7:$H$14,7,FALSE),"")</f>
        <v/>
      </c>
      <c r="V96">
        <f ca="1">IFERROR(Tab_Calculs[[#This Row],[Cout_mois]]/Tab_Calculs[[#This Row],[Conso_mois_kWh]],0)</f>
        <v>0</v>
      </c>
      <c r="W96" t="str">
        <f>T(VLOOKUP(Tab_Calculs[[#This Row],[Compteur]],Site!$B$33:$G$40,3,FALSE))</f>
        <v/>
      </c>
      <c r="X96" t="str">
        <f>T(VLOOKUP(Tab_Calculs[[#This Row],[Compteur]],Site!$B$33:$G$40,4,FALSE))</f>
        <v/>
      </c>
      <c r="Y96" t="str">
        <f>T(VLOOKUP(Tab_Calculs[[#This Row],[Compteur]],Site!$B$33:$G$40,5,FALSE))</f>
        <v/>
      </c>
      <c r="Z96" t="str">
        <f>T(VLOOKUP(Tab_Calculs[[#This Row],[Compteur]],Site!$B$33:$G$40,6,FALSE))</f>
        <v/>
      </c>
      <c r="AA96">
        <f>IFERROR(GETPIVOTDATA("DJU(chauffagiste)",BDD_DJU!$P$13,"annee",Tab_Calculs[[#This Row],[ANNEE]],"mois_numero",Tab_Calculs[[#This Row],[MOIS]]),0)</f>
        <v>227.8</v>
      </c>
    </row>
    <row r="97" spans="1:27" x14ac:dyDescent="0.25">
      <c r="A97" s="3">
        <f>DATE(Tab_Calculs[[#This Row],[ANNEE]],Tab_Calculs[[#This Row],[MOIS]],1)</f>
        <v>42856</v>
      </c>
      <c r="B97" s="3">
        <f>EDATE(Tab_Calculs[[#This Row],[Début mois]],1)-1</f>
        <v>42886</v>
      </c>
      <c r="C97">
        <f t="shared" si="1"/>
        <v>5</v>
      </c>
      <c r="D97">
        <f t="shared" si="0"/>
        <v>2017</v>
      </c>
      <c r="E97" t="s">
        <v>80</v>
      </c>
      <c r="F97" t="str">
        <f>SUBSTITUTE(Tab_Calculs[[#This Row],[Compteur]]," ","_")</f>
        <v>Compteur_1</v>
      </c>
      <c r="G97" t="str">
        <f>T(INDEX(Site!$B$33:$G$40, MATCH(Tab_Calculs[[#This Row],[Compteur]], Site!$B$33:$B$40,0),2))</f>
        <v/>
      </c>
      <c r="H97" s="3">
        <f t="array" aca="1" ref="H97" ca="1">MIN(IF(INDIRECT(CONCATENATE(Tab_Calculs[[#This Row],[Colonne1]],"!$B$2:$B$243"))&gt;=Calculs_Consos!$A97,INDIRECT(CONCATENATE(Tab_Calculs[[#This Row],[Colonne1]],"!$B$2:$B$243"))))</f>
        <v>0</v>
      </c>
      <c r="I97" s="3">
        <f ca="1">INDEX(INDIRECT(CONCATENATE("Tab_",Tab_Calculs[[#This Row],[Colonne1]])),Tab_Calculs[[#This Row],[index_date_livraison]],1)</f>
        <v>0</v>
      </c>
      <c r="J97">
        <f ca="1">MATCH(Tab_Calculs[[#This Row],[Date_livraison]],INDIRECT(CONCATENATE("Tab_",Tab_Calculs[[#This Row],[Colonne1]],"[Fin de période]")),0)</f>
        <v>1</v>
      </c>
      <c r="K97" t="e">
        <f ca="1">INDEX(INDIRECT(CONCATENATE("Tab_",Tab_Calculs[[#This Row],[Colonne1]])),Tab_Calculs[[#This Row],[index_date_livraison]]-1,6)*(MAX(Tab_Calculs[[#This Row],[Début periode livraison]],Tab_Calculs[[#This Row],[Début mois]])-Tab_Calculs[[#This Row],[Début mois]])</f>
        <v>#VALUE!</v>
      </c>
      <c r="L97" s="94">
        <f ca="1">INDEX(INDIRECT(CONCATENATE("Tab_",Tab_Calculs[[#This Row],[Colonne1]])),Tab_Calculs[[#This Row],[index_date_livraison]],6)*(1+MIN(Tab_Calculs[[#This Row],[Date_livraison]],Tab_Calculs[[#This Row],[fin mois]])-MAX(Tab_Calculs[[#This Row],[Début mois]],Tab_Calculs[[#This Row],[Début periode livraison]]))</f>
        <v>0</v>
      </c>
      <c r="M97" s="94" t="e">
        <f ca="1">INDEX(INDIRECT(CONCATENATE("Tab_",Tab_Calculs[[#This Row],[Colonne1]])),Tab_Calculs[[#This Row],[index_date_livraison]]+1,6)*(Tab_Calculs[[#This Row],[fin mois]]-MIN(Tab_Calculs[[#This Row],[fin mois]],Tab_Calculs[[#This Row],[Date_livraison]]))</f>
        <v>#VALUE!</v>
      </c>
      <c r="N97" s="231" t="str">
        <f ca="1">IFERROR(Tab_Calculs[[#This Row],[Ratio_jour_après_livr]]+Tab_Calculs[[#This Row],[Ratio_jour_avant_livr]]+Tab_Calculs[[#This Row],[ratio_avant_debut]],"")</f>
        <v/>
      </c>
      <c r="O97" t="e">
        <f ca="1">INDEX(INDIRECT(CONCATENATE("Tab_",Tab_Calculs[[#This Row],[Colonne1]])),Tab_Calculs[[#This Row],[index_date_livraison]]-1,7)*(MAX(Tab_Calculs[[#This Row],[Début periode livraison]],Tab_Calculs[[#This Row],[Début mois]])-Tab_Calculs[[#This Row],[Début mois]])</f>
        <v>#VALUE!</v>
      </c>
      <c r="P97">
        <f ca="1">INDEX(INDIRECT(CONCATENATE("Tab_",Tab_Calculs[[#This Row],[Colonne1]])),Tab_Calculs[[#This Row],[index_date_livraison]],7)*(1+MIN(Tab_Calculs[[#This Row],[Date_livraison]],Tab_Calculs[[#This Row],[fin mois]])-MAX(Tab_Calculs[[#This Row],[Début mois]],Tab_Calculs[[#This Row],[Début periode livraison]]))</f>
        <v>0</v>
      </c>
      <c r="Q97" t="e">
        <f ca="1">INDEX(INDIRECT(CONCATENATE("Tab_",Tab_Calculs[[#This Row],[Colonne1]])),Tab_Calculs[[#This Row],[index_date_livraison]]+1,7)*(Tab_Calculs[[#This Row],[fin mois]]-MIN(Tab_Calculs[[#This Row],[fin mois]],Tab_Calculs[[#This Row],[Date_livraison]]))</f>
        <v>#VALUE!</v>
      </c>
      <c r="R97" t="e">
        <f ca="1">Tab_Calculs[[#This Row],[Ratio_Cout_après_livr]]+Tab_Calculs[[#This Row],[Ratio_Cout_avant_livr]]+Tab_Calculs[[#This Row],[Ratio_Cout_avant_debut]]</f>
        <v>#VALUE!</v>
      </c>
      <c r="S97" t="str">
        <f ca="1">IFERROR(N97*VLOOKUP(Tab_Calculs[[#This Row],[Colonne1]],Controle_des_données!$B$7:$G$14,6,FALSE),"")</f>
        <v/>
      </c>
      <c r="T97" t="str">
        <f ca="1">IF(Tab_Calculs[[#This Row],[Combustible ]]="Electricité (kWh)",Tab_Calculs[[#This Row],[Conso_mois_kWh]]*2.3,Tab_Calculs[[#This Row],[Conso_mois_kWh]])</f>
        <v/>
      </c>
      <c r="U97" t="str">
        <f ca="1">IFERROR(N97*VLOOKUP(Tab_Calculs[[#This Row],[Colonne1]],Controle_des_données!$B$7:$H$14,7,FALSE),"")</f>
        <v/>
      </c>
      <c r="V97">
        <f ca="1">IFERROR(Tab_Calculs[[#This Row],[Cout_mois]]/Tab_Calculs[[#This Row],[Conso_mois_kWh]],0)</f>
        <v>0</v>
      </c>
      <c r="W97" t="str">
        <f>T(VLOOKUP(Tab_Calculs[[#This Row],[Compteur]],Site!$B$33:$G$40,3,FALSE))</f>
        <v/>
      </c>
      <c r="X97" t="str">
        <f>T(VLOOKUP(Tab_Calculs[[#This Row],[Compteur]],Site!$B$33:$G$40,4,FALSE))</f>
        <v/>
      </c>
      <c r="Y97" t="str">
        <f>T(VLOOKUP(Tab_Calculs[[#This Row],[Compteur]],Site!$B$33:$G$40,5,FALSE))</f>
        <v/>
      </c>
      <c r="Z97" t="str">
        <f>T(VLOOKUP(Tab_Calculs[[#This Row],[Compteur]],Site!$B$33:$G$40,6,FALSE))</f>
        <v/>
      </c>
      <c r="AA97">
        <f>IFERROR(GETPIVOTDATA("DJU(chauffagiste)",BDD_DJU!$P$13,"annee",Tab_Calculs[[#This Row],[ANNEE]],"mois_numero",Tab_Calculs[[#This Row],[MOIS]]),0)</f>
        <v>98</v>
      </c>
    </row>
    <row r="98" spans="1:27" x14ac:dyDescent="0.25">
      <c r="A98" s="3">
        <f>DATE(Tab_Calculs[[#This Row],[ANNEE]],Tab_Calculs[[#This Row],[MOIS]],1)</f>
        <v>42887</v>
      </c>
      <c r="B98" s="3">
        <f>EDATE(Tab_Calculs[[#This Row],[Début mois]],1)-1</f>
        <v>42916</v>
      </c>
      <c r="C98">
        <f t="shared" si="1"/>
        <v>6</v>
      </c>
      <c r="D98">
        <f t="shared" si="0"/>
        <v>2017</v>
      </c>
      <c r="E98" t="s">
        <v>80</v>
      </c>
      <c r="F98" t="str">
        <f>SUBSTITUTE(Tab_Calculs[[#This Row],[Compteur]]," ","_")</f>
        <v>Compteur_1</v>
      </c>
      <c r="G98" t="str">
        <f>T(INDEX(Site!$B$33:$G$40, MATCH(Tab_Calculs[[#This Row],[Compteur]], Site!$B$33:$B$40,0),2))</f>
        <v/>
      </c>
      <c r="H98" s="3">
        <f t="array" aca="1" ref="H98" ca="1">MIN(IF(INDIRECT(CONCATENATE(Tab_Calculs[[#This Row],[Colonne1]],"!$B$2:$B$243"))&gt;=Calculs_Consos!$A98,INDIRECT(CONCATENATE(Tab_Calculs[[#This Row],[Colonne1]],"!$B$2:$B$243"))))</f>
        <v>0</v>
      </c>
      <c r="I98" s="3">
        <f ca="1">INDEX(INDIRECT(CONCATENATE("Tab_",Tab_Calculs[[#This Row],[Colonne1]])),Tab_Calculs[[#This Row],[index_date_livraison]],1)</f>
        <v>0</v>
      </c>
      <c r="J98">
        <f ca="1">MATCH(Tab_Calculs[[#This Row],[Date_livraison]],INDIRECT(CONCATENATE("Tab_",Tab_Calculs[[#This Row],[Colonne1]],"[Fin de période]")),0)</f>
        <v>1</v>
      </c>
      <c r="K98" t="e">
        <f ca="1">INDEX(INDIRECT(CONCATENATE("Tab_",Tab_Calculs[[#This Row],[Colonne1]])),Tab_Calculs[[#This Row],[index_date_livraison]]-1,6)*(MAX(Tab_Calculs[[#This Row],[Début periode livraison]],Tab_Calculs[[#This Row],[Début mois]])-Tab_Calculs[[#This Row],[Début mois]])</f>
        <v>#VALUE!</v>
      </c>
      <c r="L98" s="94">
        <f ca="1">INDEX(INDIRECT(CONCATENATE("Tab_",Tab_Calculs[[#This Row],[Colonne1]])),Tab_Calculs[[#This Row],[index_date_livraison]],6)*(1+MIN(Tab_Calculs[[#This Row],[Date_livraison]],Tab_Calculs[[#This Row],[fin mois]])-MAX(Tab_Calculs[[#This Row],[Début mois]],Tab_Calculs[[#This Row],[Début periode livraison]]))</f>
        <v>0</v>
      </c>
      <c r="M98" s="94" t="e">
        <f ca="1">INDEX(INDIRECT(CONCATENATE("Tab_",Tab_Calculs[[#This Row],[Colonne1]])),Tab_Calculs[[#This Row],[index_date_livraison]]+1,6)*(Tab_Calculs[[#This Row],[fin mois]]-MIN(Tab_Calculs[[#This Row],[fin mois]],Tab_Calculs[[#This Row],[Date_livraison]]))</f>
        <v>#VALUE!</v>
      </c>
      <c r="N98" s="231" t="str">
        <f ca="1">IFERROR(Tab_Calculs[[#This Row],[Ratio_jour_après_livr]]+Tab_Calculs[[#This Row],[Ratio_jour_avant_livr]]+Tab_Calculs[[#This Row],[ratio_avant_debut]],"")</f>
        <v/>
      </c>
      <c r="O98" t="e">
        <f ca="1">INDEX(INDIRECT(CONCATENATE("Tab_",Tab_Calculs[[#This Row],[Colonne1]])),Tab_Calculs[[#This Row],[index_date_livraison]]-1,7)*(MAX(Tab_Calculs[[#This Row],[Début periode livraison]],Tab_Calculs[[#This Row],[Début mois]])-Tab_Calculs[[#This Row],[Début mois]])</f>
        <v>#VALUE!</v>
      </c>
      <c r="P98">
        <f ca="1">INDEX(INDIRECT(CONCATENATE("Tab_",Tab_Calculs[[#This Row],[Colonne1]])),Tab_Calculs[[#This Row],[index_date_livraison]],7)*(1+MIN(Tab_Calculs[[#This Row],[Date_livraison]],Tab_Calculs[[#This Row],[fin mois]])-MAX(Tab_Calculs[[#This Row],[Début mois]],Tab_Calculs[[#This Row],[Début periode livraison]]))</f>
        <v>0</v>
      </c>
      <c r="Q98" t="e">
        <f ca="1">INDEX(INDIRECT(CONCATENATE("Tab_",Tab_Calculs[[#This Row],[Colonne1]])),Tab_Calculs[[#This Row],[index_date_livraison]]+1,7)*(Tab_Calculs[[#This Row],[fin mois]]-MIN(Tab_Calculs[[#This Row],[fin mois]],Tab_Calculs[[#This Row],[Date_livraison]]))</f>
        <v>#VALUE!</v>
      </c>
      <c r="R98" t="e">
        <f ca="1">Tab_Calculs[[#This Row],[Ratio_Cout_après_livr]]+Tab_Calculs[[#This Row],[Ratio_Cout_avant_livr]]+Tab_Calculs[[#This Row],[Ratio_Cout_avant_debut]]</f>
        <v>#VALUE!</v>
      </c>
      <c r="S98" t="str">
        <f ca="1">IFERROR(N98*VLOOKUP(Tab_Calculs[[#This Row],[Colonne1]],Controle_des_données!$B$7:$G$14,6,FALSE),"")</f>
        <v/>
      </c>
      <c r="T98" t="str">
        <f ca="1">IF(Tab_Calculs[[#This Row],[Combustible ]]="Electricité (kWh)",Tab_Calculs[[#This Row],[Conso_mois_kWh]]*2.3,Tab_Calculs[[#This Row],[Conso_mois_kWh]])</f>
        <v/>
      </c>
      <c r="U98" t="str">
        <f ca="1">IFERROR(N98*VLOOKUP(Tab_Calculs[[#This Row],[Colonne1]],Controle_des_données!$B$7:$H$14,7,FALSE),"")</f>
        <v/>
      </c>
      <c r="V98">
        <f ca="1">IFERROR(Tab_Calculs[[#This Row],[Cout_mois]]/Tab_Calculs[[#This Row],[Conso_mois_kWh]],0)</f>
        <v>0</v>
      </c>
      <c r="W98" t="str">
        <f>T(VLOOKUP(Tab_Calculs[[#This Row],[Compteur]],Site!$B$33:$G$40,3,FALSE))</f>
        <v/>
      </c>
      <c r="X98" t="str">
        <f>T(VLOOKUP(Tab_Calculs[[#This Row],[Compteur]],Site!$B$33:$G$40,4,FALSE))</f>
        <v/>
      </c>
      <c r="Y98" t="str">
        <f>T(VLOOKUP(Tab_Calculs[[#This Row],[Compteur]],Site!$B$33:$G$40,5,FALSE))</f>
        <v/>
      </c>
      <c r="Z98" t="str">
        <f>T(VLOOKUP(Tab_Calculs[[#This Row],[Compteur]],Site!$B$33:$G$40,6,FALSE))</f>
        <v/>
      </c>
      <c r="AA98">
        <f>IFERROR(GETPIVOTDATA("DJU(chauffagiste)",BDD_DJU!$P$13,"annee",Tab_Calculs[[#This Row],[ANNEE]],"mois_numero",Tab_Calculs[[#This Row],[MOIS]]),0)</f>
        <v>30.9</v>
      </c>
    </row>
    <row r="99" spans="1:27" x14ac:dyDescent="0.25">
      <c r="A99" s="3">
        <f>DATE(Tab_Calculs[[#This Row],[ANNEE]],Tab_Calculs[[#This Row],[MOIS]],1)</f>
        <v>42917</v>
      </c>
      <c r="B99" s="3">
        <f>EDATE(Tab_Calculs[[#This Row],[Début mois]],1)-1</f>
        <v>42947</v>
      </c>
      <c r="C99">
        <f t="shared" si="1"/>
        <v>7</v>
      </c>
      <c r="D99">
        <f t="shared" si="0"/>
        <v>2017</v>
      </c>
      <c r="E99" t="s">
        <v>80</v>
      </c>
      <c r="F99" t="str">
        <f>SUBSTITUTE(Tab_Calculs[[#This Row],[Compteur]]," ","_")</f>
        <v>Compteur_1</v>
      </c>
      <c r="G99" t="str">
        <f>T(INDEX(Site!$B$33:$G$40, MATCH(Tab_Calculs[[#This Row],[Compteur]], Site!$B$33:$B$40,0),2))</f>
        <v/>
      </c>
      <c r="H99" s="3">
        <f t="array" aca="1" ref="H99" ca="1">MIN(IF(INDIRECT(CONCATENATE(Tab_Calculs[[#This Row],[Colonne1]],"!$B$2:$B$243"))&gt;=Calculs_Consos!$A99,INDIRECT(CONCATENATE(Tab_Calculs[[#This Row],[Colonne1]],"!$B$2:$B$243"))))</f>
        <v>0</v>
      </c>
      <c r="I99" s="3">
        <f ca="1">INDEX(INDIRECT(CONCATENATE("Tab_",Tab_Calculs[[#This Row],[Colonne1]])),Tab_Calculs[[#This Row],[index_date_livraison]],1)</f>
        <v>0</v>
      </c>
      <c r="J99">
        <f ca="1">MATCH(Tab_Calculs[[#This Row],[Date_livraison]],INDIRECT(CONCATENATE("Tab_",Tab_Calculs[[#This Row],[Colonne1]],"[Fin de période]")),0)</f>
        <v>1</v>
      </c>
      <c r="K99" t="e">
        <f ca="1">INDEX(INDIRECT(CONCATENATE("Tab_",Tab_Calculs[[#This Row],[Colonne1]])),Tab_Calculs[[#This Row],[index_date_livraison]]-1,6)*(MAX(Tab_Calculs[[#This Row],[Début periode livraison]],Tab_Calculs[[#This Row],[Début mois]])-Tab_Calculs[[#This Row],[Début mois]])</f>
        <v>#VALUE!</v>
      </c>
      <c r="L99" s="94">
        <f ca="1">INDEX(INDIRECT(CONCATENATE("Tab_",Tab_Calculs[[#This Row],[Colonne1]])),Tab_Calculs[[#This Row],[index_date_livraison]],6)*(1+MIN(Tab_Calculs[[#This Row],[Date_livraison]],Tab_Calculs[[#This Row],[fin mois]])-MAX(Tab_Calculs[[#This Row],[Début mois]],Tab_Calculs[[#This Row],[Début periode livraison]]))</f>
        <v>0</v>
      </c>
      <c r="M99" s="94" t="e">
        <f ca="1">INDEX(INDIRECT(CONCATENATE("Tab_",Tab_Calculs[[#This Row],[Colonne1]])),Tab_Calculs[[#This Row],[index_date_livraison]]+1,6)*(Tab_Calculs[[#This Row],[fin mois]]-MIN(Tab_Calculs[[#This Row],[fin mois]],Tab_Calculs[[#This Row],[Date_livraison]]))</f>
        <v>#VALUE!</v>
      </c>
      <c r="N99" s="231" t="str">
        <f ca="1">IFERROR(Tab_Calculs[[#This Row],[Ratio_jour_après_livr]]+Tab_Calculs[[#This Row],[Ratio_jour_avant_livr]]+Tab_Calculs[[#This Row],[ratio_avant_debut]],"")</f>
        <v/>
      </c>
      <c r="O99" t="e">
        <f ca="1">INDEX(INDIRECT(CONCATENATE("Tab_",Tab_Calculs[[#This Row],[Colonne1]])),Tab_Calculs[[#This Row],[index_date_livraison]]-1,7)*(MAX(Tab_Calculs[[#This Row],[Début periode livraison]],Tab_Calculs[[#This Row],[Début mois]])-Tab_Calculs[[#This Row],[Début mois]])</f>
        <v>#VALUE!</v>
      </c>
      <c r="P99">
        <f ca="1">INDEX(INDIRECT(CONCATENATE("Tab_",Tab_Calculs[[#This Row],[Colonne1]])),Tab_Calculs[[#This Row],[index_date_livraison]],7)*(1+MIN(Tab_Calculs[[#This Row],[Date_livraison]],Tab_Calculs[[#This Row],[fin mois]])-MAX(Tab_Calculs[[#This Row],[Début mois]],Tab_Calculs[[#This Row],[Début periode livraison]]))</f>
        <v>0</v>
      </c>
      <c r="Q99" t="e">
        <f ca="1">INDEX(INDIRECT(CONCATENATE("Tab_",Tab_Calculs[[#This Row],[Colonne1]])),Tab_Calculs[[#This Row],[index_date_livraison]]+1,7)*(Tab_Calculs[[#This Row],[fin mois]]-MIN(Tab_Calculs[[#This Row],[fin mois]],Tab_Calculs[[#This Row],[Date_livraison]]))</f>
        <v>#VALUE!</v>
      </c>
      <c r="R99" t="e">
        <f ca="1">Tab_Calculs[[#This Row],[Ratio_Cout_après_livr]]+Tab_Calculs[[#This Row],[Ratio_Cout_avant_livr]]+Tab_Calculs[[#This Row],[Ratio_Cout_avant_debut]]</f>
        <v>#VALUE!</v>
      </c>
      <c r="S99" t="str">
        <f ca="1">IFERROR(N99*VLOOKUP(Tab_Calculs[[#This Row],[Colonne1]],Controle_des_données!$B$7:$G$14,6,FALSE),"")</f>
        <v/>
      </c>
      <c r="T99" t="str">
        <f ca="1">IF(Tab_Calculs[[#This Row],[Combustible ]]="Electricité (kWh)",Tab_Calculs[[#This Row],[Conso_mois_kWh]]*2.3,Tab_Calculs[[#This Row],[Conso_mois_kWh]])</f>
        <v/>
      </c>
      <c r="U99" t="str">
        <f ca="1">IFERROR(N99*VLOOKUP(Tab_Calculs[[#This Row],[Colonne1]],Controle_des_données!$B$7:$H$14,7,FALSE),"")</f>
        <v/>
      </c>
      <c r="V99">
        <f ca="1">IFERROR(Tab_Calculs[[#This Row],[Cout_mois]]/Tab_Calculs[[#This Row],[Conso_mois_kWh]],0)</f>
        <v>0</v>
      </c>
      <c r="W99" t="str">
        <f>T(VLOOKUP(Tab_Calculs[[#This Row],[Compteur]],Site!$B$33:$G$40,3,FALSE))</f>
        <v/>
      </c>
      <c r="X99" t="str">
        <f>T(VLOOKUP(Tab_Calculs[[#This Row],[Compteur]],Site!$B$33:$G$40,4,FALSE))</f>
        <v/>
      </c>
      <c r="Y99" t="str">
        <f>T(VLOOKUP(Tab_Calculs[[#This Row],[Compteur]],Site!$B$33:$G$40,5,FALSE))</f>
        <v/>
      </c>
      <c r="Z99" t="str">
        <f>T(VLOOKUP(Tab_Calculs[[#This Row],[Compteur]],Site!$B$33:$G$40,6,FALSE))</f>
        <v/>
      </c>
      <c r="AA99">
        <f>IFERROR(GETPIVOTDATA("DJU(chauffagiste)",BDD_DJU!$P$13,"annee",Tab_Calculs[[#This Row],[ANNEE]],"mois_numero",Tab_Calculs[[#This Row],[MOIS]]),0)</f>
        <v>23.6</v>
      </c>
    </row>
    <row r="100" spans="1:27" x14ac:dyDescent="0.25">
      <c r="A100" s="3">
        <f>DATE(Tab_Calculs[[#This Row],[ANNEE]],Tab_Calculs[[#This Row],[MOIS]],1)</f>
        <v>42948</v>
      </c>
      <c r="B100" s="3">
        <f>EDATE(Tab_Calculs[[#This Row],[Début mois]],1)-1</f>
        <v>42978</v>
      </c>
      <c r="C100">
        <f t="shared" si="1"/>
        <v>8</v>
      </c>
      <c r="D100">
        <f t="shared" si="0"/>
        <v>2017</v>
      </c>
      <c r="E100" t="s">
        <v>80</v>
      </c>
      <c r="F100" t="str">
        <f>SUBSTITUTE(Tab_Calculs[[#This Row],[Compteur]]," ","_")</f>
        <v>Compteur_1</v>
      </c>
      <c r="G100" t="str">
        <f>T(INDEX(Site!$B$33:$G$40, MATCH(Tab_Calculs[[#This Row],[Compteur]], Site!$B$33:$B$40,0),2))</f>
        <v/>
      </c>
      <c r="H100" s="3">
        <f t="array" aca="1" ref="H100" ca="1">MIN(IF(INDIRECT(CONCATENATE(Tab_Calculs[[#This Row],[Colonne1]],"!$B$2:$B$243"))&gt;=Calculs_Consos!$A100,INDIRECT(CONCATENATE(Tab_Calculs[[#This Row],[Colonne1]],"!$B$2:$B$243"))))</f>
        <v>0</v>
      </c>
      <c r="I100" s="3">
        <f ca="1">INDEX(INDIRECT(CONCATENATE("Tab_",Tab_Calculs[[#This Row],[Colonne1]])),Tab_Calculs[[#This Row],[index_date_livraison]],1)</f>
        <v>0</v>
      </c>
      <c r="J100">
        <f ca="1">MATCH(Tab_Calculs[[#This Row],[Date_livraison]],INDIRECT(CONCATENATE("Tab_",Tab_Calculs[[#This Row],[Colonne1]],"[Fin de période]")),0)</f>
        <v>1</v>
      </c>
      <c r="K100" t="e">
        <f ca="1">INDEX(INDIRECT(CONCATENATE("Tab_",Tab_Calculs[[#This Row],[Colonne1]])),Tab_Calculs[[#This Row],[index_date_livraison]]-1,6)*(MAX(Tab_Calculs[[#This Row],[Début periode livraison]],Tab_Calculs[[#This Row],[Début mois]])-Tab_Calculs[[#This Row],[Début mois]])</f>
        <v>#VALUE!</v>
      </c>
      <c r="L100" s="94">
        <f ca="1">INDEX(INDIRECT(CONCATENATE("Tab_",Tab_Calculs[[#This Row],[Colonne1]])),Tab_Calculs[[#This Row],[index_date_livraison]],6)*(1+MIN(Tab_Calculs[[#This Row],[Date_livraison]],Tab_Calculs[[#This Row],[fin mois]])-MAX(Tab_Calculs[[#This Row],[Début mois]],Tab_Calculs[[#This Row],[Début periode livraison]]))</f>
        <v>0</v>
      </c>
      <c r="M100" s="94" t="e">
        <f ca="1">INDEX(INDIRECT(CONCATENATE("Tab_",Tab_Calculs[[#This Row],[Colonne1]])),Tab_Calculs[[#This Row],[index_date_livraison]]+1,6)*(Tab_Calculs[[#This Row],[fin mois]]-MIN(Tab_Calculs[[#This Row],[fin mois]],Tab_Calculs[[#This Row],[Date_livraison]]))</f>
        <v>#VALUE!</v>
      </c>
      <c r="N100" s="231" t="str">
        <f ca="1">IFERROR(Tab_Calculs[[#This Row],[Ratio_jour_après_livr]]+Tab_Calculs[[#This Row],[Ratio_jour_avant_livr]]+Tab_Calculs[[#This Row],[ratio_avant_debut]],"")</f>
        <v/>
      </c>
      <c r="O100" t="e">
        <f ca="1">INDEX(INDIRECT(CONCATENATE("Tab_",Tab_Calculs[[#This Row],[Colonne1]])),Tab_Calculs[[#This Row],[index_date_livraison]]-1,7)*(MAX(Tab_Calculs[[#This Row],[Début periode livraison]],Tab_Calculs[[#This Row],[Début mois]])-Tab_Calculs[[#This Row],[Début mois]])</f>
        <v>#VALUE!</v>
      </c>
      <c r="P100">
        <f ca="1">INDEX(INDIRECT(CONCATENATE("Tab_",Tab_Calculs[[#This Row],[Colonne1]])),Tab_Calculs[[#This Row],[index_date_livraison]],7)*(1+MIN(Tab_Calculs[[#This Row],[Date_livraison]],Tab_Calculs[[#This Row],[fin mois]])-MAX(Tab_Calculs[[#This Row],[Début mois]],Tab_Calculs[[#This Row],[Début periode livraison]]))</f>
        <v>0</v>
      </c>
      <c r="Q100" t="e">
        <f ca="1">INDEX(INDIRECT(CONCATENATE("Tab_",Tab_Calculs[[#This Row],[Colonne1]])),Tab_Calculs[[#This Row],[index_date_livraison]]+1,7)*(Tab_Calculs[[#This Row],[fin mois]]-MIN(Tab_Calculs[[#This Row],[fin mois]],Tab_Calculs[[#This Row],[Date_livraison]]))</f>
        <v>#VALUE!</v>
      </c>
      <c r="R100" t="e">
        <f ca="1">Tab_Calculs[[#This Row],[Ratio_Cout_après_livr]]+Tab_Calculs[[#This Row],[Ratio_Cout_avant_livr]]+Tab_Calculs[[#This Row],[Ratio_Cout_avant_debut]]</f>
        <v>#VALUE!</v>
      </c>
      <c r="S100" t="str">
        <f ca="1">IFERROR(N100*VLOOKUP(Tab_Calculs[[#This Row],[Colonne1]],Controle_des_données!$B$7:$G$14,6,FALSE),"")</f>
        <v/>
      </c>
      <c r="T100" t="str">
        <f ca="1">IF(Tab_Calculs[[#This Row],[Combustible ]]="Electricité (kWh)",Tab_Calculs[[#This Row],[Conso_mois_kWh]]*2.3,Tab_Calculs[[#This Row],[Conso_mois_kWh]])</f>
        <v/>
      </c>
      <c r="U100" t="str">
        <f ca="1">IFERROR(N100*VLOOKUP(Tab_Calculs[[#This Row],[Colonne1]],Controle_des_données!$B$7:$H$14,7,FALSE),"")</f>
        <v/>
      </c>
      <c r="V100">
        <f ca="1">IFERROR(Tab_Calculs[[#This Row],[Cout_mois]]/Tab_Calculs[[#This Row],[Conso_mois_kWh]],0)</f>
        <v>0</v>
      </c>
      <c r="W100" t="str">
        <f>T(VLOOKUP(Tab_Calculs[[#This Row],[Compteur]],Site!$B$33:$G$40,3,FALSE))</f>
        <v/>
      </c>
      <c r="X100" t="str">
        <f>T(VLOOKUP(Tab_Calculs[[#This Row],[Compteur]],Site!$B$33:$G$40,4,FALSE))</f>
        <v/>
      </c>
      <c r="Y100" t="str">
        <f>T(VLOOKUP(Tab_Calculs[[#This Row],[Compteur]],Site!$B$33:$G$40,5,FALSE))</f>
        <v/>
      </c>
      <c r="Z100" t="str">
        <f>T(VLOOKUP(Tab_Calculs[[#This Row],[Compteur]],Site!$B$33:$G$40,6,FALSE))</f>
        <v/>
      </c>
      <c r="AA100">
        <f>IFERROR(GETPIVOTDATA("DJU(chauffagiste)",BDD_DJU!$P$13,"annee",Tab_Calculs[[#This Row],[ANNEE]],"mois_numero",Tab_Calculs[[#This Row],[MOIS]]),0)</f>
        <v>32.200000000000003</v>
      </c>
    </row>
    <row r="101" spans="1:27" x14ac:dyDescent="0.25">
      <c r="A101" s="3">
        <f>DATE(Tab_Calculs[[#This Row],[ANNEE]],Tab_Calculs[[#This Row],[MOIS]],1)</f>
        <v>42979</v>
      </c>
      <c r="B101" s="3">
        <f>EDATE(Tab_Calculs[[#This Row],[Début mois]],1)-1</f>
        <v>43008</v>
      </c>
      <c r="C101">
        <f t="shared" si="1"/>
        <v>9</v>
      </c>
      <c r="D101">
        <f t="shared" si="0"/>
        <v>2017</v>
      </c>
      <c r="E101" t="s">
        <v>80</v>
      </c>
      <c r="F101" t="str">
        <f>SUBSTITUTE(Tab_Calculs[[#This Row],[Compteur]]," ","_")</f>
        <v>Compteur_1</v>
      </c>
      <c r="G101" t="str">
        <f>T(INDEX(Site!$B$33:$G$40, MATCH(Tab_Calculs[[#This Row],[Compteur]], Site!$B$33:$B$40,0),2))</f>
        <v/>
      </c>
      <c r="H101" s="3">
        <f t="array" aca="1" ref="H101" ca="1">MIN(IF(INDIRECT(CONCATENATE(Tab_Calculs[[#This Row],[Colonne1]],"!$B$2:$B$243"))&gt;=Calculs_Consos!$A101,INDIRECT(CONCATENATE(Tab_Calculs[[#This Row],[Colonne1]],"!$B$2:$B$243"))))</f>
        <v>0</v>
      </c>
      <c r="I101" s="3">
        <f ca="1">INDEX(INDIRECT(CONCATENATE("Tab_",Tab_Calculs[[#This Row],[Colonne1]])),Tab_Calculs[[#This Row],[index_date_livraison]],1)</f>
        <v>0</v>
      </c>
      <c r="J101">
        <f ca="1">MATCH(Tab_Calculs[[#This Row],[Date_livraison]],INDIRECT(CONCATENATE("Tab_",Tab_Calculs[[#This Row],[Colonne1]],"[Fin de période]")),0)</f>
        <v>1</v>
      </c>
      <c r="K101" t="e">
        <f ca="1">INDEX(INDIRECT(CONCATENATE("Tab_",Tab_Calculs[[#This Row],[Colonne1]])),Tab_Calculs[[#This Row],[index_date_livraison]]-1,6)*(MAX(Tab_Calculs[[#This Row],[Début periode livraison]],Tab_Calculs[[#This Row],[Début mois]])-Tab_Calculs[[#This Row],[Début mois]])</f>
        <v>#VALUE!</v>
      </c>
      <c r="L101" s="94">
        <f ca="1">INDEX(INDIRECT(CONCATENATE("Tab_",Tab_Calculs[[#This Row],[Colonne1]])),Tab_Calculs[[#This Row],[index_date_livraison]],6)*(1+MIN(Tab_Calculs[[#This Row],[Date_livraison]],Tab_Calculs[[#This Row],[fin mois]])-MAX(Tab_Calculs[[#This Row],[Début mois]],Tab_Calculs[[#This Row],[Début periode livraison]]))</f>
        <v>0</v>
      </c>
      <c r="M101" s="94" t="e">
        <f ca="1">INDEX(INDIRECT(CONCATENATE("Tab_",Tab_Calculs[[#This Row],[Colonne1]])),Tab_Calculs[[#This Row],[index_date_livraison]]+1,6)*(Tab_Calculs[[#This Row],[fin mois]]-MIN(Tab_Calculs[[#This Row],[fin mois]],Tab_Calculs[[#This Row],[Date_livraison]]))</f>
        <v>#VALUE!</v>
      </c>
      <c r="N101" s="231" t="str">
        <f ca="1">IFERROR(Tab_Calculs[[#This Row],[Ratio_jour_après_livr]]+Tab_Calculs[[#This Row],[Ratio_jour_avant_livr]]+Tab_Calculs[[#This Row],[ratio_avant_debut]],"")</f>
        <v/>
      </c>
      <c r="O101" t="e">
        <f ca="1">INDEX(INDIRECT(CONCATENATE("Tab_",Tab_Calculs[[#This Row],[Colonne1]])),Tab_Calculs[[#This Row],[index_date_livraison]]-1,7)*(MAX(Tab_Calculs[[#This Row],[Début periode livraison]],Tab_Calculs[[#This Row],[Début mois]])-Tab_Calculs[[#This Row],[Début mois]])</f>
        <v>#VALUE!</v>
      </c>
      <c r="P101">
        <f ca="1">INDEX(INDIRECT(CONCATENATE("Tab_",Tab_Calculs[[#This Row],[Colonne1]])),Tab_Calculs[[#This Row],[index_date_livraison]],7)*(1+MIN(Tab_Calculs[[#This Row],[Date_livraison]],Tab_Calculs[[#This Row],[fin mois]])-MAX(Tab_Calculs[[#This Row],[Début mois]],Tab_Calculs[[#This Row],[Début periode livraison]]))</f>
        <v>0</v>
      </c>
      <c r="Q101" t="e">
        <f ca="1">INDEX(INDIRECT(CONCATENATE("Tab_",Tab_Calculs[[#This Row],[Colonne1]])),Tab_Calculs[[#This Row],[index_date_livraison]]+1,7)*(Tab_Calculs[[#This Row],[fin mois]]-MIN(Tab_Calculs[[#This Row],[fin mois]],Tab_Calculs[[#This Row],[Date_livraison]]))</f>
        <v>#VALUE!</v>
      </c>
      <c r="R101" t="e">
        <f ca="1">Tab_Calculs[[#This Row],[Ratio_Cout_après_livr]]+Tab_Calculs[[#This Row],[Ratio_Cout_avant_livr]]+Tab_Calculs[[#This Row],[Ratio_Cout_avant_debut]]</f>
        <v>#VALUE!</v>
      </c>
      <c r="S101" t="str">
        <f ca="1">IFERROR(N101*VLOOKUP(Tab_Calculs[[#This Row],[Colonne1]],Controle_des_données!$B$7:$G$14,6,FALSE),"")</f>
        <v/>
      </c>
      <c r="T101" t="str">
        <f ca="1">IF(Tab_Calculs[[#This Row],[Combustible ]]="Electricité (kWh)",Tab_Calculs[[#This Row],[Conso_mois_kWh]]*2.3,Tab_Calculs[[#This Row],[Conso_mois_kWh]])</f>
        <v/>
      </c>
      <c r="U101" t="str">
        <f ca="1">IFERROR(N101*VLOOKUP(Tab_Calculs[[#This Row],[Colonne1]],Controle_des_données!$B$7:$H$14,7,FALSE),"")</f>
        <v/>
      </c>
      <c r="V101">
        <f ca="1">IFERROR(Tab_Calculs[[#This Row],[Cout_mois]]/Tab_Calculs[[#This Row],[Conso_mois_kWh]],0)</f>
        <v>0</v>
      </c>
      <c r="W101" t="str">
        <f>T(VLOOKUP(Tab_Calculs[[#This Row],[Compteur]],Site!$B$33:$G$40,3,FALSE))</f>
        <v/>
      </c>
      <c r="X101" t="str">
        <f>T(VLOOKUP(Tab_Calculs[[#This Row],[Compteur]],Site!$B$33:$G$40,4,FALSE))</f>
        <v/>
      </c>
      <c r="Y101" t="str">
        <f>T(VLOOKUP(Tab_Calculs[[#This Row],[Compteur]],Site!$B$33:$G$40,5,FALSE))</f>
        <v/>
      </c>
      <c r="Z101" t="str">
        <f>T(VLOOKUP(Tab_Calculs[[#This Row],[Compteur]],Site!$B$33:$G$40,6,FALSE))</f>
        <v/>
      </c>
      <c r="AA101">
        <f>IFERROR(GETPIVOTDATA("DJU(chauffagiste)",BDD_DJU!$P$13,"annee",Tab_Calculs[[#This Row],[ANNEE]],"mois_numero",Tab_Calculs[[#This Row],[MOIS]]),0)</f>
        <v>82.3</v>
      </c>
    </row>
    <row r="102" spans="1:27" x14ac:dyDescent="0.25">
      <c r="A102" s="3">
        <f>DATE(Tab_Calculs[[#This Row],[ANNEE]],Tab_Calculs[[#This Row],[MOIS]],1)</f>
        <v>43009</v>
      </c>
      <c r="B102" s="3">
        <f>EDATE(Tab_Calculs[[#This Row],[Début mois]],1)-1</f>
        <v>43039</v>
      </c>
      <c r="C102">
        <f t="shared" si="1"/>
        <v>10</v>
      </c>
      <c r="D102">
        <f t="shared" si="0"/>
        <v>2017</v>
      </c>
      <c r="E102" t="s">
        <v>80</v>
      </c>
      <c r="F102" t="str">
        <f>SUBSTITUTE(Tab_Calculs[[#This Row],[Compteur]]," ","_")</f>
        <v>Compteur_1</v>
      </c>
      <c r="G102" t="str">
        <f>T(INDEX(Site!$B$33:$G$40, MATCH(Tab_Calculs[[#This Row],[Compteur]], Site!$B$33:$B$40,0),2))</f>
        <v/>
      </c>
      <c r="H102" s="3">
        <f t="array" aca="1" ref="H102" ca="1">MIN(IF(INDIRECT(CONCATENATE(Tab_Calculs[[#This Row],[Colonne1]],"!$B$2:$B$243"))&gt;=Calculs_Consos!$A102,INDIRECT(CONCATENATE(Tab_Calculs[[#This Row],[Colonne1]],"!$B$2:$B$243"))))</f>
        <v>0</v>
      </c>
      <c r="I102" s="3">
        <f ca="1">INDEX(INDIRECT(CONCATENATE("Tab_",Tab_Calculs[[#This Row],[Colonne1]])),Tab_Calculs[[#This Row],[index_date_livraison]],1)</f>
        <v>0</v>
      </c>
      <c r="J102">
        <f ca="1">MATCH(Tab_Calculs[[#This Row],[Date_livraison]],INDIRECT(CONCATENATE("Tab_",Tab_Calculs[[#This Row],[Colonne1]],"[Fin de période]")),0)</f>
        <v>1</v>
      </c>
      <c r="K102" t="e">
        <f ca="1">INDEX(INDIRECT(CONCATENATE("Tab_",Tab_Calculs[[#This Row],[Colonne1]])),Tab_Calculs[[#This Row],[index_date_livraison]]-1,6)*(MAX(Tab_Calculs[[#This Row],[Début periode livraison]],Tab_Calculs[[#This Row],[Début mois]])-Tab_Calculs[[#This Row],[Début mois]])</f>
        <v>#VALUE!</v>
      </c>
      <c r="L102" s="94">
        <f ca="1">INDEX(INDIRECT(CONCATENATE("Tab_",Tab_Calculs[[#This Row],[Colonne1]])),Tab_Calculs[[#This Row],[index_date_livraison]],6)*(1+MIN(Tab_Calculs[[#This Row],[Date_livraison]],Tab_Calculs[[#This Row],[fin mois]])-MAX(Tab_Calculs[[#This Row],[Début mois]],Tab_Calculs[[#This Row],[Début periode livraison]]))</f>
        <v>0</v>
      </c>
      <c r="M102" s="94" t="e">
        <f ca="1">INDEX(INDIRECT(CONCATENATE("Tab_",Tab_Calculs[[#This Row],[Colonne1]])),Tab_Calculs[[#This Row],[index_date_livraison]]+1,6)*(Tab_Calculs[[#This Row],[fin mois]]-MIN(Tab_Calculs[[#This Row],[fin mois]],Tab_Calculs[[#This Row],[Date_livraison]]))</f>
        <v>#VALUE!</v>
      </c>
      <c r="N102" s="231" t="str">
        <f ca="1">IFERROR(Tab_Calculs[[#This Row],[Ratio_jour_après_livr]]+Tab_Calculs[[#This Row],[Ratio_jour_avant_livr]]+Tab_Calculs[[#This Row],[ratio_avant_debut]],"")</f>
        <v/>
      </c>
      <c r="O102" t="e">
        <f ca="1">INDEX(INDIRECT(CONCATENATE("Tab_",Tab_Calculs[[#This Row],[Colonne1]])),Tab_Calculs[[#This Row],[index_date_livraison]]-1,7)*(MAX(Tab_Calculs[[#This Row],[Début periode livraison]],Tab_Calculs[[#This Row],[Début mois]])-Tab_Calculs[[#This Row],[Début mois]])</f>
        <v>#VALUE!</v>
      </c>
      <c r="P102">
        <f ca="1">INDEX(INDIRECT(CONCATENATE("Tab_",Tab_Calculs[[#This Row],[Colonne1]])),Tab_Calculs[[#This Row],[index_date_livraison]],7)*(1+MIN(Tab_Calculs[[#This Row],[Date_livraison]],Tab_Calculs[[#This Row],[fin mois]])-MAX(Tab_Calculs[[#This Row],[Début mois]],Tab_Calculs[[#This Row],[Début periode livraison]]))</f>
        <v>0</v>
      </c>
      <c r="Q102" t="e">
        <f ca="1">INDEX(INDIRECT(CONCATENATE("Tab_",Tab_Calculs[[#This Row],[Colonne1]])),Tab_Calculs[[#This Row],[index_date_livraison]]+1,7)*(Tab_Calculs[[#This Row],[fin mois]]-MIN(Tab_Calculs[[#This Row],[fin mois]],Tab_Calculs[[#This Row],[Date_livraison]]))</f>
        <v>#VALUE!</v>
      </c>
      <c r="R102" t="e">
        <f ca="1">Tab_Calculs[[#This Row],[Ratio_Cout_après_livr]]+Tab_Calculs[[#This Row],[Ratio_Cout_avant_livr]]+Tab_Calculs[[#This Row],[Ratio_Cout_avant_debut]]</f>
        <v>#VALUE!</v>
      </c>
      <c r="S102" t="str">
        <f ca="1">IFERROR(N102*VLOOKUP(Tab_Calculs[[#This Row],[Colonne1]],Controle_des_données!$B$7:$G$14,6,FALSE),"")</f>
        <v/>
      </c>
      <c r="T102" t="str">
        <f ca="1">IF(Tab_Calculs[[#This Row],[Combustible ]]="Electricité (kWh)",Tab_Calculs[[#This Row],[Conso_mois_kWh]]*2.3,Tab_Calculs[[#This Row],[Conso_mois_kWh]])</f>
        <v/>
      </c>
      <c r="U102" t="str">
        <f ca="1">IFERROR(N102*VLOOKUP(Tab_Calculs[[#This Row],[Colonne1]],Controle_des_données!$B$7:$H$14,7,FALSE),"")</f>
        <v/>
      </c>
      <c r="V102">
        <f ca="1">IFERROR(Tab_Calculs[[#This Row],[Cout_mois]]/Tab_Calculs[[#This Row],[Conso_mois_kWh]],0)</f>
        <v>0</v>
      </c>
      <c r="W102" t="str">
        <f>T(VLOOKUP(Tab_Calculs[[#This Row],[Compteur]],Site!$B$33:$G$40,3,FALSE))</f>
        <v/>
      </c>
      <c r="X102" t="str">
        <f>T(VLOOKUP(Tab_Calculs[[#This Row],[Compteur]],Site!$B$33:$G$40,4,FALSE))</f>
        <v/>
      </c>
      <c r="Y102" t="str">
        <f>T(VLOOKUP(Tab_Calculs[[#This Row],[Compteur]],Site!$B$33:$G$40,5,FALSE))</f>
        <v/>
      </c>
      <c r="Z102" t="str">
        <f>T(VLOOKUP(Tab_Calculs[[#This Row],[Compteur]],Site!$B$33:$G$40,6,FALSE))</f>
        <v/>
      </c>
      <c r="AA102">
        <f>IFERROR(GETPIVOTDATA("DJU(chauffagiste)",BDD_DJU!$P$13,"annee",Tab_Calculs[[#This Row],[ANNEE]],"mois_numero",Tab_Calculs[[#This Row],[MOIS]]),0)</f>
        <v>126.4</v>
      </c>
    </row>
    <row r="103" spans="1:27" x14ac:dyDescent="0.25">
      <c r="A103" s="3">
        <f>DATE(Tab_Calculs[[#This Row],[ANNEE]],Tab_Calculs[[#This Row],[MOIS]],1)</f>
        <v>43040</v>
      </c>
      <c r="B103" s="3">
        <f>EDATE(Tab_Calculs[[#This Row],[Début mois]],1)-1</f>
        <v>43069</v>
      </c>
      <c r="C103">
        <f t="shared" si="1"/>
        <v>11</v>
      </c>
      <c r="D103">
        <f t="shared" si="0"/>
        <v>2017</v>
      </c>
      <c r="E103" t="s">
        <v>80</v>
      </c>
      <c r="F103" t="str">
        <f>SUBSTITUTE(Tab_Calculs[[#This Row],[Compteur]]," ","_")</f>
        <v>Compteur_1</v>
      </c>
      <c r="G103" t="str">
        <f>T(INDEX(Site!$B$33:$G$40, MATCH(Tab_Calculs[[#This Row],[Compteur]], Site!$B$33:$B$40,0),2))</f>
        <v/>
      </c>
      <c r="H103" s="3">
        <f t="array" aca="1" ref="H103" ca="1">MIN(IF(INDIRECT(CONCATENATE(Tab_Calculs[[#This Row],[Colonne1]],"!$B$2:$B$243"))&gt;=Calculs_Consos!$A103,INDIRECT(CONCATENATE(Tab_Calculs[[#This Row],[Colonne1]],"!$B$2:$B$243"))))</f>
        <v>0</v>
      </c>
      <c r="I103" s="3">
        <f ca="1">INDEX(INDIRECT(CONCATENATE("Tab_",Tab_Calculs[[#This Row],[Colonne1]])),Tab_Calculs[[#This Row],[index_date_livraison]],1)</f>
        <v>0</v>
      </c>
      <c r="J103">
        <f ca="1">MATCH(Tab_Calculs[[#This Row],[Date_livraison]],INDIRECT(CONCATENATE("Tab_",Tab_Calculs[[#This Row],[Colonne1]],"[Fin de période]")),0)</f>
        <v>1</v>
      </c>
      <c r="K103" t="e">
        <f ca="1">INDEX(INDIRECT(CONCATENATE("Tab_",Tab_Calculs[[#This Row],[Colonne1]])),Tab_Calculs[[#This Row],[index_date_livraison]]-1,6)*(MAX(Tab_Calculs[[#This Row],[Début periode livraison]],Tab_Calculs[[#This Row],[Début mois]])-Tab_Calculs[[#This Row],[Début mois]])</f>
        <v>#VALUE!</v>
      </c>
      <c r="L103" s="94">
        <f ca="1">INDEX(INDIRECT(CONCATENATE("Tab_",Tab_Calculs[[#This Row],[Colonne1]])),Tab_Calculs[[#This Row],[index_date_livraison]],6)*(1+MIN(Tab_Calculs[[#This Row],[Date_livraison]],Tab_Calculs[[#This Row],[fin mois]])-MAX(Tab_Calculs[[#This Row],[Début mois]],Tab_Calculs[[#This Row],[Début periode livraison]]))</f>
        <v>0</v>
      </c>
      <c r="M103" s="94" t="e">
        <f ca="1">INDEX(INDIRECT(CONCATENATE("Tab_",Tab_Calculs[[#This Row],[Colonne1]])),Tab_Calculs[[#This Row],[index_date_livraison]]+1,6)*(Tab_Calculs[[#This Row],[fin mois]]-MIN(Tab_Calculs[[#This Row],[fin mois]],Tab_Calculs[[#This Row],[Date_livraison]]))</f>
        <v>#VALUE!</v>
      </c>
      <c r="N103" s="231" t="str">
        <f ca="1">IFERROR(Tab_Calculs[[#This Row],[Ratio_jour_après_livr]]+Tab_Calculs[[#This Row],[Ratio_jour_avant_livr]]+Tab_Calculs[[#This Row],[ratio_avant_debut]],"")</f>
        <v/>
      </c>
      <c r="O103" t="e">
        <f ca="1">INDEX(INDIRECT(CONCATENATE("Tab_",Tab_Calculs[[#This Row],[Colonne1]])),Tab_Calculs[[#This Row],[index_date_livraison]]-1,7)*(MAX(Tab_Calculs[[#This Row],[Début periode livraison]],Tab_Calculs[[#This Row],[Début mois]])-Tab_Calculs[[#This Row],[Début mois]])</f>
        <v>#VALUE!</v>
      </c>
      <c r="P103">
        <f ca="1">INDEX(INDIRECT(CONCATENATE("Tab_",Tab_Calculs[[#This Row],[Colonne1]])),Tab_Calculs[[#This Row],[index_date_livraison]],7)*(1+MIN(Tab_Calculs[[#This Row],[Date_livraison]],Tab_Calculs[[#This Row],[fin mois]])-MAX(Tab_Calculs[[#This Row],[Début mois]],Tab_Calculs[[#This Row],[Début periode livraison]]))</f>
        <v>0</v>
      </c>
      <c r="Q103" t="e">
        <f ca="1">INDEX(INDIRECT(CONCATENATE("Tab_",Tab_Calculs[[#This Row],[Colonne1]])),Tab_Calculs[[#This Row],[index_date_livraison]]+1,7)*(Tab_Calculs[[#This Row],[fin mois]]-MIN(Tab_Calculs[[#This Row],[fin mois]],Tab_Calculs[[#This Row],[Date_livraison]]))</f>
        <v>#VALUE!</v>
      </c>
      <c r="R103" t="e">
        <f ca="1">Tab_Calculs[[#This Row],[Ratio_Cout_après_livr]]+Tab_Calculs[[#This Row],[Ratio_Cout_avant_livr]]+Tab_Calculs[[#This Row],[Ratio_Cout_avant_debut]]</f>
        <v>#VALUE!</v>
      </c>
      <c r="S103" t="str">
        <f ca="1">IFERROR(N103*VLOOKUP(Tab_Calculs[[#This Row],[Colonne1]],Controle_des_données!$B$7:$G$14,6,FALSE),"")</f>
        <v/>
      </c>
      <c r="T103" t="str">
        <f ca="1">IF(Tab_Calculs[[#This Row],[Combustible ]]="Electricité (kWh)",Tab_Calculs[[#This Row],[Conso_mois_kWh]]*2.3,Tab_Calculs[[#This Row],[Conso_mois_kWh]])</f>
        <v/>
      </c>
      <c r="U103" t="str">
        <f ca="1">IFERROR(N103*VLOOKUP(Tab_Calculs[[#This Row],[Colonne1]],Controle_des_données!$B$7:$H$14,7,FALSE),"")</f>
        <v/>
      </c>
      <c r="V103">
        <f ca="1">IFERROR(Tab_Calculs[[#This Row],[Cout_mois]]/Tab_Calculs[[#This Row],[Conso_mois_kWh]],0)</f>
        <v>0</v>
      </c>
      <c r="W103" t="str">
        <f>T(VLOOKUP(Tab_Calculs[[#This Row],[Compteur]],Site!$B$33:$G$40,3,FALSE))</f>
        <v/>
      </c>
      <c r="X103" t="str">
        <f>T(VLOOKUP(Tab_Calculs[[#This Row],[Compteur]],Site!$B$33:$G$40,4,FALSE))</f>
        <v/>
      </c>
      <c r="Y103" t="str">
        <f>T(VLOOKUP(Tab_Calculs[[#This Row],[Compteur]],Site!$B$33:$G$40,5,FALSE))</f>
        <v/>
      </c>
      <c r="Z103" t="str">
        <f>T(VLOOKUP(Tab_Calculs[[#This Row],[Compteur]],Site!$B$33:$G$40,6,FALSE))</f>
        <v/>
      </c>
      <c r="AA103">
        <f>IFERROR(GETPIVOTDATA("DJU(chauffagiste)",BDD_DJU!$P$13,"annee",Tab_Calculs[[#This Row],[ANNEE]],"mois_numero",Tab_Calculs[[#This Row],[MOIS]]),0)</f>
        <v>289.89999999999998</v>
      </c>
    </row>
    <row r="104" spans="1:27" x14ac:dyDescent="0.25">
      <c r="A104" s="3">
        <f>DATE(Tab_Calculs[[#This Row],[ANNEE]],Tab_Calculs[[#This Row],[MOIS]],1)</f>
        <v>43070</v>
      </c>
      <c r="B104" s="3">
        <f>EDATE(Tab_Calculs[[#This Row],[Début mois]],1)-1</f>
        <v>43100</v>
      </c>
      <c r="C104">
        <f t="shared" si="1"/>
        <v>12</v>
      </c>
      <c r="D104">
        <f t="shared" si="0"/>
        <v>2017</v>
      </c>
      <c r="E104" t="s">
        <v>80</v>
      </c>
      <c r="F104" t="str">
        <f>SUBSTITUTE(Tab_Calculs[[#This Row],[Compteur]]," ","_")</f>
        <v>Compteur_1</v>
      </c>
      <c r="G104" t="str">
        <f>T(INDEX(Site!$B$33:$G$40, MATCH(Tab_Calculs[[#This Row],[Compteur]], Site!$B$33:$B$40,0),2))</f>
        <v/>
      </c>
      <c r="H104" s="3">
        <f t="array" aca="1" ref="H104" ca="1">MIN(IF(INDIRECT(CONCATENATE(Tab_Calculs[[#This Row],[Colonne1]],"!$B$2:$B$243"))&gt;=Calculs_Consos!$A104,INDIRECT(CONCATENATE(Tab_Calculs[[#This Row],[Colonne1]],"!$B$2:$B$243"))))</f>
        <v>0</v>
      </c>
      <c r="I104" s="3">
        <f ca="1">INDEX(INDIRECT(CONCATENATE("Tab_",Tab_Calculs[[#This Row],[Colonne1]])),Tab_Calculs[[#This Row],[index_date_livraison]],1)</f>
        <v>0</v>
      </c>
      <c r="J104">
        <f ca="1">MATCH(Tab_Calculs[[#This Row],[Date_livraison]],INDIRECT(CONCATENATE("Tab_",Tab_Calculs[[#This Row],[Colonne1]],"[Fin de période]")),0)</f>
        <v>1</v>
      </c>
      <c r="K104" t="e">
        <f ca="1">INDEX(INDIRECT(CONCATENATE("Tab_",Tab_Calculs[[#This Row],[Colonne1]])),Tab_Calculs[[#This Row],[index_date_livraison]]-1,6)*(MAX(Tab_Calculs[[#This Row],[Début periode livraison]],Tab_Calculs[[#This Row],[Début mois]])-Tab_Calculs[[#This Row],[Début mois]])</f>
        <v>#VALUE!</v>
      </c>
      <c r="L104" s="94">
        <f ca="1">INDEX(INDIRECT(CONCATENATE("Tab_",Tab_Calculs[[#This Row],[Colonne1]])),Tab_Calculs[[#This Row],[index_date_livraison]],6)*(1+MIN(Tab_Calculs[[#This Row],[Date_livraison]],Tab_Calculs[[#This Row],[fin mois]])-MAX(Tab_Calculs[[#This Row],[Début mois]],Tab_Calculs[[#This Row],[Début periode livraison]]))</f>
        <v>0</v>
      </c>
      <c r="M104" s="94" t="e">
        <f ca="1">INDEX(INDIRECT(CONCATENATE("Tab_",Tab_Calculs[[#This Row],[Colonne1]])),Tab_Calculs[[#This Row],[index_date_livraison]]+1,6)*(Tab_Calculs[[#This Row],[fin mois]]-MIN(Tab_Calculs[[#This Row],[fin mois]],Tab_Calculs[[#This Row],[Date_livraison]]))</f>
        <v>#VALUE!</v>
      </c>
      <c r="N104" s="231" t="str">
        <f ca="1">IFERROR(Tab_Calculs[[#This Row],[Ratio_jour_après_livr]]+Tab_Calculs[[#This Row],[Ratio_jour_avant_livr]]+Tab_Calculs[[#This Row],[ratio_avant_debut]],"")</f>
        <v/>
      </c>
      <c r="O104" t="e">
        <f ca="1">INDEX(INDIRECT(CONCATENATE("Tab_",Tab_Calculs[[#This Row],[Colonne1]])),Tab_Calculs[[#This Row],[index_date_livraison]]-1,7)*(MAX(Tab_Calculs[[#This Row],[Début periode livraison]],Tab_Calculs[[#This Row],[Début mois]])-Tab_Calculs[[#This Row],[Début mois]])</f>
        <v>#VALUE!</v>
      </c>
      <c r="P104">
        <f ca="1">INDEX(INDIRECT(CONCATENATE("Tab_",Tab_Calculs[[#This Row],[Colonne1]])),Tab_Calculs[[#This Row],[index_date_livraison]],7)*(1+MIN(Tab_Calculs[[#This Row],[Date_livraison]],Tab_Calculs[[#This Row],[fin mois]])-MAX(Tab_Calculs[[#This Row],[Début mois]],Tab_Calculs[[#This Row],[Début periode livraison]]))</f>
        <v>0</v>
      </c>
      <c r="Q104" t="e">
        <f ca="1">INDEX(INDIRECT(CONCATENATE("Tab_",Tab_Calculs[[#This Row],[Colonne1]])),Tab_Calculs[[#This Row],[index_date_livraison]]+1,7)*(Tab_Calculs[[#This Row],[fin mois]]-MIN(Tab_Calculs[[#This Row],[fin mois]],Tab_Calculs[[#This Row],[Date_livraison]]))</f>
        <v>#VALUE!</v>
      </c>
      <c r="R104" t="e">
        <f ca="1">Tab_Calculs[[#This Row],[Ratio_Cout_après_livr]]+Tab_Calculs[[#This Row],[Ratio_Cout_avant_livr]]+Tab_Calculs[[#This Row],[Ratio_Cout_avant_debut]]</f>
        <v>#VALUE!</v>
      </c>
      <c r="S104" t="str">
        <f ca="1">IFERROR(N104*VLOOKUP(Tab_Calculs[[#This Row],[Colonne1]],Controle_des_données!$B$7:$G$14,6,FALSE),"")</f>
        <v/>
      </c>
      <c r="T104" t="str">
        <f ca="1">IF(Tab_Calculs[[#This Row],[Combustible ]]="Electricité (kWh)",Tab_Calculs[[#This Row],[Conso_mois_kWh]]*2.3,Tab_Calculs[[#This Row],[Conso_mois_kWh]])</f>
        <v/>
      </c>
      <c r="U104" t="str">
        <f ca="1">IFERROR(N104*VLOOKUP(Tab_Calculs[[#This Row],[Colonne1]],Controle_des_données!$B$7:$H$14,7,FALSE),"")</f>
        <v/>
      </c>
      <c r="V104">
        <f ca="1">IFERROR(Tab_Calculs[[#This Row],[Cout_mois]]/Tab_Calculs[[#This Row],[Conso_mois_kWh]],0)</f>
        <v>0</v>
      </c>
      <c r="W104" t="str">
        <f>T(VLOOKUP(Tab_Calculs[[#This Row],[Compteur]],Site!$B$33:$G$40,3,FALSE))</f>
        <v/>
      </c>
      <c r="X104" t="str">
        <f>T(VLOOKUP(Tab_Calculs[[#This Row],[Compteur]],Site!$B$33:$G$40,4,FALSE))</f>
        <v/>
      </c>
      <c r="Y104" t="str">
        <f>T(VLOOKUP(Tab_Calculs[[#This Row],[Compteur]],Site!$B$33:$G$40,5,FALSE))</f>
        <v/>
      </c>
      <c r="Z104" t="str">
        <f>T(VLOOKUP(Tab_Calculs[[#This Row],[Compteur]],Site!$B$33:$G$40,6,FALSE))</f>
        <v/>
      </c>
      <c r="AA104">
        <f>IFERROR(GETPIVOTDATA("DJU(chauffagiste)",BDD_DJU!$P$13,"annee",Tab_Calculs[[#This Row],[ANNEE]],"mois_numero",Tab_Calculs[[#This Row],[MOIS]]),0)</f>
        <v>366.2</v>
      </c>
    </row>
    <row r="105" spans="1:27" x14ac:dyDescent="0.25">
      <c r="A105" s="3">
        <f>DATE(Tab_Calculs[[#This Row],[ANNEE]],Tab_Calculs[[#This Row],[MOIS]],1)</f>
        <v>43101</v>
      </c>
      <c r="B105" s="3">
        <f>EDATE(Tab_Calculs[[#This Row],[Début mois]],1)-1</f>
        <v>43131</v>
      </c>
      <c r="C105">
        <f t="shared" si="1"/>
        <v>1</v>
      </c>
      <c r="D105">
        <f t="shared" si="0"/>
        <v>2018</v>
      </c>
      <c r="E105" t="s">
        <v>80</v>
      </c>
      <c r="F105" t="str">
        <f>SUBSTITUTE(Tab_Calculs[[#This Row],[Compteur]]," ","_")</f>
        <v>Compteur_1</v>
      </c>
      <c r="G105" t="str">
        <f>T(INDEX(Site!$B$33:$G$40, MATCH(Tab_Calculs[[#This Row],[Compteur]], Site!$B$33:$B$40,0),2))</f>
        <v/>
      </c>
      <c r="H105" s="3">
        <f t="array" aca="1" ref="H105" ca="1">MIN(IF(INDIRECT(CONCATENATE(Tab_Calculs[[#This Row],[Colonne1]],"!$B$2:$B$243"))&gt;=Calculs_Consos!$A105,INDIRECT(CONCATENATE(Tab_Calculs[[#This Row],[Colonne1]],"!$B$2:$B$243"))))</f>
        <v>0</v>
      </c>
      <c r="I105" s="3">
        <f ca="1">INDEX(INDIRECT(CONCATENATE("Tab_",Tab_Calculs[[#This Row],[Colonne1]])),Tab_Calculs[[#This Row],[index_date_livraison]],1)</f>
        <v>0</v>
      </c>
      <c r="J105">
        <f ca="1">MATCH(Tab_Calculs[[#This Row],[Date_livraison]],INDIRECT(CONCATENATE("Tab_",Tab_Calculs[[#This Row],[Colonne1]],"[Fin de période]")),0)</f>
        <v>1</v>
      </c>
      <c r="K105" t="e">
        <f ca="1">INDEX(INDIRECT(CONCATENATE("Tab_",Tab_Calculs[[#This Row],[Colonne1]])),Tab_Calculs[[#This Row],[index_date_livraison]]-1,6)*(MAX(Tab_Calculs[[#This Row],[Début periode livraison]],Tab_Calculs[[#This Row],[Début mois]])-Tab_Calculs[[#This Row],[Début mois]])</f>
        <v>#VALUE!</v>
      </c>
      <c r="L105" s="94">
        <f ca="1">INDEX(INDIRECT(CONCATENATE("Tab_",Tab_Calculs[[#This Row],[Colonne1]])),Tab_Calculs[[#This Row],[index_date_livraison]],6)*(1+MIN(Tab_Calculs[[#This Row],[Date_livraison]],Tab_Calculs[[#This Row],[fin mois]])-MAX(Tab_Calculs[[#This Row],[Début mois]],Tab_Calculs[[#This Row],[Début periode livraison]]))</f>
        <v>0</v>
      </c>
      <c r="M105" s="94" t="e">
        <f ca="1">INDEX(INDIRECT(CONCATENATE("Tab_",Tab_Calculs[[#This Row],[Colonne1]])),Tab_Calculs[[#This Row],[index_date_livraison]]+1,6)*(Tab_Calculs[[#This Row],[fin mois]]-MIN(Tab_Calculs[[#This Row],[fin mois]],Tab_Calculs[[#This Row],[Date_livraison]]))</f>
        <v>#VALUE!</v>
      </c>
      <c r="N105" s="231" t="str">
        <f ca="1">IFERROR(Tab_Calculs[[#This Row],[Ratio_jour_après_livr]]+Tab_Calculs[[#This Row],[Ratio_jour_avant_livr]]+Tab_Calculs[[#This Row],[ratio_avant_debut]],"")</f>
        <v/>
      </c>
      <c r="O105" t="e">
        <f ca="1">INDEX(INDIRECT(CONCATENATE("Tab_",Tab_Calculs[[#This Row],[Colonne1]])),Tab_Calculs[[#This Row],[index_date_livraison]]-1,7)*(MAX(Tab_Calculs[[#This Row],[Début periode livraison]],Tab_Calculs[[#This Row],[Début mois]])-Tab_Calculs[[#This Row],[Début mois]])</f>
        <v>#VALUE!</v>
      </c>
      <c r="P105">
        <f ca="1">INDEX(INDIRECT(CONCATENATE("Tab_",Tab_Calculs[[#This Row],[Colonne1]])),Tab_Calculs[[#This Row],[index_date_livraison]],7)*(1+MIN(Tab_Calculs[[#This Row],[Date_livraison]],Tab_Calculs[[#This Row],[fin mois]])-MAX(Tab_Calculs[[#This Row],[Début mois]],Tab_Calculs[[#This Row],[Début periode livraison]]))</f>
        <v>0</v>
      </c>
      <c r="Q105" t="e">
        <f ca="1">INDEX(INDIRECT(CONCATENATE("Tab_",Tab_Calculs[[#This Row],[Colonne1]])),Tab_Calculs[[#This Row],[index_date_livraison]]+1,7)*(Tab_Calculs[[#This Row],[fin mois]]-MIN(Tab_Calculs[[#This Row],[fin mois]],Tab_Calculs[[#This Row],[Date_livraison]]))</f>
        <v>#VALUE!</v>
      </c>
      <c r="R105" t="e">
        <f ca="1">Tab_Calculs[[#This Row],[Ratio_Cout_après_livr]]+Tab_Calculs[[#This Row],[Ratio_Cout_avant_livr]]+Tab_Calculs[[#This Row],[Ratio_Cout_avant_debut]]</f>
        <v>#VALUE!</v>
      </c>
      <c r="S105" t="str">
        <f ca="1">IFERROR(N105*VLOOKUP(Tab_Calculs[[#This Row],[Colonne1]],Controle_des_données!$B$7:$G$14,6,FALSE),"")</f>
        <v/>
      </c>
      <c r="T105" t="str">
        <f ca="1">IF(Tab_Calculs[[#This Row],[Combustible ]]="Electricité (kWh)",Tab_Calculs[[#This Row],[Conso_mois_kWh]]*2.3,Tab_Calculs[[#This Row],[Conso_mois_kWh]])</f>
        <v/>
      </c>
      <c r="U105" t="str">
        <f ca="1">IFERROR(N105*VLOOKUP(Tab_Calculs[[#This Row],[Colonne1]],Controle_des_données!$B$7:$H$14,7,FALSE),"")</f>
        <v/>
      </c>
      <c r="V105">
        <f ca="1">IFERROR(Tab_Calculs[[#This Row],[Cout_mois]]/Tab_Calculs[[#This Row],[Conso_mois_kWh]],0)</f>
        <v>0</v>
      </c>
      <c r="W105" t="str">
        <f>T(VLOOKUP(Tab_Calculs[[#This Row],[Compteur]],Site!$B$33:$G$40,3,FALSE))</f>
        <v/>
      </c>
      <c r="X105" t="str">
        <f>T(VLOOKUP(Tab_Calculs[[#This Row],[Compteur]],Site!$B$33:$G$40,4,FALSE))</f>
        <v/>
      </c>
      <c r="Y105" t="str">
        <f>T(VLOOKUP(Tab_Calculs[[#This Row],[Compteur]],Site!$B$33:$G$40,5,FALSE))</f>
        <v/>
      </c>
      <c r="Z105" t="str">
        <f>T(VLOOKUP(Tab_Calculs[[#This Row],[Compteur]],Site!$B$33:$G$40,6,FALSE))</f>
        <v/>
      </c>
      <c r="AA105">
        <f>IFERROR(GETPIVOTDATA("DJU(chauffagiste)",BDD_DJU!$P$13,"annee",Tab_Calculs[[#This Row],[ANNEE]],"mois_numero",Tab_Calculs[[#This Row],[MOIS]]),0)</f>
        <v>298.60000000000002</v>
      </c>
    </row>
    <row r="106" spans="1:27" x14ac:dyDescent="0.25">
      <c r="A106" s="3">
        <f>DATE(Tab_Calculs[[#This Row],[ANNEE]],Tab_Calculs[[#This Row],[MOIS]],1)</f>
        <v>43132</v>
      </c>
      <c r="B106" s="3">
        <f>EDATE(Tab_Calculs[[#This Row],[Début mois]],1)-1</f>
        <v>43159</v>
      </c>
      <c r="C106">
        <f t="shared" si="1"/>
        <v>2</v>
      </c>
      <c r="D106">
        <f t="shared" si="0"/>
        <v>2018</v>
      </c>
      <c r="E106" t="s">
        <v>80</v>
      </c>
      <c r="F106" t="str">
        <f>SUBSTITUTE(Tab_Calculs[[#This Row],[Compteur]]," ","_")</f>
        <v>Compteur_1</v>
      </c>
      <c r="G106" t="str">
        <f>T(INDEX(Site!$B$33:$G$40, MATCH(Tab_Calculs[[#This Row],[Compteur]], Site!$B$33:$B$40,0),2))</f>
        <v/>
      </c>
      <c r="H106" s="3">
        <f t="array" aca="1" ref="H106" ca="1">MIN(IF(INDIRECT(CONCATENATE(Tab_Calculs[[#This Row],[Colonne1]],"!$B$2:$B$243"))&gt;=Calculs_Consos!$A106,INDIRECT(CONCATENATE(Tab_Calculs[[#This Row],[Colonne1]],"!$B$2:$B$243"))))</f>
        <v>0</v>
      </c>
      <c r="I106" s="3">
        <f ca="1">INDEX(INDIRECT(CONCATENATE("Tab_",Tab_Calculs[[#This Row],[Colonne1]])),Tab_Calculs[[#This Row],[index_date_livraison]],1)</f>
        <v>0</v>
      </c>
      <c r="J106">
        <f ca="1">MATCH(Tab_Calculs[[#This Row],[Date_livraison]],INDIRECT(CONCATENATE("Tab_",Tab_Calculs[[#This Row],[Colonne1]],"[Fin de période]")),0)</f>
        <v>1</v>
      </c>
      <c r="K106" t="e">
        <f ca="1">INDEX(INDIRECT(CONCATENATE("Tab_",Tab_Calculs[[#This Row],[Colonne1]])),Tab_Calculs[[#This Row],[index_date_livraison]]-1,6)*(MAX(Tab_Calculs[[#This Row],[Début periode livraison]],Tab_Calculs[[#This Row],[Début mois]])-Tab_Calculs[[#This Row],[Début mois]])</f>
        <v>#VALUE!</v>
      </c>
      <c r="L106" s="94">
        <f ca="1">INDEX(INDIRECT(CONCATENATE("Tab_",Tab_Calculs[[#This Row],[Colonne1]])),Tab_Calculs[[#This Row],[index_date_livraison]],6)*(1+MIN(Tab_Calculs[[#This Row],[Date_livraison]],Tab_Calculs[[#This Row],[fin mois]])-MAX(Tab_Calculs[[#This Row],[Début mois]],Tab_Calculs[[#This Row],[Début periode livraison]]))</f>
        <v>0</v>
      </c>
      <c r="M106" s="94" t="e">
        <f ca="1">INDEX(INDIRECT(CONCATENATE("Tab_",Tab_Calculs[[#This Row],[Colonne1]])),Tab_Calculs[[#This Row],[index_date_livraison]]+1,6)*(Tab_Calculs[[#This Row],[fin mois]]-MIN(Tab_Calculs[[#This Row],[fin mois]],Tab_Calculs[[#This Row],[Date_livraison]]))</f>
        <v>#VALUE!</v>
      </c>
      <c r="N106" s="231" t="str">
        <f ca="1">IFERROR(Tab_Calculs[[#This Row],[Ratio_jour_après_livr]]+Tab_Calculs[[#This Row],[Ratio_jour_avant_livr]]+Tab_Calculs[[#This Row],[ratio_avant_debut]],"")</f>
        <v/>
      </c>
      <c r="O106" t="e">
        <f ca="1">INDEX(INDIRECT(CONCATENATE("Tab_",Tab_Calculs[[#This Row],[Colonne1]])),Tab_Calculs[[#This Row],[index_date_livraison]]-1,7)*(MAX(Tab_Calculs[[#This Row],[Début periode livraison]],Tab_Calculs[[#This Row],[Début mois]])-Tab_Calculs[[#This Row],[Début mois]])</f>
        <v>#VALUE!</v>
      </c>
      <c r="P106">
        <f ca="1">INDEX(INDIRECT(CONCATENATE("Tab_",Tab_Calculs[[#This Row],[Colonne1]])),Tab_Calculs[[#This Row],[index_date_livraison]],7)*(1+MIN(Tab_Calculs[[#This Row],[Date_livraison]],Tab_Calculs[[#This Row],[fin mois]])-MAX(Tab_Calculs[[#This Row],[Début mois]],Tab_Calculs[[#This Row],[Début periode livraison]]))</f>
        <v>0</v>
      </c>
      <c r="Q106" t="e">
        <f ca="1">INDEX(INDIRECT(CONCATENATE("Tab_",Tab_Calculs[[#This Row],[Colonne1]])),Tab_Calculs[[#This Row],[index_date_livraison]]+1,7)*(Tab_Calculs[[#This Row],[fin mois]]-MIN(Tab_Calculs[[#This Row],[fin mois]],Tab_Calculs[[#This Row],[Date_livraison]]))</f>
        <v>#VALUE!</v>
      </c>
      <c r="R106" t="e">
        <f ca="1">Tab_Calculs[[#This Row],[Ratio_Cout_après_livr]]+Tab_Calculs[[#This Row],[Ratio_Cout_avant_livr]]+Tab_Calculs[[#This Row],[Ratio_Cout_avant_debut]]</f>
        <v>#VALUE!</v>
      </c>
      <c r="S106" t="str">
        <f ca="1">IFERROR(N106*VLOOKUP(Tab_Calculs[[#This Row],[Colonne1]],Controle_des_données!$B$7:$G$14,6,FALSE),"")</f>
        <v/>
      </c>
      <c r="T106" t="str">
        <f ca="1">IF(Tab_Calculs[[#This Row],[Combustible ]]="Electricité (kWh)",Tab_Calculs[[#This Row],[Conso_mois_kWh]]*2.3,Tab_Calculs[[#This Row],[Conso_mois_kWh]])</f>
        <v/>
      </c>
      <c r="U106" t="str">
        <f ca="1">IFERROR(N106*VLOOKUP(Tab_Calculs[[#This Row],[Colonne1]],Controle_des_données!$B$7:$H$14,7,FALSE),"")</f>
        <v/>
      </c>
      <c r="V106">
        <f ca="1">IFERROR(Tab_Calculs[[#This Row],[Cout_mois]]/Tab_Calculs[[#This Row],[Conso_mois_kWh]],0)</f>
        <v>0</v>
      </c>
      <c r="W106" t="str">
        <f>T(VLOOKUP(Tab_Calculs[[#This Row],[Compteur]],Site!$B$33:$G$40,3,FALSE))</f>
        <v/>
      </c>
      <c r="X106" t="str">
        <f>T(VLOOKUP(Tab_Calculs[[#This Row],[Compteur]],Site!$B$33:$G$40,4,FALSE))</f>
        <v/>
      </c>
      <c r="Y106" t="str">
        <f>T(VLOOKUP(Tab_Calculs[[#This Row],[Compteur]],Site!$B$33:$G$40,5,FALSE))</f>
        <v/>
      </c>
      <c r="Z106" t="str">
        <f>T(VLOOKUP(Tab_Calculs[[#This Row],[Compteur]],Site!$B$33:$G$40,6,FALSE))</f>
        <v/>
      </c>
      <c r="AA106">
        <f>IFERROR(GETPIVOTDATA("DJU(chauffagiste)",BDD_DJU!$P$13,"annee",Tab_Calculs[[#This Row],[ANNEE]],"mois_numero",Tab_Calculs[[#This Row],[MOIS]]),0)</f>
        <v>415.2</v>
      </c>
    </row>
    <row r="107" spans="1:27" x14ac:dyDescent="0.25">
      <c r="A107" s="3">
        <f>DATE(Tab_Calculs[[#This Row],[ANNEE]],Tab_Calculs[[#This Row],[MOIS]],1)</f>
        <v>43160</v>
      </c>
      <c r="B107" s="3">
        <f>EDATE(Tab_Calculs[[#This Row],[Début mois]],1)-1</f>
        <v>43190</v>
      </c>
      <c r="C107">
        <f t="shared" si="1"/>
        <v>3</v>
      </c>
      <c r="D107">
        <f t="shared" si="0"/>
        <v>2018</v>
      </c>
      <c r="E107" t="s">
        <v>80</v>
      </c>
      <c r="F107" t="str">
        <f>SUBSTITUTE(Tab_Calculs[[#This Row],[Compteur]]," ","_")</f>
        <v>Compteur_1</v>
      </c>
      <c r="G107" t="str">
        <f>T(INDEX(Site!$B$33:$G$40, MATCH(Tab_Calculs[[#This Row],[Compteur]], Site!$B$33:$B$40,0),2))</f>
        <v/>
      </c>
      <c r="H107" s="3">
        <f t="array" aca="1" ref="H107" ca="1">MIN(IF(INDIRECT(CONCATENATE(Tab_Calculs[[#This Row],[Colonne1]],"!$B$2:$B$243"))&gt;=Calculs_Consos!$A107,INDIRECT(CONCATENATE(Tab_Calculs[[#This Row],[Colonne1]],"!$B$2:$B$243"))))</f>
        <v>0</v>
      </c>
      <c r="I107" s="3">
        <f ca="1">INDEX(INDIRECT(CONCATENATE("Tab_",Tab_Calculs[[#This Row],[Colonne1]])),Tab_Calculs[[#This Row],[index_date_livraison]],1)</f>
        <v>0</v>
      </c>
      <c r="J107">
        <f ca="1">MATCH(Tab_Calculs[[#This Row],[Date_livraison]],INDIRECT(CONCATENATE("Tab_",Tab_Calculs[[#This Row],[Colonne1]],"[Fin de période]")),0)</f>
        <v>1</v>
      </c>
      <c r="K107" t="e">
        <f ca="1">INDEX(INDIRECT(CONCATENATE("Tab_",Tab_Calculs[[#This Row],[Colonne1]])),Tab_Calculs[[#This Row],[index_date_livraison]]-1,6)*(MAX(Tab_Calculs[[#This Row],[Début periode livraison]],Tab_Calculs[[#This Row],[Début mois]])-Tab_Calculs[[#This Row],[Début mois]])</f>
        <v>#VALUE!</v>
      </c>
      <c r="L107" s="94">
        <f ca="1">INDEX(INDIRECT(CONCATENATE("Tab_",Tab_Calculs[[#This Row],[Colonne1]])),Tab_Calculs[[#This Row],[index_date_livraison]],6)*(1+MIN(Tab_Calculs[[#This Row],[Date_livraison]],Tab_Calculs[[#This Row],[fin mois]])-MAX(Tab_Calculs[[#This Row],[Début mois]],Tab_Calculs[[#This Row],[Début periode livraison]]))</f>
        <v>0</v>
      </c>
      <c r="M107" s="94" t="e">
        <f ca="1">INDEX(INDIRECT(CONCATENATE("Tab_",Tab_Calculs[[#This Row],[Colonne1]])),Tab_Calculs[[#This Row],[index_date_livraison]]+1,6)*(Tab_Calculs[[#This Row],[fin mois]]-MIN(Tab_Calculs[[#This Row],[fin mois]],Tab_Calculs[[#This Row],[Date_livraison]]))</f>
        <v>#VALUE!</v>
      </c>
      <c r="N107" s="231" t="str">
        <f ca="1">IFERROR(Tab_Calculs[[#This Row],[Ratio_jour_après_livr]]+Tab_Calculs[[#This Row],[Ratio_jour_avant_livr]]+Tab_Calculs[[#This Row],[ratio_avant_debut]],"")</f>
        <v/>
      </c>
      <c r="O107" t="e">
        <f ca="1">INDEX(INDIRECT(CONCATENATE("Tab_",Tab_Calculs[[#This Row],[Colonne1]])),Tab_Calculs[[#This Row],[index_date_livraison]]-1,7)*(MAX(Tab_Calculs[[#This Row],[Début periode livraison]],Tab_Calculs[[#This Row],[Début mois]])-Tab_Calculs[[#This Row],[Début mois]])</f>
        <v>#VALUE!</v>
      </c>
      <c r="P107">
        <f ca="1">INDEX(INDIRECT(CONCATENATE("Tab_",Tab_Calculs[[#This Row],[Colonne1]])),Tab_Calculs[[#This Row],[index_date_livraison]],7)*(1+MIN(Tab_Calculs[[#This Row],[Date_livraison]],Tab_Calculs[[#This Row],[fin mois]])-MAX(Tab_Calculs[[#This Row],[Début mois]],Tab_Calculs[[#This Row],[Début periode livraison]]))</f>
        <v>0</v>
      </c>
      <c r="Q107" t="e">
        <f ca="1">INDEX(INDIRECT(CONCATENATE("Tab_",Tab_Calculs[[#This Row],[Colonne1]])),Tab_Calculs[[#This Row],[index_date_livraison]]+1,7)*(Tab_Calculs[[#This Row],[fin mois]]-MIN(Tab_Calculs[[#This Row],[fin mois]],Tab_Calculs[[#This Row],[Date_livraison]]))</f>
        <v>#VALUE!</v>
      </c>
      <c r="R107" t="e">
        <f ca="1">Tab_Calculs[[#This Row],[Ratio_Cout_après_livr]]+Tab_Calculs[[#This Row],[Ratio_Cout_avant_livr]]+Tab_Calculs[[#This Row],[Ratio_Cout_avant_debut]]</f>
        <v>#VALUE!</v>
      </c>
      <c r="S107" t="str">
        <f ca="1">IFERROR(N107*VLOOKUP(Tab_Calculs[[#This Row],[Colonne1]],Controle_des_données!$B$7:$G$14,6,FALSE),"")</f>
        <v/>
      </c>
      <c r="T107" t="str">
        <f ca="1">IF(Tab_Calculs[[#This Row],[Combustible ]]="Electricité (kWh)",Tab_Calculs[[#This Row],[Conso_mois_kWh]]*2.3,Tab_Calculs[[#This Row],[Conso_mois_kWh]])</f>
        <v/>
      </c>
      <c r="U107" t="str">
        <f ca="1">IFERROR(N107*VLOOKUP(Tab_Calculs[[#This Row],[Colonne1]],Controle_des_données!$B$7:$H$14,7,FALSE),"")</f>
        <v/>
      </c>
      <c r="V107">
        <f ca="1">IFERROR(Tab_Calculs[[#This Row],[Cout_mois]]/Tab_Calculs[[#This Row],[Conso_mois_kWh]],0)</f>
        <v>0</v>
      </c>
      <c r="W107" t="str">
        <f>T(VLOOKUP(Tab_Calculs[[#This Row],[Compteur]],Site!$B$33:$G$40,3,FALSE))</f>
        <v/>
      </c>
      <c r="X107" t="str">
        <f>T(VLOOKUP(Tab_Calculs[[#This Row],[Compteur]],Site!$B$33:$G$40,4,FALSE))</f>
        <v/>
      </c>
      <c r="Y107" t="str">
        <f>T(VLOOKUP(Tab_Calculs[[#This Row],[Compteur]],Site!$B$33:$G$40,5,FALSE))</f>
        <v/>
      </c>
      <c r="Z107" t="str">
        <f>T(VLOOKUP(Tab_Calculs[[#This Row],[Compteur]],Site!$B$33:$G$40,6,FALSE))</f>
        <v/>
      </c>
      <c r="AA107">
        <f>IFERROR(GETPIVOTDATA("DJU(chauffagiste)",BDD_DJU!$P$13,"annee",Tab_Calculs[[#This Row],[ANNEE]],"mois_numero",Tab_Calculs[[#This Row],[MOIS]]),0)</f>
        <v>305.39999999999998</v>
      </c>
    </row>
    <row r="108" spans="1:27" x14ac:dyDescent="0.25">
      <c r="A108" s="3">
        <f>DATE(Tab_Calculs[[#This Row],[ANNEE]],Tab_Calculs[[#This Row],[MOIS]],1)</f>
        <v>43191</v>
      </c>
      <c r="B108" s="3">
        <f>EDATE(Tab_Calculs[[#This Row],[Début mois]],1)-1</f>
        <v>43220</v>
      </c>
      <c r="C108">
        <f t="shared" si="1"/>
        <v>4</v>
      </c>
      <c r="D108">
        <f t="shared" si="0"/>
        <v>2018</v>
      </c>
      <c r="E108" t="s">
        <v>80</v>
      </c>
      <c r="F108" t="str">
        <f>SUBSTITUTE(Tab_Calculs[[#This Row],[Compteur]]," ","_")</f>
        <v>Compteur_1</v>
      </c>
      <c r="G108" t="str">
        <f>T(INDEX(Site!$B$33:$G$40, MATCH(Tab_Calculs[[#This Row],[Compteur]], Site!$B$33:$B$40,0),2))</f>
        <v/>
      </c>
      <c r="H108" s="3">
        <f t="array" aca="1" ref="H108" ca="1">MIN(IF(INDIRECT(CONCATENATE(Tab_Calculs[[#This Row],[Colonne1]],"!$B$2:$B$243"))&gt;=Calculs_Consos!$A108,INDIRECT(CONCATENATE(Tab_Calculs[[#This Row],[Colonne1]],"!$B$2:$B$243"))))</f>
        <v>0</v>
      </c>
      <c r="I108" s="3">
        <f ca="1">INDEX(INDIRECT(CONCATENATE("Tab_",Tab_Calculs[[#This Row],[Colonne1]])),Tab_Calculs[[#This Row],[index_date_livraison]],1)</f>
        <v>0</v>
      </c>
      <c r="J108">
        <f ca="1">MATCH(Tab_Calculs[[#This Row],[Date_livraison]],INDIRECT(CONCATENATE("Tab_",Tab_Calculs[[#This Row],[Colonne1]],"[Fin de période]")),0)</f>
        <v>1</v>
      </c>
      <c r="K108" t="e">
        <f ca="1">INDEX(INDIRECT(CONCATENATE("Tab_",Tab_Calculs[[#This Row],[Colonne1]])),Tab_Calculs[[#This Row],[index_date_livraison]]-1,6)*(MAX(Tab_Calculs[[#This Row],[Début periode livraison]],Tab_Calculs[[#This Row],[Début mois]])-Tab_Calculs[[#This Row],[Début mois]])</f>
        <v>#VALUE!</v>
      </c>
      <c r="L108" s="94">
        <f ca="1">INDEX(INDIRECT(CONCATENATE("Tab_",Tab_Calculs[[#This Row],[Colonne1]])),Tab_Calculs[[#This Row],[index_date_livraison]],6)*(1+MIN(Tab_Calculs[[#This Row],[Date_livraison]],Tab_Calculs[[#This Row],[fin mois]])-MAX(Tab_Calculs[[#This Row],[Début mois]],Tab_Calculs[[#This Row],[Début periode livraison]]))</f>
        <v>0</v>
      </c>
      <c r="M108" s="94" t="e">
        <f ca="1">INDEX(INDIRECT(CONCATENATE("Tab_",Tab_Calculs[[#This Row],[Colonne1]])),Tab_Calculs[[#This Row],[index_date_livraison]]+1,6)*(Tab_Calculs[[#This Row],[fin mois]]-MIN(Tab_Calculs[[#This Row],[fin mois]],Tab_Calculs[[#This Row],[Date_livraison]]))</f>
        <v>#VALUE!</v>
      </c>
      <c r="N108" s="231" t="str">
        <f ca="1">IFERROR(Tab_Calculs[[#This Row],[Ratio_jour_après_livr]]+Tab_Calculs[[#This Row],[Ratio_jour_avant_livr]]+Tab_Calculs[[#This Row],[ratio_avant_debut]],"")</f>
        <v/>
      </c>
      <c r="O108" t="e">
        <f ca="1">INDEX(INDIRECT(CONCATENATE("Tab_",Tab_Calculs[[#This Row],[Colonne1]])),Tab_Calculs[[#This Row],[index_date_livraison]]-1,7)*(MAX(Tab_Calculs[[#This Row],[Début periode livraison]],Tab_Calculs[[#This Row],[Début mois]])-Tab_Calculs[[#This Row],[Début mois]])</f>
        <v>#VALUE!</v>
      </c>
      <c r="P108">
        <f ca="1">INDEX(INDIRECT(CONCATENATE("Tab_",Tab_Calculs[[#This Row],[Colonne1]])),Tab_Calculs[[#This Row],[index_date_livraison]],7)*(1+MIN(Tab_Calculs[[#This Row],[Date_livraison]],Tab_Calculs[[#This Row],[fin mois]])-MAX(Tab_Calculs[[#This Row],[Début mois]],Tab_Calculs[[#This Row],[Début periode livraison]]))</f>
        <v>0</v>
      </c>
      <c r="Q108" t="e">
        <f ca="1">INDEX(INDIRECT(CONCATENATE("Tab_",Tab_Calculs[[#This Row],[Colonne1]])),Tab_Calculs[[#This Row],[index_date_livraison]]+1,7)*(Tab_Calculs[[#This Row],[fin mois]]-MIN(Tab_Calculs[[#This Row],[fin mois]],Tab_Calculs[[#This Row],[Date_livraison]]))</f>
        <v>#VALUE!</v>
      </c>
      <c r="R108" t="e">
        <f ca="1">Tab_Calculs[[#This Row],[Ratio_Cout_après_livr]]+Tab_Calculs[[#This Row],[Ratio_Cout_avant_livr]]+Tab_Calculs[[#This Row],[Ratio_Cout_avant_debut]]</f>
        <v>#VALUE!</v>
      </c>
      <c r="S108" t="str">
        <f ca="1">IFERROR(N108*VLOOKUP(Tab_Calculs[[#This Row],[Colonne1]],Controle_des_données!$B$7:$G$14,6,FALSE),"")</f>
        <v/>
      </c>
      <c r="T108" t="str">
        <f ca="1">IF(Tab_Calculs[[#This Row],[Combustible ]]="Electricité (kWh)",Tab_Calculs[[#This Row],[Conso_mois_kWh]]*2.3,Tab_Calculs[[#This Row],[Conso_mois_kWh]])</f>
        <v/>
      </c>
      <c r="U108" t="str">
        <f ca="1">IFERROR(N108*VLOOKUP(Tab_Calculs[[#This Row],[Colonne1]],Controle_des_données!$B$7:$H$14,7,FALSE),"")</f>
        <v/>
      </c>
      <c r="V108">
        <f ca="1">IFERROR(Tab_Calculs[[#This Row],[Cout_mois]]/Tab_Calculs[[#This Row],[Conso_mois_kWh]],0)</f>
        <v>0</v>
      </c>
      <c r="W108" t="str">
        <f>T(VLOOKUP(Tab_Calculs[[#This Row],[Compteur]],Site!$B$33:$G$40,3,FALSE))</f>
        <v/>
      </c>
      <c r="X108" t="str">
        <f>T(VLOOKUP(Tab_Calculs[[#This Row],[Compteur]],Site!$B$33:$G$40,4,FALSE))</f>
        <v/>
      </c>
      <c r="Y108" t="str">
        <f>T(VLOOKUP(Tab_Calculs[[#This Row],[Compteur]],Site!$B$33:$G$40,5,FALSE))</f>
        <v/>
      </c>
      <c r="Z108" t="str">
        <f>T(VLOOKUP(Tab_Calculs[[#This Row],[Compteur]],Site!$B$33:$G$40,6,FALSE))</f>
        <v/>
      </c>
      <c r="AA108">
        <f>IFERROR(GETPIVOTDATA("DJU(chauffagiste)",BDD_DJU!$P$13,"annee",Tab_Calculs[[#This Row],[ANNEE]],"mois_numero",Tab_Calculs[[#This Row],[MOIS]]),0)</f>
        <v>152.19999999999999</v>
      </c>
    </row>
    <row r="109" spans="1:27" x14ac:dyDescent="0.25">
      <c r="A109" s="3">
        <f>DATE(Tab_Calculs[[#This Row],[ANNEE]],Tab_Calculs[[#This Row],[MOIS]],1)</f>
        <v>43221</v>
      </c>
      <c r="B109" s="3">
        <f>EDATE(Tab_Calculs[[#This Row],[Début mois]],1)-1</f>
        <v>43251</v>
      </c>
      <c r="C109">
        <f t="shared" si="1"/>
        <v>5</v>
      </c>
      <c r="D109">
        <f t="shared" si="0"/>
        <v>2018</v>
      </c>
      <c r="E109" t="s">
        <v>80</v>
      </c>
      <c r="F109" t="str">
        <f>SUBSTITUTE(Tab_Calculs[[#This Row],[Compteur]]," ","_")</f>
        <v>Compteur_1</v>
      </c>
      <c r="G109" t="str">
        <f>T(INDEX(Site!$B$33:$G$40, MATCH(Tab_Calculs[[#This Row],[Compteur]], Site!$B$33:$B$40,0),2))</f>
        <v/>
      </c>
      <c r="H109" s="3">
        <f t="array" aca="1" ref="H109" ca="1">MIN(IF(INDIRECT(CONCATENATE(Tab_Calculs[[#This Row],[Colonne1]],"!$B$2:$B$243"))&gt;=Calculs_Consos!$A109,INDIRECT(CONCATENATE(Tab_Calculs[[#This Row],[Colonne1]],"!$B$2:$B$243"))))</f>
        <v>0</v>
      </c>
      <c r="I109" s="3">
        <f ca="1">INDEX(INDIRECT(CONCATENATE("Tab_",Tab_Calculs[[#This Row],[Colonne1]])),Tab_Calculs[[#This Row],[index_date_livraison]],1)</f>
        <v>0</v>
      </c>
      <c r="J109">
        <f ca="1">MATCH(Tab_Calculs[[#This Row],[Date_livraison]],INDIRECT(CONCATENATE("Tab_",Tab_Calculs[[#This Row],[Colonne1]],"[Fin de période]")),0)</f>
        <v>1</v>
      </c>
      <c r="K109" t="e">
        <f ca="1">INDEX(INDIRECT(CONCATENATE("Tab_",Tab_Calculs[[#This Row],[Colonne1]])),Tab_Calculs[[#This Row],[index_date_livraison]]-1,6)*(MAX(Tab_Calculs[[#This Row],[Début periode livraison]],Tab_Calculs[[#This Row],[Début mois]])-Tab_Calculs[[#This Row],[Début mois]])</f>
        <v>#VALUE!</v>
      </c>
      <c r="L109" s="94">
        <f ca="1">INDEX(INDIRECT(CONCATENATE("Tab_",Tab_Calculs[[#This Row],[Colonne1]])),Tab_Calculs[[#This Row],[index_date_livraison]],6)*(1+MIN(Tab_Calculs[[#This Row],[Date_livraison]],Tab_Calculs[[#This Row],[fin mois]])-MAX(Tab_Calculs[[#This Row],[Début mois]],Tab_Calculs[[#This Row],[Début periode livraison]]))</f>
        <v>0</v>
      </c>
      <c r="M109" s="94" t="e">
        <f ca="1">INDEX(INDIRECT(CONCATENATE("Tab_",Tab_Calculs[[#This Row],[Colonne1]])),Tab_Calculs[[#This Row],[index_date_livraison]]+1,6)*(Tab_Calculs[[#This Row],[fin mois]]-MIN(Tab_Calculs[[#This Row],[fin mois]],Tab_Calculs[[#This Row],[Date_livraison]]))</f>
        <v>#VALUE!</v>
      </c>
      <c r="N109" s="231" t="str">
        <f ca="1">IFERROR(Tab_Calculs[[#This Row],[Ratio_jour_après_livr]]+Tab_Calculs[[#This Row],[Ratio_jour_avant_livr]]+Tab_Calculs[[#This Row],[ratio_avant_debut]],"")</f>
        <v/>
      </c>
      <c r="O109" t="e">
        <f ca="1">INDEX(INDIRECT(CONCATENATE("Tab_",Tab_Calculs[[#This Row],[Colonne1]])),Tab_Calculs[[#This Row],[index_date_livraison]]-1,7)*(MAX(Tab_Calculs[[#This Row],[Début periode livraison]],Tab_Calculs[[#This Row],[Début mois]])-Tab_Calculs[[#This Row],[Début mois]])</f>
        <v>#VALUE!</v>
      </c>
      <c r="P109">
        <f ca="1">INDEX(INDIRECT(CONCATENATE("Tab_",Tab_Calculs[[#This Row],[Colonne1]])),Tab_Calculs[[#This Row],[index_date_livraison]],7)*(1+MIN(Tab_Calculs[[#This Row],[Date_livraison]],Tab_Calculs[[#This Row],[fin mois]])-MAX(Tab_Calculs[[#This Row],[Début mois]],Tab_Calculs[[#This Row],[Début periode livraison]]))</f>
        <v>0</v>
      </c>
      <c r="Q109" t="e">
        <f ca="1">INDEX(INDIRECT(CONCATENATE("Tab_",Tab_Calculs[[#This Row],[Colonne1]])),Tab_Calculs[[#This Row],[index_date_livraison]]+1,7)*(Tab_Calculs[[#This Row],[fin mois]]-MIN(Tab_Calculs[[#This Row],[fin mois]],Tab_Calculs[[#This Row],[Date_livraison]]))</f>
        <v>#VALUE!</v>
      </c>
      <c r="R109" t="e">
        <f ca="1">Tab_Calculs[[#This Row],[Ratio_Cout_après_livr]]+Tab_Calculs[[#This Row],[Ratio_Cout_avant_livr]]+Tab_Calculs[[#This Row],[Ratio_Cout_avant_debut]]</f>
        <v>#VALUE!</v>
      </c>
      <c r="S109" t="str">
        <f ca="1">IFERROR(N109*VLOOKUP(Tab_Calculs[[#This Row],[Colonne1]],Controle_des_données!$B$7:$G$14,6,FALSE),"")</f>
        <v/>
      </c>
      <c r="T109" t="str">
        <f ca="1">IF(Tab_Calculs[[#This Row],[Combustible ]]="Electricité (kWh)",Tab_Calculs[[#This Row],[Conso_mois_kWh]]*2.3,Tab_Calculs[[#This Row],[Conso_mois_kWh]])</f>
        <v/>
      </c>
      <c r="U109" t="str">
        <f ca="1">IFERROR(N109*VLOOKUP(Tab_Calculs[[#This Row],[Colonne1]],Controle_des_données!$B$7:$H$14,7,FALSE),"")</f>
        <v/>
      </c>
      <c r="V109">
        <f ca="1">IFERROR(Tab_Calculs[[#This Row],[Cout_mois]]/Tab_Calculs[[#This Row],[Conso_mois_kWh]],0)</f>
        <v>0</v>
      </c>
      <c r="W109" t="str">
        <f>T(VLOOKUP(Tab_Calculs[[#This Row],[Compteur]],Site!$B$33:$G$40,3,FALSE))</f>
        <v/>
      </c>
      <c r="X109" t="str">
        <f>T(VLOOKUP(Tab_Calculs[[#This Row],[Compteur]],Site!$B$33:$G$40,4,FALSE))</f>
        <v/>
      </c>
      <c r="Y109" t="str">
        <f>T(VLOOKUP(Tab_Calculs[[#This Row],[Compteur]],Site!$B$33:$G$40,5,FALSE))</f>
        <v/>
      </c>
      <c r="Z109" t="str">
        <f>T(VLOOKUP(Tab_Calculs[[#This Row],[Compteur]],Site!$B$33:$G$40,6,FALSE))</f>
        <v/>
      </c>
      <c r="AA109">
        <f>IFERROR(GETPIVOTDATA("DJU(chauffagiste)",BDD_DJU!$P$13,"annee",Tab_Calculs[[#This Row],[ANNEE]],"mois_numero",Tab_Calculs[[#This Row],[MOIS]]),0)</f>
        <v>95.8</v>
      </c>
    </row>
    <row r="110" spans="1:27" x14ac:dyDescent="0.25">
      <c r="A110" s="3">
        <f>DATE(Tab_Calculs[[#This Row],[ANNEE]],Tab_Calculs[[#This Row],[MOIS]],1)</f>
        <v>43252</v>
      </c>
      <c r="B110" s="3">
        <f>EDATE(Tab_Calculs[[#This Row],[Début mois]],1)-1</f>
        <v>43281</v>
      </c>
      <c r="C110">
        <f t="shared" si="1"/>
        <v>6</v>
      </c>
      <c r="D110">
        <f t="shared" si="0"/>
        <v>2018</v>
      </c>
      <c r="E110" t="s">
        <v>80</v>
      </c>
      <c r="F110" t="str">
        <f>SUBSTITUTE(Tab_Calculs[[#This Row],[Compteur]]," ","_")</f>
        <v>Compteur_1</v>
      </c>
      <c r="G110" t="str">
        <f>T(INDEX(Site!$B$33:$G$40, MATCH(Tab_Calculs[[#This Row],[Compteur]], Site!$B$33:$B$40,0),2))</f>
        <v/>
      </c>
      <c r="H110" s="3">
        <f t="array" aca="1" ref="H110" ca="1">MIN(IF(INDIRECT(CONCATENATE(Tab_Calculs[[#This Row],[Colonne1]],"!$B$2:$B$243"))&gt;=Calculs_Consos!$A110,INDIRECT(CONCATENATE(Tab_Calculs[[#This Row],[Colonne1]],"!$B$2:$B$243"))))</f>
        <v>0</v>
      </c>
      <c r="I110" s="3">
        <f ca="1">INDEX(INDIRECT(CONCATENATE("Tab_",Tab_Calculs[[#This Row],[Colonne1]])),Tab_Calculs[[#This Row],[index_date_livraison]],1)</f>
        <v>0</v>
      </c>
      <c r="J110">
        <f ca="1">MATCH(Tab_Calculs[[#This Row],[Date_livraison]],INDIRECT(CONCATENATE("Tab_",Tab_Calculs[[#This Row],[Colonne1]],"[Fin de période]")),0)</f>
        <v>1</v>
      </c>
      <c r="K110" t="e">
        <f ca="1">INDEX(INDIRECT(CONCATENATE("Tab_",Tab_Calculs[[#This Row],[Colonne1]])),Tab_Calculs[[#This Row],[index_date_livraison]]-1,6)*(MAX(Tab_Calculs[[#This Row],[Début periode livraison]],Tab_Calculs[[#This Row],[Début mois]])-Tab_Calculs[[#This Row],[Début mois]])</f>
        <v>#VALUE!</v>
      </c>
      <c r="L110" s="94">
        <f ca="1">INDEX(INDIRECT(CONCATENATE("Tab_",Tab_Calculs[[#This Row],[Colonne1]])),Tab_Calculs[[#This Row],[index_date_livraison]],6)*(1+MIN(Tab_Calculs[[#This Row],[Date_livraison]],Tab_Calculs[[#This Row],[fin mois]])-MAX(Tab_Calculs[[#This Row],[Début mois]],Tab_Calculs[[#This Row],[Début periode livraison]]))</f>
        <v>0</v>
      </c>
      <c r="M110" s="94" t="e">
        <f ca="1">INDEX(INDIRECT(CONCATENATE("Tab_",Tab_Calculs[[#This Row],[Colonne1]])),Tab_Calculs[[#This Row],[index_date_livraison]]+1,6)*(Tab_Calculs[[#This Row],[fin mois]]-MIN(Tab_Calculs[[#This Row],[fin mois]],Tab_Calculs[[#This Row],[Date_livraison]]))</f>
        <v>#VALUE!</v>
      </c>
      <c r="N110" s="231" t="str">
        <f ca="1">IFERROR(Tab_Calculs[[#This Row],[Ratio_jour_après_livr]]+Tab_Calculs[[#This Row],[Ratio_jour_avant_livr]]+Tab_Calculs[[#This Row],[ratio_avant_debut]],"")</f>
        <v/>
      </c>
      <c r="O110" t="e">
        <f ca="1">INDEX(INDIRECT(CONCATENATE("Tab_",Tab_Calculs[[#This Row],[Colonne1]])),Tab_Calculs[[#This Row],[index_date_livraison]]-1,7)*(MAX(Tab_Calculs[[#This Row],[Début periode livraison]],Tab_Calculs[[#This Row],[Début mois]])-Tab_Calculs[[#This Row],[Début mois]])</f>
        <v>#VALUE!</v>
      </c>
      <c r="P110">
        <f ca="1">INDEX(INDIRECT(CONCATENATE("Tab_",Tab_Calculs[[#This Row],[Colonne1]])),Tab_Calculs[[#This Row],[index_date_livraison]],7)*(1+MIN(Tab_Calculs[[#This Row],[Date_livraison]],Tab_Calculs[[#This Row],[fin mois]])-MAX(Tab_Calculs[[#This Row],[Début mois]],Tab_Calculs[[#This Row],[Début periode livraison]]))</f>
        <v>0</v>
      </c>
      <c r="Q110" t="e">
        <f ca="1">INDEX(INDIRECT(CONCATENATE("Tab_",Tab_Calculs[[#This Row],[Colonne1]])),Tab_Calculs[[#This Row],[index_date_livraison]]+1,7)*(Tab_Calculs[[#This Row],[fin mois]]-MIN(Tab_Calculs[[#This Row],[fin mois]],Tab_Calculs[[#This Row],[Date_livraison]]))</f>
        <v>#VALUE!</v>
      </c>
      <c r="R110" t="e">
        <f ca="1">Tab_Calculs[[#This Row],[Ratio_Cout_après_livr]]+Tab_Calculs[[#This Row],[Ratio_Cout_avant_livr]]+Tab_Calculs[[#This Row],[Ratio_Cout_avant_debut]]</f>
        <v>#VALUE!</v>
      </c>
      <c r="S110" t="str">
        <f ca="1">IFERROR(N110*VLOOKUP(Tab_Calculs[[#This Row],[Colonne1]],Controle_des_données!$B$7:$G$14,6,FALSE),"")</f>
        <v/>
      </c>
      <c r="T110" t="str">
        <f ca="1">IF(Tab_Calculs[[#This Row],[Combustible ]]="Electricité (kWh)",Tab_Calculs[[#This Row],[Conso_mois_kWh]]*2.3,Tab_Calculs[[#This Row],[Conso_mois_kWh]])</f>
        <v/>
      </c>
      <c r="U110" t="str">
        <f ca="1">IFERROR(N110*VLOOKUP(Tab_Calculs[[#This Row],[Colonne1]],Controle_des_données!$B$7:$H$14,7,FALSE),"")</f>
        <v/>
      </c>
      <c r="V110">
        <f ca="1">IFERROR(Tab_Calculs[[#This Row],[Cout_mois]]/Tab_Calculs[[#This Row],[Conso_mois_kWh]],0)</f>
        <v>0</v>
      </c>
      <c r="W110" t="str">
        <f>T(VLOOKUP(Tab_Calculs[[#This Row],[Compteur]],Site!$B$33:$G$40,3,FALSE))</f>
        <v/>
      </c>
      <c r="X110" t="str">
        <f>T(VLOOKUP(Tab_Calculs[[#This Row],[Compteur]],Site!$B$33:$G$40,4,FALSE))</f>
        <v/>
      </c>
      <c r="Y110" t="str">
        <f>T(VLOOKUP(Tab_Calculs[[#This Row],[Compteur]],Site!$B$33:$G$40,5,FALSE))</f>
        <v/>
      </c>
      <c r="Z110" t="str">
        <f>T(VLOOKUP(Tab_Calculs[[#This Row],[Compteur]],Site!$B$33:$G$40,6,FALSE))</f>
        <v/>
      </c>
      <c r="AA110">
        <f>IFERROR(GETPIVOTDATA("DJU(chauffagiste)",BDD_DJU!$P$13,"annee",Tab_Calculs[[#This Row],[ANNEE]],"mois_numero",Tab_Calculs[[#This Row],[MOIS]]),0)</f>
        <v>25.4</v>
      </c>
    </row>
    <row r="111" spans="1:27" x14ac:dyDescent="0.25">
      <c r="A111" s="3">
        <f>DATE(Tab_Calculs[[#This Row],[ANNEE]],Tab_Calculs[[#This Row],[MOIS]],1)</f>
        <v>43282</v>
      </c>
      <c r="B111" s="3">
        <f>EDATE(Tab_Calculs[[#This Row],[Début mois]],1)-1</f>
        <v>43312</v>
      </c>
      <c r="C111">
        <f t="shared" si="1"/>
        <v>7</v>
      </c>
      <c r="D111">
        <f t="shared" si="0"/>
        <v>2018</v>
      </c>
      <c r="E111" t="s">
        <v>80</v>
      </c>
      <c r="F111" t="str">
        <f>SUBSTITUTE(Tab_Calculs[[#This Row],[Compteur]]," ","_")</f>
        <v>Compteur_1</v>
      </c>
      <c r="G111" t="str">
        <f>T(INDEX(Site!$B$33:$G$40, MATCH(Tab_Calculs[[#This Row],[Compteur]], Site!$B$33:$B$40,0),2))</f>
        <v/>
      </c>
      <c r="H111" s="3">
        <f t="array" aca="1" ref="H111" ca="1">MIN(IF(INDIRECT(CONCATENATE(Tab_Calculs[[#This Row],[Colonne1]],"!$B$2:$B$243"))&gt;=Calculs_Consos!$A111,INDIRECT(CONCATENATE(Tab_Calculs[[#This Row],[Colonne1]],"!$B$2:$B$243"))))</f>
        <v>0</v>
      </c>
      <c r="I111" s="3">
        <f ca="1">INDEX(INDIRECT(CONCATENATE("Tab_",Tab_Calculs[[#This Row],[Colonne1]])),Tab_Calculs[[#This Row],[index_date_livraison]],1)</f>
        <v>0</v>
      </c>
      <c r="J111">
        <f ca="1">MATCH(Tab_Calculs[[#This Row],[Date_livraison]],INDIRECT(CONCATENATE("Tab_",Tab_Calculs[[#This Row],[Colonne1]],"[Fin de période]")),0)</f>
        <v>1</v>
      </c>
      <c r="K111" t="e">
        <f ca="1">INDEX(INDIRECT(CONCATENATE("Tab_",Tab_Calculs[[#This Row],[Colonne1]])),Tab_Calculs[[#This Row],[index_date_livraison]]-1,6)*(MAX(Tab_Calculs[[#This Row],[Début periode livraison]],Tab_Calculs[[#This Row],[Début mois]])-Tab_Calculs[[#This Row],[Début mois]])</f>
        <v>#VALUE!</v>
      </c>
      <c r="L111" s="94">
        <f ca="1">INDEX(INDIRECT(CONCATENATE("Tab_",Tab_Calculs[[#This Row],[Colonne1]])),Tab_Calculs[[#This Row],[index_date_livraison]],6)*(1+MIN(Tab_Calculs[[#This Row],[Date_livraison]],Tab_Calculs[[#This Row],[fin mois]])-MAX(Tab_Calculs[[#This Row],[Début mois]],Tab_Calculs[[#This Row],[Début periode livraison]]))</f>
        <v>0</v>
      </c>
      <c r="M111" s="94" t="e">
        <f ca="1">INDEX(INDIRECT(CONCATENATE("Tab_",Tab_Calculs[[#This Row],[Colonne1]])),Tab_Calculs[[#This Row],[index_date_livraison]]+1,6)*(Tab_Calculs[[#This Row],[fin mois]]-MIN(Tab_Calculs[[#This Row],[fin mois]],Tab_Calculs[[#This Row],[Date_livraison]]))</f>
        <v>#VALUE!</v>
      </c>
      <c r="N111" s="231" t="str">
        <f ca="1">IFERROR(Tab_Calculs[[#This Row],[Ratio_jour_après_livr]]+Tab_Calculs[[#This Row],[Ratio_jour_avant_livr]]+Tab_Calculs[[#This Row],[ratio_avant_debut]],"")</f>
        <v/>
      </c>
      <c r="O111" t="e">
        <f ca="1">INDEX(INDIRECT(CONCATENATE("Tab_",Tab_Calculs[[#This Row],[Colonne1]])),Tab_Calculs[[#This Row],[index_date_livraison]]-1,7)*(MAX(Tab_Calculs[[#This Row],[Début periode livraison]],Tab_Calculs[[#This Row],[Début mois]])-Tab_Calculs[[#This Row],[Début mois]])</f>
        <v>#VALUE!</v>
      </c>
      <c r="P111">
        <f ca="1">INDEX(INDIRECT(CONCATENATE("Tab_",Tab_Calculs[[#This Row],[Colonne1]])),Tab_Calculs[[#This Row],[index_date_livraison]],7)*(1+MIN(Tab_Calculs[[#This Row],[Date_livraison]],Tab_Calculs[[#This Row],[fin mois]])-MAX(Tab_Calculs[[#This Row],[Début mois]],Tab_Calculs[[#This Row],[Début periode livraison]]))</f>
        <v>0</v>
      </c>
      <c r="Q111" t="e">
        <f ca="1">INDEX(INDIRECT(CONCATENATE("Tab_",Tab_Calculs[[#This Row],[Colonne1]])),Tab_Calculs[[#This Row],[index_date_livraison]]+1,7)*(Tab_Calculs[[#This Row],[fin mois]]-MIN(Tab_Calculs[[#This Row],[fin mois]],Tab_Calculs[[#This Row],[Date_livraison]]))</f>
        <v>#VALUE!</v>
      </c>
      <c r="R111" t="e">
        <f ca="1">Tab_Calculs[[#This Row],[Ratio_Cout_après_livr]]+Tab_Calculs[[#This Row],[Ratio_Cout_avant_livr]]+Tab_Calculs[[#This Row],[Ratio_Cout_avant_debut]]</f>
        <v>#VALUE!</v>
      </c>
      <c r="S111" t="str">
        <f ca="1">IFERROR(N111*VLOOKUP(Tab_Calculs[[#This Row],[Colonne1]],Controle_des_données!$B$7:$G$14,6,FALSE),"")</f>
        <v/>
      </c>
      <c r="T111" t="str">
        <f ca="1">IF(Tab_Calculs[[#This Row],[Combustible ]]="Electricité (kWh)",Tab_Calculs[[#This Row],[Conso_mois_kWh]]*2.3,Tab_Calculs[[#This Row],[Conso_mois_kWh]])</f>
        <v/>
      </c>
      <c r="U111" t="str">
        <f ca="1">IFERROR(N111*VLOOKUP(Tab_Calculs[[#This Row],[Colonne1]],Controle_des_données!$B$7:$H$14,7,FALSE),"")</f>
        <v/>
      </c>
      <c r="V111">
        <f ca="1">IFERROR(Tab_Calculs[[#This Row],[Cout_mois]]/Tab_Calculs[[#This Row],[Conso_mois_kWh]],0)</f>
        <v>0</v>
      </c>
      <c r="W111" t="str">
        <f>T(VLOOKUP(Tab_Calculs[[#This Row],[Compteur]],Site!$B$33:$G$40,3,FALSE))</f>
        <v/>
      </c>
      <c r="X111" t="str">
        <f>T(VLOOKUP(Tab_Calculs[[#This Row],[Compteur]],Site!$B$33:$G$40,4,FALSE))</f>
        <v/>
      </c>
      <c r="Y111" t="str">
        <f>T(VLOOKUP(Tab_Calculs[[#This Row],[Compteur]],Site!$B$33:$G$40,5,FALSE))</f>
        <v/>
      </c>
      <c r="Z111" t="str">
        <f>T(VLOOKUP(Tab_Calculs[[#This Row],[Compteur]],Site!$B$33:$G$40,6,FALSE))</f>
        <v/>
      </c>
      <c r="AA111">
        <f>IFERROR(GETPIVOTDATA("DJU(chauffagiste)",BDD_DJU!$P$13,"annee",Tab_Calculs[[#This Row],[ANNEE]],"mois_numero",Tab_Calculs[[#This Row],[MOIS]]),0)</f>
        <v>5.9</v>
      </c>
    </row>
    <row r="112" spans="1:27" x14ac:dyDescent="0.25">
      <c r="A112" s="3">
        <f>DATE(Tab_Calculs[[#This Row],[ANNEE]],Tab_Calculs[[#This Row],[MOIS]],1)</f>
        <v>43313</v>
      </c>
      <c r="B112" s="3">
        <f>EDATE(Tab_Calculs[[#This Row],[Début mois]],1)-1</f>
        <v>43343</v>
      </c>
      <c r="C112">
        <f t="shared" si="1"/>
        <v>8</v>
      </c>
      <c r="D112">
        <f t="shared" si="0"/>
        <v>2018</v>
      </c>
      <c r="E112" t="s">
        <v>80</v>
      </c>
      <c r="F112" t="str">
        <f>SUBSTITUTE(Tab_Calculs[[#This Row],[Compteur]]," ","_")</f>
        <v>Compteur_1</v>
      </c>
      <c r="G112" t="str">
        <f>T(INDEX(Site!$B$33:$G$40, MATCH(Tab_Calculs[[#This Row],[Compteur]], Site!$B$33:$B$40,0),2))</f>
        <v/>
      </c>
      <c r="H112" s="3">
        <f t="array" aca="1" ref="H112" ca="1">MIN(IF(INDIRECT(CONCATENATE(Tab_Calculs[[#This Row],[Colonne1]],"!$B$2:$B$243"))&gt;=Calculs_Consos!$A112,INDIRECT(CONCATENATE(Tab_Calculs[[#This Row],[Colonne1]],"!$B$2:$B$243"))))</f>
        <v>0</v>
      </c>
      <c r="I112" s="3">
        <f ca="1">INDEX(INDIRECT(CONCATENATE("Tab_",Tab_Calculs[[#This Row],[Colonne1]])),Tab_Calculs[[#This Row],[index_date_livraison]],1)</f>
        <v>0</v>
      </c>
      <c r="J112">
        <f ca="1">MATCH(Tab_Calculs[[#This Row],[Date_livraison]],INDIRECT(CONCATENATE("Tab_",Tab_Calculs[[#This Row],[Colonne1]],"[Fin de période]")),0)</f>
        <v>1</v>
      </c>
      <c r="K112" t="e">
        <f ca="1">INDEX(INDIRECT(CONCATENATE("Tab_",Tab_Calculs[[#This Row],[Colonne1]])),Tab_Calculs[[#This Row],[index_date_livraison]]-1,6)*(MAX(Tab_Calculs[[#This Row],[Début periode livraison]],Tab_Calculs[[#This Row],[Début mois]])-Tab_Calculs[[#This Row],[Début mois]])</f>
        <v>#VALUE!</v>
      </c>
      <c r="L112" s="94">
        <f ca="1">INDEX(INDIRECT(CONCATENATE("Tab_",Tab_Calculs[[#This Row],[Colonne1]])),Tab_Calculs[[#This Row],[index_date_livraison]],6)*(1+MIN(Tab_Calculs[[#This Row],[Date_livraison]],Tab_Calculs[[#This Row],[fin mois]])-MAX(Tab_Calculs[[#This Row],[Début mois]],Tab_Calculs[[#This Row],[Début periode livraison]]))</f>
        <v>0</v>
      </c>
      <c r="M112" s="94" t="e">
        <f ca="1">INDEX(INDIRECT(CONCATENATE("Tab_",Tab_Calculs[[#This Row],[Colonne1]])),Tab_Calculs[[#This Row],[index_date_livraison]]+1,6)*(Tab_Calculs[[#This Row],[fin mois]]-MIN(Tab_Calculs[[#This Row],[fin mois]],Tab_Calculs[[#This Row],[Date_livraison]]))</f>
        <v>#VALUE!</v>
      </c>
      <c r="N112" s="231" t="str">
        <f ca="1">IFERROR(Tab_Calculs[[#This Row],[Ratio_jour_après_livr]]+Tab_Calculs[[#This Row],[Ratio_jour_avant_livr]]+Tab_Calculs[[#This Row],[ratio_avant_debut]],"")</f>
        <v/>
      </c>
      <c r="O112" t="e">
        <f ca="1">INDEX(INDIRECT(CONCATENATE("Tab_",Tab_Calculs[[#This Row],[Colonne1]])),Tab_Calculs[[#This Row],[index_date_livraison]]-1,7)*(MAX(Tab_Calculs[[#This Row],[Début periode livraison]],Tab_Calculs[[#This Row],[Début mois]])-Tab_Calculs[[#This Row],[Début mois]])</f>
        <v>#VALUE!</v>
      </c>
      <c r="P112">
        <f ca="1">INDEX(INDIRECT(CONCATENATE("Tab_",Tab_Calculs[[#This Row],[Colonne1]])),Tab_Calculs[[#This Row],[index_date_livraison]],7)*(1+MIN(Tab_Calculs[[#This Row],[Date_livraison]],Tab_Calculs[[#This Row],[fin mois]])-MAX(Tab_Calculs[[#This Row],[Début mois]],Tab_Calculs[[#This Row],[Début periode livraison]]))</f>
        <v>0</v>
      </c>
      <c r="Q112" t="e">
        <f ca="1">INDEX(INDIRECT(CONCATENATE("Tab_",Tab_Calculs[[#This Row],[Colonne1]])),Tab_Calculs[[#This Row],[index_date_livraison]]+1,7)*(Tab_Calculs[[#This Row],[fin mois]]-MIN(Tab_Calculs[[#This Row],[fin mois]],Tab_Calculs[[#This Row],[Date_livraison]]))</f>
        <v>#VALUE!</v>
      </c>
      <c r="R112" t="e">
        <f ca="1">Tab_Calculs[[#This Row],[Ratio_Cout_après_livr]]+Tab_Calculs[[#This Row],[Ratio_Cout_avant_livr]]+Tab_Calculs[[#This Row],[Ratio_Cout_avant_debut]]</f>
        <v>#VALUE!</v>
      </c>
      <c r="S112" t="str">
        <f ca="1">IFERROR(N112*VLOOKUP(Tab_Calculs[[#This Row],[Colonne1]],Controle_des_données!$B$7:$G$14,6,FALSE),"")</f>
        <v/>
      </c>
      <c r="T112" t="str">
        <f ca="1">IF(Tab_Calculs[[#This Row],[Combustible ]]="Electricité (kWh)",Tab_Calculs[[#This Row],[Conso_mois_kWh]]*2.3,Tab_Calculs[[#This Row],[Conso_mois_kWh]])</f>
        <v/>
      </c>
      <c r="U112" t="str">
        <f ca="1">IFERROR(N112*VLOOKUP(Tab_Calculs[[#This Row],[Colonne1]],Controle_des_données!$B$7:$H$14,7,FALSE),"")</f>
        <v/>
      </c>
      <c r="V112">
        <f ca="1">IFERROR(Tab_Calculs[[#This Row],[Cout_mois]]/Tab_Calculs[[#This Row],[Conso_mois_kWh]],0)</f>
        <v>0</v>
      </c>
      <c r="W112" t="str">
        <f>T(VLOOKUP(Tab_Calculs[[#This Row],[Compteur]],Site!$B$33:$G$40,3,FALSE))</f>
        <v/>
      </c>
      <c r="X112" t="str">
        <f>T(VLOOKUP(Tab_Calculs[[#This Row],[Compteur]],Site!$B$33:$G$40,4,FALSE))</f>
        <v/>
      </c>
      <c r="Y112" t="str">
        <f>T(VLOOKUP(Tab_Calculs[[#This Row],[Compteur]],Site!$B$33:$G$40,5,FALSE))</f>
        <v/>
      </c>
      <c r="Z112" t="str">
        <f>T(VLOOKUP(Tab_Calculs[[#This Row],[Compteur]],Site!$B$33:$G$40,6,FALSE))</f>
        <v/>
      </c>
      <c r="AA112">
        <f>IFERROR(GETPIVOTDATA("DJU(chauffagiste)",BDD_DJU!$P$13,"annee",Tab_Calculs[[#This Row],[ANNEE]],"mois_numero",Tab_Calculs[[#This Row],[MOIS]]),0)</f>
        <v>26</v>
      </c>
    </row>
    <row r="113" spans="1:27" x14ac:dyDescent="0.25">
      <c r="A113" s="3">
        <f>DATE(Tab_Calculs[[#This Row],[ANNEE]],Tab_Calculs[[#This Row],[MOIS]],1)</f>
        <v>43344</v>
      </c>
      <c r="B113" s="3">
        <f>EDATE(Tab_Calculs[[#This Row],[Début mois]],1)-1</f>
        <v>43373</v>
      </c>
      <c r="C113">
        <f t="shared" si="1"/>
        <v>9</v>
      </c>
      <c r="D113">
        <f>D101+1</f>
        <v>2018</v>
      </c>
      <c r="E113" t="s">
        <v>80</v>
      </c>
      <c r="F113" t="str">
        <f>SUBSTITUTE(Tab_Calculs[[#This Row],[Compteur]]," ","_")</f>
        <v>Compteur_1</v>
      </c>
      <c r="G113" t="str">
        <f>T(INDEX(Site!$B$33:$G$40, MATCH(Tab_Calculs[[#This Row],[Compteur]], Site!$B$33:$B$40,0),2))</f>
        <v/>
      </c>
      <c r="H113" s="3">
        <f t="array" aca="1" ref="H113" ca="1">MIN(IF(INDIRECT(CONCATENATE(Tab_Calculs[[#This Row],[Colonne1]],"!$B$2:$B$243"))&gt;=Calculs_Consos!$A113,INDIRECT(CONCATENATE(Tab_Calculs[[#This Row],[Colonne1]],"!$B$2:$B$243"))))</f>
        <v>0</v>
      </c>
      <c r="I113" s="3">
        <f ca="1">INDEX(INDIRECT(CONCATENATE("Tab_",Tab_Calculs[[#This Row],[Colonne1]])),Tab_Calculs[[#This Row],[index_date_livraison]],1)</f>
        <v>0</v>
      </c>
      <c r="J113">
        <f ca="1">MATCH(Tab_Calculs[[#This Row],[Date_livraison]],INDIRECT(CONCATENATE("Tab_",Tab_Calculs[[#This Row],[Colonne1]],"[Fin de période]")),0)</f>
        <v>1</v>
      </c>
      <c r="K113" t="e">
        <f ca="1">INDEX(INDIRECT(CONCATENATE("Tab_",Tab_Calculs[[#This Row],[Colonne1]])),Tab_Calculs[[#This Row],[index_date_livraison]]-1,6)*(MAX(Tab_Calculs[[#This Row],[Début periode livraison]],Tab_Calculs[[#This Row],[Début mois]])-Tab_Calculs[[#This Row],[Début mois]])</f>
        <v>#VALUE!</v>
      </c>
      <c r="L113" s="94">
        <f ca="1">INDEX(INDIRECT(CONCATENATE("Tab_",Tab_Calculs[[#This Row],[Colonne1]])),Tab_Calculs[[#This Row],[index_date_livraison]],6)*(1+MIN(Tab_Calculs[[#This Row],[Date_livraison]],Tab_Calculs[[#This Row],[fin mois]])-MAX(Tab_Calculs[[#This Row],[Début mois]],Tab_Calculs[[#This Row],[Début periode livraison]]))</f>
        <v>0</v>
      </c>
      <c r="M113" s="94" t="e">
        <f ca="1">INDEX(INDIRECT(CONCATENATE("Tab_",Tab_Calculs[[#This Row],[Colonne1]])),Tab_Calculs[[#This Row],[index_date_livraison]]+1,6)*(Tab_Calculs[[#This Row],[fin mois]]-MIN(Tab_Calculs[[#This Row],[fin mois]],Tab_Calculs[[#This Row],[Date_livraison]]))</f>
        <v>#VALUE!</v>
      </c>
      <c r="N113" s="231" t="str">
        <f ca="1">IFERROR(Tab_Calculs[[#This Row],[Ratio_jour_après_livr]]+Tab_Calculs[[#This Row],[Ratio_jour_avant_livr]]+Tab_Calculs[[#This Row],[ratio_avant_debut]],"")</f>
        <v/>
      </c>
      <c r="O113" t="e">
        <f ca="1">INDEX(INDIRECT(CONCATENATE("Tab_",Tab_Calculs[[#This Row],[Colonne1]])),Tab_Calculs[[#This Row],[index_date_livraison]]-1,7)*(MAX(Tab_Calculs[[#This Row],[Début periode livraison]],Tab_Calculs[[#This Row],[Début mois]])-Tab_Calculs[[#This Row],[Début mois]])</f>
        <v>#VALUE!</v>
      </c>
      <c r="P113">
        <f ca="1">INDEX(INDIRECT(CONCATENATE("Tab_",Tab_Calculs[[#This Row],[Colonne1]])),Tab_Calculs[[#This Row],[index_date_livraison]],7)*(1+MIN(Tab_Calculs[[#This Row],[Date_livraison]],Tab_Calculs[[#This Row],[fin mois]])-MAX(Tab_Calculs[[#This Row],[Début mois]],Tab_Calculs[[#This Row],[Début periode livraison]]))</f>
        <v>0</v>
      </c>
      <c r="Q113" t="e">
        <f ca="1">INDEX(INDIRECT(CONCATENATE("Tab_",Tab_Calculs[[#This Row],[Colonne1]])),Tab_Calculs[[#This Row],[index_date_livraison]]+1,7)*(Tab_Calculs[[#This Row],[fin mois]]-MIN(Tab_Calculs[[#This Row],[fin mois]],Tab_Calculs[[#This Row],[Date_livraison]]))</f>
        <v>#VALUE!</v>
      </c>
      <c r="R113" t="e">
        <f ca="1">Tab_Calculs[[#This Row],[Ratio_Cout_après_livr]]+Tab_Calculs[[#This Row],[Ratio_Cout_avant_livr]]+Tab_Calculs[[#This Row],[Ratio_Cout_avant_debut]]</f>
        <v>#VALUE!</v>
      </c>
      <c r="S113" t="str">
        <f ca="1">IFERROR(N113*VLOOKUP(Tab_Calculs[[#This Row],[Colonne1]],Controle_des_données!$B$7:$G$14,6,FALSE),"")</f>
        <v/>
      </c>
      <c r="T113" t="str">
        <f ca="1">IF(Tab_Calculs[[#This Row],[Combustible ]]="Electricité (kWh)",Tab_Calculs[[#This Row],[Conso_mois_kWh]]*2.3,Tab_Calculs[[#This Row],[Conso_mois_kWh]])</f>
        <v/>
      </c>
      <c r="U113" t="str">
        <f ca="1">IFERROR(N113*VLOOKUP(Tab_Calculs[[#This Row],[Colonne1]],Controle_des_données!$B$7:$H$14,7,FALSE),"")</f>
        <v/>
      </c>
      <c r="V113">
        <f ca="1">IFERROR(Tab_Calculs[[#This Row],[Cout_mois]]/Tab_Calculs[[#This Row],[Conso_mois_kWh]],0)</f>
        <v>0</v>
      </c>
      <c r="W113" t="str">
        <f>T(VLOOKUP(Tab_Calculs[[#This Row],[Compteur]],Site!$B$33:$G$40,3,FALSE))</f>
        <v/>
      </c>
      <c r="X113" t="str">
        <f>T(VLOOKUP(Tab_Calculs[[#This Row],[Compteur]],Site!$B$33:$G$40,4,FALSE))</f>
        <v/>
      </c>
      <c r="Y113" t="str">
        <f>T(VLOOKUP(Tab_Calculs[[#This Row],[Compteur]],Site!$B$33:$G$40,5,FALSE))</f>
        <v/>
      </c>
      <c r="Z113" t="str">
        <f>T(VLOOKUP(Tab_Calculs[[#This Row],[Compteur]],Site!$B$33:$G$40,6,FALSE))</f>
        <v/>
      </c>
      <c r="AA113">
        <f>IFERROR(GETPIVOTDATA("DJU(chauffagiste)",BDD_DJU!$P$13,"annee",Tab_Calculs[[#This Row],[ANNEE]],"mois_numero",Tab_Calculs[[#This Row],[MOIS]]),0)</f>
        <v>73.599999999999994</v>
      </c>
    </row>
    <row r="114" spans="1:27" x14ac:dyDescent="0.25">
      <c r="A114" s="3">
        <f>DATE(Tab_Calculs[[#This Row],[ANNEE]],Tab_Calculs[[#This Row],[MOIS]],1)</f>
        <v>43374</v>
      </c>
      <c r="B114" s="3">
        <f>EDATE(Tab_Calculs[[#This Row],[Début mois]],1)-1</f>
        <v>43404</v>
      </c>
      <c r="C114">
        <f t="shared" si="1"/>
        <v>10</v>
      </c>
      <c r="D114">
        <f t="shared" si="0"/>
        <v>2018</v>
      </c>
      <c r="E114" t="s">
        <v>80</v>
      </c>
      <c r="F114" t="str">
        <f>SUBSTITUTE(Tab_Calculs[[#This Row],[Compteur]]," ","_")</f>
        <v>Compteur_1</v>
      </c>
      <c r="G114" t="str">
        <f>T(INDEX(Site!$B$33:$G$40, MATCH(Tab_Calculs[[#This Row],[Compteur]], Site!$B$33:$B$40,0),2))</f>
        <v/>
      </c>
      <c r="H114" s="3">
        <f t="array" aca="1" ref="H114" ca="1">MIN(IF(INDIRECT(CONCATENATE(Tab_Calculs[[#This Row],[Colonne1]],"!$B$2:$B$243"))&gt;=Calculs_Consos!$A114,INDIRECT(CONCATENATE(Tab_Calculs[[#This Row],[Colonne1]],"!$B$2:$B$243"))))</f>
        <v>0</v>
      </c>
      <c r="I114" s="3">
        <f ca="1">INDEX(INDIRECT(CONCATENATE("Tab_",Tab_Calculs[[#This Row],[Colonne1]])),Tab_Calculs[[#This Row],[index_date_livraison]],1)</f>
        <v>0</v>
      </c>
      <c r="J114">
        <f ca="1">MATCH(Tab_Calculs[[#This Row],[Date_livraison]],INDIRECT(CONCATENATE("Tab_",Tab_Calculs[[#This Row],[Colonne1]],"[Fin de période]")),0)</f>
        <v>1</v>
      </c>
      <c r="K114" t="e">
        <f ca="1">INDEX(INDIRECT(CONCATENATE("Tab_",Tab_Calculs[[#This Row],[Colonne1]])),Tab_Calculs[[#This Row],[index_date_livraison]]-1,6)*(MAX(Tab_Calculs[[#This Row],[Début periode livraison]],Tab_Calculs[[#This Row],[Début mois]])-Tab_Calculs[[#This Row],[Début mois]])</f>
        <v>#VALUE!</v>
      </c>
      <c r="L114" s="94">
        <f ca="1">INDEX(INDIRECT(CONCATENATE("Tab_",Tab_Calculs[[#This Row],[Colonne1]])),Tab_Calculs[[#This Row],[index_date_livraison]],6)*(1+MIN(Tab_Calculs[[#This Row],[Date_livraison]],Tab_Calculs[[#This Row],[fin mois]])-MAX(Tab_Calculs[[#This Row],[Début mois]],Tab_Calculs[[#This Row],[Début periode livraison]]))</f>
        <v>0</v>
      </c>
      <c r="M114" s="94" t="e">
        <f ca="1">INDEX(INDIRECT(CONCATENATE("Tab_",Tab_Calculs[[#This Row],[Colonne1]])),Tab_Calculs[[#This Row],[index_date_livraison]]+1,6)*(Tab_Calculs[[#This Row],[fin mois]]-MIN(Tab_Calculs[[#This Row],[fin mois]],Tab_Calculs[[#This Row],[Date_livraison]]))</f>
        <v>#VALUE!</v>
      </c>
      <c r="N114" s="231" t="str">
        <f ca="1">IFERROR(Tab_Calculs[[#This Row],[Ratio_jour_après_livr]]+Tab_Calculs[[#This Row],[Ratio_jour_avant_livr]]+Tab_Calculs[[#This Row],[ratio_avant_debut]],"")</f>
        <v/>
      </c>
      <c r="O114" t="e">
        <f ca="1">INDEX(INDIRECT(CONCATENATE("Tab_",Tab_Calculs[[#This Row],[Colonne1]])),Tab_Calculs[[#This Row],[index_date_livraison]]-1,7)*(MAX(Tab_Calculs[[#This Row],[Début periode livraison]],Tab_Calculs[[#This Row],[Début mois]])-Tab_Calculs[[#This Row],[Début mois]])</f>
        <v>#VALUE!</v>
      </c>
      <c r="P114">
        <f ca="1">INDEX(INDIRECT(CONCATENATE("Tab_",Tab_Calculs[[#This Row],[Colonne1]])),Tab_Calculs[[#This Row],[index_date_livraison]],7)*(1+MIN(Tab_Calculs[[#This Row],[Date_livraison]],Tab_Calculs[[#This Row],[fin mois]])-MAX(Tab_Calculs[[#This Row],[Début mois]],Tab_Calculs[[#This Row],[Début periode livraison]]))</f>
        <v>0</v>
      </c>
      <c r="Q114" t="e">
        <f ca="1">INDEX(INDIRECT(CONCATENATE("Tab_",Tab_Calculs[[#This Row],[Colonne1]])),Tab_Calculs[[#This Row],[index_date_livraison]]+1,7)*(Tab_Calculs[[#This Row],[fin mois]]-MIN(Tab_Calculs[[#This Row],[fin mois]],Tab_Calculs[[#This Row],[Date_livraison]]))</f>
        <v>#VALUE!</v>
      </c>
      <c r="R114" t="e">
        <f ca="1">Tab_Calculs[[#This Row],[Ratio_Cout_après_livr]]+Tab_Calculs[[#This Row],[Ratio_Cout_avant_livr]]+Tab_Calculs[[#This Row],[Ratio_Cout_avant_debut]]</f>
        <v>#VALUE!</v>
      </c>
      <c r="S114" t="str">
        <f ca="1">IFERROR(N114*VLOOKUP(Tab_Calculs[[#This Row],[Colonne1]],Controle_des_données!$B$7:$G$14,6,FALSE),"")</f>
        <v/>
      </c>
      <c r="T114" t="str">
        <f ca="1">IF(Tab_Calculs[[#This Row],[Combustible ]]="Electricité (kWh)",Tab_Calculs[[#This Row],[Conso_mois_kWh]]*2.3,Tab_Calculs[[#This Row],[Conso_mois_kWh]])</f>
        <v/>
      </c>
      <c r="U114" t="str">
        <f ca="1">IFERROR(N114*VLOOKUP(Tab_Calculs[[#This Row],[Colonne1]],Controle_des_données!$B$7:$H$14,7,FALSE),"")</f>
        <v/>
      </c>
      <c r="V114">
        <f ca="1">IFERROR(Tab_Calculs[[#This Row],[Cout_mois]]/Tab_Calculs[[#This Row],[Conso_mois_kWh]],0)</f>
        <v>0</v>
      </c>
      <c r="W114" t="str">
        <f>T(VLOOKUP(Tab_Calculs[[#This Row],[Compteur]],Site!$B$33:$G$40,3,FALSE))</f>
        <v/>
      </c>
      <c r="X114" t="str">
        <f>T(VLOOKUP(Tab_Calculs[[#This Row],[Compteur]],Site!$B$33:$G$40,4,FALSE))</f>
        <v/>
      </c>
      <c r="Y114" t="str">
        <f>T(VLOOKUP(Tab_Calculs[[#This Row],[Compteur]],Site!$B$33:$G$40,5,FALSE))</f>
        <v/>
      </c>
      <c r="Z114" t="str">
        <f>T(VLOOKUP(Tab_Calculs[[#This Row],[Compteur]],Site!$B$33:$G$40,6,FALSE))</f>
        <v/>
      </c>
      <c r="AA114">
        <f>IFERROR(GETPIVOTDATA("DJU(chauffagiste)",BDD_DJU!$P$13,"annee",Tab_Calculs[[#This Row],[ANNEE]],"mois_numero",Tab_Calculs[[#This Row],[MOIS]]),0)</f>
        <v>157.5</v>
      </c>
    </row>
    <row r="115" spans="1:27" x14ac:dyDescent="0.25">
      <c r="A115" s="3">
        <f>DATE(Tab_Calculs[[#This Row],[ANNEE]],Tab_Calculs[[#This Row],[MOIS]],1)</f>
        <v>43405</v>
      </c>
      <c r="B115" s="3">
        <f>EDATE(Tab_Calculs[[#This Row],[Début mois]],1)-1</f>
        <v>43434</v>
      </c>
      <c r="C115">
        <f t="shared" si="1"/>
        <v>11</v>
      </c>
      <c r="D115">
        <f t="shared" si="0"/>
        <v>2018</v>
      </c>
      <c r="E115" t="s">
        <v>80</v>
      </c>
      <c r="F115" t="str">
        <f>SUBSTITUTE(Tab_Calculs[[#This Row],[Compteur]]," ","_")</f>
        <v>Compteur_1</v>
      </c>
      <c r="G115" t="str">
        <f>T(INDEX(Site!$B$33:$G$40, MATCH(Tab_Calculs[[#This Row],[Compteur]], Site!$B$33:$B$40,0),2))</f>
        <v/>
      </c>
      <c r="H115" s="3">
        <f t="array" aca="1" ref="H115" ca="1">MIN(IF(INDIRECT(CONCATENATE(Tab_Calculs[[#This Row],[Colonne1]],"!$B$2:$B$243"))&gt;=Calculs_Consos!$A115,INDIRECT(CONCATENATE(Tab_Calculs[[#This Row],[Colonne1]],"!$B$2:$B$243"))))</f>
        <v>0</v>
      </c>
      <c r="I115" s="3">
        <f ca="1">INDEX(INDIRECT(CONCATENATE("Tab_",Tab_Calculs[[#This Row],[Colonne1]])),Tab_Calculs[[#This Row],[index_date_livraison]],1)</f>
        <v>0</v>
      </c>
      <c r="J115">
        <f ca="1">MATCH(Tab_Calculs[[#This Row],[Date_livraison]],INDIRECT(CONCATENATE("Tab_",Tab_Calculs[[#This Row],[Colonne1]],"[Fin de période]")),0)</f>
        <v>1</v>
      </c>
      <c r="K115" t="e">
        <f ca="1">INDEX(INDIRECT(CONCATENATE("Tab_",Tab_Calculs[[#This Row],[Colonne1]])),Tab_Calculs[[#This Row],[index_date_livraison]]-1,6)*(MAX(Tab_Calculs[[#This Row],[Début periode livraison]],Tab_Calculs[[#This Row],[Début mois]])-Tab_Calculs[[#This Row],[Début mois]])</f>
        <v>#VALUE!</v>
      </c>
      <c r="L115" s="94">
        <f ca="1">INDEX(INDIRECT(CONCATENATE("Tab_",Tab_Calculs[[#This Row],[Colonne1]])),Tab_Calculs[[#This Row],[index_date_livraison]],6)*(1+MIN(Tab_Calculs[[#This Row],[Date_livraison]],Tab_Calculs[[#This Row],[fin mois]])-MAX(Tab_Calculs[[#This Row],[Début mois]],Tab_Calculs[[#This Row],[Début periode livraison]]))</f>
        <v>0</v>
      </c>
      <c r="M115" s="94" t="e">
        <f ca="1">INDEX(INDIRECT(CONCATENATE("Tab_",Tab_Calculs[[#This Row],[Colonne1]])),Tab_Calculs[[#This Row],[index_date_livraison]]+1,6)*(Tab_Calculs[[#This Row],[fin mois]]-MIN(Tab_Calculs[[#This Row],[fin mois]],Tab_Calculs[[#This Row],[Date_livraison]]))</f>
        <v>#VALUE!</v>
      </c>
      <c r="N115" s="231" t="str">
        <f ca="1">IFERROR(Tab_Calculs[[#This Row],[Ratio_jour_après_livr]]+Tab_Calculs[[#This Row],[Ratio_jour_avant_livr]]+Tab_Calculs[[#This Row],[ratio_avant_debut]],"")</f>
        <v/>
      </c>
      <c r="O115" t="e">
        <f ca="1">INDEX(INDIRECT(CONCATENATE("Tab_",Tab_Calculs[[#This Row],[Colonne1]])),Tab_Calculs[[#This Row],[index_date_livraison]]-1,7)*(MAX(Tab_Calculs[[#This Row],[Début periode livraison]],Tab_Calculs[[#This Row],[Début mois]])-Tab_Calculs[[#This Row],[Début mois]])</f>
        <v>#VALUE!</v>
      </c>
      <c r="P115">
        <f ca="1">INDEX(INDIRECT(CONCATENATE("Tab_",Tab_Calculs[[#This Row],[Colonne1]])),Tab_Calculs[[#This Row],[index_date_livraison]],7)*(1+MIN(Tab_Calculs[[#This Row],[Date_livraison]],Tab_Calculs[[#This Row],[fin mois]])-MAX(Tab_Calculs[[#This Row],[Début mois]],Tab_Calculs[[#This Row],[Début periode livraison]]))</f>
        <v>0</v>
      </c>
      <c r="Q115" t="e">
        <f ca="1">INDEX(INDIRECT(CONCATENATE("Tab_",Tab_Calculs[[#This Row],[Colonne1]])),Tab_Calculs[[#This Row],[index_date_livraison]]+1,7)*(Tab_Calculs[[#This Row],[fin mois]]-MIN(Tab_Calculs[[#This Row],[fin mois]],Tab_Calculs[[#This Row],[Date_livraison]]))</f>
        <v>#VALUE!</v>
      </c>
      <c r="R115" t="e">
        <f ca="1">Tab_Calculs[[#This Row],[Ratio_Cout_après_livr]]+Tab_Calculs[[#This Row],[Ratio_Cout_avant_livr]]+Tab_Calculs[[#This Row],[Ratio_Cout_avant_debut]]</f>
        <v>#VALUE!</v>
      </c>
      <c r="S115" t="str">
        <f ca="1">IFERROR(N115*VLOOKUP(Tab_Calculs[[#This Row],[Colonne1]],Controle_des_données!$B$7:$G$14,6,FALSE),"")</f>
        <v/>
      </c>
      <c r="T115" t="str">
        <f ca="1">IF(Tab_Calculs[[#This Row],[Combustible ]]="Electricité (kWh)",Tab_Calculs[[#This Row],[Conso_mois_kWh]]*2.3,Tab_Calculs[[#This Row],[Conso_mois_kWh]])</f>
        <v/>
      </c>
      <c r="U115" t="str">
        <f ca="1">IFERROR(N115*VLOOKUP(Tab_Calculs[[#This Row],[Colonne1]],Controle_des_données!$B$7:$H$14,7,FALSE),"")</f>
        <v/>
      </c>
      <c r="V115">
        <f ca="1">IFERROR(Tab_Calculs[[#This Row],[Cout_mois]]/Tab_Calculs[[#This Row],[Conso_mois_kWh]],0)</f>
        <v>0</v>
      </c>
      <c r="W115" t="str">
        <f>T(VLOOKUP(Tab_Calculs[[#This Row],[Compteur]],Site!$B$33:$G$40,3,FALSE))</f>
        <v/>
      </c>
      <c r="X115" t="str">
        <f>T(VLOOKUP(Tab_Calculs[[#This Row],[Compteur]],Site!$B$33:$G$40,4,FALSE))</f>
        <v/>
      </c>
      <c r="Y115" t="str">
        <f>T(VLOOKUP(Tab_Calculs[[#This Row],[Compteur]],Site!$B$33:$G$40,5,FALSE))</f>
        <v/>
      </c>
      <c r="Z115" t="str">
        <f>T(VLOOKUP(Tab_Calculs[[#This Row],[Compteur]],Site!$B$33:$G$40,6,FALSE))</f>
        <v/>
      </c>
      <c r="AA115">
        <f>IFERROR(GETPIVOTDATA("DJU(chauffagiste)",BDD_DJU!$P$13,"annee",Tab_Calculs[[#This Row],[ANNEE]],"mois_numero",Tab_Calculs[[#This Row],[MOIS]]),0)</f>
        <v>278</v>
      </c>
    </row>
    <row r="116" spans="1:27" x14ac:dyDescent="0.25">
      <c r="A116" s="3">
        <f>DATE(Tab_Calculs[[#This Row],[ANNEE]],Tab_Calculs[[#This Row],[MOIS]],1)</f>
        <v>43435</v>
      </c>
      <c r="B116" s="3">
        <f>EDATE(Tab_Calculs[[#This Row],[Début mois]],1)-1</f>
        <v>43465</v>
      </c>
      <c r="C116">
        <f t="shared" si="1"/>
        <v>12</v>
      </c>
      <c r="D116">
        <f t="shared" si="0"/>
        <v>2018</v>
      </c>
      <c r="E116" t="s">
        <v>80</v>
      </c>
      <c r="F116" t="str">
        <f>SUBSTITUTE(Tab_Calculs[[#This Row],[Compteur]]," ","_")</f>
        <v>Compteur_1</v>
      </c>
      <c r="G116" t="str">
        <f>T(INDEX(Site!$B$33:$G$40, MATCH(Tab_Calculs[[#This Row],[Compteur]], Site!$B$33:$B$40,0),2))</f>
        <v/>
      </c>
      <c r="H116" s="3">
        <f t="array" aca="1" ref="H116" ca="1">MIN(IF(INDIRECT(CONCATENATE(Tab_Calculs[[#This Row],[Colonne1]],"!$B$2:$B$243"))&gt;=Calculs_Consos!$A116,INDIRECT(CONCATENATE(Tab_Calculs[[#This Row],[Colonne1]],"!$B$2:$B$243"))))</f>
        <v>0</v>
      </c>
      <c r="I116" s="3">
        <f ca="1">INDEX(INDIRECT(CONCATENATE("Tab_",Tab_Calculs[[#This Row],[Colonne1]])),Tab_Calculs[[#This Row],[index_date_livraison]],1)</f>
        <v>0</v>
      </c>
      <c r="J116">
        <f ca="1">MATCH(Tab_Calculs[[#This Row],[Date_livraison]],INDIRECT(CONCATENATE("Tab_",Tab_Calculs[[#This Row],[Colonne1]],"[Fin de période]")),0)</f>
        <v>1</v>
      </c>
      <c r="K116" t="e">
        <f ca="1">INDEX(INDIRECT(CONCATENATE("Tab_",Tab_Calculs[[#This Row],[Colonne1]])),Tab_Calculs[[#This Row],[index_date_livraison]]-1,6)*(MAX(Tab_Calculs[[#This Row],[Début periode livraison]],Tab_Calculs[[#This Row],[Début mois]])-Tab_Calculs[[#This Row],[Début mois]])</f>
        <v>#VALUE!</v>
      </c>
      <c r="L116" s="94">
        <f ca="1">INDEX(INDIRECT(CONCATENATE("Tab_",Tab_Calculs[[#This Row],[Colonne1]])),Tab_Calculs[[#This Row],[index_date_livraison]],6)*(1+MIN(Tab_Calculs[[#This Row],[Date_livraison]],Tab_Calculs[[#This Row],[fin mois]])-MAX(Tab_Calculs[[#This Row],[Début mois]],Tab_Calculs[[#This Row],[Début periode livraison]]))</f>
        <v>0</v>
      </c>
      <c r="M116" s="94" t="e">
        <f ca="1">INDEX(INDIRECT(CONCATENATE("Tab_",Tab_Calculs[[#This Row],[Colonne1]])),Tab_Calculs[[#This Row],[index_date_livraison]]+1,6)*(Tab_Calculs[[#This Row],[fin mois]]-MIN(Tab_Calculs[[#This Row],[fin mois]],Tab_Calculs[[#This Row],[Date_livraison]]))</f>
        <v>#VALUE!</v>
      </c>
      <c r="N116" s="231" t="str">
        <f ca="1">IFERROR(Tab_Calculs[[#This Row],[Ratio_jour_après_livr]]+Tab_Calculs[[#This Row],[Ratio_jour_avant_livr]]+Tab_Calculs[[#This Row],[ratio_avant_debut]],"")</f>
        <v/>
      </c>
      <c r="O116" t="e">
        <f ca="1">INDEX(INDIRECT(CONCATENATE("Tab_",Tab_Calculs[[#This Row],[Colonne1]])),Tab_Calculs[[#This Row],[index_date_livraison]]-1,7)*(MAX(Tab_Calculs[[#This Row],[Début periode livraison]],Tab_Calculs[[#This Row],[Début mois]])-Tab_Calculs[[#This Row],[Début mois]])</f>
        <v>#VALUE!</v>
      </c>
      <c r="P116">
        <f ca="1">INDEX(INDIRECT(CONCATENATE("Tab_",Tab_Calculs[[#This Row],[Colonne1]])),Tab_Calculs[[#This Row],[index_date_livraison]],7)*(1+MIN(Tab_Calculs[[#This Row],[Date_livraison]],Tab_Calculs[[#This Row],[fin mois]])-MAX(Tab_Calculs[[#This Row],[Début mois]],Tab_Calculs[[#This Row],[Début periode livraison]]))</f>
        <v>0</v>
      </c>
      <c r="Q116" t="e">
        <f ca="1">INDEX(INDIRECT(CONCATENATE("Tab_",Tab_Calculs[[#This Row],[Colonne1]])),Tab_Calculs[[#This Row],[index_date_livraison]]+1,7)*(Tab_Calculs[[#This Row],[fin mois]]-MIN(Tab_Calculs[[#This Row],[fin mois]],Tab_Calculs[[#This Row],[Date_livraison]]))</f>
        <v>#VALUE!</v>
      </c>
      <c r="R116" t="e">
        <f ca="1">Tab_Calculs[[#This Row],[Ratio_Cout_après_livr]]+Tab_Calculs[[#This Row],[Ratio_Cout_avant_livr]]+Tab_Calculs[[#This Row],[Ratio_Cout_avant_debut]]</f>
        <v>#VALUE!</v>
      </c>
      <c r="S116" t="str">
        <f ca="1">IFERROR(N116*VLOOKUP(Tab_Calculs[[#This Row],[Colonne1]],Controle_des_données!$B$7:$G$14,6,FALSE),"")</f>
        <v/>
      </c>
      <c r="T116" t="str">
        <f ca="1">IF(Tab_Calculs[[#This Row],[Combustible ]]="Electricité (kWh)",Tab_Calculs[[#This Row],[Conso_mois_kWh]]*2.3,Tab_Calculs[[#This Row],[Conso_mois_kWh]])</f>
        <v/>
      </c>
      <c r="U116" t="str">
        <f ca="1">IFERROR(N116*VLOOKUP(Tab_Calculs[[#This Row],[Colonne1]],Controle_des_données!$B$7:$H$14,7,FALSE),"")</f>
        <v/>
      </c>
      <c r="V116">
        <f ca="1">IFERROR(Tab_Calculs[[#This Row],[Cout_mois]]/Tab_Calculs[[#This Row],[Conso_mois_kWh]],0)</f>
        <v>0</v>
      </c>
      <c r="W116" t="str">
        <f>T(VLOOKUP(Tab_Calculs[[#This Row],[Compteur]],Site!$B$33:$G$40,3,FALSE))</f>
        <v/>
      </c>
      <c r="X116" t="str">
        <f>T(VLOOKUP(Tab_Calculs[[#This Row],[Compteur]],Site!$B$33:$G$40,4,FALSE))</f>
        <v/>
      </c>
      <c r="Y116" t="str">
        <f>T(VLOOKUP(Tab_Calculs[[#This Row],[Compteur]],Site!$B$33:$G$40,5,FALSE))</f>
        <v/>
      </c>
      <c r="Z116" t="str">
        <f>T(VLOOKUP(Tab_Calculs[[#This Row],[Compteur]],Site!$B$33:$G$40,6,FALSE))</f>
        <v/>
      </c>
      <c r="AA116">
        <f>IFERROR(GETPIVOTDATA("DJU(chauffagiste)",BDD_DJU!$P$13,"annee",Tab_Calculs[[#This Row],[ANNEE]],"mois_numero",Tab_Calculs[[#This Row],[MOIS]]),0)</f>
        <v>319.2</v>
      </c>
    </row>
    <row r="117" spans="1:27" x14ac:dyDescent="0.25">
      <c r="A117" s="3">
        <f>DATE(Tab_Calculs[[#This Row],[ANNEE]],Tab_Calculs[[#This Row],[MOIS]],1)</f>
        <v>43466</v>
      </c>
      <c r="B117" s="3">
        <f>EDATE(Tab_Calculs[[#This Row],[Début mois]],1)-1</f>
        <v>43496</v>
      </c>
      <c r="C117">
        <f t="shared" si="1"/>
        <v>1</v>
      </c>
      <c r="D117">
        <f t="shared" si="0"/>
        <v>2019</v>
      </c>
      <c r="E117" t="s">
        <v>80</v>
      </c>
      <c r="F117" t="str">
        <f>SUBSTITUTE(Tab_Calculs[[#This Row],[Compteur]]," ","_")</f>
        <v>Compteur_1</v>
      </c>
      <c r="G117" t="str">
        <f>T(INDEX(Site!$B$33:$G$40, MATCH(Tab_Calculs[[#This Row],[Compteur]], Site!$B$33:$B$40,0),2))</f>
        <v/>
      </c>
      <c r="H117" s="3">
        <f t="array" aca="1" ref="H117" ca="1">MIN(IF(INDIRECT(CONCATENATE(Tab_Calculs[[#This Row],[Colonne1]],"!$B$2:$B$243"))&gt;=Calculs_Consos!$A117,INDIRECT(CONCATENATE(Tab_Calculs[[#This Row],[Colonne1]],"!$B$2:$B$243"))))</f>
        <v>0</v>
      </c>
      <c r="I117" s="3">
        <f ca="1">INDEX(INDIRECT(CONCATENATE("Tab_",Tab_Calculs[[#This Row],[Colonne1]])),Tab_Calculs[[#This Row],[index_date_livraison]],1)</f>
        <v>0</v>
      </c>
      <c r="J117">
        <f ca="1">MATCH(Tab_Calculs[[#This Row],[Date_livraison]],INDIRECT(CONCATENATE("Tab_",Tab_Calculs[[#This Row],[Colonne1]],"[Fin de période]")),0)</f>
        <v>1</v>
      </c>
      <c r="K117" t="e">
        <f ca="1">INDEX(INDIRECT(CONCATENATE("Tab_",Tab_Calculs[[#This Row],[Colonne1]])),Tab_Calculs[[#This Row],[index_date_livraison]]-1,6)*(MAX(Tab_Calculs[[#This Row],[Début periode livraison]],Tab_Calculs[[#This Row],[Début mois]])-Tab_Calculs[[#This Row],[Début mois]])</f>
        <v>#VALUE!</v>
      </c>
      <c r="L117" s="94">
        <f ca="1">INDEX(INDIRECT(CONCATENATE("Tab_",Tab_Calculs[[#This Row],[Colonne1]])),Tab_Calculs[[#This Row],[index_date_livraison]],6)*(1+MIN(Tab_Calculs[[#This Row],[Date_livraison]],Tab_Calculs[[#This Row],[fin mois]])-MAX(Tab_Calculs[[#This Row],[Début mois]],Tab_Calculs[[#This Row],[Début periode livraison]]))</f>
        <v>0</v>
      </c>
      <c r="M117" s="94" t="e">
        <f ca="1">INDEX(INDIRECT(CONCATENATE("Tab_",Tab_Calculs[[#This Row],[Colonne1]])),Tab_Calculs[[#This Row],[index_date_livraison]]+1,6)*(Tab_Calculs[[#This Row],[fin mois]]-MIN(Tab_Calculs[[#This Row],[fin mois]],Tab_Calculs[[#This Row],[Date_livraison]]))</f>
        <v>#VALUE!</v>
      </c>
      <c r="N117" s="231" t="str">
        <f ca="1">IFERROR(Tab_Calculs[[#This Row],[Ratio_jour_après_livr]]+Tab_Calculs[[#This Row],[Ratio_jour_avant_livr]]+Tab_Calculs[[#This Row],[ratio_avant_debut]],"")</f>
        <v/>
      </c>
      <c r="O117" t="e">
        <f ca="1">INDEX(INDIRECT(CONCATENATE("Tab_",Tab_Calculs[[#This Row],[Colonne1]])),Tab_Calculs[[#This Row],[index_date_livraison]]-1,7)*(MAX(Tab_Calculs[[#This Row],[Début periode livraison]],Tab_Calculs[[#This Row],[Début mois]])-Tab_Calculs[[#This Row],[Début mois]])</f>
        <v>#VALUE!</v>
      </c>
      <c r="P117">
        <f ca="1">INDEX(INDIRECT(CONCATENATE("Tab_",Tab_Calculs[[#This Row],[Colonne1]])),Tab_Calculs[[#This Row],[index_date_livraison]],7)*(1+MIN(Tab_Calculs[[#This Row],[Date_livraison]],Tab_Calculs[[#This Row],[fin mois]])-MAX(Tab_Calculs[[#This Row],[Début mois]],Tab_Calculs[[#This Row],[Début periode livraison]]))</f>
        <v>0</v>
      </c>
      <c r="Q117" t="e">
        <f ca="1">INDEX(INDIRECT(CONCATENATE("Tab_",Tab_Calculs[[#This Row],[Colonne1]])),Tab_Calculs[[#This Row],[index_date_livraison]]+1,7)*(Tab_Calculs[[#This Row],[fin mois]]-MIN(Tab_Calculs[[#This Row],[fin mois]],Tab_Calculs[[#This Row],[Date_livraison]]))</f>
        <v>#VALUE!</v>
      </c>
      <c r="R117" t="e">
        <f ca="1">Tab_Calculs[[#This Row],[Ratio_Cout_après_livr]]+Tab_Calculs[[#This Row],[Ratio_Cout_avant_livr]]+Tab_Calculs[[#This Row],[Ratio_Cout_avant_debut]]</f>
        <v>#VALUE!</v>
      </c>
      <c r="S117" t="str">
        <f ca="1">IFERROR(N117*VLOOKUP(Tab_Calculs[[#This Row],[Colonne1]],Controle_des_données!$B$7:$G$14,6,FALSE),"")</f>
        <v/>
      </c>
      <c r="T117" t="str">
        <f ca="1">IF(Tab_Calculs[[#This Row],[Combustible ]]="Electricité (kWh)",Tab_Calculs[[#This Row],[Conso_mois_kWh]]*2.3,Tab_Calculs[[#This Row],[Conso_mois_kWh]])</f>
        <v/>
      </c>
      <c r="U117" t="str">
        <f ca="1">IFERROR(N117*VLOOKUP(Tab_Calculs[[#This Row],[Colonne1]],Controle_des_données!$B$7:$H$14,7,FALSE),"")</f>
        <v/>
      </c>
      <c r="V117">
        <f ca="1">IFERROR(Tab_Calculs[[#This Row],[Cout_mois]]/Tab_Calculs[[#This Row],[Conso_mois_kWh]],0)</f>
        <v>0</v>
      </c>
      <c r="W117" t="str">
        <f>T(VLOOKUP(Tab_Calculs[[#This Row],[Compteur]],Site!$B$33:$G$40,3,FALSE))</f>
        <v/>
      </c>
      <c r="X117" t="str">
        <f>T(VLOOKUP(Tab_Calculs[[#This Row],[Compteur]],Site!$B$33:$G$40,4,FALSE))</f>
        <v/>
      </c>
      <c r="Y117" t="str">
        <f>T(VLOOKUP(Tab_Calculs[[#This Row],[Compteur]],Site!$B$33:$G$40,5,FALSE))</f>
        <v/>
      </c>
      <c r="Z117" t="str">
        <f>T(VLOOKUP(Tab_Calculs[[#This Row],[Compteur]],Site!$B$33:$G$40,6,FALSE))</f>
        <v/>
      </c>
      <c r="AA117">
        <f>IFERROR(GETPIVOTDATA("DJU(chauffagiste)",BDD_DJU!$P$13,"annee",Tab_Calculs[[#This Row],[ANNEE]],"mois_numero",Tab_Calculs[[#This Row],[MOIS]]),0)</f>
        <v>402.2</v>
      </c>
    </row>
    <row r="118" spans="1:27" x14ac:dyDescent="0.25">
      <c r="A118" s="3">
        <f>DATE(Tab_Calculs[[#This Row],[ANNEE]],Tab_Calculs[[#This Row],[MOIS]],1)</f>
        <v>43497</v>
      </c>
      <c r="B118" s="3">
        <f>EDATE(Tab_Calculs[[#This Row],[Début mois]],1)-1</f>
        <v>43524</v>
      </c>
      <c r="C118">
        <f t="shared" si="1"/>
        <v>2</v>
      </c>
      <c r="D118">
        <f t="shared" si="0"/>
        <v>2019</v>
      </c>
      <c r="E118" t="s">
        <v>80</v>
      </c>
      <c r="F118" t="str">
        <f>SUBSTITUTE(Tab_Calculs[[#This Row],[Compteur]]," ","_")</f>
        <v>Compteur_1</v>
      </c>
      <c r="G118" t="str">
        <f>T(INDEX(Site!$B$33:$G$40, MATCH(Tab_Calculs[[#This Row],[Compteur]], Site!$B$33:$B$40,0),2))</f>
        <v/>
      </c>
      <c r="H118" s="3">
        <f t="array" aca="1" ref="H118" ca="1">MIN(IF(INDIRECT(CONCATENATE(Tab_Calculs[[#This Row],[Colonne1]],"!$B$2:$B$243"))&gt;=Calculs_Consos!$A118,INDIRECT(CONCATENATE(Tab_Calculs[[#This Row],[Colonne1]],"!$B$2:$B$243"))))</f>
        <v>0</v>
      </c>
      <c r="I118" s="3">
        <f ca="1">INDEX(INDIRECT(CONCATENATE("Tab_",Tab_Calculs[[#This Row],[Colonne1]])),Tab_Calculs[[#This Row],[index_date_livraison]],1)</f>
        <v>0</v>
      </c>
      <c r="J118">
        <f ca="1">MATCH(Tab_Calculs[[#This Row],[Date_livraison]],INDIRECT(CONCATENATE("Tab_",Tab_Calculs[[#This Row],[Colonne1]],"[Fin de période]")),0)</f>
        <v>1</v>
      </c>
      <c r="K118" t="e">
        <f ca="1">INDEX(INDIRECT(CONCATENATE("Tab_",Tab_Calculs[[#This Row],[Colonne1]])),Tab_Calculs[[#This Row],[index_date_livraison]]-1,6)*(MAX(Tab_Calculs[[#This Row],[Début periode livraison]],Tab_Calculs[[#This Row],[Début mois]])-Tab_Calculs[[#This Row],[Début mois]])</f>
        <v>#VALUE!</v>
      </c>
      <c r="L118" s="94">
        <f ca="1">INDEX(INDIRECT(CONCATENATE("Tab_",Tab_Calculs[[#This Row],[Colonne1]])),Tab_Calculs[[#This Row],[index_date_livraison]],6)*(1+MIN(Tab_Calculs[[#This Row],[Date_livraison]],Tab_Calculs[[#This Row],[fin mois]])-MAX(Tab_Calculs[[#This Row],[Début mois]],Tab_Calculs[[#This Row],[Début periode livraison]]))</f>
        <v>0</v>
      </c>
      <c r="M118" s="94" t="e">
        <f ca="1">INDEX(INDIRECT(CONCATENATE("Tab_",Tab_Calculs[[#This Row],[Colonne1]])),Tab_Calculs[[#This Row],[index_date_livraison]]+1,6)*(Tab_Calculs[[#This Row],[fin mois]]-MIN(Tab_Calculs[[#This Row],[fin mois]],Tab_Calculs[[#This Row],[Date_livraison]]))</f>
        <v>#VALUE!</v>
      </c>
      <c r="N118" s="231" t="str">
        <f ca="1">IFERROR(Tab_Calculs[[#This Row],[Ratio_jour_après_livr]]+Tab_Calculs[[#This Row],[Ratio_jour_avant_livr]]+Tab_Calculs[[#This Row],[ratio_avant_debut]],"")</f>
        <v/>
      </c>
      <c r="O118" t="e">
        <f ca="1">INDEX(INDIRECT(CONCATENATE("Tab_",Tab_Calculs[[#This Row],[Colonne1]])),Tab_Calculs[[#This Row],[index_date_livraison]]-1,7)*(MAX(Tab_Calculs[[#This Row],[Début periode livraison]],Tab_Calculs[[#This Row],[Début mois]])-Tab_Calculs[[#This Row],[Début mois]])</f>
        <v>#VALUE!</v>
      </c>
      <c r="P118">
        <f ca="1">INDEX(INDIRECT(CONCATENATE("Tab_",Tab_Calculs[[#This Row],[Colonne1]])),Tab_Calculs[[#This Row],[index_date_livraison]],7)*(1+MIN(Tab_Calculs[[#This Row],[Date_livraison]],Tab_Calculs[[#This Row],[fin mois]])-MAX(Tab_Calculs[[#This Row],[Début mois]],Tab_Calculs[[#This Row],[Début periode livraison]]))</f>
        <v>0</v>
      </c>
      <c r="Q118" t="e">
        <f ca="1">INDEX(INDIRECT(CONCATENATE("Tab_",Tab_Calculs[[#This Row],[Colonne1]])),Tab_Calculs[[#This Row],[index_date_livraison]]+1,7)*(Tab_Calculs[[#This Row],[fin mois]]-MIN(Tab_Calculs[[#This Row],[fin mois]],Tab_Calculs[[#This Row],[Date_livraison]]))</f>
        <v>#VALUE!</v>
      </c>
      <c r="R118" t="e">
        <f ca="1">Tab_Calculs[[#This Row],[Ratio_Cout_après_livr]]+Tab_Calculs[[#This Row],[Ratio_Cout_avant_livr]]+Tab_Calculs[[#This Row],[Ratio_Cout_avant_debut]]</f>
        <v>#VALUE!</v>
      </c>
      <c r="S118" t="str">
        <f ca="1">IFERROR(N118*VLOOKUP(Tab_Calculs[[#This Row],[Colonne1]],Controle_des_données!$B$7:$G$14,6,FALSE),"")</f>
        <v/>
      </c>
      <c r="T118" t="str">
        <f ca="1">IF(Tab_Calculs[[#This Row],[Combustible ]]="Electricité (kWh)",Tab_Calculs[[#This Row],[Conso_mois_kWh]]*2.3,Tab_Calculs[[#This Row],[Conso_mois_kWh]])</f>
        <v/>
      </c>
      <c r="U118" t="str">
        <f ca="1">IFERROR(N118*VLOOKUP(Tab_Calculs[[#This Row],[Colonne1]],Controle_des_données!$B$7:$H$14,7,FALSE),"")</f>
        <v/>
      </c>
      <c r="V118">
        <f ca="1">IFERROR(Tab_Calculs[[#This Row],[Cout_mois]]/Tab_Calculs[[#This Row],[Conso_mois_kWh]],0)</f>
        <v>0</v>
      </c>
      <c r="W118" t="str">
        <f>T(VLOOKUP(Tab_Calculs[[#This Row],[Compteur]],Site!$B$33:$G$40,3,FALSE))</f>
        <v/>
      </c>
      <c r="X118" t="str">
        <f>T(VLOOKUP(Tab_Calculs[[#This Row],[Compteur]],Site!$B$33:$G$40,4,FALSE))</f>
        <v/>
      </c>
      <c r="Y118" t="str">
        <f>T(VLOOKUP(Tab_Calculs[[#This Row],[Compteur]],Site!$B$33:$G$40,5,FALSE))</f>
        <v/>
      </c>
      <c r="Z118" t="str">
        <f>T(VLOOKUP(Tab_Calculs[[#This Row],[Compteur]],Site!$B$33:$G$40,6,FALSE))</f>
        <v/>
      </c>
      <c r="AA118">
        <f>IFERROR(GETPIVOTDATA("DJU(chauffagiste)",BDD_DJU!$P$13,"annee",Tab_Calculs[[#This Row],[ANNEE]],"mois_numero",Tab_Calculs[[#This Row],[MOIS]]),0)</f>
        <v>297.3</v>
      </c>
    </row>
    <row r="119" spans="1:27" x14ac:dyDescent="0.25">
      <c r="A119" s="3">
        <f>DATE(Tab_Calculs[[#This Row],[ANNEE]],Tab_Calculs[[#This Row],[MOIS]],1)</f>
        <v>43525</v>
      </c>
      <c r="B119" s="3">
        <f>EDATE(Tab_Calculs[[#This Row],[Début mois]],1)-1</f>
        <v>43555</v>
      </c>
      <c r="C119">
        <f t="shared" si="1"/>
        <v>3</v>
      </c>
      <c r="D119">
        <f t="shared" si="0"/>
        <v>2019</v>
      </c>
      <c r="E119" t="s">
        <v>80</v>
      </c>
      <c r="F119" t="str">
        <f>SUBSTITUTE(Tab_Calculs[[#This Row],[Compteur]]," ","_")</f>
        <v>Compteur_1</v>
      </c>
      <c r="G119" t="str">
        <f>T(INDEX(Site!$B$33:$G$40, MATCH(Tab_Calculs[[#This Row],[Compteur]], Site!$B$33:$B$40,0),2))</f>
        <v/>
      </c>
      <c r="H119" s="3">
        <f t="array" aca="1" ref="H119" ca="1">MIN(IF(INDIRECT(CONCATENATE(Tab_Calculs[[#This Row],[Colonne1]],"!$B$2:$B$243"))&gt;=Calculs_Consos!$A119,INDIRECT(CONCATENATE(Tab_Calculs[[#This Row],[Colonne1]],"!$B$2:$B$243"))))</f>
        <v>0</v>
      </c>
      <c r="I119" s="3">
        <f ca="1">INDEX(INDIRECT(CONCATENATE("Tab_",Tab_Calculs[[#This Row],[Colonne1]])),Tab_Calculs[[#This Row],[index_date_livraison]],1)</f>
        <v>0</v>
      </c>
      <c r="J119">
        <f ca="1">MATCH(Tab_Calculs[[#This Row],[Date_livraison]],INDIRECT(CONCATENATE("Tab_",Tab_Calculs[[#This Row],[Colonne1]],"[Fin de période]")),0)</f>
        <v>1</v>
      </c>
      <c r="K119" t="e">
        <f ca="1">INDEX(INDIRECT(CONCATENATE("Tab_",Tab_Calculs[[#This Row],[Colonne1]])),Tab_Calculs[[#This Row],[index_date_livraison]]-1,6)*(MAX(Tab_Calculs[[#This Row],[Début periode livraison]],Tab_Calculs[[#This Row],[Début mois]])-Tab_Calculs[[#This Row],[Début mois]])</f>
        <v>#VALUE!</v>
      </c>
      <c r="L119" s="94">
        <f ca="1">INDEX(INDIRECT(CONCATENATE("Tab_",Tab_Calculs[[#This Row],[Colonne1]])),Tab_Calculs[[#This Row],[index_date_livraison]],6)*(1+MIN(Tab_Calculs[[#This Row],[Date_livraison]],Tab_Calculs[[#This Row],[fin mois]])-MAX(Tab_Calculs[[#This Row],[Début mois]],Tab_Calculs[[#This Row],[Début periode livraison]]))</f>
        <v>0</v>
      </c>
      <c r="M119" s="94" t="e">
        <f ca="1">INDEX(INDIRECT(CONCATENATE("Tab_",Tab_Calculs[[#This Row],[Colonne1]])),Tab_Calculs[[#This Row],[index_date_livraison]]+1,6)*(Tab_Calculs[[#This Row],[fin mois]]-MIN(Tab_Calculs[[#This Row],[fin mois]],Tab_Calculs[[#This Row],[Date_livraison]]))</f>
        <v>#VALUE!</v>
      </c>
      <c r="N119" s="231" t="str">
        <f ca="1">IFERROR(Tab_Calculs[[#This Row],[Ratio_jour_après_livr]]+Tab_Calculs[[#This Row],[Ratio_jour_avant_livr]]+Tab_Calculs[[#This Row],[ratio_avant_debut]],"")</f>
        <v/>
      </c>
      <c r="O119" t="e">
        <f ca="1">INDEX(INDIRECT(CONCATENATE("Tab_",Tab_Calculs[[#This Row],[Colonne1]])),Tab_Calculs[[#This Row],[index_date_livraison]]-1,7)*(MAX(Tab_Calculs[[#This Row],[Début periode livraison]],Tab_Calculs[[#This Row],[Début mois]])-Tab_Calculs[[#This Row],[Début mois]])</f>
        <v>#VALUE!</v>
      </c>
      <c r="P119">
        <f ca="1">INDEX(INDIRECT(CONCATENATE("Tab_",Tab_Calculs[[#This Row],[Colonne1]])),Tab_Calculs[[#This Row],[index_date_livraison]],7)*(1+MIN(Tab_Calculs[[#This Row],[Date_livraison]],Tab_Calculs[[#This Row],[fin mois]])-MAX(Tab_Calculs[[#This Row],[Début mois]],Tab_Calculs[[#This Row],[Début periode livraison]]))</f>
        <v>0</v>
      </c>
      <c r="Q119" t="e">
        <f ca="1">INDEX(INDIRECT(CONCATENATE("Tab_",Tab_Calculs[[#This Row],[Colonne1]])),Tab_Calculs[[#This Row],[index_date_livraison]]+1,7)*(Tab_Calculs[[#This Row],[fin mois]]-MIN(Tab_Calculs[[#This Row],[fin mois]],Tab_Calculs[[#This Row],[Date_livraison]]))</f>
        <v>#VALUE!</v>
      </c>
      <c r="R119" t="e">
        <f ca="1">Tab_Calculs[[#This Row],[Ratio_Cout_après_livr]]+Tab_Calculs[[#This Row],[Ratio_Cout_avant_livr]]+Tab_Calculs[[#This Row],[Ratio_Cout_avant_debut]]</f>
        <v>#VALUE!</v>
      </c>
      <c r="S119" t="str">
        <f ca="1">IFERROR(N119*VLOOKUP(Tab_Calculs[[#This Row],[Colonne1]],Controle_des_données!$B$7:$G$14,6,FALSE),"")</f>
        <v/>
      </c>
      <c r="T119" t="str">
        <f ca="1">IF(Tab_Calculs[[#This Row],[Combustible ]]="Electricité (kWh)",Tab_Calculs[[#This Row],[Conso_mois_kWh]]*2.3,Tab_Calculs[[#This Row],[Conso_mois_kWh]])</f>
        <v/>
      </c>
      <c r="U119" t="str">
        <f ca="1">IFERROR(N119*VLOOKUP(Tab_Calculs[[#This Row],[Colonne1]],Controle_des_données!$B$7:$H$14,7,FALSE),"")</f>
        <v/>
      </c>
      <c r="V119">
        <f ca="1">IFERROR(Tab_Calculs[[#This Row],[Cout_mois]]/Tab_Calculs[[#This Row],[Conso_mois_kWh]],0)</f>
        <v>0</v>
      </c>
      <c r="W119" t="str">
        <f>T(VLOOKUP(Tab_Calculs[[#This Row],[Compteur]],Site!$B$33:$G$40,3,FALSE))</f>
        <v/>
      </c>
      <c r="X119" t="str">
        <f>T(VLOOKUP(Tab_Calculs[[#This Row],[Compteur]],Site!$B$33:$G$40,4,FALSE))</f>
        <v/>
      </c>
      <c r="Y119" t="str">
        <f>T(VLOOKUP(Tab_Calculs[[#This Row],[Compteur]],Site!$B$33:$G$40,5,FALSE))</f>
        <v/>
      </c>
      <c r="Z119" t="str">
        <f>T(VLOOKUP(Tab_Calculs[[#This Row],[Compteur]],Site!$B$33:$G$40,6,FALSE))</f>
        <v/>
      </c>
      <c r="AA119">
        <f>IFERROR(GETPIVOTDATA("DJU(chauffagiste)",BDD_DJU!$P$13,"annee",Tab_Calculs[[#This Row],[ANNEE]],"mois_numero",Tab_Calculs[[#This Row],[MOIS]]),0)</f>
        <v>260.39999999999998</v>
      </c>
    </row>
    <row r="120" spans="1:27" x14ac:dyDescent="0.25">
      <c r="A120" s="3">
        <f>DATE(Tab_Calculs[[#This Row],[ANNEE]],Tab_Calculs[[#This Row],[MOIS]],1)</f>
        <v>43556</v>
      </c>
      <c r="B120" s="3">
        <f>EDATE(Tab_Calculs[[#This Row],[Début mois]],1)-1</f>
        <v>43585</v>
      </c>
      <c r="C120">
        <f t="shared" si="1"/>
        <v>4</v>
      </c>
      <c r="D120">
        <f t="shared" si="0"/>
        <v>2019</v>
      </c>
      <c r="E120" t="s">
        <v>80</v>
      </c>
      <c r="F120" t="str">
        <f>SUBSTITUTE(Tab_Calculs[[#This Row],[Compteur]]," ","_")</f>
        <v>Compteur_1</v>
      </c>
      <c r="G120" t="str">
        <f>T(INDEX(Site!$B$33:$G$40, MATCH(Tab_Calculs[[#This Row],[Compteur]], Site!$B$33:$B$40,0),2))</f>
        <v/>
      </c>
      <c r="H120" s="3">
        <f t="array" aca="1" ref="H120" ca="1">MIN(IF(INDIRECT(CONCATENATE(Tab_Calculs[[#This Row],[Colonne1]],"!$B$2:$B$243"))&gt;=Calculs_Consos!$A120,INDIRECT(CONCATENATE(Tab_Calculs[[#This Row],[Colonne1]],"!$B$2:$B$243"))))</f>
        <v>0</v>
      </c>
      <c r="I120" s="3">
        <f ca="1">INDEX(INDIRECT(CONCATENATE("Tab_",Tab_Calculs[[#This Row],[Colonne1]])),Tab_Calculs[[#This Row],[index_date_livraison]],1)</f>
        <v>0</v>
      </c>
      <c r="J120">
        <f ca="1">MATCH(Tab_Calculs[[#This Row],[Date_livraison]],INDIRECT(CONCATENATE("Tab_",Tab_Calculs[[#This Row],[Colonne1]],"[Fin de période]")),0)</f>
        <v>1</v>
      </c>
      <c r="K120" t="e">
        <f ca="1">INDEX(INDIRECT(CONCATENATE("Tab_",Tab_Calculs[[#This Row],[Colonne1]])),Tab_Calculs[[#This Row],[index_date_livraison]]-1,6)*(MAX(Tab_Calculs[[#This Row],[Début periode livraison]],Tab_Calculs[[#This Row],[Début mois]])-Tab_Calculs[[#This Row],[Début mois]])</f>
        <v>#VALUE!</v>
      </c>
      <c r="L120" s="94">
        <f ca="1">INDEX(INDIRECT(CONCATENATE("Tab_",Tab_Calculs[[#This Row],[Colonne1]])),Tab_Calculs[[#This Row],[index_date_livraison]],6)*(1+MIN(Tab_Calculs[[#This Row],[Date_livraison]],Tab_Calculs[[#This Row],[fin mois]])-MAX(Tab_Calculs[[#This Row],[Début mois]],Tab_Calculs[[#This Row],[Début periode livraison]]))</f>
        <v>0</v>
      </c>
      <c r="M120" s="94" t="e">
        <f ca="1">INDEX(INDIRECT(CONCATENATE("Tab_",Tab_Calculs[[#This Row],[Colonne1]])),Tab_Calculs[[#This Row],[index_date_livraison]]+1,6)*(Tab_Calculs[[#This Row],[fin mois]]-MIN(Tab_Calculs[[#This Row],[fin mois]],Tab_Calculs[[#This Row],[Date_livraison]]))</f>
        <v>#VALUE!</v>
      </c>
      <c r="N120" s="231" t="str">
        <f ca="1">IFERROR(Tab_Calculs[[#This Row],[Ratio_jour_après_livr]]+Tab_Calculs[[#This Row],[Ratio_jour_avant_livr]]+Tab_Calculs[[#This Row],[ratio_avant_debut]],"")</f>
        <v/>
      </c>
      <c r="O120" t="e">
        <f ca="1">INDEX(INDIRECT(CONCATENATE("Tab_",Tab_Calculs[[#This Row],[Colonne1]])),Tab_Calculs[[#This Row],[index_date_livraison]]-1,7)*(MAX(Tab_Calculs[[#This Row],[Début periode livraison]],Tab_Calculs[[#This Row],[Début mois]])-Tab_Calculs[[#This Row],[Début mois]])</f>
        <v>#VALUE!</v>
      </c>
      <c r="P120">
        <f ca="1">INDEX(INDIRECT(CONCATENATE("Tab_",Tab_Calculs[[#This Row],[Colonne1]])),Tab_Calculs[[#This Row],[index_date_livraison]],7)*(1+MIN(Tab_Calculs[[#This Row],[Date_livraison]],Tab_Calculs[[#This Row],[fin mois]])-MAX(Tab_Calculs[[#This Row],[Début mois]],Tab_Calculs[[#This Row],[Début periode livraison]]))</f>
        <v>0</v>
      </c>
      <c r="Q120" t="e">
        <f ca="1">INDEX(INDIRECT(CONCATENATE("Tab_",Tab_Calculs[[#This Row],[Colonne1]])),Tab_Calculs[[#This Row],[index_date_livraison]]+1,7)*(Tab_Calculs[[#This Row],[fin mois]]-MIN(Tab_Calculs[[#This Row],[fin mois]],Tab_Calculs[[#This Row],[Date_livraison]]))</f>
        <v>#VALUE!</v>
      </c>
      <c r="R120" t="e">
        <f ca="1">Tab_Calculs[[#This Row],[Ratio_Cout_après_livr]]+Tab_Calculs[[#This Row],[Ratio_Cout_avant_livr]]+Tab_Calculs[[#This Row],[Ratio_Cout_avant_debut]]</f>
        <v>#VALUE!</v>
      </c>
      <c r="S120" t="str">
        <f ca="1">IFERROR(N120*VLOOKUP(Tab_Calculs[[#This Row],[Colonne1]],Controle_des_données!$B$7:$G$14,6,FALSE),"")</f>
        <v/>
      </c>
      <c r="T120" t="str">
        <f ca="1">IF(Tab_Calculs[[#This Row],[Combustible ]]="Electricité (kWh)",Tab_Calculs[[#This Row],[Conso_mois_kWh]]*2.3,Tab_Calculs[[#This Row],[Conso_mois_kWh]])</f>
        <v/>
      </c>
      <c r="U120" t="str">
        <f ca="1">IFERROR(N120*VLOOKUP(Tab_Calculs[[#This Row],[Colonne1]],Controle_des_données!$B$7:$H$14,7,FALSE),"")</f>
        <v/>
      </c>
      <c r="V120">
        <f ca="1">IFERROR(Tab_Calculs[[#This Row],[Cout_mois]]/Tab_Calculs[[#This Row],[Conso_mois_kWh]],0)</f>
        <v>0</v>
      </c>
      <c r="W120" t="str">
        <f>T(VLOOKUP(Tab_Calculs[[#This Row],[Compteur]],Site!$B$33:$G$40,3,FALSE))</f>
        <v/>
      </c>
      <c r="X120" t="str">
        <f>T(VLOOKUP(Tab_Calculs[[#This Row],[Compteur]],Site!$B$33:$G$40,4,FALSE))</f>
        <v/>
      </c>
      <c r="Y120" t="str">
        <f>T(VLOOKUP(Tab_Calculs[[#This Row],[Compteur]],Site!$B$33:$G$40,5,FALSE))</f>
        <v/>
      </c>
      <c r="Z120" t="str">
        <f>T(VLOOKUP(Tab_Calculs[[#This Row],[Compteur]],Site!$B$33:$G$40,6,FALSE))</f>
        <v/>
      </c>
      <c r="AA120">
        <f>IFERROR(GETPIVOTDATA("DJU(chauffagiste)",BDD_DJU!$P$13,"annee",Tab_Calculs[[#This Row],[ANNEE]],"mois_numero",Tab_Calculs[[#This Row],[MOIS]]),0)</f>
        <v>201.4</v>
      </c>
    </row>
    <row r="121" spans="1:27" x14ac:dyDescent="0.25">
      <c r="A121" s="3">
        <f>DATE(Tab_Calculs[[#This Row],[ANNEE]],Tab_Calculs[[#This Row],[MOIS]],1)</f>
        <v>43586</v>
      </c>
      <c r="B121" s="3">
        <f>EDATE(Tab_Calculs[[#This Row],[Début mois]],1)-1</f>
        <v>43616</v>
      </c>
      <c r="C121">
        <f t="shared" si="1"/>
        <v>5</v>
      </c>
      <c r="D121">
        <f t="shared" si="0"/>
        <v>2019</v>
      </c>
      <c r="E121" t="s">
        <v>80</v>
      </c>
      <c r="F121" t="str">
        <f>SUBSTITUTE(Tab_Calculs[[#This Row],[Compteur]]," ","_")</f>
        <v>Compteur_1</v>
      </c>
      <c r="G121" t="str">
        <f>T(INDEX(Site!$B$33:$G$40, MATCH(Tab_Calculs[[#This Row],[Compteur]], Site!$B$33:$B$40,0),2))</f>
        <v/>
      </c>
      <c r="H121" s="3">
        <f t="array" aca="1" ref="H121" ca="1">MIN(IF(INDIRECT(CONCATENATE(Tab_Calculs[[#This Row],[Colonne1]],"!$B$2:$B$243"))&gt;=Calculs_Consos!$A121,INDIRECT(CONCATENATE(Tab_Calculs[[#This Row],[Colonne1]],"!$B$2:$B$243"))))</f>
        <v>0</v>
      </c>
      <c r="I121" s="3">
        <f ca="1">INDEX(INDIRECT(CONCATENATE("Tab_",Tab_Calculs[[#This Row],[Colonne1]])),Tab_Calculs[[#This Row],[index_date_livraison]],1)</f>
        <v>0</v>
      </c>
      <c r="J121">
        <f ca="1">MATCH(Tab_Calculs[[#This Row],[Date_livraison]],INDIRECT(CONCATENATE("Tab_",Tab_Calculs[[#This Row],[Colonne1]],"[Fin de période]")),0)</f>
        <v>1</v>
      </c>
      <c r="K121" t="e">
        <f ca="1">INDEX(INDIRECT(CONCATENATE("Tab_",Tab_Calculs[[#This Row],[Colonne1]])),Tab_Calculs[[#This Row],[index_date_livraison]]-1,6)*(MAX(Tab_Calculs[[#This Row],[Début periode livraison]],Tab_Calculs[[#This Row],[Début mois]])-Tab_Calculs[[#This Row],[Début mois]])</f>
        <v>#VALUE!</v>
      </c>
      <c r="L121" s="94">
        <f ca="1">INDEX(INDIRECT(CONCATENATE("Tab_",Tab_Calculs[[#This Row],[Colonne1]])),Tab_Calculs[[#This Row],[index_date_livraison]],6)*(1+MIN(Tab_Calculs[[#This Row],[Date_livraison]],Tab_Calculs[[#This Row],[fin mois]])-MAX(Tab_Calculs[[#This Row],[Début mois]],Tab_Calculs[[#This Row],[Début periode livraison]]))</f>
        <v>0</v>
      </c>
      <c r="M121" s="94" t="e">
        <f ca="1">INDEX(INDIRECT(CONCATENATE("Tab_",Tab_Calculs[[#This Row],[Colonne1]])),Tab_Calculs[[#This Row],[index_date_livraison]]+1,6)*(Tab_Calculs[[#This Row],[fin mois]]-MIN(Tab_Calculs[[#This Row],[fin mois]],Tab_Calculs[[#This Row],[Date_livraison]]))</f>
        <v>#VALUE!</v>
      </c>
      <c r="N121" s="231" t="str">
        <f ca="1">IFERROR(Tab_Calculs[[#This Row],[Ratio_jour_après_livr]]+Tab_Calculs[[#This Row],[Ratio_jour_avant_livr]]+Tab_Calculs[[#This Row],[ratio_avant_debut]],"")</f>
        <v/>
      </c>
      <c r="O121" t="e">
        <f ca="1">INDEX(INDIRECT(CONCATENATE("Tab_",Tab_Calculs[[#This Row],[Colonne1]])),Tab_Calculs[[#This Row],[index_date_livraison]]-1,7)*(MAX(Tab_Calculs[[#This Row],[Début periode livraison]],Tab_Calculs[[#This Row],[Début mois]])-Tab_Calculs[[#This Row],[Début mois]])</f>
        <v>#VALUE!</v>
      </c>
      <c r="P121">
        <f ca="1">INDEX(INDIRECT(CONCATENATE("Tab_",Tab_Calculs[[#This Row],[Colonne1]])),Tab_Calculs[[#This Row],[index_date_livraison]],7)*(1+MIN(Tab_Calculs[[#This Row],[Date_livraison]],Tab_Calculs[[#This Row],[fin mois]])-MAX(Tab_Calculs[[#This Row],[Début mois]],Tab_Calculs[[#This Row],[Début periode livraison]]))</f>
        <v>0</v>
      </c>
      <c r="Q121" t="e">
        <f ca="1">INDEX(INDIRECT(CONCATENATE("Tab_",Tab_Calculs[[#This Row],[Colonne1]])),Tab_Calculs[[#This Row],[index_date_livraison]]+1,7)*(Tab_Calculs[[#This Row],[fin mois]]-MIN(Tab_Calculs[[#This Row],[fin mois]],Tab_Calculs[[#This Row],[Date_livraison]]))</f>
        <v>#VALUE!</v>
      </c>
      <c r="R121" t="e">
        <f ca="1">Tab_Calculs[[#This Row],[Ratio_Cout_après_livr]]+Tab_Calculs[[#This Row],[Ratio_Cout_avant_livr]]+Tab_Calculs[[#This Row],[Ratio_Cout_avant_debut]]</f>
        <v>#VALUE!</v>
      </c>
      <c r="S121" t="str">
        <f ca="1">IFERROR(N121*VLOOKUP(Tab_Calculs[[#This Row],[Colonne1]],Controle_des_données!$B$7:$G$14,6,FALSE),"")</f>
        <v/>
      </c>
      <c r="T121" t="str">
        <f ca="1">IF(Tab_Calculs[[#This Row],[Combustible ]]="Electricité (kWh)",Tab_Calculs[[#This Row],[Conso_mois_kWh]]*2.3,Tab_Calculs[[#This Row],[Conso_mois_kWh]])</f>
        <v/>
      </c>
      <c r="U121" t="str">
        <f ca="1">IFERROR(N121*VLOOKUP(Tab_Calculs[[#This Row],[Colonne1]],Controle_des_données!$B$7:$H$14,7,FALSE),"")</f>
        <v/>
      </c>
      <c r="V121">
        <f ca="1">IFERROR(Tab_Calculs[[#This Row],[Cout_mois]]/Tab_Calculs[[#This Row],[Conso_mois_kWh]],0)</f>
        <v>0</v>
      </c>
      <c r="W121" t="str">
        <f>T(VLOOKUP(Tab_Calculs[[#This Row],[Compteur]],Site!$B$33:$G$40,3,FALSE))</f>
        <v/>
      </c>
      <c r="X121" t="str">
        <f>T(VLOOKUP(Tab_Calculs[[#This Row],[Compteur]],Site!$B$33:$G$40,4,FALSE))</f>
        <v/>
      </c>
      <c r="Y121" t="str">
        <f>T(VLOOKUP(Tab_Calculs[[#This Row],[Compteur]],Site!$B$33:$G$40,5,FALSE))</f>
        <v/>
      </c>
      <c r="Z121" t="str">
        <f>T(VLOOKUP(Tab_Calculs[[#This Row],[Compteur]],Site!$B$33:$G$40,6,FALSE))</f>
        <v/>
      </c>
      <c r="AA121">
        <f>IFERROR(GETPIVOTDATA("DJU(chauffagiste)",BDD_DJU!$P$13,"annee",Tab_Calculs[[#This Row],[ANNEE]],"mois_numero",Tab_Calculs[[#This Row],[MOIS]]),0)</f>
        <v>147.9</v>
      </c>
    </row>
    <row r="122" spans="1:27" x14ac:dyDescent="0.25">
      <c r="A122" s="3">
        <f>DATE(Tab_Calculs[[#This Row],[ANNEE]],Tab_Calculs[[#This Row],[MOIS]],1)</f>
        <v>43617</v>
      </c>
      <c r="B122" s="3">
        <f>EDATE(Tab_Calculs[[#This Row],[Début mois]],1)-1</f>
        <v>43646</v>
      </c>
      <c r="C122">
        <f t="shared" si="1"/>
        <v>6</v>
      </c>
      <c r="D122">
        <f t="shared" si="0"/>
        <v>2019</v>
      </c>
      <c r="E122" t="s">
        <v>80</v>
      </c>
      <c r="F122" t="str">
        <f>SUBSTITUTE(Tab_Calculs[[#This Row],[Compteur]]," ","_")</f>
        <v>Compteur_1</v>
      </c>
      <c r="G122" t="str">
        <f>T(INDEX(Site!$B$33:$G$40, MATCH(Tab_Calculs[[#This Row],[Compteur]], Site!$B$33:$B$40,0),2))</f>
        <v/>
      </c>
      <c r="H122" s="3">
        <f t="array" aca="1" ref="H122" ca="1">MIN(IF(INDIRECT(CONCATENATE(Tab_Calculs[[#This Row],[Colonne1]],"!$B$2:$B$243"))&gt;=Calculs_Consos!$A122,INDIRECT(CONCATENATE(Tab_Calculs[[#This Row],[Colonne1]],"!$B$2:$B$243"))))</f>
        <v>0</v>
      </c>
      <c r="I122" s="3">
        <f ca="1">INDEX(INDIRECT(CONCATENATE("Tab_",Tab_Calculs[[#This Row],[Colonne1]])),Tab_Calculs[[#This Row],[index_date_livraison]],1)</f>
        <v>0</v>
      </c>
      <c r="J122">
        <f ca="1">MATCH(Tab_Calculs[[#This Row],[Date_livraison]],INDIRECT(CONCATENATE("Tab_",Tab_Calculs[[#This Row],[Colonne1]],"[Fin de période]")),0)</f>
        <v>1</v>
      </c>
      <c r="K122" t="e">
        <f ca="1">INDEX(INDIRECT(CONCATENATE("Tab_",Tab_Calculs[[#This Row],[Colonne1]])),Tab_Calculs[[#This Row],[index_date_livraison]]-1,6)*(MAX(Tab_Calculs[[#This Row],[Début periode livraison]],Tab_Calculs[[#This Row],[Début mois]])-Tab_Calculs[[#This Row],[Début mois]])</f>
        <v>#VALUE!</v>
      </c>
      <c r="L122" s="94">
        <f ca="1">INDEX(INDIRECT(CONCATENATE("Tab_",Tab_Calculs[[#This Row],[Colonne1]])),Tab_Calculs[[#This Row],[index_date_livraison]],6)*(1+MIN(Tab_Calculs[[#This Row],[Date_livraison]],Tab_Calculs[[#This Row],[fin mois]])-MAX(Tab_Calculs[[#This Row],[Début mois]],Tab_Calculs[[#This Row],[Début periode livraison]]))</f>
        <v>0</v>
      </c>
      <c r="M122" s="94" t="e">
        <f ca="1">INDEX(INDIRECT(CONCATENATE("Tab_",Tab_Calculs[[#This Row],[Colonne1]])),Tab_Calculs[[#This Row],[index_date_livraison]]+1,6)*(Tab_Calculs[[#This Row],[fin mois]]-MIN(Tab_Calculs[[#This Row],[fin mois]],Tab_Calculs[[#This Row],[Date_livraison]]))</f>
        <v>#VALUE!</v>
      </c>
      <c r="N122" s="231" t="str">
        <f ca="1">IFERROR(Tab_Calculs[[#This Row],[Ratio_jour_après_livr]]+Tab_Calculs[[#This Row],[Ratio_jour_avant_livr]]+Tab_Calculs[[#This Row],[ratio_avant_debut]],"")</f>
        <v/>
      </c>
      <c r="O122" t="e">
        <f ca="1">INDEX(INDIRECT(CONCATENATE("Tab_",Tab_Calculs[[#This Row],[Colonne1]])),Tab_Calculs[[#This Row],[index_date_livraison]]-1,7)*(MAX(Tab_Calculs[[#This Row],[Début periode livraison]],Tab_Calculs[[#This Row],[Début mois]])-Tab_Calculs[[#This Row],[Début mois]])</f>
        <v>#VALUE!</v>
      </c>
      <c r="P122">
        <f ca="1">INDEX(INDIRECT(CONCATENATE("Tab_",Tab_Calculs[[#This Row],[Colonne1]])),Tab_Calculs[[#This Row],[index_date_livraison]],7)*(1+MIN(Tab_Calculs[[#This Row],[Date_livraison]],Tab_Calculs[[#This Row],[fin mois]])-MAX(Tab_Calculs[[#This Row],[Début mois]],Tab_Calculs[[#This Row],[Début periode livraison]]))</f>
        <v>0</v>
      </c>
      <c r="Q122" t="e">
        <f ca="1">INDEX(INDIRECT(CONCATENATE("Tab_",Tab_Calculs[[#This Row],[Colonne1]])),Tab_Calculs[[#This Row],[index_date_livraison]]+1,7)*(Tab_Calculs[[#This Row],[fin mois]]-MIN(Tab_Calculs[[#This Row],[fin mois]],Tab_Calculs[[#This Row],[Date_livraison]]))</f>
        <v>#VALUE!</v>
      </c>
      <c r="R122" t="e">
        <f ca="1">Tab_Calculs[[#This Row],[Ratio_Cout_après_livr]]+Tab_Calculs[[#This Row],[Ratio_Cout_avant_livr]]+Tab_Calculs[[#This Row],[Ratio_Cout_avant_debut]]</f>
        <v>#VALUE!</v>
      </c>
      <c r="S122" t="str">
        <f ca="1">IFERROR(N122*VLOOKUP(Tab_Calculs[[#This Row],[Colonne1]],Controle_des_données!$B$7:$G$14,6,FALSE),"")</f>
        <v/>
      </c>
      <c r="T122" t="str">
        <f ca="1">IF(Tab_Calculs[[#This Row],[Combustible ]]="Electricité (kWh)",Tab_Calculs[[#This Row],[Conso_mois_kWh]]*2.3,Tab_Calculs[[#This Row],[Conso_mois_kWh]])</f>
        <v/>
      </c>
      <c r="U122" t="str">
        <f ca="1">IFERROR(N122*VLOOKUP(Tab_Calculs[[#This Row],[Colonne1]],Controle_des_données!$B$7:$H$14,7,FALSE),"")</f>
        <v/>
      </c>
      <c r="V122">
        <f ca="1">IFERROR(Tab_Calculs[[#This Row],[Cout_mois]]/Tab_Calculs[[#This Row],[Conso_mois_kWh]],0)</f>
        <v>0</v>
      </c>
      <c r="W122" t="str">
        <f>T(VLOOKUP(Tab_Calculs[[#This Row],[Compteur]],Site!$B$33:$G$40,3,FALSE))</f>
        <v/>
      </c>
      <c r="X122" t="str">
        <f>T(VLOOKUP(Tab_Calculs[[#This Row],[Compteur]],Site!$B$33:$G$40,4,FALSE))</f>
        <v/>
      </c>
      <c r="Y122" t="str">
        <f>T(VLOOKUP(Tab_Calculs[[#This Row],[Compteur]],Site!$B$33:$G$40,5,FALSE))</f>
        <v/>
      </c>
      <c r="Z122" t="str">
        <f>T(VLOOKUP(Tab_Calculs[[#This Row],[Compteur]],Site!$B$33:$G$40,6,FALSE))</f>
        <v/>
      </c>
      <c r="AA122">
        <f>IFERROR(GETPIVOTDATA("DJU(chauffagiste)",BDD_DJU!$P$13,"annee",Tab_Calculs[[#This Row],[ANNEE]],"mois_numero",Tab_Calculs[[#This Row],[MOIS]]),0)</f>
        <v>54.1</v>
      </c>
    </row>
    <row r="123" spans="1:27" x14ac:dyDescent="0.25">
      <c r="A123" s="3">
        <f>DATE(Tab_Calculs[[#This Row],[ANNEE]],Tab_Calculs[[#This Row],[MOIS]],1)</f>
        <v>43647</v>
      </c>
      <c r="B123" s="3">
        <f>EDATE(Tab_Calculs[[#This Row],[Début mois]],1)-1</f>
        <v>43677</v>
      </c>
      <c r="C123">
        <f t="shared" si="1"/>
        <v>7</v>
      </c>
      <c r="D123">
        <f t="shared" si="0"/>
        <v>2019</v>
      </c>
      <c r="E123" t="s">
        <v>80</v>
      </c>
      <c r="F123" t="str">
        <f>SUBSTITUTE(Tab_Calculs[[#This Row],[Compteur]]," ","_")</f>
        <v>Compteur_1</v>
      </c>
      <c r="G123" t="str">
        <f>T(INDEX(Site!$B$33:$G$40, MATCH(Tab_Calculs[[#This Row],[Compteur]], Site!$B$33:$B$40,0),2))</f>
        <v/>
      </c>
      <c r="H123" s="3">
        <f t="array" aca="1" ref="H123" ca="1">MIN(IF(INDIRECT(CONCATENATE(Tab_Calculs[[#This Row],[Colonne1]],"!$B$2:$B$243"))&gt;=Calculs_Consos!$A123,INDIRECT(CONCATENATE(Tab_Calculs[[#This Row],[Colonne1]],"!$B$2:$B$243"))))</f>
        <v>0</v>
      </c>
      <c r="I123" s="3">
        <f ca="1">INDEX(INDIRECT(CONCATENATE("Tab_",Tab_Calculs[[#This Row],[Colonne1]])),Tab_Calculs[[#This Row],[index_date_livraison]],1)</f>
        <v>0</v>
      </c>
      <c r="J123">
        <f ca="1">MATCH(Tab_Calculs[[#This Row],[Date_livraison]],INDIRECT(CONCATENATE("Tab_",Tab_Calculs[[#This Row],[Colonne1]],"[Fin de période]")),0)</f>
        <v>1</v>
      </c>
      <c r="K123" t="e">
        <f ca="1">INDEX(INDIRECT(CONCATENATE("Tab_",Tab_Calculs[[#This Row],[Colonne1]])),Tab_Calculs[[#This Row],[index_date_livraison]]-1,6)*(MAX(Tab_Calculs[[#This Row],[Début periode livraison]],Tab_Calculs[[#This Row],[Début mois]])-Tab_Calculs[[#This Row],[Début mois]])</f>
        <v>#VALUE!</v>
      </c>
      <c r="L123" s="94">
        <f ca="1">INDEX(INDIRECT(CONCATENATE("Tab_",Tab_Calculs[[#This Row],[Colonne1]])),Tab_Calculs[[#This Row],[index_date_livraison]],6)*(1+MIN(Tab_Calculs[[#This Row],[Date_livraison]],Tab_Calculs[[#This Row],[fin mois]])-MAX(Tab_Calculs[[#This Row],[Début mois]],Tab_Calculs[[#This Row],[Début periode livraison]]))</f>
        <v>0</v>
      </c>
      <c r="M123" s="94" t="e">
        <f ca="1">INDEX(INDIRECT(CONCATENATE("Tab_",Tab_Calculs[[#This Row],[Colonne1]])),Tab_Calculs[[#This Row],[index_date_livraison]]+1,6)*(Tab_Calculs[[#This Row],[fin mois]]-MIN(Tab_Calculs[[#This Row],[fin mois]],Tab_Calculs[[#This Row],[Date_livraison]]))</f>
        <v>#VALUE!</v>
      </c>
      <c r="N123" s="231" t="str">
        <f ca="1">IFERROR(Tab_Calculs[[#This Row],[Ratio_jour_après_livr]]+Tab_Calculs[[#This Row],[Ratio_jour_avant_livr]]+Tab_Calculs[[#This Row],[ratio_avant_debut]],"")</f>
        <v/>
      </c>
      <c r="O123" t="e">
        <f ca="1">INDEX(INDIRECT(CONCATENATE("Tab_",Tab_Calculs[[#This Row],[Colonne1]])),Tab_Calculs[[#This Row],[index_date_livraison]]-1,7)*(MAX(Tab_Calculs[[#This Row],[Début periode livraison]],Tab_Calculs[[#This Row],[Début mois]])-Tab_Calculs[[#This Row],[Début mois]])</f>
        <v>#VALUE!</v>
      </c>
      <c r="P123">
        <f ca="1">INDEX(INDIRECT(CONCATENATE("Tab_",Tab_Calculs[[#This Row],[Colonne1]])),Tab_Calculs[[#This Row],[index_date_livraison]],7)*(1+MIN(Tab_Calculs[[#This Row],[Date_livraison]],Tab_Calculs[[#This Row],[fin mois]])-MAX(Tab_Calculs[[#This Row],[Début mois]],Tab_Calculs[[#This Row],[Début periode livraison]]))</f>
        <v>0</v>
      </c>
      <c r="Q123" t="e">
        <f ca="1">INDEX(INDIRECT(CONCATENATE("Tab_",Tab_Calculs[[#This Row],[Colonne1]])),Tab_Calculs[[#This Row],[index_date_livraison]]+1,7)*(Tab_Calculs[[#This Row],[fin mois]]-MIN(Tab_Calculs[[#This Row],[fin mois]],Tab_Calculs[[#This Row],[Date_livraison]]))</f>
        <v>#VALUE!</v>
      </c>
      <c r="R123" t="e">
        <f ca="1">Tab_Calculs[[#This Row],[Ratio_Cout_après_livr]]+Tab_Calculs[[#This Row],[Ratio_Cout_avant_livr]]+Tab_Calculs[[#This Row],[Ratio_Cout_avant_debut]]</f>
        <v>#VALUE!</v>
      </c>
      <c r="S123" t="str">
        <f ca="1">IFERROR(N123*VLOOKUP(Tab_Calculs[[#This Row],[Colonne1]],Controle_des_données!$B$7:$G$14,6,FALSE),"")</f>
        <v/>
      </c>
      <c r="T123" t="str">
        <f ca="1">IF(Tab_Calculs[[#This Row],[Combustible ]]="Electricité (kWh)",Tab_Calculs[[#This Row],[Conso_mois_kWh]]*2.3,Tab_Calculs[[#This Row],[Conso_mois_kWh]])</f>
        <v/>
      </c>
      <c r="U123" t="str">
        <f ca="1">IFERROR(N123*VLOOKUP(Tab_Calculs[[#This Row],[Colonne1]],Controle_des_données!$B$7:$H$14,7,FALSE),"")</f>
        <v/>
      </c>
      <c r="V123">
        <f ca="1">IFERROR(Tab_Calculs[[#This Row],[Cout_mois]]/Tab_Calculs[[#This Row],[Conso_mois_kWh]],0)</f>
        <v>0</v>
      </c>
      <c r="W123" t="str">
        <f>T(VLOOKUP(Tab_Calculs[[#This Row],[Compteur]],Site!$B$33:$G$40,3,FALSE))</f>
        <v/>
      </c>
      <c r="X123" t="str">
        <f>T(VLOOKUP(Tab_Calculs[[#This Row],[Compteur]],Site!$B$33:$G$40,4,FALSE))</f>
        <v/>
      </c>
      <c r="Y123" t="str">
        <f>T(VLOOKUP(Tab_Calculs[[#This Row],[Compteur]],Site!$B$33:$G$40,5,FALSE))</f>
        <v/>
      </c>
      <c r="Z123" t="str">
        <f>T(VLOOKUP(Tab_Calculs[[#This Row],[Compteur]],Site!$B$33:$G$40,6,FALSE))</f>
        <v/>
      </c>
      <c r="AA123">
        <f>IFERROR(GETPIVOTDATA("DJU(chauffagiste)",BDD_DJU!$P$13,"annee",Tab_Calculs[[#This Row],[ANNEE]],"mois_numero",Tab_Calculs[[#This Row],[MOIS]]),0)</f>
        <v>15.5</v>
      </c>
    </row>
    <row r="124" spans="1:27" x14ac:dyDescent="0.25">
      <c r="A124" s="3">
        <f>DATE(Tab_Calculs[[#This Row],[ANNEE]],Tab_Calculs[[#This Row],[MOIS]],1)</f>
        <v>43678</v>
      </c>
      <c r="B124" s="3">
        <f>EDATE(Tab_Calculs[[#This Row],[Début mois]],1)-1</f>
        <v>43708</v>
      </c>
      <c r="C124">
        <f t="shared" si="1"/>
        <v>8</v>
      </c>
      <c r="D124">
        <f t="shared" si="0"/>
        <v>2019</v>
      </c>
      <c r="E124" t="s">
        <v>80</v>
      </c>
      <c r="F124" t="str">
        <f>SUBSTITUTE(Tab_Calculs[[#This Row],[Compteur]]," ","_")</f>
        <v>Compteur_1</v>
      </c>
      <c r="G124" t="str">
        <f>T(INDEX(Site!$B$33:$G$40, MATCH(Tab_Calculs[[#This Row],[Compteur]], Site!$B$33:$B$40,0),2))</f>
        <v/>
      </c>
      <c r="H124" s="3">
        <f t="array" aca="1" ref="H124" ca="1">MIN(IF(INDIRECT(CONCATENATE(Tab_Calculs[[#This Row],[Colonne1]],"!$B$2:$B$243"))&gt;=Calculs_Consos!$A124,INDIRECT(CONCATENATE(Tab_Calculs[[#This Row],[Colonne1]],"!$B$2:$B$243"))))</f>
        <v>0</v>
      </c>
      <c r="I124" s="3">
        <f ca="1">INDEX(INDIRECT(CONCATENATE("Tab_",Tab_Calculs[[#This Row],[Colonne1]])),Tab_Calculs[[#This Row],[index_date_livraison]],1)</f>
        <v>0</v>
      </c>
      <c r="J124">
        <f ca="1">MATCH(Tab_Calculs[[#This Row],[Date_livraison]],INDIRECT(CONCATENATE("Tab_",Tab_Calculs[[#This Row],[Colonne1]],"[Fin de période]")),0)</f>
        <v>1</v>
      </c>
      <c r="K124" t="e">
        <f ca="1">INDEX(INDIRECT(CONCATENATE("Tab_",Tab_Calculs[[#This Row],[Colonne1]])),Tab_Calculs[[#This Row],[index_date_livraison]]-1,6)*(MAX(Tab_Calculs[[#This Row],[Début periode livraison]],Tab_Calculs[[#This Row],[Début mois]])-Tab_Calculs[[#This Row],[Début mois]])</f>
        <v>#VALUE!</v>
      </c>
      <c r="L124" s="94">
        <f ca="1">INDEX(INDIRECT(CONCATENATE("Tab_",Tab_Calculs[[#This Row],[Colonne1]])),Tab_Calculs[[#This Row],[index_date_livraison]],6)*(1+MIN(Tab_Calculs[[#This Row],[Date_livraison]],Tab_Calculs[[#This Row],[fin mois]])-MAX(Tab_Calculs[[#This Row],[Début mois]],Tab_Calculs[[#This Row],[Début periode livraison]]))</f>
        <v>0</v>
      </c>
      <c r="M124" s="94" t="e">
        <f ca="1">INDEX(INDIRECT(CONCATENATE("Tab_",Tab_Calculs[[#This Row],[Colonne1]])),Tab_Calculs[[#This Row],[index_date_livraison]]+1,6)*(Tab_Calculs[[#This Row],[fin mois]]-MIN(Tab_Calculs[[#This Row],[fin mois]],Tab_Calculs[[#This Row],[Date_livraison]]))</f>
        <v>#VALUE!</v>
      </c>
      <c r="N124" s="231" t="str">
        <f ca="1">IFERROR(Tab_Calculs[[#This Row],[Ratio_jour_après_livr]]+Tab_Calculs[[#This Row],[Ratio_jour_avant_livr]]+Tab_Calculs[[#This Row],[ratio_avant_debut]],"")</f>
        <v/>
      </c>
      <c r="O124" t="e">
        <f ca="1">INDEX(INDIRECT(CONCATENATE("Tab_",Tab_Calculs[[#This Row],[Colonne1]])),Tab_Calculs[[#This Row],[index_date_livraison]]-1,7)*(MAX(Tab_Calculs[[#This Row],[Début periode livraison]],Tab_Calculs[[#This Row],[Début mois]])-Tab_Calculs[[#This Row],[Début mois]])</f>
        <v>#VALUE!</v>
      </c>
      <c r="P124">
        <f ca="1">INDEX(INDIRECT(CONCATENATE("Tab_",Tab_Calculs[[#This Row],[Colonne1]])),Tab_Calculs[[#This Row],[index_date_livraison]],7)*(1+MIN(Tab_Calculs[[#This Row],[Date_livraison]],Tab_Calculs[[#This Row],[fin mois]])-MAX(Tab_Calculs[[#This Row],[Début mois]],Tab_Calculs[[#This Row],[Début periode livraison]]))</f>
        <v>0</v>
      </c>
      <c r="Q124" t="e">
        <f ca="1">INDEX(INDIRECT(CONCATENATE("Tab_",Tab_Calculs[[#This Row],[Colonne1]])),Tab_Calculs[[#This Row],[index_date_livraison]]+1,7)*(Tab_Calculs[[#This Row],[fin mois]]-MIN(Tab_Calculs[[#This Row],[fin mois]],Tab_Calculs[[#This Row],[Date_livraison]]))</f>
        <v>#VALUE!</v>
      </c>
      <c r="R124" t="e">
        <f ca="1">Tab_Calculs[[#This Row],[Ratio_Cout_après_livr]]+Tab_Calculs[[#This Row],[Ratio_Cout_avant_livr]]+Tab_Calculs[[#This Row],[Ratio_Cout_avant_debut]]</f>
        <v>#VALUE!</v>
      </c>
      <c r="S124" t="str">
        <f ca="1">IFERROR(N124*VLOOKUP(Tab_Calculs[[#This Row],[Colonne1]],Controle_des_données!$B$7:$G$14,6,FALSE),"")</f>
        <v/>
      </c>
      <c r="T124" t="str">
        <f ca="1">IF(Tab_Calculs[[#This Row],[Combustible ]]="Electricité (kWh)",Tab_Calculs[[#This Row],[Conso_mois_kWh]]*2.3,Tab_Calculs[[#This Row],[Conso_mois_kWh]])</f>
        <v/>
      </c>
      <c r="U124" t="str">
        <f ca="1">IFERROR(N124*VLOOKUP(Tab_Calculs[[#This Row],[Colonne1]],Controle_des_données!$B$7:$H$14,7,FALSE),"")</f>
        <v/>
      </c>
      <c r="V124">
        <f ca="1">IFERROR(Tab_Calculs[[#This Row],[Cout_mois]]/Tab_Calculs[[#This Row],[Conso_mois_kWh]],0)</f>
        <v>0</v>
      </c>
      <c r="W124" t="str">
        <f>T(VLOOKUP(Tab_Calculs[[#This Row],[Compteur]],Site!$B$33:$G$40,3,FALSE))</f>
        <v/>
      </c>
      <c r="X124" t="str">
        <f>T(VLOOKUP(Tab_Calculs[[#This Row],[Compteur]],Site!$B$33:$G$40,4,FALSE))</f>
        <v/>
      </c>
      <c r="Y124" t="str">
        <f>T(VLOOKUP(Tab_Calculs[[#This Row],[Compteur]],Site!$B$33:$G$40,5,FALSE))</f>
        <v/>
      </c>
      <c r="Z124" t="str">
        <f>T(VLOOKUP(Tab_Calculs[[#This Row],[Compteur]],Site!$B$33:$G$40,6,FALSE))</f>
        <v/>
      </c>
      <c r="AA124">
        <f>IFERROR(GETPIVOTDATA("DJU(chauffagiste)",BDD_DJU!$P$13,"annee",Tab_Calculs[[#This Row],[ANNEE]],"mois_numero",Tab_Calculs[[#This Row],[MOIS]]),0)</f>
        <v>30.2</v>
      </c>
    </row>
    <row r="125" spans="1:27" x14ac:dyDescent="0.25">
      <c r="A125" s="3">
        <f>DATE(Tab_Calculs[[#This Row],[ANNEE]],Tab_Calculs[[#This Row],[MOIS]],1)</f>
        <v>43709</v>
      </c>
      <c r="B125" s="3">
        <f>EDATE(Tab_Calculs[[#This Row],[Début mois]],1)-1</f>
        <v>43738</v>
      </c>
      <c r="C125">
        <f t="shared" si="1"/>
        <v>9</v>
      </c>
      <c r="D125">
        <f t="shared" si="0"/>
        <v>2019</v>
      </c>
      <c r="E125" t="s">
        <v>80</v>
      </c>
      <c r="F125" t="str">
        <f>SUBSTITUTE(Tab_Calculs[[#This Row],[Compteur]]," ","_")</f>
        <v>Compteur_1</v>
      </c>
      <c r="G125" t="str">
        <f>T(INDEX(Site!$B$33:$G$40, MATCH(Tab_Calculs[[#This Row],[Compteur]], Site!$B$33:$B$40,0),2))</f>
        <v/>
      </c>
      <c r="H125" s="3">
        <f t="array" aca="1" ref="H125" ca="1">MIN(IF(INDIRECT(CONCATENATE(Tab_Calculs[[#This Row],[Colonne1]],"!$B$2:$B$243"))&gt;=Calculs_Consos!$A125,INDIRECT(CONCATENATE(Tab_Calculs[[#This Row],[Colonne1]],"!$B$2:$B$243"))))</f>
        <v>0</v>
      </c>
      <c r="I125" s="3">
        <f ca="1">INDEX(INDIRECT(CONCATENATE("Tab_",Tab_Calculs[[#This Row],[Colonne1]])),Tab_Calculs[[#This Row],[index_date_livraison]],1)</f>
        <v>0</v>
      </c>
      <c r="J125">
        <f ca="1">MATCH(Tab_Calculs[[#This Row],[Date_livraison]],INDIRECT(CONCATENATE("Tab_",Tab_Calculs[[#This Row],[Colonne1]],"[Fin de période]")),0)</f>
        <v>1</v>
      </c>
      <c r="K125" t="e">
        <f ca="1">INDEX(INDIRECT(CONCATENATE("Tab_",Tab_Calculs[[#This Row],[Colonne1]])),Tab_Calculs[[#This Row],[index_date_livraison]]-1,6)*(MAX(Tab_Calculs[[#This Row],[Début periode livraison]],Tab_Calculs[[#This Row],[Début mois]])-Tab_Calculs[[#This Row],[Début mois]])</f>
        <v>#VALUE!</v>
      </c>
      <c r="L125" s="94">
        <f ca="1">INDEX(INDIRECT(CONCATENATE("Tab_",Tab_Calculs[[#This Row],[Colonne1]])),Tab_Calculs[[#This Row],[index_date_livraison]],6)*(1+MIN(Tab_Calculs[[#This Row],[Date_livraison]],Tab_Calculs[[#This Row],[fin mois]])-MAX(Tab_Calculs[[#This Row],[Début mois]],Tab_Calculs[[#This Row],[Début periode livraison]]))</f>
        <v>0</v>
      </c>
      <c r="M125" s="94" t="e">
        <f ca="1">INDEX(INDIRECT(CONCATENATE("Tab_",Tab_Calculs[[#This Row],[Colonne1]])),Tab_Calculs[[#This Row],[index_date_livraison]]+1,6)*(Tab_Calculs[[#This Row],[fin mois]]-MIN(Tab_Calculs[[#This Row],[fin mois]],Tab_Calculs[[#This Row],[Date_livraison]]))</f>
        <v>#VALUE!</v>
      </c>
      <c r="N125" s="231" t="str">
        <f ca="1">IFERROR(Tab_Calculs[[#This Row],[Ratio_jour_après_livr]]+Tab_Calculs[[#This Row],[Ratio_jour_avant_livr]]+Tab_Calculs[[#This Row],[ratio_avant_debut]],"")</f>
        <v/>
      </c>
      <c r="O125" t="e">
        <f ca="1">INDEX(INDIRECT(CONCATENATE("Tab_",Tab_Calculs[[#This Row],[Colonne1]])),Tab_Calculs[[#This Row],[index_date_livraison]]-1,7)*(MAX(Tab_Calculs[[#This Row],[Début periode livraison]],Tab_Calculs[[#This Row],[Début mois]])-Tab_Calculs[[#This Row],[Début mois]])</f>
        <v>#VALUE!</v>
      </c>
      <c r="P125">
        <f ca="1">INDEX(INDIRECT(CONCATENATE("Tab_",Tab_Calculs[[#This Row],[Colonne1]])),Tab_Calculs[[#This Row],[index_date_livraison]],7)*(1+MIN(Tab_Calculs[[#This Row],[Date_livraison]],Tab_Calculs[[#This Row],[fin mois]])-MAX(Tab_Calculs[[#This Row],[Début mois]],Tab_Calculs[[#This Row],[Début periode livraison]]))</f>
        <v>0</v>
      </c>
      <c r="Q125" t="e">
        <f ca="1">INDEX(INDIRECT(CONCATENATE("Tab_",Tab_Calculs[[#This Row],[Colonne1]])),Tab_Calculs[[#This Row],[index_date_livraison]]+1,7)*(Tab_Calculs[[#This Row],[fin mois]]-MIN(Tab_Calculs[[#This Row],[fin mois]],Tab_Calculs[[#This Row],[Date_livraison]]))</f>
        <v>#VALUE!</v>
      </c>
      <c r="R125" t="e">
        <f ca="1">Tab_Calculs[[#This Row],[Ratio_Cout_après_livr]]+Tab_Calculs[[#This Row],[Ratio_Cout_avant_livr]]+Tab_Calculs[[#This Row],[Ratio_Cout_avant_debut]]</f>
        <v>#VALUE!</v>
      </c>
      <c r="S125" t="str">
        <f ca="1">IFERROR(N125*VLOOKUP(Tab_Calculs[[#This Row],[Colonne1]],Controle_des_données!$B$7:$G$14,6,FALSE),"")</f>
        <v/>
      </c>
      <c r="T125" t="str">
        <f ca="1">IF(Tab_Calculs[[#This Row],[Combustible ]]="Electricité (kWh)",Tab_Calculs[[#This Row],[Conso_mois_kWh]]*2.3,Tab_Calculs[[#This Row],[Conso_mois_kWh]])</f>
        <v/>
      </c>
      <c r="U125" t="str">
        <f ca="1">IFERROR(N125*VLOOKUP(Tab_Calculs[[#This Row],[Colonne1]],Controle_des_données!$B$7:$H$14,7,FALSE),"")</f>
        <v/>
      </c>
      <c r="V125">
        <f ca="1">IFERROR(Tab_Calculs[[#This Row],[Cout_mois]]/Tab_Calculs[[#This Row],[Conso_mois_kWh]],0)</f>
        <v>0</v>
      </c>
      <c r="W125" t="str">
        <f>T(VLOOKUP(Tab_Calculs[[#This Row],[Compteur]],Site!$B$33:$G$40,3,FALSE))</f>
        <v/>
      </c>
      <c r="X125" t="str">
        <f>T(VLOOKUP(Tab_Calculs[[#This Row],[Compteur]],Site!$B$33:$G$40,4,FALSE))</f>
        <v/>
      </c>
      <c r="Y125" t="str">
        <f>T(VLOOKUP(Tab_Calculs[[#This Row],[Compteur]],Site!$B$33:$G$40,5,FALSE))</f>
        <v/>
      </c>
      <c r="Z125" t="str">
        <f>T(VLOOKUP(Tab_Calculs[[#This Row],[Compteur]],Site!$B$33:$G$40,6,FALSE))</f>
        <v/>
      </c>
      <c r="AA125">
        <f>IFERROR(GETPIVOTDATA("DJU(chauffagiste)",BDD_DJU!$P$13,"annee",Tab_Calculs[[#This Row],[ANNEE]],"mois_numero",Tab_Calculs[[#This Row],[MOIS]]),0)</f>
        <v>64.7</v>
      </c>
    </row>
    <row r="126" spans="1:27" x14ac:dyDescent="0.25">
      <c r="A126" s="3">
        <f>DATE(Tab_Calculs[[#This Row],[ANNEE]],Tab_Calculs[[#This Row],[MOIS]],1)</f>
        <v>43739</v>
      </c>
      <c r="B126" s="3">
        <f>EDATE(Tab_Calculs[[#This Row],[Début mois]],1)-1</f>
        <v>43769</v>
      </c>
      <c r="C126">
        <f t="shared" si="1"/>
        <v>10</v>
      </c>
      <c r="D126">
        <f t="shared" si="0"/>
        <v>2019</v>
      </c>
      <c r="E126" t="s">
        <v>80</v>
      </c>
      <c r="F126" t="str">
        <f>SUBSTITUTE(Tab_Calculs[[#This Row],[Compteur]]," ","_")</f>
        <v>Compteur_1</v>
      </c>
      <c r="G126" t="str">
        <f>T(INDEX(Site!$B$33:$G$40, MATCH(Tab_Calculs[[#This Row],[Compteur]], Site!$B$33:$B$40,0),2))</f>
        <v/>
      </c>
      <c r="H126" s="3">
        <f t="array" aca="1" ref="H126" ca="1">MIN(IF(INDIRECT(CONCATENATE(Tab_Calculs[[#This Row],[Colonne1]],"!$B$2:$B$243"))&gt;=Calculs_Consos!$A126,INDIRECT(CONCATENATE(Tab_Calculs[[#This Row],[Colonne1]],"!$B$2:$B$243"))))</f>
        <v>0</v>
      </c>
      <c r="I126" s="3">
        <f ca="1">INDEX(INDIRECT(CONCATENATE("Tab_",Tab_Calculs[[#This Row],[Colonne1]])),Tab_Calculs[[#This Row],[index_date_livraison]],1)</f>
        <v>0</v>
      </c>
      <c r="J126">
        <f ca="1">MATCH(Tab_Calculs[[#This Row],[Date_livraison]],INDIRECT(CONCATENATE("Tab_",Tab_Calculs[[#This Row],[Colonne1]],"[Fin de période]")),0)</f>
        <v>1</v>
      </c>
      <c r="K126" t="e">
        <f ca="1">INDEX(INDIRECT(CONCATENATE("Tab_",Tab_Calculs[[#This Row],[Colonne1]])),Tab_Calculs[[#This Row],[index_date_livraison]]-1,6)*(MAX(Tab_Calculs[[#This Row],[Début periode livraison]],Tab_Calculs[[#This Row],[Début mois]])-Tab_Calculs[[#This Row],[Début mois]])</f>
        <v>#VALUE!</v>
      </c>
      <c r="L126" s="94">
        <f ca="1">INDEX(INDIRECT(CONCATENATE("Tab_",Tab_Calculs[[#This Row],[Colonne1]])),Tab_Calculs[[#This Row],[index_date_livraison]],6)*(1+MIN(Tab_Calculs[[#This Row],[Date_livraison]],Tab_Calculs[[#This Row],[fin mois]])-MAX(Tab_Calculs[[#This Row],[Début mois]],Tab_Calculs[[#This Row],[Début periode livraison]]))</f>
        <v>0</v>
      </c>
      <c r="M126" s="94" t="e">
        <f ca="1">INDEX(INDIRECT(CONCATENATE("Tab_",Tab_Calculs[[#This Row],[Colonne1]])),Tab_Calculs[[#This Row],[index_date_livraison]]+1,6)*(Tab_Calculs[[#This Row],[fin mois]]-MIN(Tab_Calculs[[#This Row],[fin mois]],Tab_Calculs[[#This Row],[Date_livraison]]))</f>
        <v>#VALUE!</v>
      </c>
      <c r="N126" s="231" t="str">
        <f ca="1">IFERROR(Tab_Calculs[[#This Row],[Ratio_jour_après_livr]]+Tab_Calculs[[#This Row],[Ratio_jour_avant_livr]]+Tab_Calculs[[#This Row],[ratio_avant_debut]],"")</f>
        <v/>
      </c>
      <c r="O126" t="e">
        <f ca="1">INDEX(INDIRECT(CONCATENATE("Tab_",Tab_Calculs[[#This Row],[Colonne1]])),Tab_Calculs[[#This Row],[index_date_livraison]]-1,7)*(MAX(Tab_Calculs[[#This Row],[Début periode livraison]],Tab_Calculs[[#This Row],[Début mois]])-Tab_Calculs[[#This Row],[Début mois]])</f>
        <v>#VALUE!</v>
      </c>
      <c r="P126">
        <f ca="1">INDEX(INDIRECT(CONCATENATE("Tab_",Tab_Calculs[[#This Row],[Colonne1]])),Tab_Calculs[[#This Row],[index_date_livraison]],7)*(1+MIN(Tab_Calculs[[#This Row],[Date_livraison]],Tab_Calculs[[#This Row],[fin mois]])-MAX(Tab_Calculs[[#This Row],[Début mois]],Tab_Calculs[[#This Row],[Début periode livraison]]))</f>
        <v>0</v>
      </c>
      <c r="Q126" t="e">
        <f ca="1">INDEX(INDIRECT(CONCATENATE("Tab_",Tab_Calculs[[#This Row],[Colonne1]])),Tab_Calculs[[#This Row],[index_date_livraison]]+1,7)*(Tab_Calculs[[#This Row],[fin mois]]-MIN(Tab_Calculs[[#This Row],[fin mois]],Tab_Calculs[[#This Row],[Date_livraison]]))</f>
        <v>#VALUE!</v>
      </c>
      <c r="R126" t="e">
        <f ca="1">Tab_Calculs[[#This Row],[Ratio_Cout_après_livr]]+Tab_Calculs[[#This Row],[Ratio_Cout_avant_livr]]+Tab_Calculs[[#This Row],[Ratio_Cout_avant_debut]]</f>
        <v>#VALUE!</v>
      </c>
      <c r="S126" t="str">
        <f ca="1">IFERROR(N126*VLOOKUP(Tab_Calculs[[#This Row],[Colonne1]],Controle_des_données!$B$7:$G$14,6,FALSE),"")</f>
        <v/>
      </c>
      <c r="T126" t="str">
        <f ca="1">IF(Tab_Calculs[[#This Row],[Combustible ]]="Electricité (kWh)",Tab_Calculs[[#This Row],[Conso_mois_kWh]]*2.3,Tab_Calculs[[#This Row],[Conso_mois_kWh]])</f>
        <v/>
      </c>
      <c r="U126" t="str">
        <f ca="1">IFERROR(N126*VLOOKUP(Tab_Calculs[[#This Row],[Colonne1]],Controle_des_données!$B$7:$H$14,7,FALSE),"")</f>
        <v/>
      </c>
      <c r="V126">
        <f ca="1">IFERROR(Tab_Calculs[[#This Row],[Cout_mois]]/Tab_Calculs[[#This Row],[Conso_mois_kWh]],0)</f>
        <v>0</v>
      </c>
      <c r="W126" t="str">
        <f>T(VLOOKUP(Tab_Calculs[[#This Row],[Compteur]],Site!$B$33:$G$40,3,FALSE))</f>
        <v/>
      </c>
      <c r="X126" t="str">
        <f>T(VLOOKUP(Tab_Calculs[[#This Row],[Compteur]],Site!$B$33:$G$40,4,FALSE))</f>
        <v/>
      </c>
      <c r="Y126" t="str">
        <f>T(VLOOKUP(Tab_Calculs[[#This Row],[Compteur]],Site!$B$33:$G$40,5,FALSE))</f>
        <v/>
      </c>
      <c r="Z126" t="str">
        <f>T(VLOOKUP(Tab_Calculs[[#This Row],[Compteur]],Site!$B$33:$G$40,6,FALSE))</f>
        <v/>
      </c>
      <c r="AA126">
        <f>IFERROR(GETPIVOTDATA("DJU(chauffagiste)",BDD_DJU!$P$13,"annee",Tab_Calculs[[#This Row],[ANNEE]],"mois_numero",Tab_Calculs[[#This Row],[MOIS]]),0)</f>
        <v>128.80000000000001</v>
      </c>
    </row>
    <row r="127" spans="1:27" x14ac:dyDescent="0.25">
      <c r="A127" s="3">
        <f>DATE(Tab_Calculs[[#This Row],[ANNEE]],Tab_Calculs[[#This Row],[MOIS]],1)</f>
        <v>43770</v>
      </c>
      <c r="B127" s="3">
        <f>EDATE(Tab_Calculs[[#This Row],[Début mois]],1)-1</f>
        <v>43799</v>
      </c>
      <c r="C127">
        <f t="shared" si="1"/>
        <v>11</v>
      </c>
      <c r="D127">
        <f t="shared" si="0"/>
        <v>2019</v>
      </c>
      <c r="E127" t="s">
        <v>80</v>
      </c>
      <c r="F127" t="str">
        <f>SUBSTITUTE(Tab_Calculs[[#This Row],[Compteur]]," ","_")</f>
        <v>Compteur_1</v>
      </c>
      <c r="G127" t="str">
        <f>T(INDEX(Site!$B$33:$G$40, MATCH(Tab_Calculs[[#This Row],[Compteur]], Site!$B$33:$B$40,0),2))</f>
        <v/>
      </c>
      <c r="H127" s="3">
        <f t="array" aca="1" ref="H127" ca="1">MIN(IF(INDIRECT(CONCATENATE(Tab_Calculs[[#This Row],[Colonne1]],"!$B$2:$B$243"))&gt;=Calculs_Consos!$A127,INDIRECT(CONCATENATE(Tab_Calculs[[#This Row],[Colonne1]],"!$B$2:$B$243"))))</f>
        <v>0</v>
      </c>
      <c r="I127" s="3">
        <f ca="1">INDEX(INDIRECT(CONCATENATE("Tab_",Tab_Calculs[[#This Row],[Colonne1]])),Tab_Calculs[[#This Row],[index_date_livraison]],1)</f>
        <v>0</v>
      </c>
      <c r="J127">
        <f ca="1">MATCH(Tab_Calculs[[#This Row],[Date_livraison]],INDIRECT(CONCATENATE("Tab_",Tab_Calculs[[#This Row],[Colonne1]],"[Fin de période]")),0)</f>
        <v>1</v>
      </c>
      <c r="K127" t="e">
        <f ca="1">INDEX(INDIRECT(CONCATENATE("Tab_",Tab_Calculs[[#This Row],[Colonne1]])),Tab_Calculs[[#This Row],[index_date_livraison]]-1,6)*(MAX(Tab_Calculs[[#This Row],[Début periode livraison]],Tab_Calculs[[#This Row],[Début mois]])-Tab_Calculs[[#This Row],[Début mois]])</f>
        <v>#VALUE!</v>
      </c>
      <c r="L127" s="94">
        <f ca="1">INDEX(INDIRECT(CONCATENATE("Tab_",Tab_Calculs[[#This Row],[Colonne1]])),Tab_Calculs[[#This Row],[index_date_livraison]],6)*(1+MIN(Tab_Calculs[[#This Row],[Date_livraison]],Tab_Calculs[[#This Row],[fin mois]])-MAX(Tab_Calculs[[#This Row],[Début mois]],Tab_Calculs[[#This Row],[Début periode livraison]]))</f>
        <v>0</v>
      </c>
      <c r="M127" s="94" t="e">
        <f ca="1">INDEX(INDIRECT(CONCATENATE("Tab_",Tab_Calculs[[#This Row],[Colonne1]])),Tab_Calculs[[#This Row],[index_date_livraison]]+1,6)*(Tab_Calculs[[#This Row],[fin mois]]-MIN(Tab_Calculs[[#This Row],[fin mois]],Tab_Calculs[[#This Row],[Date_livraison]]))</f>
        <v>#VALUE!</v>
      </c>
      <c r="N127" s="231" t="str">
        <f ca="1">IFERROR(Tab_Calculs[[#This Row],[Ratio_jour_après_livr]]+Tab_Calculs[[#This Row],[Ratio_jour_avant_livr]]+Tab_Calculs[[#This Row],[ratio_avant_debut]],"")</f>
        <v/>
      </c>
      <c r="O127" t="e">
        <f ca="1">INDEX(INDIRECT(CONCATENATE("Tab_",Tab_Calculs[[#This Row],[Colonne1]])),Tab_Calculs[[#This Row],[index_date_livraison]]-1,7)*(MAX(Tab_Calculs[[#This Row],[Début periode livraison]],Tab_Calculs[[#This Row],[Début mois]])-Tab_Calculs[[#This Row],[Début mois]])</f>
        <v>#VALUE!</v>
      </c>
      <c r="P127">
        <f ca="1">INDEX(INDIRECT(CONCATENATE("Tab_",Tab_Calculs[[#This Row],[Colonne1]])),Tab_Calculs[[#This Row],[index_date_livraison]],7)*(1+MIN(Tab_Calculs[[#This Row],[Date_livraison]],Tab_Calculs[[#This Row],[fin mois]])-MAX(Tab_Calculs[[#This Row],[Début mois]],Tab_Calculs[[#This Row],[Début periode livraison]]))</f>
        <v>0</v>
      </c>
      <c r="Q127" t="e">
        <f ca="1">INDEX(INDIRECT(CONCATENATE("Tab_",Tab_Calculs[[#This Row],[Colonne1]])),Tab_Calculs[[#This Row],[index_date_livraison]]+1,7)*(Tab_Calculs[[#This Row],[fin mois]]-MIN(Tab_Calculs[[#This Row],[fin mois]],Tab_Calculs[[#This Row],[Date_livraison]]))</f>
        <v>#VALUE!</v>
      </c>
      <c r="R127" t="e">
        <f ca="1">Tab_Calculs[[#This Row],[Ratio_Cout_après_livr]]+Tab_Calculs[[#This Row],[Ratio_Cout_avant_livr]]+Tab_Calculs[[#This Row],[Ratio_Cout_avant_debut]]</f>
        <v>#VALUE!</v>
      </c>
      <c r="S127" t="str">
        <f ca="1">IFERROR(N127*VLOOKUP(Tab_Calculs[[#This Row],[Colonne1]],Controle_des_données!$B$7:$G$14,6,FALSE),"")</f>
        <v/>
      </c>
      <c r="T127" t="str">
        <f ca="1">IF(Tab_Calculs[[#This Row],[Combustible ]]="Electricité (kWh)",Tab_Calculs[[#This Row],[Conso_mois_kWh]]*2.3,Tab_Calculs[[#This Row],[Conso_mois_kWh]])</f>
        <v/>
      </c>
      <c r="U127" t="str">
        <f ca="1">IFERROR(N127*VLOOKUP(Tab_Calculs[[#This Row],[Colonne1]],Controle_des_données!$B$7:$H$14,7,FALSE),"")</f>
        <v/>
      </c>
      <c r="V127">
        <f ca="1">IFERROR(Tab_Calculs[[#This Row],[Cout_mois]]/Tab_Calculs[[#This Row],[Conso_mois_kWh]],0)</f>
        <v>0</v>
      </c>
      <c r="W127" t="str">
        <f>T(VLOOKUP(Tab_Calculs[[#This Row],[Compteur]],Site!$B$33:$G$40,3,FALSE))</f>
        <v/>
      </c>
      <c r="X127" t="str">
        <f>T(VLOOKUP(Tab_Calculs[[#This Row],[Compteur]],Site!$B$33:$G$40,4,FALSE))</f>
        <v/>
      </c>
      <c r="Y127" t="str">
        <f>T(VLOOKUP(Tab_Calculs[[#This Row],[Compteur]],Site!$B$33:$G$40,5,FALSE))</f>
        <v/>
      </c>
      <c r="Z127" t="str">
        <f>T(VLOOKUP(Tab_Calculs[[#This Row],[Compteur]],Site!$B$33:$G$40,6,FALSE))</f>
        <v/>
      </c>
      <c r="AA127">
        <f>IFERROR(GETPIVOTDATA("DJU(chauffagiste)",BDD_DJU!$P$13,"annee",Tab_Calculs[[#This Row],[ANNEE]],"mois_numero",Tab_Calculs[[#This Row],[MOIS]]),0)</f>
        <v>293.10000000000002</v>
      </c>
    </row>
    <row r="128" spans="1:27" x14ac:dyDescent="0.25">
      <c r="A128" s="3">
        <f>DATE(Tab_Calculs[[#This Row],[ANNEE]],Tab_Calculs[[#This Row],[MOIS]],1)</f>
        <v>43800</v>
      </c>
      <c r="B128" s="3">
        <f>EDATE(Tab_Calculs[[#This Row],[Début mois]],1)-1</f>
        <v>43830</v>
      </c>
      <c r="C128">
        <f t="shared" si="1"/>
        <v>12</v>
      </c>
      <c r="D128">
        <f t="shared" si="0"/>
        <v>2019</v>
      </c>
      <c r="E128" t="s">
        <v>80</v>
      </c>
      <c r="F128" t="str">
        <f>SUBSTITUTE(Tab_Calculs[[#This Row],[Compteur]]," ","_")</f>
        <v>Compteur_1</v>
      </c>
      <c r="G128" t="str">
        <f>T(INDEX(Site!$B$33:$G$40, MATCH(Tab_Calculs[[#This Row],[Compteur]], Site!$B$33:$B$40,0),2))</f>
        <v/>
      </c>
      <c r="H128" s="3">
        <f t="array" aca="1" ref="H128" ca="1">MIN(IF(INDIRECT(CONCATENATE(Tab_Calculs[[#This Row],[Colonne1]],"!$B$2:$B$243"))&gt;=Calculs_Consos!$A128,INDIRECT(CONCATENATE(Tab_Calculs[[#This Row],[Colonne1]],"!$B$2:$B$243"))))</f>
        <v>0</v>
      </c>
      <c r="I128" s="3">
        <f ca="1">INDEX(INDIRECT(CONCATENATE("Tab_",Tab_Calculs[[#This Row],[Colonne1]])),Tab_Calculs[[#This Row],[index_date_livraison]],1)</f>
        <v>0</v>
      </c>
      <c r="J128">
        <f ca="1">MATCH(Tab_Calculs[[#This Row],[Date_livraison]],INDIRECT(CONCATENATE("Tab_",Tab_Calculs[[#This Row],[Colonne1]],"[Fin de période]")),0)</f>
        <v>1</v>
      </c>
      <c r="K128" t="e">
        <f ca="1">INDEX(INDIRECT(CONCATENATE("Tab_",Tab_Calculs[[#This Row],[Colonne1]])),Tab_Calculs[[#This Row],[index_date_livraison]]-1,6)*(MAX(Tab_Calculs[[#This Row],[Début periode livraison]],Tab_Calculs[[#This Row],[Début mois]])-Tab_Calculs[[#This Row],[Début mois]])</f>
        <v>#VALUE!</v>
      </c>
      <c r="L128" s="94">
        <f ca="1">INDEX(INDIRECT(CONCATENATE("Tab_",Tab_Calculs[[#This Row],[Colonne1]])),Tab_Calculs[[#This Row],[index_date_livraison]],6)*(1+MIN(Tab_Calculs[[#This Row],[Date_livraison]],Tab_Calculs[[#This Row],[fin mois]])-MAX(Tab_Calculs[[#This Row],[Début mois]],Tab_Calculs[[#This Row],[Début periode livraison]]))</f>
        <v>0</v>
      </c>
      <c r="M128" s="94" t="e">
        <f ca="1">INDEX(INDIRECT(CONCATENATE("Tab_",Tab_Calculs[[#This Row],[Colonne1]])),Tab_Calculs[[#This Row],[index_date_livraison]]+1,6)*(Tab_Calculs[[#This Row],[fin mois]]-MIN(Tab_Calculs[[#This Row],[fin mois]],Tab_Calculs[[#This Row],[Date_livraison]]))</f>
        <v>#VALUE!</v>
      </c>
      <c r="N128" s="231" t="str">
        <f ca="1">IFERROR(Tab_Calculs[[#This Row],[Ratio_jour_après_livr]]+Tab_Calculs[[#This Row],[Ratio_jour_avant_livr]]+Tab_Calculs[[#This Row],[ratio_avant_debut]],"")</f>
        <v/>
      </c>
      <c r="O128" t="e">
        <f ca="1">INDEX(INDIRECT(CONCATENATE("Tab_",Tab_Calculs[[#This Row],[Colonne1]])),Tab_Calculs[[#This Row],[index_date_livraison]]-1,7)*(MAX(Tab_Calculs[[#This Row],[Début periode livraison]],Tab_Calculs[[#This Row],[Début mois]])-Tab_Calculs[[#This Row],[Début mois]])</f>
        <v>#VALUE!</v>
      </c>
      <c r="P128">
        <f ca="1">INDEX(INDIRECT(CONCATENATE("Tab_",Tab_Calculs[[#This Row],[Colonne1]])),Tab_Calculs[[#This Row],[index_date_livraison]],7)*(1+MIN(Tab_Calculs[[#This Row],[Date_livraison]],Tab_Calculs[[#This Row],[fin mois]])-MAX(Tab_Calculs[[#This Row],[Début mois]],Tab_Calculs[[#This Row],[Début periode livraison]]))</f>
        <v>0</v>
      </c>
      <c r="Q128" t="e">
        <f ca="1">INDEX(INDIRECT(CONCATENATE("Tab_",Tab_Calculs[[#This Row],[Colonne1]])),Tab_Calculs[[#This Row],[index_date_livraison]]+1,7)*(Tab_Calculs[[#This Row],[fin mois]]-MIN(Tab_Calculs[[#This Row],[fin mois]],Tab_Calculs[[#This Row],[Date_livraison]]))</f>
        <v>#VALUE!</v>
      </c>
      <c r="R128" t="e">
        <f ca="1">Tab_Calculs[[#This Row],[Ratio_Cout_après_livr]]+Tab_Calculs[[#This Row],[Ratio_Cout_avant_livr]]+Tab_Calculs[[#This Row],[Ratio_Cout_avant_debut]]</f>
        <v>#VALUE!</v>
      </c>
      <c r="S128" t="str">
        <f ca="1">IFERROR(N128*VLOOKUP(Tab_Calculs[[#This Row],[Colonne1]],Controle_des_données!$B$7:$G$14,6,FALSE),"")</f>
        <v/>
      </c>
      <c r="T128" t="str">
        <f ca="1">IF(Tab_Calculs[[#This Row],[Combustible ]]="Electricité (kWh)",Tab_Calculs[[#This Row],[Conso_mois_kWh]]*2.3,Tab_Calculs[[#This Row],[Conso_mois_kWh]])</f>
        <v/>
      </c>
      <c r="U128" t="str">
        <f ca="1">IFERROR(N128*VLOOKUP(Tab_Calculs[[#This Row],[Colonne1]],Controle_des_données!$B$7:$H$14,7,FALSE),"")</f>
        <v/>
      </c>
      <c r="V128">
        <f ca="1">IFERROR(Tab_Calculs[[#This Row],[Cout_mois]]/Tab_Calculs[[#This Row],[Conso_mois_kWh]],0)</f>
        <v>0</v>
      </c>
      <c r="W128" t="str">
        <f>T(VLOOKUP(Tab_Calculs[[#This Row],[Compteur]],Site!$B$33:$G$40,3,FALSE))</f>
        <v/>
      </c>
      <c r="X128" t="str">
        <f>T(VLOOKUP(Tab_Calculs[[#This Row],[Compteur]],Site!$B$33:$G$40,4,FALSE))</f>
        <v/>
      </c>
      <c r="Y128" t="str">
        <f>T(VLOOKUP(Tab_Calculs[[#This Row],[Compteur]],Site!$B$33:$G$40,5,FALSE))</f>
        <v/>
      </c>
      <c r="Z128" t="str">
        <f>T(VLOOKUP(Tab_Calculs[[#This Row],[Compteur]],Site!$B$33:$G$40,6,FALSE))</f>
        <v/>
      </c>
      <c r="AA128">
        <f>IFERROR(GETPIVOTDATA("DJU(chauffagiste)",BDD_DJU!$P$13,"annee",Tab_Calculs[[#This Row],[ANNEE]],"mois_numero",Tab_Calculs[[#This Row],[MOIS]]),0)</f>
        <v>323</v>
      </c>
    </row>
    <row r="129" spans="1:27" x14ac:dyDescent="0.25">
      <c r="A129" s="3">
        <f>DATE(Tab_Calculs[[#This Row],[ANNEE]],Tab_Calculs[[#This Row],[MOIS]],1)</f>
        <v>43831</v>
      </c>
      <c r="B129" s="3">
        <f>EDATE(Tab_Calculs[[#This Row],[Début mois]],1)-1</f>
        <v>43861</v>
      </c>
      <c r="C129">
        <f t="shared" si="1"/>
        <v>1</v>
      </c>
      <c r="D129">
        <f t="shared" si="0"/>
        <v>2020</v>
      </c>
      <c r="E129" t="s">
        <v>80</v>
      </c>
      <c r="F129" t="str">
        <f>SUBSTITUTE(Tab_Calculs[[#This Row],[Compteur]]," ","_")</f>
        <v>Compteur_1</v>
      </c>
      <c r="G129" t="str">
        <f>T(INDEX(Site!$B$33:$G$40, MATCH(Tab_Calculs[[#This Row],[Compteur]], Site!$B$33:$B$40,0),2))</f>
        <v/>
      </c>
      <c r="H129" s="3">
        <f t="array" aca="1" ref="H129" ca="1">MIN(IF(INDIRECT(CONCATENATE(Tab_Calculs[[#This Row],[Colonne1]],"!$B$2:$B$243"))&gt;=Calculs_Consos!$A129,INDIRECT(CONCATENATE(Tab_Calculs[[#This Row],[Colonne1]],"!$B$2:$B$243"))))</f>
        <v>0</v>
      </c>
      <c r="I129" s="3">
        <f ca="1">INDEX(INDIRECT(CONCATENATE("Tab_",Tab_Calculs[[#This Row],[Colonne1]])),Tab_Calculs[[#This Row],[index_date_livraison]],1)</f>
        <v>0</v>
      </c>
      <c r="J129">
        <f ca="1">MATCH(Tab_Calculs[[#This Row],[Date_livraison]],INDIRECT(CONCATENATE("Tab_",Tab_Calculs[[#This Row],[Colonne1]],"[Fin de période]")),0)</f>
        <v>1</v>
      </c>
      <c r="K129" t="e">
        <f ca="1">INDEX(INDIRECT(CONCATENATE("Tab_",Tab_Calculs[[#This Row],[Colonne1]])),Tab_Calculs[[#This Row],[index_date_livraison]]-1,6)*(MAX(Tab_Calculs[[#This Row],[Début periode livraison]],Tab_Calculs[[#This Row],[Début mois]])-Tab_Calculs[[#This Row],[Début mois]])</f>
        <v>#VALUE!</v>
      </c>
      <c r="L129" s="94">
        <f ca="1">INDEX(INDIRECT(CONCATENATE("Tab_",Tab_Calculs[[#This Row],[Colonne1]])),Tab_Calculs[[#This Row],[index_date_livraison]],6)*(1+MIN(Tab_Calculs[[#This Row],[Date_livraison]],Tab_Calculs[[#This Row],[fin mois]])-MAX(Tab_Calculs[[#This Row],[Début mois]],Tab_Calculs[[#This Row],[Début periode livraison]]))</f>
        <v>0</v>
      </c>
      <c r="M129" s="94" t="e">
        <f ca="1">INDEX(INDIRECT(CONCATENATE("Tab_",Tab_Calculs[[#This Row],[Colonne1]])),Tab_Calculs[[#This Row],[index_date_livraison]]+1,6)*(Tab_Calculs[[#This Row],[fin mois]]-MIN(Tab_Calculs[[#This Row],[fin mois]],Tab_Calculs[[#This Row],[Date_livraison]]))</f>
        <v>#VALUE!</v>
      </c>
      <c r="N129" s="231" t="str">
        <f ca="1">IFERROR(Tab_Calculs[[#This Row],[Ratio_jour_après_livr]]+Tab_Calculs[[#This Row],[Ratio_jour_avant_livr]]+Tab_Calculs[[#This Row],[ratio_avant_debut]],"")</f>
        <v/>
      </c>
      <c r="O129" t="e">
        <f ca="1">INDEX(INDIRECT(CONCATENATE("Tab_",Tab_Calculs[[#This Row],[Colonne1]])),Tab_Calculs[[#This Row],[index_date_livraison]]-1,7)*(MAX(Tab_Calculs[[#This Row],[Début periode livraison]],Tab_Calculs[[#This Row],[Début mois]])-Tab_Calculs[[#This Row],[Début mois]])</f>
        <v>#VALUE!</v>
      </c>
      <c r="P129">
        <f ca="1">INDEX(INDIRECT(CONCATENATE("Tab_",Tab_Calculs[[#This Row],[Colonne1]])),Tab_Calculs[[#This Row],[index_date_livraison]],7)*(1+MIN(Tab_Calculs[[#This Row],[Date_livraison]],Tab_Calculs[[#This Row],[fin mois]])-MAX(Tab_Calculs[[#This Row],[Début mois]],Tab_Calculs[[#This Row],[Début periode livraison]]))</f>
        <v>0</v>
      </c>
      <c r="Q129" t="e">
        <f ca="1">INDEX(INDIRECT(CONCATENATE("Tab_",Tab_Calculs[[#This Row],[Colonne1]])),Tab_Calculs[[#This Row],[index_date_livraison]]+1,7)*(Tab_Calculs[[#This Row],[fin mois]]-MIN(Tab_Calculs[[#This Row],[fin mois]],Tab_Calculs[[#This Row],[Date_livraison]]))</f>
        <v>#VALUE!</v>
      </c>
      <c r="R129" t="e">
        <f ca="1">Tab_Calculs[[#This Row],[Ratio_Cout_après_livr]]+Tab_Calculs[[#This Row],[Ratio_Cout_avant_livr]]+Tab_Calculs[[#This Row],[Ratio_Cout_avant_debut]]</f>
        <v>#VALUE!</v>
      </c>
      <c r="S129" t="str">
        <f ca="1">IFERROR(N129*VLOOKUP(Tab_Calculs[[#This Row],[Colonne1]],Controle_des_données!$B$7:$G$14,6,FALSE),"")</f>
        <v/>
      </c>
      <c r="T129" t="str">
        <f ca="1">IF(Tab_Calculs[[#This Row],[Combustible ]]="Electricité (kWh)",Tab_Calculs[[#This Row],[Conso_mois_kWh]]*2.3,Tab_Calculs[[#This Row],[Conso_mois_kWh]])</f>
        <v/>
      </c>
      <c r="U129" t="str">
        <f ca="1">IFERROR(N129*VLOOKUP(Tab_Calculs[[#This Row],[Colonne1]],Controle_des_données!$B$7:$H$14,7,FALSE),"")</f>
        <v/>
      </c>
      <c r="V129">
        <f ca="1">IFERROR(Tab_Calculs[[#This Row],[Cout_mois]]/Tab_Calculs[[#This Row],[Conso_mois_kWh]],0)</f>
        <v>0</v>
      </c>
      <c r="W129" t="str">
        <f>T(VLOOKUP(Tab_Calculs[[#This Row],[Compteur]],Site!$B$33:$G$40,3,FALSE))</f>
        <v/>
      </c>
      <c r="X129" t="str">
        <f>T(VLOOKUP(Tab_Calculs[[#This Row],[Compteur]],Site!$B$33:$G$40,4,FALSE))</f>
        <v/>
      </c>
      <c r="Y129" t="str">
        <f>T(VLOOKUP(Tab_Calculs[[#This Row],[Compteur]],Site!$B$33:$G$40,5,FALSE))</f>
        <v/>
      </c>
      <c r="Z129" t="str">
        <f>T(VLOOKUP(Tab_Calculs[[#This Row],[Compteur]],Site!$B$33:$G$40,6,FALSE))</f>
        <v/>
      </c>
      <c r="AA129">
        <f>IFERROR(GETPIVOTDATA("DJU(chauffagiste)",BDD_DJU!$P$13,"annee",Tab_Calculs[[#This Row],[ANNEE]],"mois_numero",Tab_Calculs[[#This Row],[MOIS]]),0)</f>
        <v>331.5</v>
      </c>
    </row>
    <row r="130" spans="1:27" x14ac:dyDescent="0.25">
      <c r="A130" s="3">
        <f>DATE(Tab_Calculs[[#This Row],[ANNEE]],Tab_Calculs[[#This Row],[MOIS]],1)</f>
        <v>43862</v>
      </c>
      <c r="B130" s="3">
        <f>EDATE(Tab_Calculs[[#This Row],[Début mois]],1)-1</f>
        <v>43890</v>
      </c>
      <c r="C130">
        <f t="shared" si="1"/>
        <v>2</v>
      </c>
      <c r="D130">
        <f t="shared" si="0"/>
        <v>2020</v>
      </c>
      <c r="E130" t="s">
        <v>80</v>
      </c>
      <c r="F130" t="str">
        <f>SUBSTITUTE(Tab_Calculs[[#This Row],[Compteur]]," ","_")</f>
        <v>Compteur_1</v>
      </c>
      <c r="G130" t="str">
        <f>T(INDEX(Site!$B$33:$G$40, MATCH(Tab_Calculs[[#This Row],[Compteur]], Site!$B$33:$B$40,0),2))</f>
        <v/>
      </c>
      <c r="H130" s="3">
        <f t="array" aca="1" ref="H130" ca="1">MIN(IF(INDIRECT(CONCATENATE(Tab_Calculs[[#This Row],[Colonne1]],"!$B$2:$B$243"))&gt;=Calculs_Consos!$A130,INDIRECT(CONCATENATE(Tab_Calculs[[#This Row],[Colonne1]],"!$B$2:$B$243"))))</f>
        <v>0</v>
      </c>
      <c r="I130" s="3">
        <f ca="1">INDEX(INDIRECT(CONCATENATE("Tab_",Tab_Calculs[[#This Row],[Colonne1]])),Tab_Calculs[[#This Row],[index_date_livraison]],1)</f>
        <v>0</v>
      </c>
      <c r="J130">
        <f ca="1">MATCH(Tab_Calculs[[#This Row],[Date_livraison]],INDIRECT(CONCATENATE("Tab_",Tab_Calculs[[#This Row],[Colonne1]],"[Fin de période]")),0)</f>
        <v>1</v>
      </c>
      <c r="K130" t="e">
        <f ca="1">INDEX(INDIRECT(CONCATENATE("Tab_",Tab_Calculs[[#This Row],[Colonne1]])),Tab_Calculs[[#This Row],[index_date_livraison]]-1,6)*(MAX(Tab_Calculs[[#This Row],[Début periode livraison]],Tab_Calculs[[#This Row],[Début mois]])-Tab_Calculs[[#This Row],[Début mois]])</f>
        <v>#VALUE!</v>
      </c>
      <c r="L130" s="94">
        <f ca="1">INDEX(INDIRECT(CONCATENATE("Tab_",Tab_Calculs[[#This Row],[Colonne1]])),Tab_Calculs[[#This Row],[index_date_livraison]],6)*(1+MIN(Tab_Calculs[[#This Row],[Date_livraison]],Tab_Calculs[[#This Row],[fin mois]])-MAX(Tab_Calculs[[#This Row],[Début mois]],Tab_Calculs[[#This Row],[Début periode livraison]]))</f>
        <v>0</v>
      </c>
      <c r="M130" s="94" t="e">
        <f ca="1">INDEX(INDIRECT(CONCATENATE("Tab_",Tab_Calculs[[#This Row],[Colonne1]])),Tab_Calculs[[#This Row],[index_date_livraison]]+1,6)*(Tab_Calculs[[#This Row],[fin mois]]-MIN(Tab_Calculs[[#This Row],[fin mois]],Tab_Calculs[[#This Row],[Date_livraison]]))</f>
        <v>#VALUE!</v>
      </c>
      <c r="N130" s="231" t="str">
        <f ca="1">IFERROR(Tab_Calculs[[#This Row],[Ratio_jour_après_livr]]+Tab_Calculs[[#This Row],[Ratio_jour_avant_livr]]+Tab_Calculs[[#This Row],[ratio_avant_debut]],"")</f>
        <v/>
      </c>
      <c r="O130" t="e">
        <f ca="1">INDEX(INDIRECT(CONCATENATE("Tab_",Tab_Calculs[[#This Row],[Colonne1]])),Tab_Calculs[[#This Row],[index_date_livraison]]-1,7)*(MAX(Tab_Calculs[[#This Row],[Début periode livraison]],Tab_Calculs[[#This Row],[Début mois]])-Tab_Calculs[[#This Row],[Début mois]])</f>
        <v>#VALUE!</v>
      </c>
      <c r="P130">
        <f ca="1">INDEX(INDIRECT(CONCATENATE("Tab_",Tab_Calculs[[#This Row],[Colonne1]])),Tab_Calculs[[#This Row],[index_date_livraison]],7)*(1+MIN(Tab_Calculs[[#This Row],[Date_livraison]],Tab_Calculs[[#This Row],[fin mois]])-MAX(Tab_Calculs[[#This Row],[Début mois]],Tab_Calculs[[#This Row],[Début periode livraison]]))</f>
        <v>0</v>
      </c>
      <c r="Q130" t="e">
        <f ca="1">INDEX(INDIRECT(CONCATENATE("Tab_",Tab_Calculs[[#This Row],[Colonne1]])),Tab_Calculs[[#This Row],[index_date_livraison]]+1,7)*(Tab_Calculs[[#This Row],[fin mois]]-MIN(Tab_Calculs[[#This Row],[fin mois]],Tab_Calculs[[#This Row],[Date_livraison]]))</f>
        <v>#VALUE!</v>
      </c>
      <c r="R130" t="e">
        <f ca="1">Tab_Calculs[[#This Row],[Ratio_Cout_après_livr]]+Tab_Calculs[[#This Row],[Ratio_Cout_avant_livr]]+Tab_Calculs[[#This Row],[Ratio_Cout_avant_debut]]</f>
        <v>#VALUE!</v>
      </c>
      <c r="S130" t="str">
        <f ca="1">IFERROR(N130*VLOOKUP(Tab_Calculs[[#This Row],[Colonne1]],Controle_des_données!$B$7:$G$14,6,FALSE),"")</f>
        <v/>
      </c>
      <c r="T130" t="str">
        <f ca="1">IF(Tab_Calculs[[#This Row],[Combustible ]]="Electricité (kWh)",Tab_Calculs[[#This Row],[Conso_mois_kWh]]*2.3,Tab_Calculs[[#This Row],[Conso_mois_kWh]])</f>
        <v/>
      </c>
      <c r="U130" t="str">
        <f ca="1">IFERROR(N130*VLOOKUP(Tab_Calculs[[#This Row],[Colonne1]],Controle_des_données!$B$7:$H$14,7,FALSE),"")</f>
        <v/>
      </c>
      <c r="V130">
        <f ca="1">IFERROR(Tab_Calculs[[#This Row],[Cout_mois]]/Tab_Calculs[[#This Row],[Conso_mois_kWh]],0)</f>
        <v>0</v>
      </c>
      <c r="W130" t="str">
        <f>T(VLOOKUP(Tab_Calculs[[#This Row],[Compteur]],Site!$B$33:$G$40,3,FALSE))</f>
        <v/>
      </c>
      <c r="X130" t="str">
        <f>T(VLOOKUP(Tab_Calculs[[#This Row],[Compteur]],Site!$B$33:$G$40,4,FALSE))</f>
        <v/>
      </c>
      <c r="Y130" t="str">
        <f>T(VLOOKUP(Tab_Calculs[[#This Row],[Compteur]],Site!$B$33:$G$40,5,FALSE))</f>
        <v/>
      </c>
      <c r="Z130" t="str">
        <f>T(VLOOKUP(Tab_Calculs[[#This Row],[Compteur]],Site!$B$33:$G$40,6,FALSE))</f>
        <v/>
      </c>
      <c r="AA130">
        <f>IFERROR(GETPIVOTDATA("DJU(chauffagiste)",BDD_DJU!$P$13,"annee",Tab_Calculs[[#This Row],[ANNEE]],"mois_numero",Tab_Calculs[[#This Row],[MOIS]]),0)</f>
        <v>251.6</v>
      </c>
    </row>
    <row r="131" spans="1:27" x14ac:dyDescent="0.25">
      <c r="A131" s="3">
        <f>DATE(Tab_Calculs[[#This Row],[ANNEE]],Tab_Calculs[[#This Row],[MOIS]],1)</f>
        <v>43891</v>
      </c>
      <c r="B131" s="3">
        <f>EDATE(Tab_Calculs[[#This Row],[Début mois]],1)-1</f>
        <v>43921</v>
      </c>
      <c r="C131">
        <f t="shared" si="1"/>
        <v>3</v>
      </c>
      <c r="D131">
        <f>D119+1</f>
        <v>2020</v>
      </c>
      <c r="E131" t="s">
        <v>80</v>
      </c>
      <c r="F131" t="str">
        <f>SUBSTITUTE(Tab_Calculs[[#This Row],[Compteur]]," ","_")</f>
        <v>Compteur_1</v>
      </c>
      <c r="G131" t="str">
        <f>T(INDEX(Site!$B$33:$G$40, MATCH(Tab_Calculs[[#This Row],[Compteur]], Site!$B$33:$B$40,0),2))</f>
        <v/>
      </c>
      <c r="H131" s="3">
        <f t="array" aca="1" ref="H131" ca="1">MIN(IF(INDIRECT(CONCATENATE(Tab_Calculs[[#This Row],[Colonne1]],"!$B$2:$B$243"))&gt;=Calculs_Consos!$A131,INDIRECT(CONCATENATE(Tab_Calculs[[#This Row],[Colonne1]],"!$B$2:$B$243"))))</f>
        <v>0</v>
      </c>
      <c r="I131" s="3">
        <f ca="1">INDEX(INDIRECT(CONCATENATE("Tab_",Tab_Calculs[[#This Row],[Colonne1]])),Tab_Calculs[[#This Row],[index_date_livraison]],1)</f>
        <v>0</v>
      </c>
      <c r="J131">
        <f ca="1">MATCH(Tab_Calculs[[#This Row],[Date_livraison]],INDIRECT(CONCATENATE("Tab_",Tab_Calculs[[#This Row],[Colonne1]],"[Fin de période]")),0)</f>
        <v>1</v>
      </c>
      <c r="K131" t="e">
        <f ca="1">INDEX(INDIRECT(CONCATENATE("Tab_",Tab_Calculs[[#This Row],[Colonne1]])),Tab_Calculs[[#This Row],[index_date_livraison]]-1,6)*(MAX(Tab_Calculs[[#This Row],[Début periode livraison]],Tab_Calculs[[#This Row],[Début mois]])-Tab_Calculs[[#This Row],[Début mois]])</f>
        <v>#VALUE!</v>
      </c>
      <c r="L131" s="94">
        <f ca="1">INDEX(INDIRECT(CONCATENATE("Tab_",Tab_Calculs[[#This Row],[Colonne1]])),Tab_Calculs[[#This Row],[index_date_livraison]],6)*(1+MIN(Tab_Calculs[[#This Row],[Date_livraison]],Tab_Calculs[[#This Row],[fin mois]])-MAX(Tab_Calculs[[#This Row],[Début mois]],Tab_Calculs[[#This Row],[Début periode livraison]]))</f>
        <v>0</v>
      </c>
      <c r="M131" s="94" t="e">
        <f ca="1">INDEX(INDIRECT(CONCATENATE("Tab_",Tab_Calculs[[#This Row],[Colonne1]])),Tab_Calculs[[#This Row],[index_date_livraison]]+1,6)*(Tab_Calculs[[#This Row],[fin mois]]-MIN(Tab_Calculs[[#This Row],[fin mois]],Tab_Calculs[[#This Row],[Date_livraison]]))</f>
        <v>#VALUE!</v>
      </c>
      <c r="N131" s="231" t="str">
        <f ca="1">IFERROR(Tab_Calculs[[#This Row],[Ratio_jour_après_livr]]+Tab_Calculs[[#This Row],[Ratio_jour_avant_livr]]+Tab_Calculs[[#This Row],[ratio_avant_debut]],"")</f>
        <v/>
      </c>
      <c r="O131" t="e">
        <f ca="1">INDEX(INDIRECT(CONCATENATE("Tab_",Tab_Calculs[[#This Row],[Colonne1]])),Tab_Calculs[[#This Row],[index_date_livraison]]-1,7)*(MAX(Tab_Calculs[[#This Row],[Début periode livraison]],Tab_Calculs[[#This Row],[Début mois]])-Tab_Calculs[[#This Row],[Début mois]])</f>
        <v>#VALUE!</v>
      </c>
      <c r="P131">
        <f ca="1">INDEX(INDIRECT(CONCATENATE("Tab_",Tab_Calculs[[#This Row],[Colonne1]])),Tab_Calculs[[#This Row],[index_date_livraison]],7)*(1+MIN(Tab_Calculs[[#This Row],[Date_livraison]],Tab_Calculs[[#This Row],[fin mois]])-MAX(Tab_Calculs[[#This Row],[Début mois]],Tab_Calculs[[#This Row],[Début periode livraison]]))</f>
        <v>0</v>
      </c>
      <c r="Q131" t="e">
        <f ca="1">INDEX(INDIRECT(CONCATENATE("Tab_",Tab_Calculs[[#This Row],[Colonne1]])),Tab_Calculs[[#This Row],[index_date_livraison]]+1,7)*(Tab_Calculs[[#This Row],[fin mois]]-MIN(Tab_Calculs[[#This Row],[fin mois]],Tab_Calculs[[#This Row],[Date_livraison]]))</f>
        <v>#VALUE!</v>
      </c>
      <c r="R131" t="e">
        <f ca="1">Tab_Calculs[[#This Row],[Ratio_Cout_après_livr]]+Tab_Calculs[[#This Row],[Ratio_Cout_avant_livr]]+Tab_Calculs[[#This Row],[Ratio_Cout_avant_debut]]</f>
        <v>#VALUE!</v>
      </c>
      <c r="S131" t="str">
        <f ca="1">IFERROR(N131*VLOOKUP(Tab_Calculs[[#This Row],[Colonne1]],Controle_des_données!$B$7:$G$14,6,FALSE),"")</f>
        <v/>
      </c>
      <c r="T131" t="str">
        <f ca="1">IF(Tab_Calculs[[#This Row],[Combustible ]]="Electricité (kWh)",Tab_Calculs[[#This Row],[Conso_mois_kWh]]*2.3,Tab_Calculs[[#This Row],[Conso_mois_kWh]])</f>
        <v/>
      </c>
      <c r="U131" t="str">
        <f ca="1">IFERROR(N131*VLOOKUP(Tab_Calculs[[#This Row],[Colonne1]],Controle_des_données!$B$7:$H$14,7,FALSE),"")</f>
        <v/>
      </c>
      <c r="V131">
        <f ca="1">IFERROR(Tab_Calculs[[#This Row],[Cout_mois]]/Tab_Calculs[[#This Row],[Conso_mois_kWh]],0)</f>
        <v>0</v>
      </c>
      <c r="W131" t="str">
        <f>T(VLOOKUP(Tab_Calculs[[#This Row],[Compteur]],Site!$B$33:$G$40,3,FALSE))</f>
        <v/>
      </c>
      <c r="X131" t="str">
        <f>T(VLOOKUP(Tab_Calculs[[#This Row],[Compteur]],Site!$B$33:$G$40,4,FALSE))</f>
        <v/>
      </c>
      <c r="Y131" t="str">
        <f>T(VLOOKUP(Tab_Calculs[[#This Row],[Compteur]],Site!$B$33:$G$40,5,FALSE))</f>
        <v/>
      </c>
      <c r="Z131" t="str">
        <f>T(VLOOKUP(Tab_Calculs[[#This Row],[Compteur]],Site!$B$33:$G$40,6,FALSE))</f>
        <v/>
      </c>
      <c r="AA131">
        <f>IFERROR(GETPIVOTDATA("DJU(chauffagiste)",BDD_DJU!$P$13,"annee",Tab_Calculs[[#This Row],[ANNEE]],"mois_numero",Tab_Calculs[[#This Row],[MOIS]]),0)</f>
        <v>272.60000000000002</v>
      </c>
    </row>
    <row r="132" spans="1:27" x14ac:dyDescent="0.25">
      <c r="A132" s="3">
        <f>DATE(Tab_Calculs[[#This Row],[ANNEE]],Tab_Calculs[[#This Row],[MOIS]],1)</f>
        <v>43922</v>
      </c>
      <c r="B132" s="3">
        <f>EDATE(Tab_Calculs[[#This Row],[Début mois]],1)-1</f>
        <v>43951</v>
      </c>
      <c r="C132">
        <f t="shared" si="1"/>
        <v>4</v>
      </c>
      <c r="D132">
        <f t="shared" si="0"/>
        <v>2020</v>
      </c>
      <c r="E132" t="s">
        <v>80</v>
      </c>
      <c r="F132" t="str">
        <f>SUBSTITUTE(Tab_Calculs[[#This Row],[Compteur]]," ","_")</f>
        <v>Compteur_1</v>
      </c>
      <c r="G132" t="str">
        <f>T(INDEX(Site!$B$33:$G$40, MATCH(Tab_Calculs[[#This Row],[Compteur]], Site!$B$33:$B$40,0),2))</f>
        <v/>
      </c>
      <c r="H132" s="3">
        <f t="array" aca="1" ref="H132" ca="1">MIN(IF(INDIRECT(CONCATENATE(Tab_Calculs[[#This Row],[Colonne1]],"!$B$2:$B$243"))&gt;=Calculs_Consos!$A132,INDIRECT(CONCATENATE(Tab_Calculs[[#This Row],[Colonne1]],"!$B$2:$B$243"))))</f>
        <v>0</v>
      </c>
      <c r="I132" s="3">
        <f ca="1">INDEX(INDIRECT(CONCATENATE("Tab_",Tab_Calculs[[#This Row],[Colonne1]])),Tab_Calculs[[#This Row],[index_date_livraison]],1)</f>
        <v>0</v>
      </c>
      <c r="J132">
        <f ca="1">MATCH(Tab_Calculs[[#This Row],[Date_livraison]],INDIRECT(CONCATENATE("Tab_",Tab_Calculs[[#This Row],[Colonne1]],"[Fin de période]")),0)</f>
        <v>1</v>
      </c>
      <c r="K132" t="e">
        <f ca="1">INDEX(INDIRECT(CONCATENATE("Tab_",Tab_Calculs[[#This Row],[Colonne1]])),Tab_Calculs[[#This Row],[index_date_livraison]]-1,6)*(MAX(Tab_Calculs[[#This Row],[Début periode livraison]],Tab_Calculs[[#This Row],[Début mois]])-Tab_Calculs[[#This Row],[Début mois]])</f>
        <v>#VALUE!</v>
      </c>
      <c r="L132" s="94">
        <f ca="1">INDEX(INDIRECT(CONCATENATE("Tab_",Tab_Calculs[[#This Row],[Colonne1]])),Tab_Calculs[[#This Row],[index_date_livraison]],6)*(1+MIN(Tab_Calculs[[#This Row],[Date_livraison]],Tab_Calculs[[#This Row],[fin mois]])-MAX(Tab_Calculs[[#This Row],[Début mois]],Tab_Calculs[[#This Row],[Début periode livraison]]))</f>
        <v>0</v>
      </c>
      <c r="M132" s="94" t="e">
        <f ca="1">INDEX(INDIRECT(CONCATENATE("Tab_",Tab_Calculs[[#This Row],[Colonne1]])),Tab_Calculs[[#This Row],[index_date_livraison]]+1,6)*(Tab_Calculs[[#This Row],[fin mois]]-MIN(Tab_Calculs[[#This Row],[fin mois]],Tab_Calculs[[#This Row],[Date_livraison]]))</f>
        <v>#VALUE!</v>
      </c>
      <c r="N132" s="231" t="str">
        <f ca="1">IFERROR(Tab_Calculs[[#This Row],[Ratio_jour_après_livr]]+Tab_Calculs[[#This Row],[Ratio_jour_avant_livr]]+Tab_Calculs[[#This Row],[ratio_avant_debut]],"")</f>
        <v/>
      </c>
      <c r="O132" t="e">
        <f ca="1">INDEX(INDIRECT(CONCATENATE("Tab_",Tab_Calculs[[#This Row],[Colonne1]])),Tab_Calculs[[#This Row],[index_date_livraison]]-1,7)*(MAX(Tab_Calculs[[#This Row],[Début periode livraison]],Tab_Calculs[[#This Row],[Début mois]])-Tab_Calculs[[#This Row],[Début mois]])</f>
        <v>#VALUE!</v>
      </c>
      <c r="P132">
        <f ca="1">INDEX(INDIRECT(CONCATENATE("Tab_",Tab_Calculs[[#This Row],[Colonne1]])),Tab_Calculs[[#This Row],[index_date_livraison]],7)*(1+MIN(Tab_Calculs[[#This Row],[Date_livraison]],Tab_Calculs[[#This Row],[fin mois]])-MAX(Tab_Calculs[[#This Row],[Début mois]],Tab_Calculs[[#This Row],[Début periode livraison]]))</f>
        <v>0</v>
      </c>
      <c r="Q132" t="e">
        <f ca="1">INDEX(INDIRECT(CONCATENATE("Tab_",Tab_Calculs[[#This Row],[Colonne1]])),Tab_Calculs[[#This Row],[index_date_livraison]]+1,7)*(Tab_Calculs[[#This Row],[fin mois]]-MIN(Tab_Calculs[[#This Row],[fin mois]],Tab_Calculs[[#This Row],[Date_livraison]]))</f>
        <v>#VALUE!</v>
      </c>
      <c r="R132" t="e">
        <f ca="1">Tab_Calculs[[#This Row],[Ratio_Cout_après_livr]]+Tab_Calculs[[#This Row],[Ratio_Cout_avant_livr]]+Tab_Calculs[[#This Row],[Ratio_Cout_avant_debut]]</f>
        <v>#VALUE!</v>
      </c>
      <c r="S132" t="str">
        <f ca="1">IFERROR(N132*VLOOKUP(Tab_Calculs[[#This Row],[Colonne1]],Controle_des_données!$B$7:$G$14,6,FALSE),"")</f>
        <v/>
      </c>
      <c r="T132" t="str">
        <f ca="1">IF(Tab_Calculs[[#This Row],[Combustible ]]="Electricité (kWh)",Tab_Calculs[[#This Row],[Conso_mois_kWh]]*2.3,Tab_Calculs[[#This Row],[Conso_mois_kWh]])</f>
        <v/>
      </c>
      <c r="U132" t="str">
        <f ca="1">IFERROR(N132*VLOOKUP(Tab_Calculs[[#This Row],[Colonne1]],Controle_des_données!$B$7:$H$14,7,FALSE),"")</f>
        <v/>
      </c>
      <c r="V132">
        <f ca="1">IFERROR(Tab_Calculs[[#This Row],[Cout_mois]]/Tab_Calculs[[#This Row],[Conso_mois_kWh]],0)</f>
        <v>0</v>
      </c>
      <c r="W132" t="str">
        <f>T(VLOOKUP(Tab_Calculs[[#This Row],[Compteur]],Site!$B$33:$G$40,3,FALSE))</f>
        <v/>
      </c>
      <c r="X132" t="str">
        <f>T(VLOOKUP(Tab_Calculs[[#This Row],[Compteur]],Site!$B$33:$G$40,4,FALSE))</f>
        <v/>
      </c>
      <c r="Y132" t="str">
        <f>T(VLOOKUP(Tab_Calculs[[#This Row],[Compteur]],Site!$B$33:$G$40,5,FALSE))</f>
        <v/>
      </c>
      <c r="Z132" t="str">
        <f>T(VLOOKUP(Tab_Calculs[[#This Row],[Compteur]],Site!$B$33:$G$40,6,FALSE))</f>
        <v/>
      </c>
      <c r="AA132">
        <f>IFERROR(GETPIVOTDATA("DJU(chauffagiste)",BDD_DJU!$P$13,"annee",Tab_Calculs[[#This Row],[ANNEE]],"mois_numero",Tab_Calculs[[#This Row],[MOIS]]),0)</f>
        <v>126.3</v>
      </c>
    </row>
    <row r="133" spans="1:27" x14ac:dyDescent="0.25">
      <c r="A133" s="3">
        <f>DATE(Tab_Calculs[[#This Row],[ANNEE]],Tab_Calculs[[#This Row],[MOIS]],1)</f>
        <v>43952</v>
      </c>
      <c r="B133" s="3">
        <f>EDATE(Tab_Calculs[[#This Row],[Début mois]],1)-1</f>
        <v>43982</v>
      </c>
      <c r="C133">
        <f t="shared" si="1"/>
        <v>5</v>
      </c>
      <c r="D133">
        <f t="shared" si="0"/>
        <v>2020</v>
      </c>
      <c r="E133" t="s">
        <v>80</v>
      </c>
      <c r="F133" t="str">
        <f>SUBSTITUTE(Tab_Calculs[[#This Row],[Compteur]]," ","_")</f>
        <v>Compteur_1</v>
      </c>
      <c r="G133" t="str">
        <f>T(INDEX(Site!$B$33:$G$40, MATCH(Tab_Calculs[[#This Row],[Compteur]], Site!$B$33:$B$40,0),2))</f>
        <v/>
      </c>
      <c r="H133" s="3">
        <f t="array" aca="1" ref="H133" ca="1">MIN(IF(INDIRECT(CONCATENATE(Tab_Calculs[[#This Row],[Colonne1]],"!$B$2:$B$243"))&gt;=Calculs_Consos!$A133,INDIRECT(CONCATENATE(Tab_Calculs[[#This Row],[Colonne1]],"!$B$2:$B$243"))))</f>
        <v>0</v>
      </c>
      <c r="I133" s="3">
        <f ca="1">INDEX(INDIRECT(CONCATENATE("Tab_",Tab_Calculs[[#This Row],[Colonne1]])),Tab_Calculs[[#This Row],[index_date_livraison]],1)</f>
        <v>0</v>
      </c>
      <c r="J133">
        <f ca="1">MATCH(Tab_Calculs[[#This Row],[Date_livraison]],INDIRECT(CONCATENATE("Tab_",Tab_Calculs[[#This Row],[Colonne1]],"[Fin de période]")),0)</f>
        <v>1</v>
      </c>
      <c r="K133" t="e">
        <f ca="1">INDEX(INDIRECT(CONCATENATE("Tab_",Tab_Calculs[[#This Row],[Colonne1]])),Tab_Calculs[[#This Row],[index_date_livraison]]-1,6)*(MAX(Tab_Calculs[[#This Row],[Début periode livraison]],Tab_Calculs[[#This Row],[Début mois]])-Tab_Calculs[[#This Row],[Début mois]])</f>
        <v>#VALUE!</v>
      </c>
      <c r="L133" s="94">
        <f ca="1">INDEX(INDIRECT(CONCATENATE("Tab_",Tab_Calculs[[#This Row],[Colonne1]])),Tab_Calculs[[#This Row],[index_date_livraison]],6)*(1+MIN(Tab_Calculs[[#This Row],[Date_livraison]],Tab_Calculs[[#This Row],[fin mois]])-MAX(Tab_Calculs[[#This Row],[Début mois]],Tab_Calculs[[#This Row],[Début periode livraison]]))</f>
        <v>0</v>
      </c>
      <c r="M133" s="94" t="e">
        <f ca="1">INDEX(INDIRECT(CONCATENATE("Tab_",Tab_Calculs[[#This Row],[Colonne1]])),Tab_Calculs[[#This Row],[index_date_livraison]]+1,6)*(Tab_Calculs[[#This Row],[fin mois]]-MIN(Tab_Calculs[[#This Row],[fin mois]],Tab_Calculs[[#This Row],[Date_livraison]]))</f>
        <v>#VALUE!</v>
      </c>
      <c r="N133" s="231" t="str">
        <f ca="1">IFERROR(Tab_Calculs[[#This Row],[Ratio_jour_après_livr]]+Tab_Calculs[[#This Row],[Ratio_jour_avant_livr]]+Tab_Calculs[[#This Row],[ratio_avant_debut]],"")</f>
        <v/>
      </c>
      <c r="O133" t="e">
        <f ca="1">INDEX(INDIRECT(CONCATENATE("Tab_",Tab_Calculs[[#This Row],[Colonne1]])),Tab_Calculs[[#This Row],[index_date_livraison]]-1,7)*(MAX(Tab_Calculs[[#This Row],[Début periode livraison]],Tab_Calculs[[#This Row],[Début mois]])-Tab_Calculs[[#This Row],[Début mois]])</f>
        <v>#VALUE!</v>
      </c>
      <c r="P133">
        <f ca="1">INDEX(INDIRECT(CONCATENATE("Tab_",Tab_Calculs[[#This Row],[Colonne1]])),Tab_Calculs[[#This Row],[index_date_livraison]],7)*(1+MIN(Tab_Calculs[[#This Row],[Date_livraison]],Tab_Calculs[[#This Row],[fin mois]])-MAX(Tab_Calculs[[#This Row],[Début mois]],Tab_Calculs[[#This Row],[Début periode livraison]]))</f>
        <v>0</v>
      </c>
      <c r="Q133" t="e">
        <f ca="1">INDEX(INDIRECT(CONCATENATE("Tab_",Tab_Calculs[[#This Row],[Colonne1]])),Tab_Calculs[[#This Row],[index_date_livraison]]+1,7)*(Tab_Calculs[[#This Row],[fin mois]]-MIN(Tab_Calculs[[#This Row],[fin mois]],Tab_Calculs[[#This Row],[Date_livraison]]))</f>
        <v>#VALUE!</v>
      </c>
      <c r="R133" t="e">
        <f ca="1">Tab_Calculs[[#This Row],[Ratio_Cout_après_livr]]+Tab_Calculs[[#This Row],[Ratio_Cout_avant_livr]]+Tab_Calculs[[#This Row],[Ratio_Cout_avant_debut]]</f>
        <v>#VALUE!</v>
      </c>
      <c r="S133" t="str">
        <f ca="1">IFERROR(N133*VLOOKUP(Tab_Calculs[[#This Row],[Colonne1]],Controle_des_données!$B$7:$G$14,6,FALSE),"")</f>
        <v/>
      </c>
      <c r="T133" t="str">
        <f ca="1">IF(Tab_Calculs[[#This Row],[Combustible ]]="Electricité (kWh)",Tab_Calculs[[#This Row],[Conso_mois_kWh]]*2.3,Tab_Calculs[[#This Row],[Conso_mois_kWh]])</f>
        <v/>
      </c>
      <c r="U133" t="str">
        <f ca="1">IFERROR(N133*VLOOKUP(Tab_Calculs[[#This Row],[Colonne1]],Controle_des_données!$B$7:$H$14,7,FALSE),"")</f>
        <v/>
      </c>
      <c r="V133">
        <f ca="1">IFERROR(Tab_Calculs[[#This Row],[Cout_mois]]/Tab_Calculs[[#This Row],[Conso_mois_kWh]],0)</f>
        <v>0</v>
      </c>
      <c r="W133" t="str">
        <f>T(VLOOKUP(Tab_Calculs[[#This Row],[Compteur]],Site!$B$33:$G$40,3,FALSE))</f>
        <v/>
      </c>
      <c r="X133" t="str">
        <f>T(VLOOKUP(Tab_Calculs[[#This Row],[Compteur]],Site!$B$33:$G$40,4,FALSE))</f>
        <v/>
      </c>
      <c r="Y133" t="str">
        <f>T(VLOOKUP(Tab_Calculs[[#This Row],[Compteur]],Site!$B$33:$G$40,5,FALSE))</f>
        <v/>
      </c>
      <c r="Z133" t="str">
        <f>T(VLOOKUP(Tab_Calculs[[#This Row],[Compteur]],Site!$B$33:$G$40,6,FALSE))</f>
        <v/>
      </c>
      <c r="AA133">
        <f>IFERROR(GETPIVOTDATA("DJU(chauffagiste)",BDD_DJU!$P$13,"annee",Tab_Calculs[[#This Row],[ANNEE]],"mois_numero",Tab_Calculs[[#This Row],[MOIS]]),0)</f>
        <v>91.8</v>
      </c>
    </row>
    <row r="134" spans="1:27" x14ac:dyDescent="0.25">
      <c r="A134" s="3">
        <f>DATE(Tab_Calculs[[#This Row],[ANNEE]],Tab_Calculs[[#This Row],[MOIS]],1)</f>
        <v>43983</v>
      </c>
      <c r="B134" s="3">
        <f>EDATE(Tab_Calculs[[#This Row],[Début mois]],1)-1</f>
        <v>44012</v>
      </c>
      <c r="C134">
        <f t="shared" si="1"/>
        <v>6</v>
      </c>
      <c r="D134">
        <f t="shared" ref="D134:D151" si="2">D122+1</f>
        <v>2020</v>
      </c>
      <c r="E134" t="s">
        <v>80</v>
      </c>
      <c r="F134" t="str">
        <f>SUBSTITUTE(Tab_Calculs[[#This Row],[Compteur]]," ","_")</f>
        <v>Compteur_1</v>
      </c>
      <c r="G134" t="str">
        <f>T(INDEX(Site!$B$33:$G$40, MATCH(Tab_Calculs[[#This Row],[Compteur]], Site!$B$33:$B$40,0),2))</f>
        <v/>
      </c>
      <c r="H134" s="3">
        <f t="array" aca="1" ref="H134" ca="1">MIN(IF(INDIRECT(CONCATENATE(Tab_Calculs[[#This Row],[Colonne1]],"!$B$2:$B$243"))&gt;=Calculs_Consos!$A134,INDIRECT(CONCATENATE(Tab_Calculs[[#This Row],[Colonne1]],"!$B$2:$B$243"))))</f>
        <v>0</v>
      </c>
      <c r="I134" s="3">
        <f ca="1">INDEX(INDIRECT(CONCATENATE("Tab_",Tab_Calculs[[#This Row],[Colonne1]])),Tab_Calculs[[#This Row],[index_date_livraison]],1)</f>
        <v>0</v>
      </c>
      <c r="J134">
        <f ca="1">MATCH(Tab_Calculs[[#This Row],[Date_livraison]],INDIRECT(CONCATENATE("Tab_",Tab_Calculs[[#This Row],[Colonne1]],"[Fin de période]")),0)</f>
        <v>1</v>
      </c>
      <c r="K134" t="e">
        <f ca="1">INDEX(INDIRECT(CONCATENATE("Tab_",Tab_Calculs[[#This Row],[Colonne1]])),Tab_Calculs[[#This Row],[index_date_livraison]]-1,6)*(MAX(Tab_Calculs[[#This Row],[Début periode livraison]],Tab_Calculs[[#This Row],[Début mois]])-Tab_Calculs[[#This Row],[Début mois]])</f>
        <v>#VALUE!</v>
      </c>
      <c r="L134" s="94">
        <f ca="1">INDEX(INDIRECT(CONCATENATE("Tab_",Tab_Calculs[[#This Row],[Colonne1]])),Tab_Calculs[[#This Row],[index_date_livraison]],6)*(1+MIN(Tab_Calculs[[#This Row],[Date_livraison]],Tab_Calculs[[#This Row],[fin mois]])-MAX(Tab_Calculs[[#This Row],[Début mois]],Tab_Calculs[[#This Row],[Début periode livraison]]))</f>
        <v>0</v>
      </c>
      <c r="M134" s="94" t="e">
        <f ca="1">INDEX(INDIRECT(CONCATENATE("Tab_",Tab_Calculs[[#This Row],[Colonne1]])),Tab_Calculs[[#This Row],[index_date_livraison]]+1,6)*(Tab_Calculs[[#This Row],[fin mois]]-MIN(Tab_Calculs[[#This Row],[fin mois]],Tab_Calculs[[#This Row],[Date_livraison]]))</f>
        <v>#VALUE!</v>
      </c>
      <c r="N134" s="231" t="str">
        <f ca="1">IFERROR(Tab_Calculs[[#This Row],[Ratio_jour_après_livr]]+Tab_Calculs[[#This Row],[Ratio_jour_avant_livr]]+Tab_Calculs[[#This Row],[ratio_avant_debut]],"")</f>
        <v/>
      </c>
      <c r="O134" t="e">
        <f ca="1">INDEX(INDIRECT(CONCATENATE("Tab_",Tab_Calculs[[#This Row],[Colonne1]])),Tab_Calculs[[#This Row],[index_date_livraison]]-1,7)*(MAX(Tab_Calculs[[#This Row],[Début periode livraison]],Tab_Calculs[[#This Row],[Début mois]])-Tab_Calculs[[#This Row],[Début mois]])</f>
        <v>#VALUE!</v>
      </c>
      <c r="P134">
        <f ca="1">INDEX(INDIRECT(CONCATENATE("Tab_",Tab_Calculs[[#This Row],[Colonne1]])),Tab_Calculs[[#This Row],[index_date_livraison]],7)*(1+MIN(Tab_Calculs[[#This Row],[Date_livraison]],Tab_Calculs[[#This Row],[fin mois]])-MAX(Tab_Calculs[[#This Row],[Début mois]],Tab_Calculs[[#This Row],[Début periode livraison]]))</f>
        <v>0</v>
      </c>
      <c r="Q134" t="e">
        <f ca="1">INDEX(INDIRECT(CONCATENATE("Tab_",Tab_Calculs[[#This Row],[Colonne1]])),Tab_Calculs[[#This Row],[index_date_livraison]]+1,7)*(Tab_Calculs[[#This Row],[fin mois]]-MIN(Tab_Calculs[[#This Row],[fin mois]],Tab_Calculs[[#This Row],[Date_livraison]]))</f>
        <v>#VALUE!</v>
      </c>
      <c r="R134" t="e">
        <f ca="1">Tab_Calculs[[#This Row],[Ratio_Cout_après_livr]]+Tab_Calculs[[#This Row],[Ratio_Cout_avant_livr]]+Tab_Calculs[[#This Row],[Ratio_Cout_avant_debut]]</f>
        <v>#VALUE!</v>
      </c>
      <c r="S134" t="str">
        <f ca="1">IFERROR(N134*VLOOKUP(Tab_Calculs[[#This Row],[Colonne1]],Controle_des_données!$B$7:$G$14,6,FALSE),"")</f>
        <v/>
      </c>
      <c r="T134" t="str">
        <f ca="1">IF(Tab_Calculs[[#This Row],[Combustible ]]="Electricité (kWh)",Tab_Calculs[[#This Row],[Conso_mois_kWh]]*2.3,Tab_Calculs[[#This Row],[Conso_mois_kWh]])</f>
        <v/>
      </c>
      <c r="U134" t="str">
        <f ca="1">IFERROR(N134*VLOOKUP(Tab_Calculs[[#This Row],[Colonne1]],Controle_des_données!$B$7:$H$14,7,FALSE),"")</f>
        <v/>
      </c>
      <c r="V134">
        <f ca="1">IFERROR(Tab_Calculs[[#This Row],[Cout_mois]]/Tab_Calculs[[#This Row],[Conso_mois_kWh]],0)</f>
        <v>0</v>
      </c>
      <c r="W134" t="str">
        <f>T(VLOOKUP(Tab_Calculs[[#This Row],[Compteur]],Site!$B$33:$G$40,3,FALSE))</f>
        <v/>
      </c>
      <c r="X134" t="str">
        <f>T(VLOOKUP(Tab_Calculs[[#This Row],[Compteur]],Site!$B$33:$G$40,4,FALSE))</f>
        <v/>
      </c>
      <c r="Y134" t="str">
        <f>T(VLOOKUP(Tab_Calculs[[#This Row],[Compteur]],Site!$B$33:$G$40,5,FALSE))</f>
        <v/>
      </c>
      <c r="Z134" t="str">
        <f>T(VLOOKUP(Tab_Calculs[[#This Row],[Compteur]],Site!$B$33:$G$40,6,FALSE))</f>
        <v/>
      </c>
      <c r="AA134">
        <f>IFERROR(GETPIVOTDATA("DJU(chauffagiste)",BDD_DJU!$P$13,"annee",Tab_Calculs[[#This Row],[ANNEE]],"mois_numero",Tab_Calculs[[#This Row],[MOIS]]),0)</f>
        <v>55.6</v>
      </c>
    </row>
    <row r="135" spans="1:27" x14ac:dyDescent="0.25">
      <c r="A135" s="3">
        <f>DATE(Tab_Calculs[[#This Row],[ANNEE]],Tab_Calculs[[#This Row],[MOIS]],1)</f>
        <v>44013</v>
      </c>
      <c r="B135" s="3">
        <f>EDATE(Tab_Calculs[[#This Row],[Début mois]],1)-1</f>
        <v>44043</v>
      </c>
      <c r="C135">
        <f t="shared" si="1"/>
        <v>7</v>
      </c>
      <c r="D135">
        <f t="shared" si="2"/>
        <v>2020</v>
      </c>
      <c r="E135" t="s">
        <v>80</v>
      </c>
      <c r="F135" t="str">
        <f>SUBSTITUTE(Tab_Calculs[[#This Row],[Compteur]]," ","_")</f>
        <v>Compteur_1</v>
      </c>
      <c r="G135" t="str">
        <f>T(INDEX(Site!$B$33:$G$40, MATCH(Tab_Calculs[[#This Row],[Compteur]], Site!$B$33:$B$40,0),2))</f>
        <v/>
      </c>
      <c r="H135" s="3">
        <f t="array" aca="1" ref="H135" ca="1">MIN(IF(INDIRECT(CONCATENATE(Tab_Calculs[[#This Row],[Colonne1]],"!$B$2:$B$243"))&gt;=Calculs_Consos!$A135,INDIRECT(CONCATENATE(Tab_Calculs[[#This Row],[Colonne1]],"!$B$2:$B$243"))))</f>
        <v>0</v>
      </c>
      <c r="I135" s="3">
        <f ca="1">INDEX(INDIRECT(CONCATENATE("Tab_",Tab_Calculs[[#This Row],[Colonne1]])),Tab_Calculs[[#This Row],[index_date_livraison]],1)</f>
        <v>0</v>
      </c>
      <c r="J135">
        <f ca="1">MATCH(Tab_Calculs[[#This Row],[Date_livraison]],INDIRECT(CONCATENATE("Tab_",Tab_Calculs[[#This Row],[Colonne1]],"[Fin de période]")),0)</f>
        <v>1</v>
      </c>
      <c r="K135" t="e">
        <f ca="1">INDEX(INDIRECT(CONCATENATE("Tab_",Tab_Calculs[[#This Row],[Colonne1]])),Tab_Calculs[[#This Row],[index_date_livraison]]-1,6)*(MAX(Tab_Calculs[[#This Row],[Début periode livraison]],Tab_Calculs[[#This Row],[Début mois]])-Tab_Calculs[[#This Row],[Début mois]])</f>
        <v>#VALUE!</v>
      </c>
      <c r="L135" s="94">
        <f ca="1">INDEX(INDIRECT(CONCATENATE("Tab_",Tab_Calculs[[#This Row],[Colonne1]])),Tab_Calculs[[#This Row],[index_date_livraison]],6)*(1+MIN(Tab_Calculs[[#This Row],[Date_livraison]],Tab_Calculs[[#This Row],[fin mois]])-MAX(Tab_Calculs[[#This Row],[Début mois]],Tab_Calculs[[#This Row],[Début periode livraison]]))</f>
        <v>0</v>
      </c>
      <c r="M135" s="94" t="e">
        <f ca="1">INDEX(INDIRECT(CONCATENATE("Tab_",Tab_Calculs[[#This Row],[Colonne1]])),Tab_Calculs[[#This Row],[index_date_livraison]]+1,6)*(Tab_Calculs[[#This Row],[fin mois]]-MIN(Tab_Calculs[[#This Row],[fin mois]],Tab_Calculs[[#This Row],[Date_livraison]]))</f>
        <v>#VALUE!</v>
      </c>
      <c r="N135" s="231" t="str">
        <f ca="1">IFERROR(Tab_Calculs[[#This Row],[Ratio_jour_après_livr]]+Tab_Calculs[[#This Row],[Ratio_jour_avant_livr]]+Tab_Calculs[[#This Row],[ratio_avant_debut]],"")</f>
        <v/>
      </c>
      <c r="O135" t="e">
        <f ca="1">INDEX(INDIRECT(CONCATENATE("Tab_",Tab_Calculs[[#This Row],[Colonne1]])),Tab_Calculs[[#This Row],[index_date_livraison]]-1,7)*(MAX(Tab_Calculs[[#This Row],[Début periode livraison]],Tab_Calculs[[#This Row],[Début mois]])-Tab_Calculs[[#This Row],[Début mois]])</f>
        <v>#VALUE!</v>
      </c>
      <c r="P135">
        <f ca="1">INDEX(INDIRECT(CONCATENATE("Tab_",Tab_Calculs[[#This Row],[Colonne1]])),Tab_Calculs[[#This Row],[index_date_livraison]],7)*(1+MIN(Tab_Calculs[[#This Row],[Date_livraison]],Tab_Calculs[[#This Row],[fin mois]])-MAX(Tab_Calculs[[#This Row],[Début mois]],Tab_Calculs[[#This Row],[Début periode livraison]]))</f>
        <v>0</v>
      </c>
      <c r="Q135" t="e">
        <f ca="1">INDEX(INDIRECT(CONCATENATE("Tab_",Tab_Calculs[[#This Row],[Colonne1]])),Tab_Calculs[[#This Row],[index_date_livraison]]+1,7)*(Tab_Calculs[[#This Row],[fin mois]]-MIN(Tab_Calculs[[#This Row],[fin mois]],Tab_Calculs[[#This Row],[Date_livraison]]))</f>
        <v>#VALUE!</v>
      </c>
      <c r="R135" t="e">
        <f ca="1">Tab_Calculs[[#This Row],[Ratio_Cout_après_livr]]+Tab_Calculs[[#This Row],[Ratio_Cout_avant_livr]]+Tab_Calculs[[#This Row],[Ratio_Cout_avant_debut]]</f>
        <v>#VALUE!</v>
      </c>
      <c r="S135" t="str">
        <f ca="1">IFERROR(N135*VLOOKUP(Tab_Calculs[[#This Row],[Colonne1]],Controle_des_données!$B$7:$G$14,6,FALSE),"")</f>
        <v/>
      </c>
      <c r="T135" t="str">
        <f ca="1">IF(Tab_Calculs[[#This Row],[Combustible ]]="Electricité (kWh)",Tab_Calculs[[#This Row],[Conso_mois_kWh]]*2.3,Tab_Calculs[[#This Row],[Conso_mois_kWh]])</f>
        <v/>
      </c>
      <c r="U135" t="str">
        <f ca="1">IFERROR(N135*VLOOKUP(Tab_Calculs[[#This Row],[Colonne1]],Controle_des_données!$B$7:$H$14,7,FALSE),"")</f>
        <v/>
      </c>
      <c r="V135">
        <f ca="1">IFERROR(Tab_Calculs[[#This Row],[Cout_mois]]/Tab_Calculs[[#This Row],[Conso_mois_kWh]],0)</f>
        <v>0</v>
      </c>
      <c r="W135" t="str">
        <f>T(VLOOKUP(Tab_Calculs[[#This Row],[Compteur]],Site!$B$33:$G$40,3,FALSE))</f>
        <v/>
      </c>
      <c r="X135" t="str">
        <f>T(VLOOKUP(Tab_Calculs[[#This Row],[Compteur]],Site!$B$33:$G$40,4,FALSE))</f>
        <v/>
      </c>
      <c r="Y135" t="str">
        <f>T(VLOOKUP(Tab_Calculs[[#This Row],[Compteur]],Site!$B$33:$G$40,5,FALSE))</f>
        <v/>
      </c>
      <c r="Z135" t="str">
        <f>T(VLOOKUP(Tab_Calculs[[#This Row],[Compteur]],Site!$B$33:$G$40,6,FALSE))</f>
        <v/>
      </c>
      <c r="AA135">
        <f>IFERROR(GETPIVOTDATA("DJU(chauffagiste)",BDD_DJU!$P$13,"annee",Tab_Calculs[[#This Row],[ANNEE]],"mois_numero",Tab_Calculs[[#This Row],[MOIS]]),0)</f>
        <v>32.299999999999997</v>
      </c>
    </row>
    <row r="136" spans="1:27" x14ac:dyDescent="0.25">
      <c r="A136" s="3">
        <f>DATE(Tab_Calculs[[#This Row],[ANNEE]],Tab_Calculs[[#This Row],[MOIS]],1)</f>
        <v>44044</v>
      </c>
      <c r="B136" s="3">
        <f>EDATE(Tab_Calculs[[#This Row],[Début mois]],1)-1</f>
        <v>44074</v>
      </c>
      <c r="C136">
        <f t="shared" si="1"/>
        <v>8</v>
      </c>
      <c r="D136">
        <f t="shared" si="2"/>
        <v>2020</v>
      </c>
      <c r="E136" t="s">
        <v>80</v>
      </c>
      <c r="F136" t="str">
        <f>SUBSTITUTE(Tab_Calculs[[#This Row],[Compteur]]," ","_")</f>
        <v>Compteur_1</v>
      </c>
      <c r="G136" t="str">
        <f>T(INDEX(Site!$B$33:$G$40, MATCH(Tab_Calculs[[#This Row],[Compteur]], Site!$B$33:$B$40,0),2))</f>
        <v/>
      </c>
      <c r="H136" s="3">
        <f t="array" aca="1" ref="H136" ca="1">MIN(IF(INDIRECT(CONCATENATE(Tab_Calculs[[#This Row],[Colonne1]],"!$B$2:$B$243"))&gt;=Calculs_Consos!$A136,INDIRECT(CONCATENATE(Tab_Calculs[[#This Row],[Colonne1]],"!$B$2:$B$243"))))</f>
        <v>0</v>
      </c>
      <c r="I136" s="3">
        <f ca="1">INDEX(INDIRECT(CONCATENATE("Tab_",Tab_Calculs[[#This Row],[Colonne1]])),Tab_Calculs[[#This Row],[index_date_livraison]],1)</f>
        <v>0</v>
      </c>
      <c r="J136">
        <f ca="1">MATCH(Tab_Calculs[[#This Row],[Date_livraison]],INDIRECT(CONCATENATE("Tab_",Tab_Calculs[[#This Row],[Colonne1]],"[Fin de période]")),0)</f>
        <v>1</v>
      </c>
      <c r="K136" t="e">
        <f ca="1">INDEX(INDIRECT(CONCATENATE("Tab_",Tab_Calculs[[#This Row],[Colonne1]])),Tab_Calculs[[#This Row],[index_date_livraison]]-1,6)*(MAX(Tab_Calculs[[#This Row],[Début periode livraison]],Tab_Calculs[[#This Row],[Début mois]])-Tab_Calculs[[#This Row],[Début mois]])</f>
        <v>#VALUE!</v>
      </c>
      <c r="L136" s="94">
        <f ca="1">INDEX(INDIRECT(CONCATENATE("Tab_",Tab_Calculs[[#This Row],[Colonne1]])),Tab_Calculs[[#This Row],[index_date_livraison]],6)*(1+MIN(Tab_Calculs[[#This Row],[Date_livraison]],Tab_Calculs[[#This Row],[fin mois]])-MAX(Tab_Calculs[[#This Row],[Début mois]],Tab_Calculs[[#This Row],[Début periode livraison]]))</f>
        <v>0</v>
      </c>
      <c r="M136" s="94" t="e">
        <f ca="1">INDEX(INDIRECT(CONCATENATE("Tab_",Tab_Calculs[[#This Row],[Colonne1]])),Tab_Calculs[[#This Row],[index_date_livraison]]+1,6)*(Tab_Calculs[[#This Row],[fin mois]]-MIN(Tab_Calculs[[#This Row],[fin mois]],Tab_Calculs[[#This Row],[Date_livraison]]))</f>
        <v>#VALUE!</v>
      </c>
      <c r="N136" s="231" t="str">
        <f ca="1">IFERROR(Tab_Calculs[[#This Row],[Ratio_jour_après_livr]]+Tab_Calculs[[#This Row],[Ratio_jour_avant_livr]]+Tab_Calculs[[#This Row],[ratio_avant_debut]],"")</f>
        <v/>
      </c>
      <c r="O136" t="e">
        <f ca="1">INDEX(INDIRECT(CONCATENATE("Tab_",Tab_Calculs[[#This Row],[Colonne1]])),Tab_Calculs[[#This Row],[index_date_livraison]]-1,7)*(MAX(Tab_Calculs[[#This Row],[Début periode livraison]],Tab_Calculs[[#This Row],[Début mois]])-Tab_Calculs[[#This Row],[Début mois]])</f>
        <v>#VALUE!</v>
      </c>
      <c r="P136">
        <f ca="1">INDEX(INDIRECT(CONCATENATE("Tab_",Tab_Calculs[[#This Row],[Colonne1]])),Tab_Calculs[[#This Row],[index_date_livraison]],7)*(1+MIN(Tab_Calculs[[#This Row],[Date_livraison]],Tab_Calculs[[#This Row],[fin mois]])-MAX(Tab_Calculs[[#This Row],[Début mois]],Tab_Calculs[[#This Row],[Début periode livraison]]))</f>
        <v>0</v>
      </c>
      <c r="Q136" t="e">
        <f ca="1">INDEX(INDIRECT(CONCATENATE("Tab_",Tab_Calculs[[#This Row],[Colonne1]])),Tab_Calculs[[#This Row],[index_date_livraison]]+1,7)*(Tab_Calculs[[#This Row],[fin mois]]-MIN(Tab_Calculs[[#This Row],[fin mois]],Tab_Calculs[[#This Row],[Date_livraison]]))</f>
        <v>#VALUE!</v>
      </c>
      <c r="R136" t="e">
        <f ca="1">Tab_Calculs[[#This Row],[Ratio_Cout_après_livr]]+Tab_Calculs[[#This Row],[Ratio_Cout_avant_livr]]+Tab_Calculs[[#This Row],[Ratio_Cout_avant_debut]]</f>
        <v>#VALUE!</v>
      </c>
      <c r="S136" t="str">
        <f ca="1">IFERROR(N136*VLOOKUP(Tab_Calculs[[#This Row],[Colonne1]],Controle_des_données!$B$7:$G$14,6,FALSE),"")</f>
        <v/>
      </c>
      <c r="T136" t="str">
        <f ca="1">IF(Tab_Calculs[[#This Row],[Combustible ]]="Electricité (kWh)",Tab_Calculs[[#This Row],[Conso_mois_kWh]]*2.3,Tab_Calculs[[#This Row],[Conso_mois_kWh]])</f>
        <v/>
      </c>
      <c r="U136" t="str">
        <f ca="1">IFERROR(N136*VLOOKUP(Tab_Calculs[[#This Row],[Colonne1]],Controle_des_données!$B$7:$H$14,7,FALSE),"")</f>
        <v/>
      </c>
      <c r="V136">
        <f ca="1">IFERROR(Tab_Calculs[[#This Row],[Cout_mois]]/Tab_Calculs[[#This Row],[Conso_mois_kWh]],0)</f>
        <v>0</v>
      </c>
      <c r="W136" t="str">
        <f>T(VLOOKUP(Tab_Calculs[[#This Row],[Compteur]],Site!$B$33:$G$40,3,FALSE))</f>
        <v/>
      </c>
      <c r="X136" t="str">
        <f>T(VLOOKUP(Tab_Calculs[[#This Row],[Compteur]],Site!$B$33:$G$40,4,FALSE))</f>
        <v/>
      </c>
      <c r="Y136" t="str">
        <f>T(VLOOKUP(Tab_Calculs[[#This Row],[Compteur]],Site!$B$33:$G$40,5,FALSE))</f>
        <v/>
      </c>
      <c r="Z136" t="str">
        <f>T(VLOOKUP(Tab_Calculs[[#This Row],[Compteur]],Site!$B$33:$G$40,6,FALSE))</f>
        <v/>
      </c>
      <c r="AA136">
        <f>IFERROR(GETPIVOTDATA("DJU(chauffagiste)",BDD_DJU!$P$13,"annee",Tab_Calculs[[#This Row],[ANNEE]],"mois_numero",Tab_Calculs[[#This Row],[MOIS]]),0)</f>
        <v>27.8</v>
      </c>
    </row>
    <row r="137" spans="1:27" x14ac:dyDescent="0.25">
      <c r="A137" s="3">
        <f>DATE(Tab_Calculs[[#This Row],[ANNEE]],Tab_Calculs[[#This Row],[MOIS]],1)</f>
        <v>44075</v>
      </c>
      <c r="B137" s="3">
        <f>EDATE(Tab_Calculs[[#This Row],[Début mois]],1)-1</f>
        <v>44104</v>
      </c>
      <c r="C137">
        <f t="shared" si="1"/>
        <v>9</v>
      </c>
      <c r="D137">
        <f t="shared" si="2"/>
        <v>2020</v>
      </c>
      <c r="E137" t="s">
        <v>80</v>
      </c>
      <c r="F137" t="str">
        <f>SUBSTITUTE(Tab_Calculs[[#This Row],[Compteur]]," ","_")</f>
        <v>Compteur_1</v>
      </c>
      <c r="G137" t="str">
        <f>T(INDEX(Site!$B$33:$G$40, MATCH(Tab_Calculs[[#This Row],[Compteur]], Site!$B$33:$B$40,0),2))</f>
        <v/>
      </c>
      <c r="H137" s="3">
        <f t="array" aca="1" ref="H137" ca="1">MIN(IF(INDIRECT(CONCATENATE(Tab_Calculs[[#This Row],[Colonne1]],"!$B$2:$B$243"))&gt;=Calculs_Consos!$A137,INDIRECT(CONCATENATE(Tab_Calculs[[#This Row],[Colonne1]],"!$B$2:$B$243"))))</f>
        <v>0</v>
      </c>
      <c r="I137" s="3">
        <f ca="1">INDEX(INDIRECT(CONCATENATE("Tab_",Tab_Calculs[[#This Row],[Colonne1]])),Tab_Calculs[[#This Row],[index_date_livraison]],1)</f>
        <v>0</v>
      </c>
      <c r="J137">
        <f ca="1">MATCH(Tab_Calculs[[#This Row],[Date_livraison]],INDIRECT(CONCATENATE("Tab_",Tab_Calculs[[#This Row],[Colonne1]],"[Fin de période]")),0)</f>
        <v>1</v>
      </c>
      <c r="K137" t="e">
        <f ca="1">INDEX(INDIRECT(CONCATENATE("Tab_",Tab_Calculs[[#This Row],[Colonne1]])),Tab_Calculs[[#This Row],[index_date_livraison]]-1,6)*(MAX(Tab_Calculs[[#This Row],[Début periode livraison]],Tab_Calculs[[#This Row],[Début mois]])-Tab_Calculs[[#This Row],[Début mois]])</f>
        <v>#VALUE!</v>
      </c>
      <c r="L137" s="94">
        <f ca="1">INDEX(INDIRECT(CONCATENATE("Tab_",Tab_Calculs[[#This Row],[Colonne1]])),Tab_Calculs[[#This Row],[index_date_livraison]],6)*(1+MIN(Tab_Calculs[[#This Row],[Date_livraison]],Tab_Calculs[[#This Row],[fin mois]])-MAX(Tab_Calculs[[#This Row],[Début mois]],Tab_Calculs[[#This Row],[Début periode livraison]]))</f>
        <v>0</v>
      </c>
      <c r="M137" s="94" t="e">
        <f ca="1">INDEX(INDIRECT(CONCATENATE("Tab_",Tab_Calculs[[#This Row],[Colonne1]])),Tab_Calculs[[#This Row],[index_date_livraison]]+1,6)*(Tab_Calculs[[#This Row],[fin mois]]-MIN(Tab_Calculs[[#This Row],[fin mois]],Tab_Calculs[[#This Row],[Date_livraison]]))</f>
        <v>#VALUE!</v>
      </c>
      <c r="N137" s="231" t="str">
        <f ca="1">IFERROR(Tab_Calculs[[#This Row],[Ratio_jour_après_livr]]+Tab_Calculs[[#This Row],[Ratio_jour_avant_livr]]+Tab_Calculs[[#This Row],[ratio_avant_debut]],"")</f>
        <v/>
      </c>
      <c r="O137" t="e">
        <f ca="1">INDEX(INDIRECT(CONCATENATE("Tab_",Tab_Calculs[[#This Row],[Colonne1]])),Tab_Calculs[[#This Row],[index_date_livraison]]-1,7)*(MAX(Tab_Calculs[[#This Row],[Début periode livraison]],Tab_Calculs[[#This Row],[Début mois]])-Tab_Calculs[[#This Row],[Début mois]])</f>
        <v>#VALUE!</v>
      </c>
      <c r="P137">
        <f ca="1">INDEX(INDIRECT(CONCATENATE("Tab_",Tab_Calculs[[#This Row],[Colonne1]])),Tab_Calculs[[#This Row],[index_date_livraison]],7)*(1+MIN(Tab_Calculs[[#This Row],[Date_livraison]],Tab_Calculs[[#This Row],[fin mois]])-MAX(Tab_Calculs[[#This Row],[Début mois]],Tab_Calculs[[#This Row],[Début periode livraison]]))</f>
        <v>0</v>
      </c>
      <c r="Q137" t="e">
        <f ca="1">INDEX(INDIRECT(CONCATENATE("Tab_",Tab_Calculs[[#This Row],[Colonne1]])),Tab_Calculs[[#This Row],[index_date_livraison]]+1,7)*(Tab_Calculs[[#This Row],[fin mois]]-MIN(Tab_Calculs[[#This Row],[fin mois]],Tab_Calculs[[#This Row],[Date_livraison]]))</f>
        <v>#VALUE!</v>
      </c>
      <c r="R137" t="e">
        <f ca="1">Tab_Calculs[[#This Row],[Ratio_Cout_après_livr]]+Tab_Calculs[[#This Row],[Ratio_Cout_avant_livr]]+Tab_Calculs[[#This Row],[Ratio_Cout_avant_debut]]</f>
        <v>#VALUE!</v>
      </c>
      <c r="S137" t="str">
        <f ca="1">IFERROR(N137*VLOOKUP(Tab_Calculs[[#This Row],[Colonne1]],Controle_des_données!$B$7:$G$14,6,FALSE),"")</f>
        <v/>
      </c>
      <c r="T137" t="str">
        <f ca="1">IF(Tab_Calculs[[#This Row],[Combustible ]]="Electricité (kWh)",Tab_Calculs[[#This Row],[Conso_mois_kWh]]*2.3,Tab_Calculs[[#This Row],[Conso_mois_kWh]])</f>
        <v/>
      </c>
      <c r="U137" t="str">
        <f ca="1">IFERROR(N137*VLOOKUP(Tab_Calculs[[#This Row],[Colonne1]],Controle_des_données!$B$7:$H$14,7,FALSE),"")</f>
        <v/>
      </c>
      <c r="V137">
        <f ca="1">IFERROR(Tab_Calculs[[#This Row],[Cout_mois]]/Tab_Calculs[[#This Row],[Conso_mois_kWh]],0)</f>
        <v>0</v>
      </c>
      <c r="W137" t="str">
        <f>T(VLOOKUP(Tab_Calculs[[#This Row],[Compteur]],Site!$B$33:$G$40,3,FALSE))</f>
        <v/>
      </c>
      <c r="X137" t="str">
        <f>T(VLOOKUP(Tab_Calculs[[#This Row],[Compteur]],Site!$B$33:$G$40,4,FALSE))</f>
        <v/>
      </c>
      <c r="Y137" t="str">
        <f>T(VLOOKUP(Tab_Calculs[[#This Row],[Compteur]],Site!$B$33:$G$40,5,FALSE))</f>
        <v/>
      </c>
      <c r="Z137" t="str">
        <f>T(VLOOKUP(Tab_Calculs[[#This Row],[Compteur]],Site!$B$33:$G$40,6,FALSE))</f>
        <v/>
      </c>
      <c r="AA137">
        <f>IFERROR(GETPIVOTDATA("DJU(chauffagiste)",BDD_DJU!$P$13,"annee",Tab_Calculs[[#This Row],[ANNEE]],"mois_numero",Tab_Calculs[[#This Row],[MOIS]]),0)</f>
        <v>56.6</v>
      </c>
    </row>
    <row r="138" spans="1:27" x14ac:dyDescent="0.25">
      <c r="A138" s="3">
        <f>DATE(Tab_Calculs[[#This Row],[ANNEE]],Tab_Calculs[[#This Row],[MOIS]],1)</f>
        <v>44105</v>
      </c>
      <c r="B138" s="3">
        <f>EDATE(Tab_Calculs[[#This Row],[Début mois]],1)-1</f>
        <v>44135</v>
      </c>
      <c r="C138">
        <f t="shared" si="1"/>
        <v>10</v>
      </c>
      <c r="D138">
        <f t="shared" si="2"/>
        <v>2020</v>
      </c>
      <c r="E138" t="s">
        <v>80</v>
      </c>
      <c r="F138" t="str">
        <f>SUBSTITUTE(Tab_Calculs[[#This Row],[Compteur]]," ","_")</f>
        <v>Compteur_1</v>
      </c>
      <c r="G138" t="str">
        <f>T(INDEX(Site!$B$33:$G$40, MATCH(Tab_Calculs[[#This Row],[Compteur]], Site!$B$33:$B$40,0),2))</f>
        <v/>
      </c>
      <c r="H138" s="3">
        <f t="array" aca="1" ref="H138" ca="1">MIN(IF(INDIRECT(CONCATENATE(Tab_Calculs[[#This Row],[Colonne1]],"!$B$2:$B$243"))&gt;=Calculs_Consos!$A138,INDIRECT(CONCATENATE(Tab_Calculs[[#This Row],[Colonne1]],"!$B$2:$B$243"))))</f>
        <v>0</v>
      </c>
      <c r="I138" s="3">
        <f ca="1">INDEX(INDIRECT(CONCATENATE("Tab_",Tab_Calculs[[#This Row],[Colonne1]])),Tab_Calculs[[#This Row],[index_date_livraison]],1)</f>
        <v>0</v>
      </c>
      <c r="J138">
        <f ca="1">MATCH(Tab_Calculs[[#This Row],[Date_livraison]],INDIRECT(CONCATENATE("Tab_",Tab_Calculs[[#This Row],[Colonne1]],"[Fin de période]")),0)</f>
        <v>1</v>
      </c>
      <c r="K138" t="e">
        <f ca="1">INDEX(INDIRECT(CONCATENATE("Tab_",Tab_Calculs[[#This Row],[Colonne1]])),Tab_Calculs[[#This Row],[index_date_livraison]]-1,6)*(MAX(Tab_Calculs[[#This Row],[Début periode livraison]],Tab_Calculs[[#This Row],[Début mois]])-Tab_Calculs[[#This Row],[Début mois]])</f>
        <v>#VALUE!</v>
      </c>
      <c r="L138" s="94">
        <f ca="1">INDEX(INDIRECT(CONCATENATE("Tab_",Tab_Calculs[[#This Row],[Colonne1]])),Tab_Calculs[[#This Row],[index_date_livraison]],6)*(1+MIN(Tab_Calculs[[#This Row],[Date_livraison]],Tab_Calculs[[#This Row],[fin mois]])-MAX(Tab_Calculs[[#This Row],[Début mois]],Tab_Calculs[[#This Row],[Début periode livraison]]))</f>
        <v>0</v>
      </c>
      <c r="M138" s="94" t="e">
        <f ca="1">INDEX(INDIRECT(CONCATENATE("Tab_",Tab_Calculs[[#This Row],[Colonne1]])),Tab_Calculs[[#This Row],[index_date_livraison]]+1,6)*(Tab_Calculs[[#This Row],[fin mois]]-MIN(Tab_Calculs[[#This Row],[fin mois]],Tab_Calculs[[#This Row],[Date_livraison]]))</f>
        <v>#VALUE!</v>
      </c>
      <c r="N138" s="231" t="str">
        <f ca="1">IFERROR(Tab_Calculs[[#This Row],[Ratio_jour_après_livr]]+Tab_Calculs[[#This Row],[Ratio_jour_avant_livr]]+Tab_Calculs[[#This Row],[ratio_avant_debut]],"")</f>
        <v/>
      </c>
      <c r="O138" t="e">
        <f ca="1">INDEX(INDIRECT(CONCATENATE("Tab_",Tab_Calculs[[#This Row],[Colonne1]])),Tab_Calculs[[#This Row],[index_date_livraison]]-1,7)*(MAX(Tab_Calculs[[#This Row],[Début periode livraison]],Tab_Calculs[[#This Row],[Début mois]])-Tab_Calculs[[#This Row],[Début mois]])</f>
        <v>#VALUE!</v>
      </c>
      <c r="P138">
        <f ca="1">INDEX(INDIRECT(CONCATENATE("Tab_",Tab_Calculs[[#This Row],[Colonne1]])),Tab_Calculs[[#This Row],[index_date_livraison]],7)*(1+MIN(Tab_Calculs[[#This Row],[Date_livraison]],Tab_Calculs[[#This Row],[fin mois]])-MAX(Tab_Calculs[[#This Row],[Début mois]],Tab_Calculs[[#This Row],[Début periode livraison]]))</f>
        <v>0</v>
      </c>
      <c r="Q138" t="e">
        <f ca="1">INDEX(INDIRECT(CONCATENATE("Tab_",Tab_Calculs[[#This Row],[Colonne1]])),Tab_Calculs[[#This Row],[index_date_livraison]]+1,7)*(Tab_Calculs[[#This Row],[fin mois]]-MIN(Tab_Calculs[[#This Row],[fin mois]],Tab_Calculs[[#This Row],[Date_livraison]]))</f>
        <v>#VALUE!</v>
      </c>
      <c r="R138" t="e">
        <f ca="1">Tab_Calculs[[#This Row],[Ratio_Cout_après_livr]]+Tab_Calculs[[#This Row],[Ratio_Cout_avant_livr]]+Tab_Calculs[[#This Row],[Ratio_Cout_avant_debut]]</f>
        <v>#VALUE!</v>
      </c>
      <c r="S138" t="str">
        <f ca="1">IFERROR(N138*VLOOKUP(Tab_Calculs[[#This Row],[Colonne1]],Controle_des_données!$B$7:$G$14,6,FALSE),"")</f>
        <v/>
      </c>
      <c r="T138" t="str">
        <f ca="1">IF(Tab_Calculs[[#This Row],[Combustible ]]="Electricité (kWh)",Tab_Calculs[[#This Row],[Conso_mois_kWh]]*2.3,Tab_Calculs[[#This Row],[Conso_mois_kWh]])</f>
        <v/>
      </c>
      <c r="U138" t="str">
        <f ca="1">IFERROR(N138*VLOOKUP(Tab_Calculs[[#This Row],[Colonne1]],Controle_des_données!$B$7:$H$14,7,FALSE),"")</f>
        <v/>
      </c>
      <c r="V138">
        <f ca="1">IFERROR(Tab_Calculs[[#This Row],[Cout_mois]]/Tab_Calculs[[#This Row],[Conso_mois_kWh]],0)</f>
        <v>0</v>
      </c>
      <c r="W138" t="str">
        <f>T(VLOOKUP(Tab_Calculs[[#This Row],[Compteur]],Site!$B$33:$G$40,3,FALSE))</f>
        <v/>
      </c>
      <c r="X138" t="str">
        <f>T(VLOOKUP(Tab_Calculs[[#This Row],[Compteur]],Site!$B$33:$G$40,4,FALSE))</f>
        <v/>
      </c>
      <c r="Y138" t="str">
        <f>T(VLOOKUP(Tab_Calculs[[#This Row],[Compteur]],Site!$B$33:$G$40,5,FALSE))</f>
        <v/>
      </c>
      <c r="Z138" t="str">
        <f>T(VLOOKUP(Tab_Calculs[[#This Row],[Compteur]],Site!$B$33:$G$40,6,FALSE))</f>
        <v/>
      </c>
      <c r="AA138">
        <f>IFERROR(GETPIVOTDATA("DJU(chauffagiste)",BDD_DJU!$P$13,"annee",Tab_Calculs[[#This Row],[ANNEE]],"mois_numero",Tab_Calculs[[#This Row],[MOIS]]),0)</f>
        <v>159.30000000000001</v>
      </c>
    </row>
    <row r="139" spans="1:27" x14ac:dyDescent="0.25">
      <c r="A139" s="3">
        <f>DATE(Tab_Calculs[[#This Row],[ANNEE]],Tab_Calculs[[#This Row],[MOIS]],1)</f>
        <v>44136</v>
      </c>
      <c r="B139" s="3">
        <f>EDATE(Tab_Calculs[[#This Row],[Début mois]],1)-1</f>
        <v>44165</v>
      </c>
      <c r="C139">
        <f t="shared" si="1"/>
        <v>11</v>
      </c>
      <c r="D139">
        <f t="shared" si="2"/>
        <v>2020</v>
      </c>
      <c r="E139" t="s">
        <v>80</v>
      </c>
      <c r="F139" t="str">
        <f>SUBSTITUTE(Tab_Calculs[[#This Row],[Compteur]]," ","_")</f>
        <v>Compteur_1</v>
      </c>
      <c r="G139" t="str">
        <f>T(INDEX(Site!$B$33:$G$40, MATCH(Tab_Calculs[[#This Row],[Compteur]], Site!$B$33:$B$40,0),2))</f>
        <v/>
      </c>
      <c r="H139" s="3">
        <f t="array" aca="1" ref="H139" ca="1">MIN(IF(INDIRECT(CONCATENATE(Tab_Calculs[[#This Row],[Colonne1]],"!$B$2:$B$243"))&gt;=Calculs_Consos!$A139,INDIRECT(CONCATENATE(Tab_Calculs[[#This Row],[Colonne1]],"!$B$2:$B$243"))))</f>
        <v>0</v>
      </c>
      <c r="I139" s="3">
        <f ca="1">INDEX(INDIRECT(CONCATENATE("Tab_",Tab_Calculs[[#This Row],[Colonne1]])),Tab_Calculs[[#This Row],[index_date_livraison]],1)</f>
        <v>0</v>
      </c>
      <c r="J139">
        <f ca="1">MATCH(Tab_Calculs[[#This Row],[Date_livraison]],INDIRECT(CONCATENATE("Tab_",Tab_Calculs[[#This Row],[Colonne1]],"[Fin de période]")),0)</f>
        <v>1</v>
      </c>
      <c r="K139" t="e">
        <f ca="1">INDEX(INDIRECT(CONCATENATE("Tab_",Tab_Calculs[[#This Row],[Colonne1]])),Tab_Calculs[[#This Row],[index_date_livraison]]-1,6)*(MAX(Tab_Calculs[[#This Row],[Début periode livraison]],Tab_Calculs[[#This Row],[Début mois]])-Tab_Calculs[[#This Row],[Début mois]])</f>
        <v>#VALUE!</v>
      </c>
      <c r="L139" s="94">
        <f ca="1">INDEX(INDIRECT(CONCATENATE("Tab_",Tab_Calculs[[#This Row],[Colonne1]])),Tab_Calculs[[#This Row],[index_date_livraison]],6)*(1+MIN(Tab_Calculs[[#This Row],[Date_livraison]],Tab_Calculs[[#This Row],[fin mois]])-MAX(Tab_Calculs[[#This Row],[Début mois]],Tab_Calculs[[#This Row],[Début periode livraison]]))</f>
        <v>0</v>
      </c>
      <c r="M139" s="94" t="e">
        <f ca="1">INDEX(INDIRECT(CONCATENATE("Tab_",Tab_Calculs[[#This Row],[Colonne1]])),Tab_Calculs[[#This Row],[index_date_livraison]]+1,6)*(Tab_Calculs[[#This Row],[fin mois]]-MIN(Tab_Calculs[[#This Row],[fin mois]],Tab_Calculs[[#This Row],[Date_livraison]]))</f>
        <v>#VALUE!</v>
      </c>
      <c r="N139" s="231" t="str">
        <f ca="1">IFERROR(Tab_Calculs[[#This Row],[Ratio_jour_après_livr]]+Tab_Calculs[[#This Row],[Ratio_jour_avant_livr]]+Tab_Calculs[[#This Row],[ratio_avant_debut]],"")</f>
        <v/>
      </c>
      <c r="O139" t="e">
        <f ca="1">INDEX(INDIRECT(CONCATENATE("Tab_",Tab_Calculs[[#This Row],[Colonne1]])),Tab_Calculs[[#This Row],[index_date_livraison]]-1,7)*(MAX(Tab_Calculs[[#This Row],[Début periode livraison]],Tab_Calculs[[#This Row],[Début mois]])-Tab_Calculs[[#This Row],[Début mois]])</f>
        <v>#VALUE!</v>
      </c>
      <c r="P139">
        <f ca="1">INDEX(INDIRECT(CONCATENATE("Tab_",Tab_Calculs[[#This Row],[Colonne1]])),Tab_Calculs[[#This Row],[index_date_livraison]],7)*(1+MIN(Tab_Calculs[[#This Row],[Date_livraison]],Tab_Calculs[[#This Row],[fin mois]])-MAX(Tab_Calculs[[#This Row],[Début mois]],Tab_Calculs[[#This Row],[Début periode livraison]]))</f>
        <v>0</v>
      </c>
      <c r="Q139" t="e">
        <f ca="1">INDEX(INDIRECT(CONCATENATE("Tab_",Tab_Calculs[[#This Row],[Colonne1]])),Tab_Calculs[[#This Row],[index_date_livraison]]+1,7)*(Tab_Calculs[[#This Row],[fin mois]]-MIN(Tab_Calculs[[#This Row],[fin mois]],Tab_Calculs[[#This Row],[Date_livraison]]))</f>
        <v>#VALUE!</v>
      </c>
      <c r="R139" t="e">
        <f ca="1">Tab_Calculs[[#This Row],[Ratio_Cout_après_livr]]+Tab_Calculs[[#This Row],[Ratio_Cout_avant_livr]]+Tab_Calculs[[#This Row],[Ratio_Cout_avant_debut]]</f>
        <v>#VALUE!</v>
      </c>
      <c r="S139" t="str">
        <f ca="1">IFERROR(N139*VLOOKUP(Tab_Calculs[[#This Row],[Colonne1]],Controle_des_données!$B$7:$G$14,6,FALSE),"")</f>
        <v/>
      </c>
      <c r="T139" t="str">
        <f ca="1">IF(Tab_Calculs[[#This Row],[Combustible ]]="Electricité (kWh)",Tab_Calculs[[#This Row],[Conso_mois_kWh]]*2.3,Tab_Calculs[[#This Row],[Conso_mois_kWh]])</f>
        <v/>
      </c>
      <c r="U139" t="str">
        <f ca="1">IFERROR(N139*VLOOKUP(Tab_Calculs[[#This Row],[Colonne1]],Controle_des_données!$B$7:$H$14,7,FALSE),"")</f>
        <v/>
      </c>
      <c r="V139">
        <f ca="1">IFERROR(Tab_Calculs[[#This Row],[Cout_mois]]/Tab_Calculs[[#This Row],[Conso_mois_kWh]],0)</f>
        <v>0</v>
      </c>
      <c r="W139" t="str">
        <f>T(VLOOKUP(Tab_Calculs[[#This Row],[Compteur]],Site!$B$33:$G$40,3,FALSE))</f>
        <v/>
      </c>
      <c r="X139" t="str">
        <f>T(VLOOKUP(Tab_Calculs[[#This Row],[Compteur]],Site!$B$33:$G$40,4,FALSE))</f>
        <v/>
      </c>
      <c r="Y139" t="str">
        <f>T(VLOOKUP(Tab_Calculs[[#This Row],[Compteur]],Site!$B$33:$G$40,5,FALSE))</f>
        <v/>
      </c>
      <c r="Z139" t="str">
        <f>T(VLOOKUP(Tab_Calculs[[#This Row],[Compteur]],Site!$B$33:$G$40,6,FALSE))</f>
        <v/>
      </c>
      <c r="AA139">
        <f>IFERROR(GETPIVOTDATA("DJU(chauffagiste)",BDD_DJU!$P$13,"annee",Tab_Calculs[[#This Row],[ANNEE]],"mois_numero",Tab_Calculs[[#This Row],[MOIS]]),0)</f>
        <v>237.3</v>
      </c>
    </row>
    <row r="140" spans="1:27" x14ac:dyDescent="0.25">
      <c r="A140" s="3">
        <f>DATE(Tab_Calculs[[#This Row],[ANNEE]],Tab_Calculs[[#This Row],[MOIS]],1)</f>
        <v>44166</v>
      </c>
      <c r="B140" s="3">
        <f>EDATE(Tab_Calculs[[#This Row],[Début mois]],1)-1</f>
        <v>44196</v>
      </c>
      <c r="C140">
        <f t="shared" si="1"/>
        <v>12</v>
      </c>
      <c r="D140">
        <f t="shared" si="2"/>
        <v>2020</v>
      </c>
      <c r="E140" t="s">
        <v>80</v>
      </c>
      <c r="F140" t="str">
        <f>SUBSTITUTE(Tab_Calculs[[#This Row],[Compteur]]," ","_")</f>
        <v>Compteur_1</v>
      </c>
      <c r="G140" t="str">
        <f>T(INDEX(Site!$B$33:$G$40, MATCH(Tab_Calculs[[#This Row],[Compteur]], Site!$B$33:$B$40,0),2))</f>
        <v/>
      </c>
      <c r="H140" s="3">
        <f t="array" aca="1" ref="H140" ca="1">MIN(IF(INDIRECT(CONCATENATE(Tab_Calculs[[#This Row],[Colonne1]],"!$B$2:$B$243"))&gt;=Calculs_Consos!$A140,INDIRECT(CONCATENATE(Tab_Calculs[[#This Row],[Colonne1]],"!$B$2:$B$243"))))</f>
        <v>0</v>
      </c>
      <c r="I140" s="3">
        <f ca="1">INDEX(INDIRECT(CONCATENATE("Tab_",Tab_Calculs[[#This Row],[Colonne1]])),Tab_Calculs[[#This Row],[index_date_livraison]],1)</f>
        <v>0</v>
      </c>
      <c r="J140">
        <f ca="1">MATCH(Tab_Calculs[[#This Row],[Date_livraison]],INDIRECT(CONCATENATE("Tab_",Tab_Calculs[[#This Row],[Colonne1]],"[Fin de période]")),0)</f>
        <v>1</v>
      </c>
      <c r="K140" t="e">
        <f ca="1">INDEX(INDIRECT(CONCATENATE("Tab_",Tab_Calculs[[#This Row],[Colonne1]])),Tab_Calculs[[#This Row],[index_date_livraison]]-1,6)*(MAX(Tab_Calculs[[#This Row],[Début periode livraison]],Tab_Calculs[[#This Row],[Début mois]])-Tab_Calculs[[#This Row],[Début mois]])</f>
        <v>#VALUE!</v>
      </c>
      <c r="L140" s="94">
        <f ca="1">INDEX(INDIRECT(CONCATENATE("Tab_",Tab_Calculs[[#This Row],[Colonne1]])),Tab_Calculs[[#This Row],[index_date_livraison]],6)*(1+MIN(Tab_Calculs[[#This Row],[Date_livraison]],Tab_Calculs[[#This Row],[fin mois]])-MAX(Tab_Calculs[[#This Row],[Début mois]],Tab_Calculs[[#This Row],[Début periode livraison]]))</f>
        <v>0</v>
      </c>
      <c r="M140" s="94" t="e">
        <f ca="1">INDEX(INDIRECT(CONCATENATE("Tab_",Tab_Calculs[[#This Row],[Colonne1]])),Tab_Calculs[[#This Row],[index_date_livraison]]+1,6)*(Tab_Calculs[[#This Row],[fin mois]]-MIN(Tab_Calculs[[#This Row],[fin mois]],Tab_Calculs[[#This Row],[Date_livraison]]))</f>
        <v>#VALUE!</v>
      </c>
      <c r="N140" s="231" t="str">
        <f ca="1">IFERROR(Tab_Calculs[[#This Row],[Ratio_jour_après_livr]]+Tab_Calculs[[#This Row],[Ratio_jour_avant_livr]]+Tab_Calculs[[#This Row],[ratio_avant_debut]],"")</f>
        <v/>
      </c>
      <c r="O140" t="e">
        <f ca="1">INDEX(INDIRECT(CONCATENATE("Tab_",Tab_Calculs[[#This Row],[Colonne1]])),Tab_Calculs[[#This Row],[index_date_livraison]]-1,7)*(MAX(Tab_Calculs[[#This Row],[Début periode livraison]],Tab_Calculs[[#This Row],[Début mois]])-Tab_Calculs[[#This Row],[Début mois]])</f>
        <v>#VALUE!</v>
      </c>
      <c r="P140">
        <f ca="1">INDEX(INDIRECT(CONCATENATE("Tab_",Tab_Calculs[[#This Row],[Colonne1]])),Tab_Calculs[[#This Row],[index_date_livraison]],7)*(1+MIN(Tab_Calculs[[#This Row],[Date_livraison]],Tab_Calculs[[#This Row],[fin mois]])-MAX(Tab_Calculs[[#This Row],[Début mois]],Tab_Calculs[[#This Row],[Début periode livraison]]))</f>
        <v>0</v>
      </c>
      <c r="Q140" t="e">
        <f ca="1">INDEX(INDIRECT(CONCATENATE("Tab_",Tab_Calculs[[#This Row],[Colonne1]])),Tab_Calculs[[#This Row],[index_date_livraison]]+1,7)*(Tab_Calculs[[#This Row],[fin mois]]-MIN(Tab_Calculs[[#This Row],[fin mois]],Tab_Calculs[[#This Row],[Date_livraison]]))</f>
        <v>#VALUE!</v>
      </c>
      <c r="R140" t="e">
        <f ca="1">Tab_Calculs[[#This Row],[Ratio_Cout_après_livr]]+Tab_Calculs[[#This Row],[Ratio_Cout_avant_livr]]+Tab_Calculs[[#This Row],[Ratio_Cout_avant_debut]]</f>
        <v>#VALUE!</v>
      </c>
      <c r="S140" t="str">
        <f ca="1">IFERROR(N140*VLOOKUP(Tab_Calculs[[#This Row],[Colonne1]],Controle_des_données!$B$7:$G$14,6,FALSE),"")</f>
        <v/>
      </c>
      <c r="T140" t="str">
        <f ca="1">IF(Tab_Calculs[[#This Row],[Combustible ]]="Electricité (kWh)",Tab_Calculs[[#This Row],[Conso_mois_kWh]]*2.3,Tab_Calculs[[#This Row],[Conso_mois_kWh]])</f>
        <v/>
      </c>
      <c r="U140" t="str">
        <f ca="1">IFERROR(N140*VLOOKUP(Tab_Calculs[[#This Row],[Colonne1]],Controle_des_données!$B$7:$H$14,7,FALSE),"")</f>
        <v/>
      </c>
      <c r="V140">
        <f ca="1">IFERROR(Tab_Calculs[[#This Row],[Cout_mois]]/Tab_Calculs[[#This Row],[Conso_mois_kWh]],0)</f>
        <v>0</v>
      </c>
      <c r="W140" t="str">
        <f>T(VLOOKUP(Tab_Calculs[[#This Row],[Compteur]],Site!$B$33:$G$40,3,FALSE))</f>
        <v/>
      </c>
      <c r="X140" t="str">
        <f>T(VLOOKUP(Tab_Calculs[[#This Row],[Compteur]],Site!$B$33:$G$40,4,FALSE))</f>
        <v/>
      </c>
      <c r="Y140" t="str">
        <f>T(VLOOKUP(Tab_Calculs[[#This Row],[Compteur]],Site!$B$33:$G$40,5,FALSE))</f>
        <v/>
      </c>
      <c r="Z140" t="str">
        <f>T(VLOOKUP(Tab_Calculs[[#This Row],[Compteur]],Site!$B$33:$G$40,6,FALSE))</f>
        <v/>
      </c>
      <c r="AA140">
        <f>IFERROR(GETPIVOTDATA("DJU(chauffagiste)",BDD_DJU!$P$13,"annee",Tab_Calculs[[#This Row],[ANNEE]],"mois_numero",Tab_Calculs[[#This Row],[MOIS]]),0)</f>
        <v>334.4</v>
      </c>
    </row>
    <row r="141" spans="1:27" x14ac:dyDescent="0.25">
      <c r="A141" s="3">
        <f>DATE(Tab_Calculs[[#This Row],[ANNEE]],Tab_Calculs[[#This Row],[MOIS]],1)</f>
        <v>44197</v>
      </c>
      <c r="B141" s="3">
        <f>EDATE(Tab_Calculs[[#This Row],[Début mois]],1)-1</f>
        <v>44227</v>
      </c>
      <c r="C141">
        <f t="shared" si="1"/>
        <v>1</v>
      </c>
      <c r="D141">
        <f t="shared" si="2"/>
        <v>2021</v>
      </c>
      <c r="E141" t="s">
        <v>80</v>
      </c>
      <c r="F141" t="str">
        <f>SUBSTITUTE(Tab_Calculs[[#This Row],[Compteur]]," ","_")</f>
        <v>Compteur_1</v>
      </c>
      <c r="G141" t="str">
        <f>T(INDEX(Site!$B$33:$G$40, MATCH(Tab_Calculs[[#This Row],[Compteur]], Site!$B$33:$B$40,0),2))</f>
        <v/>
      </c>
      <c r="H141" s="3">
        <f t="array" aca="1" ref="H141" ca="1">MIN(IF(INDIRECT(CONCATENATE(Tab_Calculs[[#This Row],[Colonne1]],"!$B$2:$B$243"))&gt;=Calculs_Consos!$A141,INDIRECT(CONCATENATE(Tab_Calculs[[#This Row],[Colonne1]],"!$B$2:$B$243"))))</f>
        <v>0</v>
      </c>
      <c r="I141" s="3">
        <f ca="1">INDEX(INDIRECT(CONCATENATE("Tab_",Tab_Calculs[[#This Row],[Colonne1]])),Tab_Calculs[[#This Row],[index_date_livraison]],1)</f>
        <v>0</v>
      </c>
      <c r="J141">
        <f ca="1">MATCH(Tab_Calculs[[#This Row],[Date_livraison]],INDIRECT(CONCATENATE("Tab_",Tab_Calculs[[#This Row],[Colonne1]],"[Fin de période]")),0)</f>
        <v>1</v>
      </c>
      <c r="K141" t="e">
        <f ca="1">INDEX(INDIRECT(CONCATENATE("Tab_",Tab_Calculs[[#This Row],[Colonne1]])),Tab_Calculs[[#This Row],[index_date_livraison]]-1,6)*(MAX(Tab_Calculs[[#This Row],[Début periode livraison]],Tab_Calculs[[#This Row],[Début mois]])-Tab_Calculs[[#This Row],[Début mois]])</f>
        <v>#VALUE!</v>
      </c>
      <c r="L141" s="94">
        <f ca="1">INDEX(INDIRECT(CONCATENATE("Tab_",Tab_Calculs[[#This Row],[Colonne1]])),Tab_Calculs[[#This Row],[index_date_livraison]],6)*(1+MIN(Tab_Calculs[[#This Row],[Date_livraison]],Tab_Calculs[[#This Row],[fin mois]])-MAX(Tab_Calculs[[#This Row],[Début mois]],Tab_Calculs[[#This Row],[Début periode livraison]]))</f>
        <v>0</v>
      </c>
      <c r="M141" s="94" t="e">
        <f ca="1">INDEX(INDIRECT(CONCATENATE("Tab_",Tab_Calculs[[#This Row],[Colonne1]])),Tab_Calculs[[#This Row],[index_date_livraison]]+1,6)*(Tab_Calculs[[#This Row],[fin mois]]-MIN(Tab_Calculs[[#This Row],[fin mois]],Tab_Calculs[[#This Row],[Date_livraison]]))</f>
        <v>#VALUE!</v>
      </c>
      <c r="N141" s="231" t="str">
        <f ca="1">IFERROR(Tab_Calculs[[#This Row],[Ratio_jour_après_livr]]+Tab_Calculs[[#This Row],[Ratio_jour_avant_livr]]+Tab_Calculs[[#This Row],[ratio_avant_debut]],"")</f>
        <v/>
      </c>
      <c r="O141" t="e">
        <f ca="1">INDEX(INDIRECT(CONCATENATE("Tab_",Tab_Calculs[[#This Row],[Colonne1]])),Tab_Calculs[[#This Row],[index_date_livraison]]-1,7)*(MAX(Tab_Calculs[[#This Row],[Début periode livraison]],Tab_Calculs[[#This Row],[Début mois]])-Tab_Calculs[[#This Row],[Début mois]])</f>
        <v>#VALUE!</v>
      </c>
      <c r="P141">
        <f ca="1">INDEX(INDIRECT(CONCATENATE("Tab_",Tab_Calculs[[#This Row],[Colonne1]])),Tab_Calculs[[#This Row],[index_date_livraison]],7)*(1+MIN(Tab_Calculs[[#This Row],[Date_livraison]],Tab_Calculs[[#This Row],[fin mois]])-MAX(Tab_Calculs[[#This Row],[Début mois]],Tab_Calculs[[#This Row],[Début periode livraison]]))</f>
        <v>0</v>
      </c>
      <c r="Q141" t="e">
        <f ca="1">INDEX(INDIRECT(CONCATENATE("Tab_",Tab_Calculs[[#This Row],[Colonne1]])),Tab_Calculs[[#This Row],[index_date_livraison]]+1,7)*(Tab_Calculs[[#This Row],[fin mois]]-MIN(Tab_Calculs[[#This Row],[fin mois]],Tab_Calculs[[#This Row],[Date_livraison]]))</f>
        <v>#VALUE!</v>
      </c>
      <c r="R141" t="e">
        <f ca="1">Tab_Calculs[[#This Row],[Ratio_Cout_après_livr]]+Tab_Calculs[[#This Row],[Ratio_Cout_avant_livr]]+Tab_Calculs[[#This Row],[Ratio_Cout_avant_debut]]</f>
        <v>#VALUE!</v>
      </c>
      <c r="S141" t="str">
        <f ca="1">IFERROR(N141*VLOOKUP(Tab_Calculs[[#This Row],[Colonne1]],Controle_des_données!$B$7:$G$14,6,FALSE),"")</f>
        <v/>
      </c>
      <c r="T141" t="str">
        <f ca="1">IF(Tab_Calculs[[#This Row],[Combustible ]]="Electricité (kWh)",Tab_Calculs[[#This Row],[Conso_mois_kWh]]*2.3,Tab_Calculs[[#This Row],[Conso_mois_kWh]])</f>
        <v/>
      </c>
      <c r="U141" t="str">
        <f ca="1">IFERROR(N141*VLOOKUP(Tab_Calculs[[#This Row],[Colonne1]],Controle_des_données!$B$7:$H$14,7,FALSE),"")</f>
        <v/>
      </c>
      <c r="V141">
        <f ca="1">IFERROR(Tab_Calculs[[#This Row],[Cout_mois]]/Tab_Calculs[[#This Row],[Conso_mois_kWh]],0)</f>
        <v>0</v>
      </c>
      <c r="W141" t="str">
        <f>T(VLOOKUP(Tab_Calculs[[#This Row],[Compteur]],Site!$B$33:$G$40,3,FALSE))</f>
        <v/>
      </c>
      <c r="X141" t="str">
        <f>T(VLOOKUP(Tab_Calculs[[#This Row],[Compteur]],Site!$B$33:$G$40,4,FALSE))</f>
        <v/>
      </c>
      <c r="Y141" t="str">
        <f>T(VLOOKUP(Tab_Calculs[[#This Row],[Compteur]],Site!$B$33:$G$40,5,FALSE))</f>
        <v/>
      </c>
      <c r="Z141" t="str">
        <f>T(VLOOKUP(Tab_Calculs[[#This Row],[Compteur]],Site!$B$33:$G$40,6,FALSE))</f>
        <v/>
      </c>
      <c r="AA141">
        <f>IFERROR(GETPIVOTDATA("DJU(chauffagiste)",BDD_DJU!$P$13,"annee",Tab_Calculs[[#This Row],[ANNEE]],"mois_numero",Tab_Calculs[[#This Row],[MOIS]]),0)</f>
        <v>380.1</v>
      </c>
    </row>
    <row r="142" spans="1:27" x14ac:dyDescent="0.25">
      <c r="A142" s="3">
        <f>DATE(Tab_Calculs[[#This Row],[ANNEE]],Tab_Calculs[[#This Row],[MOIS]],1)</f>
        <v>44228</v>
      </c>
      <c r="B142" s="3">
        <f>EDATE(Tab_Calculs[[#This Row],[Début mois]],1)-1</f>
        <v>44255</v>
      </c>
      <c r="C142">
        <f t="shared" si="1"/>
        <v>2</v>
      </c>
      <c r="D142">
        <f t="shared" si="2"/>
        <v>2021</v>
      </c>
      <c r="E142" t="s">
        <v>80</v>
      </c>
      <c r="F142" t="str">
        <f>SUBSTITUTE(Tab_Calculs[[#This Row],[Compteur]]," ","_")</f>
        <v>Compteur_1</v>
      </c>
      <c r="G142" t="str">
        <f>T(INDEX(Site!$B$33:$G$40, MATCH(Tab_Calculs[[#This Row],[Compteur]], Site!$B$33:$B$40,0),2))</f>
        <v/>
      </c>
      <c r="H142" s="3">
        <f t="array" aca="1" ref="H142" ca="1">MIN(IF(INDIRECT(CONCATENATE(Tab_Calculs[[#This Row],[Colonne1]],"!$B$2:$B$243"))&gt;=Calculs_Consos!$A142,INDIRECT(CONCATENATE(Tab_Calculs[[#This Row],[Colonne1]],"!$B$2:$B$243"))))</f>
        <v>0</v>
      </c>
      <c r="I142" s="3">
        <f ca="1">INDEX(INDIRECT(CONCATENATE("Tab_",Tab_Calculs[[#This Row],[Colonne1]])),Tab_Calculs[[#This Row],[index_date_livraison]],1)</f>
        <v>0</v>
      </c>
      <c r="J142">
        <f ca="1">MATCH(Tab_Calculs[[#This Row],[Date_livraison]],INDIRECT(CONCATENATE("Tab_",Tab_Calculs[[#This Row],[Colonne1]],"[Fin de période]")),0)</f>
        <v>1</v>
      </c>
      <c r="K142" t="e">
        <f ca="1">INDEX(INDIRECT(CONCATENATE("Tab_",Tab_Calculs[[#This Row],[Colonne1]])),Tab_Calculs[[#This Row],[index_date_livraison]]-1,6)*(MAX(Tab_Calculs[[#This Row],[Début periode livraison]],Tab_Calculs[[#This Row],[Début mois]])-Tab_Calculs[[#This Row],[Début mois]])</f>
        <v>#VALUE!</v>
      </c>
      <c r="L142" s="94">
        <f ca="1">INDEX(INDIRECT(CONCATENATE("Tab_",Tab_Calculs[[#This Row],[Colonne1]])),Tab_Calculs[[#This Row],[index_date_livraison]],6)*(1+MIN(Tab_Calculs[[#This Row],[Date_livraison]],Tab_Calculs[[#This Row],[fin mois]])-MAX(Tab_Calculs[[#This Row],[Début mois]],Tab_Calculs[[#This Row],[Début periode livraison]]))</f>
        <v>0</v>
      </c>
      <c r="M142" s="94" t="e">
        <f ca="1">INDEX(INDIRECT(CONCATENATE("Tab_",Tab_Calculs[[#This Row],[Colonne1]])),Tab_Calculs[[#This Row],[index_date_livraison]]+1,6)*(Tab_Calculs[[#This Row],[fin mois]]-MIN(Tab_Calculs[[#This Row],[fin mois]],Tab_Calculs[[#This Row],[Date_livraison]]))</f>
        <v>#VALUE!</v>
      </c>
      <c r="N142" s="231" t="str">
        <f ca="1">IFERROR(Tab_Calculs[[#This Row],[Ratio_jour_après_livr]]+Tab_Calculs[[#This Row],[Ratio_jour_avant_livr]]+Tab_Calculs[[#This Row],[ratio_avant_debut]],"")</f>
        <v/>
      </c>
      <c r="O142" t="e">
        <f ca="1">INDEX(INDIRECT(CONCATENATE("Tab_",Tab_Calculs[[#This Row],[Colonne1]])),Tab_Calculs[[#This Row],[index_date_livraison]]-1,7)*(MAX(Tab_Calculs[[#This Row],[Début periode livraison]],Tab_Calculs[[#This Row],[Début mois]])-Tab_Calculs[[#This Row],[Début mois]])</f>
        <v>#VALUE!</v>
      </c>
      <c r="P142">
        <f ca="1">INDEX(INDIRECT(CONCATENATE("Tab_",Tab_Calculs[[#This Row],[Colonne1]])),Tab_Calculs[[#This Row],[index_date_livraison]],7)*(1+MIN(Tab_Calculs[[#This Row],[Date_livraison]],Tab_Calculs[[#This Row],[fin mois]])-MAX(Tab_Calculs[[#This Row],[Début mois]],Tab_Calculs[[#This Row],[Début periode livraison]]))</f>
        <v>0</v>
      </c>
      <c r="Q142" t="e">
        <f ca="1">INDEX(INDIRECT(CONCATENATE("Tab_",Tab_Calculs[[#This Row],[Colonne1]])),Tab_Calculs[[#This Row],[index_date_livraison]]+1,7)*(Tab_Calculs[[#This Row],[fin mois]]-MIN(Tab_Calculs[[#This Row],[fin mois]],Tab_Calculs[[#This Row],[Date_livraison]]))</f>
        <v>#VALUE!</v>
      </c>
      <c r="R142" t="e">
        <f ca="1">Tab_Calculs[[#This Row],[Ratio_Cout_après_livr]]+Tab_Calculs[[#This Row],[Ratio_Cout_avant_livr]]+Tab_Calculs[[#This Row],[Ratio_Cout_avant_debut]]</f>
        <v>#VALUE!</v>
      </c>
      <c r="S142" t="str">
        <f ca="1">IFERROR(N142*VLOOKUP(Tab_Calculs[[#This Row],[Colonne1]],Controle_des_données!$B$7:$G$14,6,FALSE),"")</f>
        <v/>
      </c>
      <c r="T142" t="str">
        <f ca="1">IF(Tab_Calculs[[#This Row],[Combustible ]]="Electricité (kWh)",Tab_Calculs[[#This Row],[Conso_mois_kWh]]*2.3,Tab_Calculs[[#This Row],[Conso_mois_kWh]])</f>
        <v/>
      </c>
      <c r="U142" t="str">
        <f ca="1">IFERROR(N142*VLOOKUP(Tab_Calculs[[#This Row],[Colonne1]],Controle_des_données!$B$7:$H$14,7,FALSE),"")</f>
        <v/>
      </c>
      <c r="V142">
        <f ca="1">IFERROR(Tab_Calculs[[#This Row],[Cout_mois]]/Tab_Calculs[[#This Row],[Conso_mois_kWh]],0)</f>
        <v>0</v>
      </c>
      <c r="W142" t="str">
        <f>T(VLOOKUP(Tab_Calculs[[#This Row],[Compteur]],Site!$B$33:$G$40,3,FALSE))</f>
        <v/>
      </c>
      <c r="X142" t="str">
        <f>T(VLOOKUP(Tab_Calculs[[#This Row],[Compteur]],Site!$B$33:$G$40,4,FALSE))</f>
        <v/>
      </c>
      <c r="Y142" t="str">
        <f>T(VLOOKUP(Tab_Calculs[[#This Row],[Compteur]],Site!$B$33:$G$40,5,FALSE))</f>
        <v/>
      </c>
      <c r="Z142" t="str">
        <f>T(VLOOKUP(Tab_Calculs[[#This Row],[Compteur]],Site!$B$33:$G$40,6,FALSE))</f>
        <v/>
      </c>
      <c r="AA142">
        <f>IFERROR(GETPIVOTDATA("DJU(chauffagiste)",BDD_DJU!$P$13,"annee",Tab_Calculs[[#This Row],[ANNEE]],"mois_numero",Tab_Calculs[[#This Row],[MOIS]]),0)</f>
        <v>299.5</v>
      </c>
    </row>
    <row r="143" spans="1:27" x14ac:dyDescent="0.25">
      <c r="A143" s="3">
        <f>DATE(Tab_Calculs[[#This Row],[ANNEE]],Tab_Calculs[[#This Row],[MOIS]],1)</f>
        <v>44256</v>
      </c>
      <c r="B143" s="3">
        <f>EDATE(Tab_Calculs[[#This Row],[Début mois]],1)-1</f>
        <v>44286</v>
      </c>
      <c r="C143">
        <f t="shared" si="1"/>
        <v>3</v>
      </c>
      <c r="D143">
        <f t="shared" si="2"/>
        <v>2021</v>
      </c>
      <c r="E143" t="s">
        <v>80</v>
      </c>
      <c r="F143" t="str">
        <f>SUBSTITUTE(Tab_Calculs[[#This Row],[Compteur]]," ","_")</f>
        <v>Compteur_1</v>
      </c>
      <c r="G143" t="str">
        <f>T(INDEX(Site!$B$33:$G$40, MATCH(Tab_Calculs[[#This Row],[Compteur]], Site!$B$33:$B$40,0),2))</f>
        <v/>
      </c>
      <c r="H143" s="3">
        <f t="array" aca="1" ref="H143" ca="1">MIN(IF(INDIRECT(CONCATENATE(Tab_Calculs[[#This Row],[Colonne1]],"!$B$2:$B$243"))&gt;=Calculs_Consos!$A143,INDIRECT(CONCATENATE(Tab_Calculs[[#This Row],[Colonne1]],"!$B$2:$B$243"))))</f>
        <v>0</v>
      </c>
      <c r="I143" s="3">
        <f ca="1">INDEX(INDIRECT(CONCATENATE("Tab_",Tab_Calculs[[#This Row],[Colonne1]])),Tab_Calculs[[#This Row],[index_date_livraison]],1)</f>
        <v>0</v>
      </c>
      <c r="J143">
        <f ca="1">MATCH(Tab_Calculs[[#This Row],[Date_livraison]],INDIRECT(CONCATENATE("Tab_",Tab_Calculs[[#This Row],[Colonne1]],"[Fin de période]")),0)</f>
        <v>1</v>
      </c>
      <c r="K143" t="e">
        <f ca="1">INDEX(INDIRECT(CONCATENATE("Tab_",Tab_Calculs[[#This Row],[Colonne1]])),Tab_Calculs[[#This Row],[index_date_livraison]]-1,6)*(MAX(Tab_Calculs[[#This Row],[Début periode livraison]],Tab_Calculs[[#This Row],[Début mois]])-Tab_Calculs[[#This Row],[Début mois]])</f>
        <v>#VALUE!</v>
      </c>
      <c r="L143" s="94">
        <f ca="1">INDEX(INDIRECT(CONCATENATE("Tab_",Tab_Calculs[[#This Row],[Colonne1]])),Tab_Calculs[[#This Row],[index_date_livraison]],6)*(1+MIN(Tab_Calculs[[#This Row],[Date_livraison]],Tab_Calculs[[#This Row],[fin mois]])-MAX(Tab_Calculs[[#This Row],[Début mois]],Tab_Calculs[[#This Row],[Début periode livraison]]))</f>
        <v>0</v>
      </c>
      <c r="M143" s="94" t="e">
        <f ca="1">INDEX(INDIRECT(CONCATENATE("Tab_",Tab_Calculs[[#This Row],[Colonne1]])),Tab_Calculs[[#This Row],[index_date_livraison]]+1,6)*(Tab_Calculs[[#This Row],[fin mois]]-MIN(Tab_Calculs[[#This Row],[fin mois]],Tab_Calculs[[#This Row],[Date_livraison]]))</f>
        <v>#VALUE!</v>
      </c>
      <c r="N143" s="231" t="str">
        <f ca="1">IFERROR(Tab_Calculs[[#This Row],[Ratio_jour_après_livr]]+Tab_Calculs[[#This Row],[Ratio_jour_avant_livr]]+Tab_Calculs[[#This Row],[ratio_avant_debut]],"")</f>
        <v/>
      </c>
      <c r="O143" t="e">
        <f ca="1">INDEX(INDIRECT(CONCATENATE("Tab_",Tab_Calculs[[#This Row],[Colonne1]])),Tab_Calculs[[#This Row],[index_date_livraison]]-1,7)*(MAX(Tab_Calculs[[#This Row],[Début periode livraison]],Tab_Calculs[[#This Row],[Début mois]])-Tab_Calculs[[#This Row],[Début mois]])</f>
        <v>#VALUE!</v>
      </c>
      <c r="P143">
        <f ca="1">INDEX(INDIRECT(CONCATENATE("Tab_",Tab_Calculs[[#This Row],[Colonne1]])),Tab_Calculs[[#This Row],[index_date_livraison]],7)*(1+MIN(Tab_Calculs[[#This Row],[Date_livraison]],Tab_Calculs[[#This Row],[fin mois]])-MAX(Tab_Calculs[[#This Row],[Début mois]],Tab_Calculs[[#This Row],[Début periode livraison]]))</f>
        <v>0</v>
      </c>
      <c r="Q143" t="e">
        <f ca="1">INDEX(INDIRECT(CONCATENATE("Tab_",Tab_Calculs[[#This Row],[Colonne1]])),Tab_Calculs[[#This Row],[index_date_livraison]]+1,7)*(Tab_Calculs[[#This Row],[fin mois]]-MIN(Tab_Calculs[[#This Row],[fin mois]],Tab_Calculs[[#This Row],[Date_livraison]]))</f>
        <v>#VALUE!</v>
      </c>
      <c r="R143" t="e">
        <f ca="1">Tab_Calculs[[#This Row],[Ratio_Cout_après_livr]]+Tab_Calculs[[#This Row],[Ratio_Cout_avant_livr]]+Tab_Calculs[[#This Row],[Ratio_Cout_avant_debut]]</f>
        <v>#VALUE!</v>
      </c>
      <c r="S143" t="str">
        <f ca="1">IFERROR(N143*VLOOKUP(Tab_Calculs[[#This Row],[Colonne1]],Controle_des_données!$B$7:$G$14,6,FALSE),"")</f>
        <v/>
      </c>
      <c r="T143" t="str">
        <f ca="1">IF(Tab_Calculs[[#This Row],[Combustible ]]="Electricité (kWh)",Tab_Calculs[[#This Row],[Conso_mois_kWh]]*2.3,Tab_Calculs[[#This Row],[Conso_mois_kWh]])</f>
        <v/>
      </c>
      <c r="U143" t="str">
        <f ca="1">IFERROR(N143*VLOOKUP(Tab_Calculs[[#This Row],[Colonne1]],Controle_des_données!$B$7:$H$14,7,FALSE),"")</f>
        <v/>
      </c>
      <c r="V143">
        <f ca="1">IFERROR(Tab_Calculs[[#This Row],[Cout_mois]]/Tab_Calculs[[#This Row],[Conso_mois_kWh]],0)</f>
        <v>0</v>
      </c>
      <c r="W143" t="str">
        <f>T(VLOOKUP(Tab_Calculs[[#This Row],[Compteur]],Site!$B$33:$G$40,3,FALSE))</f>
        <v/>
      </c>
      <c r="X143" t="str">
        <f>T(VLOOKUP(Tab_Calculs[[#This Row],[Compteur]],Site!$B$33:$G$40,4,FALSE))</f>
        <v/>
      </c>
      <c r="Y143" t="str">
        <f>T(VLOOKUP(Tab_Calculs[[#This Row],[Compteur]],Site!$B$33:$G$40,5,FALSE))</f>
        <v/>
      </c>
      <c r="Z143" t="str">
        <f>T(VLOOKUP(Tab_Calculs[[#This Row],[Compteur]],Site!$B$33:$G$40,6,FALSE))</f>
        <v/>
      </c>
      <c r="AA143">
        <f>IFERROR(GETPIVOTDATA("DJU(chauffagiste)",BDD_DJU!$P$13,"annee",Tab_Calculs[[#This Row],[ANNEE]],"mois_numero",Tab_Calculs[[#This Row],[MOIS]]),0)</f>
        <v>303.89999999999998</v>
      </c>
    </row>
    <row r="144" spans="1:27" x14ac:dyDescent="0.25">
      <c r="A144" s="3">
        <f>DATE(Tab_Calculs[[#This Row],[ANNEE]],Tab_Calculs[[#This Row],[MOIS]],1)</f>
        <v>44287</v>
      </c>
      <c r="B144" s="3">
        <f>EDATE(Tab_Calculs[[#This Row],[Début mois]],1)-1</f>
        <v>44316</v>
      </c>
      <c r="C144">
        <f t="shared" si="1"/>
        <v>4</v>
      </c>
      <c r="D144">
        <f t="shared" si="2"/>
        <v>2021</v>
      </c>
      <c r="E144" t="s">
        <v>80</v>
      </c>
      <c r="F144" t="str">
        <f>SUBSTITUTE(Tab_Calculs[[#This Row],[Compteur]]," ","_")</f>
        <v>Compteur_1</v>
      </c>
      <c r="G144" t="str">
        <f>T(INDEX(Site!$B$33:$G$40, MATCH(Tab_Calculs[[#This Row],[Compteur]], Site!$B$33:$B$40,0),2))</f>
        <v/>
      </c>
      <c r="H144" s="3">
        <f t="array" aca="1" ref="H144" ca="1">MIN(IF(INDIRECT(CONCATENATE(Tab_Calculs[[#This Row],[Colonne1]],"!$B$2:$B$243"))&gt;=Calculs_Consos!$A144,INDIRECT(CONCATENATE(Tab_Calculs[[#This Row],[Colonne1]],"!$B$2:$B$243"))))</f>
        <v>0</v>
      </c>
      <c r="I144" s="3">
        <f ca="1">INDEX(INDIRECT(CONCATENATE("Tab_",Tab_Calculs[[#This Row],[Colonne1]])),Tab_Calculs[[#This Row],[index_date_livraison]],1)</f>
        <v>0</v>
      </c>
      <c r="J144">
        <f ca="1">MATCH(Tab_Calculs[[#This Row],[Date_livraison]],INDIRECT(CONCATENATE("Tab_",Tab_Calculs[[#This Row],[Colonne1]],"[Fin de période]")),0)</f>
        <v>1</v>
      </c>
      <c r="K144" t="e">
        <f ca="1">INDEX(INDIRECT(CONCATENATE("Tab_",Tab_Calculs[[#This Row],[Colonne1]])),Tab_Calculs[[#This Row],[index_date_livraison]]-1,6)*(MAX(Tab_Calculs[[#This Row],[Début periode livraison]],Tab_Calculs[[#This Row],[Début mois]])-Tab_Calculs[[#This Row],[Début mois]])</f>
        <v>#VALUE!</v>
      </c>
      <c r="L144" s="94">
        <f ca="1">INDEX(INDIRECT(CONCATENATE("Tab_",Tab_Calculs[[#This Row],[Colonne1]])),Tab_Calculs[[#This Row],[index_date_livraison]],6)*(1+MIN(Tab_Calculs[[#This Row],[Date_livraison]],Tab_Calculs[[#This Row],[fin mois]])-MAX(Tab_Calculs[[#This Row],[Début mois]],Tab_Calculs[[#This Row],[Début periode livraison]]))</f>
        <v>0</v>
      </c>
      <c r="M144" s="94" t="e">
        <f ca="1">INDEX(INDIRECT(CONCATENATE("Tab_",Tab_Calculs[[#This Row],[Colonne1]])),Tab_Calculs[[#This Row],[index_date_livraison]]+1,6)*(Tab_Calculs[[#This Row],[fin mois]]-MIN(Tab_Calculs[[#This Row],[fin mois]],Tab_Calculs[[#This Row],[Date_livraison]]))</f>
        <v>#VALUE!</v>
      </c>
      <c r="N144" s="231" t="str">
        <f ca="1">IFERROR(Tab_Calculs[[#This Row],[Ratio_jour_après_livr]]+Tab_Calculs[[#This Row],[Ratio_jour_avant_livr]]+Tab_Calculs[[#This Row],[ratio_avant_debut]],"")</f>
        <v/>
      </c>
      <c r="O144" t="e">
        <f ca="1">INDEX(INDIRECT(CONCATENATE("Tab_",Tab_Calculs[[#This Row],[Colonne1]])),Tab_Calculs[[#This Row],[index_date_livraison]]-1,7)*(MAX(Tab_Calculs[[#This Row],[Début periode livraison]],Tab_Calculs[[#This Row],[Début mois]])-Tab_Calculs[[#This Row],[Début mois]])</f>
        <v>#VALUE!</v>
      </c>
      <c r="P144">
        <f ca="1">INDEX(INDIRECT(CONCATENATE("Tab_",Tab_Calculs[[#This Row],[Colonne1]])),Tab_Calculs[[#This Row],[index_date_livraison]],7)*(1+MIN(Tab_Calculs[[#This Row],[Date_livraison]],Tab_Calculs[[#This Row],[fin mois]])-MAX(Tab_Calculs[[#This Row],[Début mois]],Tab_Calculs[[#This Row],[Début periode livraison]]))</f>
        <v>0</v>
      </c>
      <c r="Q144" t="e">
        <f ca="1">INDEX(INDIRECT(CONCATENATE("Tab_",Tab_Calculs[[#This Row],[Colonne1]])),Tab_Calculs[[#This Row],[index_date_livraison]]+1,7)*(Tab_Calculs[[#This Row],[fin mois]]-MIN(Tab_Calculs[[#This Row],[fin mois]],Tab_Calculs[[#This Row],[Date_livraison]]))</f>
        <v>#VALUE!</v>
      </c>
      <c r="R144" t="e">
        <f ca="1">Tab_Calculs[[#This Row],[Ratio_Cout_après_livr]]+Tab_Calculs[[#This Row],[Ratio_Cout_avant_livr]]+Tab_Calculs[[#This Row],[Ratio_Cout_avant_debut]]</f>
        <v>#VALUE!</v>
      </c>
      <c r="S144" t="str">
        <f ca="1">IFERROR(N144*VLOOKUP(Tab_Calculs[[#This Row],[Colonne1]],Controle_des_données!$B$7:$G$14,6,FALSE),"")</f>
        <v/>
      </c>
      <c r="T144" t="str">
        <f ca="1">IF(Tab_Calculs[[#This Row],[Combustible ]]="Electricité (kWh)",Tab_Calculs[[#This Row],[Conso_mois_kWh]]*2.3,Tab_Calculs[[#This Row],[Conso_mois_kWh]])</f>
        <v/>
      </c>
      <c r="U144" t="str">
        <f ca="1">IFERROR(N144*VLOOKUP(Tab_Calculs[[#This Row],[Colonne1]],Controle_des_données!$B$7:$H$14,7,FALSE),"")</f>
        <v/>
      </c>
      <c r="V144">
        <f ca="1">IFERROR(Tab_Calculs[[#This Row],[Cout_mois]]/Tab_Calculs[[#This Row],[Conso_mois_kWh]],0)</f>
        <v>0</v>
      </c>
      <c r="W144" t="str">
        <f>T(VLOOKUP(Tab_Calculs[[#This Row],[Compteur]],Site!$B$33:$G$40,3,FALSE))</f>
        <v/>
      </c>
      <c r="X144" t="str">
        <f>T(VLOOKUP(Tab_Calculs[[#This Row],[Compteur]],Site!$B$33:$G$40,4,FALSE))</f>
        <v/>
      </c>
      <c r="Y144" t="str">
        <f>T(VLOOKUP(Tab_Calculs[[#This Row],[Compteur]],Site!$B$33:$G$40,5,FALSE))</f>
        <v/>
      </c>
      <c r="Z144" t="str">
        <f>T(VLOOKUP(Tab_Calculs[[#This Row],[Compteur]],Site!$B$33:$G$40,6,FALSE))</f>
        <v/>
      </c>
      <c r="AA144">
        <f>IFERROR(GETPIVOTDATA("DJU(chauffagiste)",BDD_DJU!$P$13,"annee",Tab_Calculs[[#This Row],[ANNEE]],"mois_numero",Tab_Calculs[[#This Row],[MOIS]]),0)</f>
        <v>242.8</v>
      </c>
    </row>
    <row r="145" spans="1:27" x14ac:dyDescent="0.25">
      <c r="A145" s="3">
        <f>DATE(Tab_Calculs[[#This Row],[ANNEE]],Tab_Calculs[[#This Row],[MOIS]],1)</f>
        <v>44317</v>
      </c>
      <c r="B145" s="3">
        <f>EDATE(Tab_Calculs[[#This Row],[Début mois]],1)-1</f>
        <v>44347</v>
      </c>
      <c r="C145">
        <f t="shared" si="1"/>
        <v>5</v>
      </c>
      <c r="D145">
        <f t="shared" si="2"/>
        <v>2021</v>
      </c>
      <c r="E145" t="s">
        <v>80</v>
      </c>
      <c r="F145" t="str">
        <f>SUBSTITUTE(Tab_Calculs[[#This Row],[Compteur]]," ","_")</f>
        <v>Compteur_1</v>
      </c>
      <c r="G145" t="str">
        <f>T(INDEX(Site!$B$33:$G$40, MATCH(Tab_Calculs[[#This Row],[Compteur]], Site!$B$33:$B$40,0),2))</f>
        <v/>
      </c>
      <c r="H145" s="3">
        <f t="array" aca="1" ref="H145" ca="1">MIN(IF(INDIRECT(CONCATENATE(Tab_Calculs[[#This Row],[Colonne1]],"!$B$2:$B$243"))&gt;=Calculs_Consos!$A145,INDIRECT(CONCATENATE(Tab_Calculs[[#This Row],[Colonne1]],"!$B$2:$B$243"))))</f>
        <v>0</v>
      </c>
      <c r="I145" s="3">
        <f ca="1">INDEX(INDIRECT(CONCATENATE("Tab_",Tab_Calculs[[#This Row],[Colonne1]])),Tab_Calculs[[#This Row],[index_date_livraison]],1)</f>
        <v>0</v>
      </c>
      <c r="J145">
        <f ca="1">MATCH(Tab_Calculs[[#This Row],[Date_livraison]],INDIRECT(CONCATENATE("Tab_",Tab_Calculs[[#This Row],[Colonne1]],"[Fin de période]")),0)</f>
        <v>1</v>
      </c>
      <c r="K145" t="e">
        <f ca="1">INDEX(INDIRECT(CONCATENATE("Tab_",Tab_Calculs[[#This Row],[Colonne1]])),Tab_Calculs[[#This Row],[index_date_livraison]]-1,6)*(MAX(Tab_Calculs[[#This Row],[Début periode livraison]],Tab_Calculs[[#This Row],[Début mois]])-Tab_Calculs[[#This Row],[Début mois]])</f>
        <v>#VALUE!</v>
      </c>
      <c r="L145" s="94">
        <f ca="1">INDEX(INDIRECT(CONCATENATE("Tab_",Tab_Calculs[[#This Row],[Colonne1]])),Tab_Calculs[[#This Row],[index_date_livraison]],6)*(1+MIN(Tab_Calculs[[#This Row],[Date_livraison]],Tab_Calculs[[#This Row],[fin mois]])-MAX(Tab_Calculs[[#This Row],[Début mois]],Tab_Calculs[[#This Row],[Début periode livraison]]))</f>
        <v>0</v>
      </c>
      <c r="M145" s="94" t="e">
        <f ca="1">INDEX(INDIRECT(CONCATENATE("Tab_",Tab_Calculs[[#This Row],[Colonne1]])),Tab_Calculs[[#This Row],[index_date_livraison]]+1,6)*(Tab_Calculs[[#This Row],[fin mois]]-MIN(Tab_Calculs[[#This Row],[fin mois]],Tab_Calculs[[#This Row],[Date_livraison]]))</f>
        <v>#VALUE!</v>
      </c>
      <c r="N145" s="231" t="str">
        <f ca="1">IFERROR(Tab_Calculs[[#This Row],[Ratio_jour_après_livr]]+Tab_Calculs[[#This Row],[Ratio_jour_avant_livr]]+Tab_Calculs[[#This Row],[ratio_avant_debut]],"")</f>
        <v/>
      </c>
      <c r="O145" t="e">
        <f ca="1">INDEX(INDIRECT(CONCATENATE("Tab_",Tab_Calculs[[#This Row],[Colonne1]])),Tab_Calculs[[#This Row],[index_date_livraison]]-1,7)*(MAX(Tab_Calculs[[#This Row],[Début periode livraison]],Tab_Calculs[[#This Row],[Début mois]])-Tab_Calculs[[#This Row],[Début mois]])</f>
        <v>#VALUE!</v>
      </c>
      <c r="P145">
        <f ca="1">INDEX(INDIRECT(CONCATENATE("Tab_",Tab_Calculs[[#This Row],[Colonne1]])),Tab_Calculs[[#This Row],[index_date_livraison]],7)*(1+MIN(Tab_Calculs[[#This Row],[Date_livraison]],Tab_Calculs[[#This Row],[fin mois]])-MAX(Tab_Calculs[[#This Row],[Début mois]],Tab_Calculs[[#This Row],[Début periode livraison]]))</f>
        <v>0</v>
      </c>
      <c r="Q145" t="e">
        <f ca="1">INDEX(INDIRECT(CONCATENATE("Tab_",Tab_Calculs[[#This Row],[Colonne1]])),Tab_Calculs[[#This Row],[index_date_livraison]]+1,7)*(Tab_Calculs[[#This Row],[fin mois]]-MIN(Tab_Calculs[[#This Row],[fin mois]],Tab_Calculs[[#This Row],[Date_livraison]]))</f>
        <v>#VALUE!</v>
      </c>
      <c r="R145" t="e">
        <f ca="1">Tab_Calculs[[#This Row],[Ratio_Cout_après_livr]]+Tab_Calculs[[#This Row],[Ratio_Cout_avant_livr]]+Tab_Calculs[[#This Row],[Ratio_Cout_avant_debut]]</f>
        <v>#VALUE!</v>
      </c>
      <c r="S145" t="str">
        <f ca="1">IFERROR(N145*VLOOKUP(Tab_Calculs[[#This Row],[Colonne1]],Controle_des_données!$B$7:$G$14,6,FALSE),"")</f>
        <v/>
      </c>
      <c r="T145" t="str">
        <f ca="1">IF(Tab_Calculs[[#This Row],[Combustible ]]="Electricité (kWh)",Tab_Calculs[[#This Row],[Conso_mois_kWh]]*2.3,Tab_Calculs[[#This Row],[Conso_mois_kWh]])</f>
        <v/>
      </c>
      <c r="U145" t="str">
        <f ca="1">IFERROR(N145*VLOOKUP(Tab_Calculs[[#This Row],[Colonne1]],Controle_des_données!$B$7:$H$14,7,FALSE),"")</f>
        <v/>
      </c>
      <c r="V145">
        <f ca="1">IFERROR(Tab_Calculs[[#This Row],[Cout_mois]]/Tab_Calculs[[#This Row],[Conso_mois_kWh]],0)</f>
        <v>0</v>
      </c>
      <c r="W145" t="str">
        <f>T(VLOOKUP(Tab_Calculs[[#This Row],[Compteur]],Site!$B$33:$G$40,3,FALSE))</f>
        <v/>
      </c>
      <c r="X145" t="str">
        <f>T(VLOOKUP(Tab_Calculs[[#This Row],[Compteur]],Site!$B$33:$G$40,4,FALSE))</f>
        <v/>
      </c>
      <c r="Y145" t="str">
        <f>T(VLOOKUP(Tab_Calculs[[#This Row],[Compteur]],Site!$B$33:$G$40,5,FALSE))</f>
        <v/>
      </c>
      <c r="Z145" t="str">
        <f>T(VLOOKUP(Tab_Calculs[[#This Row],[Compteur]],Site!$B$33:$G$40,6,FALSE))</f>
        <v/>
      </c>
      <c r="AA145">
        <f>IFERROR(GETPIVOTDATA("DJU(chauffagiste)",BDD_DJU!$P$13,"annee",Tab_Calculs[[#This Row],[ANNEE]],"mois_numero",Tab_Calculs[[#This Row],[MOIS]]),0)</f>
        <v>159.4</v>
      </c>
    </row>
    <row r="146" spans="1:27" x14ac:dyDescent="0.25">
      <c r="A146" s="3">
        <f>DATE(Tab_Calculs[[#This Row],[ANNEE]],Tab_Calculs[[#This Row],[MOIS]],1)</f>
        <v>44348</v>
      </c>
      <c r="B146" s="3">
        <f>EDATE(Tab_Calculs[[#This Row],[Début mois]],1)-1</f>
        <v>44377</v>
      </c>
      <c r="C146">
        <f t="shared" ref="C146:C200" si="3">C134</f>
        <v>6</v>
      </c>
      <c r="D146">
        <f t="shared" si="2"/>
        <v>2021</v>
      </c>
      <c r="E146" t="s">
        <v>80</v>
      </c>
      <c r="F146" t="str">
        <f>SUBSTITUTE(Tab_Calculs[[#This Row],[Compteur]]," ","_")</f>
        <v>Compteur_1</v>
      </c>
      <c r="G146" t="str">
        <f>T(INDEX(Site!$B$33:$G$40, MATCH(Tab_Calculs[[#This Row],[Compteur]], Site!$B$33:$B$40,0),2))</f>
        <v/>
      </c>
      <c r="H146" s="3">
        <f t="array" aca="1" ref="H146" ca="1">MIN(IF(INDIRECT(CONCATENATE(Tab_Calculs[[#This Row],[Colonne1]],"!$B$2:$B$243"))&gt;=Calculs_Consos!$A146,INDIRECT(CONCATENATE(Tab_Calculs[[#This Row],[Colonne1]],"!$B$2:$B$243"))))</f>
        <v>0</v>
      </c>
      <c r="I146" s="3">
        <f ca="1">INDEX(INDIRECT(CONCATENATE("Tab_",Tab_Calculs[[#This Row],[Colonne1]])),Tab_Calculs[[#This Row],[index_date_livraison]],1)</f>
        <v>0</v>
      </c>
      <c r="J146">
        <f ca="1">MATCH(Tab_Calculs[[#This Row],[Date_livraison]],INDIRECT(CONCATENATE("Tab_",Tab_Calculs[[#This Row],[Colonne1]],"[Fin de période]")),0)</f>
        <v>1</v>
      </c>
      <c r="K146" t="e">
        <f ca="1">INDEX(INDIRECT(CONCATENATE("Tab_",Tab_Calculs[[#This Row],[Colonne1]])),Tab_Calculs[[#This Row],[index_date_livraison]]-1,6)*(MAX(Tab_Calculs[[#This Row],[Début periode livraison]],Tab_Calculs[[#This Row],[Début mois]])-Tab_Calculs[[#This Row],[Début mois]])</f>
        <v>#VALUE!</v>
      </c>
      <c r="L146" s="94">
        <f ca="1">INDEX(INDIRECT(CONCATENATE("Tab_",Tab_Calculs[[#This Row],[Colonne1]])),Tab_Calculs[[#This Row],[index_date_livraison]],6)*(1+MIN(Tab_Calculs[[#This Row],[Date_livraison]],Tab_Calculs[[#This Row],[fin mois]])-MAX(Tab_Calculs[[#This Row],[Début mois]],Tab_Calculs[[#This Row],[Début periode livraison]]))</f>
        <v>0</v>
      </c>
      <c r="M146" s="94" t="e">
        <f ca="1">INDEX(INDIRECT(CONCATENATE("Tab_",Tab_Calculs[[#This Row],[Colonne1]])),Tab_Calculs[[#This Row],[index_date_livraison]]+1,6)*(Tab_Calculs[[#This Row],[fin mois]]-MIN(Tab_Calculs[[#This Row],[fin mois]],Tab_Calculs[[#This Row],[Date_livraison]]))</f>
        <v>#VALUE!</v>
      </c>
      <c r="N146" s="231" t="str">
        <f ca="1">IFERROR(Tab_Calculs[[#This Row],[Ratio_jour_après_livr]]+Tab_Calculs[[#This Row],[Ratio_jour_avant_livr]]+Tab_Calculs[[#This Row],[ratio_avant_debut]],"")</f>
        <v/>
      </c>
      <c r="O146" t="e">
        <f ca="1">INDEX(INDIRECT(CONCATENATE("Tab_",Tab_Calculs[[#This Row],[Colonne1]])),Tab_Calculs[[#This Row],[index_date_livraison]]-1,7)*(MAX(Tab_Calculs[[#This Row],[Début periode livraison]],Tab_Calculs[[#This Row],[Début mois]])-Tab_Calculs[[#This Row],[Début mois]])</f>
        <v>#VALUE!</v>
      </c>
      <c r="P146">
        <f ca="1">INDEX(INDIRECT(CONCATENATE("Tab_",Tab_Calculs[[#This Row],[Colonne1]])),Tab_Calculs[[#This Row],[index_date_livraison]],7)*(1+MIN(Tab_Calculs[[#This Row],[Date_livraison]],Tab_Calculs[[#This Row],[fin mois]])-MAX(Tab_Calculs[[#This Row],[Début mois]],Tab_Calculs[[#This Row],[Début periode livraison]]))</f>
        <v>0</v>
      </c>
      <c r="Q146" t="e">
        <f ca="1">INDEX(INDIRECT(CONCATENATE("Tab_",Tab_Calculs[[#This Row],[Colonne1]])),Tab_Calculs[[#This Row],[index_date_livraison]]+1,7)*(Tab_Calculs[[#This Row],[fin mois]]-MIN(Tab_Calculs[[#This Row],[fin mois]],Tab_Calculs[[#This Row],[Date_livraison]]))</f>
        <v>#VALUE!</v>
      </c>
      <c r="R146" t="e">
        <f ca="1">Tab_Calculs[[#This Row],[Ratio_Cout_après_livr]]+Tab_Calculs[[#This Row],[Ratio_Cout_avant_livr]]+Tab_Calculs[[#This Row],[Ratio_Cout_avant_debut]]</f>
        <v>#VALUE!</v>
      </c>
      <c r="S146" t="str">
        <f ca="1">IFERROR(N146*VLOOKUP(Tab_Calculs[[#This Row],[Colonne1]],Controle_des_données!$B$7:$G$14,6,FALSE),"")</f>
        <v/>
      </c>
      <c r="T146" t="str">
        <f ca="1">IF(Tab_Calculs[[#This Row],[Combustible ]]="Electricité (kWh)",Tab_Calculs[[#This Row],[Conso_mois_kWh]]*2.3,Tab_Calculs[[#This Row],[Conso_mois_kWh]])</f>
        <v/>
      </c>
      <c r="U146" t="str">
        <f ca="1">IFERROR(N146*VLOOKUP(Tab_Calculs[[#This Row],[Colonne1]],Controle_des_données!$B$7:$H$14,7,FALSE),"")</f>
        <v/>
      </c>
      <c r="V146">
        <f ca="1">IFERROR(Tab_Calculs[[#This Row],[Cout_mois]]/Tab_Calculs[[#This Row],[Conso_mois_kWh]],0)</f>
        <v>0</v>
      </c>
      <c r="W146" t="str">
        <f>T(VLOOKUP(Tab_Calculs[[#This Row],[Compteur]],Site!$B$33:$G$40,3,FALSE))</f>
        <v/>
      </c>
      <c r="X146" t="str">
        <f>T(VLOOKUP(Tab_Calculs[[#This Row],[Compteur]],Site!$B$33:$G$40,4,FALSE))</f>
        <v/>
      </c>
      <c r="Y146" t="str">
        <f>T(VLOOKUP(Tab_Calculs[[#This Row],[Compteur]],Site!$B$33:$G$40,5,FALSE))</f>
        <v/>
      </c>
      <c r="Z146" t="str">
        <f>T(VLOOKUP(Tab_Calculs[[#This Row],[Compteur]],Site!$B$33:$G$40,6,FALSE))</f>
        <v/>
      </c>
      <c r="AA146">
        <f>IFERROR(GETPIVOTDATA("DJU(chauffagiste)",BDD_DJU!$P$13,"annee",Tab_Calculs[[#This Row],[ANNEE]],"mois_numero",Tab_Calculs[[#This Row],[MOIS]]),0)</f>
        <v>29.9</v>
      </c>
    </row>
    <row r="147" spans="1:27" x14ac:dyDescent="0.25">
      <c r="A147" s="3">
        <f>DATE(Tab_Calculs[[#This Row],[ANNEE]],Tab_Calculs[[#This Row],[MOIS]],1)</f>
        <v>44378</v>
      </c>
      <c r="B147" s="3">
        <f>EDATE(Tab_Calculs[[#This Row],[Début mois]],1)-1</f>
        <v>44408</v>
      </c>
      <c r="C147">
        <f t="shared" si="3"/>
        <v>7</v>
      </c>
      <c r="D147">
        <f t="shared" si="2"/>
        <v>2021</v>
      </c>
      <c r="E147" t="s">
        <v>80</v>
      </c>
      <c r="F147" t="str">
        <f>SUBSTITUTE(Tab_Calculs[[#This Row],[Compteur]]," ","_")</f>
        <v>Compteur_1</v>
      </c>
      <c r="G147" t="str">
        <f>T(INDEX(Site!$B$33:$G$40, MATCH(Tab_Calculs[[#This Row],[Compteur]], Site!$B$33:$B$40,0),2))</f>
        <v/>
      </c>
      <c r="H147" s="3">
        <f t="array" aca="1" ref="H147" ca="1">MIN(IF(INDIRECT(CONCATENATE(Tab_Calculs[[#This Row],[Colonne1]],"!$B$2:$B$243"))&gt;=Calculs_Consos!$A147,INDIRECT(CONCATENATE(Tab_Calculs[[#This Row],[Colonne1]],"!$B$2:$B$243"))))</f>
        <v>0</v>
      </c>
      <c r="I147" s="3">
        <f ca="1">INDEX(INDIRECT(CONCATENATE("Tab_",Tab_Calculs[[#This Row],[Colonne1]])),Tab_Calculs[[#This Row],[index_date_livraison]],1)</f>
        <v>0</v>
      </c>
      <c r="J147">
        <f ca="1">MATCH(Tab_Calculs[[#This Row],[Date_livraison]],INDIRECT(CONCATENATE("Tab_",Tab_Calculs[[#This Row],[Colonne1]],"[Fin de période]")),0)</f>
        <v>1</v>
      </c>
      <c r="K147" t="e">
        <f ca="1">INDEX(INDIRECT(CONCATENATE("Tab_",Tab_Calculs[[#This Row],[Colonne1]])),Tab_Calculs[[#This Row],[index_date_livraison]]-1,6)*(MAX(Tab_Calculs[[#This Row],[Début periode livraison]],Tab_Calculs[[#This Row],[Début mois]])-Tab_Calculs[[#This Row],[Début mois]])</f>
        <v>#VALUE!</v>
      </c>
      <c r="L147" s="94">
        <f ca="1">INDEX(INDIRECT(CONCATENATE("Tab_",Tab_Calculs[[#This Row],[Colonne1]])),Tab_Calculs[[#This Row],[index_date_livraison]],6)*(1+MIN(Tab_Calculs[[#This Row],[Date_livraison]],Tab_Calculs[[#This Row],[fin mois]])-MAX(Tab_Calculs[[#This Row],[Début mois]],Tab_Calculs[[#This Row],[Début periode livraison]]))</f>
        <v>0</v>
      </c>
      <c r="M147" s="94" t="e">
        <f ca="1">INDEX(INDIRECT(CONCATENATE("Tab_",Tab_Calculs[[#This Row],[Colonne1]])),Tab_Calculs[[#This Row],[index_date_livraison]]+1,6)*(Tab_Calculs[[#This Row],[fin mois]]-MIN(Tab_Calculs[[#This Row],[fin mois]],Tab_Calculs[[#This Row],[Date_livraison]]))</f>
        <v>#VALUE!</v>
      </c>
      <c r="N147" s="231" t="str">
        <f ca="1">IFERROR(Tab_Calculs[[#This Row],[Ratio_jour_après_livr]]+Tab_Calculs[[#This Row],[Ratio_jour_avant_livr]]+Tab_Calculs[[#This Row],[ratio_avant_debut]],"")</f>
        <v/>
      </c>
      <c r="O147" t="e">
        <f ca="1">INDEX(INDIRECT(CONCATENATE("Tab_",Tab_Calculs[[#This Row],[Colonne1]])),Tab_Calculs[[#This Row],[index_date_livraison]]-1,7)*(MAX(Tab_Calculs[[#This Row],[Début periode livraison]],Tab_Calculs[[#This Row],[Début mois]])-Tab_Calculs[[#This Row],[Début mois]])</f>
        <v>#VALUE!</v>
      </c>
      <c r="P147">
        <f ca="1">INDEX(INDIRECT(CONCATENATE("Tab_",Tab_Calculs[[#This Row],[Colonne1]])),Tab_Calculs[[#This Row],[index_date_livraison]],7)*(1+MIN(Tab_Calculs[[#This Row],[Date_livraison]],Tab_Calculs[[#This Row],[fin mois]])-MAX(Tab_Calculs[[#This Row],[Début mois]],Tab_Calculs[[#This Row],[Début periode livraison]]))</f>
        <v>0</v>
      </c>
      <c r="Q147" t="e">
        <f ca="1">INDEX(INDIRECT(CONCATENATE("Tab_",Tab_Calculs[[#This Row],[Colonne1]])),Tab_Calculs[[#This Row],[index_date_livraison]]+1,7)*(Tab_Calculs[[#This Row],[fin mois]]-MIN(Tab_Calculs[[#This Row],[fin mois]],Tab_Calculs[[#This Row],[Date_livraison]]))</f>
        <v>#VALUE!</v>
      </c>
      <c r="R147" t="e">
        <f ca="1">Tab_Calculs[[#This Row],[Ratio_Cout_après_livr]]+Tab_Calculs[[#This Row],[Ratio_Cout_avant_livr]]+Tab_Calculs[[#This Row],[Ratio_Cout_avant_debut]]</f>
        <v>#VALUE!</v>
      </c>
      <c r="S147" t="str">
        <f ca="1">IFERROR(N147*VLOOKUP(Tab_Calculs[[#This Row],[Colonne1]],Controle_des_données!$B$7:$G$14,6,FALSE),"")</f>
        <v/>
      </c>
      <c r="T147" t="str">
        <f ca="1">IF(Tab_Calculs[[#This Row],[Combustible ]]="Electricité (kWh)",Tab_Calculs[[#This Row],[Conso_mois_kWh]]*2.3,Tab_Calculs[[#This Row],[Conso_mois_kWh]])</f>
        <v/>
      </c>
      <c r="U147" t="str">
        <f ca="1">IFERROR(N147*VLOOKUP(Tab_Calculs[[#This Row],[Colonne1]],Controle_des_données!$B$7:$H$14,7,FALSE),"")</f>
        <v/>
      </c>
      <c r="V147">
        <f ca="1">IFERROR(Tab_Calculs[[#This Row],[Cout_mois]]/Tab_Calculs[[#This Row],[Conso_mois_kWh]],0)</f>
        <v>0</v>
      </c>
      <c r="W147" t="str">
        <f>T(VLOOKUP(Tab_Calculs[[#This Row],[Compteur]],Site!$B$33:$G$40,3,FALSE))</f>
        <v/>
      </c>
      <c r="X147" t="str">
        <f>T(VLOOKUP(Tab_Calculs[[#This Row],[Compteur]],Site!$B$33:$G$40,4,FALSE))</f>
        <v/>
      </c>
      <c r="Y147" t="str">
        <f>T(VLOOKUP(Tab_Calculs[[#This Row],[Compteur]],Site!$B$33:$G$40,5,FALSE))</f>
        <v/>
      </c>
      <c r="Z147" t="str">
        <f>T(VLOOKUP(Tab_Calculs[[#This Row],[Compteur]],Site!$B$33:$G$40,6,FALSE))</f>
        <v/>
      </c>
      <c r="AA147">
        <f>IFERROR(GETPIVOTDATA("DJU(chauffagiste)",BDD_DJU!$P$13,"annee",Tab_Calculs[[#This Row],[ANNEE]],"mois_numero",Tab_Calculs[[#This Row],[MOIS]]),0)</f>
        <v>22.4</v>
      </c>
    </row>
    <row r="148" spans="1:27" x14ac:dyDescent="0.25">
      <c r="A148" s="3">
        <f>DATE(Tab_Calculs[[#This Row],[ANNEE]],Tab_Calculs[[#This Row],[MOIS]],1)</f>
        <v>44409</v>
      </c>
      <c r="B148" s="3">
        <f>EDATE(Tab_Calculs[[#This Row],[Début mois]],1)-1</f>
        <v>44439</v>
      </c>
      <c r="C148">
        <f t="shared" si="3"/>
        <v>8</v>
      </c>
      <c r="D148">
        <f t="shared" si="2"/>
        <v>2021</v>
      </c>
      <c r="E148" t="s">
        <v>80</v>
      </c>
      <c r="F148" t="str">
        <f>SUBSTITUTE(Tab_Calculs[[#This Row],[Compteur]]," ","_")</f>
        <v>Compteur_1</v>
      </c>
      <c r="G148" t="str">
        <f>T(INDEX(Site!$B$33:$G$40, MATCH(Tab_Calculs[[#This Row],[Compteur]], Site!$B$33:$B$40,0),2))</f>
        <v/>
      </c>
      <c r="H148" s="3">
        <f t="array" aca="1" ref="H148" ca="1">MIN(IF(INDIRECT(CONCATENATE(Tab_Calculs[[#This Row],[Colonne1]],"!$B$2:$B$243"))&gt;=Calculs_Consos!$A148,INDIRECT(CONCATENATE(Tab_Calculs[[#This Row],[Colonne1]],"!$B$2:$B$243"))))</f>
        <v>0</v>
      </c>
      <c r="I148" s="3">
        <f ca="1">INDEX(INDIRECT(CONCATENATE("Tab_",Tab_Calculs[[#This Row],[Colonne1]])),Tab_Calculs[[#This Row],[index_date_livraison]],1)</f>
        <v>0</v>
      </c>
      <c r="J148">
        <f ca="1">MATCH(Tab_Calculs[[#This Row],[Date_livraison]],INDIRECT(CONCATENATE("Tab_",Tab_Calculs[[#This Row],[Colonne1]],"[Fin de période]")),0)</f>
        <v>1</v>
      </c>
      <c r="K148" t="e">
        <f ca="1">INDEX(INDIRECT(CONCATENATE("Tab_",Tab_Calculs[[#This Row],[Colonne1]])),Tab_Calculs[[#This Row],[index_date_livraison]]-1,6)*(MAX(Tab_Calculs[[#This Row],[Début periode livraison]],Tab_Calculs[[#This Row],[Début mois]])-Tab_Calculs[[#This Row],[Début mois]])</f>
        <v>#VALUE!</v>
      </c>
      <c r="L148" s="94">
        <f ca="1">INDEX(INDIRECT(CONCATENATE("Tab_",Tab_Calculs[[#This Row],[Colonne1]])),Tab_Calculs[[#This Row],[index_date_livraison]],6)*(1+MIN(Tab_Calculs[[#This Row],[Date_livraison]],Tab_Calculs[[#This Row],[fin mois]])-MAX(Tab_Calculs[[#This Row],[Début mois]],Tab_Calculs[[#This Row],[Début periode livraison]]))</f>
        <v>0</v>
      </c>
      <c r="M148" s="94" t="e">
        <f ca="1">INDEX(INDIRECT(CONCATENATE("Tab_",Tab_Calculs[[#This Row],[Colonne1]])),Tab_Calculs[[#This Row],[index_date_livraison]]+1,6)*(Tab_Calculs[[#This Row],[fin mois]]-MIN(Tab_Calculs[[#This Row],[fin mois]],Tab_Calculs[[#This Row],[Date_livraison]]))</f>
        <v>#VALUE!</v>
      </c>
      <c r="N148" s="231" t="str">
        <f ca="1">IFERROR(Tab_Calculs[[#This Row],[Ratio_jour_après_livr]]+Tab_Calculs[[#This Row],[Ratio_jour_avant_livr]]+Tab_Calculs[[#This Row],[ratio_avant_debut]],"")</f>
        <v/>
      </c>
      <c r="O148" t="e">
        <f ca="1">INDEX(INDIRECT(CONCATENATE("Tab_",Tab_Calculs[[#This Row],[Colonne1]])),Tab_Calculs[[#This Row],[index_date_livraison]]-1,7)*(MAX(Tab_Calculs[[#This Row],[Début periode livraison]],Tab_Calculs[[#This Row],[Début mois]])-Tab_Calculs[[#This Row],[Début mois]])</f>
        <v>#VALUE!</v>
      </c>
      <c r="P148">
        <f ca="1">INDEX(INDIRECT(CONCATENATE("Tab_",Tab_Calculs[[#This Row],[Colonne1]])),Tab_Calculs[[#This Row],[index_date_livraison]],7)*(1+MIN(Tab_Calculs[[#This Row],[Date_livraison]],Tab_Calculs[[#This Row],[fin mois]])-MAX(Tab_Calculs[[#This Row],[Début mois]],Tab_Calculs[[#This Row],[Début periode livraison]]))</f>
        <v>0</v>
      </c>
      <c r="Q148" t="e">
        <f ca="1">INDEX(INDIRECT(CONCATENATE("Tab_",Tab_Calculs[[#This Row],[Colonne1]])),Tab_Calculs[[#This Row],[index_date_livraison]]+1,7)*(Tab_Calculs[[#This Row],[fin mois]]-MIN(Tab_Calculs[[#This Row],[fin mois]],Tab_Calculs[[#This Row],[Date_livraison]]))</f>
        <v>#VALUE!</v>
      </c>
      <c r="R148" t="e">
        <f ca="1">Tab_Calculs[[#This Row],[Ratio_Cout_après_livr]]+Tab_Calculs[[#This Row],[Ratio_Cout_avant_livr]]+Tab_Calculs[[#This Row],[Ratio_Cout_avant_debut]]</f>
        <v>#VALUE!</v>
      </c>
      <c r="S148" t="str">
        <f ca="1">IFERROR(N148*VLOOKUP(Tab_Calculs[[#This Row],[Colonne1]],Controle_des_données!$B$7:$G$14,6,FALSE),"")</f>
        <v/>
      </c>
      <c r="T148" t="str">
        <f ca="1">IF(Tab_Calculs[[#This Row],[Combustible ]]="Electricité (kWh)",Tab_Calculs[[#This Row],[Conso_mois_kWh]]*2.3,Tab_Calculs[[#This Row],[Conso_mois_kWh]])</f>
        <v/>
      </c>
      <c r="U148" t="str">
        <f ca="1">IFERROR(N148*VLOOKUP(Tab_Calculs[[#This Row],[Colonne1]],Controle_des_données!$B$7:$H$14,7,FALSE),"")</f>
        <v/>
      </c>
      <c r="V148">
        <f ca="1">IFERROR(Tab_Calculs[[#This Row],[Cout_mois]]/Tab_Calculs[[#This Row],[Conso_mois_kWh]],0)</f>
        <v>0</v>
      </c>
      <c r="W148" t="str">
        <f>T(VLOOKUP(Tab_Calculs[[#This Row],[Compteur]],Site!$B$33:$G$40,3,FALSE))</f>
        <v/>
      </c>
      <c r="X148" t="str">
        <f>T(VLOOKUP(Tab_Calculs[[#This Row],[Compteur]],Site!$B$33:$G$40,4,FALSE))</f>
        <v/>
      </c>
      <c r="Y148" t="str">
        <f>T(VLOOKUP(Tab_Calculs[[#This Row],[Compteur]],Site!$B$33:$G$40,5,FALSE))</f>
        <v/>
      </c>
      <c r="Z148" t="str">
        <f>T(VLOOKUP(Tab_Calculs[[#This Row],[Compteur]],Site!$B$33:$G$40,6,FALSE))</f>
        <v/>
      </c>
      <c r="AA148">
        <f>IFERROR(GETPIVOTDATA("DJU(chauffagiste)",BDD_DJU!$P$13,"annee",Tab_Calculs[[#This Row],[ANNEE]],"mois_numero",Tab_Calculs[[#This Row],[MOIS]]),0)</f>
        <v>35.9</v>
      </c>
    </row>
    <row r="149" spans="1:27" x14ac:dyDescent="0.25">
      <c r="A149" s="3">
        <f>DATE(Tab_Calculs[[#This Row],[ANNEE]],Tab_Calculs[[#This Row],[MOIS]],1)</f>
        <v>44440</v>
      </c>
      <c r="B149" s="3">
        <f>EDATE(Tab_Calculs[[#This Row],[Début mois]],1)-1</f>
        <v>44469</v>
      </c>
      <c r="C149">
        <f t="shared" si="3"/>
        <v>9</v>
      </c>
      <c r="D149">
        <f t="shared" si="2"/>
        <v>2021</v>
      </c>
      <c r="E149" t="s">
        <v>80</v>
      </c>
      <c r="F149" t="str">
        <f>SUBSTITUTE(Tab_Calculs[[#This Row],[Compteur]]," ","_")</f>
        <v>Compteur_1</v>
      </c>
      <c r="G149" t="str">
        <f>T(INDEX(Site!$B$33:$G$40, MATCH(Tab_Calculs[[#This Row],[Compteur]], Site!$B$33:$B$40,0),2))</f>
        <v/>
      </c>
      <c r="H149" s="3">
        <f t="array" aca="1" ref="H149" ca="1">MIN(IF(INDIRECT(CONCATENATE(Tab_Calculs[[#This Row],[Colonne1]],"!$B$2:$B$243"))&gt;=Calculs_Consos!$A149,INDIRECT(CONCATENATE(Tab_Calculs[[#This Row],[Colonne1]],"!$B$2:$B$243"))))</f>
        <v>0</v>
      </c>
      <c r="I149" s="3">
        <f ca="1">INDEX(INDIRECT(CONCATENATE("Tab_",Tab_Calculs[[#This Row],[Colonne1]])),Tab_Calculs[[#This Row],[index_date_livraison]],1)</f>
        <v>0</v>
      </c>
      <c r="J149">
        <f ca="1">MATCH(Tab_Calculs[[#This Row],[Date_livraison]],INDIRECT(CONCATENATE("Tab_",Tab_Calculs[[#This Row],[Colonne1]],"[Fin de période]")),0)</f>
        <v>1</v>
      </c>
      <c r="K149" t="e">
        <f ca="1">INDEX(INDIRECT(CONCATENATE("Tab_",Tab_Calculs[[#This Row],[Colonne1]])),Tab_Calculs[[#This Row],[index_date_livraison]]-1,6)*(MAX(Tab_Calculs[[#This Row],[Début periode livraison]],Tab_Calculs[[#This Row],[Début mois]])-Tab_Calculs[[#This Row],[Début mois]])</f>
        <v>#VALUE!</v>
      </c>
      <c r="L149" s="94">
        <f ca="1">INDEX(INDIRECT(CONCATENATE("Tab_",Tab_Calculs[[#This Row],[Colonne1]])),Tab_Calculs[[#This Row],[index_date_livraison]],6)*(1+MIN(Tab_Calculs[[#This Row],[Date_livraison]],Tab_Calculs[[#This Row],[fin mois]])-MAX(Tab_Calculs[[#This Row],[Début mois]],Tab_Calculs[[#This Row],[Début periode livraison]]))</f>
        <v>0</v>
      </c>
      <c r="M149" s="94" t="e">
        <f ca="1">INDEX(INDIRECT(CONCATENATE("Tab_",Tab_Calculs[[#This Row],[Colonne1]])),Tab_Calculs[[#This Row],[index_date_livraison]]+1,6)*(Tab_Calculs[[#This Row],[fin mois]]-MIN(Tab_Calculs[[#This Row],[fin mois]],Tab_Calculs[[#This Row],[Date_livraison]]))</f>
        <v>#VALUE!</v>
      </c>
      <c r="N149" s="231" t="str">
        <f ca="1">IFERROR(Tab_Calculs[[#This Row],[Ratio_jour_après_livr]]+Tab_Calculs[[#This Row],[Ratio_jour_avant_livr]]+Tab_Calculs[[#This Row],[ratio_avant_debut]],"")</f>
        <v/>
      </c>
      <c r="O149" t="e">
        <f ca="1">INDEX(INDIRECT(CONCATENATE("Tab_",Tab_Calculs[[#This Row],[Colonne1]])),Tab_Calculs[[#This Row],[index_date_livraison]]-1,7)*(MAX(Tab_Calculs[[#This Row],[Début periode livraison]],Tab_Calculs[[#This Row],[Début mois]])-Tab_Calculs[[#This Row],[Début mois]])</f>
        <v>#VALUE!</v>
      </c>
      <c r="P149">
        <f ca="1">INDEX(INDIRECT(CONCATENATE("Tab_",Tab_Calculs[[#This Row],[Colonne1]])),Tab_Calculs[[#This Row],[index_date_livraison]],7)*(1+MIN(Tab_Calculs[[#This Row],[Date_livraison]],Tab_Calculs[[#This Row],[fin mois]])-MAX(Tab_Calculs[[#This Row],[Début mois]],Tab_Calculs[[#This Row],[Début periode livraison]]))</f>
        <v>0</v>
      </c>
      <c r="Q149" t="e">
        <f ca="1">INDEX(INDIRECT(CONCATENATE("Tab_",Tab_Calculs[[#This Row],[Colonne1]])),Tab_Calculs[[#This Row],[index_date_livraison]]+1,7)*(Tab_Calculs[[#This Row],[fin mois]]-MIN(Tab_Calculs[[#This Row],[fin mois]],Tab_Calculs[[#This Row],[Date_livraison]]))</f>
        <v>#VALUE!</v>
      </c>
      <c r="R149" t="e">
        <f ca="1">Tab_Calculs[[#This Row],[Ratio_Cout_après_livr]]+Tab_Calculs[[#This Row],[Ratio_Cout_avant_livr]]+Tab_Calculs[[#This Row],[Ratio_Cout_avant_debut]]</f>
        <v>#VALUE!</v>
      </c>
      <c r="S149" t="str">
        <f ca="1">IFERROR(N149*VLOOKUP(Tab_Calculs[[#This Row],[Colonne1]],Controle_des_données!$B$7:$G$14,6,FALSE),"")</f>
        <v/>
      </c>
      <c r="T149" t="str">
        <f ca="1">IF(Tab_Calculs[[#This Row],[Combustible ]]="Electricité (kWh)",Tab_Calculs[[#This Row],[Conso_mois_kWh]]*2.3,Tab_Calculs[[#This Row],[Conso_mois_kWh]])</f>
        <v/>
      </c>
      <c r="U149" t="str">
        <f ca="1">IFERROR(N149*VLOOKUP(Tab_Calculs[[#This Row],[Colonne1]],Controle_des_données!$B$7:$H$14,7,FALSE),"")</f>
        <v/>
      </c>
      <c r="V149">
        <f ca="1">IFERROR(Tab_Calculs[[#This Row],[Cout_mois]]/Tab_Calculs[[#This Row],[Conso_mois_kWh]],0)</f>
        <v>0</v>
      </c>
      <c r="W149" t="str">
        <f>T(VLOOKUP(Tab_Calculs[[#This Row],[Compteur]],Site!$B$33:$G$40,3,FALSE))</f>
        <v/>
      </c>
      <c r="X149" t="str">
        <f>T(VLOOKUP(Tab_Calculs[[#This Row],[Compteur]],Site!$B$33:$G$40,4,FALSE))</f>
        <v/>
      </c>
      <c r="Y149" t="str">
        <f>T(VLOOKUP(Tab_Calculs[[#This Row],[Compteur]],Site!$B$33:$G$40,5,FALSE))</f>
        <v/>
      </c>
      <c r="Z149" t="str">
        <f>T(VLOOKUP(Tab_Calculs[[#This Row],[Compteur]],Site!$B$33:$G$40,6,FALSE))</f>
        <v/>
      </c>
      <c r="AA149">
        <f>IFERROR(GETPIVOTDATA("DJU(chauffagiste)",BDD_DJU!$P$13,"annee",Tab_Calculs[[#This Row],[ANNEE]],"mois_numero",Tab_Calculs[[#This Row],[MOIS]]),0)</f>
        <v>47.8</v>
      </c>
    </row>
    <row r="150" spans="1:27" x14ac:dyDescent="0.25">
      <c r="A150" s="3">
        <f>DATE(Tab_Calculs[[#This Row],[ANNEE]],Tab_Calculs[[#This Row],[MOIS]],1)</f>
        <v>44470</v>
      </c>
      <c r="B150" s="3">
        <f>EDATE(Tab_Calculs[[#This Row],[Début mois]],1)-1</f>
        <v>44500</v>
      </c>
      <c r="C150">
        <f t="shared" si="3"/>
        <v>10</v>
      </c>
      <c r="D150">
        <f t="shared" si="2"/>
        <v>2021</v>
      </c>
      <c r="E150" t="s">
        <v>80</v>
      </c>
      <c r="F150" t="str">
        <f>SUBSTITUTE(Tab_Calculs[[#This Row],[Compteur]]," ","_")</f>
        <v>Compteur_1</v>
      </c>
      <c r="G150" t="str">
        <f>T(INDEX(Site!$B$33:$G$40, MATCH(Tab_Calculs[[#This Row],[Compteur]], Site!$B$33:$B$40,0),2))</f>
        <v/>
      </c>
      <c r="H150" s="3">
        <f t="array" aca="1" ref="H150" ca="1">MIN(IF(INDIRECT(CONCATENATE(Tab_Calculs[[#This Row],[Colonne1]],"!$B$2:$B$243"))&gt;=Calculs_Consos!$A150,INDIRECT(CONCATENATE(Tab_Calculs[[#This Row],[Colonne1]],"!$B$2:$B$243"))))</f>
        <v>0</v>
      </c>
      <c r="I150" s="3">
        <f ca="1">INDEX(INDIRECT(CONCATENATE("Tab_",Tab_Calculs[[#This Row],[Colonne1]])),Tab_Calculs[[#This Row],[index_date_livraison]],1)</f>
        <v>0</v>
      </c>
      <c r="J150">
        <f ca="1">MATCH(Tab_Calculs[[#This Row],[Date_livraison]],INDIRECT(CONCATENATE("Tab_",Tab_Calculs[[#This Row],[Colonne1]],"[Fin de période]")),0)</f>
        <v>1</v>
      </c>
      <c r="K150" t="e">
        <f ca="1">INDEX(INDIRECT(CONCATENATE("Tab_",Tab_Calculs[[#This Row],[Colonne1]])),Tab_Calculs[[#This Row],[index_date_livraison]]-1,6)*(MAX(Tab_Calculs[[#This Row],[Début periode livraison]],Tab_Calculs[[#This Row],[Début mois]])-Tab_Calculs[[#This Row],[Début mois]])</f>
        <v>#VALUE!</v>
      </c>
      <c r="L150" s="94">
        <f ca="1">INDEX(INDIRECT(CONCATENATE("Tab_",Tab_Calculs[[#This Row],[Colonne1]])),Tab_Calculs[[#This Row],[index_date_livraison]],6)*(1+MIN(Tab_Calculs[[#This Row],[Date_livraison]],Tab_Calculs[[#This Row],[fin mois]])-MAX(Tab_Calculs[[#This Row],[Début mois]],Tab_Calculs[[#This Row],[Début periode livraison]]))</f>
        <v>0</v>
      </c>
      <c r="M150" s="94" t="e">
        <f ca="1">INDEX(INDIRECT(CONCATENATE("Tab_",Tab_Calculs[[#This Row],[Colonne1]])),Tab_Calculs[[#This Row],[index_date_livraison]]+1,6)*(Tab_Calculs[[#This Row],[fin mois]]-MIN(Tab_Calculs[[#This Row],[fin mois]],Tab_Calculs[[#This Row],[Date_livraison]]))</f>
        <v>#VALUE!</v>
      </c>
      <c r="N150" s="231" t="str">
        <f ca="1">IFERROR(Tab_Calculs[[#This Row],[Ratio_jour_après_livr]]+Tab_Calculs[[#This Row],[Ratio_jour_avant_livr]]+Tab_Calculs[[#This Row],[ratio_avant_debut]],"")</f>
        <v/>
      </c>
      <c r="O150" t="e">
        <f ca="1">INDEX(INDIRECT(CONCATENATE("Tab_",Tab_Calculs[[#This Row],[Colonne1]])),Tab_Calculs[[#This Row],[index_date_livraison]]-1,7)*(MAX(Tab_Calculs[[#This Row],[Début periode livraison]],Tab_Calculs[[#This Row],[Début mois]])-Tab_Calculs[[#This Row],[Début mois]])</f>
        <v>#VALUE!</v>
      </c>
      <c r="P150">
        <f ca="1">INDEX(INDIRECT(CONCATENATE("Tab_",Tab_Calculs[[#This Row],[Colonne1]])),Tab_Calculs[[#This Row],[index_date_livraison]],7)*(1+MIN(Tab_Calculs[[#This Row],[Date_livraison]],Tab_Calculs[[#This Row],[fin mois]])-MAX(Tab_Calculs[[#This Row],[Début mois]],Tab_Calculs[[#This Row],[Début periode livraison]]))</f>
        <v>0</v>
      </c>
      <c r="Q150" t="e">
        <f ca="1">INDEX(INDIRECT(CONCATENATE("Tab_",Tab_Calculs[[#This Row],[Colonne1]])),Tab_Calculs[[#This Row],[index_date_livraison]]+1,7)*(Tab_Calculs[[#This Row],[fin mois]]-MIN(Tab_Calculs[[#This Row],[fin mois]],Tab_Calculs[[#This Row],[Date_livraison]]))</f>
        <v>#VALUE!</v>
      </c>
      <c r="R150" t="e">
        <f ca="1">Tab_Calculs[[#This Row],[Ratio_Cout_après_livr]]+Tab_Calculs[[#This Row],[Ratio_Cout_avant_livr]]+Tab_Calculs[[#This Row],[Ratio_Cout_avant_debut]]</f>
        <v>#VALUE!</v>
      </c>
      <c r="S150" t="str">
        <f ca="1">IFERROR(N150*VLOOKUP(Tab_Calculs[[#This Row],[Colonne1]],Controle_des_données!$B$7:$G$14,6,FALSE),"")</f>
        <v/>
      </c>
      <c r="T150" t="str">
        <f ca="1">IF(Tab_Calculs[[#This Row],[Combustible ]]="Electricité (kWh)",Tab_Calculs[[#This Row],[Conso_mois_kWh]]*2.3,Tab_Calculs[[#This Row],[Conso_mois_kWh]])</f>
        <v/>
      </c>
      <c r="U150" t="str">
        <f ca="1">IFERROR(N150*VLOOKUP(Tab_Calculs[[#This Row],[Colonne1]],Controle_des_données!$B$7:$H$14,7,FALSE),"")</f>
        <v/>
      </c>
      <c r="V150">
        <f ca="1">IFERROR(Tab_Calculs[[#This Row],[Cout_mois]]/Tab_Calculs[[#This Row],[Conso_mois_kWh]],0)</f>
        <v>0</v>
      </c>
      <c r="W150" t="str">
        <f>T(VLOOKUP(Tab_Calculs[[#This Row],[Compteur]],Site!$B$33:$G$40,3,FALSE))</f>
        <v/>
      </c>
      <c r="X150" t="str">
        <f>T(VLOOKUP(Tab_Calculs[[#This Row],[Compteur]],Site!$B$33:$G$40,4,FALSE))</f>
        <v/>
      </c>
      <c r="Y150" t="str">
        <f>T(VLOOKUP(Tab_Calculs[[#This Row],[Compteur]],Site!$B$33:$G$40,5,FALSE))</f>
        <v/>
      </c>
      <c r="Z150" t="str">
        <f>T(VLOOKUP(Tab_Calculs[[#This Row],[Compteur]],Site!$B$33:$G$40,6,FALSE))</f>
        <v/>
      </c>
      <c r="AA150">
        <f>IFERROR(GETPIVOTDATA("DJU(chauffagiste)",BDD_DJU!$P$13,"annee",Tab_Calculs[[#This Row],[ANNEE]],"mois_numero",Tab_Calculs[[#This Row],[MOIS]]),0)</f>
        <v>170.5</v>
      </c>
    </row>
    <row r="151" spans="1:27" x14ac:dyDescent="0.25">
      <c r="A151" s="3">
        <f>DATE(Tab_Calculs[[#This Row],[ANNEE]],Tab_Calculs[[#This Row],[MOIS]],1)</f>
        <v>44501</v>
      </c>
      <c r="B151" s="3">
        <f>EDATE(Tab_Calculs[[#This Row],[Début mois]],1)-1</f>
        <v>44530</v>
      </c>
      <c r="C151">
        <f t="shared" si="3"/>
        <v>11</v>
      </c>
      <c r="D151">
        <f t="shared" si="2"/>
        <v>2021</v>
      </c>
      <c r="E151" t="s">
        <v>80</v>
      </c>
      <c r="F151" t="str">
        <f>SUBSTITUTE(Tab_Calculs[[#This Row],[Compteur]]," ","_")</f>
        <v>Compteur_1</v>
      </c>
      <c r="G151" t="str">
        <f>T(INDEX(Site!$B$33:$G$40, MATCH(Tab_Calculs[[#This Row],[Compteur]], Site!$B$33:$B$40,0),2))</f>
        <v/>
      </c>
      <c r="H151" s="3">
        <f t="array" aca="1" ref="H151" ca="1">MIN(IF(INDIRECT(CONCATENATE(Tab_Calculs[[#This Row],[Colonne1]],"!$B$2:$B$243"))&gt;=Calculs_Consos!$A151,INDIRECT(CONCATENATE(Tab_Calculs[[#This Row],[Colonne1]],"!$B$2:$B$243"))))</f>
        <v>0</v>
      </c>
      <c r="I151" s="3">
        <f ca="1">INDEX(INDIRECT(CONCATENATE("Tab_",Tab_Calculs[[#This Row],[Colonne1]])),Tab_Calculs[[#This Row],[index_date_livraison]],1)</f>
        <v>0</v>
      </c>
      <c r="J151">
        <f ca="1">MATCH(Tab_Calculs[[#This Row],[Date_livraison]],INDIRECT(CONCATENATE("Tab_",Tab_Calculs[[#This Row],[Colonne1]],"[Fin de période]")),0)</f>
        <v>1</v>
      </c>
      <c r="K151" t="e">
        <f ca="1">INDEX(INDIRECT(CONCATENATE("Tab_",Tab_Calculs[[#This Row],[Colonne1]])),Tab_Calculs[[#This Row],[index_date_livraison]]-1,6)*(MAX(Tab_Calculs[[#This Row],[Début periode livraison]],Tab_Calculs[[#This Row],[Début mois]])-Tab_Calculs[[#This Row],[Début mois]])</f>
        <v>#VALUE!</v>
      </c>
      <c r="L151" s="94">
        <f ca="1">INDEX(INDIRECT(CONCATENATE("Tab_",Tab_Calculs[[#This Row],[Colonne1]])),Tab_Calculs[[#This Row],[index_date_livraison]],6)*(1+MIN(Tab_Calculs[[#This Row],[Date_livraison]],Tab_Calculs[[#This Row],[fin mois]])-MAX(Tab_Calculs[[#This Row],[Début mois]],Tab_Calculs[[#This Row],[Début periode livraison]]))</f>
        <v>0</v>
      </c>
      <c r="M151" s="94" t="e">
        <f ca="1">INDEX(INDIRECT(CONCATENATE("Tab_",Tab_Calculs[[#This Row],[Colonne1]])),Tab_Calculs[[#This Row],[index_date_livraison]]+1,6)*(Tab_Calculs[[#This Row],[fin mois]]-MIN(Tab_Calculs[[#This Row],[fin mois]],Tab_Calculs[[#This Row],[Date_livraison]]))</f>
        <v>#VALUE!</v>
      </c>
      <c r="N151" s="231" t="str">
        <f ca="1">IFERROR(Tab_Calculs[[#This Row],[Ratio_jour_après_livr]]+Tab_Calculs[[#This Row],[Ratio_jour_avant_livr]]+Tab_Calculs[[#This Row],[ratio_avant_debut]],"")</f>
        <v/>
      </c>
      <c r="O151" t="e">
        <f ca="1">INDEX(INDIRECT(CONCATENATE("Tab_",Tab_Calculs[[#This Row],[Colonne1]])),Tab_Calculs[[#This Row],[index_date_livraison]]-1,7)*(MAX(Tab_Calculs[[#This Row],[Début periode livraison]],Tab_Calculs[[#This Row],[Début mois]])-Tab_Calculs[[#This Row],[Début mois]])</f>
        <v>#VALUE!</v>
      </c>
      <c r="P151">
        <f ca="1">INDEX(INDIRECT(CONCATENATE("Tab_",Tab_Calculs[[#This Row],[Colonne1]])),Tab_Calculs[[#This Row],[index_date_livraison]],7)*(1+MIN(Tab_Calculs[[#This Row],[Date_livraison]],Tab_Calculs[[#This Row],[fin mois]])-MAX(Tab_Calculs[[#This Row],[Début mois]],Tab_Calculs[[#This Row],[Début periode livraison]]))</f>
        <v>0</v>
      </c>
      <c r="Q151" t="e">
        <f ca="1">INDEX(INDIRECT(CONCATENATE("Tab_",Tab_Calculs[[#This Row],[Colonne1]])),Tab_Calculs[[#This Row],[index_date_livraison]]+1,7)*(Tab_Calculs[[#This Row],[fin mois]]-MIN(Tab_Calculs[[#This Row],[fin mois]],Tab_Calculs[[#This Row],[Date_livraison]]))</f>
        <v>#VALUE!</v>
      </c>
      <c r="R151" t="e">
        <f ca="1">Tab_Calculs[[#This Row],[Ratio_Cout_après_livr]]+Tab_Calculs[[#This Row],[Ratio_Cout_avant_livr]]+Tab_Calculs[[#This Row],[Ratio_Cout_avant_debut]]</f>
        <v>#VALUE!</v>
      </c>
      <c r="S151" t="str">
        <f ca="1">IFERROR(N151*VLOOKUP(Tab_Calculs[[#This Row],[Colonne1]],Controle_des_données!$B$7:$G$14,6,FALSE),"")</f>
        <v/>
      </c>
      <c r="T151" t="str">
        <f ca="1">IF(Tab_Calculs[[#This Row],[Combustible ]]="Electricité (kWh)",Tab_Calculs[[#This Row],[Conso_mois_kWh]]*2.3,Tab_Calculs[[#This Row],[Conso_mois_kWh]])</f>
        <v/>
      </c>
      <c r="U151" t="str">
        <f ca="1">IFERROR(N151*VLOOKUP(Tab_Calculs[[#This Row],[Colonne1]],Controle_des_données!$B$7:$H$14,7,FALSE),"")</f>
        <v/>
      </c>
      <c r="V151">
        <f ca="1">IFERROR(Tab_Calculs[[#This Row],[Cout_mois]]/Tab_Calculs[[#This Row],[Conso_mois_kWh]],0)</f>
        <v>0</v>
      </c>
      <c r="W151" t="str">
        <f>T(VLOOKUP(Tab_Calculs[[#This Row],[Compteur]],Site!$B$33:$G$40,3,FALSE))</f>
        <v/>
      </c>
      <c r="X151" t="str">
        <f>T(VLOOKUP(Tab_Calculs[[#This Row],[Compteur]],Site!$B$33:$G$40,4,FALSE))</f>
        <v/>
      </c>
      <c r="Y151" t="str">
        <f>T(VLOOKUP(Tab_Calculs[[#This Row],[Compteur]],Site!$B$33:$G$40,5,FALSE))</f>
        <v/>
      </c>
      <c r="Z151" t="str">
        <f>T(VLOOKUP(Tab_Calculs[[#This Row],[Compteur]],Site!$B$33:$G$40,6,FALSE))</f>
        <v/>
      </c>
      <c r="AA151">
        <f>IFERROR(GETPIVOTDATA("DJU(chauffagiste)",BDD_DJU!$P$13,"annee",Tab_Calculs[[#This Row],[ANNEE]],"mois_numero",Tab_Calculs[[#This Row],[MOIS]]),0)</f>
        <v>326.8</v>
      </c>
    </row>
    <row r="152" spans="1:27" x14ac:dyDescent="0.25">
      <c r="A152" s="3">
        <f>DATE(Tab_Calculs[[#This Row],[ANNEE]],Tab_Calculs[[#This Row],[MOIS]],1)</f>
        <v>44531</v>
      </c>
      <c r="B152" s="3">
        <f>EDATE(Tab_Calculs[[#This Row],[Début mois]],1)-1</f>
        <v>44561</v>
      </c>
      <c r="C152">
        <f t="shared" si="3"/>
        <v>12</v>
      </c>
      <c r="D152">
        <f>D140+1</f>
        <v>2021</v>
      </c>
      <c r="E152" t="s">
        <v>80</v>
      </c>
      <c r="F152" t="str">
        <f>SUBSTITUTE(Tab_Calculs[[#This Row],[Compteur]]," ","_")</f>
        <v>Compteur_1</v>
      </c>
      <c r="G152" t="str">
        <f>T(INDEX(Site!$B$33:$G$40, MATCH(Tab_Calculs[[#This Row],[Compteur]], Site!$B$33:$B$40,0),2))</f>
        <v/>
      </c>
      <c r="H152" s="3">
        <f t="array" aca="1" ref="H152" ca="1">MIN(IF(INDIRECT(CONCATENATE(Tab_Calculs[[#This Row],[Colonne1]],"!$B$2:$B$243"))&gt;=Calculs_Consos!$A152,INDIRECT(CONCATENATE(Tab_Calculs[[#This Row],[Colonne1]],"!$B$2:$B$243"))))</f>
        <v>0</v>
      </c>
      <c r="I152" s="3">
        <f ca="1">INDEX(INDIRECT(CONCATENATE("Tab_",Tab_Calculs[[#This Row],[Colonne1]])),Tab_Calculs[[#This Row],[index_date_livraison]],1)</f>
        <v>0</v>
      </c>
      <c r="J152">
        <f ca="1">MATCH(Tab_Calculs[[#This Row],[Date_livraison]],INDIRECT(CONCATENATE("Tab_",Tab_Calculs[[#This Row],[Colonne1]],"[Fin de période]")),0)</f>
        <v>1</v>
      </c>
      <c r="K152" t="e">
        <f ca="1">INDEX(INDIRECT(CONCATENATE("Tab_",Tab_Calculs[[#This Row],[Colonne1]])),Tab_Calculs[[#This Row],[index_date_livraison]]-1,6)*(MAX(Tab_Calculs[[#This Row],[Début periode livraison]],Tab_Calculs[[#This Row],[Début mois]])-Tab_Calculs[[#This Row],[Début mois]])</f>
        <v>#VALUE!</v>
      </c>
      <c r="L152" s="94">
        <f ca="1">INDEX(INDIRECT(CONCATENATE("Tab_",Tab_Calculs[[#This Row],[Colonne1]])),Tab_Calculs[[#This Row],[index_date_livraison]],6)*(1+MIN(Tab_Calculs[[#This Row],[Date_livraison]],Tab_Calculs[[#This Row],[fin mois]])-MAX(Tab_Calculs[[#This Row],[Début mois]],Tab_Calculs[[#This Row],[Début periode livraison]]))</f>
        <v>0</v>
      </c>
      <c r="M152" s="94" t="e">
        <f ca="1">INDEX(INDIRECT(CONCATENATE("Tab_",Tab_Calculs[[#This Row],[Colonne1]])),Tab_Calculs[[#This Row],[index_date_livraison]]+1,6)*(Tab_Calculs[[#This Row],[fin mois]]-MIN(Tab_Calculs[[#This Row],[fin mois]],Tab_Calculs[[#This Row],[Date_livraison]]))</f>
        <v>#VALUE!</v>
      </c>
      <c r="N152" s="231" t="str">
        <f ca="1">IFERROR(Tab_Calculs[[#This Row],[Ratio_jour_après_livr]]+Tab_Calculs[[#This Row],[Ratio_jour_avant_livr]]+Tab_Calculs[[#This Row],[ratio_avant_debut]],"")</f>
        <v/>
      </c>
      <c r="O152" t="e">
        <f ca="1">INDEX(INDIRECT(CONCATENATE("Tab_",Tab_Calculs[[#This Row],[Colonne1]])),Tab_Calculs[[#This Row],[index_date_livraison]]-1,7)*(MAX(Tab_Calculs[[#This Row],[Début periode livraison]],Tab_Calculs[[#This Row],[Début mois]])-Tab_Calculs[[#This Row],[Début mois]])</f>
        <v>#VALUE!</v>
      </c>
      <c r="P152">
        <f ca="1">INDEX(INDIRECT(CONCATENATE("Tab_",Tab_Calculs[[#This Row],[Colonne1]])),Tab_Calculs[[#This Row],[index_date_livraison]],7)*(1+MIN(Tab_Calculs[[#This Row],[Date_livraison]],Tab_Calculs[[#This Row],[fin mois]])-MAX(Tab_Calculs[[#This Row],[Début mois]],Tab_Calculs[[#This Row],[Début periode livraison]]))</f>
        <v>0</v>
      </c>
      <c r="Q152" t="e">
        <f ca="1">INDEX(INDIRECT(CONCATENATE("Tab_",Tab_Calculs[[#This Row],[Colonne1]])),Tab_Calculs[[#This Row],[index_date_livraison]]+1,7)*(Tab_Calculs[[#This Row],[fin mois]]-MIN(Tab_Calculs[[#This Row],[fin mois]],Tab_Calculs[[#This Row],[Date_livraison]]))</f>
        <v>#VALUE!</v>
      </c>
      <c r="R152" t="e">
        <f ca="1">Tab_Calculs[[#This Row],[Ratio_Cout_après_livr]]+Tab_Calculs[[#This Row],[Ratio_Cout_avant_livr]]+Tab_Calculs[[#This Row],[Ratio_Cout_avant_debut]]</f>
        <v>#VALUE!</v>
      </c>
      <c r="S152" t="str">
        <f ca="1">IFERROR(N152*VLOOKUP(Tab_Calculs[[#This Row],[Colonne1]],Controle_des_données!$B$7:$G$14,6,FALSE),"")</f>
        <v/>
      </c>
      <c r="T152" t="str">
        <f ca="1">IF(Tab_Calculs[[#This Row],[Combustible ]]="Electricité (kWh)",Tab_Calculs[[#This Row],[Conso_mois_kWh]]*2.3,Tab_Calculs[[#This Row],[Conso_mois_kWh]])</f>
        <v/>
      </c>
      <c r="U152" t="str">
        <f ca="1">IFERROR(N152*VLOOKUP(Tab_Calculs[[#This Row],[Colonne1]],Controle_des_données!$B$7:$H$14,7,FALSE),"")</f>
        <v/>
      </c>
      <c r="V152">
        <f ca="1">IFERROR(Tab_Calculs[[#This Row],[Cout_mois]]/Tab_Calculs[[#This Row],[Conso_mois_kWh]],0)</f>
        <v>0</v>
      </c>
      <c r="W152" t="str">
        <f>T(VLOOKUP(Tab_Calculs[[#This Row],[Compteur]],Site!$B$33:$G$40,3,FALSE))</f>
        <v/>
      </c>
      <c r="X152" t="str">
        <f>T(VLOOKUP(Tab_Calculs[[#This Row],[Compteur]],Site!$B$33:$G$40,4,FALSE))</f>
        <v/>
      </c>
      <c r="Y152" t="str">
        <f>T(VLOOKUP(Tab_Calculs[[#This Row],[Compteur]],Site!$B$33:$G$40,5,FALSE))</f>
        <v/>
      </c>
      <c r="Z152" t="str">
        <f>T(VLOOKUP(Tab_Calculs[[#This Row],[Compteur]],Site!$B$33:$G$40,6,FALSE))</f>
        <v/>
      </c>
      <c r="AA152">
        <f>IFERROR(GETPIVOTDATA("DJU(chauffagiste)",BDD_DJU!$P$13,"annee",Tab_Calculs[[#This Row],[ANNEE]],"mois_numero",Tab_Calculs[[#This Row],[MOIS]]),0)</f>
        <v>336.7</v>
      </c>
    </row>
    <row r="153" spans="1:27" x14ac:dyDescent="0.25">
      <c r="A153" s="3">
        <f>DATE(Tab_Calculs[[#This Row],[ANNEE]],Tab_Calculs[[#This Row],[MOIS]],1)</f>
        <v>44562</v>
      </c>
      <c r="B153" s="3">
        <f>EDATE(Tab_Calculs[[#This Row],[Début mois]],1)-1</f>
        <v>44592</v>
      </c>
      <c r="C153">
        <f t="shared" si="3"/>
        <v>1</v>
      </c>
      <c r="D153">
        <f t="shared" ref="D153:D165" si="4">D141+1</f>
        <v>2022</v>
      </c>
      <c r="E153" t="s">
        <v>80</v>
      </c>
      <c r="F153" t="str">
        <f>SUBSTITUTE(Tab_Calculs[[#This Row],[Compteur]]," ","_")</f>
        <v>Compteur_1</v>
      </c>
      <c r="G153" t="str">
        <f>T(INDEX(Site!$B$33:$G$40, MATCH(Tab_Calculs[[#This Row],[Compteur]], Site!$B$33:$B$40,0),2))</f>
        <v/>
      </c>
      <c r="H153" s="3">
        <f t="array" aca="1" ref="H153" ca="1">MIN(IF(INDIRECT(CONCATENATE(Tab_Calculs[[#This Row],[Colonne1]],"!$B$2:$B$243"))&gt;=Calculs_Consos!$A153,INDIRECT(CONCATENATE(Tab_Calculs[[#This Row],[Colonne1]],"!$B$2:$B$243"))))</f>
        <v>0</v>
      </c>
      <c r="I153" s="3">
        <f ca="1">INDEX(INDIRECT(CONCATENATE("Tab_",Tab_Calculs[[#This Row],[Colonne1]])),Tab_Calculs[[#This Row],[index_date_livraison]],1)</f>
        <v>0</v>
      </c>
      <c r="J153">
        <f ca="1">MATCH(Tab_Calculs[[#This Row],[Date_livraison]],INDIRECT(CONCATENATE("Tab_",Tab_Calculs[[#This Row],[Colonne1]],"[Fin de période]")),0)</f>
        <v>1</v>
      </c>
      <c r="K153" t="e">
        <f ca="1">INDEX(INDIRECT(CONCATENATE("Tab_",Tab_Calculs[[#This Row],[Colonne1]])),Tab_Calculs[[#This Row],[index_date_livraison]]-1,6)*(MAX(Tab_Calculs[[#This Row],[Début periode livraison]],Tab_Calculs[[#This Row],[Début mois]])-Tab_Calculs[[#This Row],[Début mois]])</f>
        <v>#VALUE!</v>
      </c>
      <c r="L153" s="94">
        <f ca="1">INDEX(INDIRECT(CONCATENATE("Tab_",Tab_Calculs[[#This Row],[Colonne1]])),Tab_Calculs[[#This Row],[index_date_livraison]],6)*(1+MIN(Tab_Calculs[[#This Row],[Date_livraison]],Tab_Calculs[[#This Row],[fin mois]])-MAX(Tab_Calculs[[#This Row],[Début mois]],Tab_Calculs[[#This Row],[Début periode livraison]]))</f>
        <v>0</v>
      </c>
      <c r="M153" s="94" t="e">
        <f ca="1">INDEX(INDIRECT(CONCATENATE("Tab_",Tab_Calculs[[#This Row],[Colonne1]])),Tab_Calculs[[#This Row],[index_date_livraison]]+1,6)*(Tab_Calculs[[#This Row],[fin mois]]-MIN(Tab_Calculs[[#This Row],[fin mois]],Tab_Calculs[[#This Row],[Date_livraison]]))</f>
        <v>#VALUE!</v>
      </c>
      <c r="N153" s="231" t="str">
        <f ca="1">IFERROR(Tab_Calculs[[#This Row],[Ratio_jour_après_livr]]+Tab_Calculs[[#This Row],[Ratio_jour_avant_livr]]+Tab_Calculs[[#This Row],[ratio_avant_debut]],"")</f>
        <v/>
      </c>
      <c r="O153" t="e">
        <f ca="1">INDEX(INDIRECT(CONCATENATE("Tab_",Tab_Calculs[[#This Row],[Colonne1]])),Tab_Calculs[[#This Row],[index_date_livraison]]-1,7)*(MAX(Tab_Calculs[[#This Row],[Début periode livraison]],Tab_Calculs[[#This Row],[Début mois]])-Tab_Calculs[[#This Row],[Début mois]])</f>
        <v>#VALUE!</v>
      </c>
      <c r="P153">
        <f ca="1">INDEX(INDIRECT(CONCATENATE("Tab_",Tab_Calculs[[#This Row],[Colonne1]])),Tab_Calculs[[#This Row],[index_date_livraison]],7)*(1+MIN(Tab_Calculs[[#This Row],[Date_livraison]],Tab_Calculs[[#This Row],[fin mois]])-MAX(Tab_Calculs[[#This Row],[Début mois]],Tab_Calculs[[#This Row],[Début periode livraison]]))</f>
        <v>0</v>
      </c>
      <c r="Q153" t="e">
        <f ca="1">INDEX(INDIRECT(CONCATENATE("Tab_",Tab_Calculs[[#This Row],[Colonne1]])),Tab_Calculs[[#This Row],[index_date_livraison]]+1,7)*(Tab_Calculs[[#This Row],[fin mois]]-MIN(Tab_Calculs[[#This Row],[fin mois]],Tab_Calculs[[#This Row],[Date_livraison]]))</f>
        <v>#VALUE!</v>
      </c>
      <c r="R153" t="e">
        <f ca="1">Tab_Calculs[[#This Row],[Ratio_Cout_après_livr]]+Tab_Calculs[[#This Row],[Ratio_Cout_avant_livr]]+Tab_Calculs[[#This Row],[Ratio_Cout_avant_debut]]</f>
        <v>#VALUE!</v>
      </c>
      <c r="S153" t="str">
        <f ca="1">IFERROR(N153*VLOOKUP(Tab_Calculs[[#This Row],[Colonne1]],Controle_des_données!$B$7:$G$14,6,FALSE),"")</f>
        <v/>
      </c>
      <c r="T153" t="str">
        <f ca="1">IF(Tab_Calculs[[#This Row],[Combustible ]]="Electricité (kWh)",Tab_Calculs[[#This Row],[Conso_mois_kWh]]*2.3,Tab_Calculs[[#This Row],[Conso_mois_kWh]])</f>
        <v/>
      </c>
      <c r="U153" t="str">
        <f ca="1">IFERROR(N153*VLOOKUP(Tab_Calculs[[#This Row],[Colonne1]],Controle_des_données!$B$7:$H$14,7,FALSE),"")</f>
        <v/>
      </c>
      <c r="V153">
        <f ca="1">IFERROR(Tab_Calculs[[#This Row],[Cout_mois]]/Tab_Calculs[[#This Row],[Conso_mois_kWh]],0)</f>
        <v>0</v>
      </c>
      <c r="W153" t="str">
        <f>T(VLOOKUP(Tab_Calculs[[#This Row],[Compteur]],Site!$B$33:$G$40,3,FALSE))</f>
        <v/>
      </c>
      <c r="X153" t="str">
        <f>T(VLOOKUP(Tab_Calculs[[#This Row],[Compteur]],Site!$B$33:$G$40,4,FALSE))</f>
        <v/>
      </c>
      <c r="Y153" t="str">
        <f>T(VLOOKUP(Tab_Calculs[[#This Row],[Compteur]],Site!$B$33:$G$40,5,FALSE))</f>
        <v/>
      </c>
      <c r="Z153" t="str">
        <f>T(VLOOKUP(Tab_Calculs[[#This Row],[Compteur]],Site!$B$33:$G$40,6,FALSE))</f>
        <v/>
      </c>
      <c r="AA153">
        <f>IFERROR(GETPIVOTDATA("DJU(chauffagiste)",BDD_DJU!$P$13,"annee",Tab_Calculs[[#This Row],[ANNEE]],"mois_numero",Tab_Calculs[[#This Row],[MOIS]]),0)</f>
        <v>396.3</v>
      </c>
    </row>
    <row r="154" spans="1:27" x14ac:dyDescent="0.25">
      <c r="A154" s="3">
        <f>DATE(Tab_Calculs[[#This Row],[ANNEE]],Tab_Calculs[[#This Row],[MOIS]],1)</f>
        <v>44593</v>
      </c>
      <c r="B154" s="3">
        <f>EDATE(Tab_Calculs[[#This Row],[Début mois]],1)-1</f>
        <v>44620</v>
      </c>
      <c r="C154">
        <f t="shared" si="3"/>
        <v>2</v>
      </c>
      <c r="D154">
        <f t="shared" si="4"/>
        <v>2022</v>
      </c>
      <c r="E154" t="s">
        <v>80</v>
      </c>
      <c r="F154" t="str">
        <f>SUBSTITUTE(Tab_Calculs[[#This Row],[Compteur]]," ","_")</f>
        <v>Compteur_1</v>
      </c>
      <c r="G154" t="str">
        <f>T(INDEX(Site!$B$33:$G$40, MATCH(Tab_Calculs[[#This Row],[Compteur]], Site!$B$33:$B$40,0),2))</f>
        <v/>
      </c>
      <c r="H154" s="3">
        <f t="array" aca="1" ref="H154" ca="1">MIN(IF(INDIRECT(CONCATENATE(Tab_Calculs[[#This Row],[Colonne1]],"!$B$2:$B$243"))&gt;=Calculs_Consos!$A154,INDIRECT(CONCATENATE(Tab_Calculs[[#This Row],[Colonne1]],"!$B$2:$B$243"))))</f>
        <v>0</v>
      </c>
      <c r="I154" s="3">
        <f ca="1">INDEX(INDIRECT(CONCATENATE("Tab_",Tab_Calculs[[#This Row],[Colonne1]])),Tab_Calculs[[#This Row],[index_date_livraison]],1)</f>
        <v>0</v>
      </c>
      <c r="J154">
        <f ca="1">MATCH(Tab_Calculs[[#This Row],[Date_livraison]],INDIRECT(CONCATENATE("Tab_",Tab_Calculs[[#This Row],[Colonne1]],"[Fin de période]")),0)</f>
        <v>1</v>
      </c>
      <c r="K154" t="e">
        <f ca="1">INDEX(INDIRECT(CONCATENATE("Tab_",Tab_Calculs[[#This Row],[Colonne1]])),Tab_Calculs[[#This Row],[index_date_livraison]]-1,6)*(MAX(Tab_Calculs[[#This Row],[Début periode livraison]],Tab_Calculs[[#This Row],[Début mois]])-Tab_Calculs[[#This Row],[Début mois]])</f>
        <v>#VALUE!</v>
      </c>
      <c r="L154" s="94">
        <f ca="1">INDEX(INDIRECT(CONCATENATE("Tab_",Tab_Calculs[[#This Row],[Colonne1]])),Tab_Calculs[[#This Row],[index_date_livraison]],6)*(1+MIN(Tab_Calculs[[#This Row],[Date_livraison]],Tab_Calculs[[#This Row],[fin mois]])-MAX(Tab_Calculs[[#This Row],[Début mois]],Tab_Calculs[[#This Row],[Début periode livraison]]))</f>
        <v>0</v>
      </c>
      <c r="M154" s="94" t="e">
        <f ca="1">INDEX(INDIRECT(CONCATENATE("Tab_",Tab_Calculs[[#This Row],[Colonne1]])),Tab_Calculs[[#This Row],[index_date_livraison]]+1,6)*(Tab_Calculs[[#This Row],[fin mois]]-MIN(Tab_Calculs[[#This Row],[fin mois]],Tab_Calculs[[#This Row],[Date_livraison]]))</f>
        <v>#VALUE!</v>
      </c>
      <c r="N154" s="231" t="str">
        <f ca="1">IFERROR(Tab_Calculs[[#This Row],[Ratio_jour_après_livr]]+Tab_Calculs[[#This Row],[Ratio_jour_avant_livr]]+Tab_Calculs[[#This Row],[ratio_avant_debut]],"")</f>
        <v/>
      </c>
      <c r="O154" t="e">
        <f ca="1">INDEX(INDIRECT(CONCATENATE("Tab_",Tab_Calculs[[#This Row],[Colonne1]])),Tab_Calculs[[#This Row],[index_date_livraison]]-1,7)*(MAX(Tab_Calculs[[#This Row],[Début periode livraison]],Tab_Calculs[[#This Row],[Début mois]])-Tab_Calculs[[#This Row],[Début mois]])</f>
        <v>#VALUE!</v>
      </c>
      <c r="P154">
        <f ca="1">INDEX(INDIRECT(CONCATENATE("Tab_",Tab_Calculs[[#This Row],[Colonne1]])),Tab_Calculs[[#This Row],[index_date_livraison]],7)*(1+MIN(Tab_Calculs[[#This Row],[Date_livraison]],Tab_Calculs[[#This Row],[fin mois]])-MAX(Tab_Calculs[[#This Row],[Début mois]],Tab_Calculs[[#This Row],[Début periode livraison]]))</f>
        <v>0</v>
      </c>
      <c r="Q154" t="e">
        <f ca="1">INDEX(INDIRECT(CONCATENATE("Tab_",Tab_Calculs[[#This Row],[Colonne1]])),Tab_Calculs[[#This Row],[index_date_livraison]]+1,7)*(Tab_Calculs[[#This Row],[fin mois]]-MIN(Tab_Calculs[[#This Row],[fin mois]],Tab_Calculs[[#This Row],[Date_livraison]]))</f>
        <v>#VALUE!</v>
      </c>
      <c r="R154" t="e">
        <f ca="1">Tab_Calculs[[#This Row],[Ratio_Cout_après_livr]]+Tab_Calculs[[#This Row],[Ratio_Cout_avant_livr]]+Tab_Calculs[[#This Row],[Ratio_Cout_avant_debut]]</f>
        <v>#VALUE!</v>
      </c>
      <c r="S154" t="str">
        <f ca="1">IFERROR(N154*VLOOKUP(Tab_Calculs[[#This Row],[Colonne1]],Controle_des_données!$B$7:$G$14,6,FALSE),"")</f>
        <v/>
      </c>
      <c r="T154" t="str">
        <f ca="1">IF(Tab_Calculs[[#This Row],[Combustible ]]="Electricité (kWh)",Tab_Calculs[[#This Row],[Conso_mois_kWh]]*2.3,Tab_Calculs[[#This Row],[Conso_mois_kWh]])</f>
        <v/>
      </c>
      <c r="U154" t="str">
        <f ca="1">IFERROR(N154*VLOOKUP(Tab_Calculs[[#This Row],[Colonne1]],Controle_des_données!$B$7:$H$14,7,FALSE),"")</f>
        <v/>
      </c>
      <c r="V154">
        <f ca="1">IFERROR(Tab_Calculs[[#This Row],[Cout_mois]]/Tab_Calculs[[#This Row],[Conso_mois_kWh]],0)</f>
        <v>0</v>
      </c>
      <c r="W154" t="str">
        <f>T(VLOOKUP(Tab_Calculs[[#This Row],[Compteur]],Site!$B$33:$G$40,3,FALSE))</f>
        <v/>
      </c>
      <c r="X154" t="str">
        <f>T(VLOOKUP(Tab_Calculs[[#This Row],[Compteur]],Site!$B$33:$G$40,4,FALSE))</f>
        <v/>
      </c>
      <c r="Y154" t="str">
        <f>T(VLOOKUP(Tab_Calculs[[#This Row],[Compteur]],Site!$B$33:$G$40,5,FALSE))</f>
        <v/>
      </c>
      <c r="Z154" t="str">
        <f>T(VLOOKUP(Tab_Calculs[[#This Row],[Compteur]],Site!$B$33:$G$40,6,FALSE))</f>
        <v/>
      </c>
      <c r="AA154">
        <f>IFERROR(GETPIVOTDATA("DJU(chauffagiste)",BDD_DJU!$P$13,"annee",Tab_Calculs[[#This Row],[ANNEE]],"mois_numero",Tab_Calculs[[#This Row],[MOIS]]),0)</f>
        <v>286.10000000000002</v>
      </c>
    </row>
    <row r="155" spans="1:27" x14ac:dyDescent="0.25">
      <c r="A155" s="3">
        <f>DATE(Tab_Calculs[[#This Row],[ANNEE]],Tab_Calculs[[#This Row],[MOIS]],1)</f>
        <v>44621</v>
      </c>
      <c r="B155" s="3">
        <f>EDATE(Tab_Calculs[[#This Row],[Début mois]],1)-1</f>
        <v>44651</v>
      </c>
      <c r="C155">
        <f t="shared" si="3"/>
        <v>3</v>
      </c>
      <c r="D155">
        <f t="shared" si="4"/>
        <v>2022</v>
      </c>
      <c r="E155" t="s">
        <v>80</v>
      </c>
      <c r="F155" t="str">
        <f>SUBSTITUTE(Tab_Calculs[[#This Row],[Compteur]]," ","_")</f>
        <v>Compteur_1</v>
      </c>
      <c r="G155" t="str">
        <f>T(INDEX(Site!$B$33:$G$40, MATCH(Tab_Calculs[[#This Row],[Compteur]], Site!$B$33:$B$40,0),2))</f>
        <v/>
      </c>
      <c r="H155" s="3">
        <f t="array" aca="1" ref="H155" ca="1">MIN(IF(INDIRECT(CONCATENATE(Tab_Calculs[[#This Row],[Colonne1]],"!$B$2:$B$243"))&gt;=Calculs_Consos!$A155,INDIRECT(CONCATENATE(Tab_Calculs[[#This Row],[Colonne1]],"!$B$2:$B$243"))))</f>
        <v>0</v>
      </c>
      <c r="I155" s="3">
        <f ca="1">INDEX(INDIRECT(CONCATENATE("Tab_",Tab_Calculs[[#This Row],[Colonne1]])),Tab_Calculs[[#This Row],[index_date_livraison]],1)</f>
        <v>0</v>
      </c>
      <c r="J155">
        <f ca="1">MATCH(Tab_Calculs[[#This Row],[Date_livraison]],INDIRECT(CONCATENATE("Tab_",Tab_Calculs[[#This Row],[Colonne1]],"[Fin de période]")),0)</f>
        <v>1</v>
      </c>
      <c r="K155" t="e">
        <f ca="1">INDEX(INDIRECT(CONCATENATE("Tab_",Tab_Calculs[[#This Row],[Colonne1]])),Tab_Calculs[[#This Row],[index_date_livraison]]-1,6)*(MAX(Tab_Calculs[[#This Row],[Début periode livraison]],Tab_Calculs[[#This Row],[Début mois]])-Tab_Calculs[[#This Row],[Début mois]])</f>
        <v>#VALUE!</v>
      </c>
      <c r="L155" s="94">
        <f ca="1">INDEX(INDIRECT(CONCATENATE("Tab_",Tab_Calculs[[#This Row],[Colonne1]])),Tab_Calculs[[#This Row],[index_date_livraison]],6)*(1+MIN(Tab_Calculs[[#This Row],[Date_livraison]],Tab_Calculs[[#This Row],[fin mois]])-MAX(Tab_Calculs[[#This Row],[Début mois]],Tab_Calculs[[#This Row],[Début periode livraison]]))</f>
        <v>0</v>
      </c>
      <c r="M155" s="94" t="e">
        <f ca="1">INDEX(INDIRECT(CONCATENATE("Tab_",Tab_Calculs[[#This Row],[Colonne1]])),Tab_Calculs[[#This Row],[index_date_livraison]]+1,6)*(Tab_Calculs[[#This Row],[fin mois]]-MIN(Tab_Calculs[[#This Row],[fin mois]],Tab_Calculs[[#This Row],[Date_livraison]]))</f>
        <v>#VALUE!</v>
      </c>
      <c r="N155" s="231" t="str">
        <f ca="1">IFERROR(Tab_Calculs[[#This Row],[Ratio_jour_après_livr]]+Tab_Calculs[[#This Row],[Ratio_jour_avant_livr]]+Tab_Calculs[[#This Row],[ratio_avant_debut]],"")</f>
        <v/>
      </c>
      <c r="O155" t="e">
        <f ca="1">INDEX(INDIRECT(CONCATENATE("Tab_",Tab_Calculs[[#This Row],[Colonne1]])),Tab_Calculs[[#This Row],[index_date_livraison]]-1,7)*(MAX(Tab_Calculs[[#This Row],[Début periode livraison]],Tab_Calculs[[#This Row],[Début mois]])-Tab_Calculs[[#This Row],[Début mois]])</f>
        <v>#VALUE!</v>
      </c>
      <c r="P155">
        <f ca="1">INDEX(INDIRECT(CONCATENATE("Tab_",Tab_Calculs[[#This Row],[Colonne1]])),Tab_Calculs[[#This Row],[index_date_livraison]],7)*(1+MIN(Tab_Calculs[[#This Row],[Date_livraison]],Tab_Calculs[[#This Row],[fin mois]])-MAX(Tab_Calculs[[#This Row],[Début mois]],Tab_Calculs[[#This Row],[Début periode livraison]]))</f>
        <v>0</v>
      </c>
      <c r="Q155" t="e">
        <f ca="1">INDEX(INDIRECT(CONCATENATE("Tab_",Tab_Calculs[[#This Row],[Colonne1]])),Tab_Calculs[[#This Row],[index_date_livraison]]+1,7)*(Tab_Calculs[[#This Row],[fin mois]]-MIN(Tab_Calculs[[#This Row],[fin mois]],Tab_Calculs[[#This Row],[Date_livraison]]))</f>
        <v>#VALUE!</v>
      </c>
      <c r="R155" t="e">
        <f ca="1">Tab_Calculs[[#This Row],[Ratio_Cout_après_livr]]+Tab_Calculs[[#This Row],[Ratio_Cout_avant_livr]]+Tab_Calculs[[#This Row],[Ratio_Cout_avant_debut]]</f>
        <v>#VALUE!</v>
      </c>
      <c r="S155" t="str">
        <f ca="1">IFERROR(N155*VLOOKUP(Tab_Calculs[[#This Row],[Colonne1]],Controle_des_données!$B$7:$G$14,6,FALSE),"")</f>
        <v/>
      </c>
      <c r="T155" t="str">
        <f ca="1">IF(Tab_Calculs[[#This Row],[Combustible ]]="Electricité (kWh)",Tab_Calculs[[#This Row],[Conso_mois_kWh]]*2.3,Tab_Calculs[[#This Row],[Conso_mois_kWh]])</f>
        <v/>
      </c>
      <c r="U155" t="str">
        <f ca="1">IFERROR(N155*VLOOKUP(Tab_Calculs[[#This Row],[Colonne1]],Controle_des_données!$B$7:$H$14,7,FALSE),"")</f>
        <v/>
      </c>
      <c r="V155">
        <f ca="1">IFERROR(Tab_Calculs[[#This Row],[Cout_mois]]/Tab_Calculs[[#This Row],[Conso_mois_kWh]],0)</f>
        <v>0</v>
      </c>
      <c r="W155" t="str">
        <f>T(VLOOKUP(Tab_Calculs[[#This Row],[Compteur]],Site!$B$33:$G$40,3,FALSE))</f>
        <v/>
      </c>
      <c r="X155" t="str">
        <f>T(VLOOKUP(Tab_Calculs[[#This Row],[Compteur]],Site!$B$33:$G$40,4,FALSE))</f>
        <v/>
      </c>
      <c r="Y155" t="str">
        <f>T(VLOOKUP(Tab_Calculs[[#This Row],[Compteur]],Site!$B$33:$G$40,5,FALSE))</f>
        <v/>
      </c>
      <c r="Z155" t="str">
        <f>T(VLOOKUP(Tab_Calculs[[#This Row],[Compteur]],Site!$B$33:$G$40,6,FALSE))</f>
        <v/>
      </c>
      <c r="AA155">
        <f>IFERROR(GETPIVOTDATA("DJU(chauffagiste)",BDD_DJU!$P$13,"annee",Tab_Calculs[[#This Row],[ANNEE]],"mois_numero",Tab_Calculs[[#This Row],[MOIS]]),0)</f>
        <v>239.8</v>
      </c>
    </row>
    <row r="156" spans="1:27" x14ac:dyDescent="0.25">
      <c r="A156" s="3">
        <f>DATE(Tab_Calculs[[#This Row],[ANNEE]],Tab_Calculs[[#This Row],[MOIS]],1)</f>
        <v>44652</v>
      </c>
      <c r="B156" s="3">
        <f>EDATE(Tab_Calculs[[#This Row],[Début mois]],1)-1</f>
        <v>44681</v>
      </c>
      <c r="C156">
        <f t="shared" si="3"/>
        <v>4</v>
      </c>
      <c r="D156">
        <f t="shared" si="4"/>
        <v>2022</v>
      </c>
      <c r="E156" t="s">
        <v>80</v>
      </c>
      <c r="F156" t="str">
        <f>SUBSTITUTE(Tab_Calculs[[#This Row],[Compteur]]," ","_")</f>
        <v>Compteur_1</v>
      </c>
      <c r="G156" t="str">
        <f>T(INDEX(Site!$B$33:$G$40, MATCH(Tab_Calculs[[#This Row],[Compteur]], Site!$B$33:$B$40,0),2))</f>
        <v/>
      </c>
      <c r="H156" s="3">
        <f t="array" aca="1" ref="H156" ca="1">MIN(IF(INDIRECT(CONCATENATE(Tab_Calculs[[#This Row],[Colonne1]],"!$B$2:$B$243"))&gt;=Calculs_Consos!$A156,INDIRECT(CONCATENATE(Tab_Calculs[[#This Row],[Colonne1]],"!$B$2:$B$243"))))</f>
        <v>0</v>
      </c>
      <c r="I156" s="3">
        <f ca="1">INDEX(INDIRECT(CONCATENATE("Tab_",Tab_Calculs[[#This Row],[Colonne1]])),Tab_Calculs[[#This Row],[index_date_livraison]],1)</f>
        <v>0</v>
      </c>
      <c r="J156">
        <f ca="1">MATCH(Tab_Calculs[[#This Row],[Date_livraison]],INDIRECT(CONCATENATE("Tab_",Tab_Calculs[[#This Row],[Colonne1]],"[Fin de période]")),0)</f>
        <v>1</v>
      </c>
      <c r="K156" t="e">
        <f ca="1">INDEX(INDIRECT(CONCATENATE("Tab_",Tab_Calculs[[#This Row],[Colonne1]])),Tab_Calculs[[#This Row],[index_date_livraison]]-1,6)*(MAX(Tab_Calculs[[#This Row],[Début periode livraison]],Tab_Calculs[[#This Row],[Début mois]])-Tab_Calculs[[#This Row],[Début mois]])</f>
        <v>#VALUE!</v>
      </c>
      <c r="L156" s="94">
        <f ca="1">INDEX(INDIRECT(CONCATENATE("Tab_",Tab_Calculs[[#This Row],[Colonne1]])),Tab_Calculs[[#This Row],[index_date_livraison]],6)*(1+MIN(Tab_Calculs[[#This Row],[Date_livraison]],Tab_Calculs[[#This Row],[fin mois]])-MAX(Tab_Calculs[[#This Row],[Début mois]],Tab_Calculs[[#This Row],[Début periode livraison]]))</f>
        <v>0</v>
      </c>
      <c r="M156" s="94" t="e">
        <f ca="1">INDEX(INDIRECT(CONCATENATE("Tab_",Tab_Calculs[[#This Row],[Colonne1]])),Tab_Calculs[[#This Row],[index_date_livraison]]+1,6)*(Tab_Calculs[[#This Row],[fin mois]]-MIN(Tab_Calculs[[#This Row],[fin mois]],Tab_Calculs[[#This Row],[Date_livraison]]))</f>
        <v>#VALUE!</v>
      </c>
      <c r="N156" s="231" t="str">
        <f ca="1">IFERROR(Tab_Calculs[[#This Row],[Ratio_jour_après_livr]]+Tab_Calculs[[#This Row],[Ratio_jour_avant_livr]]+Tab_Calculs[[#This Row],[ratio_avant_debut]],"")</f>
        <v/>
      </c>
      <c r="O156" t="e">
        <f ca="1">INDEX(INDIRECT(CONCATENATE("Tab_",Tab_Calculs[[#This Row],[Colonne1]])),Tab_Calculs[[#This Row],[index_date_livraison]]-1,7)*(MAX(Tab_Calculs[[#This Row],[Début periode livraison]],Tab_Calculs[[#This Row],[Début mois]])-Tab_Calculs[[#This Row],[Début mois]])</f>
        <v>#VALUE!</v>
      </c>
      <c r="P156">
        <f ca="1">INDEX(INDIRECT(CONCATENATE("Tab_",Tab_Calculs[[#This Row],[Colonne1]])),Tab_Calculs[[#This Row],[index_date_livraison]],7)*(1+MIN(Tab_Calculs[[#This Row],[Date_livraison]],Tab_Calculs[[#This Row],[fin mois]])-MAX(Tab_Calculs[[#This Row],[Début mois]],Tab_Calculs[[#This Row],[Début periode livraison]]))</f>
        <v>0</v>
      </c>
      <c r="Q156" t="e">
        <f ca="1">INDEX(INDIRECT(CONCATENATE("Tab_",Tab_Calculs[[#This Row],[Colonne1]])),Tab_Calculs[[#This Row],[index_date_livraison]]+1,7)*(Tab_Calculs[[#This Row],[fin mois]]-MIN(Tab_Calculs[[#This Row],[fin mois]],Tab_Calculs[[#This Row],[Date_livraison]]))</f>
        <v>#VALUE!</v>
      </c>
      <c r="R156" t="e">
        <f ca="1">Tab_Calculs[[#This Row],[Ratio_Cout_après_livr]]+Tab_Calculs[[#This Row],[Ratio_Cout_avant_livr]]+Tab_Calculs[[#This Row],[Ratio_Cout_avant_debut]]</f>
        <v>#VALUE!</v>
      </c>
      <c r="S156" t="str">
        <f ca="1">IFERROR(N156*VLOOKUP(Tab_Calculs[[#This Row],[Colonne1]],Controle_des_données!$B$7:$G$14,6,FALSE),"")</f>
        <v/>
      </c>
      <c r="T156" t="str">
        <f ca="1">IF(Tab_Calculs[[#This Row],[Combustible ]]="Electricité (kWh)",Tab_Calculs[[#This Row],[Conso_mois_kWh]]*2.3,Tab_Calculs[[#This Row],[Conso_mois_kWh]])</f>
        <v/>
      </c>
      <c r="U156" t="str">
        <f ca="1">IFERROR(N156*VLOOKUP(Tab_Calculs[[#This Row],[Colonne1]],Controle_des_données!$B$7:$H$14,7,FALSE),"")</f>
        <v/>
      </c>
      <c r="V156">
        <f ca="1">IFERROR(Tab_Calculs[[#This Row],[Cout_mois]]/Tab_Calculs[[#This Row],[Conso_mois_kWh]],0)</f>
        <v>0</v>
      </c>
      <c r="W156" t="str">
        <f>T(VLOOKUP(Tab_Calculs[[#This Row],[Compteur]],Site!$B$33:$G$40,3,FALSE))</f>
        <v/>
      </c>
      <c r="X156" t="str">
        <f>T(VLOOKUP(Tab_Calculs[[#This Row],[Compteur]],Site!$B$33:$G$40,4,FALSE))</f>
        <v/>
      </c>
      <c r="Y156" t="str">
        <f>T(VLOOKUP(Tab_Calculs[[#This Row],[Compteur]],Site!$B$33:$G$40,5,FALSE))</f>
        <v/>
      </c>
      <c r="Z156" t="str">
        <f>T(VLOOKUP(Tab_Calculs[[#This Row],[Compteur]],Site!$B$33:$G$40,6,FALSE))</f>
        <v/>
      </c>
      <c r="AA156">
        <f>IFERROR(GETPIVOTDATA("DJU(chauffagiste)",BDD_DJU!$P$13,"annee",Tab_Calculs[[#This Row],[ANNEE]],"mois_numero",Tab_Calculs[[#This Row],[MOIS]]),0)</f>
        <v>192.3</v>
      </c>
    </row>
    <row r="157" spans="1:27" x14ac:dyDescent="0.25">
      <c r="A157" s="3">
        <f>DATE(Tab_Calculs[[#This Row],[ANNEE]],Tab_Calculs[[#This Row],[MOIS]],1)</f>
        <v>44682</v>
      </c>
      <c r="B157" s="3">
        <f>EDATE(Tab_Calculs[[#This Row],[Début mois]],1)-1</f>
        <v>44712</v>
      </c>
      <c r="C157">
        <f t="shared" si="3"/>
        <v>5</v>
      </c>
      <c r="D157">
        <f t="shared" si="4"/>
        <v>2022</v>
      </c>
      <c r="E157" t="s">
        <v>80</v>
      </c>
      <c r="F157" t="str">
        <f>SUBSTITUTE(Tab_Calculs[[#This Row],[Compteur]]," ","_")</f>
        <v>Compteur_1</v>
      </c>
      <c r="G157" t="str">
        <f>T(INDEX(Site!$B$33:$G$40, MATCH(Tab_Calculs[[#This Row],[Compteur]], Site!$B$33:$B$40,0),2))</f>
        <v/>
      </c>
      <c r="H157" s="3">
        <f t="array" aca="1" ref="H157" ca="1">MIN(IF(INDIRECT(CONCATENATE(Tab_Calculs[[#This Row],[Colonne1]],"!$B$2:$B$243"))&gt;=Calculs_Consos!$A157,INDIRECT(CONCATENATE(Tab_Calculs[[#This Row],[Colonne1]],"!$B$2:$B$243"))))</f>
        <v>0</v>
      </c>
      <c r="I157" s="3">
        <f ca="1">INDEX(INDIRECT(CONCATENATE("Tab_",Tab_Calculs[[#This Row],[Colonne1]])),Tab_Calculs[[#This Row],[index_date_livraison]],1)</f>
        <v>0</v>
      </c>
      <c r="J157">
        <f ca="1">MATCH(Tab_Calculs[[#This Row],[Date_livraison]],INDIRECT(CONCATENATE("Tab_",Tab_Calculs[[#This Row],[Colonne1]],"[Fin de période]")),0)</f>
        <v>1</v>
      </c>
      <c r="K157" t="e">
        <f ca="1">INDEX(INDIRECT(CONCATENATE("Tab_",Tab_Calculs[[#This Row],[Colonne1]])),Tab_Calculs[[#This Row],[index_date_livraison]]-1,6)*(MAX(Tab_Calculs[[#This Row],[Début periode livraison]],Tab_Calculs[[#This Row],[Début mois]])-Tab_Calculs[[#This Row],[Début mois]])</f>
        <v>#VALUE!</v>
      </c>
      <c r="L157" s="94">
        <f ca="1">INDEX(INDIRECT(CONCATENATE("Tab_",Tab_Calculs[[#This Row],[Colonne1]])),Tab_Calculs[[#This Row],[index_date_livraison]],6)*(1+MIN(Tab_Calculs[[#This Row],[Date_livraison]],Tab_Calculs[[#This Row],[fin mois]])-MAX(Tab_Calculs[[#This Row],[Début mois]],Tab_Calculs[[#This Row],[Début periode livraison]]))</f>
        <v>0</v>
      </c>
      <c r="M157" s="94" t="e">
        <f ca="1">INDEX(INDIRECT(CONCATENATE("Tab_",Tab_Calculs[[#This Row],[Colonne1]])),Tab_Calculs[[#This Row],[index_date_livraison]]+1,6)*(Tab_Calculs[[#This Row],[fin mois]]-MIN(Tab_Calculs[[#This Row],[fin mois]],Tab_Calculs[[#This Row],[Date_livraison]]))</f>
        <v>#VALUE!</v>
      </c>
      <c r="N157" s="231" t="str">
        <f ca="1">IFERROR(Tab_Calculs[[#This Row],[Ratio_jour_après_livr]]+Tab_Calculs[[#This Row],[Ratio_jour_avant_livr]]+Tab_Calculs[[#This Row],[ratio_avant_debut]],"")</f>
        <v/>
      </c>
      <c r="O157" t="e">
        <f ca="1">INDEX(INDIRECT(CONCATENATE("Tab_",Tab_Calculs[[#This Row],[Colonne1]])),Tab_Calculs[[#This Row],[index_date_livraison]]-1,7)*(MAX(Tab_Calculs[[#This Row],[Début periode livraison]],Tab_Calculs[[#This Row],[Début mois]])-Tab_Calculs[[#This Row],[Début mois]])</f>
        <v>#VALUE!</v>
      </c>
      <c r="P157">
        <f ca="1">INDEX(INDIRECT(CONCATENATE("Tab_",Tab_Calculs[[#This Row],[Colonne1]])),Tab_Calculs[[#This Row],[index_date_livraison]],7)*(1+MIN(Tab_Calculs[[#This Row],[Date_livraison]],Tab_Calculs[[#This Row],[fin mois]])-MAX(Tab_Calculs[[#This Row],[Début mois]],Tab_Calculs[[#This Row],[Début periode livraison]]))</f>
        <v>0</v>
      </c>
      <c r="Q157" t="e">
        <f ca="1">INDEX(INDIRECT(CONCATENATE("Tab_",Tab_Calculs[[#This Row],[Colonne1]])),Tab_Calculs[[#This Row],[index_date_livraison]]+1,7)*(Tab_Calculs[[#This Row],[fin mois]]-MIN(Tab_Calculs[[#This Row],[fin mois]],Tab_Calculs[[#This Row],[Date_livraison]]))</f>
        <v>#VALUE!</v>
      </c>
      <c r="R157" t="e">
        <f ca="1">Tab_Calculs[[#This Row],[Ratio_Cout_après_livr]]+Tab_Calculs[[#This Row],[Ratio_Cout_avant_livr]]+Tab_Calculs[[#This Row],[Ratio_Cout_avant_debut]]</f>
        <v>#VALUE!</v>
      </c>
      <c r="S157" t="str">
        <f ca="1">IFERROR(N157*VLOOKUP(Tab_Calculs[[#This Row],[Colonne1]],Controle_des_données!$B$7:$G$14,6,FALSE),"")</f>
        <v/>
      </c>
      <c r="T157" t="str">
        <f ca="1">IF(Tab_Calculs[[#This Row],[Combustible ]]="Electricité (kWh)",Tab_Calculs[[#This Row],[Conso_mois_kWh]]*2.3,Tab_Calculs[[#This Row],[Conso_mois_kWh]])</f>
        <v/>
      </c>
      <c r="U157" t="str">
        <f ca="1">IFERROR(N157*VLOOKUP(Tab_Calculs[[#This Row],[Colonne1]],Controle_des_données!$B$7:$H$14,7,FALSE),"")</f>
        <v/>
      </c>
      <c r="V157">
        <f ca="1">IFERROR(Tab_Calculs[[#This Row],[Cout_mois]]/Tab_Calculs[[#This Row],[Conso_mois_kWh]],0)</f>
        <v>0</v>
      </c>
      <c r="W157" t="str">
        <f>T(VLOOKUP(Tab_Calculs[[#This Row],[Compteur]],Site!$B$33:$G$40,3,FALSE))</f>
        <v/>
      </c>
      <c r="X157" t="str">
        <f>T(VLOOKUP(Tab_Calculs[[#This Row],[Compteur]],Site!$B$33:$G$40,4,FALSE))</f>
        <v/>
      </c>
      <c r="Y157" t="str">
        <f>T(VLOOKUP(Tab_Calculs[[#This Row],[Compteur]],Site!$B$33:$G$40,5,FALSE))</f>
        <v/>
      </c>
      <c r="Z157" t="str">
        <f>T(VLOOKUP(Tab_Calculs[[#This Row],[Compteur]],Site!$B$33:$G$40,6,FALSE))</f>
        <v/>
      </c>
      <c r="AA157">
        <f>IFERROR(GETPIVOTDATA("DJU(chauffagiste)",BDD_DJU!$P$13,"annee",Tab_Calculs[[#This Row],[ANNEE]],"mois_numero",Tab_Calculs[[#This Row],[MOIS]]),0)</f>
        <v>81.8</v>
      </c>
    </row>
    <row r="158" spans="1:27" x14ac:dyDescent="0.25">
      <c r="A158" s="3">
        <f>DATE(Tab_Calculs[[#This Row],[ANNEE]],Tab_Calculs[[#This Row],[MOIS]],1)</f>
        <v>44713</v>
      </c>
      <c r="B158" s="3">
        <f>EDATE(Tab_Calculs[[#This Row],[Début mois]],1)-1</f>
        <v>44742</v>
      </c>
      <c r="C158">
        <f t="shared" si="3"/>
        <v>6</v>
      </c>
      <c r="D158">
        <f t="shared" si="4"/>
        <v>2022</v>
      </c>
      <c r="E158" t="s">
        <v>80</v>
      </c>
      <c r="F158" t="str">
        <f>SUBSTITUTE(Tab_Calculs[[#This Row],[Compteur]]," ","_")</f>
        <v>Compteur_1</v>
      </c>
      <c r="G158" t="str">
        <f>T(INDEX(Site!$B$33:$G$40, MATCH(Tab_Calculs[[#This Row],[Compteur]], Site!$B$33:$B$40,0),2))</f>
        <v/>
      </c>
      <c r="H158" s="3">
        <f t="array" aca="1" ref="H158" ca="1">MIN(IF(INDIRECT(CONCATENATE(Tab_Calculs[[#This Row],[Colonne1]],"!$B$2:$B$243"))&gt;=Calculs_Consos!$A158,INDIRECT(CONCATENATE(Tab_Calculs[[#This Row],[Colonne1]],"!$B$2:$B$243"))))</f>
        <v>0</v>
      </c>
      <c r="I158" s="3">
        <f ca="1">INDEX(INDIRECT(CONCATENATE("Tab_",Tab_Calculs[[#This Row],[Colonne1]])),Tab_Calculs[[#This Row],[index_date_livraison]],1)</f>
        <v>0</v>
      </c>
      <c r="J158">
        <f ca="1">MATCH(Tab_Calculs[[#This Row],[Date_livraison]],INDIRECT(CONCATENATE("Tab_",Tab_Calculs[[#This Row],[Colonne1]],"[Fin de période]")),0)</f>
        <v>1</v>
      </c>
      <c r="K158" t="e">
        <f ca="1">INDEX(INDIRECT(CONCATENATE("Tab_",Tab_Calculs[[#This Row],[Colonne1]])),Tab_Calculs[[#This Row],[index_date_livraison]]-1,6)*(MAX(Tab_Calculs[[#This Row],[Début periode livraison]],Tab_Calculs[[#This Row],[Début mois]])-Tab_Calculs[[#This Row],[Début mois]])</f>
        <v>#VALUE!</v>
      </c>
      <c r="L158" s="94">
        <f ca="1">INDEX(INDIRECT(CONCATENATE("Tab_",Tab_Calculs[[#This Row],[Colonne1]])),Tab_Calculs[[#This Row],[index_date_livraison]],6)*(1+MIN(Tab_Calculs[[#This Row],[Date_livraison]],Tab_Calculs[[#This Row],[fin mois]])-MAX(Tab_Calculs[[#This Row],[Début mois]],Tab_Calculs[[#This Row],[Début periode livraison]]))</f>
        <v>0</v>
      </c>
      <c r="M158" s="94" t="e">
        <f ca="1">INDEX(INDIRECT(CONCATENATE("Tab_",Tab_Calculs[[#This Row],[Colonne1]])),Tab_Calculs[[#This Row],[index_date_livraison]]+1,6)*(Tab_Calculs[[#This Row],[fin mois]]-MIN(Tab_Calculs[[#This Row],[fin mois]],Tab_Calculs[[#This Row],[Date_livraison]]))</f>
        <v>#VALUE!</v>
      </c>
      <c r="N158" s="231" t="str">
        <f ca="1">IFERROR(Tab_Calculs[[#This Row],[Ratio_jour_après_livr]]+Tab_Calculs[[#This Row],[Ratio_jour_avant_livr]]+Tab_Calculs[[#This Row],[ratio_avant_debut]],"")</f>
        <v/>
      </c>
      <c r="O158" t="e">
        <f ca="1">INDEX(INDIRECT(CONCATENATE("Tab_",Tab_Calculs[[#This Row],[Colonne1]])),Tab_Calculs[[#This Row],[index_date_livraison]]-1,7)*(MAX(Tab_Calculs[[#This Row],[Début periode livraison]],Tab_Calculs[[#This Row],[Début mois]])-Tab_Calculs[[#This Row],[Début mois]])</f>
        <v>#VALUE!</v>
      </c>
      <c r="P158">
        <f ca="1">INDEX(INDIRECT(CONCATENATE("Tab_",Tab_Calculs[[#This Row],[Colonne1]])),Tab_Calculs[[#This Row],[index_date_livraison]],7)*(1+MIN(Tab_Calculs[[#This Row],[Date_livraison]],Tab_Calculs[[#This Row],[fin mois]])-MAX(Tab_Calculs[[#This Row],[Début mois]],Tab_Calculs[[#This Row],[Début periode livraison]]))</f>
        <v>0</v>
      </c>
      <c r="Q158" t="e">
        <f ca="1">INDEX(INDIRECT(CONCATENATE("Tab_",Tab_Calculs[[#This Row],[Colonne1]])),Tab_Calculs[[#This Row],[index_date_livraison]]+1,7)*(Tab_Calculs[[#This Row],[fin mois]]-MIN(Tab_Calculs[[#This Row],[fin mois]],Tab_Calculs[[#This Row],[Date_livraison]]))</f>
        <v>#VALUE!</v>
      </c>
      <c r="R158" t="e">
        <f ca="1">Tab_Calculs[[#This Row],[Ratio_Cout_après_livr]]+Tab_Calculs[[#This Row],[Ratio_Cout_avant_livr]]+Tab_Calculs[[#This Row],[Ratio_Cout_avant_debut]]</f>
        <v>#VALUE!</v>
      </c>
      <c r="S158" t="str">
        <f ca="1">IFERROR(N158*VLOOKUP(Tab_Calculs[[#This Row],[Colonne1]],Controle_des_données!$B$7:$G$14,6,FALSE),"")</f>
        <v/>
      </c>
      <c r="T158" t="str">
        <f ca="1">IF(Tab_Calculs[[#This Row],[Combustible ]]="Electricité (kWh)",Tab_Calculs[[#This Row],[Conso_mois_kWh]]*2.3,Tab_Calculs[[#This Row],[Conso_mois_kWh]])</f>
        <v/>
      </c>
      <c r="U158" t="str">
        <f ca="1">IFERROR(N158*VLOOKUP(Tab_Calculs[[#This Row],[Colonne1]],Controle_des_données!$B$7:$H$14,7,FALSE),"")</f>
        <v/>
      </c>
      <c r="V158">
        <f ca="1">IFERROR(Tab_Calculs[[#This Row],[Cout_mois]]/Tab_Calculs[[#This Row],[Conso_mois_kWh]],0)</f>
        <v>0</v>
      </c>
      <c r="W158" t="str">
        <f>T(VLOOKUP(Tab_Calculs[[#This Row],[Compteur]],Site!$B$33:$G$40,3,FALSE))</f>
        <v/>
      </c>
      <c r="X158" t="str">
        <f>T(VLOOKUP(Tab_Calculs[[#This Row],[Compteur]],Site!$B$33:$G$40,4,FALSE))</f>
        <v/>
      </c>
      <c r="Y158" t="str">
        <f>T(VLOOKUP(Tab_Calculs[[#This Row],[Compteur]],Site!$B$33:$G$40,5,FALSE))</f>
        <v/>
      </c>
      <c r="Z158" t="str">
        <f>T(VLOOKUP(Tab_Calculs[[#This Row],[Compteur]],Site!$B$33:$G$40,6,FALSE))</f>
        <v/>
      </c>
      <c r="AA158">
        <f>IFERROR(GETPIVOTDATA("DJU(chauffagiste)",BDD_DJU!$P$13,"annee",Tab_Calculs[[#This Row],[ANNEE]],"mois_numero",Tab_Calculs[[#This Row],[MOIS]]),0)</f>
        <v>35.5</v>
      </c>
    </row>
    <row r="159" spans="1:27" x14ac:dyDescent="0.25">
      <c r="A159" s="3">
        <f>DATE(Tab_Calculs[[#This Row],[ANNEE]],Tab_Calculs[[#This Row],[MOIS]],1)</f>
        <v>44743</v>
      </c>
      <c r="B159" s="3">
        <f>EDATE(Tab_Calculs[[#This Row],[Début mois]],1)-1</f>
        <v>44773</v>
      </c>
      <c r="C159">
        <f t="shared" si="3"/>
        <v>7</v>
      </c>
      <c r="D159">
        <f t="shared" si="4"/>
        <v>2022</v>
      </c>
      <c r="E159" t="s">
        <v>80</v>
      </c>
      <c r="F159" t="str">
        <f>SUBSTITUTE(Tab_Calculs[[#This Row],[Compteur]]," ","_")</f>
        <v>Compteur_1</v>
      </c>
      <c r="G159" t="str">
        <f>T(INDEX(Site!$B$33:$G$40, MATCH(Tab_Calculs[[#This Row],[Compteur]], Site!$B$33:$B$40,0),2))</f>
        <v/>
      </c>
      <c r="H159" s="3">
        <f t="array" aca="1" ref="H159" ca="1">MIN(IF(INDIRECT(CONCATENATE(Tab_Calculs[[#This Row],[Colonne1]],"!$B$2:$B$243"))&gt;=Calculs_Consos!$A159,INDIRECT(CONCATENATE(Tab_Calculs[[#This Row],[Colonne1]],"!$B$2:$B$243"))))</f>
        <v>0</v>
      </c>
      <c r="I159" s="3">
        <f ca="1">INDEX(INDIRECT(CONCATENATE("Tab_",Tab_Calculs[[#This Row],[Colonne1]])),Tab_Calculs[[#This Row],[index_date_livraison]],1)</f>
        <v>0</v>
      </c>
      <c r="J159">
        <f ca="1">MATCH(Tab_Calculs[[#This Row],[Date_livraison]],INDIRECT(CONCATENATE("Tab_",Tab_Calculs[[#This Row],[Colonne1]],"[Fin de période]")),0)</f>
        <v>1</v>
      </c>
      <c r="K159" t="e">
        <f ca="1">INDEX(INDIRECT(CONCATENATE("Tab_",Tab_Calculs[[#This Row],[Colonne1]])),Tab_Calculs[[#This Row],[index_date_livraison]]-1,6)*(MAX(Tab_Calculs[[#This Row],[Début periode livraison]],Tab_Calculs[[#This Row],[Début mois]])-Tab_Calculs[[#This Row],[Début mois]])</f>
        <v>#VALUE!</v>
      </c>
      <c r="L159" s="94">
        <f ca="1">INDEX(INDIRECT(CONCATENATE("Tab_",Tab_Calculs[[#This Row],[Colonne1]])),Tab_Calculs[[#This Row],[index_date_livraison]],6)*(1+MIN(Tab_Calculs[[#This Row],[Date_livraison]],Tab_Calculs[[#This Row],[fin mois]])-MAX(Tab_Calculs[[#This Row],[Début mois]],Tab_Calculs[[#This Row],[Début periode livraison]]))</f>
        <v>0</v>
      </c>
      <c r="M159" s="94" t="e">
        <f ca="1">INDEX(INDIRECT(CONCATENATE("Tab_",Tab_Calculs[[#This Row],[Colonne1]])),Tab_Calculs[[#This Row],[index_date_livraison]]+1,6)*(Tab_Calculs[[#This Row],[fin mois]]-MIN(Tab_Calculs[[#This Row],[fin mois]],Tab_Calculs[[#This Row],[Date_livraison]]))</f>
        <v>#VALUE!</v>
      </c>
      <c r="N159" s="231" t="str">
        <f ca="1">IFERROR(Tab_Calculs[[#This Row],[Ratio_jour_après_livr]]+Tab_Calculs[[#This Row],[Ratio_jour_avant_livr]]+Tab_Calculs[[#This Row],[ratio_avant_debut]],"")</f>
        <v/>
      </c>
      <c r="O159" t="e">
        <f ca="1">INDEX(INDIRECT(CONCATENATE("Tab_",Tab_Calculs[[#This Row],[Colonne1]])),Tab_Calculs[[#This Row],[index_date_livraison]]-1,7)*(MAX(Tab_Calculs[[#This Row],[Début periode livraison]],Tab_Calculs[[#This Row],[Début mois]])-Tab_Calculs[[#This Row],[Début mois]])</f>
        <v>#VALUE!</v>
      </c>
      <c r="P159">
        <f ca="1">INDEX(INDIRECT(CONCATENATE("Tab_",Tab_Calculs[[#This Row],[Colonne1]])),Tab_Calculs[[#This Row],[index_date_livraison]],7)*(1+MIN(Tab_Calculs[[#This Row],[Date_livraison]],Tab_Calculs[[#This Row],[fin mois]])-MAX(Tab_Calculs[[#This Row],[Début mois]],Tab_Calculs[[#This Row],[Début periode livraison]]))</f>
        <v>0</v>
      </c>
      <c r="Q159" t="e">
        <f ca="1">INDEX(INDIRECT(CONCATENATE("Tab_",Tab_Calculs[[#This Row],[Colonne1]])),Tab_Calculs[[#This Row],[index_date_livraison]]+1,7)*(Tab_Calculs[[#This Row],[fin mois]]-MIN(Tab_Calculs[[#This Row],[fin mois]],Tab_Calculs[[#This Row],[Date_livraison]]))</f>
        <v>#VALUE!</v>
      </c>
      <c r="R159" t="e">
        <f ca="1">Tab_Calculs[[#This Row],[Ratio_Cout_après_livr]]+Tab_Calculs[[#This Row],[Ratio_Cout_avant_livr]]+Tab_Calculs[[#This Row],[Ratio_Cout_avant_debut]]</f>
        <v>#VALUE!</v>
      </c>
      <c r="S159" t="str">
        <f ca="1">IFERROR(N159*VLOOKUP(Tab_Calculs[[#This Row],[Colonne1]],Controle_des_données!$B$7:$G$14,6,FALSE),"")</f>
        <v/>
      </c>
      <c r="T159" t="str">
        <f ca="1">IF(Tab_Calculs[[#This Row],[Combustible ]]="Electricité (kWh)",Tab_Calculs[[#This Row],[Conso_mois_kWh]]*2.3,Tab_Calculs[[#This Row],[Conso_mois_kWh]])</f>
        <v/>
      </c>
      <c r="U159" t="str">
        <f ca="1">IFERROR(N159*VLOOKUP(Tab_Calculs[[#This Row],[Colonne1]],Controle_des_données!$B$7:$H$14,7,FALSE),"")</f>
        <v/>
      </c>
      <c r="V159">
        <f ca="1">IFERROR(Tab_Calculs[[#This Row],[Cout_mois]]/Tab_Calculs[[#This Row],[Conso_mois_kWh]],0)</f>
        <v>0</v>
      </c>
      <c r="W159" t="str">
        <f>T(VLOOKUP(Tab_Calculs[[#This Row],[Compteur]],Site!$B$33:$G$40,3,FALSE))</f>
        <v/>
      </c>
      <c r="X159" t="str">
        <f>T(VLOOKUP(Tab_Calculs[[#This Row],[Compteur]],Site!$B$33:$G$40,4,FALSE))</f>
        <v/>
      </c>
      <c r="Y159" t="str">
        <f>T(VLOOKUP(Tab_Calculs[[#This Row],[Compteur]],Site!$B$33:$G$40,5,FALSE))</f>
        <v/>
      </c>
      <c r="Z159" t="str">
        <f>T(VLOOKUP(Tab_Calculs[[#This Row],[Compteur]],Site!$B$33:$G$40,6,FALSE))</f>
        <v/>
      </c>
      <c r="AA159">
        <f>IFERROR(GETPIVOTDATA("DJU(chauffagiste)",BDD_DJU!$P$13,"annee",Tab_Calculs[[#This Row],[ANNEE]],"mois_numero",Tab_Calculs[[#This Row],[MOIS]]),0)</f>
        <v>18.8</v>
      </c>
    </row>
    <row r="160" spans="1:27" x14ac:dyDescent="0.25">
      <c r="A160" s="3">
        <f>DATE(Tab_Calculs[[#This Row],[ANNEE]],Tab_Calculs[[#This Row],[MOIS]],1)</f>
        <v>44774</v>
      </c>
      <c r="B160" s="3">
        <f>EDATE(Tab_Calculs[[#This Row],[Début mois]],1)-1</f>
        <v>44804</v>
      </c>
      <c r="C160">
        <f t="shared" si="3"/>
        <v>8</v>
      </c>
      <c r="D160">
        <f t="shared" si="4"/>
        <v>2022</v>
      </c>
      <c r="E160" t="s">
        <v>80</v>
      </c>
      <c r="F160" t="str">
        <f>SUBSTITUTE(Tab_Calculs[[#This Row],[Compteur]]," ","_")</f>
        <v>Compteur_1</v>
      </c>
      <c r="G160" t="str">
        <f>T(INDEX(Site!$B$33:$G$40, MATCH(Tab_Calculs[[#This Row],[Compteur]], Site!$B$33:$B$40,0),2))</f>
        <v/>
      </c>
      <c r="H160" s="3">
        <f t="array" aca="1" ref="H160" ca="1">MIN(IF(INDIRECT(CONCATENATE(Tab_Calculs[[#This Row],[Colonne1]],"!$B$2:$B$243"))&gt;=Calculs_Consos!$A160,INDIRECT(CONCATENATE(Tab_Calculs[[#This Row],[Colonne1]],"!$B$2:$B$243"))))</f>
        <v>0</v>
      </c>
      <c r="I160" s="3">
        <f ca="1">INDEX(INDIRECT(CONCATENATE("Tab_",Tab_Calculs[[#This Row],[Colonne1]])),Tab_Calculs[[#This Row],[index_date_livraison]],1)</f>
        <v>0</v>
      </c>
      <c r="J160">
        <f ca="1">MATCH(Tab_Calculs[[#This Row],[Date_livraison]],INDIRECT(CONCATENATE("Tab_",Tab_Calculs[[#This Row],[Colonne1]],"[Fin de période]")),0)</f>
        <v>1</v>
      </c>
      <c r="K160" t="e">
        <f ca="1">INDEX(INDIRECT(CONCATENATE("Tab_",Tab_Calculs[[#This Row],[Colonne1]])),Tab_Calculs[[#This Row],[index_date_livraison]]-1,6)*(MAX(Tab_Calculs[[#This Row],[Début periode livraison]],Tab_Calculs[[#This Row],[Début mois]])-Tab_Calculs[[#This Row],[Début mois]])</f>
        <v>#VALUE!</v>
      </c>
      <c r="L160" s="94">
        <f ca="1">INDEX(INDIRECT(CONCATENATE("Tab_",Tab_Calculs[[#This Row],[Colonne1]])),Tab_Calculs[[#This Row],[index_date_livraison]],6)*(1+MIN(Tab_Calculs[[#This Row],[Date_livraison]],Tab_Calculs[[#This Row],[fin mois]])-MAX(Tab_Calculs[[#This Row],[Début mois]],Tab_Calculs[[#This Row],[Début periode livraison]]))</f>
        <v>0</v>
      </c>
      <c r="M160" s="94" t="e">
        <f ca="1">INDEX(INDIRECT(CONCATENATE("Tab_",Tab_Calculs[[#This Row],[Colonne1]])),Tab_Calculs[[#This Row],[index_date_livraison]]+1,6)*(Tab_Calculs[[#This Row],[fin mois]]-MIN(Tab_Calculs[[#This Row],[fin mois]],Tab_Calculs[[#This Row],[Date_livraison]]))</f>
        <v>#VALUE!</v>
      </c>
      <c r="N160" s="231" t="str">
        <f ca="1">IFERROR(Tab_Calculs[[#This Row],[Ratio_jour_après_livr]]+Tab_Calculs[[#This Row],[Ratio_jour_avant_livr]]+Tab_Calculs[[#This Row],[ratio_avant_debut]],"")</f>
        <v/>
      </c>
      <c r="O160" t="e">
        <f ca="1">INDEX(INDIRECT(CONCATENATE("Tab_",Tab_Calculs[[#This Row],[Colonne1]])),Tab_Calculs[[#This Row],[index_date_livraison]]-1,7)*(MAX(Tab_Calculs[[#This Row],[Début periode livraison]],Tab_Calculs[[#This Row],[Début mois]])-Tab_Calculs[[#This Row],[Début mois]])</f>
        <v>#VALUE!</v>
      </c>
      <c r="P160">
        <f ca="1">INDEX(INDIRECT(CONCATENATE("Tab_",Tab_Calculs[[#This Row],[Colonne1]])),Tab_Calculs[[#This Row],[index_date_livraison]],7)*(1+MIN(Tab_Calculs[[#This Row],[Date_livraison]],Tab_Calculs[[#This Row],[fin mois]])-MAX(Tab_Calculs[[#This Row],[Début mois]],Tab_Calculs[[#This Row],[Début periode livraison]]))</f>
        <v>0</v>
      </c>
      <c r="Q160" t="e">
        <f ca="1">INDEX(INDIRECT(CONCATENATE("Tab_",Tab_Calculs[[#This Row],[Colonne1]])),Tab_Calculs[[#This Row],[index_date_livraison]]+1,7)*(Tab_Calculs[[#This Row],[fin mois]]-MIN(Tab_Calculs[[#This Row],[fin mois]],Tab_Calculs[[#This Row],[Date_livraison]]))</f>
        <v>#VALUE!</v>
      </c>
      <c r="R160" t="e">
        <f ca="1">Tab_Calculs[[#This Row],[Ratio_Cout_après_livr]]+Tab_Calculs[[#This Row],[Ratio_Cout_avant_livr]]+Tab_Calculs[[#This Row],[Ratio_Cout_avant_debut]]</f>
        <v>#VALUE!</v>
      </c>
      <c r="S160" t="str">
        <f ca="1">IFERROR(N160*VLOOKUP(Tab_Calculs[[#This Row],[Colonne1]],Controle_des_données!$B$7:$G$14,6,FALSE),"")</f>
        <v/>
      </c>
      <c r="T160" t="str">
        <f ca="1">IF(Tab_Calculs[[#This Row],[Combustible ]]="Electricité (kWh)",Tab_Calculs[[#This Row],[Conso_mois_kWh]]*2.3,Tab_Calculs[[#This Row],[Conso_mois_kWh]])</f>
        <v/>
      </c>
      <c r="U160" t="str">
        <f ca="1">IFERROR(N160*VLOOKUP(Tab_Calculs[[#This Row],[Colonne1]],Controle_des_données!$B$7:$H$14,7,FALSE),"")</f>
        <v/>
      </c>
      <c r="V160">
        <f ca="1">IFERROR(Tab_Calculs[[#This Row],[Cout_mois]]/Tab_Calculs[[#This Row],[Conso_mois_kWh]],0)</f>
        <v>0</v>
      </c>
      <c r="W160" t="str">
        <f>T(VLOOKUP(Tab_Calculs[[#This Row],[Compteur]],Site!$B$33:$G$40,3,FALSE))</f>
        <v/>
      </c>
      <c r="X160" t="str">
        <f>T(VLOOKUP(Tab_Calculs[[#This Row],[Compteur]],Site!$B$33:$G$40,4,FALSE))</f>
        <v/>
      </c>
      <c r="Y160" t="str">
        <f>T(VLOOKUP(Tab_Calculs[[#This Row],[Compteur]],Site!$B$33:$G$40,5,FALSE))</f>
        <v/>
      </c>
      <c r="Z160" t="str">
        <f>T(VLOOKUP(Tab_Calculs[[#This Row],[Compteur]],Site!$B$33:$G$40,6,FALSE))</f>
        <v/>
      </c>
      <c r="AA160">
        <f>IFERROR(GETPIVOTDATA("DJU(chauffagiste)",BDD_DJU!$P$13,"annee",Tab_Calculs[[#This Row],[ANNEE]],"mois_numero",Tab_Calculs[[#This Row],[MOIS]]),0)</f>
        <v>10.7</v>
      </c>
    </row>
    <row r="161" spans="1:27" x14ac:dyDescent="0.25">
      <c r="A161" s="3">
        <f>DATE(Tab_Calculs[[#This Row],[ANNEE]],Tab_Calculs[[#This Row],[MOIS]],1)</f>
        <v>44805</v>
      </c>
      <c r="B161" s="3">
        <f>EDATE(Tab_Calculs[[#This Row],[Début mois]],1)-1</f>
        <v>44834</v>
      </c>
      <c r="C161">
        <f t="shared" si="3"/>
        <v>9</v>
      </c>
      <c r="D161">
        <f t="shared" si="4"/>
        <v>2022</v>
      </c>
      <c r="E161" t="s">
        <v>80</v>
      </c>
      <c r="F161" t="str">
        <f>SUBSTITUTE(Tab_Calculs[[#This Row],[Compteur]]," ","_")</f>
        <v>Compteur_1</v>
      </c>
      <c r="G161" t="str">
        <f>T(INDEX(Site!$B$33:$G$40, MATCH(Tab_Calculs[[#This Row],[Compteur]], Site!$B$33:$B$40,0),2))</f>
        <v/>
      </c>
      <c r="H161" s="3">
        <f t="array" aca="1" ref="H161" ca="1">MIN(IF(INDIRECT(CONCATENATE(Tab_Calculs[[#This Row],[Colonne1]],"!$B$2:$B$243"))&gt;=Calculs_Consos!$A161,INDIRECT(CONCATENATE(Tab_Calculs[[#This Row],[Colonne1]],"!$B$2:$B$243"))))</f>
        <v>0</v>
      </c>
      <c r="I161" s="3">
        <f ca="1">INDEX(INDIRECT(CONCATENATE("Tab_",Tab_Calculs[[#This Row],[Colonne1]])),Tab_Calculs[[#This Row],[index_date_livraison]],1)</f>
        <v>0</v>
      </c>
      <c r="J161">
        <f ca="1">MATCH(Tab_Calculs[[#This Row],[Date_livraison]],INDIRECT(CONCATENATE("Tab_",Tab_Calculs[[#This Row],[Colonne1]],"[Fin de période]")),0)</f>
        <v>1</v>
      </c>
      <c r="K161" t="e">
        <f ca="1">INDEX(INDIRECT(CONCATENATE("Tab_",Tab_Calculs[[#This Row],[Colonne1]])),Tab_Calculs[[#This Row],[index_date_livraison]]-1,6)*(MAX(Tab_Calculs[[#This Row],[Début periode livraison]],Tab_Calculs[[#This Row],[Début mois]])-Tab_Calculs[[#This Row],[Début mois]])</f>
        <v>#VALUE!</v>
      </c>
      <c r="L161" s="94">
        <f ca="1">INDEX(INDIRECT(CONCATENATE("Tab_",Tab_Calculs[[#This Row],[Colonne1]])),Tab_Calculs[[#This Row],[index_date_livraison]],6)*(1+MIN(Tab_Calculs[[#This Row],[Date_livraison]],Tab_Calculs[[#This Row],[fin mois]])-MAX(Tab_Calculs[[#This Row],[Début mois]],Tab_Calculs[[#This Row],[Début periode livraison]]))</f>
        <v>0</v>
      </c>
      <c r="M161" s="94" t="e">
        <f ca="1">INDEX(INDIRECT(CONCATENATE("Tab_",Tab_Calculs[[#This Row],[Colonne1]])),Tab_Calculs[[#This Row],[index_date_livraison]]+1,6)*(Tab_Calculs[[#This Row],[fin mois]]-MIN(Tab_Calculs[[#This Row],[fin mois]],Tab_Calculs[[#This Row],[Date_livraison]]))</f>
        <v>#VALUE!</v>
      </c>
      <c r="N161" s="231" t="str">
        <f ca="1">IFERROR(Tab_Calculs[[#This Row],[Ratio_jour_après_livr]]+Tab_Calculs[[#This Row],[Ratio_jour_avant_livr]]+Tab_Calculs[[#This Row],[ratio_avant_debut]],"")</f>
        <v/>
      </c>
      <c r="O161" t="e">
        <f ca="1">INDEX(INDIRECT(CONCATENATE("Tab_",Tab_Calculs[[#This Row],[Colonne1]])),Tab_Calculs[[#This Row],[index_date_livraison]]-1,7)*(MAX(Tab_Calculs[[#This Row],[Début periode livraison]],Tab_Calculs[[#This Row],[Début mois]])-Tab_Calculs[[#This Row],[Début mois]])</f>
        <v>#VALUE!</v>
      </c>
      <c r="P161">
        <f ca="1">INDEX(INDIRECT(CONCATENATE("Tab_",Tab_Calculs[[#This Row],[Colonne1]])),Tab_Calculs[[#This Row],[index_date_livraison]],7)*(1+MIN(Tab_Calculs[[#This Row],[Date_livraison]],Tab_Calculs[[#This Row],[fin mois]])-MAX(Tab_Calculs[[#This Row],[Début mois]],Tab_Calculs[[#This Row],[Début periode livraison]]))</f>
        <v>0</v>
      </c>
      <c r="Q161" t="e">
        <f ca="1">INDEX(INDIRECT(CONCATENATE("Tab_",Tab_Calculs[[#This Row],[Colonne1]])),Tab_Calculs[[#This Row],[index_date_livraison]]+1,7)*(Tab_Calculs[[#This Row],[fin mois]]-MIN(Tab_Calculs[[#This Row],[fin mois]],Tab_Calculs[[#This Row],[Date_livraison]]))</f>
        <v>#VALUE!</v>
      </c>
      <c r="R161" t="e">
        <f ca="1">Tab_Calculs[[#This Row],[Ratio_Cout_après_livr]]+Tab_Calculs[[#This Row],[Ratio_Cout_avant_livr]]+Tab_Calculs[[#This Row],[Ratio_Cout_avant_debut]]</f>
        <v>#VALUE!</v>
      </c>
      <c r="S161" t="str">
        <f ca="1">IFERROR(N161*VLOOKUP(Tab_Calculs[[#This Row],[Colonne1]],Controle_des_données!$B$7:$G$14,6,FALSE),"")</f>
        <v/>
      </c>
      <c r="T161" t="str">
        <f ca="1">IF(Tab_Calculs[[#This Row],[Combustible ]]="Electricité (kWh)",Tab_Calculs[[#This Row],[Conso_mois_kWh]]*2.3,Tab_Calculs[[#This Row],[Conso_mois_kWh]])</f>
        <v/>
      </c>
      <c r="U161" t="str">
        <f ca="1">IFERROR(N161*VLOOKUP(Tab_Calculs[[#This Row],[Colonne1]],Controle_des_données!$B$7:$H$14,7,FALSE),"")</f>
        <v/>
      </c>
      <c r="V161">
        <f ca="1">IFERROR(Tab_Calculs[[#This Row],[Cout_mois]]/Tab_Calculs[[#This Row],[Conso_mois_kWh]],0)</f>
        <v>0</v>
      </c>
      <c r="W161" t="str">
        <f>T(VLOOKUP(Tab_Calculs[[#This Row],[Compteur]],Site!$B$33:$G$40,3,FALSE))</f>
        <v/>
      </c>
      <c r="X161" t="str">
        <f>T(VLOOKUP(Tab_Calculs[[#This Row],[Compteur]],Site!$B$33:$G$40,4,FALSE))</f>
        <v/>
      </c>
      <c r="Y161" t="str">
        <f>T(VLOOKUP(Tab_Calculs[[#This Row],[Compteur]],Site!$B$33:$G$40,5,FALSE))</f>
        <v/>
      </c>
      <c r="Z161" t="str">
        <f>T(VLOOKUP(Tab_Calculs[[#This Row],[Compteur]],Site!$B$33:$G$40,6,FALSE))</f>
        <v/>
      </c>
      <c r="AA161">
        <f>IFERROR(GETPIVOTDATA("DJU(chauffagiste)",BDD_DJU!$P$13,"annee",Tab_Calculs[[#This Row],[ANNEE]],"mois_numero",Tab_Calculs[[#This Row],[MOIS]]),0)</f>
        <v>74.7</v>
      </c>
    </row>
    <row r="162" spans="1:27" x14ac:dyDescent="0.25">
      <c r="A162" s="3">
        <f>DATE(Tab_Calculs[[#This Row],[ANNEE]],Tab_Calculs[[#This Row],[MOIS]],1)</f>
        <v>44835</v>
      </c>
      <c r="B162" s="3">
        <f>EDATE(Tab_Calculs[[#This Row],[Début mois]],1)-1</f>
        <v>44865</v>
      </c>
      <c r="C162">
        <f t="shared" si="3"/>
        <v>10</v>
      </c>
      <c r="D162">
        <f t="shared" si="4"/>
        <v>2022</v>
      </c>
      <c r="E162" t="s">
        <v>80</v>
      </c>
      <c r="F162" t="str">
        <f>SUBSTITUTE(Tab_Calculs[[#This Row],[Compteur]]," ","_")</f>
        <v>Compteur_1</v>
      </c>
      <c r="G162" t="str">
        <f>T(INDEX(Site!$B$33:$G$40, MATCH(Tab_Calculs[[#This Row],[Compteur]], Site!$B$33:$B$40,0),2))</f>
        <v/>
      </c>
      <c r="H162" s="3">
        <f t="array" aca="1" ref="H162" ca="1">MIN(IF(INDIRECT(CONCATENATE(Tab_Calculs[[#This Row],[Colonne1]],"!$B$2:$B$243"))&gt;=Calculs_Consos!$A162,INDIRECT(CONCATENATE(Tab_Calculs[[#This Row],[Colonne1]],"!$B$2:$B$243"))))</f>
        <v>0</v>
      </c>
      <c r="I162" s="3">
        <f ca="1">INDEX(INDIRECT(CONCATENATE("Tab_",Tab_Calculs[[#This Row],[Colonne1]])),Tab_Calculs[[#This Row],[index_date_livraison]],1)</f>
        <v>0</v>
      </c>
      <c r="J162">
        <f ca="1">MATCH(Tab_Calculs[[#This Row],[Date_livraison]],INDIRECT(CONCATENATE("Tab_",Tab_Calculs[[#This Row],[Colonne1]],"[Fin de période]")),0)</f>
        <v>1</v>
      </c>
      <c r="K162" t="e">
        <f ca="1">INDEX(INDIRECT(CONCATENATE("Tab_",Tab_Calculs[[#This Row],[Colonne1]])),Tab_Calculs[[#This Row],[index_date_livraison]]-1,6)*(MAX(Tab_Calculs[[#This Row],[Début periode livraison]],Tab_Calculs[[#This Row],[Début mois]])-Tab_Calculs[[#This Row],[Début mois]])</f>
        <v>#VALUE!</v>
      </c>
      <c r="L162" s="94">
        <f ca="1">INDEX(INDIRECT(CONCATENATE("Tab_",Tab_Calculs[[#This Row],[Colonne1]])),Tab_Calculs[[#This Row],[index_date_livraison]],6)*(1+MIN(Tab_Calculs[[#This Row],[Date_livraison]],Tab_Calculs[[#This Row],[fin mois]])-MAX(Tab_Calculs[[#This Row],[Début mois]],Tab_Calculs[[#This Row],[Début periode livraison]]))</f>
        <v>0</v>
      </c>
      <c r="M162" s="94" t="e">
        <f ca="1">INDEX(INDIRECT(CONCATENATE("Tab_",Tab_Calculs[[#This Row],[Colonne1]])),Tab_Calculs[[#This Row],[index_date_livraison]]+1,6)*(Tab_Calculs[[#This Row],[fin mois]]-MIN(Tab_Calculs[[#This Row],[fin mois]],Tab_Calculs[[#This Row],[Date_livraison]]))</f>
        <v>#VALUE!</v>
      </c>
      <c r="N162" s="231" t="str">
        <f ca="1">IFERROR(Tab_Calculs[[#This Row],[Ratio_jour_après_livr]]+Tab_Calculs[[#This Row],[Ratio_jour_avant_livr]]+Tab_Calculs[[#This Row],[ratio_avant_debut]],"")</f>
        <v/>
      </c>
      <c r="O162" t="e">
        <f ca="1">INDEX(INDIRECT(CONCATENATE("Tab_",Tab_Calculs[[#This Row],[Colonne1]])),Tab_Calculs[[#This Row],[index_date_livraison]]-1,7)*(MAX(Tab_Calculs[[#This Row],[Début periode livraison]],Tab_Calculs[[#This Row],[Début mois]])-Tab_Calculs[[#This Row],[Début mois]])</f>
        <v>#VALUE!</v>
      </c>
      <c r="P162">
        <f ca="1">INDEX(INDIRECT(CONCATENATE("Tab_",Tab_Calculs[[#This Row],[Colonne1]])),Tab_Calculs[[#This Row],[index_date_livraison]],7)*(1+MIN(Tab_Calculs[[#This Row],[Date_livraison]],Tab_Calculs[[#This Row],[fin mois]])-MAX(Tab_Calculs[[#This Row],[Début mois]],Tab_Calculs[[#This Row],[Début periode livraison]]))</f>
        <v>0</v>
      </c>
      <c r="Q162" t="e">
        <f ca="1">INDEX(INDIRECT(CONCATENATE("Tab_",Tab_Calculs[[#This Row],[Colonne1]])),Tab_Calculs[[#This Row],[index_date_livraison]]+1,7)*(Tab_Calculs[[#This Row],[fin mois]]-MIN(Tab_Calculs[[#This Row],[fin mois]],Tab_Calculs[[#This Row],[Date_livraison]]))</f>
        <v>#VALUE!</v>
      </c>
      <c r="R162" t="e">
        <f ca="1">Tab_Calculs[[#This Row],[Ratio_Cout_après_livr]]+Tab_Calculs[[#This Row],[Ratio_Cout_avant_livr]]+Tab_Calculs[[#This Row],[Ratio_Cout_avant_debut]]</f>
        <v>#VALUE!</v>
      </c>
      <c r="S162" t="str">
        <f ca="1">IFERROR(N162*VLOOKUP(Tab_Calculs[[#This Row],[Colonne1]],Controle_des_données!$B$7:$G$14,6,FALSE),"")</f>
        <v/>
      </c>
      <c r="T162" t="str">
        <f ca="1">IF(Tab_Calculs[[#This Row],[Combustible ]]="Electricité (kWh)",Tab_Calculs[[#This Row],[Conso_mois_kWh]]*2.3,Tab_Calculs[[#This Row],[Conso_mois_kWh]])</f>
        <v/>
      </c>
      <c r="U162" t="str">
        <f ca="1">IFERROR(N162*VLOOKUP(Tab_Calculs[[#This Row],[Colonne1]],Controle_des_données!$B$7:$H$14,7,FALSE),"")</f>
        <v/>
      </c>
      <c r="V162">
        <f ca="1">IFERROR(Tab_Calculs[[#This Row],[Cout_mois]]/Tab_Calculs[[#This Row],[Conso_mois_kWh]],0)</f>
        <v>0</v>
      </c>
      <c r="W162" t="str">
        <f>T(VLOOKUP(Tab_Calculs[[#This Row],[Compteur]],Site!$B$33:$G$40,3,FALSE))</f>
        <v/>
      </c>
      <c r="X162" t="str">
        <f>T(VLOOKUP(Tab_Calculs[[#This Row],[Compteur]],Site!$B$33:$G$40,4,FALSE))</f>
        <v/>
      </c>
      <c r="Y162" t="str">
        <f>T(VLOOKUP(Tab_Calculs[[#This Row],[Compteur]],Site!$B$33:$G$40,5,FALSE))</f>
        <v/>
      </c>
      <c r="Z162" t="str">
        <f>T(VLOOKUP(Tab_Calculs[[#This Row],[Compteur]],Site!$B$33:$G$40,6,FALSE))</f>
        <v/>
      </c>
      <c r="AA162">
        <f>IFERROR(GETPIVOTDATA("DJU(chauffagiste)",BDD_DJU!$P$13,"annee",Tab_Calculs[[#This Row],[ANNEE]],"mois_numero",Tab_Calculs[[#This Row],[MOIS]]),0)</f>
        <v>73</v>
      </c>
    </row>
    <row r="163" spans="1:27" x14ac:dyDescent="0.25">
      <c r="A163" s="3">
        <f>DATE(Tab_Calculs[[#This Row],[ANNEE]],Tab_Calculs[[#This Row],[MOIS]],1)</f>
        <v>44866</v>
      </c>
      <c r="B163" s="3">
        <f>EDATE(Tab_Calculs[[#This Row],[Début mois]],1)-1</f>
        <v>44895</v>
      </c>
      <c r="C163">
        <f t="shared" si="3"/>
        <v>11</v>
      </c>
      <c r="D163">
        <f t="shared" si="4"/>
        <v>2022</v>
      </c>
      <c r="E163" t="s">
        <v>80</v>
      </c>
      <c r="F163" t="str">
        <f>SUBSTITUTE(Tab_Calculs[[#This Row],[Compteur]]," ","_")</f>
        <v>Compteur_1</v>
      </c>
      <c r="G163" t="str">
        <f>T(INDEX(Site!$B$33:$G$40, MATCH(Tab_Calculs[[#This Row],[Compteur]], Site!$B$33:$B$40,0),2))</f>
        <v/>
      </c>
      <c r="H163" s="3">
        <f t="array" aca="1" ref="H163" ca="1">MIN(IF(INDIRECT(CONCATENATE(Tab_Calculs[[#This Row],[Colonne1]],"!$B$2:$B$243"))&gt;=Calculs_Consos!$A163,INDIRECT(CONCATENATE(Tab_Calculs[[#This Row],[Colonne1]],"!$B$2:$B$243"))))</f>
        <v>0</v>
      </c>
      <c r="I163" s="3">
        <f ca="1">INDEX(INDIRECT(CONCATENATE("Tab_",Tab_Calculs[[#This Row],[Colonne1]])),Tab_Calculs[[#This Row],[index_date_livraison]],1)</f>
        <v>0</v>
      </c>
      <c r="J163">
        <f ca="1">MATCH(Tab_Calculs[[#This Row],[Date_livraison]],INDIRECT(CONCATENATE("Tab_",Tab_Calculs[[#This Row],[Colonne1]],"[Fin de période]")),0)</f>
        <v>1</v>
      </c>
      <c r="K163" t="e">
        <f ca="1">INDEX(INDIRECT(CONCATENATE("Tab_",Tab_Calculs[[#This Row],[Colonne1]])),Tab_Calculs[[#This Row],[index_date_livraison]]-1,6)*(MAX(Tab_Calculs[[#This Row],[Début periode livraison]],Tab_Calculs[[#This Row],[Début mois]])-Tab_Calculs[[#This Row],[Début mois]])</f>
        <v>#VALUE!</v>
      </c>
      <c r="L163" s="94">
        <f ca="1">INDEX(INDIRECT(CONCATENATE("Tab_",Tab_Calculs[[#This Row],[Colonne1]])),Tab_Calculs[[#This Row],[index_date_livraison]],6)*(1+MIN(Tab_Calculs[[#This Row],[Date_livraison]],Tab_Calculs[[#This Row],[fin mois]])-MAX(Tab_Calculs[[#This Row],[Début mois]],Tab_Calculs[[#This Row],[Début periode livraison]]))</f>
        <v>0</v>
      </c>
      <c r="M163" s="94" t="e">
        <f ca="1">INDEX(INDIRECT(CONCATENATE("Tab_",Tab_Calculs[[#This Row],[Colonne1]])),Tab_Calculs[[#This Row],[index_date_livraison]]+1,6)*(Tab_Calculs[[#This Row],[fin mois]]-MIN(Tab_Calculs[[#This Row],[fin mois]],Tab_Calculs[[#This Row],[Date_livraison]]))</f>
        <v>#VALUE!</v>
      </c>
      <c r="N163" s="231" t="str">
        <f ca="1">IFERROR(Tab_Calculs[[#This Row],[Ratio_jour_après_livr]]+Tab_Calculs[[#This Row],[Ratio_jour_avant_livr]]+Tab_Calculs[[#This Row],[ratio_avant_debut]],"")</f>
        <v/>
      </c>
      <c r="O163" t="e">
        <f ca="1">INDEX(INDIRECT(CONCATENATE("Tab_",Tab_Calculs[[#This Row],[Colonne1]])),Tab_Calculs[[#This Row],[index_date_livraison]]-1,7)*(MAX(Tab_Calculs[[#This Row],[Début periode livraison]],Tab_Calculs[[#This Row],[Début mois]])-Tab_Calculs[[#This Row],[Début mois]])</f>
        <v>#VALUE!</v>
      </c>
      <c r="P163">
        <f ca="1">INDEX(INDIRECT(CONCATENATE("Tab_",Tab_Calculs[[#This Row],[Colonne1]])),Tab_Calculs[[#This Row],[index_date_livraison]],7)*(1+MIN(Tab_Calculs[[#This Row],[Date_livraison]],Tab_Calculs[[#This Row],[fin mois]])-MAX(Tab_Calculs[[#This Row],[Début mois]],Tab_Calculs[[#This Row],[Début periode livraison]]))</f>
        <v>0</v>
      </c>
      <c r="Q163" t="e">
        <f ca="1">INDEX(INDIRECT(CONCATENATE("Tab_",Tab_Calculs[[#This Row],[Colonne1]])),Tab_Calculs[[#This Row],[index_date_livraison]]+1,7)*(Tab_Calculs[[#This Row],[fin mois]]-MIN(Tab_Calculs[[#This Row],[fin mois]],Tab_Calculs[[#This Row],[Date_livraison]]))</f>
        <v>#VALUE!</v>
      </c>
      <c r="R163" t="e">
        <f ca="1">Tab_Calculs[[#This Row],[Ratio_Cout_après_livr]]+Tab_Calculs[[#This Row],[Ratio_Cout_avant_livr]]+Tab_Calculs[[#This Row],[Ratio_Cout_avant_debut]]</f>
        <v>#VALUE!</v>
      </c>
      <c r="S163" t="str">
        <f ca="1">IFERROR(N163*VLOOKUP(Tab_Calculs[[#This Row],[Colonne1]],Controle_des_données!$B$7:$G$14,6,FALSE),"")</f>
        <v/>
      </c>
      <c r="T163" t="str">
        <f ca="1">IF(Tab_Calculs[[#This Row],[Combustible ]]="Electricité (kWh)",Tab_Calculs[[#This Row],[Conso_mois_kWh]]*2.3,Tab_Calculs[[#This Row],[Conso_mois_kWh]])</f>
        <v/>
      </c>
      <c r="U163" t="str">
        <f ca="1">IFERROR(N163*VLOOKUP(Tab_Calculs[[#This Row],[Colonne1]],Controle_des_données!$B$7:$H$14,7,FALSE),"")</f>
        <v/>
      </c>
      <c r="V163">
        <f ca="1">IFERROR(Tab_Calculs[[#This Row],[Cout_mois]]/Tab_Calculs[[#This Row],[Conso_mois_kWh]],0)</f>
        <v>0</v>
      </c>
      <c r="W163" t="str">
        <f>T(VLOOKUP(Tab_Calculs[[#This Row],[Compteur]],Site!$B$33:$G$40,3,FALSE))</f>
        <v/>
      </c>
      <c r="X163" t="str">
        <f>T(VLOOKUP(Tab_Calculs[[#This Row],[Compteur]],Site!$B$33:$G$40,4,FALSE))</f>
        <v/>
      </c>
      <c r="Y163" t="str">
        <f>T(VLOOKUP(Tab_Calculs[[#This Row],[Compteur]],Site!$B$33:$G$40,5,FALSE))</f>
        <v/>
      </c>
      <c r="Z163" t="str">
        <f>T(VLOOKUP(Tab_Calculs[[#This Row],[Compteur]],Site!$B$33:$G$40,6,FALSE))</f>
        <v/>
      </c>
      <c r="AA163">
        <f>IFERROR(GETPIVOTDATA("DJU(chauffagiste)",BDD_DJU!$P$13,"annee",Tab_Calculs[[#This Row],[ANNEE]],"mois_numero",Tab_Calculs[[#This Row],[MOIS]]),0)</f>
        <v>227.5</v>
      </c>
    </row>
    <row r="164" spans="1:27" x14ac:dyDescent="0.25">
      <c r="A164" s="3">
        <f>DATE(Tab_Calculs[[#This Row],[ANNEE]],Tab_Calculs[[#This Row],[MOIS]],1)</f>
        <v>44896</v>
      </c>
      <c r="B164" s="3">
        <f>EDATE(Tab_Calculs[[#This Row],[Début mois]],1)-1</f>
        <v>44926</v>
      </c>
      <c r="C164">
        <f t="shared" si="3"/>
        <v>12</v>
      </c>
      <c r="D164">
        <f t="shared" si="4"/>
        <v>2022</v>
      </c>
      <c r="E164" t="s">
        <v>80</v>
      </c>
      <c r="F164" t="str">
        <f>SUBSTITUTE(Tab_Calculs[[#This Row],[Compteur]]," ","_")</f>
        <v>Compteur_1</v>
      </c>
      <c r="G164" t="str">
        <f>T(INDEX(Site!$B$33:$G$40, MATCH(Tab_Calculs[[#This Row],[Compteur]], Site!$B$33:$B$40,0),2))</f>
        <v/>
      </c>
      <c r="H164" s="3">
        <f t="array" aca="1" ref="H164" ca="1">MIN(IF(INDIRECT(CONCATENATE(Tab_Calculs[[#This Row],[Colonne1]],"!$B$2:$B$243"))&gt;=Calculs_Consos!$A164,INDIRECT(CONCATENATE(Tab_Calculs[[#This Row],[Colonne1]],"!$B$2:$B$243"))))</f>
        <v>0</v>
      </c>
      <c r="I164" s="3">
        <f ca="1">INDEX(INDIRECT(CONCATENATE("Tab_",Tab_Calculs[[#This Row],[Colonne1]])),Tab_Calculs[[#This Row],[index_date_livraison]],1)</f>
        <v>0</v>
      </c>
      <c r="J164">
        <f ca="1">MATCH(Tab_Calculs[[#This Row],[Date_livraison]],INDIRECT(CONCATENATE("Tab_",Tab_Calculs[[#This Row],[Colonne1]],"[Fin de période]")),0)</f>
        <v>1</v>
      </c>
      <c r="K164" t="e">
        <f ca="1">INDEX(INDIRECT(CONCATENATE("Tab_",Tab_Calculs[[#This Row],[Colonne1]])),Tab_Calculs[[#This Row],[index_date_livraison]]-1,6)*(MAX(Tab_Calculs[[#This Row],[Début periode livraison]],Tab_Calculs[[#This Row],[Début mois]])-Tab_Calculs[[#This Row],[Début mois]])</f>
        <v>#VALUE!</v>
      </c>
      <c r="L164" s="94">
        <f ca="1">INDEX(INDIRECT(CONCATENATE("Tab_",Tab_Calculs[[#This Row],[Colonne1]])),Tab_Calculs[[#This Row],[index_date_livraison]],6)*(1+MIN(Tab_Calculs[[#This Row],[Date_livraison]],Tab_Calculs[[#This Row],[fin mois]])-MAX(Tab_Calculs[[#This Row],[Début mois]],Tab_Calculs[[#This Row],[Début periode livraison]]))</f>
        <v>0</v>
      </c>
      <c r="M164" s="94" t="e">
        <f ca="1">INDEX(INDIRECT(CONCATENATE("Tab_",Tab_Calculs[[#This Row],[Colonne1]])),Tab_Calculs[[#This Row],[index_date_livraison]]+1,6)*(Tab_Calculs[[#This Row],[fin mois]]-MIN(Tab_Calculs[[#This Row],[fin mois]],Tab_Calculs[[#This Row],[Date_livraison]]))</f>
        <v>#VALUE!</v>
      </c>
      <c r="N164" s="231" t="str">
        <f ca="1">IFERROR(Tab_Calculs[[#This Row],[Ratio_jour_après_livr]]+Tab_Calculs[[#This Row],[Ratio_jour_avant_livr]]+Tab_Calculs[[#This Row],[ratio_avant_debut]],"")</f>
        <v/>
      </c>
      <c r="O164" t="e">
        <f ca="1">INDEX(INDIRECT(CONCATENATE("Tab_",Tab_Calculs[[#This Row],[Colonne1]])),Tab_Calculs[[#This Row],[index_date_livraison]]-1,7)*(MAX(Tab_Calculs[[#This Row],[Début periode livraison]],Tab_Calculs[[#This Row],[Début mois]])-Tab_Calculs[[#This Row],[Début mois]])</f>
        <v>#VALUE!</v>
      </c>
      <c r="P164">
        <f ca="1">INDEX(INDIRECT(CONCATENATE("Tab_",Tab_Calculs[[#This Row],[Colonne1]])),Tab_Calculs[[#This Row],[index_date_livraison]],7)*(1+MIN(Tab_Calculs[[#This Row],[Date_livraison]],Tab_Calculs[[#This Row],[fin mois]])-MAX(Tab_Calculs[[#This Row],[Début mois]],Tab_Calculs[[#This Row],[Début periode livraison]]))</f>
        <v>0</v>
      </c>
      <c r="Q164" t="e">
        <f ca="1">INDEX(INDIRECT(CONCATENATE("Tab_",Tab_Calculs[[#This Row],[Colonne1]])),Tab_Calculs[[#This Row],[index_date_livraison]]+1,7)*(Tab_Calculs[[#This Row],[fin mois]]-MIN(Tab_Calculs[[#This Row],[fin mois]],Tab_Calculs[[#This Row],[Date_livraison]]))</f>
        <v>#VALUE!</v>
      </c>
      <c r="R164" t="e">
        <f ca="1">Tab_Calculs[[#This Row],[Ratio_Cout_après_livr]]+Tab_Calculs[[#This Row],[Ratio_Cout_avant_livr]]+Tab_Calculs[[#This Row],[Ratio_Cout_avant_debut]]</f>
        <v>#VALUE!</v>
      </c>
      <c r="S164" t="str">
        <f ca="1">IFERROR(N164*VLOOKUP(Tab_Calculs[[#This Row],[Colonne1]],Controle_des_données!$B$7:$G$14,6,FALSE),"")</f>
        <v/>
      </c>
      <c r="T164" t="str">
        <f ca="1">IF(Tab_Calculs[[#This Row],[Combustible ]]="Electricité (kWh)",Tab_Calculs[[#This Row],[Conso_mois_kWh]]*2.3,Tab_Calculs[[#This Row],[Conso_mois_kWh]])</f>
        <v/>
      </c>
      <c r="U164" t="str">
        <f ca="1">IFERROR(N164*VLOOKUP(Tab_Calculs[[#This Row],[Colonne1]],Controle_des_données!$B$7:$H$14,7,FALSE),"")</f>
        <v/>
      </c>
      <c r="V164">
        <f ca="1">IFERROR(Tab_Calculs[[#This Row],[Cout_mois]]/Tab_Calculs[[#This Row],[Conso_mois_kWh]],0)</f>
        <v>0</v>
      </c>
      <c r="W164" t="str">
        <f>T(VLOOKUP(Tab_Calculs[[#This Row],[Compteur]],Site!$B$33:$G$40,3,FALSE))</f>
        <v/>
      </c>
      <c r="X164" t="str">
        <f>T(VLOOKUP(Tab_Calculs[[#This Row],[Compteur]],Site!$B$33:$G$40,4,FALSE))</f>
        <v/>
      </c>
      <c r="Y164" t="str">
        <f>T(VLOOKUP(Tab_Calculs[[#This Row],[Compteur]],Site!$B$33:$G$40,5,FALSE))</f>
        <v/>
      </c>
      <c r="Z164" t="str">
        <f>T(VLOOKUP(Tab_Calculs[[#This Row],[Compteur]],Site!$B$33:$G$40,6,FALSE))</f>
        <v/>
      </c>
      <c r="AA164">
        <f>IFERROR(GETPIVOTDATA("DJU(chauffagiste)",BDD_DJU!$P$13,"annee",Tab_Calculs[[#This Row],[ANNEE]],"mois_numero",Tab_Calculs[[#This Row],[MOIS]]),0)</f>
        <v>380.8</v>
      </c>
    </row>
    <row r="165" spans="1:27" x14ac:dyDescent="0.25">
      <c r="A165" s="3">
        <f>DATE(Tab_Calculs[[#This Row],[ANNEE]],Tab_Calculs[[#This Row],[MOIS]],1)</f>
        <v>44927</v>
      </c>
      <c r="B165" s="3">
        <f>EDATE(Tab_Calculs[[#This Row],[Début mois]],1)-1</f>
        <v>44957</v>
      </c>
      <c r="C165">
        <f t="shared" si="3"/>
        <v>1</v>
      </c>
      <c r="D165">
        <f t="shared" si="4"/>
        <v>2023</v>
      </c>
      <c r="E165" t="s">
        <v>80</v>
      </c>
      <c r="F165" t="str">
        <f>SUBSTITUTE(Tab_Calculs[[#This Row],[Compteur]]," ","_")</f>
        <v>Compteur_1</v>
      </c>
      <c r="G165" t="str">
        <f>T(INDEX(Site!$B$33:$G$40, MATCH(Tab_Calculs[[#This Row],[Compteur]], Site!$B$33:$B$40,0),2))</f>
        <v/>
      </c>
      <c r="H165" s="3">
        <f t="array" aca="1" ref="H165" ca="1">MIN(IF(INDIRECT(CONCATENATE(Tab_Calculs[[#This Row],[Colonne1]],"!$B$2:$B$243"))&gt;=Calculs_Consos!$A165,INDIRECT(CONCATENATE(Tab_Calculs[[#This Row],[Colonne1]],"!$B$2:$B$243"))))</f>
        <v>0</v>
      </c>
      <c r="I165" s="3">
        <f ca="1">INDEX(INDIRECT(CONCATENATE("Tab_",Tab_Calculs[[#This Row],[Colonne1]])),Tab_Calculs[[#This Row],[index_date_livraison]],1)</f>
        <v>0</v>
      </c>
      <c r="J165">
        <f ca="1">MATCH(Tab_Calculs[[#This Row],[Date_livraison]],INDIRECT(CONCATENATE("Tab_",Tab_Calculs[[#This Row],[Colonne1]],"[Fin de période]")),0)</f>
        <v>1</v>
      </c>
      <c r="K165" t="e">
        <f ca="1">INDEX(INDIRECT(CONCATENATE("Tab_",Tab_Calculs[[#This Row],[Colonne1]])),Tab_Calculs[[#This Row],[index_date_livraison]]-1,6)*(MAX(Tab_Calculs[[#This Row],[Début periode livraison]],Tab_Calculs[[#This Row],[Début mois]])-Tab_Calculs[[#This Row],[Début mois]])</f>
        <v>#VALUE!</v>
      </c>
      <c r="L165" s="94">
        <f ca="1">INDEX(INDIRECT(CONCATENATE("Tab_",Tab_Calculs[[#This Row],[Colonne1]])),Tab_Calculs[[#This Row],[index_date_livraison]],6)*(1+MIN(Tab_Calculs[[#This Row],[Date_livraison]],Tab_Calculs[[#This Row],[fin mois]])-MAX(Tab_Calculs[[#This Row],[Début mois]],Tab_Calculs[[#This Row],[Début periode livraison]]))</f>
        <v>0</v>
      </c>
      <c r="M165" s="94" t="e">
        <f ca="1">INDEX(INDIRECT(CONCATENATE("Tab_",Tab_Calculs[[#This Row],[Colonne1]])),Tab_Calculs[[#This Row],[index_date_livraison]]+1,6)*(Tab_Calculs[[#This Row],[fin mois]]-MIN(Tab_Calculs[[#This Row],[fin mois]],Tab_Calculs[[#This Row],[Date_livraison]]))</f>
        <v>#VALUE!</v>
      </c>
      <c r="N165" s="231" t="str">
        <f ca="1">IFERROR(Tab_Calculs[[#This Row],[Ratio_jour_après_livr]]+Tab_Calculs[[#This Row],[Ratio_jour_avant_livr]]+Tab_Calculs[[#This Row],[ratio_avant_debut]],"")</f>
        <v/>
      </c>
      <c r="O165" t="e">
        <f ca="1">INDEX(INDIRECT(CONCATENATE("Tab_",Tab_Calculs[[#This Row],[Colonne1]])),Tab_Calculs[[#This Row],[index_date_livraison]]-1,7)*(MAX(Tab_Calculs[[#This Row],[Début periode livraison]],Tab_Calculs[[#This Row],[Début mois]])-Tab_Calculs[[#This Row],[Début mois]])</f>
        <v>#VALUE!</v>
      </c>
      <c r="P165">
        <f ca="1">INDEX(INDIRECT(CONCATENATE("Tab_",Tab_Calculs[[#This Row],[Colonne1]])),Tab_Calculs[[#This Row],[index_date_livraison]],7)*(1+MIN(Tab_Calculs[[#This Row],[Date_livraison]],Tab_Calculs[[#This Row],[fin mois]])-MAX(Tab_Calculs[[#This Row],[Début mois]],Tab_Calculs[[#This Row],[Début periode livraison]]))</f>
        <v>0</v>
      </c>
      <c r="Q165" t="e">
        <f ca="1">INDEX(INDIRECT(CONCATENATE("Tab_",Tab_Calculs[[#This Row],[Colonne1]])),Tab_Calculs[[#This Row],[index_date_livraison]]+1,7)*(Tab_Calculs[[#This Row],[fin mois]]-MIN(Tab_Calculs[[#This Row],[fin mois]],Tab_Calculs[[#This Row],[Date_livraison]]))</f>
        <v>#VALUE!</v>
      </c>
      <c r="R165" t="e">
        <f ca="1">Tab_Calculs[[#This Row],[Ratio_Cout_après_livr]]+Tab_Calculs[[#This Row],[Ratio_Cout_avant_livr]]+Tab_Calculs[[#This Row],[Ratio_Cout_avant_debut]]</f>
        <v>#VALUE!</v>
      </c>
      <c r="S165" t="str">
        <f ca="1">IFERROR(N165*VLOOKUP(Tab_Calculs[[#This Row],[Colonne1]],Controle_des_données!$B$7:$G$14,6,FALSE),"")</f>
        <v/>
      </c>
      <c r="T165" t="str">
        <f ca="1">IF(Tab_Calculs[[#This Row],[Combustible ]]="Electricité (kWh)",Tab_Calculs[[#This Row],[Conso_mois_kWh]]*2.3,Tab_Calculs[[#This Row],[Conso_mois_kWh]])</f>
        <v/>
      </c>
      <c r="U165" t="str">
        <f ca="1">IFERROR(N165*VLOOKUP(Tab_Calculs[[#This Row],[Colonne1]],Controle_des_données!$B$7:$H$14,7,FALSE),"")</f>
        <v/>
      </c>
      <c r="V165">
        <f ca="1">IFERROR(Tab_Calculs[[#This Row],[Cout_mois]]/Tab_Calculs[[#This Row],[Conso_mois_kWh]],0)</f>
        <v>0</v>
      </c>
      <c r="W165" t="str">
        <f>T(VLOOKUP(Tab_Calculs[[#This Row],[Compteur]],Site!$B$33:$G$40,3,FALSE))</f>
        <v/>
      </c>
      <c r="X165" t="str">
        <f>T(VLOOKUP(Tab_Calculs[[#This Row],[Compteur]],Site!$B$33:$G$40,4,FALSE))</f>
        <v/>
      </c>
      <c r="Y165" t="str">
        <f>T(VLOOKUP(Tab_Calculs[[#This Row],[Compteur]],Site!$B$33:$G$40,5,FALSE))</f>
        <v/>
      </c>
      <c r="Z165" t="str">
        <f>T(VLOOKUP(Tab_Calculs[[#This Row],[Compteur]],Site!$B$33:$G$40,6,FALSE))</f>
        <v/>
      </c>
      <c r="AA165">
        <f>IFERROR(GETPIVOTDATA("DJU(chauffagiste)",BDD_DJU!$P$13,"annee",Tab_Calculs[[#This Row],[ANNEE]],"mois_numero",Tab_Calculs[[#This Row],[MOIS]]),0)</f>
        <v>356.1</v>
      </c>
    </row>
    <row r="166" spans="1:27" x14ac:dyDescent="0.25">
      <c r="A166" s="3">
        <f>DATE(Tab_Calculs[[#This Row],[ANNEE]],Tab_Calculs[[#This Row],[MOIS]],1)</f>
        <v>44958</v>
      </c>
      <c r="B166" s="3">
        <f>EDATE(Tab_Calculs[[#This Row],[Début mois]],1)-1</f>
        <v>44985</v>
      </c>
      <c r="C166">
        <f t="shared" si="3"/>
        <v>2</v>
      </c>
      <c r="D166">
        <f>D154+1</f>
        <v>2023</v>
      </c>
      <c r="E166" t="s">
        <v>80</v>
      </c>
      <c r="F166" t="str">
        <f>SUBSTITUTE(Tab_Calculs[[#This Row],[Compteur]]," ","_")</f>
        <v>Compteur_1</v>
      </c>
      <c r="G166" t="str">
        <f>T(INDEX(Site!$B$33:$G$40, MATCH(Tab_Calculs[[#This Row],[Compteur]], Site!$B$33:$B$40,0),2))</f>
        <v/>
      </c>
      <c r="H166" s="3">
        <f t="array" aca="1" ref="H166" ca="1">MIN(IF(INDIRECT(CONCATENATE(Tab_Calculs[[#This Row],[Colonne1]],"!$B$2:$B$243"))&gt;=Calculs_Consos!$A166,INDIRECT(CONCATENATE(Tab_Calculs[[#This Row],[Colonne1]],"!$B$2:$B$243"))))</f>
        <v>0</v>
      </c>
      <c r="I166" s="3">
        <f ca="1">INDEX(INDIRECT(CONCATENATE("Tab_",Tab_Calculs[[#This Row],[Colonne1]])),Tab_Calculs[[#This Row],[index_date_livraison]],1)</f>
        <v>0</v>
      </c>
      <c r="J166">
        <f ca="1">MATCH(Tab_Calculs[[#This Row],[Date_livraison]],INDIRECT(CONCATENATE("Tab_",Tab_Calculs[[#This Row],[Colonne1]],"[Fin de période]")),0)</f>
        <v>1</v>
      </c>
      <c r="K166" t="e">
        <f ca="1">INDEX(INDIRECT(CONCATENATE("Tab_",Tab_Calculs[[#This Row],[Colonne1]])),Tab_Calculs[[#This Row],[index_date_livraison]]-1,6)*(MAX(Tab_Calculs[[#This Row],[Début periode livraison]],Tab_Calculs[[#This Row],[Début mois]])-Tab_Calculs[[#This Row],[Début mois]])</f>
        <v>#VALUE!</v>
      </c>
      <c r="L166" s="94">
        <f ca="1">INDEX(INDIRECT(CONCATENATE("Tab_",Tab_Calculs[[#This Row],[Colonne1]])),Tab_Calculs[[#This Row],[index_date_livraison]],6)*(1+MIN(Tab_Calculs[[#This Row],[Date_livraison]],Tab_Calculs[[#This Row],[fin mois]])-MAX(Tab_Calculs[[#This Row],[Début mois]],Tab_Calculs[[#This Row],[Début periode livraison]]))</f>
        <v>0</v>
      </c>
      <c r="M166" s="94" t="e">
        <f ca="1">INDEX(INDIRECT(CONCATENATE("Tab_",Tab_Calculs[[#This Row],[Colonne1]])),Tab_Calculs[[#This Row],[index_date_livraison]]+1,6)*(Tab_Calculs[[#This Row],[fin mois]]-MIN(Tab_Calculs[[#This Row],[fin mois]],Tab_Calculs[[#This Row],[Date_livraison]]))</f>
        <v>#VALUE!</v>
      </c>
      <c r="N166" s="231" t="str">
        <f ca="1">IFERROR(Tab_Calculs[[#This Row],[Ratio_jour_après_livr]]+Tab_Calculs[[#This Row],[Ratio_jour_avant_livr]]+Tab_Calculs[[#This Row],[ratio_avant_debut]],"")</f>
        <v/>
      </c>
      <c r="O166" t="e">
        <f ca="1">INDEX(INDIRECT(CONCATENATE("Tab_",Tab_Calculs[[#This Row],[Colonne1]])),Tab_Calculs[[#This Row],[index_date_livraison]]-1,7)*(MAX(Tab_Calculs[[#This Row],[Début periode livraison]],Tab_Calculs[[#This Row],[Début mois]])-Tab_Calculs[[#This Row],[Début mois]])</f>
        <v>#VALUE!</v>
      </c>
      <c r="P166">
        <f ca="1">INDEX(INDIRECT(CONCATENATE("Tab_",Tab_Calculs[[#This Row],[Colonne1]])),Tab_Calculs[[#This Row],[index_date_livraison]],7)*(1+MIN(Tab_Calculs[[#This Row],[Date_livraison]],Tab_Calculs[[#This Row],[fin mois]])-MAX(Tab_Calculs[[#This Row],[Début mois]],Tab_Calculs[[#This Row],[Début periode livraison]]))</f>
        <v>0</v>
      </c>
      <c r="Q166" t="e">
        <f ca="1">INDEX(INDIRECT(CONCATENATE("Tab_",Tab_Calculs[[#This Row],[Colonne1]])),Tab_Calculs[[#This Row],[index_date_livraison]]+1,7)*(Tab_Calculs[[#This Row],[fin mois]]-MIN(Tab_Calculs[[#This Row],[fin mois]],Tab_Calculs[[#This Row],[Date_livraison]]))</f>
        <v>#VALUE!</v>
      </c>
      <c r="R166" t="e">
        <f ca="1">Tab_Calculs[[#This Row],[Ratio_Cout_après_livr]]+Tab_Calculs[[#This Row],[Ratio_Cout_avant_livr]]+Tab_Calculs[[#This Row],[Ratio_Cout_avant_debut]]</f>
        <v>#VALUE!</v>
      </c>
      <c r="S166" t="str">
        <f ca="1">IFERROR(N166*VLOOKUP(Tab_Calculs[[#This Row],[Colonne1]],Controle_des_données!$B$7:$G$14,6,FALSE),"")</f>
        <v/>
      </c>
      <c r="T166" t="str">
        <f ca="1">IF(Tab_Calculs[[#This Row],[Combustible ]]="Electricité (kWh)",Tab_Calculs[[#This Row],[Conso_mois_kWh]]*2.3,Tab_Calculs[[#This Row],[Conso_mois_kWh]])</f>
        <v/>
      </c>
      <c r="U166" t="str">
        <f ca="1">IFERROR(N166*VLOOKUP(Tab_Calculs[[#This Row],[Colonne1]],Controle_des_données!$B$7:$H$14,7,FALSE),"")</f>
        <v/>
      </c>
      <c r="V166">
        <f ca="1">IFERROR(Tab_Calculs[[#This Row],[Cout_mois]]/Tab_Calculs[[#This Row],[Conso_mois_kWh]],0)</f>
        <v>0</v>
      </c>
      <c r="W166" t="str">
        <f>T(VLOOKUP(Tab_Calculs[[#This Row],[Compteur]],Site!$B$33:$G$40,3,FALSE))</f>
        <v/>
      </c>
      <c r="X166" t="str">
        <f>T(VLOOKUP(Tab_Calculs[[#This Row],[Compteur]],Site!$B$33:$G$40,4,FALSE))</f>
        <v/>
      </c>
      <c r="Y166" t="str">
        <f>T(VLOOKUP(Tab_Calculs[[#This Row],[Compteur]],Site!$B$33:$G$40,5,FALSE))</f>
        <v/>
      </c>
      <c r="Z166" t="str">
        <f>T(VLOOKUP(Tab_Calculs[[#This Row],[Compteur]],Site!$B$33:$G$40,6,FALSE))</f>
        <v/>
      </c>
      <c r="AA166">
        <f>IFERROR(GETPIVOTDATA("DJU(chauffagiste)",BDD_DJU!$P$13,"annee",Tab_Calculs[[#This Row],[ANNEE]],"mois_numero",Tab_Calculs[[#This Row],[MOIS]]),0)</f>
        <v>314.10000000000002</v>
      </c>
    </row>
    <row r="167" spans="1:27" x14ac:dyDescent="0.25">
      <c r="A167" s="3">
        <f>DATE(Tab_Calculs[[#This Row],[ANNEE]],Tab_Calculs[[#This Row],[MOIS]],1)</f>
        <v>44986</v>
      </c>
      <c r="B167" s="3">
        <f>EDATE(Tab_Calculs[[#This Row],[Début mois]],1)-1</f>
        <v>45016</v>
      </c>
      <c r="C167">
        <f t="shared" si="3"/>
        <v>3</v>
      </c>
      <c r="D167">
        <f t="shared" ref="D167:D187" si="5">D155+1</f>
        <v>2023</v>
      </c>
      <c r="E167" t="s">
        <v>80</v>
      </c>
      <c r="F167" t="str">
        <f>SUBSTITUTE(Tab_Calculs[[#This Row],[Compteur]]," ","_")</f>
        <v>Compteur_1</v>
      </c>
      <c r="G167" t="str">
        <f>T(INDEX(Site!$B$33:$G$40, MATCH(Tab_Calculs[[#This Row],[Compteur]], Site!$B$33:$B$40,0),2))</f>
        <v/>
      </c>
      <c r="H167" s="3">
        <f t="array" aca="1" ref="H167" ca="1">MIN(IF(INDIRECT(CONCATENATE(Tab_Calculs[[#This Row],[Colonne1]],"!$B$2:$B$243"))&gt;=Calculs_Consos!$A167,INDIRECT(CONCATENATE(Tab_Calculs[[#This Row],[Colonne1]],"!$B$2:$B$243"))))</f>
        <v>0</v>
      </c>
      <c r="I167" s="3">
        <f ca="1">INDEX(INDIRECT(CONCATENATE("Tab_",Tab_Calculs[[#This Row],[Colonne1]])),Tab_Calculs[[#This Row],[index_date_livraison]],1)</f>
        <v>0</v>
      </c>
      <c r="J167">
        <f ca="1">MATCH(Tab_Calculs[[#This Row],[Date_livraison]],INDIRECT(CONCATENATE("Tab_",Tab_Calculs[[#This Row],[Colonne1]],"[Fin de période]")),0)</f>
        <v>1</v>
      </c>
      <c r="K167" t="e">
        <f ca="1">INDEX(INDIRECT(CONCATENATE("Tab_",Tab_Calculs[[#This Row],[Colonne1]])),Tab_Calculs[[#This Row],[index_date_livraison]]-1,6)*(MAX(Tab_Calculs[[#This Row],[Début periode livraison]],Tab_Calculs[[#This Row],[Début mois]])-Tab_Calculs[[#This Row],[Début mois]])</f>
        <v>#VALUE!</v>
      </c>
      <c r="L167" s="94">
        <f ca="1">INDEX(INDIRECT(CONCATENATE("Tab_",Tab_Calculs[[#This Row],[Colonne1]])),Tab_Calculs[[#This Row],[index_date_livraison]],6)*(1+MIN(Tab_Calculs[[#This Row],[Date_livraison]],Tab_Calculs[[#This Row],[fin mois]])-MAX(Tab_Calculs[[#This Row],[Début mois]],Tab_Calculs[[#This Row],[Début periode livraison]]))</f>
        <v>0</v>
      </c>
      <c r="M167" s="94" t="e">
        <f ca="1">INDEX(INDIRECT(CONCATENATE("Tab_",Tab_Calculs[[#This Row],[Colonne1]])),Tab_Calculs[[#This Row],[index_date_livraison]]+1,6)*(Tab_Calculs[[#This Row],[fin mois]]-MIN(Tab_Calculs[[#This Row],[fin mois]],Tab_Calculs[[#This Row],[Date_livraison]]))</f>
        <v>#VALUE!</v>
      </c>
      <c r="N167" s="231" t="str">
        <f ca="1">IFERROR(Tab_Calculs[[#This Row],[Ratio_jour_après_livr]]+Tab_Calculs[[#This Row],[Ratio_jour_avant_livr]]+Tab_Calculs[[#This Row],[ratio_avant_debut]],"")</f>
        <v/>
      </c>
      <c r="O167" t="e">
        <f ca="1">INDEX(INDIRECT(CONCATENATE("Tab_",Tab_Calculs[[#This Row],[Colonne1]])),Tab_Calculs[[#This Row],[index_date_livraison]]-1,7)*(MAX(Tab_Calculs[[#This Row],[Début periode livraison]],Tab_Calculs[[#This Row],[Début mois]])-Tab_Calculs[[#This Row],[Début mois]])</f>
        <v>#VALUE!</v>
      </c>
      <c r="P167">
        <f ca="1">INDEX(INDIRECT(CONCATENATE("Tab_",Tab_Calculs[[#This Row],[Colonne1]])),Tab_Calculs[[#This Row],[index_date_livraison]],7)*(1+MIN(Tab_Calculs[[#This Row],[Date_livraison]],Tab_Calculs[[#This Row],[fin mois]])-MAX(Tab_Calculs[[#This Row],[Début mois]],Tab_Calculs[[#This Row],[Début periode livraison]]))</f>
        <v>0</v>
      </c>
      <c r="Q167" t="e">
        <f ca="1">INDEX(INDIRECT(CONCATENATE("Tab_",Tab_Calculs[[#This Row],[Colonne1]])),Tab_Calculs[[#This Row],[index_date_livraison]]+1,7)*(Tab_Calculs[[#This Row],[fin mois]]-MIN(Tab_Calculs[[#This Row],[fin mois]],Tab_Calculs[[#This Row],[Date_livraison]]))</f>
        <v>#VALUE!</v>
      </c>
      <c r="R167" t="e">
        <f ca="1">Tab_Calculs[[#This Row],[Ratio_Cout_après_livr]]+Tab_Calculs[[#This Row],[Ratio_Cout_avant_livr]]+Tab_Calculs[[#This Row],[Ratio_Cout_avant_debut]]</f>
        <v>#VALUE!</v>
      </c>
      <c r="S167" t="str">
        <f ca="1">IFERROR(N167*VLOOKUP(Tab_Calculs[[#This Row],[Colonne1]],Controle_des_données!$B$7:$G$14,6,FALSE),"")</f>
        <v/>
      </c>
      <c r="T167" t="str">
        <f ca="1">IF(Tab_Calculs[[#This Row],[Combustible ]]="Electricité (kWh)",Tab_Calculs[[#This Row],[Conso_mois_kWh]]*2.3,Tab_Calculs[[#This Row],[Conso_mois_kWh]])</f>
        <v/>
      </c>
      <c r="U167" t="str">
        <f ca="1">IFERROR(N167*VLOOKUP(Tab_Calculs[[#This Row],[Colonne1]],Controle_des_données!$B$7:$H$14,7,FALSE),"")</f>
        <v/>
      </c>
      <c r="V167">
        <f ca="1">IFERROR(Tab_Calculs[[#This Row],[Cout_mois]]/Tab_Calculs[[#This Row],[Conso_mois_kWh]],0)</f>
        <v>0</v>
      </c>
      <c r="W167" t="str">
        <f>T(VLOOKUP(Tab_Calculs[[#This Row],[Compteur]],Site!$B$33:$G$40,3,FALSE))</f>
        <v/>
      </c>
      <c r="X167" t="str">
        <f>T(VLOOKUP(Tab_Calculs[[#This Row],[Compteur]],Site!$B$33:$G$40,4,FALSE))</f>
        <v/>
      </c>
      <c r="Y167" t="str">
        <f>T(VLOOKUP(Tab_Calculs[[#This Row],[Compteur]],Site!$B$33:$G$40,5,FALSE))</f>
        <v/>
      </c>
      <c r="Z167" t="str">
        <f>T(VLOOKUP(Tab_Calculs[[#This Row],[Compteur]],Site!$B$33:$G$40,6,FALSE))</f>
        <v/>
      </c>
      <c r="AA167">
        <f>IFERROR(GETPIVOTDATA("DJU(chauffagiste)",BDD_DJU!$P$13,"annee",Tab_Calculs[[#This Row],[ANNEE]],"mois_numero",Tab_Calculs[[#This Row],[MOIS]]),0)</f>
        <v>251.3</v>
      </c>
    </row>
    <row r="168" spans="1:27" x14ac:dyDescent="0.25">
      <c r="A168" s="3">
        <f>DATE(Tab_Calculs[[#This Row],[ANNEE]],Tab_Calculs[[#This Row],[MOIS]],1)</f>
        <v>45017</v>
      </c>
      <c r="B168" s="3">
        <f>EDATE(Tab_Calculs[[#This Row],[Début mois]],1)-1</f>
        <v>45046</v>
      </c>
      <c r="C168">
        <f t="shared" si="3"/>
        <v>4</v>
      </c>
      <c r="D168">
        <f t="shared" si="5"/>
        <v>2023</v>
      </c>
      <c r="E168" t="s">
        <v>80</v>
      </c>
      <c r="F168" t="str">
        <f>SUBSTITUTE(Tab_Calculs[[#This Row],[Compteur]]," ","_")</f>
        <v>Compteur_1</v>
      </c>
      <c r="G168" t="str">
        <f>T(INDEX(Site!$B$33:$G$40, MATCH(Tab_Calculs[[#This Row],[Compteur]], Site!$B$33:$B$40,0),2))</f>
        <v/>
      </c>
      <c r="H168" s="3">
        <f t="array" aca="1" ref="H168" ca="1">MIN(IF(INDIRECT(CONCATENATE(Tab_Calculs[[#This Row],[Colonne1]],"!$B$2:$B$243"))&gt;=Calculs_Consos!$A168,INDIRECT(CONCATENATE(Tab_Calculs[[#This Row],[Colonne1]],"!$B$2:$B$243"))))</f>
        <v>0</v>
      </c>
      <c r="I168" s="3">
        <f ca="1">INDEX(INDIRECT(CONCATENATE("Tab_",Tab_Calculs[[#This Row],[Colonne1]])),Tab_Calculs[[#This Row],[index_date_livraison]],1)</f>
        <v>0</v>
      </c>
      <c r="J168">
        <f ca="1">MATCH(Tab_Calculs[[#This Row],[Date_livraison]],INDIRECT(CONCATENATE("Tab_",Tab_Calculs[[#This Row],[Colonne1]],"[Fin de période]")),0)</f>
        <v>1</v>
      </c>
      <c r="K168" t="e">
        <f ca="1">INDEX(INDIRECT(CONCATENATE("Tab_",Tab_Calculs[[#This Row],[Colonne1]])),Tab_Calculs[[#This Row],[index_date_livraison]]-1,6)*(MAX(Tab_Calculs[[#This Row],[Début periode livraison]],Tab_Calculs[[#This Row],[Début mois]])-Tab_Calculs[[#This Row],[Début mois]])</f>
        <v>#VALUE!</v>
      </c>
      <c r="L168" s="94">
        <f ca="1">INDEX(INDIRECT(CONCATENATE("Tab_",Tab_Calculs[[#This Row],[Colonne1]])),Tab_Calculs[[#This Row],[index_date_livraison]],6)*(1+MIN(Tab_Calculs[[#This Row],[Date_livraison]],Tab_Calculs[[#This Row],[fin mois]])-MAX(Tab_Calculs[[#This Row],[Début mois]],Tab_Calculs[[#This Row],[Début periode livraison]]))</f>
        <v>0</v>
      </c>
      <c r="M168" s="94" t="e">
        <f ca="1">INDEX(INDIRECT(CONCATENATE("Tab_",Tab_Calculs[[#This Row],[Colonne1]])),Tab_Calculs[[#This Row],[index_date_livraison]]+1,6)*(Tab_Calculs[[#This Row],[fin mois]]-MIN(Tab_Calculs[[#This Row],[fin mois]],Tab_Calculs[[#This Row],[Date_livraison]]))</f>
        <v>#VALUE!</v>
      </c>
      <c r="N168" s="231" t="str">
        <f ca="1">IFERROR(Tab_Calculs[[#This Row],[Ratio_jour_après_livr]]+Tab_Calculs[[#This Row],[Ratio_jour_avant_livr]]+Tab_Calculs[[#This Row],[ratio_avant_debut]],"")</f>
        <v/>
      </c>
      <c r="O168" t="e">
        <f ca="1">INDEX(INDIRECT(CONCATENATE("Tab_",Tab_Calculs[[#This Row],[Colonne1]])),Tab_Calculs[[#This Row],[index_date_livraison]]-1,7)*(MAX(Tab_Calculs[[#This Row],[Début periode livraison]],Tab_Calculs[[#This Row],[Début mois]])-Tab_Calculs[[#This Row],[Début mois]])</f>
        <v>#VALUE!</v>
      </c>
      <c r="P168">
        <f ca="1">INDEX(INDIRECT(CONCATENATE("Tab_",Tab_Calculs[[#This Row],[Colonne1]])),Tab_Calculs[[#This Row],[index_date_livraison]],7)*(1+MIN(Tab_Calculs[[#This Row],[Date_livraison]],Tab_Calculs[[#This Row],[fin mois]])-MAX(Tab_Calculs[[#This Row],[Début mois]],Tab_Calculs[[#This Row],[Début periode livraison]]))</f>
        <v>0</v>
      </c>
      <c r="Q168" t="e">
        <f ca="1">INDEX(INDIRECT(CONCATENATE("Tab_",Tab_Calculs[[#This Row],[Colonne1]])),Tab_Calculs[[#This Row],[index_date_livraison]]+1,7)*(Tab_Calculs[[#This Row],[fin mois]]-MIN(Tab_Calculs[[#This Row],[fin mois]],Tab_Calculs[[#This Row],[Date_livraison]]))</f>
        <v>#VALUE!</v>
      </c>
      <c r="R168" t="e">
        <f ca="1">Tab_Calculs[[#This Row],[Ratio_Cout_après_livr]]+Tab_Calculs[[#This Row],[Ratio_Cout_avant_livr]]+Tab_Calculs[[#This Row],[Ratio_Cout_avant_debut]]</f>
        <v>#VALUE!</v>
      </c>
      <c r="S168" t="str">
        <f ca="1">IFERROR(N168*VLOOKUP(Tab_Calculs[[#This Row],[Colonne1]],Controle_des_données!$B$7:$G$14,6,FALSE),"")</f>
        <v/>
      </c>
      <c r="T168" t="str">
        <f ca="1">IF(Tab_Calculs[[#This Row],[Combustible ]]="Electricité (kWh)",Tab_Calculs[[#This Row],[Conso_mois_kWh]]*2.3,Tab_Calculs[[#This Row],[Conso_mois_kWh]])</f>
        <v/>
      </c>
      <c r="U168" t="str">
        <f ca="1">IFERROR(N168*VLOOKUP(Tab_Calculs[[#This Row],[Colonne1]],Controle_des_données!$B$7:$H$14,7,FALSE),"")</f>
        <v/>
      </c>
      <c r="V168">
        <f ca="1">IFERROR(Tab_Calculs[[#This Row],[Cout_mois]]/Tab_Calculs[[#This Row],[Conso_mois_kWh]],0)</f>
        <v>0</v>
      </c>
      <c r="W168" t="str">
        <f>T(VLOOKUP(Tab_Calculs[[#This Row],[Compteur]],Site!$B$33:$G$40,3,FALSE))</f>
        <v/>
      </c>
      <c r="X168" t="str">
        <f>T(VLOOKUP(Tab_Calculs[[#This Row],[Compteur]],Site!$B$33:$G$40,4,FALSE))</f>
        <v/>
      </c>
      <c r="Y168" t="str">
        <f>T(VLOOKUP(Tab_Calculs[[#This Row],[Compteur]],Site!$B$33:$G$40,5,FALSE))</f>
        <v/>
      </c>
      <c r="Z168" t="str">
        <f>T(VLOOKUP(Tab_Calculs[[#This Row],[Compteur]],Site!$B$33:$G$40,6,FALSE))</f>
        <v/>
      </c>
      <c r="AA168">
        <f>IFERROR(GETPIVOTDATA("DJU(chauffagiste)",BDD_DJU!$P$13,"annee",Tab_Calculs[[#This Row],[ANNEE]],"mois_numero",Tab_Calculs[[#This Row],[MOIS]]),0)</f>
        <v>198</v>
      </c>
    </row>
    <row r="169" spans="1:27" x14ac:dyDescent="0.25">
      <c r="A169" s="3">
        <f>DATE(Tab_Calculs[[#This Row],[ANNEE]],Tab_Calculs[[#This Row],[MOIS]],1)</f>
        <v>45047</v>
      </c>
      <c r="B169" s="3">
        <f>EDATE(Tab_Calculs[[#This Row],[Début mois]],1)-1</f>
        <v>45077</v>
      </c>
      <c r="C169">
        <f t="shared" si="3"/>
        <v>5</v>
      </c>
      <c r="D169">
        <f t="shared" si="5"/>
        <v>2023</v>
      </c>
      <c r="E169" t="s">
        <v>80</v>
      </c>
      <c r="F169" t="str">
        <f>SUBSTITUTE(Tab_Calculs[[#This Row],[Compteur]]," ","_")</f>
        <v>Compteur_1</v>
      </c>
      <c r="G169" t="str">
        <f>T(INDEX(Site!$B$33:$G$40, MATCH(Tab_Calculs[[#This Row],[Compteur]], Site!$B$33:$B$40,0),2))</f>
        <v/>
      </c>
      <c r="H169" s="3">
        <f t="array" aca="1" ref="H169" ca="1">MIN(IF(INDIRECT(CONCATENATE(Tab_Calculs[[#This Row],[Colonne1]],"!$B$2:$B$243"))&gt;=Calculs_Consos!$A169,INDIRECT(CONCATENATE(Tab_Calculs[[#This Row],[Colonne1]],"!$B$2:$B$243"))))</f>
        <v>0</v>
      </c>
      <c r="I169" s="3">
        <f ca="1">INDEX(INDIRECT(CONCATENATE("Tab_",Tab_Calculs[[#This Row],[Colonne1]])),Tab_Calculs[[#This Row],[index_date_livraison]],1)</f>
        <v>0</v>
      </c>
      <c r="J169">
        <f ca="1">MATCH(Tab_Calculs[[#This Row],[Date_livraison]],INDIRECT(CONCATENATE("Tab_",Tab_Calculs[[#This Row],[Colonne1]],"[Fin de période]")),0)</f>
        <v>1</v>
      </c>
      <c r="K169" t="e">
        <f ca="1">INDEX(INDIRECT(CONCATENATE("Tab_",Tab_Calculs[[#This Row],[Colonne1]])),Tab_Calculs[[#This Row],[index_date_livraison]]-1,6)*(MAX(Tab_Calculs[[#This Row],[Début periode livraison]],Tab_Calculs[[#This Row],[Début mois]])-Tab_Calculs[[#This Row],[Début mois]])</f>
        <v>#VALUE!</v>
      </c>
      <c r="L169" s="94">
        <f ca="1">INDEX(INDIRECT(CONCATENATE("Tab_",Tab_Calculs[[#This Row],[Colonne1]])),Tab_Calculs[[#This Row],[index_date_livraison]],6)*(1+MIN(Tab_Calculs[[#This Row],[Date_livraison]],Tab_Calculs[[#This Row],[fin mois]])-MAX(Tab_Calculs[[#This Row],[Début mois]],Tab_Calculs[[#This Row],[Début periode livraison]]))</f>
        <v>0</v>
      </c>
      <c r="M169" s="94" t="e">
        <f ca="1">INDEX(INDIRECT(CONCATENATE("Tab_",Tab_Calculs[[#This Row],[Colonne1]])),Tab_Calculs[[#This Row],[index_date_livraison]]+1,6)*(Tab_Calculs[[#This Row],[fin mois]]-MIN(Tab_Calculs[[#This Row],[fin mois]],Tab_Calculs[[#This Row],[Date_livraison]]))</f>
        <v>#VALUE!</v>
      </c>
      <c r="N169" s="231" t="str">
        <f ca="1">IFERROR(Tab_Calculs[[#This Row],[Ratio_jour_après_livr]]+Tab_Calculs[[#This Row],[Ratio_jour_avant_livr]]+Tab_Calculs[[#This Row],[ratio_avant_debut]],"")</f>
        <v/>
      </c>
      <c r="O169" t="e">
        <f ca="1">INDEX(INDIRECT(CONCATENATE("Tab_",Tab_Calculs[[#This Row],[Colonne1]])),Tab_Calculs[[#This Row],[index_date_livraison]]-1,7)*(MAX(Tab_Calculs[[#This Row],[Début periode livraison]],Tab_Calculs[[#This Row],[Début mois]])-Tab_Calculs[[#This Row],[Début mois]])</f>
        <v>#VALUE!</v>
      </c>
      <c r="P169">
        <f ca="1">INDEX(INDIRECT(CONCATENATE("Tab_",Tab_Calculs[[#This Row],[Colonne1]])),Tab_Calculs[[#This Row],[index_date_livraison]],7)*(1+MIN(Tab_Calculs[[#This Row],[Date_livraison]],Tab_Calculs[[#This Row],[fin mois]])-MAX(Tab_Calculs[[#This Row],[Début mois]],Tab_Calculs[[#This Row],[Début periode livraison]]))</f>
        <v>0</v>
      </c>
      <c r="Q169" t="e">
        <f ca="1">INDEX(INDIRECT(CONCATENATE("Tab_",Tab_Calculs[[#This Row],[Colonne1]])),Tab_Calculs[[#This Row],[index_date_livraison]]+1,7)*(Tab_Calculs[[#This Row],[fin mois]]-MIN(Tab_Calculs[[#This Row],[fin mois]],Tab_Calculs[[#This Row],[Date_livraison]]))</f>
        <v>#VALUE!</v>
      </c>
      <c r="R169" t="e">
        <f ca="1">Tab_Calculs[[#This Row],[Ratio_Cout_après_livr]]+Tab_Calculs[[#This Row],[Ratio_Cout_avant_livr]]+Tab_Calculs[[#This Row],[Ratio_Cout_avant_debut]]</f>
        <v>#VALUE!</v>
      </c>
      <c r="S169" t="str">
        <f ca="1">IFERROR(N169*VLOOKUP(Tab_Calculs[[#This Row],[Colonne1]],Controle_des_données!$B$7:$G$14,6,FALSE),"")</f>
        <v/>
      </c>
      <c r="T169" t="str">
        <f ca="1">IF(Tab_Calculs[[#This Row],[Combustible ]]="Electricité (kWh)",Tab_Calculs[[#This Row],[Conso_mois_kWh]]*2.3,Tab_Calculs[[#This Row],[Conso_mois_kWh]])</f>
        <v/>
      </c>
      <c r="U169" t="str">
        <f ca="1">IFERROR(N169*VLOOKUP(Tab_Calculs[[#This Row],[Colonne1]],Controle_des_données!$B$7:$H$14,7,FALSE),"")</f>
        <v/>
      </c>
      <c r="V169">
        <f ca="1">IFERROR(Tab_Calculs[[#This Row],[Cout_mois]]/Tab_Calculs[[#This Row],[Conso_mois_kWh]],0)</f>
        <v>0</v>
      </c>
      <c r="W169" t="str">
        <f>T(VLOOKUP(Tab_Calculs[[#This Row],[Compteur]],Site!$B$33:$G$40,3,FALSE))</f>
        <v/>
      </c>
      <c r="X169" t="str">
        <f>T(VLOOKUP(Tab_Calculs[[#This Row],[Compteur]],Site!$B$33:$G$40,4,FALSE))</f>
        <v/>
      </c>
      <c r="Y169" t="str">
        <f>T(VLOOKUP(Tab_Calculs[[#This Row],[Compteur]],Site!$B$33:$G$40,5,FALSE))</f>
        <v/>
      </c>
      <c r="Z169" t="str">
        <f>T(VLOOKUP(Tab_Calculs[[#This Row],[Compteur]],Site!$B$33:$G$40,6,FALSE))</f>
        <v/>
      </c>
      <c r="AA169">
        <f>IFERROR(GETPIVOTDATA("DJU(chauffagiste)",BDD_DJU!$P$13,"annee",Tab_Calculs[[#This Row],[ANNEE]],"mois_numero",Tab_Calculs[[#This Row],[MOIS]]),0)</f>
        <v>86.4</v>
      </c>
    </row>
    <row r="170" spans="1:27" x14ac:dyDescent="0.25">
      <c r="A170" s="3">
        <f>DATE(Tab_Calculs[[#This Row],[ANNEE]],Tab_Calculs[[#This Row],[MOIS]],1)</f>
        <v>45078</v>
      </c>
      <c r="B170" s="3">
        <f>EDATE(Tab_Calculs[[#This Row],[Début mois]],1)-1</f>
        <v>45107</v>
      </c>
      <c r="C170">
        <f t="shared" si="3"/>
        <v>6</v>
      </c>
      <c r="D170">
        <f t="shared" si="5"/>
        <v>2023</v>
      </c>
      <c r="E170" t="s">
        <v>80</v>
      </c>
      <c r="F170" t="str">
        <f>SUBSTITUTE(Tab_Calculs[[#This Row],[Compteur]]," ","_")</f>
        <v>Compteur_1</v>
      </c>
      <c r="G170" t="str">
        <f>T(INDEX(Site!$B$33:$G$40, MATCH(Tab_Calculs[[#This Row],[Compteur]], Site!$B$33:$B$40,0),2))</f>
        <v/>
      </c>
      <c r="H170" s="3">
        <f t="array" aca="1" ref="H170" ca="1">MIN(IF(INDIRECT(CONCATENATE(Tab_Calculs[[#This Row],[Colonne1]],"!$B$2:$B$243"))&gt;=Calculs_Consos!$A170,INDIRECT(CONCATENATE(Tab_Calculs[[#This Row],[Colonne1]],"!$B$2:$B$243"))))</f>
        <v>0</v>
      </c>
      <c r="I170" s="3">
        <f ca="1">INDEX(INDIRECT(CONCATENATE("Tab_",Tab_Calculs[[#This Row],[Colonne1]])),Tab_Calculs[[#This Row],[index_date_livraison]],1)</f>
        <v>0</v>
      </c>
      <c r="J170">
        <f ca="1">MATCH(Tab_Calculs[[#This Row],[Date_livraison]],INDIRECT(CONCATENATE("Tab_",Tab_Calculs[[#This Row],[Colonne1]],"[Fin de période]")),0)</f>
        <v>1</v>
      </c>
      <c r="K170" t="e">
        <f ca="1">INDEX(INDIRECT(CONCATENATE("Tab_",Tab_Calculs[[#This Row],[Colonne1]])),Tab_Calculs[[#This Row],[index_date_livraison]]-1,6)*(MAX(Tab_Calculs[[#This Row],[Début periode livraison]],Tab_Calculs[[#This Row],[Début mois]])-Tab_Calculs[[#This Row],[Début mois]])</f>
        <v>#VALUE!</v>
      </c>
      <c r="L170" s="94">
        <f ca="1">INDEX(INDIRECT(CONCATENATE("Tab_",Tab_Calculs[[#This Row],[Colonne1]])),Tab_Calculs[[#This Row],[index_date_livraison]],6)*(1+MIN(Tab_Calculs[[#This Row],[Date_livraison]],Tab_Calculs[[#This Row],[fin mois]])-MAX(Tab_Calculs[[#This Row],[Début mois]],Tab_Calculs[[#This Row],[Début periode livraison]]))</f>
        <v>0</v>
      </c>
      <c r="M170" s="94" t="e">
        <f ca="1">INDEX(INDIRECT(CONCATENATE("Tab_",Tab_Calculs[[#This Row],[Colonne1]])),Tab_Calculs[[#This Row],[index_date_livraison]]+1,6)*(Tab_Calculs[[#This Row],[fin mois]]-MIN(Tab_Calculs[[#This Row],[fin mois]],Tab_Calculs[[#This Row],[Date_livraison]]))</f>
        <v>#VALUE!</v>
      </c>
      <c r="N170" s="231" t="str">
        <f ca="1">IFERROR(Tab_Calculs[[#This Row],[Ratio_jour_après_livr]]+Tab_Calculs[[#This Row],[Ratio_jour_avant_livr]]+Tab_Calculs[[#This Row],[ratio_avant_debut]],"")</f>
        <v/>
      </c>
      <c r="O170" t="e">
        <f ca="1">INDEX(INDIRECT(CONCATENATE("Tab_",Tab_Calculs[[#This Row],[Colonne1]])),Tab_Calculs[[#This Row],[index_date_livraison]]-1,7)*(MAX(Tab_Calculs[[#This Row],[Début periode livraison]],Tab_Calculs[[#This Row],[Début mois]])-Tab_Calculs[[#This Row],[Début mois]])</f>
        <v>#VALUE!</v>
      </c>
      <c r="P170">
        <f ca="1">INDEX(INDIRECT(CONCATENATE("Tab_",Tab_Calculs[[#This Row],[Colonne1]])),Tab_Calculs[[#This Row],[index_date_livraison]],7)*(1+MIN(Tab_Calculs[[#This Row],[Date_livraison]],Tab_Calculs[[#This Row],[fin mois]])-MAX(Tab_Calculs[[#This Row],[Début mois]],Tab_Calculs[[#This Row],[Début periode livraison]]))</f>
        <v>0</v>
      </c>
      <c r="Q170" t="e">
        <f ca="1">INDEX(INDIRECT(CONCATENATE("Tab_",Tab_Calculs[[#This Row],[Colonne1]])),Tab_Calculs[[#This Row],[index_date_livraison]]+1,7)*(Tab_Calculs[[#This Row],[fin mois]]-MIN(Tab_Calculs[[#This Row],[fin mois]],Tab_Calculs[[#This Row],[Date_livraison]]))</f>
        <v>#VALUE!</v>
      </c>
      <c r="R170" t="e">
        <f ca="1">Tab_Calculs[[#This Row],[Ratio_Cout_après_livr]]+Tab_Calculs[[#This Row],[Ratio_Cout_avant_livr]]+Tab_Calculs[[#This Row],[Ratio_Cout_avant_debut]]</f>
        <v>#VALUE!</v>
      </c>
      <c r="S170" t="str">
        <f ca="1">IFERROR(N170*VLOOKUP(Tab_Calculs[[#This Row],[Colonne1]],Controle_des_données!$B$7:$G$14,6,FALSE),"")</f>
        <v/>
      </c>
      <c r="T170" t="str">
        <f ca="1">IF(Tab_Calculs[[#This Row],[Combustible ]]="Electricité (kWh)",Tab_Calculs[[#This Row],[Conso_mois_kWh]]*2.3,Tab_Calculs[[#This Row],[Conso_mois_kWh]])</f>
        <v/>
      </c>
      <c r="U170" t="str">
        <f ca="1">IFERROR(N170*VLOOKUP(Tab_Calculs[[#This Row],[Colonne1]],Controle_des_données!$B$7:$H$14,7,FALSE),"")</f>
        <v/>
      </c>
      <c r="V170">
        <f ca="1">IFERROR(Tab_Calculs[[#This Row],[Cout_mois]]/Tab_Calculs[[#This Row],[Conso_mois_kWh]],0)</f>
        <v>0</v>
      </c>
      <c r="W170" t="str">
        <f>T(VLOOKUP(Tab_Calculs[[#This Row],[Compteur]],Site!$B$33:$G$40,3,FALSE))</f>
        <v/>
      </c>
      <c r="X170" t="str">
        <f>T(VLOOKUP(Tab_Calculs[[#This Row],[Compteur]],Site!$B$33:$G$40,4,FALSE))</f>
        <v/>
      </c>
      <c r="Y170" t="str">
        <f>T(VLOOKUP(Tab_Calculs[[#This Row],[Compteur]],Site!$B$33:$G$40,5,FALSE))</f>
        <v/>
      </c>
      <c r="Z170" t="str">
        <f>T(VLOOKUP(Tab_Calculs[[#This Row],[Compteur]],Site!$B$33:$G$40,6,FALSE))</f>
        <v/>
      </c>
      <c r="AA170">
        <f>IFERROR(GETPIVOTDATA("DJU(chauffagiste)",BDD_DJU!$P$13,"annee",Tab_Calculs[[#This Row],[ANNEE]],"mois_numero",Tab_Calculs[[#This Row],[MOIS]]),0)</f>
        <v>17.3</v>
      </c>
    </row>
    <row r="171" spans="1:27" x14ac:dyDescent="0.25">
      <c r="A171" s="3">
        <f>DATE(Tab_Calculs[[#This Row],[ANNEE]],Tab_Calculs[[#This Row],[MOIS]],1)</f>
        <v>45108</v>
      </c>
      <c r="B171" s="3">
        <f>EDATE(Tab_Calculs[[#This Row],[Début mois]],1)-1</f>
        <v>45138</v>
      </c>
      <c r="C171">
        <f t="shared" si="3"/>
        <v>7</v>
      </c>
      <c r="D171">
        <f t="shared" si="5"/>
        <v>2023</v>
      </c>
      <c r="E171" t="s">
        <v>80</v>
      </c>
      <c r="F171" t="str">
        <f>SUBSTITUTE(Tab_Calculs[[#This Row],[Compteur]]," ","_")</f>
        <v>Compteur_1</v>
      </c>
      <c r="G171" t="str">
        <f>T(INDEX(Site!$B$33:$G$40, MATCH(Tab_Calculs[[#This Row],[Compteur]], Site!$B$33:$B$40,0),2))</f>
        <v/>
      </c>
      <c r="H171" s="3">
        <f t="array" aca="1" ref="H171" ca="1">MIN(IF(INDIRECT(CONCATENATE(Tab_Calculs[[#This Row],[Colonne1]],"!$B$2:$B$243"))&gt;=Calculs_Consos!$A171,INDIRECT(CONCATENATE(Tab_Calculs[[#This Row],[Colonne1]],"!$B$2:$B$243"))))</f>
        <v>0</v>
      </c>
      <c r="I171" s="3">
        <f ca="1">INDEX(INDIRECT(CONCATENATE("Tab_",Tab_Calculs[[#This Row],[Colonne1]])),Tab_Calculs[[#This Row],[index_date_livraison]],1)</f>
        <v>0</v>
      </c>
      <c r="J171">
        <f ca="1">MATCH(Tab_Calculs[[#This Row],[Date_livraison]],INDIRECT(CONCATENATE("Tab_",Tab_Calculs[[#This Row],[Colonne1]],"[Fin de période]")),0)</f>
        <v>1</v>
      </c>
      <c r="K171" t="e">
        <f ca="1">INDEX(INDIRECT(CONCATENATE("Tab_",Tab_Calculs[[#This Row],[Colonne1]])),Tab_Calculs[[#This Row],[index_date_livraison]]-1,6)*(MAX(Tab_Calculs[[#This Row],[Début periode livraison]],Tab_Calculs[[#This Row],[Début mois]])-Tab_Calculs[[#This Row],[Début mois]])</f>
        <v>#VALUE!</v>
      </c>
      <c r="L171" s="94">
        <f ca="1">INDEX(INDIRECT(CONCATENATE("Tab_",Tab_Calculs[[#This Row],[Colonne1]])),Tab_Calculs[[#This Row],[index_date_livraison]],6)*(1+MIN(Tab_Calculs[[#This Row],[Date_livraison]],Tab_Calculs[[#This Row],[fin mois]])-MAX(Tab_Calculs[[#This Row],[Début mois]],Tab_Calculs[[#This Row],[Début periode livraison]]))</f>
        <v>0</v>
      </c>
      <c r="M171" s="94" t="e">
        <f ca="1">INDEX(INDIRECT(CONCATENATE("Tab_",Tab_Calculs[[#This Row],[Colonne1]])),Tab_Calculs[[#This Row],[index_date_livraison]]+1,6)*(Tab_Calculs[[#This Row],[fin mois]]-MIN(Tab_Calculs[[#This Row],[fin mois]],Tab_Calculs[[#This Row],[Date_livraison]]))</f>
        <v>#VALUE!</v>
      </c>
      <c r="N171" s="231" t="str">
        <f ca="1">IFERROR(Tab_Calculs[[#This Row],[Ratio_jour_après_livr]]+Tab_Calculs[[#This Row],[Ratio_jour_avant_livr]]+Tab_Calculs[[#This Row],[ratio_avant_debut]],"")</f>
        <v/>
      </c>
      <c r="O171" t="e">
        <f ca="1">INDEX(INDIRECT(CONCATENATE("Tab_",Tab_Calculs[[#This Row],[Colonne1]])),Tab_Calculs[[#This Row],[index_date_livraison]]-1,7)*(MAX(Tab_Calculs[[#This Row],[Début periode livraison]],Tab_Calculs[[#This Row],[Début mois]])-Tab_Calculs[[#This Row],[Début mois]])</f>
        <v>#VALUE!</v>
      </c>
      <c r="P171">
        <f ca="1">INDEX(INDIRECT(CONCATENATE("Tab_",Tab_Calculs[[#This Row],[Colonne1]])),Tab_Calculs[[#This Row],[index_date_livraison]],7)*(1+MIN(Tab_Calculs[[#This Row],[Date_livraison]],Tab_Calculs[[#This Row],[fin mois]])-MAX(Tab_Calculs[[#This Row],[Début mois]],Tab_Calculs[[#This Row],[Début periode livraison]]))</f>
        <v>0</v>
      </c>
      <c r="Q171" t="e">
        <f ca="1">INDEX(INDIRECT(CONCATENATE("Tab_",Tab_Calculs[[#This Row],[Colonne1]])),Tab_Calculs[[#This Row],[index_date_livraison]]+1,7)*(Tab_Calculs[[#This Row],[fin mois]]-MIN(Tab_Calculs[[#This Row],[fin mois]],Tab_Calculs[[#This Row],[Date_livraison]]))</f>
        <v>#VALUE!</v>
      </c>
      <c r="R171" t="e">
        <f ca="1">Tab_Calculs[[#This Row],[Ratio_Cout_après_livr]]+Tab_Calculs[[#This Row],[Ratio_Cout_avant_livr]]+Tab_Calculs[[#This Row],[Ratio_Cout_avant_debut]]</f>
        <v>#VALUE!</v>
      </c>
      <c r="S171" t="str">
        <f ca="1">IFERROR(N171*VLOOKUP(Tab_Calculs[[#This Row],[Colonne1]],Controle_des_données!$B$7:$G$14,6,FALSE),"")</f>
        <v/>
      </c>
      <c r="T171" t="str">
        <f ca="1">IF(Tab_Calculs[[#This Row],[Combustible ]]="Electricité (kWh)",Tab_Calculs[[#This Row],[Conso_mois_kWh]]*2.3,Tab_Calculs[[#This Row],[Conso_mois_kWh]])</f>
        <v/>
      </c>
      <c r="U171" t="str">
        <f ca="1">IFERROR(N171*VLOOKUP(Tab_Calculs[[#This Row],[Colonne1]],Controle_des_données!$B$7:$H$14,7,FALSE),"")</f>
        <v/>
      </c>
      <c r="V171">
        <f ca="1">IFERROR(Tab_Calculs[[#This Row],[Cout_mois]]/Tab_Calculs[[#This Row],[Conso_mois_kWh]],0)</f>
        <v>0</v>
      </c>
      <c r="W171" t="str">
        <f>T(VLOOKUP(Tab_Calculs[[#This Row],[Compteur]],Site!$B$33:$G$40,3,FALSE))</f>
        <v/>
      </c>
      <c r="X171" t="str">
        <f>T(VLOOKUP(Tab_Calculs[[#This Row],[Compteur]],Site!$B$33:$G$40,4,FALSE))</f>
        <v/>
      </c>
      <c r="Y171" t="str">
        <f>T(VLOOKUP(Tab_Calculs[[#This Row],[Compteur]],Site!$B$33:$G$40,5,FALSE))</f>
        <v/>
      </c>
      <c r="Z171" t="str">
        <f>T(VLOOKUP(Tab_Calculs[[#This Row],[Compteur]],Site!$B$33:$G$40,6,FALSE))</f>
        <v/>
      </c>
      <c r="AA171">
        <f>IFERROR(GETPIVOTDATA("DJU(chauffagiste)",BDD_DJU!$P$13,"annee",Tab_Calculs[[#This Row],[ANNEE]],"mois_numero",Tab_Calculs[[#This Row],[MOIS]]),0)</f>
        <v>24.1</v>
      </c>
    </row>
    <row r="172" spans="1:27" x14ac:dyDescent="0.25">
      <c r="A172" s="3">
        <f>DATE(Tab_Calculs[[#This Row],[ANNEE]],Tab_Calculs[[#This Row],[MOIS]],1)</f>
        <v>45139</v>
      </c>
      <c r="B172" s="3">
        <f>EDATE(Tab_Calculs[[#This Row],[Début mois]],1)-1</f>
        <v>45169</v>
      </c>
      <c r="C172">
        <f t="shared" si="3"/>
        <v>8</v>
      </c>
      <c r="D172">
        <f t="shared" si="5"/>
        <v>2023</v>
      </c>
      <c r="E172" t="s">
        <v>80</v>
      </c>
      <c r="F172" t="str">
        <f>SUBSTITUTE(Tab_Calculs[[#This Row],[Compteur]]," ","_")</f>
        <v>Compteur_1</v>
      </c>
      <c r="G172" t="str">
        <f>T(INDEX(Site!$B$33:$G$40, MATCH(Tab_Calculs[[#This Row],[Compteur]], Site!$B$33:$B$40,0),2))</f>
        <v/>
      </c>
      <c r="H172" s="3">
        <f t="array" aca="1" ref="H172" ca="1">MIN(IF(INDIRECT(CONCATENATE(Tab_Calculs[[#This Row],[Colonne1]],"!$B$2:$B$243"))&gt;=Calculs_Consos!$A172,INDIRECT(CONCATENATE(Tab_Calculs[[#This Row],[Colonne1]],"!$B$2:$B$243"))))</f>
        <v>0</v>
      </c>
      <c r="I172" s="3">
        <f ca="1">INDEX(INDIRECT(CONCATENATE("Tab_",Tab_Calculs[[#This Row],[Colonne1]])),Tab_Calculs[[#This Row],[index_date_livraison]],1)</f>
        <v>0</v>
      </c>
      <c r="J172">
        <f ca="1">MATCH(Tab_Calculs[[#This Row],[Date_livraison]],INDIRECT(CONCATENATE("Tab_",Tab_Calculs[[#This Row],[Colonne1]],"[Fin de période]")),0)</f>
        <v>1</v>
      </c>
      <c r="K172" t="e">
        <f ca="1">INDEX(INDIRECT(CONCATENATE("Tab_",Tab_Calculs[[#This Row],[Colonne1]])),Tab_Calculs[[#This Row],[index_date_livraison]]-1,6)*(MAX(Tab_Calculs[[#This Row],[Début periode livraison]],Tab_Calculs[[#This Row],[Début mois]])-Tab_Calculs[[#This Row],[Début mois]])</f>
        <v>#VALUE!</v>
      </c>
      <c r="L172" s="94">
        <f ca="1">INDEX(INDIRECT(CONCATENATE("Tab_",Tab_Calculs[[#This Row],[Colonne1]])),Tab_Calculs[[#This Row],[index_date_livraison]],6)*(1+MIN(Tab_Calculs[[#This Row],[Date_livraison]],Tab_Calculs[[#This Row],[fin mois]])-MAX(Tab_Calculs[[#This Row],[Début mois]],Tab_Calculs[[#This Row],[Début periode livraison]]))</f>
        <v>0</v>
      </c>
      <c r="M172" s="94" t="e">
        <f ca="1">INDEX(INDIRECT(CONCATENATE("Tab_",Tab_Calculs[[#This Row],[Colonne1]])),Tab_Calculs[[#This Row],[index_date_livraison]]+1,6)*(Tab_Calculs[[#This Row],[fin mois]]-MIN(Tab_Calculs[[#This Row],[fin mois]],Tab_Calculs[[#This Row],[Date_livraison]]))</f>
        <v>#VALUE!</v>
      </c>
      <c r="N172" s="231" t="str">
        <f ca="1">IFERROR(Tab_Calculs[[#This Row],[Ratio_jour_après_livr]]+Tab_Calculs[[#This Row],[Ratio_jour_avant_livr]]+Tab_Calculs[[#This Row],[ratio_avant_debut]],"")</f>
        <v/>
      </c>
      <c r="O172" t="e">
        <f ca="1">INDEX(INDIRECT(CONCATENATE("Tab_",Tab_Calculs[[#This Row],[Colonne1]])),Tab_Calculs[[#This Row],[index_date_livraison]]-1,7)*(MAX(Tab_Calculs[[#This Row],[Début periode livraison]],Tab_Calculs[[#This Row],[Début mois]])-Tab_Calculs[[#This Row],[Début mois]])</f>
        <v>#VALUE!</v>
      </c>
      <c r="P172">
        <f ca="1">INDEX(INDIRECT(CONCATENATE("Tab_",Tab_Calculs[[#This Row],[Colonne1]])),Tab_Calculs[[#This Row],[index_date_livraison]],7)*(1+MIN(Tab_Calculs[[#This Row],[Date_livraison]],Tab_Calculs[[#This Row],[fin mois]])-MAX(Tab_Calculs[[#This Row],[Début mois]],Tab_Calculs[[#This Row],[Début periode livraison]]))</f>
        <v>0</v>
      </c>
      <c r="Q172" t="e">
        <f ca="1">INDEX(INDIRECT(CONCATENATE("Tab_",Tab_Calculs[[#This Row],[Colonne1]])),Tab_Calculs[[#This Row],[index_date_livraison]]+1,7)*(Tab_Calculs[[#This Row],[fin mois]]-MIN(Tab_Calculs[[#This Row],[fin mois]],Tab_Calculs[[#This Row],[Date_livraison]]))</f>
        <v>#VALUE!</v>
      </c>
      <c r="R172" t="e">
        <f ca="1">Tab_Calculs[[#This Row],[Ratio_Cout_après_livr]]+Tab_Calculs[[#This Row],[Ratio_Cout_avant_livr]]+Tab_Calculs[[#This Row],[Ratio_Cout_avant_debut]]</f>
        <v>#VALUE!</v>
      </c>
      <c r="S172" t="str">
        <f ca="1">IFERROR(N172*VLOOKUP(Tab_Calculs[[#This Row],[Colonne1]],Controle_des_données!$B$7:$G$14,6,FALSE),"")</f>
        <v/>
      </c>
      <c r="T172" t="str">
        <f ca="1">IF(Tab_Calculs[[#This Row],[Combustible ]]="Electricité (kWh)",Tab_Calculs[[#This Row],[Conso_mois_kWh]]*2.3,Tab_Calculs[[#This Row],[Conso_mois_kWh]])</f>
        <v/>
      </c>
      <c r="U172" t="str">
        <f ca="1">IFERROR(N172*VLOOKUP(Tab_Calculs[[#This Row],[Colonne1]],Controle_des_données!$B$7:$H$14,7,FALSE),"")</f>
        <v/>
      </c>
      <c r="V172">
        <f ca="1">IFERROR(Tab_Calculs[[#This Row],[Cout_mois]]/Tab_Calculs[[#This Row],[Conso_mois_kWh]],0)</f>
        <v>0</v>
      </c>
      <c r="W172" t="str">
        <f>T(VLOOKUP(Tab_Calculs[[#This Row],[Compteur]],Site!$B$33:$G$40,3,FALSE))</f>
        <v/>
      </c>
      <c r="X172" t="str">
        <f>T(VLOOKUP(Tab_Calculs[[#This Row],[Compteur]],Site!$B$33:$G$40,4,FALSE))</f>
        <v/>
      </c>
      <c r="Y172" t="str">
        <f>T(VLOOKUP(Tab_Calculs[[#This Row],[Compteur]],Site!$B$33:$G$40,5,FALSE))</f>
        <v/>
      </c>
      <c r="Z172" t="str">
        <f>T(VLOOKUP(Tab_Calculs[[#This Row],[Compteur]],Site!$B$33:$G$40,6,FALSE))</f>
        <v/>
      </c>
      <c r="AA172">
        <f>IFERROR(GETPIVOTDATA("DJU(chauffagiste)",BDD_DJU!$P$13,"annee",Tab_Calculs[[#This Row],[ANNEE]],"mois_numero",Tab_Calculs[[#This Row],[MOIS]]),0)</f>
        <v>27.9</v>
      </c>
    </row>
    <row r="173" spans="1:27" x14ac:dyDescent="0.25">
      <c r="A173" s="3">
        <f>DATE(Tab_Calculs[[#This Row],[ANNEE]],Tab_Calculs[[#This Row],[MOIS]],1)</f>
        <v>45170</v>
      </c>
      <c r="B173" s="3">
        <f>EDATE(Tab_Calculs[[#This Row],[Début mois]],1)-1</f>
        <v>45199</v>
      </c>
      <c r="C173">
        <f t="shared" si="3"/>
        <v>9</v>
      </c>
      <c r="D173">
        <f t="shared" si="5"/>
        <v>2023</v>
      </c>
      <c r="E173" t="s">
        <v>80</v>
      </c>
      <c r="F173" t="str">
        <f>SUBSTITUTE(Tab_Calculs[[#This Row],[Compteur]]," ","_")</f>
        <v>Compteur_1</v>
      </c>
      <c r="G173" t="str">
        <f>T(INDEX(Site!$B$33:$G$40, MATCH(Tab_Calculs[[#This Row],[Compteur]], Site!$B$33:$B$40,0),2))</f>
        <v/>
      </c>
      <c r="H173" s="3">
        <f t="array" aca="1" ref="H173" ca="1">MIN(IF(INDIRECT(CONCATENATE(Tab_Calculs[[#This Row],[Colonne1]],"!$B$2:$B$243"))&gt;=Calculs_Consos!$A173,INDIRECT(CONCATENATE(Tab_Calculs[[#This Row],[Colonne1]],"!$B$2:$B$243"))))</f>
        <v>0</v>
      </c>
      <c r="I173" s="3">
        <f ca="1">INDEX(INDIRECT(CONCATENATE("Tab_",Tab_Calculs[[#This Row],[Colonne1]])),Tab_Calculs[[#This Row],[index_date_livraison]],1)</f>
        <v>0</v>
      </c>
      <c r="J173">
        <f ca="1">MATCH(Tab_Calculs[[#This Row],[Date_livraison]],INDIRECT(CONCATENATE("Tab_",Tab_Calculs[[#This Row],[Colonne1]],"[Fin de période]")),0)</f>
        <v>1</v>
      </c>
      <c r="K173" t="e">
        <f ca="1">INDEX(INDIRECT(CONCATENATE("Tab_",Tab_Calculs[[#This Row],[Colonne1]])),Tab_Calculs[[#This Row],[index_date_livraison]]-1,6)*(MAX(Tab_Calculs[[#This Row],[Début periode livraison]],Tab_Calculs[[#This Row],[Début mois]])-Tab_Calculs[[#This Row],[Début mois]])</f>
        <v>#VALUE!</v>
      </c>
      <c r="L173" s="94">
        <f ca="1">INDEX(INDIRECT(CONCATENATE("Tab_",Tab_Calculs[[#This Row],[Colonne1]])),Tab_Calculs[[#This Row],[index_date_livraison]],6)*(1+MIN(Tab_Calculs[[#This Row],[Date_livraison]],Tab_Calculs[[#This Row],[fin mois]])-MAX(Tab_Calculs[[#This Row],[Début mois]],Tab_Calculs[[#This Row],[Début periode livraison]]))</f>
        <v>0</v>
      </c>
      <c r="M173" s="94" t="e">
        <f ca="1">INDEX(INDIRECT(CONCATENATE("Tab_",Tab_Calculs[[#This Row],[Colonne1]])),Tab_Calculs[[#This Row],[index_date_livraison]]+1,6)*(Tab_Calculs[[#This Row],[fin mois]]-MIN(Tab_Calculs[[#This Row],[fin mois]],Tab_Calculs[[#This Row],[Date_livraison]]))</f>
        <v>#VALUE!</v>
      </c>
      <c r="N173" s="231" t="str">
        <f ca="1">IFERROR(Tab_Calculs[[#This Row],[Ratio_jour_après_livr]]+Tab_Calculs[[#This Row],[Ratio_jour_avant_livr]]+Tab_Calculs[[#This Row],[ratio_avant_debut]],"")</f>
        <v/>
      </c>
      <c r="O173" t="e">
        <f ca="1">INDEX(INDIRECT(CONCATENATE("Tab_",Tab_Calculs[[#This Row],[Colonne1]])),Tab_Calculs[[#This Row],[index_date_livraison]]-1,7)*(MAX(Tab_Calculs[[#This Row],[Début periode livraison]],Tab_Calculs[[#This Row],[Début mois]])-Tab_Calculs[[#This Row],[Début mois]])</f>
        <v>#VALUE!</v>
      </c>
      <c r="P173">
        <f ca="1">INDEX(INDIRECT(CONCATENATE("Tab_",Tab_Calculs[[#This Row],[Colonne1]])),Tab_Calculs[[#This Row],[index_date_livraison]],7)*(1+MIN(Tab_Calculs[[#This Row],[Date_livraison]],Tab_Calculs[[#This Row],[fin mois]])-MAX(Tab_Calculs[[#This Row],[Début mois]],Tab_Calculs[[#This Row],[Début periode livraison]]))</f>
        <v>0</v>
      </c>
      <c r="Q173" t="e">
        <f ca="1">INDEX(INDIRECT(CONCATENATE("Tab_",Tab_Calculs[[#This Row],[Colonne1]])),Tab_Calculs[[#This Row],[index_date_livraison]]+1,7)*(Tab_Calculs[[#This Row],[fin mois]]-MIN(Tab_Calculs[[#This Row],[fin mois]],Tab_Calculs[[#This Row],[Date_livraison]]))</f>
        <v>#VALUE!</v>
      </c>
      <c r="R173" t="e">
        <f ca="1">Tab_Calculs[[#This Row],[Ratio_Cout_après_livr]]+Tab_Calculs[[#This Row],[Ratio_Cout_avant_livr]]+Tab_Calculs[[#This Row],[Ratio_Cout_avant_debut]]</f>
        <v>#VALUE!</v>
      </c>
      <c r="S173" t="str">
        <f ca="1">IFERROR(N173*VLOOKUP(Tab_Calculs[[#This Row],[Colonne1]],Controle_des_données!$B$7:$G$14,6,FALSE),"")</f>
        <v/>
      </c>
      <c r="T173" t="str">
        <f ca="1">IF(Tab_Calculs[[#This Row],[Combustible ]]="Electricité (kWh)",Tab_Calculs[[#This Row],[Conso_mois_kWh]]*2.3,Tab_Calculs[[#This Row],[Conso_mois_kWh]])</f>
        <v/>
      </c>
      <c r="U173" t="str">
        <f ca="1">IFERROR(N173*VLOOKUP(Tab_Calculs[[#This Row],[Colonne1]],Controle_des_données!$B$7:$H$14,7,FALSE),"")</f>
        <v/>
      </c>
      <c r="V173">
        <f ca="1">IFERROR(Tab_Calculs[[#This Row],[Cout_mois]]/Tab_Calculs[[#This Row],[Conso_mois_kWh]],0)</f>
        <v>0</v>
      </c>
      <c r="W173" t="str">
        <f>T(VLOOKUP(Tab_Calculs[[#This Row],[Compteur]],Site!$B$33:$G$40,3,FALSE))</f>
        <v/>
      </c>
      <c r="X173" t="str">
        <f>T(VLOOKUP(Tab_Calculs[[#This Row],[Compteur]],Site!$B$33:$G$40,4,FALSE))</f>
        <v/>
      </c>
      <c r="Y173" t="str">
        <f>T(VLOOKUP(Tab_Calculs[[#This Row],[Compteur]],Site!$B$33:$G$40,5,FALSE))</f>
        <v/>
      </c>
      <c r="Z173" t="str">
        <f>T(VLOOKUP(Tab_Calculs[[#This Row],[Compteur]],Site!$B$33:$G$40,6,FALSE))</f>
        <v/>
      </c>
      <c r="AA173">
        <f>IFERROR(GETPIVOTDATA("DJU(chauffagiste)",BDD_DJU!$P$13,"annee",Tab_Calculs[[#This Row],[ANNEE]],"mois_numero",Tab_Calculs[[#This Row],[MOIS]]),0)</f>
        <v>30.5</v>
      </c>
    </row>
    <row r="174" spans="1:27" x14ac:dyDescent="0.25">
      <c r="A174" s="3">
        <f>DATE(Tab_Calculs[[#This Row],[ANNEE]],Tab_Calculs[[#This Row],[MOIS]],1)</f>
        <v>45200</v>
      </c>
      <c r="B174" s="3">
        <f>EDATE(Tab_Calculs[[#This Row],[Début mois]],1)-1</f>
        <v>45230</v>
      </c>
      <c r="C174">
        <f t="shared" si="3"/>
        <v>10</v>
      </c>
      <c r="D174">
        <f t="shared" si="5"/>
        <v>2023</v>
      </c>
      <c r="E174" t="s">
        <v>80</v>
      </c>
      <c r="F174" t="str">
        <f>SUBSTITUTE(Tab_Calculs[[#This Row],[Compteur]]," ","_")</f>
        <v>Compteur_1</v>
      </c>
      <c r="G174" t="str">
        <f>T(INDEX(Site!$B$33:$G$40, MATCH(Tab_Calculs[[#This Row],[Compteur]], Site!$B$33:$B$40,0),2))</f>
        <v/>
      </c>
      <c r="H174" s="3">
        <f t="array" aca="1" ref="H174" ca="1">MIN(IF(INDIRECT(CONCATENATE(Tab_Calculs[[#This Row],[Colonne1]],"!$B$2:$B$243"))&gt;=Calculs_Consos!$A174,INDIRECT(CONCATENATE(Tab_Calculs[[#This Row],[Colonne1]],"!$B$2:$B$243"))))</f>
        <v>0</v>
      </c>
      <c r="I174" s="3">
        <f ca="1">INDEX(INDIRECT(CONCATENATE("Tab_",Tab_Calculs[[#This Row],[Colonne1]])),Tab_Calculs[[#This Row],[index_date_livraison]],1)</f>
        <v>0</v>
      </c>
      <c r="J174">
        <f ca="1">MATCH(Tab_Calculs[[#This Row],[Date_livraison]],INDIRECT(CONCATENATE("Tab_",Tab_Calculs[[#This Row],[Colonne1]],"[Fin de période]")),0)</f>
        <v>1</v>
      </c>
      <c r="K174" t="e">
        <f ca="1">INDEX(INDIRECT(CONCATENATE("Tab_",Tab_Calculs[[#This Row],[Colonne1]])),Tab_Calculs[[#This Row],[index_date_livraison]]-1,6)*(MAX(Tab_Calculs[[#This Row],[Début periode livraison]],Tab_Calculs[[#This Row],[Début mois]])-Tab_Calculs[[#This Row],[Début mois]])</f>
        <v>#VALUE!</v>
      </c>
      <c r="L174" s="94">
        <f ca="1">INDEX(INDIRECT(CONCATENATE("Tab_",Tab_Calculs[[#This Row],[Colonne1]])),Tab_Calculs[[#This Row],[index_date_livraison]],6)*(1+MIN(Tab_Calculs[[#This Row],[Date_livraison]],Tab_Calculs[[#This Row],[fin mois]])-MAX(Tab_Calculs[[#This Row],[Début mois]],Tab_Calculs[[#This Row],[Début periode livraison]]))</f>
        <v>0</v>
      </c>
      <c r="M174" s="94" t="e">
        <f ca="1">INDEX(INDIRECT(CONCATENATE("Tab_",Tab_Calculs[[#This Row],[Colonne1]])),Tab_Calculs[[#This Row],[index_date_livraison]]+1,6)*(Tab_Calculs[[#This Row],[fin mois]]-MIN(Tab_Calculs[[#This Row],[fin mois]],Tab_Calculs[[#This Row],[Date_livraison]]))</f>
        <v>#VALUE!</v>
      </c>
      <c r="N174" s="231" t="str">
        <f ca="1">IFERROR(Tab_Calculs[[#This Row],[Ratio_jour_après_livr]]+Tab_Calculs[[#This Row],[Ratio_jour_avant_livr]]+Tab_Calculs[[#This Row],[ratio_avant_debut]],"")</f>
        <v/>
      </c>
      <c r="O174" t="e">
        <f ca="1">INDEX(INDIRECT(CONCATENATE("Tab_",Tab_Calculs[[#This Row],[Colonne1]])),Tab_Calculs[[#This Row],[index_date_livraison]]-1,7)*(MAX(Tab_Calculs[[#This Row],[Début periode livraison]],Tab_Calculs[[#This Row],[Début mois]])-Tab_Calculs[[#This Row],[Début mois]])</f>
        <v>#VALUE!</v>
      </c>
      <c r="P174">
        <f ca="1">INDEX(INDIRECT(CONCATENATE("Tab_",Tab_Calculs[[#This Row],[Colonne1]])),Tab_Calculs[[#This Row],[index_date_livraison]],7)*(1+MIN(Tab_Calculs[[#This Row],[Date_livraison]],Tab_Calculs[[#This Row],[fin mois]])-MAX(Tab_Calculs[[#This Row],[Début mois]],Tab_Calculs[[#This Row],[Début periode livraison]]))</f>
        <v>0</v>
      </c>
      <c r="Q174" t="e">
        <f ca="1">INDEX(INDIRECT(CONCATENATE("Tab_",Tab_Calculs[[#This Row],[Colonne1]])),Tab_Calculs[[#This Row],[index_date_livraison]]+1,7)*(Tab_Calculs[[#This Row],[fin mois]]-MIN(Tab_Calculs[[#This Row],[fin mois]],Tab_Calculs[[#This Row],[Date_livraison]]))</f>
        <v>#VALUE!</v>
      </c>
      <c r="R174" t="e">
        <f ca="1">Tab_Calculs[[#This Row],[Ratio_Cout_après_livr]]+Tab_Calculs[[#This Row],[Ratio_Cout_avant_livr]]+Tab_Calculs[[#This Row],[Ratio_Cout_avant_debut]]</f>
        <v>#VALUE!</v>
      </c>
      <c r="S174" t="str">
        <f ca="1">IFERROR(N174*VLOOKUP(Tab_Calculs[[#This Row],[Colonne1]],Controle_des_données!$B$7:$G$14,6,FALSE),"")</f>
        <v/>
      </c>
      <c r="T174" t="str">
        <f ca="1">IF(Tab_Calculs[[#This Row],[Combustible ]]="Electricité (kWh)",Tab_Calculs[[#This Row],[Conso_mois_kWh]]*2.3,Tab_Calculs[[#This Row],[Conso_mois_kWh]])</f>
        <v/>
      </c>
      <c r="U174" t="str">
        <f ca="1">IFERROR(N174*VLOOKUP(Tab_Calculs[[#This Row],[Colonne1]],Controle_des_données!$B$7:$H$14,7,FALSE),"")</f>
        <v/>
      </c>
      <c r="V174">
        <f ca="1">IFERROR(Tab_Calculs[[#This Row],[Cout_mois]]/Tab_Calculs[[#This Row],[Conso_mois_kWh]],0)</f>
        <v>0</v>
      </c>
      <c r="W174" t="str">
        <f>T(VLOOKUP(Tab_Calculs[[#This Row],[Compteur]],Site!$B$33:$G$40,3,FALSE))</f>
        <v/>
      </c>
      <c r="X174" t="str">
        <f>T(VLOOKUP(Tab_Calculs[[#This Row],[Compteur]],Site!$B$33:$G$40,4,FALSE))</f>
        <v/>
      </c>
      <c r="Y174" t="str">
        <f>T(VLOOKUP(Tab_Calculs[[#This Row],[Compteur]],Site!$B$33:$G$40,5,FALSE))</f>
        <v/>
      </c>
      <c r="Z174" t="str">
        <f>T(VLOOKUP(Tab_Calculs[[#This Row],[Compteur]],Site!$B$33:$G$40,6,FALSE))</f>
        <v/>
      </c>
      <c r="AA174">
        <f>IFERROR(GETPIVOTDATA("DJU(chauffagiste)",BDD_DJU!$P$13,"annee",Tab_Calculs[[#This Row],[ANNEE]],"mois_numero",Tab_Calculs[[#This Row],[MOIS]]),0)</f>
        <v>115.8</v>
      </c>
    </row>
    <row r="175" spans="1:27" x14ac:dyDescent="0.25">
      <c r="A175" s="3">
        <f>DATE(Tab_Calculs[[#This Row],[ANNEE]],Tab_Calculs[[#This Row],[MOIS]],1)</f>
        <v>45231</v>
      </c>
      <c r="B175" s="3">
        <f>EDATE(Tab_Calculs[[#This Row],[Début mois]],1)-1</f>
        <v>45260</v>
      </c>
      <c r="C175">
        <f t="shared" si="3"/>
        <v>11</v>
      </c>
      <c r="D175">
        <f t="shared" si="5"/>
        <v>2023</v>
      </c>
      <c r="E175" t="s">
        <v>80</v>
      </c>
      <c r="F175" t="str">
        <f>SUBSTITUTE(Tab_Calculs[[#This Row],[Compteur]]," ","_")</f>
        <v>Compteur_1</v>
      </c>
      <c r="G175" t="str">
        <f>T(INDEX(Site!$B$33:$G$40, MATCH(Tab_Calculs[[#This Row],[Compteur]], Site!$B$33:$B$40,0),2))</f>
        <v/>
      </c>
      <c r="H175" s="3">
        <f t="array" aca="1" ref="H175" ca="1">MIN(IF(INDIRECT(CONCATENATE(Tab_Calculs[[#This Row],[Colonne1]],"!$B$2:$B$243"))&gt;=Calculs_Consos!$A175,INDIRECT(CONCATENATE(Tab_Calculs[[#This Row],[Colonne1]],"!$B$2:$B$243"))))</f>
        <v>0</v>
      </c>
      <c r="I175" s="3">
        <f ca="1">INDEX(INDIRECT(CONCATENATE("Tab_",Tab_Calculs[[#This Row],[Colonne1]])),Tab_Calculs[[#This Row],[index_date_livraison]],1)</f>
        <v>0</v>
      </c>
      <c r="J175">
        <f ca="1">MATCH(Tab_Calculs[[#This Row],[Date_livraison]],INDIRECT(CONCATENATE("Tab_",Tab_Calculs[[#This Row],[Colonne1]],"[Fin de période]")),0)</f>
        <v>1</v>
      </c>
      <c r="K175" t="e">
        <f ca="1">INDEX(INDIRECT(CONCATENATE("Tab_",Tab_Calculs[[#This Row],[Colonne1]])),Tab_Calculs[[#This Row],[index_date_livraison]]-1,6)*(MAX(Tab_Calculs[[#This Row],[Début periode livraison]],Tab_Calculs[[#This Row],[Début mois]])-Tab_Calculs[[#This Row],[Début mois]])</f>
        <v>#VALUE!</v>
      </c>
      <c r="L175" s="94">
        <f ca="1">INDEX(INDIRECT(CONCATENATE("Tab_",Tab_Calculs[[#This Row],[Colonne1]])),Tab_Calculs[[#This Row],[index_date_livraison]],6)*(1+MIN(Tab_Calculs[[#This Row],[Date_livraison]],Tab_Calculs[[#This Row],[fin mois]])-MAX(Tab_Calculs[[#This Row],[Début mois]],Tab_Calculs[[#This Row],[Début periode livraison]]))</f>
        <v>0</v>
      </c>
      <c r="M175" s="94" t="e">
        <f ca="1">INDEX(INDIRECT(CONCATENATE("Tab_",Tab_Calculs[[#This Row],[Colonne1]])),Tab_Calculs[[#This Row],[index_date_livraison]]+1,6)*(Tab_Calculs[[#This Row],[fin mois]]-MIN(Tab_Calculs[[#This Row],[fin mois]],Tab_Calculs[[#This Row],[Date_livraison]]))</f>
        <v>#VALUE!</v>
      </c>
      <c r="N175" s="231" t="str">
        <f ca="1">IFERROR(Tab_Calculs[[#This Row],[Ratio_jour_après_livr]]+Tab_Calculs[[#This Row],[Ratio_jour_avant_livr]]+Tab_Calculs[[#This Row],[ratio_avant_debut]],"")</f>
        <v/>
      </c>
      <c r="O175" t="e">
        <f ca="1">INDEX(INDIRECT(CONCATENATE("Tab_",Tab_Calculs[[#This Row],[Colonne1]])),Tab_Calculs[[#This Row],[index_date_livraison]]-1,7)*(MAX(Tab_Calculs[[#This Row],[Début periode livraison]],Tab_Calculs[[#This Row],[Début mois]])-Tab_Calculs[[#This Row],[Début mois]])</f>
        <v>#VALUE!</v>
      </c>
      <c r="P175">
        <f ca="1">INDEX(INDIRECT(CONCATENATE("Tab_",Tab_Calculs[[#This Row],[Colonne1]])),Tab_Calculs[[#This Row],[index_date_livraison]],7)*(1+MIN(Tab_Calculs[[#This Row],[Date_livraison]],Tab_Calculs[[#This Row],[fin mois]])-MAX(Tab_Calculs[[#This Row],[Début mois]],Tab_Calculs[[#This Row],[Début periode livraison]]))</f>
        <v>0</v>
      </c>
      <c r="Q175" t="e">
        <f ca="1">INDEX(INDIRECT(CONCATENATE("Tab_",Tab_Calculs[[#This Row],[Colonne1]])),Tab_Calculs[[#This Row],[index_date_livraison]]+1,7)*(Tab_Calculs[[#This Row],[fin mois]]-MIN(Tab_Calculs[[#This Row],[fin mois]],Tab_Calculs[[#This Row],[Date_livraison]]))</f>
        <v>#VALUE!</v>
      </c>
      <c r="R175" t="e">
        <f ca="1">Tab_Calculs[[#This Row],[Ratio_Cout_après_livr]]+Tab_Calculs[[#This Row],[Ratio_Cout_avant_livr]]+Tab_Calculs[[#This Row],[Ratio_Cout_avant_debut]]</f>
        <v>#VALUE!</v>
      </c>
      <c r="S175" t="str">
        <f ca="1">IFERROR(N175*VLOOKUP(Tab_Calculs[[#This Row],[Colonne1]],Controle_des_données!$B$7:$G$14,6,FALSE),"")</f>
        <v/>
      </c>
      <c r="T175" t="str">
        <f ca="1">IF(Tab_Calculs[[#This Row],[Combustible ]]="Electricité (kWh)",Tab_Calculs[[#This Row],[Conso_mois_kWh]]*2.3,Tab_Calculs[[#This Row],[Conso_mois_kWh]])</f>
        <v/>
      </c>
      <c r="U175" t="str">
        <f ca="1">IFERROR(N175*VLOOKUP(Tab_Calculs[[#This Row],[Colonne1]],Controle_des_données!$B$7:$H$14,7,FALSE),"")</f>
        <v/>
      </c>
      <c r="V175">
        <f ca="1">IFERROR(Tab_Calculs[[#This Row],[Cout_mois]]/Tab_Calculs[[#This Row],[Conso_mois_kWh]],0)</f>
        <v>0</v>
      </c>
      <c r="W175" t="str">
        <f>T(VLOOKUP(Tab_Calculs[[#This Row],[Compteur]],Site!$B$33:$G$40,3,FALSE))</f>
        <v/>
      </c>
      <c r="X175" t="str">
        <f>T(VLOOKUP(Tab_Calculs[[#This Row],[Compteur]],Site!$B$33:$G$40,4,FALSE))</f>
        <v/>
      </c>
      <c r="Y175" t="str">
        <f>T(VLOOKUP(Tab_Calculs[[#This Row],[Compteur]],Site!$B$33:$G$40,5,FALSE))</f>
        <v/>
      </c>
      <c r="Z175" t="str">
        <f>T(VLOOKUP(Tab_Calculs[[#This Row],[Compteur]],Site!$B$33:$G$40,6,FALSE))</f>
        <v/>
      </c>
      <c r="AA175">
        <f>IFERROR(GETPIVOTDATA("DJU(chauffagiste)",BDD_DJU!$P$13,"annee",Tab_Calculs[[#This Row],[ANNEE]],"mois_numero",Tab_Calculs[[#This Row],[MOIS]]),0)</f>
        <v>239.8</v>
      </c>
    </row>
    <row r="176" spans="1:27" x14ac:dyDescent="0.25">
      <c r="A176" s="3">
        <f>DATE(Tab_Calculs[[#This Row],[ANNEE]],Tab_Calculs[[#This Row],[MOIS]],1)</f>
        <v>45261</v>
      </c>
      <c r="B176" s="3">
        <f>EDATE(Tab_Calculs[[#This Row],[Début mois]],1)-1</f>
        <v>45291</v>
      </c>
      <c r="C176">
        <f t="shared" si="3"/>
        <v>12</v>
      </c>
      <c r="D176">
        <f t="shared" si="5"/>
        <v>2023</v>
      </c>
      <c r="E176" t="s">
        <v>80</v>
      </c>
      <c r="F176" t="str">
        <f>SUBSTITUTE(Tab_Calculs[[#This Row],[Compteur]]," ","_")</f>
        <v>Compteur_1</v>
      </c>
      <c r="G176" t="str">
        <f>T(INDEX(Site!$B$33:$G$40, MATCH(Tab_Calculs[[#This Row],[Compteur]], Site!$B$33:$B$40,0),2))</f>
        <v/>
      </c>
      <c r="H176" s="3">
        <f t="array" aca="1" ref="H176" ca="1">MIN(IF(INDIRECT(CONCATENATE(Tab_Calculs[[#This Row],[Colonne1]],"!$B$2:$B$243"))&gt;=Calculs_Consos!$A176,INDIRECT(CONCATENATE(Tab_Calculs[[#This Row],[Colonne1]],"!$B$2:$B$243"))))</f>
        <v>0</v>
      </c>
      <c r="I176" s="3">
        <f ca="1">INDEX(INDIRECT(CONCATENATE("Tab_",Tab_Calculs[[#This Row],[Colonne1]])),Tab_Calculs[[#This Row],[index_date_livraison]],1)</f>
        <v>0</v>
      </c>
      <c r="J176">
        <f ca="1">MATCH(Tab_Calculs[[#This Row],[Date_livraison]],INDIRECT(CONCATENATE("Tab_",Tab_Calculs[[#This Row],[Colonne1]],"[Fin de période]")),0)</f>
        <v>1</v>
      </c>
      <c r="K176" t="e">
        <f ca="1">INDEX(INDIRECT(CONCATENATE("Tab_",Tab_Calculs[[#This Row],[Colonne1]])),Tab_Calculs[[#This Row],[index_date_livraison]]-1,6)*(MAX(Tab_Calculs[[#This Row],[Début periode livraison]],Tab_Calculs[[#This Row],[Début mois]])-Tab_Calculs[[#This Row],[Début mois]])</f>
        <v>#VALUE!</v>
      </c>
      <c r="L176" s="94">
        <f ca="1">INDEX(INDIRECT(CONCATENATE("Tab_",Tab_Calculs[[#This Row],[Colonne1]])),Tab_Calculs[[#This Row],[index_date_livraison]],6)*(1+MIN(Tab_Calculs[[#This Row],[Date_livraison]],Tab_Calculs[[#This Row],[fin mois]])-MAX(Tab_Calculs[[#This Row],[Début mois]],Tab_Calculs[[#This Row],[Début periode livraison]]))</f>
        <v>0</v>
      </c>
      <c r="M176" s="94" t="e">
        <f ca="1">INDEX(INDIRECT(CONCATENATE("Tab_",Tab_Calculs[[#This Row],[Colonne1]])),Tab_Calculs[[#This Row],[index_date_livraison]]+1,6)*(Tab_Calculs[[#This Row],[fin mois]]-MIN(Tab_Calculs[[#This Row],[fin mois]],Tab_Calculs[[#This Row],[Date_livraison]]))</f>
        <v>#VALUE!</v>
      </c>
      <c r="N176" s="231" t="str">
        <f ca="1">IFERROR(Tab_Calculs[[#This Row],[Ratio_jour_après_livr]]+Tab_Calculs[[#This Row],[Ratio_jour_avant_livr]]+Tab_Calculs[[#This Row],[ratio_avant_debut]],"")</f>
        <v/>
      </c>
      <c r="O176" t="e">
        <f ca="1">INDEX(INDIRECT(CONCATENATE("Tab_",Tab_Calculs[[#This Row],[Colonne1]])),Tab_Calculs[[#This Row],[index_date_livraison]]-1,7)*(MAX(Tab_Calculs[[#This Row],[Début periode livraison]],Tab_Calculs[[#This Row],[Début mois]])-Tab_Calculs[[#This Row],[Début mois]])</f>
        <v>#VALUE!</v>
      </c>
      <c r="P176">
        <f ca="1">INDEX(INDIRECT(CONCATENATE("Tab_",Tab_Calculs[[#This Row],[Colonne1]])),Tab_Calculs[[#This Row],[index_date_livraison]],7)*(1+MIN(Tab_Calculs[[#This Row],[Date_livraison]],Tab_Calculs[[#This Row],[fin mois]])-MAX(Tab_Calculs[[#This Row],[Début mois]],Tab_Calculs[[#This Row],[Début periode livraison]]))</f>
        <v>0</v>
      </c>
      <c r="Q176" t="e">
        <f ca="1">INDEX(INDIRECT(CONCATENATE("Tab_",Tab_Calculs[[#This Row],[Colonne1]])),Tab_Calculs[[#This Row],[index_date_livraison]]+1,7)*(Tab_Calculs[[#This Row],[fin mois]]-MIN(Tab_Calculs[[#This Row],[fin mois]],Tab_Calculs[[#This Row],[Date_livraison]]))</f>
        <v>#VALUE!</v>
      </c>
      <c r="R176" t="e">
        <f ca="1">Tab_Calculs[[#This Row],[Ratio_Cout_après_livr]]+Tab_Calculs[[#This Row],[Ratio_Cout_avant_livr]]+Tab_Calculs[[#This Row],[Ratio_Cout_avant_debut]]</f>
        <v>#VALUE!</v>
      </c>
      <c r="S176" t="str">
        <f ca="1">IFERROR(N176*VLOOKUP(Tab_Calculs[[#This Row],[Colonne1]],Controle_des_données!$B$7:$G$14,6,FALSE),"")</f>
        <v/>
      </c>
      <c r="T176" t="str">
        <f ca="1">IF(Tab_Calculs[[#This Row],[Combustible ]]="Electricité (kWh)",Tab_Calculs[[#This Row],[Conso_mois_kWh]]*2.3,Tab_Calculs[[#This Row],[Conso_mois_kWh]])</f>
        <v/>
      </c>
      <c r="U176" t="str">
        <f ca="1">IFERROR(N176*VLOOKUP(Tab_Calculs[[#This Row],[Colonne1]],Controle_des_données!$B$7:$H$14,7,FALSE),"")</f>
        <v/>
      </c>
      <c r="V176">
        <f ca="1">IFERROR(Tab_Calculs[[#This Row],[Cout_mois]]/Tab_Calculs[[#This Row],[Conso_mois_kWh]],0)</f>
        <v>0</v>
      </c>
      <c r="W176" t="str">
        <f>T(VLOOKUP(Tab_Calculs[[#This Row],[Compteur]],Site!$B$33:$G$40,3,FALSE))</f>
        <v/>
      </c>
      <c r="X176" t="str">
        <f>T(VLOOKUP(Tab_Calculs[[#This Row],[Compteur]],Site!$B$33:$G$40,4,FALSE))</f>
        <v/>
      </c>
      <c r="Y176" t="str">
        <f>T(VLOOKUP(Tab_Calculs[[#This Row],[Compteur]],Site!$B$33:$G$40,5,FALSE))</f>
        <v/>
      </c>
      <c r="Z176" t="str">
        <f>T(VLOOKUP(Tab_Calculs[[#This Row],[Compteur]],Site!$B$33:$G$40,6,FALSE))</f>
        <v/>
      </c>
      <c r="AA176">
        <f>IFERROR(GETPIVOTDATA("DJU(chauffagiste)",BDD_DJU!$P$13,"annee",Tab_Calculs[[#This Row],[ANNEE]],"mois_numero",Tab_Calculs[[#This Row],[MOIS]]),0)</f>
        <v>300.89999999999998</v>
      </c>
    </row>
    <row r="177" spans="1:27" x14ac:dyDescent="0.25">
      <c r="A177" s="3">
        <f>DATE(Tab_Calculs[[#This Row],[ANNEE]],Tab_Calculs[[#This Row],[MOIS]],1)</f>
        <v>45292</v>
      </c>
      <c r="B177" s="3">
        <f>EDATE(Tab_Calculs[[#This Row],[Début mois]],1)-1</f>
        <v>45322</v>
      </c>
      <c r="C177">
        <f t="shared" si="3"/>
        <v>1</v>
      </c>
      <c r="D177">
        <f t="shared" si="5"/>
        <v>2024</v>
      </c>
      <c r="E177" t="s">
        <v>80</v>
      </c>
      <c r="F177" t="str">
        <f>SUBSTITUTE(Tab_Calculs[[#This Row],[Compteur]]," ","_")</f>
        <v>Compteur_1</v>
      </c>
      <c r="G177" t="str">
        <f>T(INDEX(Site!$B$33:$G$40, MATCH(Tab_Calculs[[#This Row],[Compteur]], Site!$B$33:$B$40,0),2))</f>
        <v/>
      </c>
      <c r="H177" s="3">
        <f t="array" aca="1" ref="H177" ca="1">MIN(IF(INDIRECT(CONCATENATE(Tab_Calculs[[#This Row],[Colonne1]],"!$B$2:$B$243"))&gt;=Calculs_Consos!$A177,INDIRECT(CONCATENATE(Tab_Calculs[[#This Row],[Colonne1]],"!$B$2:$B$243"))))</f>
        <v>0</v>
      </c>
      <c r="I177" s="3">
        <f ca="1">INDEX(INDIRECT(CONCATENATE("Tab_",Tab_Calculs[[#This Row],[Colonne1]])),Tab_Calculs[[#This Row],[index_date_livraison]],1)</f>
        <v>0</v>
      </c>
      <c r="J177">
        <f ca="1">MATCH(Tab_Calculs[[#This Row],[Date_livraison]],INDIRECT(CONCATENATE("Tab_",Tab_Calculs[[#This Row],[Colonne1]],"[Fin de période]")),0)</f>
        <v>1</v>
      </c>
      <c r="K177" t="e">
        <f ca="1">INDEX(INDIRECT(CONCATENATE("Tab_",Tab_Calculs[[#This Row],[Colonne1]])),Tab_Calculs[[#This Row],[index_date_livraison]]-1,6)*(MAX(Tab_Calculs[[#This Row],[Début periode livraison]],Tab_Calculs[[#This Row],[Début mois]])-Tab_Calculs[[#This Row],[Début mois]])</f>
        <v>#VALUE!</v>
      </c>
      <c r="L177" s="94">
        <f ca="1">INDEX(INDIRECT(CONCATENATE("Tab_",Tab_Calculs[[#This Row],[Colonne1]])),Tab_Calculs[[#This Row],[index_date_livraison]],6)*(1+MIN(Tab_Calculs[[#This Row],[Date_livraison]],Tab_Calculs[[#This Row],[fin mois]])-MAX(Tab_Calculs[[#This Row],[Début mois]],Tab_Calculs[[#This Row],[Début periode livraison]]))</f>
        <v>0</v>
      </c>
      <c r="M177" s="94" t="e">
        <f ca="1">INDEX(INDIRECT(CONCATENATE("Tab_",Tab_Calculs[[#This Row],[Colonne1]])),Tab_Calculs[[#This Row],[index_date_livraison]]+1,6)*(Tab_Calculs[[#This Row],[fin mois]]-MIN(Tab_Calculs[[#This Row],[fin mois]],Tab_Calculs[[#This Row],[Date_livraison]]))</f>
        <v>#VALUE!</v>
      </c>
      <c r="N177" s="231" t="str">
        <f ca="1">IFERROR(Tab_Calculs[[#This Row],[Ratio_jour_après_livr]]+Tab_Calculs[[#This Row],[Ratio_jour_avant_livr]]+Tab_Calculs[[#This Row],[ratio_avant_debut]],"")</f>
        <v/>
      </c>
      <c r="O177" t="e">
        <f ca="1">INDEX(INDIRECT(CONCATENATE("Tab_",Tab_Calculs[[#This Row],[Colonne1]])),Tab_Calculs[[#This Row],[index_date_livraison]]-1,7)*(MAX(Tab_Calculs[[#This Row],[Début periode livraison]],Tab_Calculs[[#This Row],[Début mois]])-Tab_Calculs[[#This Row],[Début mois]])</f>
        <v>#VALUE!</v>
      </c>
      <c r="P177">
        <f ca="1">INDEX(INDIRECT(CONCATENATE("Tab_",Tab_Calculs[[#This Row],[Colonne1]])),Tab_Calculs[[#This Row],[index_date_livraison]],7)*(1+MIN(Tab_Calculs[[#This Row],[Date_livraison]],Tab_Calculs[[#This Row],[fin mois]])-MAX(Tab_Calculs[[#This Row],[Début mois]],Tab_Calculs[[#This Row],[Début periode livraison]]))</f>
        <v>0</v>
      </c>
      <c r="Q177" t="e">
        <f ca="1">INDEX(INDIRECT(CONCATENATE("Tab_",Tab_Calculs[[#This Row],[Colonne1]])),Tab_Calculs[[#This Row],[index_date_livraison]]+1,7)*(Tab_Calculs[[#This Row],[fin mois]]-MIN(Tab_Calculs[[#This Row],[fin mois]],Tab_Calculs[[#This Row],[Date_livraison]]))</f>
        <v>#VALUE!</v>
      </c>
      <c r="R177" t="e">
        <f ca="1">Tab_Calculs[[#This Row],[Ratio_Cout_après_livr]]+Tab_Calculs[[#This Row],[Ratio_Cout_avant_livr]]+Tab_Calculs[[#This Row],[Ratio_Cout_avant_debut]]</f>
        <v>#VALUE!</v>
      </c>
      <c r="S177" t="str">
        <f ca="1">IFERROR(N177*VLOOKUP(Tab_Calculs[[#This Row],[Colonne1]],Controle_des_données!$B$7:$G$14,6,FALSE),"")</f>
        <v/>
      </c>
      <c r="T177" t="str">
        <f ca="1">IF(Tab_Calculs[[#This Row],[Combustible ]]="Electricité (kWh)",Tab_Calculs[[#This Row],[Conso_mois_kWh]]*2.3,Tab_Calculs[[#This Row],[Conso_mois_kWh]])</f>
        <v/>
      </c>
      <c r="U177" t="str">
        <f ca="1">IFERROR(N177*VLOOKUP(Tab_Calculs[[#This Row],[Colonne1]],Controle_des_données!$B$7:$H$14,7,FALSE),"")</f>
        <v/>
      </c>
      <c r="V177">
        <f ca="1">IFERROR(Tab_Calculs[[#This Row],[Cout_mois]]/Tab_Calculs[[#This Row],[Conso_mois_kWh]],0)</f>
        <v>0</v>
      </c>
      <c r="W177" t="str">
        <f>T(VLOOKUP(Tab_Calculs[[#This Row],[Compteur]],Site!$B$33:$G$40,3,FALSE))</f>
        <v/>
      </c>
      <c r="X177" t="str">
        <f>T(VLOOKUP(Tab_Calculs[[#This Row],[Compteur]],Site!$B$33:$G$40,4,FALSE))</f>
        <v/>
      </c>
      <c r="Y177" t="str">
        <f>T(VLOOKUP(Tab_Calculs[[#This Row],[Compteur]],Site!$B$33:$G$40,5,FALSE))</f>
        <v/>
      </c>
      <c r="Z177" t="str">
        <f>T(VLOOKUP(Tab_Calculs[[#This Row],[Compteur]],Site!$B$33:$G$40,6,FALSE))</f>
        <v/>
      </c>
      <c r="AA177">
        <f>IFERROR(GETPIVOTDATA("DJU(chauffagiste)",BDD_DJU!$P$13,"annee",Tab_Calculs[[#This Row],[ANNEE]],"mois_numero",Tab_Calculs[[#This Row],[MOIS]]),0)</f>
        <v>0</v>
      </c>
    </row>
    <row r="178" spans="1:27" x14ac:dyDescent="0.25">
      <c r="A178" s="3">
        <f>DATE(Tab_Calculs[[#This Row],[ANNEE]],Tab_Calculs[[#This Row],[MOIS]],1)</f>
        <v>45323</v>
      </c>
      <c r="B178" s="3">
        <f>EDATE(Tab_Calculs[[#This Row],[Début mois]],1)-1</f>
        <v>45351</v>
      </c>
      <c r="C178">
        <f t="shared" si="3"/>
        <v>2</v>
      </c>
      <c r="D178">
        <f t="shared" si="5"/>
        <v>2024</v>
      </c>
      <c r="E178" t="s">
        <v>80</v>
      </c>
      <c r="F178" t="str">
        <f>SUBSTITUTE(Tab_Calculs[[#This Row],[Compteur]]," ","_")</f>
        <v>Compteur_1</v>
      </c>
      <c r="G178" t="str">
        <f>T(INDEX(Site!$B$33:$G$40, MATCH(Tab_Calculs[[#This Row],[Compteur]], Site!$B$33:$B$40,0),2))</f>
        <v/>
      </c>
      <c r="H178" s="3">
        <f t="array" aca="1" ref="H178" ca="1">MIN(IF(INDIRECT(CONCATENATE(Tab_Calculs[[#This Row],[Colonne1]],"!$B$2:$B$243"))&gt;=Calculs_Consos!$A178,INDIRECT(CONCATENATE(Tab_Calculs[[#This Row],[Colonne1]],"!$B$2:$B$243"))))</f>
        <v>0</v>
      </c>
      <c r="I178" s="3">
        <f ca="1">INDEX(INDIRECT(CONCATENATE("Tab_",Tab_Calculs[[#This Row],[Colonne1]])),Tab_Calculs[[#This Row],[index_date_livraison]],1)</f>
        <v>0</v>
      </c>
      <c r="J178">
        <f ca="1">MATCH(Tab_Calculs[[#This Row],[Date_livraison]],INDIRECT(CONCATENATE("Tab_",Tab_Calculs[[#This Row],[Colonne1]],"[Fin de période]")),0)</f>
        <v>1</v>
      </c>
      <c r="K178" t="e">
        <f ca="1">INDEX(INDIRECT(CONCATENATE("Tab_",Tab_Calculs[[#This Row],[Colonne1]])),Tab_Calculs[[#This Row],[index_date_livraison]]-1,6)*(MAX(Tab_Calculs[[#This Row],[Début periode livraison]],Tab_Calculs[[#This Row],[Début mois]])-Tab_Calculs[[#This Row],[Début mois]])</f>
        <v>#VALUE!</v>
      </c>
      <c r="L178" s="94">
        <f ca="1">INDEX(INDIRECT(CONCATENATE("Tab_",Tab_Calculs[[#This Row],[Colonne1]])),Tab_Calculs[[#This Row],[index_date_livraison]],6)*(1+MIN(Tab_Calculs[[#This Row],[Date_livraison]],Tab_Calculs[[#This Row],[fin mois]])-MAX(Tab_Calculs[[#This Row],[Début mois]],Tab_Calculs[[#This Row],[Début periode livraison]]))</f>
        <v>0</v>
      </c>
      <c r="M178" s="94" t="e">
        <f ca="1">INDEX(INDIRECT(CONCATENATE("Tab_",Tab_Calculs[[#This Row],[Colonne1]])),Tab_Calculs[[#This Row],[index_date_livraison]]+1,6)*(Tab_Calculs[[#This Row],[fin mois]]-MIN(Tab_Calculs[[#This Row],[fin mois]],Tab_Calculs[[#This Row],[Date_livraison]]))</f>
        <v>#VALUE!</v>
      </c>
      <c r="N178" s="231" t="str">
        <f ca="1">IFERROR(Tab_Calculs[[#This Row],[Ratio_jour_après_livr]]+Tab_Calculs[[#This Row],[Ratio_jour_avant_livr]]+Tab_Calculs[[#This Row],[ratio_avant_debut]],"")</f>
        <v/>
      </c>
      <c r="O178" t="e">
        <f ca="1">INDEX(INDIRECT(CONCATENATE("Tab_",Tab_Calculs[[#This Row],[Colonne1]])),Tab_Calculs[[#This Row],[index_date_livraison]]-1,7)*(MAX(Tab_Calculs[[#This Row],[Début periode livraison]],Tab_Calculs[[#This Row],[Début mois]])-Tab_Calculs[[#This Row],[Début mois]])</f>
        <v>#VALUE!</v>
      </c>
      <c r="P178">
        <f ca="1">INDEX(INDIRECT(CONCATENATE("Tab_",Tab_Calculs[[#This Row],[Colonne1]])),Tab_Calculs[[#This Row],[index_date_livraison]],7)*(1+MIN(Tab_Calculs[[#This Row],[Date_livraison]],Tab_Calculs[[#This Row],[fin mois]])-MAX(Tab_Calculs[[#This Row],[Début mois]],Tab_Calculs[[#This Row],[Début periode livraison]]))</f>
        <v>0</v>
      </c>
      <c r="Q178" t="e">
        <f ca="1">INDEX(INDIRECT(CONCATENATE("Tab_",Tab_Calculs[[#This Row],[Colonne1]])),Tab_Calculs[[#This Row],[index_date_livraison]]+1,7)*(Tab_Calculs[[#This Row],[fin mois]]-MIN(Tab_Calculs[[#This Row],[fin mois]],Tab_Calculs[[#This Row],[Date_livraison]]))</f>
        <v>#VALUE!</v>
      </c>
      <c r="R178" t="e">
        <f ca="1">Tab_Calculs[[#This Row],[Ratio_Cout_après_livr]]+Tab_Calculs[[#This Row],[Ratio_Cout_avant_livr]]+Tab_Calculs[[#This Row],[Ratio_Cout_avant_debut]]</f>
        <v>#VALUE!</v>
      </c>
      <c r="S178" t="str">
        <f ca="1">IFERROR(N178*VLOOKUP(Tab_Calculs[[#This Row],[Colonne1]],Controle_des_données!$B$7:$G$14,6,FALSE),"")</f>
        <v/>
      </c>
      <c r="T178" t="str">
        <f ca="1">IF(Tab_Calculs[[#This Row],[Combustible ]]="Electricité (kWh)",Tab_Calculs[[#This Row],[Conso_mois_kWh]]*2.3,Tab_Calculs[[#This Row],[Conso_mois_kWh]])</f>
        <v/>
      </c>
      <c r="U178" t="str">
        <f ca="1">IFERROR(N178*VLOOKUP(Tab_Calculs[[#This Row],[Colonne1]],Controle_des_données!$B$7:$H$14,7,FALSE),"")</f>
        <v/>
      </c>
      <c r="V178">
        <f ca="1">IFERROR(Tab_Calculs[[#This Row],[Cout_mois]]/Tab_Calculs[[#This Row],[Conso_mois_kWh]],0)</f>
        <v>0</v>
      </c>
      <c r="W178" t="str">
        <f>T(VLOOKUP(Tab_Calculs[[#This Row],[Compteur]],Site!$B$33:$G$40,3,FALSE))</f>
        <v/>
      </c>
      <c r="X178" t="str">
        <f>T(VLOOKUP(Tab_Calculs[[#This Row],[Compteur]],Site!$B$33:$G$40,4,FALSE))</f>
        <v/>
      </c>
      <c r="Y178" t="str">
        <f>T(VLOOKUP(Tab_Calculs[[#This Row],[Compteur]],Site!$B$33:$G$40,5,FALSE))</f>
        <v/>
      </c>
      <c r="Z178" t="str">
        <f>T(VLOOKUP(Tab_Calculs[[#This Row],[Compteur]],Site!$B$33:$G$40,6,FALSE))</f>
        <v/>
      </c>
      <c r="AA178">
        <f>IFERROR(GETPIVOTDATA("DJU(chauffagiste)",BDD_DJU!$P$13,"annee",Tab_Calculs[[#This Row],[ANNEE]],"mois_numero",Tab_Calculs[[#This Row],[MOIS]]),0)</f>
        <v>0</v>
      </c>
    </row>
    <row r="179" spans="1:27" x14ac:dyDescent="0.25">
      <c r="A179" s="3">
        <f>DATE(Tab_Calculs[[#This Row],[ANNEE]],Tab_Calculs[[#This Row],[MOIS]],1)</f>
        <v>45352</v>
      </c>
      <c r="B179" s="3">
        <f>EDATE(Tab_Calculs[[#This Row],[Début mois]],1)-1</f>
        <v>45382</v>
      </c>
      <c r="C179">
        <f t="shared" si="3"/>
        <v>3</v>
      </c>
      <c r="D179">
        <f t="shared" si="5"/>
        <v>2024</v>
      </c>
      <c r="E179" t="s">
        <v>80</v>
      </c>
      <c r="F179" t="str">
        <f>SUBSTITUTE(Tab_Calculs[[#This Row],[Compteur]]," ","_")</f>
        <v>Compteur_1</v>
      </c>
      <c r="G179" t="str">
        <f>T(INDEX(Site!$B$33:$G$40, MATCH(Tab_Calculs[[#This Row],[Compteur]], Site!$B$33:$B$40,0),2))</f>
        <v/>
      </c>
      <c r="H179" s="3">
        <f t="array" aca="1" ref="H179" ca="1">MIN(IF(INDIRECT(CONCATENATE(Tab_Calculs[[#This Row],[Colonne1]],"!$B$2:$B$243"))&gt;=Calculs_Consos!$A179,INDIRECT(CONCATENATE(Tab_Calculs[[#This Row],[Colonne1]],"!$B$2:$B$243"))))</f>
        <v>0</v>
      </c>
      <c r="I179" s="3">
        <f ca="1">INDEX(INDIRECT(CONCATENATE("Tab_",Tab_Calculs[[#This Row],[Colonne1]])),Tab_Calculs[[#This Row],[index_date_livraison]],1)</f>
        <v>0</v>
      </c>
      <c r="J179">
        <f ca="1">MATCH(Tab_Calculs[[#This Row],[Date_livraison]],INDIRECT(CONCATENATE("Tab_",Tab_Calculs[[#This Row],[Colonne1]],"[Fin de période]")),0)</f>
        <v>1</v>
      </c>
      <c r="K179" t="e">
        <f ca="1">INDEX(INDIRECT(CONCATENATE("Tab_",Tab_Calculs[[#This Row],[Colonne1]])),Tab_Calculs[[#This Row],[index_date_livraison]]-1,6)*(MAX(Tab_Calculs[[#This Row],[Début periode livraison]],Tab_Calculs[[#This Row],[Début mois]])-Tab_Calculs[[#This Row],[Début mois]])</f>
        <v>#VALUE!</v>
      </c>
      <c r="L179" s="94">
        <f ca="1">INDEX(INDIRECT(CONCATENATE("Tab_",Tab_Calculs[[#This Row],[Colonne1]])),Tab_Calculs[[#This Row],[index_date_livraison]],6)*(1+MIN(Tab_Calculs[[#This Row],[Date_livraison]],Tab_Calculs[[#This Row],[fin mois]])-MAX(Tab_Calculs[[#This Row],[Début mois]],Tab_Calculs[[#This Row],[Début periode livraison]]))</f>
        <v>0</v>
      </c>
      <c r="M179" s="94" t="e">
        <f ca="1">INDEX(INDIRECT(CONCATENATE("Tab_",Tab_Calculs[[#This Row],[Colonne1]])),Tab_Calculs[[#This Row],[index_date_livraison]]+1,6)*(Tab_Calculs[[#This Row],[fin mois]]-MIN(Tab_Calculs[[#This Row],[fin mois]],Tab_Calculs[[#This Row],[Date_livraison]]))</f>
        <v>#VALUE!</v>
      </c>
      <c r="N179" s="231" t="str">
        <f ca="1">IFERROR(Tab_Calculs[[#This Row],[Ratio_jour_après_livr]]+Tab_Calculs[[#This Row],[Ratio_jour_avant_livr]]+Tab_Calculs[[#This Row],[ratio_avant_debut]],"")</f>
        <v/>
      </c>
      <c r="O179" t="e">
        <f ca="1">INDEX(INDIRECT(CONCATENATE("Tab_",Tab_Calculs[[#This Row],[Colonne1]])),Tab_Calculs[[#This Row],[index_date_livraison]]-1,7)*(MAX(Tab_Calculs[[#This Row],[Début periode livraison]],Tab_Calculs[[#This Row],[Début mois]])-Tab_Calculs[[#This Row],[Début mois]])</f>
        <v>#VALUE!</v>
      </c>
      <c r="P179">
        <f ca="1">INDEX(INDIRECT(CONCATENATE("Tab_",Tab_Calculs[[#This Row],[Colonne1]])),Tab_Calculs[[#This Row],[index_date_livraison]],7)*(1+MIN(Tab_Calculs[[#This Row],[Date_livraison]],Tab_Calculs[[#This Row],[fin mois]])-MAX(Tab_Calculs[[#This Row],[Début mois]],Tab_Calculs[[#This Row],[Début periode livraison]]))</f>
        <v>0</v>
      </c>
      <c r="Q179" t="e">
        <f ca="1">INDEX(INDIRECT(CONCATENATE("Tab_",Tab_Calculs[[#This Row],[Colonne1]])),Tab_Calculs[[#This Row],[index_date_livraison]]+1,7)*(Tab_Calculs[[#This Row],[fin mois]]-MIN(Tab_Calculs[[#This Row],[fin mois]],Tab_Calculs[[#This Row],[Date_livraison]]))</f>
        <v>#VALUE!</v>
      </c>
      <c r="R179" t="e">
        <f ca="1">Tab_Calculs[[#This Row],[Ratio_Cout_après_livr]]+Tab_Calculs[[#This Row],[Ratio_Cout_avant_livr]]+Tab_Calculs[[#This Row],[Ratio_Cout_avant_debut]]</f>
        <v>#VALUE!</v>
      </c>
      <c r="S179" t="str">
        <f ca="1">IFERROR(N179*VLOOKUP(Tab_Calculs[[#This Row],[Colonne1]],Controle_des_données!$B$7:$G$14,6,FALSE),"")</f>
        <v/>
      </c>
      <c r="T179" t="str">
        <f ca="1">IF(Tab_Calculs[[#This Row],[Combustible ]]="Electricité (kWh)",Tab_Calculs[[#This Row],[Conso_mois_kWh]]*2.3,Tab_Calculs[[#This Row],[Conso_mois_kWh]])</f>
        <v/>
      </c>
      <c r="U179" t="str">
        <f ca="1">IFERROR(N179*VLOOKUP(Tab_Calculs[[#This Row],[Colonne1]],Controle_des_données!$B$7:$H$14,7,FALSE),"")</f>
        <v/>
      </c>
      <c r="V179">
        <f ca="1">IFERROR(Tab_Calculs[[#This Row],[Cout_mois]]/Tab_Calculs[[#This Row],[Conso_mois_kWh]],0)</f>
        <v>0</v>
      </c>
      <c r="W179" t="str">
        <f>T(VLOOKUP(Tab_Calculs[[#This Row],[Compteur]],Site!$B$33:$G$40,3,FALSE))</f>
        <v/>
      </c>
      <c r="X179" t="str">
        <f>T(VLOOKUP(Tab_Calculs[[#This Row],[Compteur]],Site!$B$33:$G$40,4,FALSE))</f>
        <v/>
      </c>
      <c r="Y179" t="str">
        <f>T(VLOOKUP(Tab_Calculs[[#This Row],[Compteur]],Site!$B$33:$G$40,5,FALSE))</f>
        <v/>
      </c>
      <c r="Z179" t="str">
        <f>T(VLOOKUP(Tab_Calculs[[#This Row],[Compteur]],Site!$B$33:$G$40,6,FALSE))</f>
        <v/>
      </c>
      <c r="AA179">
        <f>IFERROR(GETPIVOTDATA("DJU(chauffagiste)",BDD_DJU!$P$13,"annee",Tab_Calculs[[#This Row],[ANNEE]],"mois_numero",Tab_Calculs[[#This Row],[MOIS]]),0)</f>
        <v>0</v>
      </c>
    </row>
    <row r="180" spans="1:27" x14ac:dyDescent="0.25">
      <c r="A180" s="3">
        <f>DATE(Tab_Calculs[[#This Row],[ANNEE]],Tab_Calculs[[#This Row],[MOIS]],1)</f>
        <v>45383</v>
      </c>
      <c r="B180" s="3">
        <f>EDATE(Tab_Calculs[[#This Row],[Début mois]],1)-1</f>
        <v>45412</v>
      </c>
      <c r="C180">
        <f t="shared" si="3"/>
        <v>4</v>
      </c>
      <c r="D180">
        <f t="shared" si="5"/>
        <v>2024</v>
      </c>
      <c r="E180" t="s">
        <v>80</v>
      </c>
      <c r="F180" t="str">
        <f>SUBSTITUTE(Tab_Calculs[[#This Row],[Compteur]]," ","_")</f>
        <v>Compteur_1</v>
      </c>
      <c r="G180" t="str">
        <f>T(INDEX(Site!$B$33:$G$40, MATCH(Tab_Calculs[[#This Row],[Compteur]], Site!$B$33:$B$40,0),2))</f>
        <v/>
      </c>
      <c r="H180" s="3">
        <f t="array" aca="1" ref="H180" ca="1">MIN(IF(INDIRECT(CONCATENATE(Tab_Calculs[[#This Row],[Colonne1]],"!$B$2:$B$243"))&gt;=Calculs_Consos!$A180,INDIRECT(CONCATENATE(Tab_Calculs[[#This Row],[Colonne1]],"!$B$2:$B$243"))))</f>
        <v>0</v>
      </c>
      <c r="I180" s="3">
        <f ca="1">INDEX(INDIRECT(CONCATENATE("Tab_",Tab_Calculs[[#This Row],[Colonne1]])),Tab_Calculs[[#This Row],[index_date_livraison]],1)</f>
        <v>0</v>
      </c>
      <c r="J180">
        <f ca="1">MATCH(Tab_Calculs[[#This Row],[Date_livraison]],INDIRECT(CONCATENATE("Tab_",Tab_Calculs[[#This Row],[Colonne1]],"[Fin de période]")),0)</f>
        <v>1</v>
      </c>
      <c r="K180" t="e">
        <f ca="1">INDEX(INDIRECT(CONCATENATE("Tab_",Tab_Calculs[[#This Row],[Colonne1]])),Tab_Calculs[[#This Row],[index_date_livraison]]-1,6)*(MAX(Tab_Calculs[[#This Row],[Début periode livraison]],Tab_Calculs[[#This Row],[Début mois]])-Tab_Calculs[[#This Row],[Début mois]])</f>
        <v>#VALUE!</v>
      </c>
      <c r="L180" s="94">
        <f ca="1">INDEX(INDIRECT(CONCATENATE("Tab_",Tab_Calculs[[#This Row],[Colonne1]])),Tab_Calculs[[#This Row],[index_date_livraison]],6)*(1+MIN(Tab_Calculs[[#This Row],[Date_livraison]],Tab_Calculs[[#This Row],[fin mois]])-MAX(Tab_Calculs[[#This Row],[Début mois]],Tab_Calculs[[#This Row],[Début periode livraison]]))</f>
        <v>0</v>
      </c>
      <c r="M180" s="94" t="e">
        <f ca="1">INDEX(INDIRECT(CONCATENATE("Tab_",Tab_Calculs[[#This Row],[Colonne1]])),Tab_Calculs[[#This Row],[index_date_livraison]]+1,6)*(Tab_Calculs[[#This Row],[fin mois]]-MIN(Tab_Calculs[[#This Row],[fin mois]],Tab_Calculs[[#This Row],[Date_livraison]]))</f>
        <v>#VALUE!</v>
      </c>
      <c r="N180" s="231" t="str">
        <f ca="1">IFERROR(Tab_Calculs[[#This Row],[Ratio_jour_après_livr]]+Tab_Calculs[[#This Row],[Ratio_jour_avant_livr]]+Tab_Calculs[[#This Row],[ratio_avant_debut]],"")</f>
        <v/>
      </c>
      <c r="O180" t="e">
        <f ca="1">INDEX(INDIRECT(CONCATENATE("Tab_",Tab_Calculs[[#This Row],[Colonne1]])),Tab_Calculs[[#This Row],[index_date_livraison]]-1,7)*(MAX(Tab_Calculs[[#This Row],[Début periode livraison]],Tab_Calculs[[#This Row],[Début mois]])-Tab_Calculs[[#This Row],[Début mois]])</f>
        <v>#VALUE!</v>
      </c>
      <c r="P180">
        <f ca="1">INDEX(INDIRECT(CONCATENATE("Tab_",Tab_Calculs[[#This Row],[Colonne1]])),Tab_Calculs[[#This Row],[index_date_livraison]],7)*(1+MIN(Tab_Calculs[[#This Row],[Date_livraison]],Tab_Calculs[[#This Row],[fin mois]])-MAX(Tab_Calculs[[#This Row],[Début mois]],Tab_Calculs[[#This Row],[Début periode livraison]]))</f>
        <v>0</v>
      </c>
      <c r="Q180" t="e">
        <f ca="1">INDEX(INDIRECT(CONCATENATE("Tab_",Tab_Calculs[[#This Row],[Colonne1]])),Tab_Calculs[[#This Row],[index_date_livraison]]+1,7)*(Tab_Calculs[[#This Row],[fin mois]]-MIN(Tab_Calculs[[#This Row],[fin mois]],Tab_Calculs[[#This Row],[Date_livraison]]))</f>
        <v>#VALUE!</v>
      </c>
      <c r="R180" t="e">
        <f ca="1">Tab_Calculs[[#This Row],[Ratio_Cout_après_livr]]+Tab_Calculs[[#This Row],[Ratio_Cout_avant_livr]]+Tab_Calculs[[#This Row],[Ratio_Cout_avant_debut]]</f>
        <v>#VALUE!</v>
      </c>
      <c r="S180" t="str">
        <f ca="1">IFERROR(N180*VLOOKUP(Tab_Calculs[[#This Row],[Colonne1]],Controle_des_données!$B$7:$G$14,6,FALSE),"")</f>
        <v/>
      </c>
      <c r="T180" t="str">
        <f ca="1">IF(Tab_Calculs[[#This Row],[Combustible ]]="Electricité (kWh)",Tab_Calculs[[#This Row],[Conso_mois_kWh]]*2.3,Tab_Calculs[[#This Row],[Conso_mois_kWh]])</f>
        <v/>
      </c>
      <c r="U180" t="str">
        <f ca="1">IFERROR(N180*VLOOKUP(Tab_Calculs[[#This Row],[Colonne1]],Controle_des_données!$B$7:$H$14,7,FALSE),"")</f>
        <v/>
      </c>
      <c r="V180">
        <f ca="1">IFERROR(Tab_Calculs[[#This Row],[Cout_mois]]/Tab_Calculs[[#This Row],[Conso_mois_kWh]],0)</f>
        <v>0</v>
      </c>
      <c r="W180" t="str">
        <f>T(VLOOKUP(Tab_Calculs[[#This Row],[Compteur]],Site!$B$33:$G$40,3,FALSE))</f>
        <v/>
      </c>
      <c r="X180" t="str">
        <f>T(VLOOKUP(Tab_Calculs[[#This Row],[Compteur]],Site!$B$33:$G$40,4,FALSE))</f>
        <v/>
      </c>
      <c r="Y180" t="str">
        <f>T(VLOOKUP(Tab_Calculs[[#This Row],[Compteur]],Site!$B$33:$G$40,5,FALSE))</f>
        <v/>
      </c>
      <c r="Z180" t="str">
        <f>T(VLOOKUP(Tab_Calculs[[#This Row],[Compteur]],Site!$B$33:$G$40,6,FALSE))</f>
        <v/>
      </c>
      <c r="AA180">
        <f>IFERROR(GETPIVOTDATA("DJU(chauffagiste)",BDD_DJU!$P$13,"annee",Tab_Calculs[[#This Row],[ANNEE]],"mois_numero",Tab_Calculs[[#This Row],[MOIS]]),0)</f>
        <v>0</v>
      </c>
    </row>
    <row r="181" spans="1:27" x14ac:dyDescent="0.25">
      <c r="A181" s="3">
        <f>DATE(Tab_Calculs[[#This Row],[ANNEE]],Tab_Calculs[[#This Row],[MOIS]],1)</f>
        <v>45413</v>
      </c>
      <c r="B181" s="3">
        <f>EDATE(Tab_Calculs[[#This Row],[Début mois]],1)-1</f>
        <v>45443</v>
      </c>
      <c r="C181">
        <f t="shared" si="3"/>
        <v>5</v>
      </c>
      <c r="D181">
        <f t="shared" si="5"/>
        <v>2024</v>
      </c>
      <c r="E181" t="s">
        <v>80</v>
      </c>
      <c r="F181" t="str">
        <f>SUBSTITUTE(Tab_Calculs[[#This Row],[Compteur]]," ","_")</f>
        <v>Compteur_1</v>
      </c>
      <c r="G181" t="str">
        <f>T(INDEX(Site!$B$33:$G$40, MATCH(Tab_Calculs[[#This Row],[Compteur]], Site!$B$33:$B$40,0),2))</f>
        <v/>
      </c>
      <c r="H181" s="3">
        <f t="array" aca="1" ref="H181" ca="1">MIN(IF(INDIRECT(CONCATENATE(Tab_Calculs[[#This Row],[Colonne1]],"!$B$2:$B$243"))&gt;=Calculs_Consos!$A181,INDIRECT(CONCATENATE(Tab_Calculs[[#This Row],[Colonne1]],"!$B$2:$B$243"))))</f>
        <v>0</v>
      </c>
      <c r="I181" s="3">
        <f ca="1">INDEX(INDIRECT(CONCATENATE("Tab_",Tab_Calculs[[#This Row],[Colonne1]])),Tab_Calculs[[#This Row],[index_date_livraison]],1)</f>
        <v>0</v>
      </c>
      <c r="J181">
        <f ca="1">MATCH(Tab_Calculs[[#This Row],[Date_livraison]],INDIRECT(CONCATENATE("Tab_",Tab_Calculs[[#This Row],[Colonne1]],"[Fin de période]")),0)</f>
        <v>1</v>
      </c>
      <c r="K181" t="e">
        <f ca="1">INDEX(INDIRECT(CONCATENATE("Tab_",Tab_Calculs[[#This Row],[Colonne1]])),Tab_Calculs[[#This Row],[index_date_livraison]]-1,6)*(MAX(Tab_Calculs[[#This Row],[Début periode livraison]],Tab_Calculs[[#This Row],[Début mois]])-Tab_Calculs[[#This Row],[Début mois]])</f>
        <v>#VALUE!</v>
      </c>
      <c r="L181" s="94">
        <f ca="1">INDEX(INDIRECT(CONCATENATE("Tab_",Tab_Calculs[[#This Row],[Colonne1]])),Tab_Calculs[[#This Row],[index_date_livraison]],6)*(1+MIN(Tab_Calculs[[#This Row],[Date_livraison]],Tab_Calculs[[#This Row],[fin mois]])-MAX(Tab_Calculs[[#This Row],[Début mois]],Tab_Calculs[[#This Row],[Début periode livraison]]))</f>
        <v>0</v>
      </c>
      <c r="M181" s="94" t="e">
        <f ca="1">INDEX(INDIRECT(CONCATENATE("Tab_",Tab_Calculs[[#This Row],[Colonne1]])),Tab_Calculs[[#This Row],[index_date_livraison]]+1,6)*(Tab_Calculs[[#This Row],[fin mois]]-MIN(Tab_Calculs[[#This Row],[fin mois]],Tab_Calculs[[#This Row],[Date_livraison]]))</f>
        <v>#VALUE!</v>
      </c>
      <c r="N181" s="231" t="str">
        <f ca="1">IFERROR(Tab_Calculs[[#This Row],[Ratio_jour_après_livr]]+Tab_Calculs[[#This Row],[Ratio_jour_avant_livr]]+Tab_Calculs[[#This Row],[ratio_avant_debut]],"")</f>
        <v/>
      </c>
      <c r="O181" t="e">
        <f ca="1">INDEX(INDIRECT(CONCATENATE("Tab_",Tab_Calculs[[#This Row],[Colonne1]])),Tab_Calculs[[#This Row],[index_date_livraison]]-1,7)*(MAX(Tab_Calculs[[#This Row],[Début periode livraison]],Tab_Calculs[[#This Row],[Début mois]])-Tab_Calculs[[#This Row],[Début mois]])</f>
        <v>#VALUE!</v>
      </c>
      <c r="P181">
        <f ca="1">INDEX(INDIRECT(CONCATENATE("Tab_",Tab_Calculs[[#This Row],[Colonne1]])),Tab_Calculs[[#This Row],[index_date_livraison]],7)*(1+MIN(Tab_Calculs[[#This Row],[Date_livraison]],Tab_Calculs[[#This Row],[fin mois]])-MAX(Tab_Calculs[[#This Row],[Début mois]],Tab_Calculs[[#This Row],[Début periode livraison]]))</f>
        <v>0</v>
      </c>
      <c r="Q181" t="e">
        <f ca="1">INDEX(INDIRECT(CONCATENATE("Tab_",Tab_Calculs[[#This Row],[Colonne1]])),Tab_Calculs[[#This Row],[index_date_livraison]]+1,7)*(Tab_Calculs[[#This Row],[fin mois]]-MIN(Tab_Calculs[[#This Row],[fin mois]],Tab_Calculs[[#This Row],[Date_livraison]]))</f>
        <v>#VALUE!</v>
      </c>
      <c r="R181" t="e">
        <f ca="1">Tab_Calculs[[#This Row],[Ratio_Cout_après_livr]]+Tab_Calculs[[#This Row],[Ratio_Cout_avant_livr]]+Tab_Calculs[[#This Row],[Ratio_Cout_avant_debut]]</f>
        <v>#VALUE!</v>
      </c>
      <c r="S181" t="str">
        <f ca="1">IFERROR(N181*VLOOKUP(Tab_Calculs[[#This Row],[Colonne1]],Controle_des_données!$B$7:$G$14,6,FALSE),"")</f>
        <v/>
      </c>
      <c r="T181" t="str">
        <f ca="1">IF(Tab_Calculs[[#This Row],[Combustible ]]="Electricité (kWh)",Tab_Calculs[[#This Row],[Conso_mois_kWh]]*2.3,Tab_Calculs[[#This Row],[Conso_mois_kWh]])</f>
        <v/>
      </c>
      <c r="U181" t="str">
        <f ca="1">IFERROR(N181*VLOOKUP(Tab_Calculs[[#This Row],[Colonne1]],Controle_des_données!$B$7:$H$14,7,FALSE),"")</f>
        <v/>
      </c>
      <c r="V181">
        <f ca="1">IFERROR(Tab_Calculs[[#This Row],[Cout_mois]]/Tab_Calculs[[#This Row],[Conso_mois_kWh]],0)</f>
        <v>0</v>
      </c>
      <c r="W181" t="str">
        <f>T(VLOOKUP(Tab_Calculs[[#This Row],[Compteur]],Site!$B$33:$G$40,3,FALSE))</f>
        <v/>
      </c>
      <c r="X181" t="str">
        <f>T(VLOOKUP(Tab_Calculs[[#This Row],[Compteur]],Site!$B$33:$G$40,4,FALSE))</f>
        <v/>
      </c>
      <c r="Y181" t="str">
        <f>T(VLOOKUP(Tab_Calculs[[#This Row],[Compteur]],Site!$B$33:$G$40,5,FALSE))</f>
        <v/>
      </c>
      <c r="Z181" t="str">
        <f>T(VLOOKUP(Tab_Calculs[[#This Row],[Compteur]],Site!$B$33:$G$40,6,FALSE))</f>
        <v/>
      </c>
      <c r="AA181">
        <f>IFERROR(GETPIVOTDATA("DJU(chauffagiste)",BDD_DJU!$P$13,"annee",Tab_Calculs[[#This Row],[ANNEE]],"mois_numero",Tab_Calculs[[#This Row],[MOIS]]),0)</f>
        <v>0</v>
      </c>
    </row>
    <row r="182" spans="1:27" x14ac:dyDescent="0.25">
      <c r="A182" s="3">
        <f>DATE(Tab_Calculs[[#This Row],[ANNEE]],Tab_Calculs[[#This Row],[MOIS]],1)</f>
        <v>45444</v>
      </c>
      <c r="B182" s="3">
        <f>EDATE(Tab_Calculs[[#This Row],[Début mois]],1)-1</f>
        <v>45473</v>
      </c>
      <c r="C182">
        <f t="shared" si="3"/>
        <v>6</v>
      </c>
      <c r="D182">
        <f t="shared" si="5"/>
        <v>2024</v>
      </c>
      <c r="E182" t="s">
        <v>80</v>
      </c>
      <c r="F182" t="str">
        <f>SUBSTITUTE(Tab_Calculs[[#This Row],[Compteur]]," ","_")</f>
        <v>Compteur_1</v>
      </c>
      <c r="G182" t="str">
        <f>T(INDEX(Site!$B$33:$G$40, MATCH(Tab_Calculs[[#This Row],[Compteur]], Site!$B$33:$B$40,0),2))</f>
        <v/>
      </c>
      <c r="H182" s="3">
        <f t="array" aca="1" ref="H182" ca="1">MIN(IF(INDIRECT(CONCATENATE(Tab_Calculs[[#This Row],[Colonne1]],"!$B$2:$B$243"))&gt;=Calculs_Consos!$A182,INDIRECT(CONCATENATE(Tab_Calculs[[#This Row],[Colonne1]],"!$B$2:$B$243"))))</f>
        <v>0</v>
      </c>
      <c r="I182" s="3">
        <f ca="1">INDEX(INDIRECT(CONCATENATE("Tab_",Tab_Calculs[[#This Row],[Colonne1]])),Tab_Calculs[[#This Row],[index_date_livraison]],1)</f>
        <v>0</v>
      </c>
      <c r="J182">
        <f ca="1">MATCH(Tab_Calculs[[#This Row],[Date_livraison]],INDIRECT(CONCATENATE("Tab_",Tab_Calculs[[#This Row],[Colonne1]],"[Fin de période]")),0)</f>
        <v>1</v>
      </c>
      <c r="K182" t="e">
        <f ca="1">INDEX(INDIRECT(CONCATENATE("Tab_",Tab_Calculs[[#This Row],[Colonne1]])),Tab_Calculs[[#This Row],[index_date_livraison]]-1,6)*(MAX(Tab_Calculs[[#This Row],[Début periode livraison]],Tab_Calculs[[#This Row],[Début mois]])-Tab_Calculs[[#This Row],[Début mois]])</f>
        <v>#VALUE!</v>
      </c>
      <c r="L182" s="94">
        <f ca="1">INDEX(INDIRECT(CONCATENATE("Tab_",Tab_Calculs[[#This Row],[Colonne1]])),Tab_Calculs[[#This Row],[index_date_livraison]],6)*(1+MIN(Tab_Calculs[[#This Row],[Date_livraison]],Tab_Calculs[[#This Row],[fin mois]])-MAX(Tab_Calculs[[#This Row],[Début mois]],Tab_Calculs[[#This Row],[Début periode livraison]]))</f>
        <v>0</v>
      </c>
      <c r="M182" s="94" t="e">
        <f ca="1">INDEX(INDIRECT(CONCATENATE("Tab_",Tab_Calculs[[#This Row],[Colonne1]])),Tab_Calculs[[#This Row],[index_date_livraison]]+1,6)*(Tab_Calculs[[#This Row],[fin mois]]-MIN(Tab_Calculs[[#This Row],[fin mois]],Tab_Calculs[[#This Row],[Date_livraison]]))</f>
        <v>#VALUE!</v>
      </c>
      <c r="N182" s="231" t="str">
        <f ca="1">IFERROR(Tab_Calculs[[#This Row],[Ratio_jour_après_livr]]+Tab_Calculs[[#This Row],[Ratio_jour_avant_livr]]+Tab_Calculs[[#This Row],[ratio_avant_debut]],"")</f>
        <v/>
      </c>
      <c r="O182" t="e">
        <f ca="1">INDEX(INDIRECT(CONCATENATE("Tab_",Tab_Calculs[[#This Row],[Colonne1]])),Tab_Calculs[[#This Row],[index_date_livraison]]-1,7)*(MAX(Tab_Calculs[[#This Row],[Début periode livraison]],Tab_Calculs[[#This Row],[Début mois]])-Tab_Calculs[[#This Row],[Début mois]])</f>
        <v>#VALUE!</v>
      </c>
      <c r="P182">
        <f ca="1">INDEX(INDIRECT(CONCATENATE("Tab_",Tab_Calculs[[#This Row],[Colonne1]])),Tab_Calculs[[#This Row],[index_date_livraison]],7)*(1+MIN(Tab_Calculs[[#This Row],[Date_livraison]],Tab_Calculs[[#This Row],[fin mois]])-MAX(Tab_Calculs[[#This Row],[Début mois]],Tab_Calculs[[#This Row],[Début periode livraison]]))</f>
        <v>0</v>
      </c>
      <c r="Q182" t="e">
        <f ca="1">INDEX(INDIRECT(CONCATENATE("Tab_",Tab_Calculs[[#This Row],[Colonne1]])),Tab_Calculs[[#This Row],[index_date_livraison]]+1,7)*(Tab_Calculs[[#This Row],[fin mois]]-MIN(Tab_Calculs[[#This Row],[fin mois]],Tab_Calculs[[#This Row],[Date_livraison]]))</f>
        <v>#VALUE!</v>
      </c>
      <c r="R182" t="e">
        <f ca="1">Tab_Calculs[[#This Row],[Ratio_Cout_après_livr]]+Tab_Calculs[[#This Row],[Ratio_Cout_avant_livr]]+Tab_Calculs[[#This Row],[Ratio_Cout_avant_debut]]</f>
        <v>#VALUE!</v>
      </c>
      <c r="S182" t="str">
        <f ca="1">IFERROR(N182*VLOOKUP(Tab_Calculs[[#This Row],[Colonne1]],Controle_des_données!$B$7:$G$14,6,FALSE),"")</f>
        <v/>
      </c>
      <c r="T182" t="str">
        <f ca="1">IF(Tab_Calculs[[#This Row],[Combustible ]]="Electricité (kWh)",Tab_Calculs[[#This Row],[Conso_mois_kWh]]*2.3,Tab_Calculs[[#This Row],[Conso_mois_kWh]])</f>
        <v/>
      </c>
      <c r="U182" t="str">
        <f ca="1">IFERROR(N182*VLOOKUP(Tab_Calculs[[#This Row],[Colonne1]],Controle_des_données!$B$7:$H$14,7,FALSE),"")</f>
        <v/>
      </c>
      <c r="V182">
        <f ca="1">IFERROR(Tab_Calculs[[#This Row],[Cout_mois]]/Tab_Calculs[[#This Row],[Conso_mois_kWh]],0)</f>
        <v>0</v>
      </c>
      <c r="W182" t="str">
        <f>T(VLOOKUP(Tab_Calculs[[#This Row],[Compteur]],Site!$B$33:$G$40,3,FALSE))</f>
        <v/>
      </c>
      <c r="X182" t="str">
        <f>T(VLOOKUP(Tab_Calculs[[#This Row],[Compteur]],Site!$B$33:$G$40,4,FALSE))</f>
        <v/>
      </c>
      <c r="Y182" t="str">
        <f>T(VLOOKUP(Tab_Calculs[[#This Row],[Compteur]],Site!$B$33:$G$40,5,FALSE))</f>
        <v/>
      </c>
      <c r="Z182" t="str">
        <f>T(VLOOKUP(Tab_Calculs[[#This Row],[Compteur]],Site!$B$33:$G$40,6,FALSE))</f>
        <v/>
      </c>
      <c r="AA182">
        <f>IFERROR(GETPIVOTDATA("DJU(chauffagiste)",BDD_DJU!$P$13,"annee",Tab_Calculs[[#This Row],[ANNEE]],"mois_numero",Tab_Calculs[[#This Row],[MOIS]]),0)</f>
        <v>0</v>
      </c>
    </row>
    <row r="183" spans="1:27" x14ac:dyDescent="0.25">
      <c r="A183" s="3">
        <f>DATE(Tab_Calculs[[#This Row],[ANNEE]],Tab_Calculs[[#This Row],[MOIS]],1)</f>
        <v>45474</v>
      </c>
      <c r="B183" s="3">
        <f>EDATE(Tab_Calculs[[#This Row],[Début mois]],1)-1</f>
        <v>45504</v>
      </c>
      <c r="C183">
        <f t="shared" si="3"/>
        <v>7</v>
      </c>
      <c r="D183">
        <f t="shared" si="5"/>
        <v>2024</v>
      </c>
      <c r="E183" t="s">
        <v>80</v>
      </c>
      <c r="F183" t="str">
        <f>SUBSTITUTE(Tab_Calculs[[#This Row],[Compteur]]," ","_")</f>
        <v>Compteur_1</v>
      </c>
      <c r="G183" t="str">
        <f>T(INDEX(Site!$B$33:$G$40, MATCH(Tab_Calculs[[#This Row],[Compteur]], Site!$B$33:$B$40,0),2))</f>
        <v/>
      </c>
      <c r="H183" s="3">
        <f t="array" aca="1" ref="H183" ca="1">MIN(IF(INDIRECT(CONCATENATE(Tab_Calculs[[#This Row],[Colonne1]],"!$B$2:$B$243"))&gt;=Calculs_Consos!$A183,INDIRECT(CONCATENATE(Tab_Calculs[[#This Row],[Colonne1]],"!$B$2:$B$243"))))</f>
        <v>0</v>
      </c>
      <c r="I183" s="3">
        <f ca="1">INDEX(INDIRECT(CONCATENATE("Tab_",Tab_Calculs[[#This Row],[Colonne1]])),Tab_Calculs[[#This Row],[index_date_livraison]],1)</f>
        <v>0</v>
      </c>
      <c r="J183">
        <f ca="1">MATCH(Tab_Calculs[[#This Row],[Date_livraison]],INDIRECT(CONCATENATE("Tab_",Tab_Calculs[[#This Row],[Colonne1]],"[Fin de période]")),0)</f>
        <v>1</v>
      </c>
      <c r="K183" t="e">
        <f ca="1">INDEX(INDIRECT(CONCATENATE("Tab_",Tab_Calculs[[#This Row],[Colonne1]])),Tab_Calculs[[#This Row],[index_date_livraison]]-1,6)*(MAX(Tab_Calculs[[#This Row],[Début periode livraison]],Tab_Calculs[[#This Row],[Début mois]])-Tab_Calculs[[#This Row],[Début mois]])</f>
        <v>#VALUE!</v>
      </c>
      <c r="L183" s="94">
        <f ca="1">INDEX(INDIRECT(CONCATENATE("Tab_",Tab_Calculs[[#This Row],[Colonne1]])),Tab_Calculs[[#This Row],[index_date_livraison]],6)*(1+MIN(Tab_Calculs[[#This Row],[Date_livraison]],Tab_Calculs[[#This Row],[fin mois]])-MAX(Tab_Calculs[[#This Row],[Début mois]],Tab_Calculs[[#This Row],[Début periode livraison]]))</f>
        <v>0</v>
      </c>
      <c r="M183" s="94" t="e">
        <f ca="1">INDEX(INDIRECT(CONCATENATE("Tab_",Tab_Calculs[[#This Row],[Colonne1]])),Tab_Calculs[[#This Row],[index_date_livraison]]+1,6)*(Tab_Calculs[[#This Row],[fin mois]]-MIN(Tab_Calculs[[#This Row],[fin mois]],Tab_Calculs[[#This Row],[Date_livraison]]))</f>
        <v>#VALUE!</v>
      </c>
      <c r="N183" s="231" t="str">
        <f ca="1">IFERROR(Tab_Calculs[[#This Row],[Ratio_jour_après_livr]]+Tab_Calculs[[#This Row],[Ratio_jour_avant_livr]]+Tab_Calculs[[#This Row],[ratio_avant_debut]],"")</f>
        <v/>
      </c>
      <c r="O183" t="e">
        <f ca="1">INDEX(INDIRECT(CONCATENATE("Tab_",Tab_Calculs[[#This Row],[Colonne1]])),Tab_Calculs[[#This Row],[index_date_livraison]]-1,7)*(MAX(Tab_Calculs[[#This Row],[Début periode livraison]],Tab_Calculs[[#This Row],[Début mois]])-Tab_Calculs[[#This Row],[Début mois]])</f>
        <v>#VALUE!</v>
      </c>
      <c r="P183">
        <f ca="1">INDEX(INDIRECT(CONCATENATE("Tab_",Tab_Calculs[[#This Row],[Colonne1]])),Tab_Calculs[[#This Row],[index_date_livraison]],7)*(1+MIN(Tab_Calculs[[#This Row],[Date_livraison]],Tab_Calculs[[#This Row],[fin mois]])-MAX(Tab_Calculs[[#This Row],[Début mois]],Tab_Calculs[[#This Row],[Début periode livraison]]))</f>
        <v>0</v>
      </c>
      <c r="Q183" t="e">
        <f ca="1">INDEX(INDIRECT(CONCATENATE("Tab_",Tab_Calculs[[#This Row],[Colonne1]])),Tab_Calculs[[#This Row],[index_date_livraison]]+1,7)*(Tab_Calculs[[#This Row],[fin mois]]-MIN(Tab_Calculs[[#This Row],[fin mois]],Tab_Calculs[[#This Row],[Date_livraison]]))</f>
        <v>#VALUE!</v>
      </c>
      <c r="R183" t="e">
        <f ca="1">Tab_Calculs[[#This Row],[Ratio_Cout_après_livr]]+Tab_Calculs[[#This Row],[Ratio_Cout_avant_livr]]+Tab_Calculs[[#This Row],[Ratio_Cout_avant_debut]]</f>
        <v>#VALUE!</v>
      </c>
      <c r="S183" t="str">
        <f ca="1">IFERROR(N183*VLOOKUP(Tab_Calculs[[#This Row],[Colonne1]],Controle_des_données!$B$7:$G$14,6,FALSE),"")</f>
        <v/>
      </c>
      <c r="T183" t="str">
        <f ca="1">IF(Tab_Calculs[[#This Row],[Combustible ]]="Electricité (kWh)",Tab_Calculs[[#This Row],[Conso_mois_kWh]]*2.3,Tab_Calculs[[#This Row],[Conso_mois_kWh]])</f>
        <v/>
      </c>
      <c r="U183" t="str">
        <f ca="1">IFERROR(N183*VLOOKUP(Tab_Calculs[[#This Row],[Colonne1]],Controle_des_données!$B$7:$H$14,7,FALSE),"")</f>
        <v/>
      </c>
      <c r="V183">
        <f ca="1">IFERROR(Tab_Calculs[[#This Row],[Cout_mois]]/Tab_Calculs[[#This Row],[Conso_mois_kWh]],0)</f>
        <v>0</v>
      </c>
      <c r="W183" t="str">
        <f>T(VLOOKUP(Tab_Calculs[[#This Row],[Compteur]],Site!$B$33:$G$40,3,FALSE))</f>
        <v/>
      </c>
      <c r="X183" t="str">
        <f>T(VLOOKUP(Tab_Calculs[[#This Row],[Compteur]],Site!$B$33:$G$40,4,FALSE))</f>
        <v/>
      </c>
      <c r="Y183" t="str">
        <f>T(VLOOKUP(Tab_Calculs[[#This Row],[Compteur]],Site!$B$33:$G$40,5,FALSE))</f>
        <v/>
      </c>
      <c r="Z183" t="str">
        <f>T(VLOOKUP(Tab_Calculs[[#This Row],[Compteur]],Site!$B$33:$G$40,6,FALSE))</f>
        <v/>
      </c>
      <c r="AA183">
        <f>IFERROR(GETPIVOTDATA("DJU(chauffagiste)",BDD_DJU!$P$13,"annee",Tab_Calculs[[#This Row],[ANNEE]],"mois_numero",Tab_Calculs[[#This Row],[MOIS]]),0)</f>
        <v>0</v>
      </c>
    </row>
    <row r="184" spans="1:27" x14ac:dyDescent="0.25">
      <c r="A184" s="3">
        <f>DATE(Tab_Calculs[[#This Row],[ANNEE]],Tab_Calculs[[#This Row],[MOIS]],1)</f>
        <v>45505</v>
      </c>
      <c r="B184" s="3">
        <f>EDATE(Tab_Calculs[[#This Row],[Début mois]],1)-1</f>
        <v>45535</v>
      </c>
      <c r="C184">
        <f t="shared" si="3"/>
        <v>8</v>
      </c>
      <c r="D184">
        <f t="shared" si="5"/>
        <v>2024</v>
      </c>
      <c r="E184" t="s">
        <v>80</v>
      </c>
      <c r="F184" t="str">
        <f>SUBSTITUTE(Tab_Calculs[[#This Row],[Compteur]]," ","_")</f>
        <v>Compteur_1</v>
      </c>
      <c r="G184" t="str">
        <f>T(INDEX(Site!$B$33:$G$40, MATCH(Tab_Calculs[[#This Row],[Compteur]], Site!$B$33:$B$40,0),2))</f>
        <v/>
      </c>
      <c r="H184" s="3">
        <f t="array" aca="1" ref="H184" ca="1">MIN(IF(INDIRECT(CONCATENATE(Tab_Calculs[[#This Row],[Colonne1]],"!$B$2:$B$243"))&gt;=Calculs_Consos!$A184,INDIRECT(CONCATENATE(Tab_Calculs[[#This Row],[Colonne1]],"!$B$2:$B$243"))))</f>
        <v>0</v>
      </c>
      <c r="I184" s="3">
        <f ca="1">INDEX(INDIRECT(CONCATENATE("Tab_",Tab_Calculs[[#This Row],[Colonne1]])),Tab_Calculs[[#This Row],[index_date_livraison]],1)</f>
        <v>0</v>
      </c>
      <c r="J184">
        <f ca="1">MATCH(Tab_Calculs[[#This Row],[Date_livraison]],INDIRECT(CONCATENATE("Tab_",Tab_Calculs[[#This Row],[Colonne1]],"[Fin de période]")),0)</f>
        <v>1</v>
      </c>
      <c r="K184" t="e">
        <f ca="1">INDEX(INDIRECT(CONCATENATE("Tab_",Tab_Calculs[[#This Row],[Colonne1]])),Tab_Calculs[[#This Row],[index_date_livraison]]-1,6)*(MAX(Tab_Calculs[[#This Row],[Début periode livraison]],Tab_Calculs[[#This Row],[Début mois]])-Tab_Calculs[[#This Row],[Début mois]])</f>
        <v>#VALUE!</v>
      </c>
      <c r="L184" s="94">
        <f ca="1">INDEX(INDIRECT(CONCATENATE("Tab_",Tab_Calculs[[#This Row],[Colonne1]])),Tab_Calculs[[#This Row],[index_date_livraison]],6)*(1+MIN(Tab_Calculs[[#This Row],[Date_livraison]],Tab_Calculs[[#This Row],[fin mois]])-MAX(Tab_Calculs[[#This Row],[Début mois]],Tab_Calculs[[#This Row],[Début periode livraison]]))</f>
        <v>0</v>
      </c>
      <c r="M184" s="94" t="e">
        <f ca="1">INDEX(INDIRECT(CONCATENATE("Tab_",Tab_Calculs[[#This Row],[Colonne1]])),Tab_Calculs[[#This Row],[index_date_livraison]]+1,6)*(Tab_Calculs[[#This Row],[fin mois]]-MIN(Tab_Calculs[[#This Row],[fin mois]],Tab_Calculs[[#This Row],[Date_livraison]]))</f>
        <v>#VALUE!</v>
      </c>
      <c r="N184" s="231" t="str">
        <f ca="1">IFERROR(Tab_Calculs[[#This Row],[Ratio_jour_après_livr]]+Tab_Calculs[[#This Row],[Ratio_jour_avant_livr]]+Tab_Calculs[[#This Row],[ratio_avant_debut]],"")</f>
        <v/>
      </c>
      <c r="O184" t="e">
        <f ca="1">INDEX(INDIRECT(CONCATENATE("Tab_",Tab_Calculs[[#This Row],[Colonne1]])),Tab_Calculs[[#This Row],[index_date_livraison]]-1,7)*(MAX(Tab_Calculs[[#This Row],[Début periode livraison]],Tab_Calculs[[#This Row],[Début mois]])-Tab_Calculs[[#This Row],[Début mois]])</f>
        <v>#VALUE!</v>
      </c>
      <c r="P184">
        <f ca="1">INDEX(INDIRECT(CONCATENATE("Tab_",Tab_Calculs[[#This Row],[Colonne1]])),Tab_Calculs[[#This Row],[index_date_livraison]],7)*(1+MIN(Tab_Calculs[[#This Row],[Date_livraison]],Tab_Calculs[[#This Row],[fin mois]])-MAX(Tab_Calculs[[#This Row],[Début mois]],Tab_Calculs[[#This Row],[Début periode livraison]]))</f>
        <v>0</v>
      </c>
      <c r="Q184" t="e">
        <f ca="1">INDEX(INDIRECT(CONCATENATE("Tab_",Tab_Calculs[[#This Row],[Colonne1]])),Tab_Calculs[[#This Row],[index_date_livraison]]+1,7)*(Tab_Calculs[[#This Row],[fin mois]]-MIN(Tab_Calculs[[#This Row],[fin mois]],Tab_Calculs[[#This Row],[Date_livraison]]))</f>
        <v>#VALUE!</v>
      </c>
      <c r="R184" t="e">
        <f ca="1">Tab_Calculs[[#This Row],[Ratio_Cout_après_livr]]+Tab_Calculs[[#This Row],[Ratio_Cout_avant_livr]]+Tab_Calculs[[#This Row],[Ratio_Cout_avant_debut]]</f>
        <v>#VALUE!</v>
      </c>
      <c r="S184" t="str">
        <f ca="1">IFERROR(N184*VLOOKUP(Tab_Calculs[[#This Row],[Colonne1]],Controle_des_données!$B$7:$G$14,6,FALSE),"")</f>
        <v/>
      </c>
      <c r="T184" t="str">
        <f ca="1">IF(Tab_Calculs[[#This Row],[Combustible ]]="Electricité (kWh)",Tab_Calculs[[#This Row],[Conso_mois_kWh]]*2.3,Tab_Calculs[[#This Row],[Conso_mois_kWh]])</f>
        <v/>
      </c>
      <c r="U184" t="str">
        <f ca="1">IFERROR(N184*VLOOKUP(Tab_Calculs[[#This Row],[Colonne1]],Controle_des_données!$B$7:$H$14,7,FALSE),"")</f>
        <v/>
      </c>
      <c r="V184">
        <f ca="1">IFERROR(Tab_Calculs[[#This Row],[Cout_mois]]/Tab_Calculs[[#This Row],[Conso_mois_kWh]],0)</f>
        <v>0</v>
      </c>
      <c r="W184" t="str">
        <f>T(VLOOKUP(Tab_Calculs[[#This Row],[Compteur]],Site!$B$33:$G$40,3,FALSE))</f>
        <v/>
      </c>
      <c r="X184" t="str">
        <f>T(VLOOKUP(Tab_Calculs[[#This Row],[Compteur]],Site!$B$33:$G$40,4,FALSE))</f>
        <v/>
      </c>
      <c r="Y184" t="str">
        <f>T(VLOOKUP(Tab_Calculs[[#This Row],[Compteur]],Site!$B$33:$G$40,5,FALSE))</f>
        <v/>
      </c>
      <c r="Z184" t="str">
        <f>T(VLOOKUP(Tab_Calculs[[#This Row],[Compteur]],Site!$B$33:$G$40,6,FALSE))</f>
        <v/>
      </c>
      <c r="AA184">
        <f>IFERROR(GETPIVOTDATA("DJU(chauffagiste)",BDD_DJU!$P$13,"annee",Tab_Calculs[[#This Row],[ANNEE]],"mois_numero",Tab_Calculs[[#This Row],[MOIS]]),0)</f>
        <v>0</v>
      </c>
    </row>
    <row r="185" spans="1:27" x14ac:dyDescent="0.25">
      <c r="A185" s="3">
        <f>DATE(Tab_Calculs[[#This Row],[ANNEE]],Tab_Calculs[[#This Row],[MOIS]],1)</f>
        <v>45536</v>
      </c>
      <c r="B185" s="3">
        <f>EDATE(Tab_Calculs[[#This Row],[Début mois]],1)-1</f>
        <v>45565</v>
      </c>
      <c r="C185">
        <f t="shared" si="3"/>
        <v>9</v>
      </c>
      <c r="D185">
        <f t="shared" si="5"/>
        <v>2024</v>
      </c>
      <c r="E185" t="s">
        <v>80</v>
      </c>
      <c r="F185" t="str">
        <f>SUBSTITUTE(Tab_Calculs[[#This Row],[Compteur]]," ","_")</f>
        <v>Compteur_1</v>
      </c>
      <c r="G185" t="str">
        <f>T(INDEX(Site!$B$33:$G$40, MATCH(Tab_Calculs[[#This Row],[Compteur]], Site!$B$33:$B$40,0),2))</f>
        <v/>
      </c>
      <c r="H185" s="3">
        <f t="array" aca="1" ref="H185" ca="1">MIN(IF(INDIRECT(CONCATENATE(Tab_Calculs[[#This Row],[Colonne1]],"!$B$2:$B$243"))&gt;=Calculs_Consos!$A185,INDIRECT(CONCATENATE(Tab_Calculs[[#This Row],[Colonne1]],"!$B$2:$B$243"))))</f>
        <v>0</v>
      </c>
      <c r="I185" s="3">
        <f ca="1">INDEX(INDIRECT(CONCATENATE("Tab_",Tab_Calculs[[#This Row],[Colonne1]])),Tab_Calculs[[#This Row],[index_date_livraison]],1)</f>
        <v>0</v>
      </c>
      <c r="J185">
        <f ca="1">MATCH(Tab_Calculs[[#This Row],[Date_livraison]],INDIRECT(CONCATENATE("Tab_",Tab_Calculs[[#This Row],[Colonne1]],"[Fin de période]")),0)</f>
        <v>1</v>
      </c>
      <c r="K185" t="e">
        <f ca="1">INDEX(INDIRECT(CONCATENATE("Tab_",Tab_Calculs[[#This Row],[Colonne1]])),Tab_Calculs[[#This Row],[index_date_livraison]]-1,6)*(MAX(Tab_Calculs[[#This Row],[Début periode livraison]],Tab_Calculs[[#This Row],[Début mois]])-Tab_Calculs[[#This Row],[Début mois]])</f>
        <v>#VALUE!</v>
      </c>
      <c r="L185" s="94">
        <f ca="1">INDEX(INDIRECT(CONCATENATE("Tab_",Tab_Calculs[[#This Row],[Colonne1]])),Tab_Calculs[[#This Row],[index_date_livraison]],6)*(1+MIN(Tab_Calculs[[#This Row],[Date_livraison]],Tab_Calculs[[#This Row],[fin mois]])-MAX(Tab_Calculs[[#This Row],[Début mois]],Tab_Calculs[[#This Row],[Début periode livraison]]))</f>
        <v>0</v>
      </c>
      <c r="M185" s="94" t="e">
        <f ca="1">INDEX(INDIRECT(CONCATENATE("Tab_",Tab_Calculs[[#This Row],[Colonne1]])),Tab_Calculs[[#This Row],[index_date_livraison]]+1,6)*(Tab_Calculs[[#This Row],[fin mois]]-MIN(Tab_Calculs[[#This Row],[fin mois]],Tab_Calculs[[#This Row],[Date_livraison]]))</f>
        <v>#VALUE!</v>
      </c>
      <c r="N185" s="231" t="str">
        <f ca="1">IFERROR(Tab_Calculs[[#This Row],[Ratio_jour_après_livr]]+Tab_Calculs[[#This Row],[Ratio_jour_avant_livr]]+Tab_Calculs[[#This Row],[ratio_avant_debut]],"")</f>
        <v/>
      </c>
      <c r="O185" t="e">
        <f ca="1">INDEX(INDIRECT(CONCATENATE("Tab_",Tab_Calculs[[#This Row],[Colonne1]])),Tab_Calculs[[#This Row],[index_date_livraison]]-1,7)*(MAX(Tab_Calculs[[#This Row],[Début periode livraison]],Tab_Calculs[[#This Row],[Début mois]])-Tab_Calculs[[#This Row],[Début mois]])</f>
        <v>#VALUE!</v>
      </c>
      <c r="P185">
        <f ca="1">INDEX(INDIRECT(CONCATENATE("Tab_",Tab_Calculs[[#This Row],[Colonne1]])),Tab_Calculs[[#This Row],[index_date_livraison]],7)*(1+MIN(Tab_Calculs[[#This Row],[Date_livraison]],Tab_Calculs[[#This Row],[fin mois]])-MAX(Tab_Calculs[[#This Row],[Début mois]],Tab_Calculs[[#This Row],[Début periode livraison]]))</f>
        <v>0</v>
      </c>
      <c r="Q185" t="e">
        <f ca="1">INDEX(INDIRECT(CONCATENATE("Tab_",Tab_Calculs[[#This Row],[Colonne1]])),Tab_Calculs[[#This Row],[index_date_livraison]]+1,7)*(Tab_Calculs[[#This Row],[fin mois]]-MIN(Tab_Calculs[[#This Row],[fin mois]],Tab_Calculs[[#This Row],[Date_livraison]]))</f>
        <v>#VALUE!</v>
      </c>
      <c r="R185" t="e">
        <f ca="1">Tab_Calculs[[#This Row],[Ratio_Cout_après_livr]]+Tab_Calculs[[#This Row],[Ratio_Cout_avant_livr]]+Tab_Calculs[[#This Row],[Ratio_Cout_avant_debut]]</f>
        <v>#VALUE!</v>
      </c>
      <c r="S185" t="str">
        <f ca="1">IFERROR(N185*VLOOKUP(Tab_Calculs[[#This Row],[Colonne1]],Controle_des_données!$B$7:$G$14,6,FALSE),"")</f>
        <v/>
      </c>
      <c r="T185" t="str">
        <f ca="1">IF(Tab_Calculs[[#This Row],[Combustible ]]="Electricité (kWh)",Tab_Calculs[[#This Row],[Conso_mois_kWh]]*2.3,Tab_Calculs[[#This Row],[Conso_mois_kWh]])</f>
        <v/>
      </c>
      <c r="U185" t="str">
        <f ca="1">IFERROR(N185*VLOOKUP(Tab_Calculs[[#This Row],[Colonne1]],Controle_des_données!$B$7:$H$14,7,FALSE),"")</f>
        <v/>
      </c>
      <c r="V185">
        <f ca="1">IFERROR(Tab_Calculs[[#This Row],[Cout_mois]]/Tab_Calculs[[#This Row],[Conso_mois_kWh]],0)</f>
        <v>0</v>
      </c>
      <c r="W185" t="str">
        <f>T(VLOOKUP(Tab_Calculs[[#This Row],[Compteur]],Site!$B$33:$G$40,3,FALSE))</f>
        <v/>
      </c>
      <c r="X185" t="str">
        <f>T(VLOOKUP(Tab_Calculs[[#This Row],[Compteur]],Site!$B$33:$G$40,4,FALSE))</f>
        <v/>
      </c>
      <c r="Y185" t="str">
        <f>T(VLOOKUP(Tab_Calculs[[#This Row],[Compteur]],Site!$B$33:$G$40,5,FALSE))</f>
        <v/>
      </c>
      <c r="Z185" t="str">
        <f>T(VLOOKUP(Tab_Calculs[[#This Row],[Compteur]],Site!$B$33:$G$40,6,FALSE))</f>
        <v/>
      </c>
      <c r="AA185">
        <f>IFERROR(GETPIVOTDATA("DJU(chauffagiste)",BDD_DJU!$P$13,"annee",Tab_Calculs[[#This Row],[ANNEE]],"mois_numero",Tab_Calculs[[#This Row],[MOIS]]),0)</f>
        <v>0</v>
      </c>
    </row>
    <row r="186" spans="1:27" x14ac:dyDescent="0.25">
      <c r="A186" s="3">
        <f>DATE(Tab_Calculs[[#This Row],[ANNEE]],Tab_Calculs[[#This Row],[MOIS]],1)</f>
        <v>45566</v>
      </c>
      <c r="B186" s="3">
        <f>EDATE(Tab_Calculs[[#This Row],[Début mois]],1)-1</f>
        <v>45596</v>
      </c>
      <c r="C186">
        <f t="shared" si="3"/>
        <v>10</v>
      </c>
      <c r="D186">
        <f t="shared" si="5"/>
        <v>2024</v>
      </c>
      <c r="E186" t="s">
        <v>80</v>
      </c>
      <c r="F186" t="str">
        <f>SUBSTITUTE(Tab_Calculs[[#This Row],[Compteur]]," ","_")</f>
        <v>Compteur_1</v>
      </c>
      <c r="G186" t="str">
        <f>T(INDEX(Site!$B$33:$G$40, MATCH(Tab_Calculs[[#This Row],[Compteur]], Site!$B$33:$B$40,0),2))</f>
        <v/>
      </c>
      <c r="H186" s="3">
        <f t="array" aca="1" ref="H186" ca="1">MIN(IF(INDIRECT(CONCATENATE(Tab_Calculs[[#This Row],[Colonne1]],"!$B$2:$B$243"))&gt;=Calculs_Consos!$A186,INDIRECT(CONCATENATE(Tab_Calculs[[#This Row],[Colonne1]],"!$B$2:$B$243"))))</f>
        <v>0</v>
      </c>
      <c r="I186" s="3">
        <f ca="1">INDEX(INDIRECT(CONCATENATE("Tab_",Tab_Calculs[[#This Row],[Colonne1]])),Tab_Calculs[[#This Row],[index_date_livraison]],1)</f>
        <v>0</v>
      </c>
      <c r="J186">
        <f ca="1">MATCH(Tab_Calculs[[#This Row],[Date_livraison]],INDIRECT(CONCATENATE("Tab_",Tab_Calculs[[#This Row],[Colonne1]],"[Fin de période]")),0)</f>
        <v>1</v>
      </c>
      <c r="K186" t="e">
        <f ca="1">INDEX(INDIRECT(CONCATENATE("Tab_",Tab_Calculs[[#This Row],[Colonne1]])),Tab_Calculs[[#This Row],[index_date_livraison]]-1,6)*(MAX(Tab_Calculs[[#This Row],[Début periode livraison]],Tab_Calculs[[#This Row],[Début mois]])-Tab_Calculs[[#This Row],[Début mois]])</f>
        <v>#VALUE!</v>
      </c>
      <c r="L186" s="94">
        <f ca="1">INDEX(INDIRECT(CONCATENATE("Tab_",Tab_Calculs[[#This Row],[Colonne1]])),Tab_Calculs[[#This Row],[index_date_livraison]],6)*(1+MIN(Tab_Calculs[[#This Row],[Date_livraison]],Tab_Calculs[[#This Row],[fin mois]])-MAX(Tab_Calculs[[#This Row],[Début mois]],Tab_Calculs[[#This Row],[Début periode livraison]]))</f>
        <v>0</v>
      </c>
      <c r="M186" s="94" t="e">
        <f ca="1">INDEX(INDIRECT(CONCATENATE("Tab_",Tab_Calculs[[#This Row],[Colonne1]])),Tab_Calculs[[#This Row],[index_date_livraison]]+1,6)*(Tab_Calculs[[#This Row],[fin mois]]-MIN(Tab_Calculs[[#This Row],[fin mois]],Tab_Calculs[[#This Row],[Date_livraison]]))</f>
        <v>#VALUE!</v>
      </c>
      <c r="N186" s="231" t="str">
        <f ca="1">IFERROR(Tab_Calculs[[#This Row],[Ratio_jour_après_livr]]+Tab_Calculs[[#This Row],[Ratio_jour_avant_livr]]+Tab_Calculs[[#This Row],[ratio_avant_debut]],"")</f>
        <v/>
      </c>
      <c r="O186" t="e">
        <f ca="1">INDEX(INDIRECT(CONCATENATE("Tab_",Tab_Calculs[[#This Row],[Colonne1]])),Tab_Calculs[[#This Row],[index_date_livraison]]-1,7)*(MAX(Tab_Calculs[[#This Row],[Début periode livraison]],Tab_Calculs[[#This Row],[Début mois]])-Tab_Calculs[[#This Row],[Début mois]])</f>
        <v>#VALUE!</v>
      </c>
      <c r="P186">
        <f ca="1">INDEX(INDIRECT(CONCATENATE("Tab_",Tab_Calculs[[#This Row],[Colonne1]])),Tab_Calculs[[#This Row],[index_date_livraison]],7)*(1+MIN(Tab_Calculs[[#This Row],[Date_livraison]],Tab_Calculs[[#This Row],[fin mois]])-MAX(Tab_Calculs[[#This Row],[Début mois]],Tab_Calculs[[#This Row],[Début periode livraison]]))</f>
        <v>0</v>
      </c>
      <c r="Q186" t="e">
        <f ca="1">INDEX(INDIRECT(CONCATENATE("Tab_",Tab_Calculs[[#This Row],[Colonne1]])),Tab_Calculs[[#This Row],[index_date_livraison]]+1,7)*(Tab_Calculs[[#This Row],[fin mois]]-MIN(Tab_Calculs[[#This Row],[fin mois]],Tab_Calculs[[#This Row],[Date_livraison]]))</f>
        <v>#VALUE!</v>
      </c>
      <c r="R186" t="e">
        <f ca="1">Tab_Calculs[[#This Row],[Ratio_Cout_après_livr]]+Tab_Calculs[[#This Row],[Ratio_Cout_avant_livr]]+Tab_Calculs[[#This Row],[Ratio_Cout_avant_debut]]</f>
        <v>#VALUE!</v>
      </c>
      <c r="S186" t="str">
        <f ca="1">IFERROR(N186*VLOOKUP(Tab_Calculs[[#This Row],[Colonne1]],Controle_des_données!$B$7:$G$14,6,FALSE),"")</f>
        <v/>
      </c>
      <c r="T186" t="str">
        <f ca="1">IF(Tab_Calculs[[#This Row],[Combustible ]]="Electricité (kWh)",Tab_Calculs[[#This Row],[Conso_mois_kWh]]*2.3,Tab_Calculs[[#This Row],[Conso_mois_kWh]])</f>
        <v/>
      </c>
      <c r="U186" t="str">
        <f ca="1">IFERROR(N186*VLOOKUP(Tab_Calculs[[#This Row],[Colonne1]],Controle_des_données!$B$7:$H$14,7,FALSE),"")</f>
        <v/>
      </c>
      <c r="V186">
        <f ca="1">IFERROR(Tab_Calculs[[#This Row],[Cout_mois]]/Tab_Calculs[[#This Row],[Conso_mois_kWh]],0)</f>
        <v>0</v>
      </c>
      <c r="W186" t="str">
        <f>T(VLOOKUP(Tab_Calculs[[#This Row],[Compteur]],Site!$B$33:$G$40,3,FALSE))</f>
        <v/>
      </c>
      <c r="X186" t="str">
        <f>T(VLOOKUP(Tab_Calculs[[#This Row],[Compteur]],Site!$B$33:$G$40,4,FALSE))</f>
        <v/>
      </c>
      <c r="Y186" t="str">
        <f>T(VLOOKUP(Tab_Calculs[[#This Row],[Compteur]],Site!$B$33:$G$40,5,FALSE))</f>
        <v/>
      </c>
      <c r="Z186" t="str">
        <f>T(VLOOKUP(Tab_Calculs[[#This Row],[Compteur]],Site!$B$33:$G$40,6,FALSE))</f>
        <v/>
      </c>
      <c r="AA186">
        <f>IFERROR(GETPIVOTDATA("DJU(chauffagiste)",BDD_DJU!$P$13,"annee",Tab_Calculs[[#This Row],[ANNEE]],"mois_numero",Tab_Calculs[[#This Row],[MOIS]]),0)</f>
        <v>0</v>
      </c>
    </row>
    <row r="187" spans="1:27" x14ac:dyDescent="0.25">
      <c r="A187" s="3">
        <f>DATE(Tab_Calculs[[#This Row],[ANNEE]],Tab_Calculs[[#This Row],[MOIS]],1)</f>
        <v>45597</v>
      </c>
      <c r="B187" s="3">
        <f>EDATE(Tab_Calculs[[#This Row],[Début mois]],1)-1</f>
        <v>45626</v>
      </c>
      <c r="C187">
        <f t="shared" si="3"/>
        <v>11</v>
      </c>
      <c r="D187">
        <f t="shared" si="5"/>
        <v>2024</v>
      </c>
      <c r="E187" t="s">
        <v>80</v>
      </c>
      <c r="F187" t="str">
        <f>SUBSTITUTE(Tab_Calculs[[#This Row],[Compteur]]," ","_")</f>
        <v>Compteur_1</v>
      </c>
      <c r="G187" t="str">
        <f>T(INDEX(Site!$B$33:$G$40, MATCH(Tab_Calculs[[#This Row],[Compteur]], Site!$B$33:$B$40,0),2))</f>
        <v/>
      </c>
      <c r="H187" s="3">
        <f t="array" aca="1" ref="H187" ca="1">MIN(IF(INDIRECT(CONCATENATE(Tab_Calculs[[#This Row],[Colonne1]],"!$B$2:$B$243"))&gt;=Calculs_Consos!$A187,INDIRECT(CONCATENATE(Tab_Calculs[[#This Row],[Colonne1]],"!$B$2:$B$243"))))</f>
        <v>0</v>
      </c>
      <c r="I187" s="3">
        <f ca="1">INDEX(INDIRECT(CONCATENATE("Tab_",Tab_Calculs[[#This Row],[Colonne1]])),Tab_Calculs[[#This Row],[index_date_livraison]],1)</f>
        <v>0</v>
      </c>
      <c r="J187">
        <f ca="1">MATCH(Tab_Calculs[[#This Row],[Date_livraison]],INDIRECT(CONCATENATE("Tab_",Tab_Calculs[[#This Row],[Colonne1]],"[Fin de période]")),0)</f>
        <v>1</v>
      </c>
      <c r="K187" t="e">
        <f ca="1">INDEX(INDIRECT(CONCATENATE("Tab_",Tab_Calculs[[#This Row],[Colonne1]])),Tab_Calculs[[#This Row],[index_date_livraison]]-1,6)*(MAX(Tab_Calculs[[#This Row],[Début periode livraison]],Tab_Calculs[[#This Row],[Début mois]])-Tab_Calculs[[#This Row],[Début mois]])</f>
        <v>#VALUE!</v>
      </c>
      <c r="L187" s="94">
        <f ca="1">INDEX(INDIRECT(CONCATENATE("Tab_",Tab_Calculs[[#This Row],[Colonne1]])),Tab_Calculs[[#This Row],[index_date_livraison]],6)*(1+MIN(Tab_Calculs[[#This Row],[Date_livraison]],Tab_Calculs[[#This Row],[fin mois]])-MAX(Tab_Calculs[[#This Row],[Début mois]],Tab_Calculs[[#This Row],[Début periode livraison]]))</f>
        <v>0</v>
      </c>
      <c r="M187" s="94" t="e">
        <f ca="1">INDEX(INDIRECT(CONCATENATE("Tab_",Tab_Calculs[[#This Row],[Colonne1]])),Tab_Calculs[[#This Row],[index_date_livraison]]+1,6)*(Tab_Calculs[[#This Row],[fin mois]]-MIN(Tab_Calculs[[#This Row],[fin mois]],Tab_Calculs[[#This Row],[Date_livraison]]))</f>
        <v>#VALUE!</v>
      </c>
      <c r="N187" s="231" t="str">
        <f ca="1">IFERROR(Tab_Calculs[[#This Row],[Ratio_jour_après_livr]]+Tab_Calculs[[#This Row],[Ratio_jour_avant_livr]]+Tab_Calculs[[#This Row],[ratio_avant_debut]],"")</f>
        <v/>
      </c>
      <c r="O187" t="e">
        <f ca="1">INDEX(INDIRECT(CONCATENATE("Tab_",Tab_Calculs[[#This Row],[Colonne1]])),Tab_Calculs[[#This Row],[index_date_livraison]]-1,7)*(MAX(Tab_Calculs[[#This Row],[Début periode livraison]],Tab_Calculs[[#This Row],[Début mois]])-Tab_Calculs[[#This Row],[Début mois]])</f>
        <v>#VALUE!</v>
      </c>
      <c r="P187">
        <f ca="1">INDEX(INDIRECT(CONCATENATE("Tab_",Tab_Calculs[[#This Row],[Colonne1]])),Tab_Calculs[[#This Row],[index_date_livraison]],7)*(1+MIN(Tab_Calculs[[#This Row],[Date_livraison]],Tab_Calculs[[#This Row],[fin mois]])-MAX(Tab_Calculs[[#This Row],[Début mois]],Tab_Calculs[[#This Row],[Début periode livraison]]))</f>
        <v>0</v>
      </c>
      <c r="Q187" t="e">
        <f ca="1">INDEX(INDIRECT(CONCATENATE("Tab_",Tab_Calculs[[#This Row],[Colonne1]])),Tab_Calculs[[#This Row],[index_date_livraison]]+1,7)*(Tab_Calculs[[#This Row],[fin mois]]-MIN(Tab_Calculs[[#This Row],[fin mois]],Tab_Calculs[[#This Row],[Date_livraison]]))</f>
        <v>#VALUE!</v>
      </c>
      <c r="R187" t="e">
        <f ca="1">Tab_Calculs[[#This Row],[Ratio_Cout_après_livr]]+Tab_Calculs[[#This Row],[Ratio_Cout_avant_livr]]+Tab_Calculs[[#This Row],[Ratio_Cout_avant_debut]]</f>
        <v>#VALUE!</v>
      </c>
      <c r="S187" t="str">
        <f ca="1">IFERROR(N187*VLOOKUP(Tab_Calculs[[#This Row],[Colonne1]],Controle_des_données!$B$7:$G$14,6,FALSE),"")</f>
        <v/>
      </c>
      <c r="T187" t="str">
        <f ca="1">IF(Tab_Calculs[[#This Row],[Combustible ]]="Electricité (kWh)",Tab_Calculs[[#This Row],[Conso_mois_kWh]]*2.3,Tab_Calculs[[#This Row],[Conso_mois_kWh]])</f>
        <v/>
      </c>
      <c r="U187" t="str">
        <f ca="1">IFERROR(N187*VLOOKUP(Tab_Calculs[[#This Row],[Colonne1]],Controle_des_données!$B$7:$H$14,7,FALSE),"")</f>
        <v/>
      </c>
      <c r="V187">
        <f ca="1">IFERROR(Tab_Calculs[[#This Row],[Cout_mois]]/Tab_Calculs[[#This Row],[Conso_mois_kWh]],0)</f>
        <v>0</v>
      </c>
      <c r="W187" t="str">
        <f>T(VLOOKUP(Tab_Calculs[[#This Row],[Compteur]],Site!$B$33:$G$40,3,FALSE))</f>
        <v/>
      </c>
      <c r="X187" t="str">
        <f>T(VLOOKUP(Tab_Calculs[[#This Row],[Compteur]],Site!$B$33:$G$40,4,FALSE))</f>
        <v/>
      </c>
      <c r="Y187" t="str">
        <f>T(VLOOKUP(Tab_Calculs[[#This Row],[Compteur]],Site!$B$33:$G$40,5,FALSE))</f>
        <v/>
      </c>
      <c r="Z187" t="str">
        <f>T(VLOOKUP(Tab_Calculs[[#This Row],[Compteur]],Site!$B$33:$G$40,6,FALSE))</f>
        <v/>
      </c>
      <c r="AA187">
        <f>IFERROR(GETPIVOTDATA("DJU(chauffagiste)",BDD_DJU!$P$13,"annee",Tab_Calculs[[#This Row],[ANNEE]],"mois_numero",Tab_Calculs[[#This Row],[MOIS]]),0)</f>
        <v>0</v>
      </c>
    </row>
    <row r="188" spans="1:27" x14ac:dyDescent="0.25">
      <c r="A188" s="3">
        <f>DATE(Tab_Calculs[[#This Row],[ANNEE]],Tab_Calculs[[#This Row],[MOIS]],1)</f>
        <v>45627</v>
      </c>
      <c r="B188" s="3">
        <f>EDATE(Tab_Calculs[[#This Row],[Début mois]],1)-1</f>
        <v>45657</v>
      </c>
      <c r="C188">
        <f t="shared" si="3"/>
        <v>12</v>
      </c>
      <c r="D188">
        <f>D176+1</f>
        <v>2024</v>
      </c>
      <c r="E188" t="s">
        <v>80</v>
      </c>
      <c r="F188" t="str">
        <f>SUBSTITUTE(Tab_Calculs[[#This Row],[Compteur]]," ","_")</f>
        <v>Compteur_1</v>
      </c>
      <c r="G188" t="str">
        <f>T(INDEX(Site!$B$33:$G$40, MATCH(Tab_Calculs[[#This Row],[Compteur]], Site!$B$33:$B$40,0),2))</f>
        <v/>
      </c>
      <c r="H188" s="3">
        <f t="array" aca="1" ref="H188" ca="1">MIN(IF(INDIRECT(CONCATENATE(Tab_Calculs[[#This Row],[Colonne1]],"!$B$2:$B$243"))&gt;=Calculs_Consos!$A188,INDIRECT(CONCATENATE(Tab_Calculs[[#This Row],[Colonne1]],"!$B$2:$B$243"))))</f>
        <v>0</v>
      </c>
      <c r="I188" s="3">
        <f ca="1">INDEX(INDIRECT(CONCATENATE("Tab_",Tab_Calculs[[#This Row],[Colonne1]])),Tab_Calculs[[#This Row],[index_date_livraison]],1)</f>
        <v>0</v>
      </c>
      <c r="J188">
        <f ca="1">MATCH(Tab_Calculs[[#This Row],[Date_livraison]],INDIRECT(CONCATENATE("Tab_",Tab_Calculs[[#This Row],[Colonne1]],"[Fin de période]")),0)</f>
        <v>1</v>
      </c>
      <c r="K188" t="e">
        <f ca="1">INDEX(INDIRECT(CONCATENATE("Tab_",Tab_Calculs[[#This Row],[Colonne1]])),Tab_Calculs[[#This Row],[index_date_livraison]]-1,6)*(MAX(Tab_Calculs[[#This Row],[Début periode livraison]],Tab_Calculs[[#This Row],[Début mois]])-Tab_Calculs[[#This Row],[Début mois]])</f>
        <v>#VALUE!</v>
      </c>
      <c r="L188" s="94">
        <f ca="1">INDEX(INDIRECT(CONCATENATE("Tab_",Tab_Calculs[[#This Row],[Colonne1]])),Tab_Calculs[[#This Row],[index_date_livraison]],6)*(1+MIN(Tab_Calculs[[#This Row],[Date_livraison]],Tab_Calculs[[#This Row],[fin mois]])-MAX(Tab_Calculs[[#This Row],[Début mois]],Tab_Calculs[[#This Row],[Début periode livraison]]))</f>
        <v>0</v>
      </c>
      <c r="M188" s="94" t="e">
        <f ca="1">INDEX(INDIRECT(CONCATENATE("Tab_",Tab_Calculs[[#This Row],[Colonne1]])),Tab_Calculs[[#This Row],[index_date_livraison]]+1,6)*(Tab_Calculs[[#This Row],[fin mois]]-MIN(Tab_Calculs[[#This Row],[fin mois]],Tab_Calculs[[#This Row],[Date_livraison]]))</f>
        <v>#VALUE!</v>
      </c>
      <c r="N188" s="231" t="str">
        <f ca="1">IFERROR(Tab_Calculs[[#This Row],[Ratio_jour_après_livr]]+Tab_Calculs[[#This Row],[Ratio_jour_avant_livr]]+Tab_Calculs[[#This Row],[ratio_avant_debut]],"")</f>
        <v/>
      </c>
      <c r="O188" t="e">
        <f ca="1">INDEX(INDIRECT(CONCATENATE("Tab_",Tab_Calculs[[#This Row],[Colonne1]])),Tab_Calculs[[#This Row],[index_date_livraison]]-1,7)*(MAX(Tab_Calculs[[#This Row],[Début periode livraison]],Tab_Calculs[[#This Row],[Début mois]])-Tab_Calculs[[#This Row],[Début mois]])</f>
        <v>#VALUE!</v>
      </c>
      <c r="P188">
        <f ca="1">INDEX(INDIRECT(CONCATENATE("Tab_",Tab_Calculs[[#This Row],[Colonne1]])),Tab_Calculs[[#This Row],[index_date_livraison]],7)*(1+MIN(Tab_Calculs[[#This Row],[Date_livraison]],Tab_Calculs[[#This Row],[fin mois]])-MAX(Tab_Calculs[[#This Row],[Début mois]],Tab_Calculs[[#This Row],[Début periode livraison]]))</f>
        <v>0</v>
      </c>
      <c r="Q188" t="e">
        <f ca="1">INDEX(INDIRECT(CONCATENATE("Tab_",Tab_Calculs[[#This Row],[Colonne1]])),Tab_Calculs[[#This Row],[index_date_livraison]]+1,7)*(Tab_Calculs[[#This Row],[fin mois]]-MIN(Tab_Calculs[[#This Row],[fin mois]],Tab_Calculs[[#This Row],[Date_livraison]]))</f>
        <v>#VALUE!</v>
      </c>
      <c r="R188" t="e">
        <f ca="1">Tab_Calculs[[#This Row],[Ratio_Cout_après_livr]]+Tab_Calculs[[#This Row],[Ratio_Cout_avant_livr]]+Tab_Calculs[[#This Row],[Ratio_Cout_avant_debut]]</f>
        <v>#VALUE!</v>
      </c>
      <c r="S188" t="str">
        <f ca="1">IFERROR(N188*VLOOKUP(Tab_Calculs[[#This Row],[Colonne1]],Controle_des_données!$B$7:$G$14,6,FALSE),"")</f>
        <v/>
      </c>
      <c r="T188" t="str">
        <f ca="1">IF(Tab_Calculs[[#This Row],[Combustible ]]="Electricité (kWh)",Tab_Calculs[[#This Row],[Conso_mois_kWh]]*2.3,Tab_Calculs[[#This Row],[Conso_mois_kWh]])</f>
        <v/>
      </c>
      <c r="U188" t="str">
        <f ca="1">IFERROR(N188*VLOOKUP(Tab_Calculs[[#This Row],[Colonne1]],Controle_des_données!$B$7:$H$14,7,FALSE),"")</f>
        <v/>
      </c>
      <c r="V188">
        <f ca="1">IFERROR(Tab_Calculs[[#This Row],[Cout_mois]]/Tab_Calculs[[#This Row],[Conso_mois_kWh]],0)</f>
        <v>0</v>
      </c>
      <c r="W188" t="str">
        <f>T(VLOOKUP(Tab_Calculs[[#This Row],[Compteur]],Site!$B$33:$G$40,3,FALSE))</f>
        <v/>
      </c>
      <c r="X188" t="str">
        <f>T(VLOOKUP(Tab_Calculs[[#This Row],[Compteur]],Site!$B$33:$G$40,4,FALSE))</f>
        <v/>
      </c>
      <c r="Y188" t="str">
        <f>T(VLOOKUP(Tab_Calculs[[#This Row],[Compteur]],Site!$B$33:$G$40,5,FALSE))</f>
        <v/>
      </c>
      <c r="Z188" t="str">
        <f>T(VLOOKUP(Tab_Calculs[[#This Row],[Compteur]],Site!$B$33:$G$40,6,FALSE))</f>
        <v/>
      </c>
      <c r="AA188">
        <f>IFERROR(GETPIVOTDATA("DJU(chauffagiste)",BDD_DJU!$P$13,"annee",Tab_Calculs[[#This Row],[ANNEE]],"mois_numero",Tab_Calculs[[#This Row],[MOIS]]),0)</f>
        <v>0</v>
      </c>
    </row>
    <row r="189" spans="1:27" x14ac:dyDescent="0.25">
      <c r="A189" s="3">
        <f>DATE(Tab_Calculs[[#This Row],[ANNEE]],Tab_Calculs[[#This Row],[MOIS]],1)</f>
        <v>45658</v>
      </c>
      <c r="B189" s="3">
        <f>EDATE(Tab_Calculs[[#This Row],[Début mois]],1)-1</f>
        <v>45688</v>
      </c>
      <c r="C189">
        <f t="shared" si="3"/>
        <v>1</v>
      </c>
      <c r="D189">
        <f t="shared" ref="D189:D200" si="6">D177+1</f>
        <v>2025</v>
      </c>
      <c r="E189" t="s">
        <v>80</v>
      </c>
      <c r="F189" t="str">
        <f>SUBSTITUTE(Tab_Calculs[[#This Row],[Compteur]]," ","_")</f>
        <v>Compteur_1</v>
      </c>
      <c r="G189" t="str">
        <f>T(INDEX(Site!$B$33:$G$40, MATCH(Tab_Calculs[[#This Row],[Compteur]], Site!$B$33:$B$40,0),2))</f>
        <v/>
      </c>
      <c r="H189" s="3">
        <f t="array" aca="1" ref="H189" ca="1">MIN(IF(INDIRECT(CONCATENATE(Tab_Calculs[[#This Row],[Colonne1]],"!$B$2:$B$243"))&gt;=Calculs_Consos!$A189,INDIRECT(CONCATENATE(Tab_Calculs[[#This Row],[Colonne1]],"!$B$2:$B$243"))))</f>
        <v>0</v>
      </c>
      <c r="I189" s="3">
        <f ca="1">INDEX(INDIRECT(CONCATENATE("Tab_",Tab_Calculs[[#This Row],[Colonne1]])),Tab_Calculs[[#This Row],[index_date_livraison]],1)</f>
        <v>0</v>
      </c>
      <c r="J189">
        <f ca="1">MATCH(Tab_Calculs[[#This Row],[Date_livraison]],INDIRECT(CONCATENATE("Tab_",Tab_Calculs[[#This Row],[Colonne1]],"[Fin de période]")),0)</f>
        <v>1</v>
      </c>
      <c r="K189" t="e">
        <f ca="1">INDEX(INDIRECT(CONCATENATE("Tab_",Tab_Calculs[[#This Row],[Colonne1]])),Tab_Calculs[[#This Row],[index_date_livraison]]-1,6)*(MAX(Tab_Calculs[[#This Row],[Début periode livraison]],Tab_Calculs[[#This Row],[Début mois]])-Tab_Calculs[[#This Row],[Début mois]])</f>
        <v>#VALUE!</v>
      </c>
      <c r="L189" s="94">
        <f ca="1">INDEX(INDIRECT(CONCATENATE("Tab_",Tab_Calculs[[#This Row],[Colonne1]])),Tab_Calculs[[#This Row],[index_date_livraison]],6)*(1+MIN(Tab_Calculs[[#This Row],[Date_livraison]],Tab_Calculs[[#This Row],[fin mois]])-MAX(Tab_Calculs[[#This Row],[Début mois]],Tab_Calculs[[#This Row],[Début periode livraison]]))</f>
        <v>0</v>
      </c>
      <c r="M189" s="94" t="e">
        <f ca="1">INDEX(INDIRECT(CONCATENATE("Tab_",Tab_Calculs[[#This Row],[Colonne1]])),Tab_Calculs[[#This Row],[index_date_livraison]]+1,6)*(Tab_Calculs[[#This Row],[fin mois]]-MIN(Tab_Calculs[[#This Row],[fin mois]],Tab_Calculs[[#This Row],[Date_livraison]]))</f>
        <v>#VALUE!</v>
      </c>
      <c r="N189" s="231" t="str">
        <f ca="1">IFERROR(Tab_Calculs[[#This Row],[Ratio_jour_après_livr]]+Tab_Calculs[[#This Row],[Ratio_jour_avant_livr]]+Tab_Calculs[[#This Row],[ratio_avant_debut]],"")</f>
        <v/>
      </c>
      <c r="O189" t="e">
        <f ca="1">INDEX(INDIRECT(CONCATENATE("Tab_",Tab_Calculs[[#This Row],[Colonne1]])),Tab_Calculs[[#This Row],[index_date_livraison]]-1,7)*(MAX(Tab_Calculs[[#This Row],[Début periode livraison]],Tab_Calculs[[#This Row],[Début mois]])-Tab_Calculs[[#This Row],[Début mois]])</f>
        <v>#VALUE!</v>
      </c>
      <c r="P189">
        <f ca="1">INDEX(INDIRECT(CONCATENATE("Tab_",Tab_Calculs[[#This Row],[Colonne1]])),Tab_Calculs[[#This Row],[index_date_livraison]],7)*(1+MIN(Tab_Calculs[[#This Row],[Date_livraison]],Tab_Calculs[[#This Row],[fin mois]])-MAX(Tab_Calculs[[#This Row],[Début mois]],Tab_Calculs[[#This Row],[Début periode livraison]]))</f>
        <v>0</v>
      </c>
      <c r="Q189" t="e">
        <f ca="1">INDEX(INDIRECT(CONCATENATE("Tab_",Tab_Calculs[[#This Row],[Colonne1]])),Tab_Calculs[[#This Row],[index_date_livraison]]+1,7)*(Tab_Calculs[[#This Row],[fin mois]]-MIN(Tab_Calculs[[#This Row],[fin mois]],Tab_Calculs[[#This Row],[Date_livraison]]))</f>
        <v>#VALUE!</v>
      </c>
      <c r="R189" t="e">
        <f ca="1">Tab_Calculs[[#This Row],[Ratio_Cout_après_livr]]+Tab_Calculs[[#This Row],[Ratio_Cout_avant_livr]]+Tab_Calculs[[#This Row],[Ratio_Cout_avant_debut]]</f>
        <v>#VALUE!</v>
      </c>
      <c r="S189" t="str">
        <f ca="1">IFERROR(N189*VLOOKUP(Tab_Calculs[[#This Row],[Colonne1]],Controle_des_données!$B$7:$G$14,6,FALSE),"")</f>
        <v/>
      </c>
      <c r="T189" t="str">
        <f ca="1">IF(Tab_Calculs[[#This Row],[Combustible ]]="Electricité (kWh)",Tab_Calculs[[#This Row],[Conso_mois_kWh]]*2.3,Tab_Calculs[[#This Row],[Conso_mois_kWh]])</f>
        <v/>
      </c>
      <c r="U189" t="str">
        <f ca="1">IFERROR(N189*VLOOKUP(Tab_Calculs[[#This Row],[Colonne1]],Controle_des_données!$B$7:$H$14,7,FALSE),"")</f>
        <v/>
      </c>
      <c r="V189">
        <f ca="1">IFERROR(Tab_Calculs[[#This Row],[Cout_mois]]/Tab_Calculs[[#This Row],[Conso_mois_kWh]],0)</f>
        <v>0</v>
      </c>
      <c r="W189" t="str">
        <f>T(VLOOKUP(Tab_Calculs[[#This Row],[Compteur]],Site!$B$33:$G$40,3,FALSE))</f>
        <v/>
      </c>
      <c r="X189" t="str">
        <f>T(VLOOKUP(Tab_Calculs[[#This Row],[Compteur]],Site!$B$33:$G$40,4,FALSE))</f>
        <v/>
      </c>
      <c r="Y189" t="str">
        <f>T(VLOOKUP(Tab_Calculs[[#This Row],[Compteur]],Site!$B$33:$G$40,5,FALSE))</f>
        <v/>
      </c>
      <c r="Z189" t="str">
        <f>T(VLOOKUP(Tab_Calculs[[#This Row],[Compteur]],Site!$B$33:$G$40,6,FALSE))</f>
        <v/>
      </c>
      <c r="AA189">
        <f>IFERROR(GETPIVOTDATA("DJU(chauffagiste)",BDD_DJU!$P$13,"annee",Tab_Calculs[[#This Row],[ANNEE]],"mois_numero",Tab_Calculs[[#This Row],[MOIS]]),0)</f>
        <v>0</v>
      </c>
    </row>
    <row r="190" spans="1:27" x14ac:dyDescent="0.25">
      <c r="A190" s="3">
        <f>DATE(Tab_Calculs[[#This Row],[ANNEE]],Tab_Calculs[[#This Row],[MOIS]],1)</f>
        <v>45689</v>
      </c>
      <c r="B190" s="3">
        <f>EDATE(Tab_Calculs[[#This Row],[Début mois]],1)-1</f>
        <v>45716</v>
      </c>
      <c r="C190">
        <f t="shared" si="3"/>
        <v>2</v>
      </c>
      <c r="D190">
        <f t="shared" si="6"/>
        <v>2025</v>
      </c>
      <c r="E190" t="s">
        <v>80</v>
      </c>
      <c r="F190" t="str">
        <f>SUBSTITUTE(Tab_Calculs[[#This Row],[Compteur]]," ","_")</f>
        <v>Compteur_1</v>
      </c>
      <c r="G190" t="str">
        <f>T(INDEX(Site!$B$33:$G$40, MATCH(Tab_Calculs[[#This Row],[Compteur]], Site!$B$33:$B$40,0),2))</f>
        <v/>
      </c>
      <c r="H190" s="3">
        <f t="array" aca="1" ref="H190" ca="1">MIN(IF(INDIRECT(CONCATENATE(Tab_Calculs[[#This Row],[Colonne1]],"!$B$2:$B$243"))&gt;=Calculs_Consos!$A190,INDIRECT(CONCATENATE(Tab_Calculs[[#This Row],[Colonne1]],"!$B$2:$B$243"))))</f>
        <v>0</v>
      </c>
      <c r="I190" s="3">
        <f ca="1">INDEX(INDIRECT(CONCATENATE("Tab_",Tab_Calculs[[#This Row],[Colonne1]])),Tab_Calculs[[#This Row],[index_date_livraison]],1)</f>
        <v>0</v>
      </c>
      <c r="J190">
        <f ca="1">MATCH(Tab_Calculs[[#This Row],[Date_livraison]],INDIRECT(CONCATENATE("Tab_",Tab_Calculs[[#This Row],[Colonne1]],"[Fin de période]")),0)</f>
        <v>1</v>
      </c>
      <c r="K190" t="e">
        <f ca="1">INDEX(INDIRECT(CONCATENATE("Tab_",Tab_Calculs[[#This Row],[Colonne1]])),Tab_Calculs[[#This Row],[index_date_livraison]]-1,6)*(MAX(Tab_Calculs[[#This Row],[Début periode livraison]],Tab_Calculs[[#This Row],[Début mois]])-Tab_Calculs[[#This Row],[Début mois]])</f>
        <v>#VALUE!</v>
      </c>
      <c r="L190" s="94">
        <f ca="1">INDEX(INDIRECT(CONCATENATE("Tab_",Tab_Calculs[[#This Row],[Colonne1]])),Tab_Calculs[[#This Row],[index_date_livraison]],6)*(1+MIN(Tab_Calculs[[#This Row],[Date_livraison]],Tab_Calculs[[#This Row],[fin mois]])-MAX(Tab_Calculs[[#This Row],[Début mois]],Tab_Calculs[[#This Row],[Début periode livraison]]))</f>
        <v>0</v>
      </c>
      <c r="M190" s="94" t="e">
        <f ca="1">INDEX(INDIRECT(CONCATENATE("Tab_",Tab_Calculs[[#This Row],[Colonne1]])),Tab_Calculs[[#This Row],[index_date_livraison]]+1,6)*(Tab_Calculs[[#This Row],[fin mois]]-MIN(Tab_Calculs[[#This Row],[fin mois]],Tab_Calculs[[#This Row],[Date_livraison]]))</f>
        <v>#VALUE!</v>
      </c>
      <c r="N190" s="231" t="str">
        <f ca="1">IFERROR(Tab_Calculs[[#This Row],[Ratio_jour_après_livr]]+Tab_Calculs[[#This Row],[Ratio_jour_avant_livr]]+Tab_Calculs[[#This Row],[ratio_avant_debut]],"")</f>
        <v/>
      </c>
      <c r="O190" t="e">
        <f ca="1">INDEX(INDIRECT(CONCATENATE("Tab_",Tab_Calculs[[#This Row],[Colonne1]])),Tab_Calculs[[#This Row],[index_date_livraison]]-1,7)*(MAX(Tab_Calculs[[#This Row],[Début periode livraison]],Tab_Calculs[[#This Row],[Début mois]])-Tab_Calculs[[#This Row],[Début mois]])</f>
        <v>#VALUE!</v>
      </c>
      <c r="P190">
        <f ca="1">INDEX(INDIRECT(CONCATENATE("Tab_",Tab_Calculs[[#This Row],[Colonne1]])),Tab_Calculs[[#This Row],[index_date_livraison]],7)*(1+MIN(Tab_Calculs[[#This Row],[Date_livraison]],Tab_Calculs[[#This Row],[fin mois]])-MAX(Tab_Calculs[[#This Row],[Début mois]],Tab_Calculs[[#This Row],[Début periode livraison]]))</f>
        <v>0</v>
      </c>
      <c r="Q190" t="e">
        <f ca="1">INDEX(INDIRECT(CONCATENATE("Tab_",Tab_Calculs[[#This Row],[Colonne1]])),Tab_Calculs[[#This Row],[index_date_livraison]]+1,7)*(Tab_Calculs[[#This Row],[fin mois]]-MIN(Tab_Calculs[[#This Row],[fin mois]],Tab_Calculs[[#This Row],[Date_livraison]]))</f>
        <v>#VALUE!</v>
      </c>
      <c r="R190" t="e">
        <f ca="1">Tab_Calculs[[#This Row],[Ratio_Cout_après_livr]]+Tab_Calculs[[#This Row],[Ratio_Cout_avant_livr]]+Tab_Calculs[[#This Row],[Ratio_Cout_avant_debut]]</f>
        <v>#VALUE!</v>
      </c>
      <c r="S190" t="str">
        <f ca="1">IFERROR(N190*VLOOKUP(Tab_Calculs[[#This Row],[Colonne1]],Controle_des_données!$B$7:$G$14,6,FALSE),"")</f>
        <v/>
      </c>
      <c r="T190" t="str">
        <f ca="1">IF(Tab_Calculs[[#This Row],[Combustible ]]="Electricité (kWh)",Tab_Calculs[[#This Row],[Conso_mois_kWh]]*2.3,Tab_Calculs[[#This Row],[Conso_mois_kWh]])</f>
        <v/>
      </c>
      <c r="U190" t="str">
        <f ca="1">IFERROR(N190*VLOOKUP(Tab_Calculs[[#This Row],[Colonne1]],Controle_des_données!$B$7:$H$14,7,FALSE),"")</f>
        <v/>
      </c>
      <c r="V190">
        <f ca="1">IFERROR(Tab_Calculs[[#This Row],[Cout_mois]]/Tab_Calculs[[#This Row],[Conso_mois_kWh]],0)</f>
        <v>0</v>
      </c>
      <c r="W190" t="str">
        <f>T(VLOOKUP(Tab_Calculs[[#This Row],[Compteur]],Site!$B$33:$G$40,3,FALSE))</f>
        <v/>
      </c>
      <c r="X190" t="str">
        <f>T(VLOOKUP(Tab_Calculs[[#This Row],[Compteur]],Site!$B$33:$G$40,4,FALSE))</f>
        <v/>
      </c>
      <c r="Y190" t="str">
        <f>T(VLOOKUP(Tab_Calculs[[#This Row],[Compteur]],Site!$B$33:$G$40,5,FALSE))</f>
        <v/>
      </c>
      <c r="Z190" t="str">
        <f>T(VLOOKUP(Tab_Calculs[[#This Row],[Compteur]],Site!$B$33:$G$40,6,FALSE))</f>
        <v/>
      </c>
      <c r="AA190">
        <f>IFERROR(GETPIVOTDATA("DJU(chauffagiste)",BDD_DJU!$P$13,"annee",Tab_Calculs[[#This Row],[ANNEE]],"mois_numero",Tab_Calculs[[#This Row],[MOIS]]),0)</f>
        <v>0</v>
      </c>
    </row>
    <row r="191" spans="1:27" x14ac:dyDescent="0.25">
      <c r="A191" s="3">
        <f>DATE(Tab_Calculs[[#This Row],[ANNEE]],Tab_Calculs[[#This Row],[MOIS]],1)</f>
        <v>45717</v>
      </c>
      <c r="B191" s="3">
        <f>EDATE(Tab_Calculs[[#This Row],[Début mois]],1)-1</f>
        <v>45747</v>
      </c>
      <c r="C191">
        <f t="shared" si="3"/>
        <v>3</v>
      </c>
      <c r="D191">
        <f t="shared" si="6"/>
        <v>2025</v>
      </c>
      <c r="E191" t="s">
        <v>80</v>
      </c>
      <c r="F191" t="str">
        <f>SUBSTITUTE(Tab_Calculs[[#This Row],[Compteur]]," ","_")</f>
        <v>Compteur_1</v>
      </c>
      <c r="G191" t="str">
        <f>T(INDEX(Site!$B$33:$G$40, MATCH(Tab_Calculs[[#This Row],[Compteur]], Site!$B$33:$B$40,0),2))</f>
        <v/>
      </c>
      <c r="H191" s="3">
        <f t="array" aca="1" ref="H191" ca="1">MIN(IF(INDIRECT(CONCATENATE(Tab_Calculs[[#This Row],[Colonne1]],"!$B$2:$B$243"))&gt;=Calculs_Consos!$A191,INDIRECT(CONCATENATE(Tab_Calculs[[#This Row],[Colonne1]],"!$B$2:$B$243"))))</f>
        <v>0</v>
      </c>
      <c r="I191" s="3">
        <f ca="1">INDEX(INDIRECT(CONCATENATE("Tab_",Tab_Calculs[[#This Row],[Colonne1]])),Tab_Calculs[[#This Row],[index_date_livraison]],1)</f>
        <v>0</v>
      </c>
      <c r="J191">
        <f ca="1">MATCH(Tab_Calculs[[#This Row],[Date_livraison]],INDIRECT(CONCATENATE("Tab_",Tab_Calculs[[#This Row],[Colonne1]],"[Fin de période]")),0)</f>
        <v>1</v>
      </c>
      <c r="K191" t="e">
        <f ca="1">INDEX(INDIRECT(CONCATENATE("Tab_",Tab_Calculs[[#This Row],[Colonne1]])),Tab_Calculs[[#This Row],[index_date_livraison]]-1,6)*(MAX(Tab_Calculs[[#This Row],[Début periode livraison]],Tab_Calculs[[#This Row],[Début mois]])-Tab_Calculs[[#This Row],[Début mois]])</f>
        <v>#VALUE!</v>
      </c>
      <c r="L191" s="94">
        <f ca="1">INDEX(INDIRECT(CONCATENATE("Tab_",Tab_Calculs[[#This Row],[Colonne1]])),Tab_Calculs[[#This Row],[index_date_livraison]],6)*(1+MIN(Tab_Calculs[[#This Row],[Date_livraison]],Tab_Calculs[[#This Row],[fin mois]])-MAX(Tab_Calculs[[#This Row],[Début mois]],Tab_Calculs[[#This Row],[Début periode livraison]]))</f>
        <v>0</v>
      </c>
      <c r="M191" s="94" t="e">
        <f ca="1">INDEX(INDIRECT(CONCATENATE("Tab_",Tab_Calculs[[#This Row],[Colonne1]])),Tab_Calculs[[#This Row],[index_date_livraison]]+1,6)*(Tab_Calculs[[#This Row],[fin mois]]-MIN(Tab_Calculs[[#This Row],[fin mois]],Tab_Calculs[[#This Row],[Date_livraison]]))</f>
        <v>#VALUE!</v>
      </c>
      <c r="N191" s="231" t="str">
        <f ca="1">IFERROR(Tab_Calculs[[#This Row],[Ratio_jour_après_livr]]+Tab_Calculs[[#This Row],[Ratio_jour_avant_livr]]+Tab_Calculs[[#This Row],[ratio_avant_debut]],"")</f>
        <v/>
      </c>
      <c r="O191" t="e">
        <f ca="1">INDEX(INDIRECT(CONCATENATE("Tab_",Tab_Calculs[[#This Row],[Colonne1]])),Tab_Calculs[[#This Row],[index_date_livraison]]-1,7)*(MAX(Tab_Calculs[[#This Row],[Début periode livraison]],Tab_Calculs[[#This Row],[Début mois]])-Tab_Calculs[[#This Row],[Début mois]])</f>
        <v>#VALUE!</v>
      </c>
      <c r="P191">
        <f ca="1">INDEX(INDIRECT(CONCATENATE("Tab_",Tab_Calculs[[#This Row],[Colonne1]])),Tab_Calculs[[#This Row],[index_date_livraison]],7)*(1+MIN(Tab_Calculs[[#This Row],[Date_livraison]],Tab_Calculs[[#This Row],[fin mois]])-MAX(Tab_Calculs[[#This Row],[Début mois]],Tab_Calculs[[#This Row],[Début periode livraison]]))</f>
        <v>0</v>
      </c>
      <c r="Q191" t="e">
        <f ca="1">INDEX(INDIRECT(CONCATENATE("Tab_",Tab_Calculs[[#This Row],[Colonne1]])),Tab_Calculs[[#This Row],[index_date_livraison]]+1,7)*(Tab_Calculs[[#This Row],[fin mois]]-MIN(Tab_Calculs[[#This Row],[fin mois]],Tab_Calculs[[#This Row],[Date_livraison]]))</f>
        <v>#VALUE!</v>
      </c>
      <c r="R191" t="e">
        <f ca="1">Tab_Calculs[[#This Row],[Ratio_Cout_après_livr]]+Tab_Calculs[[#This Row],[Ratio_Cout_avant_livr]]+Tab_Calculs[[#This Row],[Ratio_Cout_avant_debut]]</f>
        <v>#VALUE!</v>
      </c>
      <c r="S191" t="str">
        <f ca="1">IFERROR(N191*VLOOKUP(Tab_Calculs[[#This Row],[Colonne1]],Controle_des_données!$B$7:$G$14,6,FALSE),"")</f>
        <v/>
      </c>
      <c r="T191" t="str">
        <f ca="1">IF(Tab_Calculs[[#This Row],[Combustible ]]="Electricité (kWh)",Tab_Calculs[[#This Row],[Conso_mois_kWh]]*2.3,Tab_Calculs[[#This Row],[Conso_mois_kWh]])</f>
        <v/>
      </c>
      <c r="U191" t="str">
        <f ca="1">IFERROR(N191*VLOOKUP(Tab_Calculs[[#This Row],[Colonne1]],Controle_des_données!$B$7:$H$14,7,FALSE),"")</f>
        <v/>
      </c>
      <c r="V191">
        <f ca="1">IFERROR(Tab_Calculs[[#This Row],[Cout_mois]]/Tab_Calculs[[#This Row],[Conso_mois_kWh]],0)</f>
        <v>0</v>
      </c>
      <c r="W191" t="str">
        <f>T(VLOOKUP(Tab_Calculs[[#This Row],[Compteur]],Site!$B$33:$G$40,3,FALSE))</f>
        <v/>
      </c>
      <c r="X191" t="str">
        <f>T(VLOOKUP(Tab_Calculs[[#This Row],[Compteur]],Site!$B$33:$G$40,4,FALSE))</f>
        <v/>
      </c>
      <c r="Y191" t="str">
        <f>T(VLOOKUP(Tab_Calculs[[#This Row],[Compteur]],Site!$B$33:$G$40,5,FALSE))</f>
        <v/>
      </c>
      <c r="Z191" t="str">
        <f>T(VLOOKUP(Tab_Calculs[[#This Row],[Compteur]],Site!$B$33:$G$40,6,FALSE))</f>
        <v/>
      </c>
      <c r="AA191">
        <f>IFERROR(GETPIVOTDATA("DJU(chauffagiste)",BDD_DJU!$P$13,"annee",Tab_Calculs[[#This Row],[ANNEE]],"mois_numero",Tab_Calculs[[#This Row],[MOIS]]),0)</f>
        <v>0</v>
      </c>
    </row>
    <row r="192" spans="1:27" x14ac:dyDescent="0.25">
      <c r="A192" s="3">
        <f>DATE(Tab_Calculs[[#This Row],[ANNEE]],Tab_Calculs[[#This Row],[MOIS]],1)</f>
        <v>45748</v>
      </c>
      <c r="B192" s="3">
        <f>EDATE(Tab_Calculs[[#This Row],[Début mois]],1)-1</f>
        <v>45777</v>
      </c>
      <c r="C192">
        <f t="shared" si="3"/>
        <v>4</v>
      </c>
      <c r="D192">
        <f t="shared" si="6"/>
        <v>2025</v>
      </c>
      <c r="E192" t="s">
        <v>80</v>
      </c>
      <c r="F192" t="str">
        <f>SUBSTITUTE(Tab_Calculs[[#This Row],[Compteur]]," ","_")</f>
        <v>Compteur_1</v>
      </c>
      <c r="G192" t="str">
        <f>T(INDEX(Site!$B$33:$G$40, MATCH(Tab_Calculs[[#This Row],[Compteur]], Site!$B$33:$B$40,0),2))</f>
        <v/>
      </c>
      <c r="H192" s="3">
        <f t="array" aca="1" ref="H192" ca="1">MIN(IF(INDIRECT(CONCATENATE(Tab_Calculs[[#This Row],[Colonne1]],"!$B$2:$B$243"))&gt;=Calculs_Consos!$A192,INDIRECT(CONCATENATE(Tab_Calculs[[#This Row],[Colonne1]],"!$B$2:$B$243"))))</f>
        <v>0</v>
      </c>
      <c r="I192" s="3">
        <f ca="1">INDEX(INDIRECT(CONCATENATE("Tab_",Tab_Calculs[[#This Row],[Colonne1]])),Tab_Calculs[[#This Row],[index_date_livraison]],1)</f>
        <v>0</v>
      </c>
      <c r="J192">
        <f ca="1">MATCH(Tab_Calculs[[#This Row],[Date_livraison]],INDIRECT(CONCATENATE("Tab_",Tab_Calculs[[#This Row],[Colonne1]],"[Fin de période]")),0)</f>
        <v>1</v>
      </c>
      <c r="K192" t="e">
        <f ca="1">INDEX(INDIRECT(CONCATENATE("Tab_",Tab_Calculs[[#This Row],[Colonne1]])),Tab_Calculs[[#This Row],[index_date_livraison]]-1,6)*(MAX(Tab_Calculs[[#This Row],[Début periode livraison]],Tab_Calculs[[#This Row],[Début mois]])-Tab_Calculs[[#This Row],[Début mois]])</f>
        <v>#VALUE!</v>
      </c>
      <c r="L192" s="94">
        <f ca="1">INDEX(INDIRECT(CONCATENATE("Tab_",Tab_Calculs[[#This Row],[Colonne1]])),Tab_Calculs[[#This Row],[index_date_livraison]],6)*(1+MIN(Tab_Calculs[[#This Row],[Date_livraison]],Tab_Calculs[[#This Row],[fin mois]])-MAX(Tab_Calculs[[#This Row],[Début mois]],Tab_Calculs[[#This Row],[Début periode livraison]]))</f>
        <v>0</v>
      </c>
      <c r="M192" s="94" t="e">
        <f ca="1">INDEX(INDIRECT(CONCATENATE("Tab_",Tab_Calculs[[#This Row],[Colonne1]])),Tab_Calculs[[#This Row],[index_date_livraison]]+1,6)*(Tab_Calculs[[#This Row],[fin mois]]-MIN(Tab_Calculs[[#This Row],[fin mois]],Tab_Calculs[[#This Row],[Date_livraison]]))</f>
        <v>#VALUE!</v>
      </c>
      <c r="N192" s="231" t="str">
        <f ca="1">IFERROR(Tab_Calculs[[#This Row],[Ratio_jour_après_livr]]+Tab_Calculs[[#This Row],[Ratio_jour_avant_livr]]+Tab_Calculs[[#This Row],[ratio_avant_debut]],"")</f>
        <v/>
      </c>
      <c r="O192" t="e">
        <f ca="1">INDEX(INDIRECT(CONCATENATE("Tab_",Tab_Calculs[[#This Row],[Colonne1]])),Tab_Calculs[[#This Row],[index_date_livraison]]-1,7)*(MAX(Tab_Calculs[[#This Row],[Début periode livraison]],Tab_Calculs[[#This Row],[Début mois]])-Tab_Calculs[[#This Row],[Début mois]])</f>
        <v>#VALUE!</v>
      </c>
      <c r="P192">
        <f ca="1">INDEX(INDIRECT(CONCATENATE("Tab_",Tab_Calculs[[#This Row],[Colonne1]])),Tab_Calculs[[#This Row],[index_date_livraison]],7)*(1+MIN(Tab_Calculs[[#This Row],[Date_livraison]],Tab_Calculs[[#This Row],[fin mois]])-MAX(Tab_Calculs[[#This Row],[Début mois]],Tab_Calculs[[#This Row],[Début periode livraison]]))</f>
        <v>0</v>
      </c>
      <c r="Q192" t="e">
        <f ca="1">INDEX(INDIRECT(CONCATENATE("Tab_",Tab_Calculs[[#This Row],[Colonne1]])),Tab_Calculs[[#This Row],[index_date_livraison]]+1,7)*(Tab_Calculs[[#This Row],[fin mois]]-MIN(Tab_Calculs[[#This Row],[fin mois]],Tab_Calculs[[#This Row],[Date_livraison]]))</f>
        <v>#VALUE!</v>
      </c>
      <c r="R192" t="e">
        <f ca="1">Tab_Calculs[[#This Row],[Ratio_Cout_après_livr]]+Tab_Calculs[[#This Row],[Ratio_Cout_avant_livr]]+Tab_Calculs[[#This Row],[Ratio_Cout_avant_debut]]</f>
        <v>#VALUE!</v>
      </c>
      <c r="S192" t="str">
        <f ca="1">IFERROR(N192*VLOOKUP(Tab_Calculs[[#This Row],[Colonne1]],Controle_des_données!$B$7:$G$14,6,FALSE),"")</f>
        <v/>
      </c>
      <c r="T192" t="str">
        <f ca="1">IF(Tab_Calculs[[#This Row],[Combustible ]]="Electricité (kWh)",Tab_Calculs[[#This Row],[Conso_mois_kWh]]*2.3,Tab_Calculs[[#This Row],[Conso_mois_kWh]])</f>
        <v/>
      </c>
      <c r="U192" t="str">
        <f ca="1">IFERROR(N192*VLOOKUP(Tab_Calculs[[#This Row],[Colonne1]],Controle_des_données!$B$7:$H$14,7,FALSE),"")</f>
        <v/>
      </c>
      <c r="V192">
        <f ca="1">IFERROR(Tab_Calculs[[#This Row],[Cout_mois]]/Tab_Calculs[[#This Row],[Conso_mois_kWh]],0)</f>
        <v>0</v>
      </c>
      <c r="W192" t="str">
        <f>T(VLOOKUP(Tab_Calculs[[#This Row],[Compteur]],Site!$B$33:$G$40,3,FALSE))</f>
        <v/>
      </c>
      <c r="X192" t="str">
        <f>T(VLOOKUP(Tab_Calculs[[#This Row],[Compteur]],Site!$B$33:$G$40,4,FALSE))</f>
        <v/>
      </c>
      <c r="Y192" t="str">
        <f>T(VLOOKUP(Tab_Calculs[[#This Row],[Compteur]],Site!$B$33:$G$40,5,FALSE))</f>
        <v/>
      </c>
      <c r="Z192" t="str">
        <f>T(VLOOKUP(Tab_Calculs[[#This Row],[Compteur]],Site!$B$33:$G$40,6,FALSE))</f>
        <v/>
      </c>
      <c r="AA192">
        <f>IFERROR(GETPIVOTDATA("DJU(chauffagiste)",BDD_DJU!$P$13,"annee",Tab_Calculs[[#This Row],[ANNEE]],"mois_numero",Tab_Calculs[[#This Row],[MOIS]]),0)</f>
        <v>0</v>
      </c>
    </row>
    <row r="193" spans="1:27" x14ac:dyDescent="0.25">
      <c r="A193" s="3">
        <f>DATE(Tab_Calculs[[#This Row],[ANNEE]],Tab_Calculs[[#This Row],[MOIS]],1)</f>
        <v>45778</v>
      </c>
      <c r="B193" s="3">
        <f>EDATE(Tab_Calculs[[#This Row],[Début mois]],1)-1</f>
        <v>45808</v>
      </c>
      <c r="C193">
        <f t="shared" si="3"/>
        <v>5</v>
      </c>
      <c r="D193">
        <f t="shared" si="6"/>
        <v>2025</v>
      </c>
      <c r="E193" t="s">
        <v>80</v>
      </c>
      <c r="F193" t="str">
        <f>SUBSTITUTE(Tab_Calculs[[#This Row],[Compteur]]," ","_")</f>
        <v>Compteur_1</v>
      </c>
      <c r="G193" t="str">
        <f>T(INDEX(Site!$B$33:$G$40, MATCH(Tab_Calculs[[#This Row],[Compteur]], Site!$B$33:$B$40,0),2))</f>
        <v/>
      </c>
      <c r="H193" s="3">
        <f t="array" aca="1" ref="H193" ca="1">MIN(IF(INDIRECT(CONCATENATE(Tab_Calculs[[#This Row],[Colonne1]],"!$B$2:$B$243"))&gt;=Calculs_Consos!$A193,INDIRECT(CONCATENATE(Tab_Calculs[[#This Row],[Colonne1]],"!$B$2:$B$243"))))</f>
        <v>0</v>
      </c>
      <c r="I193" s="3">
        <f ca="1">INDEX(INDIRECT(CONCATENATE("Tab_",Tab_Calculs[[#This Row],[Colonne1]])),Tab_Calculs[[#This Row],[index_date_livraison]],1)</f>
        <v>0</v>
      </c>
      <c r="J193">
        <f ca="1">MATCH(Tab_Calculs[[#This Row],[Date_livraison]],INDIRECT(CONCATENATE("Tab_",Tab_Calculs[[#This Row],[Colonne1]],"[Fin de période]")),0)</f>
        <v>1</v>
      </c>
      <c r="K193" t="e">
        <f ca="1">INDEX(INDIRECT(CONCATENATE("Tab_",Tab_Calculs[[#This Row],[Colonne1]])),Tab_Calculs[[#This Row],[index_date_livraison]]-1,6)*(MAX(Tab_Calculs[[#This Row],[Début periode livraison]],Tab_Calculs[[#This Row],[Début mois]])-Tab_Calculs[[#This Row],[Début mois]])</f>
        <v>#VALUE!</v>
      </c>
      <c r="L193" s="94">
        <f ca="1">INDEX(INDIRECT(CONCATENATE("Tab_",Tab_Calculs[[#This Row],[Colonne1]])),Tab_Calculs[[#This Row],[index_date_livraison]],6)*(1+MIN(Tab_Calculs[[#This Row],[Date_livraison]],Tab_Calculs[[#This Row],[fin mois]])-MAX(Tab_Calculs[[#This Row],[Début mois]],Tab_Calculs[[#This Row],[Début periode livraison]]))</f>
        <v>0</v>
      </c>
      <c r="M193" s="94" t="e">
        <f ca="1">INDEX(INDIRECT(CONCATENATE("Tab_",Tab_Calculs[[#This Row],[Colonne1]])),Tab_Calculs[[#This Row],[index_date_livraison]]+1,6)*(Tab_Calculs[[#This Row],[fin mois]]-MIN(Tab_Calculs[[#This Row],[fin mois]],Tab_Calculs[[#This Row],[Date_livraison]]))</f>
        <v>#VALUE!</v>
      </c>
      <c r="N193" s="231" t="str">
        <f ca="1">IFERROR(Tab_Calculs[[#This Row],[Ratio_jour_après_livr]]+Tab_Calculs[[#This Row],[Ratio_jour_avant_livr]]+Tab_Calculs[[#This Row],[ratio_avant_debut]],"")</f>
        <v/>
      </c>
      <c r="O193" t="e">
        <f ca="1">INDEX(INDIRECT(CONCATENATE("Tab_",Tab_Calculs[[#This Row],[Colonne1]])),Tab_Calculs[[#This Row],[index_date_livraison]]-1,7)*(MAX(Tab_Calculs[[#This Row],[Début periode livraison]],Tab_Calculs[[#This Row],[Début mois]])-Tab_Calculs[[#This Row],[Début mois]])</f>
        <v>#VALUE!</v>
      </c>
      <c r="P193">
        <f ca="1">INDEX(INDIRECT(CONCATENATE("Tab_",Tab_Calculs[[#This Row],[Colonne1]])),Tab_Calculs[[#This Row],[index_date_livraison]],7)*(1+MIN(Tab_Calculs[[#This Row],[Date_livraison]],Tab_Calculs[[#This Row],[fin mois]])-MAX(Tab_Calculs[[#This Row],[Début mois]],Tab_Calculs[[#This Row],[Début periode livraison]]))</f>
        <v>0</v>
      </c>
      <c r="Q193" t="e">
        <f ca="1">INDEX(INDIRECT(CONCATENATE("Tab_",Tab_Calculs[[#This Row],[Colonne1]])),Tab_Calculs[[#This Row],[index_date_livraison]]+1,7)*(Tab_Calculs[[#This Row],[fin mois]]-MIN(Tab_Calculs[[#This Row],[fin mois]],Tab_Calculs[[#This Row],[Date_livraison]]))</f>
        <v>#VALUE!</v>
      </c>
      <c r="R193" t="e">
        <f ca="1">Tab_Calculs[[#This Row],[Ratio_Cout_après_livr]]+Tab_Calculs[[#This Row],[Ratio_Cout_avant_livr]]+Tab_Calculs[[#This Row],[Ratio_Cout_avant_debut]]</f>
        <v>#VALUE!</v>
      </c>
      <c r="S193" t="str">
        <f ca="1">IFERROR(N193*VLOOKUP(Tab_Calculs[[#This Row],[Colonne1]],Controle_des_données!$B$7:$G$14,6,FALSE),"")</f>
        <v/>
      </c>
      <c r="T193" t="str">
        <f ca="1">IF(Tab_Calculs[[#This Row],[Combustible ]]="Electricité (kWh)",Tab_Calculs[[#This Row],[Conso_mois_kWh]]*2.3,Tab_Calculs[[#This Row],[Conso_mois_kWh]])</f>
        <v/>
      </c>
      <c r="U193" t="str">
        <f ca="1">IFERROR(N193*VLOOKUP(Tab_Calculs[[#This Row],[Colonne1]],Controle_des_données!$B$7:$H$14,7,FALSE),"")</f>
        <v/>
      </c>
      <c r="V193">
        <f ca="1">IFERROR(Tab_Calculs[[#This Row],[Cout_mois]]/Tab_Calculs[[#This Row],[Conso_mois_kWh]],0)</f>
        <v>0</v>
      </c>
      <c r="W193" t="str">
        <f>T(VLOOKUP(Tab_Calculs[[#This Row],[Compteur]],Site!$B$33:$G$40,3,FALSE))</f>
        <v/>
      </c>
      <c r="X193" t="str">
        <f>T(VLOOKUP(Tab_Calculs[[#This Row],[Compteur]],Site!$B$33:$G$40,4,FALSE))</f>
        <v/>
      </c>
      <c r="Y193" t="str">
        <f>T(VLOOKUP(Tab_Calculs[[#This Row],[Compteur]],Site!$B$33:$G$40,5,FALSE))</f>
        <v/>
      </c>
      <c r="Z193" t="str">
        <f>T(VLOOKUP(Tab_Calculs[[#This Row],[Compteur]],Site!$B$33:$G$40,6,FALSE))</f>
        <v/>
      </c>
      <c r="AA193">
        <f>IFERROR(GETPIVOTDATA("DJU(chauffagiste)",BDD_DJU!$P$13,"annee",Tab_Calculs[[#This Row],[ANNEE]],"mois_numero",Tab_Calculs[[#This Row],[MOIS]]),0)</f>
        <v>0</v>
      </c>
    </row>
    <row r="194" spans="1:27" x14ac:dyDescent="0.25">
      <c r="A194" s="3">
        <f>DATE(Tab_Calculs[[#This Row],[ANNEE]],Tab_Calculs[[#This Row],[MOIS]],1)</f>
        <v>45809</v>
      </c>
      <c r="B194" s="3">
        <f>EDATE(Tab_Calculs[[#This Row],[Début mois]],1)-1</f>
        <v>45838</v>
      </c>
      <c r="C194">
        <f t="shared" si="3"/>
        <v>6</v>
      </c>
      <c r="D194">
        <f t="shared" si="6"/>
        <v>2025</v>
      </c>
      <c r="E194" t="s">
        <v>80</v>
      </c>
      <c r="F194" t="str">
        <f>SUBSTITUTE(Tab_Calculs[[#This Row],[Compteur]]," ","_")</f>
        <v>Compteur_1</v>
      </c>
      <c r="G194" t="str">
        <f>T(INDEX(Site!$B$33:$G$40, MATCH(Tab_Calculs[[#This Row],[Compteur]], Site!$B$33:$B$40,0),2))</f>
        <v/>
      </c>
      <c r="H194" s="3">
        <f t="array" aca="1" ref="H194" ca="1">MIN(IF(INDIRECT(CONCATENATE(Tab_Calculs[[#This Row],[Colonne1]],"!$B$2:$B$243"))&gt;=Calculs_Consos!$A194,INDIRECT(CONCATENATE(Tab_Calculs[[#This Row],[Colonne1]],"!$B$2:$B$243"))))</f>
        <v>0</v>
      </c>
      <c r="I194" s="3">
        <f ca="1">INDEX(INDIRECT(CONCATENATE("Tab_",Tab_Calculs[[#This Row],[Colonne1]])),Tab_Calculs[[#This Row],[index_date_livraison]],1)</f>
        <v>0</v>
      </c>
      <c r="J194">
        <f ca="1">MATCH(Tab_Calculs[[#This Row],[Date_livraison]],INDIRECT(CONCATENATE("Tab_",Tab_Calculs[[#This Row],[Colonne1]],"[Fin de période]")),0)</f>
        <v>1</v>
      </c>
      <c r="K194" t="e">
        <f ca="1">INDEX(INDIRECT(CONCATENATE("Tab_",Tab_Calculs[[#This Row],[Colonne1]])),Tab_Calculs[[#This Row],[index_date_livraison]]-1,6)*(MAX(Tab_Calculs[[#This Row],[Début periode livraison]],Tab_Calculs[[#This Row],[Début mois]])-Tab_Calculs[[#This Row],[Début mois]])</f>
        <v>#VALUE!</v>
      </c>
      <c r="L194" s="94">
        <f ca="1">INDEX(INDIRECT(CONCATENATE("Tab_",Tab_Calculs[[#This Row],[Colonne1]])),Tab_Calculs[[#This Row],[index_date_livraison]],6)*(1+MIN(Tab_Calculs[[#This Row],[Date_livraison]],Tab_Calculs[[#This Row],[fin mois]])-MAX(Tab_Calculs[[#This Row],[Début mois]],Tab_Calculs[[#This Row],[Début periode livraison]]))</f>
        <v>0</v>
      </c>
      <c r="M194" s="94" t="e">
        <f ca="1">INDEX(INDIRECT(CONCATENATE("Tab_",Tab_Calculs[[#This Row],[Colonne1]])),Tab_Calculs[[#This Row],[index_date_livraison]]+1,6)*(Tab_Calculs[[#This Row],[fin mois]]-MIN(Tab_Calculs[[#This Row],[fin mois]],Tab_Calculs[[#This Row],[Date_livraison]]))</f>
        <v>#VALUE!</v>
      </c>
      <c r="N194" s="231" t="str">
        <f ca="1">IFERROR(Tab_Calculs[[#This Row],[Ratio_jour_après_livr]]+Tab_Calculs[[#This Row],[Ratio_jour_avant_livr]]+Tab_Calculs[[#This Row],[ratio_avant_debut]],"")</f>
        <v/>
      </c>
      <c r="O194" t="e">
        <f ca="1">INDEX(INDIRECT(CONCATENATE("Tab_",Tab_Calculs[[#This Row],[Colonne1]])),Tab_Calculs[[#This Row],[index_date_livraison]]-1,7)*(MAX(Tab_Calculs[[#This Row],[Début periode livraison]],Tab_Calculs[[#This Row],[Début mois]])-Tab_Calculs[[#This Row],[Début mois]])</f>
        <v>#VALUE!</v>
      </c>
      <c r="P194">
        <f ca="1">INDEX(INDIRECT(CONCATENATE("Tab_",Tab_Calculs[[#This Row],[Colonne1]])),Tab_Calculs[[#This Row],[index_date_livraison]],7)*(1+MIN(Tab_Calculs[[#This Row],[Date_livraison]],Tab_Calculs[[#This Row],[fin mois]])-MAX(Tab_Calculs[[#This Row],[Début mois]],Tab_Calculs[[#This Row],[Début periode livraison]]))</f>
        <v>0</v>
      </c>
      <c r="Q194" t="e">
        <f ca="1">INDEX(INDIRECT(CONCATENATE("Tab_",Tab_Calculs[[#This Row],[Colonne1]])),Tab_Calculs[[#This Row],[index_date_livraison]]+1,7)*(Tab_Calculs[[#This Row],[fin mois]]-MIN(Tab_Calculs[[#This Row],[fin mois]],Tab_Calculs[[#This Row],[Date_livraison]]))</f>
        <v>#VALUE!</v>
      </c>
      <c r="R194" t="e">
        <f ca="1">Tab_Calculs[[#This Row],[Ratio_Cout_après_livr]]+Tab_Calculs[[#This Row],[Ratio_Cout_avant_livr]]+Tab_Calculs[[#This Row],[Ratio_Cout_avant_debut]]</f>
        <v>#VALUE!</v>
      </c>
      <c r="S194" t="str">
        <f ca="1">IFERROR(N194*VLOOKUP(Tab_Calculs[[#This Row],[Colonne1]],Controle_des_données!$B$7:$G$14,6,FALSE),"")</f>
        <v/>
      </c>
      <c r="T194" t="str">
        <f ca="1">IF(Tab_Calculs[[#This Row],[Combustible ]]="Electricité (kWh)",Tab_Calculs[[#This Row],[Conso_mois_kWh]]*2.3,Tab_Calculs[[#This Row],[Conso_mois_kWh]])</f>
        <v/>
      </c>
      <c r="U194" t="str">
        <f ca="1">IFERROR(N194*VLOOKUP(Tab_Calculs[[#This Row],[Colonne1]],Controle_des_données!$B$7:$H$14,7,FALSE),"")</f>
        <v/>
      </c>
      <c r="V194">
        <f ca="1">IFERROR(Tab_Calculs[[#This Row],[Cout_mois]]/Tab_Calculs[[#This Row],[Conso_mois_kWh]],0)</f>
        <v>0</v>
      </c>
      <c r="W194" t="str">
        <f>T(VLOOKUP(Tab_Calculs[[#This Row],[Compteur]],Site!$B$33:$G$40,3,FALSE))</f>
        <v/>
      </c>
      <c r="X194" t="str">
        <f>T(VLOOKUP(Tab_Calculs[[#This Row],[Compteur]],Site!$B$33:$G$40,4,FALSE))</f>
        <v/>
      </c>
      <c r="Y194" t="str">
        <f>T(VLOOKUP(Tab_Calculs[[#This Row],[Compteur]],Site!$B$33:$G$40,5,FALSE))</f>
        <v/>
      </c>
      <c r="Z194" t="str">
        <f>T(VLOOKUP(Tab_Calculs[[#This Row],[Compteur]],Site!$B$33:$G$40,6,FALSE))</f>
        <v/>
      </c>
      <c r="AA194">
        <f>IFERROR(GETPIVOTDATA("DJU(chauffagiste)",BDD_DJU!$P$13,"annee",Tab_Calculs[[#This Row],[ANNEE]],"mois_numero",Tab_Calculs[[#This Row],[MOIS]]),0)</f>
        <v>0</v>
      </c>
    </row>
    <row r="195" spans="1:27" x14ac:dyDescent="0.25">
      <c r="A195" s="3">
        <f>DATE(Tab_Calculs[[#This Row],[ANNEE]],Tab_Calculs[[#This Row],[MOIS]],1)</f>
        <v>45839</v>
      </c>
      <c r="B195" s="3">
        <f>EDATE(Tab_Calculs[[#This Row],[Début mois]],1)-1</f>
        <v>45869</v>
      </c>
      <c r="C195">
        <f t="shared" si="3"/>
        <v>7</v>
      </c>
      <c r="D195">
        <f t="shared" si="6"/>
        <v>2025</v>
      </c>
      <c r="E195" t="s">
        <v>80</v>
      </c>
      <c r="F195" t="str">
        <f>SUBSTITUTE(Tab_Calculs[[#This Row],[Compteur]]," ","_")</f>
        <v>Compteur_1</v>
      </c>
      <c r="G195" t="str">
        <f>T(INDEX(Site!$B$33:$G$40, MATCH(Tab_Calculs[[#This Row],[Compteur]], Site!$B$33:$B$40,0),2))</f>
        <v/>
      </c>
      <c r="H195" s="3">
        <f t="array" aca="1" ref="H195" ca="1">MIN(IF(INDIRECT(CONCATENATE(Tab_Calculs[[#This Row],[Colonne1]],"!$B$2:$B$243"))&gt;=Calculs_Consos!$A195,INDIRECT(CONCATENATE(Tab_Calculs[[#This Row],[Colonne1]],"!$B$2:$B$243"))))</f>
        <v>0</v>
      </c>
      <c r="I195" s="3">
        <f ca="1">INDEX(INDIRECT(CONCATENATE("Tab_",Tab_Calculs[[#This Row],[Colonne1]])),Tab_Calculs[[#This Row],[index_date_livraison]],1)</f>
        <v>0</v>
      </c>
      <c r="J195">
        <f ca="1">MATCH(Tab_Calculs[[#This Row],[Date_livraison]],INDIRECT(CONCATENATE("Tab_",Tab_Calculs[[#This Row],[Colonne1]],"[Fin de période]")),0)</f>
        <v>1</v>
      </c>
      <c r="K195" t="e">
        <f ca="1">INDEX(INDIRECT(CONCATENATE("Tab_",Tab_Calculs[[#This Row],[Colonne1]])),Tab_Calculs[[#This Row],[index_date_livraison]]-1,6)*(MAX(Tab_Calculs[[#This Row],[Début periode livraison]],Tab_Calculs[[#This Row],[Début mois]])-Tab_Calculs[[#This Row],[Début mois]])</f>
        <v>#VALUE!</v>
      </c>
      <c r="L195" s="94">
        <f ca="1">INDEX(INDIRECT(CONCATENATE("Tab_",Tab_Calculs[[#This Row],[Colonne1]])),Tab_Calculs[[#This Row],[index_date_livraison]],6)*(1+MIN(Tab_Calculs[[#This Row],[Date_livraison]],Tab_Calculs[[#This Row],[fin mois]])-MAX(Tab_Calculs[[#This Row],[Début mois]],Tab_Calculs[[#This Row],[Début periode livraison]]))</f>
        <v>0</v>
      </c>
      <c r="M195" s="94" t="e">
        <f ca="1">INDEX(INDIRECT(CONCATENATE("Tab_",Tab_Calculs[[#This Row],[Colonne1]])),Tab_Calculs[[#This Row],[index_date_livraison]]+1,6)*(Tab_Calculs[[#This Row],[fin mois]]-MIN(Tab_Calculs[[#This Row],[fin mois]],Tab_Calculs[[#This Row],[Date_livraison]]))</f>
        <v>#VALUE!</v>
      </c>
      <c r="N195" s="231" t="str">
        <f ca="1">IFERROR(Tab_Calculs[[#This Row],[Ratio_jour_après_livr]]+Tab_Calculs[[#This Row],[Ratio_jour_avant_livr]]+Tab_Calculs[[#This Row],[ratio_avant_debut]],"")</f>
        <v/>
      </c>
      <c r="O195" t="e">
        <f ca="1">INDEX(INDIRECT(CONCATENATE("Tab_",Tab_Calculs[[#This Row],[Colonne1]])),Tab_Calculs[[#This Row],[index_date_livraison]]-1,7)*(MAX(Tab_Calculs[[#This Row],[Début periode livraison]],Tab_Calculs[[#This Row],[Début mois]])-Tab_Calculs[[#This Row],[Début mois]])</f>
        <v>#VALUE!</v>
      </c>
      <c r="P195">
        <f ca="1">INDEX(INDIRECT(CONCATENATE("Tab_",Tab_Calculs[[#This Row],[Colonne1]])),Tab_Calculs[[#This Row],[index_date_livraison]],7)*(1+MIN(Tab_Calculs[[#This Row],[Date_livraison]],Tab_Calculs[[#This Row],[fin mois]])-MAX(Tab_Calculs[[#This Row],[Début mois]],Tab_Calculs[[#This Row],[Début periode livraison]]))</f>
        <v>0</v>
      </c>
      <c r="Q195" t="e">
        <f ca="1">INDEX(INDIRECT(CONCATENATE("Tab_",Tab_Calculs[[#This Row],[Colonne1]])),Tab_Calculs[[#This Row],[index_date_livraison]]+1,7)*(Tab_Calculs[[#This Row],[fin mois]]-MIN(Tab_Calculs[[#This Row],[fin mois]],Tab_Calculs[[#This Row],[Date_livraison]]))</f>
        <v>#VALUE!</v>
      </c>
      <c r="R195" t="e">
        <f ca="1">Tab_Calculs[[#This Row],[Ratio_Cout_après_livr]]+Tab_Calculs[[#This Row],[Ratio_Cout_avant_livr]]+Tab_Calculs[[#This Row],[Ratio_Cout_avant_debut]]</f>
        <v>#VALUE!</v>
      </c>
      <c r="S195" t="str">
        <f ca="1">IFERROR(N195*VLOOKUP(Tab_Calculs[[#This Row],[Colonne1]],Controle_des_données!$B$7:$G$14,6,FALSE),"")</f>
        <v/>
      </c>
      <c r="T195" t="str">
        <f ca="1">IF(Tab_Calculs[[#This Row],[Combustible ]]="Electricité (kWh)",Tab_Calculs[[#This Row],[Conso_mois_kWh]]*2.3,Tab_Calculs[[#This Row],[Conso_mois_kWh]])</f>
        <v/>
      </c>
      <c r="U195" t="str">
        <f ca="1">IFERROR(N195*VLOOKUP(Tab_Calculs[[#This Row],[Colonne1]],Controle_des_données!$B$7:$H$14,7,FALSE),"")</f>
        <v/>
      </c>
      <c r="V195">
        <f ca="1">IFERROR(Tab_Calculs[[#This Row],[Cout_mois]]/Tab_Calculs[[#This Row],[Conso_mois_kWh]],0)</f>
        <v>0</v>
      </c>
      <c r="W195" t="str">
        <f>T(VLOOKUP(Tab_Calculs[[#This Row],[Compteur]],Site!$B$33:$G$40,3,FALSE))</f>
        <v/>
      </c>
      <c r="X195" t="str">
        <f>T(VLOOKUP(Tab_Calculs[[#This Row],[Compteur]],Site!$B$33:$G$40,4,FALSE))</f>
        <v/>
      </c>
      <c r="Y195" t="str">
        <f>T(VLOOKUP(Tab_Calculs[[#This Row],[Compteur]],Site!$B$33:$G$40,5,FALSE))</f>
        <v/>
      </c>
      <c r="Z195" t="str">
        <f>T(VLOOKUP(Tab_Calculs[[#This Row],[Compteur]],Site!$B$33:$G$40,6,FALSE))</f>
        <v/>
      </c>
      <c r="AA195">
        <f>IFERROR(GETPIVOTDATA("DJU(chauffagiste)",BDD_DJU!$P$13,"annee",Tab_Calculs[[#This Row],[ANNEE]],"mois_numero",Tab_Calculs[[#This Row],[MOIS]]),0)</f>
        <v>0</v>
      </c>
    </row>
    <row r="196" spans="1:27" x14ac:dyDescent="0.25">
      <c r="A196" s="3">
        <f>DATE(Tab_Calculs[[#This Row],[ANNEE]],Tab_Calculs[[#This Row],[MOIS]],1)</f>
        <v>45870</v>
      </c>
      <c r="B196" s="3">
        <f>EDATE(Tab_Calculs[[#This Row],[Début mois]],1)-1</f>
        <v>45900</v>
      </c>
      <c r="C196">
        <f t="shared" si="3"/>
        <v>8</v>
      </c>
      <c r="D196">
        <f t="shared" si="6"/>
        <v>2025</v>
      </c>
      <c r="E196" t="s">
        <v>80</v>
      </c>
      <c r="F196" t="str">
        <f>SUBSTITUTE(Tab_Calculs[[#This Row],[Compteur]]," ","_")</f>
        <v>Compteur_1</v>
      </c>
      <c r="G196" t="str">
        <f>T(INDEX(Site!$B$33:$G$40, MATCH(Tab_Calculs[[#This Row],[Compteur]], Site!$B$33:$B$40,0),2))</f>
        <v/>
      </c>
      <c r="H196" s="3">
        <f t="array" aca="1" ref="H196" ca="1">MIN(IF(INDIRECT(CONCATENATE(Tab_Calculs[[#This Row],[Colonne1]],"!$B$2:$B$243"))&gt;=Calculs_Consos!$A196,INDIRECT(CONCATENATE(Tab_Calculs[[#This Row],[Colonne1]],"!$B$2:$B$243"))))</f>
        <v>0</v>
      </c>
      <c r="I196" s="3">
        <f ca="1">INDEX(INDIRECT(CONCATENATE("Tab_",Tab_Calculs[[#This Row],[Colonne1]])),Tab_Calculs[[#This Row],[index_date_livraison]],1)</f>
        <v>0</v>
      </c>
      <c r="J196">
        <f ca="1">MATCH(Tab_Calculs[[#This Row],[Date_livraison]],INDIRECT(CONCATENATE("Tab_",Tab_Calculs[[#This Row],[Colonne1]],"[Fin de période]")),0)</f>
        <v>1</v>
      </c>
      <c r="K196" t="e">
        <f ca="1">INDEX(INDIRECT(CONCATENATE("Tab_",Tab_Calculs[[#This Row],[Colonne1]])),Tab_Calculs[[#This Row],[index_date_livraison]]-1,6)*(MAX(Tab_Calculs[[#This Row],[Début periode livraison]],Tab_Calculs[[#This Row],[Début mois]])-Tab_Calculs[[#This Row],[Début mois]])</f>
        <v>#VALUE!</v>
      </c>
      <c r="L196" s="94">
        <f ca="1">INDEX(INDIRECT(CONCATENATE("Tab_",Tab_Calculs[[#This Row],[Colonne1]])),Tab_Calculs[[#This Row],[index_date_livraison]],6)*(1+MIN(Tab_Calculs[[#This Row],[Date_livraison]],Tab_Calculs[[#This Row],[fin mois]])-MAX(Tab_Calculs[[#This Row],[Début mois]],Tab_Calculs[[#This Row],[Début periode livraison]]))</f>
        <v>0</v>
      </c>
      <c r="M196" s="94" t="e">
        <f ca="1">INDEX(INDIRECT(CONCATENATE("Tab_",Tab_Calculs[[#This Row],[Colonne1]])),Tab_Calculs[[#This Row],[index_date_livraison]]+1,6)*(Tab_Calculs[[#This Row],[fin mois]]-MIN(Tab_Calculs[[#This Row],[fin mois]],Tab_Calculs[[#This Row],[Date_livraison]]))</f>
        <v>#VALUE!</v>
      </c>
      <c r="N196" s="231" t="str">
        <f ca="1">IFERROR(Tab_Calculs[[#This Row],[Ratio_jour_après_livr]]+Tab_Calculs[[#This Row],[Ratio_jour_avant_livr]]+Tab_Calculs[[#This Row],[ratio_avant_debut]],"")</f>
        <v/>
      </c>
      <c r="O196" t="e">
        <f ca="1">INDEX(INDIRECT(CONCATENATE("Tab_",Tab_Calculs[[#This Row],[Colonne1]])),Tab_Calculs[[#This Row],[index_date_livraison]]-1,7)*(MAX(Tab_Calculs[[#This Row],[Début periode livraison]],Tab_Calculs[[#This Row],[Début mois]])-Tab_Calculs[[#This Row],[Début mois]])</f>
        <v>#VALUE!</v>
      </c>
      <c r="P196">
        <f ca="1">INDEX(INDIRECT(CONCATENATE("Tab_",Tab_Calculs[[#This Row],[Colonne1]])),Tab_Calculs[[#This Row],[index_date_livraison]],7)*(1+MIN(Tab_Calculs[[#This Row],[Date_livraison]],Tab_Calculs[[#This Row],[fin mois]])-MAX(Tab_Calculs[[#This Row],[Début mois]],Tab_Calculs[[#This Row],[Début periode livraison]]))</f>
        <v>0</v>
      </c>
      <c r="Q196" t="e">
        <f ca="1">INDEX(INDIRECT(CONCATENATE("Tab_",Tab_Calculs[[#This Row],[Colonne1]])),Tab_Calculs[[#This Row],[index_date_livraison]]+1,7)*(Tab_Calculs[[#This Row],[fin mois]]-MIN(Tab_Calculs[[#This Row],[fin mois]],Tab_Calculs[[#This Row],[Date_livraison]]))</f>
        <v>#VALUE!</v>
      </c>
      <c r="R196" t="e">
        <f ca="1">Tab_Calculs[[#This Row],[Ratio_Cout_après_livr]]+Tab_Calculs[[#This Row],[Ratio_Cout_avant_livr]]+Tab_Calculs[[#This Row],[Ratio_Cout_avant_debut]]</f>
        <v>#VALUE!</v>
      </c>
      <c r="S196" t="str">
        <f ca="1">IFERROR(N196*VLOOKUP(Tab_Calculs[[#This Row],[Colonne1]],Controle_des_données!$B$7:$G$14,6,FALSE),"")</f>
        <v/>
      </c>
      <c r="T196" t="str">
        <f ca="1">IF(Tab_Calculs[[#This Row],[Combustible ]]="Electricité (kWh)",Tab_Calculs[[#This Row],[Conso_mois_kWh]]*2.3,Tab_Calculs[[#This Row],[Conso_mois_kWh]])</f>
        <v/>
      </c>
      <c r="U196" t="str">
        <f ca="1">IFERROR(N196*VLOOKUP(Tab_Calculs[[#This Row],[Colonne1]],Controle_des_données!$B$7:$H$14,7,FALSE),"")</f>
        <v/>
      </c>
      <c r="V196">
        <f ca="1">IFERROR(Tab_Calculs[[#This Row],[Cout_mois]]/Tab_Calculs[[#This Row],[Conso_mois_kWh]],0)</f>
        <v>0</v>
      </c>
      <c r="W196" t="str">
        <f>T(VLOOKUP(Tab_Calculs[[#This Row],[Compteur]],Site!$B$33:$G$40,3,FALSE))</f>
        <v/>
      </c>
      <c r="X196" t="str">
        <f>T(VLOOKUP(Tab_Calculs[[#This Row],[Compteur]],Site!$B$33:$G$40,4,FALSE))</f>
        <v/>
      </c>
      <c r="Y196" t="str">
        <f>T(VLOOKUP(Tab_Calculs[[#This Row],[Compteur]],Site!$B$33:$G$40,5,FALSE))</f>
        <v/>
      </c>
      <c r="Z196" t="str">
        <f>T(VLOOKUP(Tab_Calculs[[#This Row],[Compteur]],Site!$B$33:$G$40,6,FALSE))</f>
        <v/>
      </c>
      <c r="AA196">
        <f>IFERROR(GETPIVOTDATA("DJU(chauffagiste)",BDD_DJU!$P$13,"annee",Tab_Calculs[[#This Row],[ANNEE]],"mois_numero",Tab_Calculs[[#This Row],[MOIS]]),0)</f>
        <v>0</v>
      </c>
    </row>
    <row r="197" spans="1:27" x14ac:dyDescent="0.25">
      <c r="A197" s="3">
        <f>DATE(Tab_Calculs[[#This Row],[ANNEE]],Tab_Calculs[[#This Row],[MOIS]],1)</f>
        <v>45901</v>
      </c>
      <c r="B197" s="3">
        <f>EDATE(Tab_Calculs[[#This Row],[Début mois]],1)-1</f>
        <v>45930</v>
      </c>
      <c r="C197">
        <f t="shared" si="3"/>
        <v>9</v>
      </c>
      <c r="D197">
        <f t="shared" si="6"/>
        <v>2025</v>
      </c>
      <c r="E197" t="s">
        <v>80</v>
      </c>
      <c r="F197" t="str">
        <f>SUBSTITUTE(Tab_Calculs[[#This Row],[Compteur]]," ","_")</f>
        <v>Compteur_1</v>
      </c>
      <c r="G197" t="str">
        <f>T(INDEX(Site!$B$33:$G$40, MATCH(Tab_Calculs[[#This Row],[Compteur]], Site!$B$33:$B$40,0),2))</f>
        <v/>
      </c>
      <c r="H197" s="3">
        <f t="array" aca="1" ref="H197" ca="1">MIN(IF(INDIRECT(CONCATENATE(Tab_Calculs[[#This Row],[Colonne1]],"!$B$2:$B$243"))&gt;=Calculs_Consos!$A197,INDIRECT(CONCATENATE(Tab_Calculs[[#This Row],[Colonne1]],"!$B$2:$B$243"))))</f>
        <v>0</v>
      </c>
      <c r="I197" s="3">
        <f ca="1">INDEX(INDIRECT(CONCATENATE("Tab_",Tab_Calculs[[#This Row],[Colonne1]])),Tab_Calculs[[#This Row],[index_date_livraison]],1)</f>
        <v>0</v>
      </c>
      <c r="J197">
        <f ca="1">MATCH(Tab_Calculs[[#This Row],[Date_livraison]],INDIRECT(CONCATENATE("Tab_",Tab_Calculs[[#This Row],[Colonne1]],"[Fin de période]")),0)</f>
        <v>1</v>
      </c>
      <c r="K197" t="e">
        <f ca="1">INDEX(INDIRECT(CONCATENATE("Tab_",Tab_Calculs[[#This Row],[Colonne1]])),Tab_Calculs[[#This Row],[index_date_livraison]]-1,6)*(MAX(Tab_Calculs[[#This Row],[Début periode livraison]],Tab_Calculs[[#This Row],[Début mois]])-Tab_Calculs[[#This Row],[Début mois]])</f>
        <v>#VALUE!</v>
      </c>
      <c r="L197" s="94">
        <f ca="1">INDEX(INDIRECT(CONCATENATE("Tab_",Tab_Calculs[[#This Row],[Colonne1]])),Tab_Calculs[[#This Row],[index_date_livraison]],6)*(1+MIN(Tab_Calculs[[#This Row],[Date_livraison]],Tab_Calculs[[#This Row],[fin mois]])-MAX(Tab_Calculs[[#This Row],[Début mois]],Tab_Calculs[[#This Row],[Début periode livraison]]))</f>
        <v>0</v>
      </c>
      <c r="M197" s="94" t="e">
        <f ca="1">INDEX(INDIRECT(CONCATENATE("Tab_",Tab_Calculs[[#This Row],[Colonne1]])),Tab_Calculs[[#This Row],[index_date_livraison]]+1,6)*(Tab_Calculs[[#This Row],[fin mois]]-MIN(Tab_Calculs[[#This Row],[fin mois]],Tab_Calculs[[#This Row],[Date_livraison]]))</f>
        <v>#VALUE!</v>
      </c>
      <c r="N197" s="231" t="str">
        <f ca="1">IFERROR(Tab_Calculs[[#This Row],[Ratio_jour_après_livr]]+Tab_Calculs[[#This Row],[Ratio_jour_avant_livr]]+Tab_Calculs[[#This Row],[ratio_avant_debut]],"")</f>
        <v/>
      </c>
      <c r="O197" t="e">
        <f ca="1">INDEX(INDIRECT(CONCATENATE("Tab_",Tab_Calculs[[#This Row],[Colonne1]])),Tab_Calculs[[#This Row],[index_date_livraison]]-1,7)*(MAX(Tab_Calculs[[#This Row],[Début periode livraison]],Tab_Calculs[[#This Row],[Début mois]])-Tab_Calculs[[#This Row],[Début mois]])</f>
        <v>#VALUE!</v>
      </c>
      <c r="P197">
        <f ca="1">INDEX(INDIRECT(CONCATENATE("Tab_",Tab_Calculs[[#This Row],[Colonne1]])),Tab_Calculs[[#This Row],[index_date_livraison]],7)*(1+MIN(Tab_Calculs[[#This Row],[Date_livraison]],Tab_Calculs[[#This Row],[fin mois]])-MAX(Tab_Calculs[[#This Row],[Début mois]],Tab_Calculs[[#This Row],[Début periode livraison]]))</f>
        <v>0</v>
      </c>
      <c r="Q197" t="e">
        <f ca="1">INDEX(INDIRECT(CONCATENATE("Tab_",Tab_Calculs[[#This Row],[Colonne1]])),Tab_Calculs[[#This Row],[index_date_livraison]]+1,7)*(Tab_Calculs[[#This Row],[fin mois]]-MIN(Tab_Calculs[[#This Row],[fin mois]],Tab_Calculs[[#This Row],[Date_livraison]]))</f>
        <v>#VALUE!</v>
      </c>
      <c r="R197" t="e">
        <f ca="1">Tab_Calculs[[#This Row],[Ratio_Cout_après_livr]]+Tab_Calculs[[#This Row],[Ratio_Cout_avant_livr]]+Tab_Calculs[[#This Row],[Ratio_Cout_avant_debut]]</f>
        <v>#VALUE!</v>
      </c>
      <c r="S197" t="str">
        <f ca="1">IFERROR(N197*VLOOKUP(Tab_Calculs[[#This Row],[Colonne1]],Controle_des_données!$B$7:$G$14,6,FALSE),"")</f>
        <v/>
      </c>
      <c r="T197" t="str">
        <f ca="1">IF(Tab_Calculs[[#This Row],[Combustible ]]="Electricité (kWh)",Tab_Calculs[[#This Row],[Conso_mois_kWh]]*2.3,Tab_Calculs[[#This Row],[Conso_mois_kWh]])</f>
        <v/>
      </c>
      <c r="U197" t="str">
        <f ca="1">IFERROR(N197*VLOOKUP(Tab_Calculs[[#This Row],[Colonne1]],Controle_des_données!$B$7:$H$14,7,FALSE),"")</f>
        <v/>
      </c>
      <c r="V197">
        <f ca="1">IFERROR(Tab_Calculs[[#This Row],[Cout_mois]]/Tab_Calculs[[#This Row],[Conso_mois_kWh]],0)</f>
        <v>0</v>
      </c>
      <c r="W197" t="str">
        <f>T(VLOOKUP(Tab_Calculs[[#This Row],[Compteur]],Site!$B$33:$G$40,3,FALSE))</f>
        <v/>
      </c>
      <c r="X197" t="str">
        <f>T(VLOOKUP(Tab_Calculs[[#This Row],[Compteur]],Site!$B$33:$G$40,4,FALSE))</f>
        <v/>
      </c>
      <c r="Y197" t="str">
        <f>T(VLOOKUP(Tab_Calculs[[#This Row],[Compteur]],Site!$B$33:$G$40,5,FALSE))</f>
        <v/>
      </c>
      <c r="Z197" t="str">
        <f>T(VLOOKUP(Tab_Calculs[[#This Row],[Compteur]],Site!$B$33:$G$40,6,FALSE))</f>
        <v/>
      </c>
      <c r="AA197">
        <f>IFERROR(GETPIVOTDATA("DJU(chauffagiste)",BDD_DJU!$P$13,"annee",Tab_Calculs[[#This Row],[ANNEE]],"mois_numero",Tab_Calculs[[#This Row],[MOIS]]),0)</f>
        <v>0</v>
      </c>
    </row>
    <row r="198" spans="1:27" x14ac:dyDescent="0.25">
      <c r="A198" s="3">
        <f>DATE(Tab_Calculs[[#This Row],[ANNEE]],Tab_Calculs[[#This Row],[MOIS]],1)</f>
        <v>45931</v>
      </c>
      <c r="B198" s="3">
        <f>EDATE(Tab_Calculs[[#This Row],[Début mois]],1)-1</f>
        <v>45961</v>
      </c>
      <c r="C198">
        <f t="shared" si="3"/>
        <v>10</v>
      </c>
      <c r="D198">
        <f t="shared" si="6"/>
        <v>2025</v>
      </c>
      <c r="E198" t="s">
        <v>80</v>
      </c>
      <c r="F198" t="str">
        <f>SUBSTITUTE(Tab_Calculs[[#This Row],[Compteur]]," ","_")</f>
        <v>Compteur_1</v>
      </c>
      <c r="G198" t="str">
        <f>T(INDEX(Site!$B$33:$G$40, MATCH(Tab_Calculs[[#This Row],[Compteur]], Site!$B$33:$B$40,0),2))</f>
        <v/>
      </c>
      <c r="H198" s="3">
        <f t="array" aca="1" ref="H198" ca="1">MIN(IF(INDIRECT(CONCATENATE(Tab_Calculs[[#This Row],[Colonne1]],"!$B$2:$B$243"))&gt;=Calculs_Consos!$A198,INDIRECT(CONCATENATE(Tab_Calculs[[#This Row],[Colonne1]],"!$B$2:$B$243"))))</f>
        <v>0</v>
      </c>
      <c r="I198" s="3">
        <f ca="1">INDEX(INDIRECT(CONCATENATE("Tab_",Tab_Calculs[[#This Row],[Colonne1]])),Tab_Calculs[[#This Row],[index_date_livraison]],1)</f>
        <v>0</v>
      </c>
      <c r="J198">
        <f ca="1">MATCH(Tab_Calculs[[#This Row],[Date_livraison]],INDIRECT(CONCATENATE("Tab_",Tab_Calculs[[#This Row],[Colonne1]],"[Fin de période]")),0)</f>
        <v>1</v>
      </c>
      <c r="K198" t="e">
        <f ca="1">INDEX(INDIRECT(CONCATENATE("Tab_",Tab_Calculs[[#This Row],[Colonne1]])),Tab_Calculs[[#This Row],[index_date_livraison]]-1,6)*(MAX(Tab_Calculs[[#This Row],[Début periode livraison]],Tab_Calculs[[#This Row],[Début mois]])-Tab_Calculs[[#This Row],[Début mois]])</f>
        <v>#VALUE!</v>
      </c>
      <c r="L198" s="94">
        <f ca="1">INDEX(INDIRECT(CONCATENATE("Tab_",Tab_Calculs[[#This Row],[Colonne1]])),Tab_Calculs[[#This Row],[index_date_livraison]],6)*(1+MIN(Tab_Calculs[[#This Row],[Date_livraison]],Tab_Calculs[[#This Row],[fin mois]])-MAX(Tab_Calculs[[#This Row],[Début mois]],Tab_Calculs[[#This Row],[Début periode livraison]]))</f>
        <v>0</v>
      </c>
      <c r="M198" s="94" t="e">
        <f ca="1">INDEX(INDIRECT(CONCATENATE("Tab_",Tab_Calculs[[#This Row],[Colonne1]])),Tab_Calculs[[#This Row],[index_date_livraison]]+1,6)*(Tab_Calculs[[#This Row],[fin mois]]-MIN(Tab_Calculs[[#This Row],[fin mois]],Tab_Calculs[[#This Row],[Date_livraison]]))</f>
        <v>#VALUE!</v>
      </c>
      <c r="N198" s="231" t="str">
        <f ca="1">IFERROR(Tab_Calculs[[#This Row],[Ratio_jour_après_livr]]+Tab_Calculs[[#This Row],[Ratio_jour_avant_livr]]+Tab_Calculs[[#This Row],[ratio_avant_debut]],"")</f>
        <v/>
      </c>
      <c r="O198" t="e">
        <f ca="1">INDEX(INDIRECT(CONCATENATE("Tab_",Tab_Calculs[[#This Row],[Colonne1]])),Tab_Calculs[[#This Row],[index_date_livraison]]-1,7)*(MAX(Tab_Calculs[[#This Row],[Début periode livraison]],Tab_Calculs[[#This Row],[Début mois]])-Tab_Calculs[[#This Row],[Début mois]])</f>
        <v>#VALUE!</v>
      </c>
      <c r="P198">
        <f ca="1">INDEX(INDIRECT(CONCATENATE("Tab_",Tab_Calculs[[#This Row],[Colonne1]])),Tab_Calculs[[#This Row],[index_date_livraison]],7)*(1+MIN(Tab_Calculs[[#This Row],[Date_livraison]],Tab_Calculs[[#This Row],[fin mois]])-MAX(Tab_Calculs[[#This Row],[Début mois]],Tab_Calculs[[#This Row],[Début periode livraison]]))</f>
        <v>0</v>
      </c>
      <c r="Q198" t="e">
        <f ca="1">INDEX(INDIRECT(CONCATENATE("Tab_",Tab_Calculs[[#This Row],[Colonne1]])),Tab_Calculs[[#This Row],[index_date_livraison]]+1,7)*(Tab_Calculs[[#This Row],[fin mois]]-MIN(Tab_Calculs[[#This Row],[fin mois]],Tab_Calculs[[#This Row],[Date_livraison]]))</f>
        <v>#VALUE!</v>
      </c>
      <c r="R198" t="e">
        <f ca="1">Tab_Calculs[[#This Row],[Ratio_Cout_après_livr]]+Tab_Calculs[[#This Row],[Ratio_Cout_avant_livr]]+Tab_Calculs[[#This Row],[Ratio_Cout_avant_debut]]</f>
        <v>#VALUE!</v>
      </c>
      <c r="S198" t="str">
        <f ca="1">IFERROR(N198*VLOOKUP(Tab_Calculs[[#This Row],[Colonne1]],Controle_des_données!$B$7:$G$14,6,FALSE),"")</f>
        <v/>
      </c>
      <c r="T198" t="str">
        <f ca="1">IF(Tab_Calculs[[#This Row],[Combustible ]]="Electricité (kWh)",Tab_Calculs[[#This Row],[Conso_mois_kWh]]*2.3,Tab_Calculs[[#This Row],[Conso_mois_kWh]])</f>
        <v/>
      </c>
      <c r="U198" t="str">
        <f ca="1">IFERROR(N198*VLOOKUP(Tab_Calculs[[#This Row],[Colonne1]],Controle_des_données!$B$7:$H$14,7,FALSE),"")</f>
        <v/>
      </c>
      <c r="V198">
        <f ca="1">IFERROR(Tab_Calculs[[#This Row],[Cout_mois]]/Tab_Calculs[[#This Row],[Conso_mois_kWh]],0)</f>
        <v>0</v>
      </c>
      <c r="W198" t="str">
        <f>T(VLOOKUP(Tab_Calculs[[#This Row],[Compteur]],Site!$B$33:$G$40,3,FALSE))</f>
        <v/>
      </c>
      <c r="X198" t="str">
        <f>T(VLOOKUP(Tab_Calculs[[#This Row],[Compteur]],Site!$B$33:$G$40,4,FALSE))</f>
        <v/>
      </c>
      <c r="Y198" t="str">
        <f>T(VLOOKUP(Tab_Calculs[[#This Row],[Compteur]],Site!$B$33:$G$40,5,FALSE))</f>
        <v/>
      </c>
      <c r="Z198" t="str">
        <f>T(VLOOKUP(Tab_Calculs[[#This Row],[Compteur]],Site!$B$33:$G$40,6,FALSE))</f>
        <v/>
      </c>
      <c r="AA198">
        <f>IFERROR(GETPIVOTDATA("DJU(chauffagiste)",BDD_DJU!$P$13,"annee",Tab_Calculs[[#This Row],[ANNEE]],"mois_numero",Tab_Calculs[[#This Row],[MOIS]]),0)</f>
        <v>0</v>
      </c>
    </row>
    <row r="199" spans="1:27" x14ac:dyDescent="0.25">
      <c r="A199" s="3">
        <f>DATE(Tab_Calculs[[#This Row],[ANNEE]],Tab_Calculs[[#This Row],[MOIS]],1)</f>
        <v>45962</v>
      </c>
      <c r="B199" s="3">
        <f>EDATE(Tab_Calculs[[#This Row],[Début mois]],1)-1</f>
        <v>45991</v>
      </c>
      <c r="C199">
        <f t="shared" si="3"/>
        <v>11</v>
      </c>
      <c r="D199">
        <f t="shared" si="6"/>
        <v>2025</v>
      </c>
      <c r="E199" t="s">
        <v>80</v>
      </c>
      <c r="F199" t="str">
        <f>SUBSTITUTE(Tab_Calculs[[#This Row],[Compteur]]," ","_")</f>
        <v>Compteur_1</v>
      </c>
      <c r="G199" t="str">
        <f>T(INDEX(Site!$B$33:$G$40, MATCH(Tab_Calculs[[#This Row],[Compteur]], Site!$B$33:$B$40,0),2))</f>
        <v/>
      </c>
      <c r="H199" s="3">
        <f t="array" aca="1" ref="H199" ca="1">MIN(IF(INDIRECT(CONCATENATE(Tab_Calculs[[#This Row],[Colonne1]],"!$B$2:$B$243"))&gt;=Calculs_Consos!$A199,INDIRECT(CONCATENATE(Tab_Calculs[[#This Row],[Colonne1]],"!$B$2:$B$243"))))</f>
        <v>0</v>
      </c>
      <c r="I199" s="3">
        <f ca="1">INDEX(INDIRECT(CONCATENATE("Tab_",Tab_Calculs[[#This Row],[Colonne1]])),Tab_Calculs[[#This Row],[index_date_livraison]],1)</f>
        <v>0</v>
      </c>
      <c r="J199">
        <f ca="1">MATCH(Tab_Calculs[[#This Row],[Date_livraison]],INDIRECT(CONCATENATE("Tab_",Tab_Calculs[[#This Row],[Colonne1]],"[Fin de période]")),0)</f>
        <v>1</v>
      </c>
      <c r="K199" t="e">
        <f ca="1">INDEX(INDIRECT(CONCATENATE("Tab_",Tab_Calculs[[#This Row],[Colonne1]])),Tab_Calculs[[#This Row],[index_date_livraison]]-1,6)*(MAX(Tab_Calculs[[#This Row],[Début periode livraison]],Tab_Calculs[[#This Row],[Début mois]])-Tab_Calculs[[#This Row],[Début mois]])</f>
        <v>#VALUE!</v>
      </c>
      <c r="L199" s="94">
        <f ca="1">INDEX(INDIRECT(CONCATENATE("Tab_",Tab_Calculs[[#This Row],[Colonne1]])),Tab_Calculs[[#This Row],[index_date_livraison]],6)*(1+MIN(Tab_Calculs[[#This Row],[Date_livraison]],Tab_Calculs[[#This Row],[fin mois]])-MAX(Tab_Calculs[[#This Row],[Début mois]],Tab_Calculs[[#This Row],[Début periode livraison]]))</f>
        <v>0</v>
      </c>
      <c r="M199" s="94" t="e">
        <f ca="1">INDEX(INDIRECT(CONCATENATE("Tab_",Tab_Calculs[[#This Row],[Colonne1]])),Tab_Calculs[[#This Row],[index_date_livraison]]+1,6)*(Tab_Calculs[[#This Row],[fin mois]]-MIN(Tab_Calculs[[#This Row],[fin mois]],Tab_Calculs[[#This Row],[Date_livraison]]))</f>
        <v>#VALUE!</v>
      </c>
      <c r="N199" s="231" t="str">
        <f ca="1">IFERROR(Tab_Calculs[[#This Row],[Ratio_jour_après_livr]]+Tab_Calculs[[#This Row],[Ratio_jour_avant_livr]]+Tab_Calculs[[#This Row],[ratio_avant_debut]],"")</f>
        <v/>
      </c>
      <c r="O199" t="e">
        <f ca="1">INDEX(INDIRECT(CONCATENATE("Tab_",Tab_Calculs[[#This Row],[Colonne1]])),Tab_Calculs[[#This Row],[index_date_livraison]]-1,7)*(MAX(Tab_Calculs[[#This Row],[Début periode livraison]],Tab_Calculs[[#This Row],[Début mois]])-Tab_Calculs[[#This Row],[Début mois]])</f>
        <v>#VALUE!</v>
      </c>
      <c r="P199">
        <f ca="1">INDEX(INDIRECT(CONCATENATE("Tab_",Tab_Calculs[[#This Row],[Colonne1]])),Tab_Calculs[[#This Row],[index_date_livraison]],7)*(1+MIN(Tab_Calculs[[#This Row],[Date_livraison]],Tab_Calculs[[#This Row],[fin mois]])-MAX(Tab_Calculs[[#This Row],[Début mois]],Tab_Calculs[[#This Row],[Début periode livraison]]))</f>
        <v>0</v>
      </c>
      <c r="Q199" t="e">
        <f ca="1">INDEX(INDIRECT(CONCATENATE("Tab_",Tab_Calculs[[#This Row],[Colonne1]])),Tab_Calculs[[#This Row],[index_date_livraison]]+1,7)*(Tab_Calculs[[#This Row],[fin mois]]-MIN(Tab_Calculs[[#This Row],[fin mois]],Tab_Calculs[[#This Row],[Date_livraison]]))</f>
        <v>#VALUE!</v>
      </c>
      <c r="R199" t="e">
        <f ca="1">Tab_Calculs[[#This Row],[Ratio_Cout_après_livr]]+Tab_Calculs[[#This Row],[Ratio_Cout_avant_livr]]+Tab_Calculs[[#This Row],[Ratio_Cout_avant_debut]]</f>
        <v>#VALUE!</v>
      </c>
      <c r="S199" t="str">
        <f ca="1">IFERROR(N199*VLOOKUP(Tab_Calculs[[#This Row],[Colonne1]],Controle_des_données!$B$7:$G$14,6,FALSE),"")</f>
        <v/>
      </c>
      <c r="T199" t="str">
        <f ca="1">IF(Tab_Calculs[[#This Row],[Combustible ]]="Electricité (kWh)",Tab_Calculs[[#This Row],[Conso_mois_kWh]]*2.3,Tab_Calculs[[#This Row],[Conso_mois_kWh]])</f>
        <v/>
      </c>
      <c r="U199" t="str">
        <f ca="1">IFERROR(N199*VLOOKUP(Tab_Calculs[[#This Row],[Colonne1]],Controle_des_données!$B$7:$H$14,7,FALSE),"")</f>
        <v/>
      </c>
      <c r="V199">
        <f ca="1">IFERROR(Tab_Calculs[[#This Row],[Cout_mois]]/Tab_Calculs[[#This Row],[Conso_mois_kWh]],0)</f>
        <v>0</v>
      </c>
      <c r="W199" t="str">
        <f>T(VLOOKUP(Tab_Calculs[[#This Row],[Compteur]],Site!$B$33:$G$40,3,FALSE))</f>
        <v/>
      </c>
      <c r="X199" t="str">
        <f>T(VLOOKUP(Tab_Calculs[[#This Row],[Compteur]],Site!$B$33:$G$40,4,FALSE))</f>
        <v/>
      </c>
      <c r="Y199" t="str">
        <f>T(VLOOKUP(Tab_Calculs[[#This Row],[Compteur]],Site!$B$33:$G$40,5,FALSE))</f>
        <v/>
      </c>
      <c r="Z199" t="str">
        <f>T(VLOOKUP(Tab_Calculs[[#This Row],[Compteur]],Site!$B$33:$G$40,6,FALSE))</f>
        <v/>
      </c>
      <c r="AA199">
        <f>IFERROR(GETPIVOTDATA("DJU(chauffagiste)",BDD_DJU!$P$13,"annee",Tab_Calculs[[#This Row],[ANNEE]],"mois_numero",Tab_Calculs[[#This Row],[MOIS]]),0)</f>
        <v>0</v>
      </c>
    </row>
    <row r="200" spans="1:27" x14ac:dyDescent="0.25">
      <c r="A200" s="3">
        <f>DATE(Tab_Calculs[[#This Row],[ANNEE]],Tab_Calculs[[#This Row],[MOIS]],1)</f>
        <v>45992</v>
      </c>
      <c r="B200" s="3">
        <f>EDATE(Tab_Calculs[[#This Row],[Début mois]],1)-1</f>
        <v>46022</v>
      </c>
      <c r="C200">
        <f t="shared" si="3"/>
        <v>12</v>
      </c>
      <c r="D200">
        <f t="shared" si="6"/>
        <v>2025</v>
      </c>
      <c r="E200" t="s">
        <v>80</v>
      </c>
      <c r="F200" t="str">
        <f>SUBSTITUTE(Tab_Calculs[[#This Row],[Compteur]]," ","_")</f>
        <v>Compteur_1</v>
      </c>
      <c r="G200" t="str">
        <f>T(INDEX(Site!$B$33:$G$40, MATCH(Tab_Calculs[[#This Row],[Compteur]], Site!$B$33:$B$40,0),2))</f>
        <v/>
      </c>
      <c r="H200" s="3">
        <f t="array" aca="1" ref="H200" ca="1">MIN(IF(INDIRECT(CONCATENATE(Tab_Calculs[[#This Row],[Colonne1]],"!$B$2:$B$243"))&gt;=Calculs_Consos!$A200,INDIRECT(CONCATENATE(Tab_Calculs[[#This Row],[Colonne1]],"!$B$2:$B$243"))))</f>
        <v>0</v>
      </c>
      <c r="I200" s="3">
        <f ca="1">INDEX(INDIRECT(CONCATENATE("Tab_",Tab_Calculs[[#This Row],[Colonne1]])),Tab_Calculs[[#This Row],[index_date_livraison]],1)</f>
        <v>0</v>
      </c>
      <c r="J200">
        <f ca="1">MATCH(Tab_Calculs[[#This Row],[Date_livraison]],INDIRECT(CONCATENATE("Tab_",Tab_Calculs[[#This Row],[Colonne1]],"[Fin de période]")),0)</f>
        <v>1</v>
      </c>
      <c r="K200" t="e">
        <f ca="1">INDEX(INDIRECT(CONCATENATE("Tab_",Tab_Calculs[[#This Row],[Colonne1]])),Tab_Calculs[[#This Row],[index_date_livraison]]-1,6)*(MAX(Tab_Calculs[[#This Row],[Début periode livraison]],Tab_Calculs[[#This Row],[Début mois]])-Tab_Calculs[[#This Row],[Début mois]])</f>
        <v>#VALUE!</v>
      </c>
      <c r="L200" s="94">
        <f ca="1">INDEX(INDIRECT(CONCATENATE("Tab_",Tab_Calculs[[#This Row],[Colonne1]])),Tab_Calculs[[#This Row],[index_date_livraison]],6)*(1+MIN(Tab_Calculs[[#This Row],[Date_livraison]],Tab_Calculs[[#This Row],[fin mois]])-MAX(Tab_Calculs[[#This Row],[Début mois]],Tab_Calculs[[#This Row],[Début periode livraison]]))</f>
        <v>0</v>
      </c>
      <c r="M200" s="94" t="e">
        <f ca="1">INDEX(INDIRECT(CONCATENATE("Tab_",Tab_Calculs[[#This Row],[Colonne1]])),Tab_Calculs[[#This Row],[index_date_livraison]]+1,6)*(Tab_Calculs[[#This Row],[fin mois]]-MIN(Tab_Calculs[[#This Row],[fin mois]],Tab_Calculs[[#This Row],[Date_livraison]]))</f>
        <v>#VALUE!</v>
      </c>
      <c r="N200" s="231" t="str">
        <f ca="1">IFERROR(Tab_Calculs[[#This Row],[Ratio_jour_après_livr]]+Tab_Calculs[[#This Row],[Ratio_jour_avant_livr]]+Tab_Calculs[[#This Row],[ratio_avant_debut]],"")</f>
        <v/>
      </c>
      <c r="O200" t="e">
        <f ca="1">INDEX(INDIRECT(CONCATENATE("Tab_",Tab_Calculs[[#This Row],[Colonne1]])),Tab_Calculs[[#This Row],[index_date_livraison]]-1,7)*(MAX(Tab_Calculs[[#This Row],[Début periode livraison]],Tab_Calculs[[#This Row],[Début mois]])-Tab_Calculs[[#This Row],[Début mois]])</f>
        <v>#VALUE!</v>
      </c>
      <c r="P200">
        <f ca="1">INDEX(INDIRECT(CONCATENATE("Tab_",Tab_Calculs[[#This Row],[Colonne1]])),Tab_Calculs[[#This Row],[index_date_livraison]],7)*(1+MIN(Tab_Calculs[[#This Row],[Date_livraison]],Tab_Calculs[[#This Row],[fin mois]])-MAX(Tab_Calculs[[#This Row],[Début mois]],Tab_Calculs[[#This Row],[Début periode livraison]]))</f>
        <v>0</v>
      </c>
      <c r="Q200" t="e">
        <f ca="1">INDEX(INDIRECT(CONCATENATE("Tab_",Tab_Calculs[[#This Row],[Colonne1]])),Tab_Calculs[[#This Row],[index_date_livraison]]+1,7)*(Tab_Calculs[[#This Row],[fin mois]]-MIN(Tab_Calculs[[#This Row],[fin mois]],Tab_Calculs[[#This Row],[Date_livraison]]))</f>
        <v>#VALUE!</v>
      </c>
      <c r="R200" t="e">
        <f ca="1">Tab_Calculs[[#This Row],[Ratio_Cout_après_livr]]+Tab_Calculs[[#This Row],[Ratio_Cout_avant_livr]]+Tab_Calculs[[#This Row],[Ratio_Cout_avant_debut]]</f>
        <v>#VALUE!</v>
      </c>
      <c r="S200" t="str">
        <f ca="1">IFERROR(N200*VLOOKUP(Tab_Calculs[[#This Row],[Colonne1]],Controle_des_données!$B$7:$G$14,6,FALSE),"")</f>
        <v/>
      </c>
      <c r="T200" t="str">
        <f ca="1">IF(Tab_Calculs[[#This Row],[Combustible ]]="Electricité (kWh)",Tab_Calculs[[#This Row],[Conso_mois_kWh]]*2.3,Tab_Calculs[[#This Row],[Conso_mois_kWh]])</f>
        <v/>
      </c>
      <c r="U200" t="str">
        <f ca="1">IFERROR(N200*VLOOKUP(Tab_Calculs[[#This Row],[Colonne1]],Controle_des_données!$B$7:$H$14,7,FALSE),"")</f>
        <v/>
      </c>
      <c r="V200">
        <f ca="1">IFERROR(Tab_Calculs[[#This Row],[Cout_mois]]/Tab_Calculs[[#This Row],[Conso_mois_kWh]],0)</f>
        <v>0</v>
      </c>
      <c r="W200" t="str">
        <f>T(VLOOKUP(Tab_Calculs[[#This Row],[Compteur]],Site!$B$33:$G$40,3,FALSE))</f>
        <v/>
      </c>
      <c r="X200" t="str">
        <f>T(VLOOKUP(Tab_Calculs[[#This Row],[Compteur]],Site!$B$33:$G$40,4,FALSE))</f>
        <v/>
      </c>
      <c r="Y200" t="str">
        <f>T(VLOOKUP(Tab_Calculs[[#This Row],[Compteur]],Site!$B$33:$G$40,5,FALSE))</f>
        <v/>
      </c>
      <c r="Z200" t="str">
        <f>T(VLOOKUP(Tab_Calculs[[#This Row],[Compteur]],Site!$B$33:$G$40,6,FALSE))</f>
        <v/>
      </c>
      <c r="AA200">
        <f>IFERROR(GETPIVOTDATA("DJU(chauffagiste)",BDD_DJU!$P$13,"annee",Tab_Calculs[[#This Row],[ANNEE]],"mois_numero",Tab_Calculs[[#This Row],[MOIS]]),0)</f>
        <v>0</v>
      </c>
    </row>
    <row r="201" spans="1:27" x14ac:dyDescent="0.25">
      <c r="A201" s="3">
        <f>DATE(Tab_Calculs[[#This Row],[ANNEE]],Tab_Calculs[[#This Row],[MOIS]],1)</f>
        <v>40179</v>
      </c>
      <c r="B201" s="3">
        <f>EDATE(Tab_Calculs[[#This Row],[Début mois]],1)-1</f>
        <v>40209</v>
      </c>
      <c r="C201">
        <v>1</v>
      </c>
      <c r="D201">
        <v>2010</v>
      </c>
      <c r="E201" t="s">
        <v>81</v>
      </c>
      <c r="F201" t="str">
        <f>SUBSTITUTE(Tab_Calculs[[#This Row],[Compteur]]," ","_")</f>
        <v>Compteur_2</v>
      </c>
      <c r="G201" t="str">
        <f>T(INDEX(Site!$B$33:$G$40, MATCH(Tab_Calculs[[#This Row],[Compteur]], Site!$B$33:$B$40,0),2))</f>
        <v/>
      </c>
      <c r="H201" s="3">
        <f t="array" aca="1" ref="H201" ca="1">MIN(IF(INDIRECT(CONCATENATE(Tab_Calculs[[#This Row],[Colonne1]],"!$B$2:$B$243"))&gt;=Calculs_Consos!$A201,INDIRECT(CONCATENATE(Tab_Calculs[[#This Row],[Colonne1]],"!$B$2:$B$243"))))</f>
        <v>0</v>
      </c>
      <c r="I201" s="3" t="e">
        <f ca="1">INDEX(INDIRECT(CONCATENATE("Tab_",Tab_Calculs[[#This Row],[Colonne1]])),Tab_Calculs[[#This Row],[index_date_livraison]],1)</f>
        <v>#NUM!</v>
      </c>
      <c r="J201">
        <f ca="1">MATCH(Tab_Calculs[[#This Row],[Date_livraison]],INDIRECT(CONCATENATE("Tab_",Tab_Calculs[[#This Row],[Colonne1]],"[Fin de période]")),0)</f>
        <v>1</v>
      </c>
      <c r="K201" t="e">
        <f ca="1">INDEX(INDIRECT(CONCATENATE("Tab_",Tab_Calculs[[#This Row],[Colonne1]])),Tab_Calculs[[#This Row],[index_date_livraison]]-1,6)*(MAX(Tab_Calculs[[#This Row],[Début periode livraison]],Tab_Calculs[[#This Row],[Début mois]])-Tab_Calculs[[#This Row],[Début mois]])</f>
        <v>#VALUE!</v>
      </c>
      <c r="L201" s="94" t="e">
        <f ca="1">INDEX(INDIRECT(CONCATENATE("Tab_",Tab_Calculs[[#This Row],[Colonne1]])),Tab_Calculs[[#This Row],[index_date_livraison]],6)*(1+MIN(Tab_Calculs[[#This Row],[Date_livraison]],Tab_Calculs[[#This Row],[fin mois]])-MAX(Tab_Calculs[[#This Row],[Début mois]],Tab_Calculs[[#This Row],[Début periode livraison]]))</f>
        <v>#NUM!</v>
      </c>
      <c r="M201" s="94" t="e">
        <f ca="1">INDEX(INDIRECT(CONCATENATE("Tab_",Tab_Calculs[[#This Row],[Colonne1]])),Tab_Calculs[[#This Row],[index_date_livraison]]+1,6)*(Tab_Calculs[[#This Row],[fin mois]]-MIN(Tab_Calculs[[#This Row],[fin mois]],Tab_Calculs[[#This Row],[Date_livraison]]))</f>
        <v>#VALUE!</v>
      </c>
      <c r="N201" s="231" t="str">
        <f ca="1">IFERROR(Tab_Calculs[[#This Row],[Ratio_jour_après_livr]]+Tab_Calculs[[#This Row],[Ratio_jour_avant_livr]]+Tab_Calculs[[#This Row],[ratio_avant_debut]],"")</f>
        <v/>
      </c>
      <c r="O201" t="e">
        <f ca="1">INDEX(INDIRECT(CONCATENATE("Tab_",Tab_Calculs[[#This Row],[Colonne1]])),Tab_Calculs[[#This Row],[index_date_livraison]]-1,7)*(MAX(Tab_Calculs[[#This Row],[Début periode livraison]],Tab_Calculs[[#This Row],[Début mois]])-Tab_Calculs[[#This Row],[Début mois]])</f>
        <v>#VALUE!</v>
      </c>
      <c r="P201" t="e">
        <f ca="1">INDEX(INDIRECT(CONCATENATE("Tab_",Tab_Calculs[[#This Row],[Colonne1]])),Tab_Calculs[[#This Row],[index_date_livraison]],7)*(1+MIN(Tab_Calculs[[#This Row],[Date_livraison]],Tab_Calculs[[#This Row],[fin mois]])-MAX(Tab_Calculs[[#This Row],[Début mois]],Tab_Calculs[[#This Row],[Début periode livraison]]))</f>
        <v>#NUM!</v>
      </c>
      <c r="Q201" t="e">
        <f ca="1">INDEX(INDIRECT(CONCATENATE("Tab_",Tab_Calculs[[#This Row],[Colonne1]])),Tab_Calculs[[#This Row],[index_date_livraison]]+1,7)*(Tab_Calculs[[#This Row],[fin mois]]-MIN(Tab_Calculs[[#This Row],[fin mois]],Tab_Calculs[[#This Row],[Date_livraison]]))</f>
        <v>#VALUE!</v>
      </c>
      <c r="R201" t="e">
        <f ca="1">Tab_Calculs[[#This Row],[Ratio_Cout_après_livr]]+Tab_Calculs[[#This Row],[Ratio_Cout_avant_livr]]+Tab_Calculs[[#This Row],[Ratio_Cout_avant_debut]]</f>
        <v>#VALUE!</v>
      </c>
      <c r="S201" t="str">
        <f ca="1">IFERROR(N201*VLOOKUP(Tab_Calculs[[#This Row],[Colonne1]],Controle_des_données!$B$7:$G$14,6,FALSE),"")</f>
        <v/>
      </c>
      <c r="T201" t="str">
        <f ca="1">IF(Tab_Calculs[[#This Row],[Combustible ]]="Electricité (kWh)",Tab_Calculs[[#This Row],[Conso_mois_kWh]]*2.3,Tab_Calculs[[#This Row],[Conso_mois_kWh]])</f>
        <v/>
      </c>
      <c r="U201" t="str">
        <f ca="1">IFERROR(N201*VLOOKUP(Tab_Calculs[[#This Row],[Colonne1]],Controle_des_données!$B$7:$H$14,7,FALSE),"")</f>
        <v/>
      </c>
      <c r="V201">
        <f ca="1">IFERROR(Tab_Calculs[[#This Row],[Cout_mois]]/Tab_Calculs[[#This Row],[Conso_mois_kWh]],0)</f>
        <v>0</v>
      </c>
      <c r="W201" t="str">
        <f>T(VLOOKUP(Tab_Calculs[[#This Row],[Compteur]],Site!$B$33:$G$40,3,FALSE))</f>
        <v/>
      </c>
      <c r="X201" t="str">
        <f>T(VLOOKUP(Tab_Calculs[[#This Row],[Compteur]],Site!$B$33:$G$40,4,FALSE))</f>
        <v/>
      </c>
      <c r="Y201" t="str">
        <f>T(VLOOKUP(Tab_Calculs[[#This Row],[Compteur]],Site!$B$33:$G$40,5,FALSE))</f>
        <v/>
      </c>
      <c r="Z201" t="str">
        <f>T(VLOOKUP(Tab_Calculs[[#This Row],[Compteur]],Site!$B$33:$G$40,6,FALSE))</f>
        <v/>
      </c>
      <c r="AA201">
        <f>IFERROR(GETPIVOTDATA("DJU(chauffagiste)",BDD_DJU!$P$13,"annee",Tab_Calculs[[#This Row],[ANNEE]],"mois_numero",Tab_Calculs[[#This Row],[MOIS]]),0)</f>
        <v>487.6</v>
      </c>
    </row>
    <row r="202" spans="1:27" x14ac:dyDescent="0.25">
      <c r="A202" s="3">
        <f>DATE(Tab_Calculs[[#This Row],[ANNEE]],Tab_Calculs[[#This Row],[MOIS]],1)</f>
        <v>40210</v>
      </c>
      <c r="B202" s="3">
        <f>EDATE(Tab_Calculs[[#This Row],[Début mois]],1)-1</f>
        <v>40237</v>
      </c>
      <c r="C202">
        <v>2</v>
      </c>
      <c r="D202">
        <v>2010</v>
      </c>
      <c r="E202" t="s">
        <v>81</v>
      </c>
      <c r="F202" t="str">
        <f>SUBSTITUTE(Tab_Calculs[[#This Row],[Compteur]]," ","_")</f>
        <v>Compteur_2</v>
      </c>
      <c r="G202" t="str">
        <f>T(INDEX(Site!$B$33:$G$40, MATCH(Tab_Calculs[[#This Row],[Compteur]], Site!$B$33:$B$40,0),2))</f>
        <v/>
      </c>
      <c r="H202" s="3">
        <f t="array" aca="1" ref="H202" ca="1">MIN(IF(INDIRECT(CONCATENATE(Tab_Calculs[[#This Row],[Colonne1]],"!$B$2:$B$243"))&gt;=Calculs_Consos!$A202,INDIRECT(CONCATENATE(Tab_Calculs[[#This Row],[Colonne1]],"!$B$2:$B$243"))))</f>
        <v>0</v>
      </c>
      <c r="I202" s="3" t="e">
        <f ca="1">INDEX(INDIRECT(CONCATENATE("Tab_",Tab_Calculs[[#This Row],[Colonne1]])),Tab_Calculs[[#This Row],[index_date_livraison]],1)</f>
        <v>#NUM!</v>
      </c>
      <c r="J202">
        <f ca="1">MATCH(Tab_Calculs[[#This Row],[Date_livraison]],INDIRECT(CONCATENATE("Tab_",Tab_Calculs[[#This Row],[Colonne1]],"[Fin de période]")),0)</f>
        <v>1</v>
      </c>
      <c r="K202" t="e">
        <f ca="1">INDEX(INDIRECT(CONCATENATE("Tab_",Tab_Calculs[[#This Row],[Colonne1]])),Tab_Calculs[[#This Row],[index_date_livraison]]-1,6)*(MAX(Tab_Calculs[[#This Row],[Début periode livraison]],Tab_Calculs[[#This Row],[Début mois]])-Tab_Calculs[[#This Row],[Début mois]])</f>
        <v>#VALUE!</v>
      </c>
      <c r="L202" s="94" t="e">
        <f ca="1">INDEX(INDIRECT(CONCATENATE("Tab_",Tab_Calculs[[#This Row],[Colonne1]])),Tab_Calculs[[#This Row],[index_date_livraison]],6)*(1+MIN(Tab_Calculs[[#This Row],[Date_livraison]],Tab_Calculs[[#This Row],[fin mois]])-MAX(Tab_Calculs[[#This Row],[Début mois]],Tab_Calculs[[#This Row],[Début periode livraison]]))</f>
        <v>#NUM!</v>
      </c>
      <c r="M202" s="94" t="e">
        <f ca="1">INDEX(INDIRECT(CONCATENATE("Tab_",Tab_Calculs[[#This Row],[Colonne1]])),Tab_Calculs[[#This Row],[index_date_livraison]]+1,6)*(Tab_Calculs[[#This Row],[fin mois]]-MIN(Tab_Calculs[[#This Row],[fin mois]],Tab_Calculs[[#This Row],[Date_livraison]]))</f>
        <v>#VALUE!</v>
      </c>
      <c r="N202" s="231" t="str">
        <f ca="1">IFERROR(Tab_Calculs[[#This Row],[Ratio_jour_après_livr]]+Tab_Calculs[[#This Row],[Ratio_jour_avant_livr]]+Tab_Calculs[[#This Row],[ratio_avant_debut]],"")</f>
        <v/>
      </c>
      <c r="O202" t="e">
        <f ca="1">INDEX(INDIRECT(CONCATENATE("Tab_",Tab_Calculs[[#This Row],[Colonne1]])),Tab_Calculs[[#This Row],[index_date_livraison]]-1,7)*(MAX(Tab_Calculs[[#This Row],[Début periode livraison]],Tab_Calculs[[#This Row],[Début mois]])-Tab_Calculs[[#This Row],[Début mois]])</f>
        <v>#VALUE!</v>
      </c>
      <c r="P202" t="e">
        <f ca="1">INDEX(INDIRECT(CONCATENATE("Tab_",Tab_Calculs[[#This Row],[Colonne1]])),Tab_Calculs[[#This Row],[index_date_livraison]],7)*(1+MIN(Tab_Calculs[[#This Row],[Date_livraison]],Tab_Calculs[[#This Row],[fin mois]])-MAX(Tab_Calculs[[#This Row],[Début mois]],Tab_Calculs[[#This Row],[Début periode livraison]]))</f>
        <v>#NUM!</v>
      </c>
      <c r="Q202" t="e">
        <f ca="1">INDEX(INDIRECT(CONCATENATE("Tab_",Tab_Calculs[[#This Row],[Colonne1]])),Tab_Calculs[[#This Row],[index_date_livraison]]+1,7)*(Tab_Calculs[[#This Row],[fin mois]]-MIN(Tab_Calculs[[#This Row],[fin mois]],Tab_Calculs[[#This Row],[Date_livraison]]))</f>
        <v>#VALUE!</v>
      </c>
      <c r="R202" t="e">
        <f ca="1">Tab_Calculs[[#This Row],[Ratio_Cout_après_livr]]+Tab_Calculs[[#This Row],[Ratio_Cout_avant_livr]]+Tab_Calculs[[#This Row],[Ratio_Cout_avant_debut]]</f>
        <v>#VALUE!</v>
      </c>
      <c r="S202" t="str">
        <f ca="1">IFERROR(N202*VLOOKUP(Tab_Calculs[[#This Row],[Colonne1]],Controle_des_données!$B$7:$G$14,6,FALSE),"")</f>
        <v/>
      </c>
      <c r="T202" t="str">
        <f ca="1">IF(Tab_Calculs[[#This Row],[Combustible ]]="Electricité (kWh)",Tab_Calculs[[#This Row],[Conso_mois_kWh]]*2.3,Tab_Calculs[[#This Row],[Conso_mois_kWh]])</f>
        <v/>
      </c>
      <c r="U202" t="str">
        <f ca="1">IFERROR(N202*VLOOKUP(Tab_Calculs[[#This Row],[Colonne1]],Controle_des_données!$B$7:$H$14,7,FALSE),"")</f>
        <v/>
      </c>
      <c r="V202">
        <f ca="1">IFERROR(Tab_Calculs[[#This Row],[Cout_mois]]/Tab_Calculs[[#This Row],[Conso_mois_kWh]],0)</f>
        <v>0</v>
      </c>
      <c r="W202" t="str">
        <f>T(VLOOKUP(Tab_Calculs[[#This Row],[Compteur]],Site!$B$33:$G$40,3,FALSE))</f>
        <v/>
      </c>
      <c r="X202" t="str">
        <f>T(VLOOKUP(Tab_Calculs[[#This Row],[Compteur]],Site!$B$33:$G$40,4,FALSE))</f>
        <v/>
      </c>
      <c r="Y202" t="str">
        <f>T(VLOOKUP(Tab_Calculs[[#This Row],[Compteur]],Site!$B$33:$G$40,5,FALSE))</f>
        <v/>
      </c>
      <c r="Z202" t="str">
        <f>T(VLOOKUP(Tab_Calculs[[#This Row],[Compteur]],Site!$B$33:$G$40,6,FALSE))</f>
        <v/>
      </c>
      <c r="AA202">
        <f>IFERROR(GETPIVOTDATA("DJU(chauffagiste)",BDD_DJU!$P$13,"annee",Tab_Calculs[[#This Row],[ANNEE]],"mois_numero",Tab_Calculs[[#This Row],[MOIS]]),0)</f>
        <v>370.3</v>
      </c>
    </row>
    <row r="203" spans="1:27" x14ac:dyDescent="0.25">
      <c r="A203" s="3">
        <f>DATE(Tab_Calculs[[#This Row],[ANNEE]],Tab_Calculs[[#This Row],[MOIS]],1)</f>
        <v>40238</v>
      </c>
      <c r="B203" s="3">
        <f>EDATE(Tab_Calculs[[#This Row],[Début mois]],1)-1</f>
        <v>40268</v>
      </c>
      <c r="C203">
        <v>3</v>
      </c>
      <c r="D203">
        <v>2010</v>
      </c>
      <c r="E203" t="s">
        <v>81</v>
      </c>
      <c r="F203" t="str">
        <f>SUBSTITUTE(Tab_Calculs[[#This Row],[Compteur]]," ","_")</f>
        <v>Compteur_2</v>
      </c>
      <c r="G203" t="str">
        <f>T(INDEX(Site!$B$33:$G$40, MATCH(Tab_Calculs[[#This Row],[Compteur]], Site!$B$33:$B$40,0),2))</f>
        <v/>
      </c>
      <c r="H203" s="3">
        <f t="array" aca="1" ref="H203" ca="1">MIN(IF(INDIRECT(CONCATENATE(Tab_Calculs[[#This Row],[Colonne1]],"!$B$2:$B$243"))&gt;=Calculs_Consos!$A203,INDIRECT(CONCATENATE(Tab_Calculs[[#This Row],[Colonne1]],"!$B$2:$B$243"))))</f>
        <v>0</v>
      </c>
      <c r="I203" s="3" t="e">
        <f ca="1">INDEX(INDIRECT(CONCATENATE("Tab_",Tab_Calculs[[#This Row],[Colonne1]])),Tab_Calculs[[#This Row],[index_date_livraison]],1)</f>
        <v>#NUM!</v>
      </c>
      <c r="J203">
        <f ca="1">MATCH(Tab_Calculs[[#This Row],[Date_livraison]],INDIRECT(CONCATENATE("Tab_",Tab_Calculs[[#This Row],[Colonne1]],"[Fin de période]")),0)</f>
        <v>1</v>
      </c>
      <c r="K203" t="e">
        <f ca="1">INDEX(INDIRECT(CONCATENATE("Tab_",Tab_Calculs[[#This Row],[Colonne1]])),Tab_Calculs[[#This Row],[index_date_livraison]]-1,6)*(MAX(Tab_Calculs[[#This Row],[Début periode livraison]],Tab_Calculs[[#This Row],[Début mois]])-Tab_Calculs[[#This Row],[Début mois]])</f>
        <v>#VALUE!</v>
      </c>
      <c r="L203" s="94" t="e">
        <f ca="1">INDEX(INDIRECT(CONCATENATE("Tab_",Tab_Calculs[[#This Row],[Colonne1]])),Tab_Calculs[[#This Row],[index_date_livraison]],6)*(1+MIN(Tab_Calculs[[#This Row],[Date_livraison]],Tab_Calculs[[#This Row],[fin mois]])-MAX(Tab_Calculs[[#This Row],[Début mois]],Tab_Calculs[[#This Row],[Début periode livraison]]))</f>
        <v>#NUM!</v>
      </c>
      <c r="M203" s="94" t="e">
        <f ca="1">INDEX(INDIRECT(CONCATENATE("Tab_",Tab_Calculs[[#This Row],[Colonne1]])),Tab_Calculs[[#This Row],[index_date_livraison]]+1,6)*(Tab_Calculs[[#This Row],[fin mois]]-MIN(Tab_Calculs[[#This Row],[fin mois]],Tab_Calculs[[#This Row],[Date_livraison]]))</f>
        <v>#VALUE!</v>
      </c>
      <c r="N203" s="231" t="str">
        <f ca="1">IFERROR(Tab_Calculs[[#This Row],[Ratio_jour_après_livr]]+Tab_Calculs[[#This Row],[Ratio_jour_avant_livr]]+Tab_Calculs[[#This Row],[ratio_avant_debut]],"")</f>
        <v/>
      </c>
      <c r="O203" t="e">
        <f ca="1">INDEX(INDIRECT(CONCATENATE("Tab_",Tab_Calculs[[#This Row],[Colonne1]])),Tab_Calculs[[#This Row],[index_date_livraison]]-1,7)*(MAX(Tab_Calculs[[#This Row],[Début periode livraison]],Tab_Calculs[[#This Row],[Début mois]])-Tab_Calculs[[#This Row],[Début mois]])</f>
        <v>#VALUE!</v>
      </c>
      <c r="P203" t="e">
        <f ca="1">INDEX(INDIRECT(CONCATENATE("Tab_",Tab_Calculs[[#This Row],[Colonne1]])),Tab_Calculs[[#This Row],[index_date_livraison]],7)*(1+MIN(Tab_Calculs[[#This Row],[Date_livraison]],Tab_Calculs[[#This Row],[fin mois]])-MAX(Tab_Calculs[[#This Row],[Début mois]],Tab_Calculs[[#This Row],[Début periode livraison]]))</f>
        <v>#NUM!</v>
      </c>
      <c r="Q203" t="e">
        <f ca="1">INDEX(INDIRECT(CONCATENATE("Tab_",Tab_Calculs[[#This Row],[Colonne1]])),Tab_Calculs[[#This Row],[index_date_livraison]]+1,7)*(Tab_Calculs[[#This Row],[fin mois]]-MIN(Tab_Calculs[[#This Row],[fin mois]],Tab_Calculs[[#This Row],[Date_livraison]]))</f>
        <v>#VALUE!</v>
      </c>
      <c r="R203" t="e">
        <f ca="1">Tab_Calculs[[#This Row],[Ratio_Cout_après_livr]]+Tab_Calculs[[#This Row],[Ratio_Cout_avant_livr]]+Tab_Calculs[[#This Row],[Ratio_Cout_avant_debut]]</f>
        <v>#VALUE!</v>
      </c>
      <c r="S203" t="str">
        <f ca="1">IFERROR(N203*VLOOKUP(Tab_Calculs[[#This Row],[Colonne1]],Controle_des_données!$B$7:$G$14,6,FALSE),"")</f>
        <v/>
      </c>
      <c r="T203" t="str">
        <f ca="1">IF(Tab_Calculs[[#This Row],[Combustible ]]="Electricité (kWh)",Tab_Calculs[[#This Row],[Conso_mois_kWh]]*2.3,Tab_Calculs[[#This Row],[Conso_mois_kWh]])</f>
        <v/>
      </c>
      <c r="U203" t="str">
        <f ca="1">IFERROR(N203*VLOOKUP(Tab_Calculs[[#This Row],[Colonne1]],Controle_des_données!$B$7:$H$14,7,FALSE),"")</f>
        <v/>
      </c>
      <c r="V203">
        <f ca="1">IFERROR(Tab_Calculs[[#This Row],[Cout_mois]]/Tab_Calculs[[#This Row],[Conso_mois_kWh]],0)</f>
        <v>0</v>
      </c>
      <c r="W203" t="str">
        <f>T(VLOOKUP(Tab_Calculs[[#This Row],[Compteur]],Site!$B$33:$G$40,3,FALSE))</f>
        <v/>
      </c>
      <c r="X203" t="str">
        <f>T(VLOOKUP(Tab_Calculs[[#This Row],[Compteur]],Site!$B$33:$G$40,4,FALSE))</f>
        <v/>
      </c>
      <c r="Y203" t="str">
        <f>T(VLOOKUP(Tab_Calculs[[#This Row],[Compteur]],Site!$B$33:$G$40,5,FALSE))</f>
        <v/>
      </c>
      <c r="Z203" t="str">
        <f>T(VLOOKUP(Tab_Calculs[[#This Row],[Compteur]],Site!$B$33:$G$40,6,FALSE))</f>
        <v/>
      </c>
      <c r="AA203">
        <f>IFERROR(GETPIVOTDATA("DJU(chauffagiste)",BDD_DJU!$P$13,"annee",Tab_Calculs[[#This Row],[ANNEE]],"mois_numero",Tab_Calculs[[#This Row],[MOIS]]),0)</f>
        <v>312.8</v>
      </c>
    </row>
    <row r="204" spans="1:27" x14ac:dyDescent="0.25">
      <c r="A204" s="3">
        <f>DATE(Tab_Calculs[[#This Row],[ANNEE]],Tab_Calculs[[#This Row],[MOIS]],1)</f>
        <v>40269</v>
      </c>
      <c r="B204" s="3">
        <f>EDATE(Tab_Calculs[[#This Row],[Début mois]],1)-1</f>
        <v>40298</v>
      </c>
      <c r="C204">
        <v>4</v>
      </c>
      <c r="D204">
        <v>2010</v>
      </c>
      <c r="E204" t="s">
        <v>81</v>
      </c>
      <c r="F204" t="str">
        <f>SUBSTITUTE(Tab_Calculs[[#This Row],[Compteur]]," ","_")</f>
        <v>Compteur_2</v>
      </c>
      <c r="G204" t="str">
        <f>T(INDEX(Site!$B$33:$G$40, MATCH(Tab_Calculs[[#This Row],[Compteur]], Site!$B$33:$B$40,0),2))</f>
        <v/>
      </c>
      <c r="H204" s="3">
        <f t="array" aca="1" ref="H204" ca="1">MIN(IF(INDIRECT(CONCATENATE(Tab_Calculs[[#This Row],[Colonne1]],"!$B$2:$B$243"))&gt;=Calculs_Consos!$A204,INDIRECT(CONCATENATE(Tab_Calculs[[#This Row],[Colonne1]],"!$B$2:$B$243"))))</f>
        <v>0</v>
      </c>
      <c r="I204" s="3" t="e">
        <f ca="1">INDEX(INDIRECT(CONCATENATE("Tab_",Tab_Calculs[[#This Row],[Colonne1]])),Tab_Calculs[[#This Row],[index_date_livraison]],1)</f>
        <v>#NUM!</v>
      </c>
      <c r="J204">
        <f ca="1">MATCH(Tab_Calculs[[#This Row],[Date_livraison]],INDIRECT(CONCATENATE("Tab_",Tab_Calculs[[#This Row],[Colonne1]],"[Fin de période]")),0)</f>
        <v>1</v>
      </c>
      <c r="K204" t="e">
        <f ca="1">INDEX(INDIRECT(CONCATENATE("Tab_",Tab_Calculs[[#This Row],[Colonne1]])),Tab_Calculs[[#This Row],[index_date_livraison]]-1,6)*(MAX(Tab_Calculs[[#This Row],[Début periode livraison]],Tab_Calculs[[#This Row],[Début mois]])-Tab_Calculs[[#This Row],[Début mois]])</f>
        <v>#VALUE!</v>
      </c>
      <c r="L204" s="94" t="e">
        <f ca="1">INDEX(INDIRECT(CONCATENATE("Tab_",Tab_Calculs[[#This Row],[Colonne1]])),Tab_Calculs[[#This Row],[index_date_livraison]],6)*(1+MIN(Tab_Calculs[[#This Row],[Date_livraison]],Tab_Calculs[[#This Row],[fin mois]])-MAX(Tab_Calculs[[#This Row],[Début mois]],Tab_Calculs[[#This Row],[Début periode livraison]]))</f>
        <v>#NUM!</v>
      </c>
      <c r="M204" s="94" t="e">
        <f ca="1">INDEX(INDIRECT(CONCATENATE("Tab_",Tab_Calculs[[#This Row],[Colonne1]])),Tab_Calculs[[#This Row],[index_date_livraison]]+1,6)*(Tab_Calculs[[#This Row],[fin mois]]-MIN(Tab_Calculs[[#This Row],[fin mois]],Tab_Calculs[[#This Row],[Date_livraison]]))</f>
        <v>#VALUE!</v>
      </c>
      <c r="N204" s="231" t="str">
        <f ca="1">IFERROR(Tab_Calculs[[#This Row],[Ratio_jour_après_livr]]+Tab_Calculs[[#This Row],[Ratio_jour_avant_livr]]+Tab_Calculs[[#This Row],[ratio_avant_debut]],"")</f>
        <v/>
      </c>
      <c r="O204" t="e">
        <f ca="1">INDEX(INDIRECT(CONCATENATE("Tab_",Tab_Calculs[[#This Row],[Colonne1]])),Tab_Calculs[[#This Row],[index_date_livraison]]-1,7)*(MAX(Tab_Calculs[[#This Row],[Début periode livraison]],Tab_Calculs[[#This Row],[Début mois]])-Tab_Calculs[[#This Row],[Début mois]])</f>
        <v>#VALUE!</v>
      </c>
      <c r="P204" t="e">
        <f ca="1">INDEX(INDIRECT(CONCATENATE("Tab_",Tab_Calculs[[#This Row],[Colonne1]])),Tab_Calculs[[#This Row],[index_date_livraison]],7)*(1+MIN(Tab_Calculs[[#This Row],[Date_livraison]],Tab_Calculs[[#This Row],[fin mois]])-MAX(Tab_Calculs[[#This Row],[Début mois]],Tab_Calculs[[#This Row],[Début periode livraison]]))</f>
        <v>#NUM!</v>
      </c>
      <c r="Q204" t="e">
        <f ca="1">INDEX(INDIRECT(CONCATENATE("Tab_",Tab_Calculs[[#This Row],[Colonne1]])),Tab_Calculs[[#This Row],[index_date_livraison]]+1,7)*(Tab_Calculs[[#This Row],[fin mois]]-MIN(Tab_Calculs[[#This Row],[fin mois]],Tab_Calculs[[#This Row],[Date_livraison]]))</f>
        <v>#VALUE!</v>
      </c>
      <c r="R204" t="e">
        <f ca="1">Tab_Calculs[[#This Row],[Ratio_Cout_après_livr]]+Tab_Calculs[[#This Row],[Ratio_Cout_avant_livr]]+Tab_Calculs[[#This Row],[Ratio_Cout_avant_debut]]</f>
        <v>#VALUE!</v>
      </c>
      <c r="S204" t="str">
        <f ca="1">IFERROR(N204*VLOOKUP(Tab_Calculs[[#This Row],[Colonne1]],Controle_des_données!$B$7:$G$14,6,FALSE),"")</f>
        <v/>
      </c>
      <c r="T204" t="str">
        <f ca="1">IF(Tab_Calculs[[#This Row],[Combustible ]]="Electricité (kWh)",Tab_Calculs[[#This Row],[Conso_mois_kWh]]*2.3,Tab_Calculs[[#This Row],[Conso_mois_kWh]])</f>
        <v/>
      </c>
      <c r="U204" t="str">
        <f ca="1">IFERROR(N204*VLOOKUP(Tab_Calculs[[#This Row],[Colonne1]],Controle_des_données!$B$7:$H$14,7,FALSE),"")</f>
        <v/>
      </c>
      <c r="V204">
        <f ca="1">IFERROR(Tab_Calculs[[#This Row],[Cout_mois]]/Tab_Calculs[[#This Row],[Conso_mois_kWh]],0)</f>
        <v>0</v>
      </c>
      <c r="W204" t="str">
        <f>T(VLOOKUP(Tab_Calculs[[#This Row],[Compteur]],Site!$B$33:$G$40,3,FALSE))</f>
        <v/>
      </c>
      <c r="X204" t="str">
        <f>T(VLOOKUP(Tab_Calculs[[#This Row],[Compteur]],Site!$B$33:$G$40,4,FALSE))</f>
        <v/>
      </c>
      <c r="Y204" t="str">
        <f>T(VLOOKUP(Tab_Calculs[[#This Row],[Compteur]],Site!$B$33:$G$40,5,FALSE))</f>
        <v/>
      </c>
      <c r="Z204" t="str">
        <f>T(VLOOKUP(Tab_Calculs[[#This Row],[Compteur]],Site!$B$33:$G$40,6,FALSE))</f>
        <v/>
      </c>
      <c r="AA204">
        <f>IFERROR(GETPIVOTDATA("DJU(chauffagiste)",BDD_DJU!$P$13,"annee",Tab_Calculs[[#This Row],[ANNEE]],"mois_numero",Tab_Calculs[[#This Row],[MOIS]]),0)</f>
        <v>199.2</v>
      </c>
    </row>
    <row r="205" spans="1:27" x14ac:dyDescent="0.25">
      <c r="A205" s="3">
        <f>DATE(Tab_Calculs[[#This Row],[ANNEE]],Tab_Calculs[[#This Row],[MOIS]],1)</f>
        <v>40299</v>
      </c>
      <c r="B205" s="3">
        <f>EDATE(Tab_Calculs[[#This Row],[Début mois]],1)-1</f>
        <v>40329</v>
      </c>
      <c r="C205">
        <v>5</v>
      </c>
      <c r="D205">
        <v>2010</v>
      </c>
      <c r="E205" t="s">
        <v>81</v>
      </c>
      <c r="F205" t="str">
        <f>SUBSTITUTE(Tab_Calculs[[#This Row],[Compteur]]," ","_")</f>
        <v>Compteur_2</v>
      </c>
      <c r="G205" t="str">
        <f>T(INDEX(Site!$B$33:$G$40, MATCH(Tab_Calculs[[#This Row],[Compteur]], Site!$B$33:$B$40,0),2))</f>
        <v/>
      </c>
      <c r="H205" s="3">
        <f t="array" aca="1" ref="H205" ca="1">MIN(IF(INDIRECT(CONCATENATE(Tab_Calculs[[#This Row],[Colonne1]],"!$B$2:$B$243"))&gt;=Calculs_Consos!$A205,INDIRECT(CONCATENATE(Tab_Calculs[[#This Row],[Colonne1]],"!$B$2:$B$243"))))</f>
        <v>0</v>
      </c>
      <c r="I205" s="3" t="e">
        <f ca="1">INDEX(INDIRECT(CONCATENATE("Tab_",Tab_Calculs[[#This Row],[Colonne1]])),Tab_Calculs[[#This Row],[index_date_livraison]],1)</f>
        <v>#NUM!</v>
      </c>
      <c r="J205">
        <f ca="1">MATCH(Tab_Calculs[[#This Row],[Date_livraison]],INDIRECT(CONCATENATE("Tab_",Tab_Calculs[[#This Row],[Colonne1]],"[Fin de période]")),0)</f>
        <v>1</v>
      </c>
      <c r="K205" t="e">
        <f ca="1">INDEX(INDIRECT(CONCATENATE("Tab_",Tab_Calculs[[#This Row],[Colonne1]])),Tab_Calculs[[#This Row],[index_date_livraison]]-1,6)*(MAX(Tab_Calculs[[#This Row],[Début periode livraison]],Tab_Calculs[[#This Row],[Début mois]])-Tab_Calculs[[#This Row],[Début mois]])</f>
        <v>#VALUE!</v>
      </c>
      <c r="L205" s="94" t="e">
        <f ca="1">INDEX(INDIRECT(CONCATENATE("Tab_",Tab_Calculs[[#This Row],[Colonne1]])),Tab_Calculs[[#This Row],[index_date_livraison]],6)*(1+MIN(Tab_Calculs[[#This Row],[Date_livraison]],Tab_Calculs[[#This Row],[fin mois]])-MAX(Tab_Calculs[[#This Row],[Début mois]],Tab_Calculs[[#This Row],[Début periode livraison]]))</f>
        <v>#NUM!</v>
      </c>
      <c r="M205" s="94" t="e">
        <f ca="1">INDEX(INDIRECT(CONCATENATE("Tab_",Tab_Calculs[[#This Row],[Colonne1]])),Tab_Calculs[[#This Row],[index_date_livraison]]+1,6)*(Tab_Calculs[[#This Row],[fin mois]]-MIN(Tab_Calculs[[#This Row],[fin mois]],Tab_Calculs[[#This Row],[Date_livraison]]))</f>
        <v>#VALUE!</v>
      </c>
      <c r="N205" s="231" t="str">
        <f ca="1">IFERROR(Tab_Calculs[[#This Row],[Ratio_jour_après_livr]]+Tab_Calculs[[#This Row],[Ratio_jour_avant_livr]]+Tab_Calculs[[#This Row],[ratio_avant_debut]],"")</f>
        <v/>
      </c>
      <c r="O205" t="e">
        <f ca="1">INDEX(INDIRECT(CONCATENATE("Tab_",Tab_Calculs[[#This Row],[Colonne1]])),Tab_Calculs[[#This Row],[index_date_livraison]]-1,7)*(MAX(Tab_Calculs[[#This Row],[Début periode livraison]],Tab_Calculs[[#This Row],[Début mois]])-Tab_Calculs[[#This Row],[Début mois]])</f>
        <v>#VALUE!</v>
      </c>
      <c r="P205" t="e">
        <f ca="1">INDEX(INDIRECT(CONCATENATE("Tab_",Tab_Calculs[[#This Row],[Colonne1]])),Tab_Calculs[[#This Row],[index_date_livraison]],7)*(1+MIN(Tab_Calculs[[#This Row],[Date_livraison]],Tab_Calculs[[#This Row],[fin mois]])-MAX(Tab_Calculs[[#This Row],[Début mois]],Tab_Calculs[[#This Row],[Début periode livraison]]))</f>
        <v>#NUM!</v>
      </c>
      <c r="Q205" t="e">
        <f ca="1">INDEX(INDIRECT(CONCATENATE("Tab_",Tab_Calculs[[#This Row],[Colonne1]])),Tab_Calculs[[#This Row],[index_date_livraison]]+1,7)*(Tab_Calculs[[#This Row],[fin mois]]-MIN(Tab_Calculs[[#This Row],[fin mois]],Tab_Calculs[[#This Row],[Date_livraison]]))</f>
        <v>#VALUE!</v>
      </c>
      <c r="R205" t="e">
        <f ca="1">Tab_Calculs[[#This Row],[Ratio_Cout_après_livr]]+Tab_Calculs[[#This Row],[Ratio_Cout_avant_livr]]+Tab_Calculs[[#This Row],[Ratio_Cout_avant_debut]]</f>
        <v>#VALUE!</v>
      </c>
      <c r="S205" t="str">
        <f ca="1">IFERROR(N205*VLOOKUP(Tab_Calculs[[#This Row],[Colonne1]],Controle_des_données!$B$7:$G$14,6,FALSE),"")</f>
        <v/>
      </c>
      <c r="T205" t="str">
        <f ca="1">IF(Tab_Calculs[[#This Row],[Combustible ]]="Electricité (kWh)",Tab_Calculs[[#This Row],[Conso_mois_kWh]]*2.3,Tab_Calculs[[#This Row],[Conso_mois_kWh]])</f>
        <v/>
      </c>
      <c r="U205" t="str">
        <f ca="1">IFERROR(N205*VLOOKUP(Tab_Calculs[[#This Row],[Colonne1]],Controle_des_données!$B$7:$H$14,7,FALSE),"")</f>
        <v/>
      </c>
      <c r="V205">
        <f ca="1">IFERROR(Tab_Calculs[[#This Row],[Cout_mois]]/Tab_Calculs[[#This Row],[Conso_mois_kWh]],0)</f>
        <v>0</v>
      </c>
      <c r="W205" t="str">
        <f>T(VLOOKUP(Tab_Calculs[[#This Row],[Compteur]],Site!$B$33:$G$40,3,FALSE))</f>
        <v/>
      </c>
      <c r="X205" t="str">
        <f>T(VLOOKUP(Tab_Calculs[[#This Row],[Compteur]],Site!$B$33:$G$40,4,FALSE))</f>
        <v/>
      </c>
      <c r="Y205" t="str">
        <f>T(VLOOKUP(Tab_Calculs[[#This Row],[Compteur]],Site!$B$33:$G$40,5,FALSE))</f>
        <v/>
      </c>
      <c r="Z205" t="str">
        <f>T(VLOOKUP(Tab_Calculs[[#This Row],[Compteur]],Site!$B$33:$G$40,6,FALSE))</f>
        <v/>
      </c>
      <c r="AA205">
        <f>IFERROR(GETPIVOTDATA("DJU(chauffagiste)",BDD_DJU!$P$13,"annee",Tab_Calculs[[#This Row],[ANNEE]],"mois_numero",Tab_Calculs[[#This Row],[MOIS]]),0)</f>
        <v>155.4</v>
      </c>
    </row>
    <row r="206" spans="1:27" x14ac:dyDescent="0.25">
      <c r="A206" s="3">
        <f>DATE(Tab_Calculs[[#This Row],[ANNEE]],Tab_Calculs[[#This Row],[MOIS]],1)</f>
        <v>40330</v>
      </c>
      <c r="B206" s="3">
        <f>EDATE(Tab_Calculs[[#This Row],[Début mois]],1)-1</f>
        <v>40359</v>
      </c>
      <c r="C206">
        <v>6</v>
      </c>
      <c r="D206">
        <v>2010</v>
      </c>
      <c r="E206" t="s">
        <v>81</v>
      </c>
      <c r="F206" t="str">
        <f>SUBSTITUTE(Tab_Calculs[[#This Row],[Compteur]]," ","_")</f>
        <v>Compteur_2</v>
      </c>
      <c r="G206" t="str">
        <f>T(INDEX(Site!$B$33:$G$40, MATCH(Tab_Calculs[[#This Row],[Compteur]], Site!$B$33:$B$40,0),2))</f>
        <v/>
      </c>
      <c r="H206" s="3">
        <f t="array" aca="1" ref="H206" ca="1">MIN(IF(INDIRECT(CONCATENATE(Tab_Calculs[[#This Row],[Colonne1]],"!$B$2:$B$243"))&gt;=Calculs_Consos!$A206,INDIRECT(CONCATENATE(Tab_Calculs[[#This Row],[Colonne1]],"!$B$2:$B$243"))))</f>
        <v>0</v>
      </c>
      <c r="I206" s="3" t="e">
        <f ca="1">INDEX(INDIRECT(CONCATENATE("Tab_",Tab_Calculs[[#This Row],[Colonne1]])),Tab_Calculs[[#This Row],[index_date_livraison]],1)</f>
        <v>#NUM!</v>
      </c>
      <c r="J206">
        <f ca="1">MATCH(Tab_Calculs[[#This Row],[Date_livraison]],INDIRECT(CONCATENATE("Tab_",Tab_Calculs[[#This Row],[Colonne1]],"[Fin de période]")),0)</f>
        <v>1</v>
      </c>
      <c r="K206" t="e">
        <f ca="1">INDEX(INDIRECT(CONCATENATE("Tab_",Tab_Calculs[[#This Row],[Colonne1]])),Tab_Calculs[[#This Row],[index_date_livraison]]-1,6)*(MAX(Tab_Calculs[[#This Row],[Début periode livraison]],Tab_Calculs[[#This Row],[Début mois]])-Tab_Calculs[[#This Row],[Début mois]])</f>
        <v>#VALUE!</v>
      </c>
      <c r="L206" s="94" t="e">
        <f ca="1">INDEX(INDIRECT(CONCATENATE("Tab_",Tab_Calculs[[#This Row],[Colonne1]])),Tab_Calculs[[#This Row],[index_date_livraison]],6)*(1+MIN(Tab_Calculs[[#This Row],[Date_livraison]],Tab_Calculs[[#This Row],[fin mois]])-MAX(Tab_Calculs[[#This Row],[Début mois]],Tab_Calculs[[#This Row],[Début periode livraison]]))</f>
        <v>#NUM!</v>
      </c>
      <c r="M206" s="94" t="e">
        <f ca="1">INDEX(INDIRECT(CONCATENATE("Tab_",Tab_Calculs[[#This Row],[Colonne1]])),Tab_Calculs[[#This Row],[index_date_livraison]]+1,6)*(Tab_Calculs[[#This Row],[fin mois]]-MIN(Tab_Calculs[[#This Row],[fin mois]],Tab_Calculs[[#This Row],[Date_livraison]]))</f>
        <v>#VALUE!</v>
      </c>
      <c r="N206" s="231" t="str">
        <f ca="1">IFERROR(Tab_Calculs[[#This Row],[Ratio_jour_après_livr]]+Tab_Calculs[[#This Row],[Ratio_jour_avant_livr]]+Tab_Calculs[[#This Row],[ratio_avant_debut]],"")</f>
        <v/>
      </c>
      <c r="O206" t="e">
        <f ca="1">INDEX(INDIRECT(CONCATENATE("Tab_",Tab_Calculs[[#This Row],[Colonne1]])),Tab_Calculs[[#This Row],[index_date_livraison]]-1,7)*(MAX(Tab_Calculs[[#This Row],[Début periode livraison]],Tab_Calculs[[#This Row],[Début mois]])-Tab_Calculs[[#This Row],[Début mois]])</f>
        <v>#VALUE!</v>
      </c>
      <c r="P206" t="e">
        <f ca="1">INDEX(INDIRECT(CONCATENATE("Tab_",Tab_Calculs[[#This Row],[Colonne1]])),Tab_Calculs[[#This Row],[index_date_livraison]],7)*(1+MIN(Tab_Calculs[[#This Row],[Date_livraison]],Tab_Calculs[[#This Row],[fin mois]])-MAX(Tab_Calculs[[#This Row],[Début mois]],Tab_Calculs[[#This Row],[Début periode livraison]]))</f>
        <v>#NUM!</v>
      </c>
      <c r="Q206" t="e">
        <f ca="1">INDEX(INDIRECT(CONCATENATE("Tab_",Tab_Calculs[[#This Row],[Colonne1]])),Tab_Calculs[[#This Row],[index_date_livraison]]+1,7)*(Tab_Calculs[[#This Row],[fin mois]]-MIN(Tab_Calculs[[#This Row],[fin mois]],Tab_Calculs[[#This Row],[Date_livraison]]))</f>
        <v>#VALUE!</v>
      </c>
      <c r="R206" t="e">
        <f ca="1">Tab_Calculs[[#This Row],[Ratio_Cout_après_livr]]+Tab_Calculs[[#This Row],[Ratio_Cout_avant_livr]]+Tab_Calculs[[#This Row],[Ratio_Cout_avant_debut]]</f>
        <v>#VALUE!</v>
      </c>
      <c r="S206" t="str">
        <f ca="1">IFERROR(N206*VLOOKUP(Tab_Calculs[[#This Row],[Colonne1]],Controle_des_données!$B$7:$G$14,6,FALSE),"")</f>
        <v/>
      </c>
      <c r="T206" t="str">
        <f ca="1">IF(Tab_Calculs[[#This Row],[Combustible ]]="Electricité (kWh)",Tab_Calculs[[#This Row],[Conso_mois_kWh]]*2.3,Tab_Calculs[[#This Row],[Conso_mois_kWh]])</f>
        <v/>
      </c>
      <c r="U206" t="str">
        <f ca="1">IFERROR(N206*VLOOKUP(Tab_Calculs[[#This Row],[Colonne1]],Controle_des_données!$B$7:$H$14,7,FALSE),"")</f>
        <v/>
      </c>
      <c r="V206">
        <f ca="1">IFERROR(Tab_Calculs[[#This Row],[Cout_mois]]/Tab_Calculs[[#This Row],[Conso_mois_kWh]],0)</f>
        <v>0</v>
      </c>
      <c r="W206" t="str">
        <f>T(VLOOKUP(Tab_Calculs[[#This Row],[Compteur]],Site!$B$33:$G$40,3,FALSE))</f>
        <v/>
      </c>
      <c r="X206" t="str">
        <f>T(VLOOKUP(Tab_Calculs[[#This Row],[Compteur]],Site!$B$33:$G$40,4,FALSE))</f>
        <v/>
      </c>
      <c r="Y206" t="str">
        <f>T(VLOOKUP(Tab_Calculs[[#This Row],[Compteur]],Site!$B$33:$G$40,5,FALSE))</f>
        <v/>
      </c>
      <c r="Z206" t="str">
        <f>T(VLOOKUP(Tab_Calculs[[#This Row],[Compteur]],Site!$B$33:$G$40,6,FALSE))</f>
        <v/>
      </c>
      <c r="AA206">
        <f>IFERROR(GETPIVOTDATA("DJU(chauffagiste)",BDD_DJU!$P$13,"annee",Tab_Calculs[[#This Row],[ANNEE]],"mois_numero",Tab_Calculs[[#This Row],[MOIS]]),0)</f>
        <v>46.7</v>
      </c>
    </row>
    <row r="207" spans="1:27" x14ac:dyDescent="0.25">
      <c r="A207" s="3">
        <f>DATE(Tab_Calculs[[#This Row],[ANNEE]],Tab_Calculs[[#This Row],[MOIS]],1)</f>
        <v>40360</v>
      </c>
      <c r="B207" s="3">
        <f>EDATE(Tab_Calculs[[#This Row],[Début mois]],1)-1</f>
        <v>40390</v>
      </c>
      <c r="C207">
        <v>7</v>
      </c>
      <c r="D207">
        <v>2010</v>
      </c>
      <c r="E207" t="s">
        <v>81</v>
      </c>
      <c r="F207" t="str">
        <f>SUBSTITUTE(Tab_Calculs[[#This Row],[Compteur]]," ","_")</f>
        <v>Compteur_2</v>
      </c>
      <c r="G207" t="str">
        <f>T(INDEX(Site!$B$33:$G$40, MATCH(Tab_Calculs[[#This Row],[Compteur]], Site!$B$33:$B$40,0),2))</f>
        <v/>
      </c>
      <c r="H207" s="3">
        <f t="array" aca="1" ref="H207" ca="1">MIN(IF(INDIRECT(CONCATENATE(Tab_Calculs[[#This Row],[Colonne1]],"!$B$2:$B$243"))&gt;=Calculs_Consos!$A207,INDIRECT(CONCATENATE(Tab_Calculs[[#This Row],[Colonne1]],"!$B$2:$B$243"))))</f>
        <v>0</v>
      </c>
      <c r="I207" s="3" t="e">
        <f ca="1">INDEX(INDIRECT(CONCATENATE("Tab_",Tab_Calculs[[#This Row],[Colonne1]])),Tab_Calculs[[#This Row],[index_date_livraison]],1)</f>
        <v>#NUM!</v>
      </c>
      <c r="J207">
        <f ca="1">MATCH(Tab_Calculs[[#This Row],[Date_livraison]],INDIRECT(CONCATENATE("Tab_",Tab_Calculs[[#This Row],[Colonne1]],"[Fin de période]")),0)</f>
        <v>1</v>
      </c>
      <c r="K207" t="e">
        <f ca="1">INDEX(INDIRECT(CONCATENATE("Tab_",Tab_Calculs[[#This Row],[Colonne1]])),Tab_Calculs[[#This Row],[index_date_livraison]]-1,6)*(MAX(Tab_Calculs[[#This Row],[Début periode livraison]],Tab_Calculs[[#This Row],[Début mois]])-Tab_Calculs[[#This Row],[Début mois]])</f>
        <v>#VALUE!</v>
      </c>
      <c r="L207" s="94" t="e">
        <f ca="1">INDEX(INDIRECT(CONCATENATE("Tab_",Tab_Calculs[[#This Row],[Colonne1]])),Tab_Calculs[[#This Row],[index_date_livraison]],6)*(1+MIN(Tab_Calculs[[#This Row],[Date_livraison]],Tab_Calculs[[#This Row],[fin mois]])-MAX(Tab_Calculs[[#This Row],[Début mois]],Tab_Calculs[[#This Row],[Début periode livraison]]))</f>
        <v>#NUM!</v>
      </c>
      <c r="M207" s="94" t="e">
        <f ca="1">INDEX(INDIRECT(CONCATENATE("Tab_",Tab_Calculs[[#This Row],[Colonne1]])),Tab_Calculs[[#This Row],[index_date_livraison]]+1,6)*(Tab_Calculs[[#This Row],[fin mois]]-MIN(Tab_Calculs[[#This Row],[fin mois]],Tab_Calculs[[#This Row],[Date_livraison]]))</f>
        <v>#VALUE!</v>
      </c>
      <c r="N207" s="231" t="str">
        <f ca="1">IFERROR(Tab_Calculs[[#This Row],[Ratio_jour_après_livr]]+Tab_Calculs[[#This Row],[Ratio_jour_avant_livr]]+Tab_Calculs[[#This Row],[ratio_avant_debut]],"")</f>
        <v/>
      </c>
      <c r="O207" t="e">
        <f ca="1">INDEX(INDIRECT(CONCATENATE("Tab_",Tab_Calculs[[#This Row],[Colonne1]])),Tab_Calculs[[#This Row],[index_date_livraison]]-1,7)*(MAX(Tab_Calculs[[#This Row],[Début periode livraison]],Tab_Calculs[[#This Row],[Début mois]])-Tab_Calculs[[#This Row],[Début mois]])</f>
        <v>#VALUE!</v>
      </c>
      <c r="P207" t="e">
        <f ca="1">INDEX(INDIRECT(CONCATENATE("Tab_",Tab_Calculs[[#This Row],[Colonne1]])),Tab_Calculs[[#This Row],[index_date_livraison]],7)*(1+MIN(Tab_Calculs[[#This Row],[Date_livraison]],Tab_Calculs[[#This Row],[fin mois]])-MAX(Tab_Calculs[[#This Row],[Début mois]],Tab_Calculs[[#This Row],[Début periode livraison]]))</f>
        <v>#NUM!</v>
      </c>
      <c r="Q207" t="e">
        <f ca="1">INDEX(INDIRECT(CONCATENATE("Tab_",Tab_Calculs[[#This Row],[Colonne1]])),Tab_Calculs[[#This Row],[index_date_livraison]]+1,7)*(Tab_Calculs[[#This Row],[fin mois]]-MIN(Tab_Calculs[[#This Row],[fin mois]],Tab_Calculs[[#This Row],[Date_livraison]]))</f>
        <v>#VALUE!</v>
      </c>
      <c r="R207" t="e">
        <f ca="1">Tab_Calculs[[#This Row],[Ratio_Cout_après_livr]]+Tab_Calculs[[#This Row],[Ratio_Cout_avant_livr]]+Tab_Calculs[[#This Row],[Ratio_Cout_avant_debut]]</f>
        <v>#VALUE!</v>
      </c>
      <c r="S207" t="str">
        <f ca="1">IFERROR(N207*VLOOKUP(Tab_Calculs[[#This Row],[Colonne1]],Controle_des_données!$B$7:$G$14,6,FALSE),"")</f>
        <v/>
      </c>
      <c r="T207" t="str">
        <f ca="1">IF(Tab_Calculs[[#This Row],[Combustible ]]="Electricité (kWh)",Tab_Calculs[[#This Row],[Conso_mois_kWh]]*2.3,Tab_Calculs[[#This Row],[Conso_mois_kWh]])</f>
        <v/>
      </c>
      <c r="U207" t="str">
        <f ca="1">IFERROR(N207*VLOOKUP(Tab_Calculs[[#This Row],[Colonne1]],Controle_des_données!$B$7:$H$14,7,FALSE),"")</f>
        <v/>
      </c>
      <c r="V207">
        <f ca="1">IFERROR(Tab_Calculs[[#This Row],[Cout_mois]]/Tab_Calculs[[#This Row],[Conso_mois_kWh]],0)</f>
        <v>0</v>
      </c>
      <c r="W207" t="str">
        <f>T(VLOOKUP(Tab_Calculs[[#This Row],[Compteur]],Site!$B$33:$G$40,3,FALSE))</f>
        <v/>
      </c>
      <c r="X207" t="str">
        <f>T(VLOOKUP(Tab_Calculs[[#This Row],[Compteur]],Site!$B$33:$G$40,4,FALSE))</f>
        <v/>
      </c>
      <c r="Y207" t="str">
        <f>T(VLOOKUP(Tab_Calculs[[#This Row],[Compteur]],Site!$B$33:$G$40,5,FALSE))</f>
        <v/>
      </c>
      <c r="Z207" t="str">
        <f>T(VLOOKUP(Tab_Calculs[[#This Row],[Compteur]],Site!$B$33:$G$40,6,FALSE))</f>
        <v/>
      </c>
      <c r="AA207">
        <f>IFERROR(GETPIVOTDATA("DJU(chauffagiste)",BDD_DJU!$P$13,"annee",Tab_Calculs[[#This Row],[ANNEE]],"mois_numero",Tab_Calculs[[#This Row],[MOIS]]),0)</f>
        <v>22.2</v>
      </c>
    </row>
    <row r="208" spans="1:27" x14ac:dyDescent="0.25">
      <c r="A208" s="3">
        <f>DATE(Tab_Calculs[[#This Row],[ANNEE]],Tab_Calculs[[#This Row],[MOIS]],1)</f>
        <v>40391</v>
      </c>
      <c r="B208" s="3">
        <f>EDATE(Tab_Calculs[[#This Row],[Début mois]],1)-1</f>
        <v>40421</v>
      </c>
      <c r="C208">
        <v>8</v>
      </c>
      <c r="D208">
        <v>2010</v>
      </c>
      <c r="E208" t="s">
        <v>81</v>
      </c>
      <c r="F208" t="str">
        <f>SUBSTITUTE(Tab_Calculs[[#This Row],[Compteur]]," ","_")</f>
        <v>Compteur_2</v>
      </c>
      <c r="G208" t="str">
        <f>T(INDEX(Site!$B$33:$G$40, MATCH(Tab_Calculs[[#This Row],[Compteur]], Site!$B$33:$B$40,0),2))</f>
        <v/>
      </c>
      <c r="H208" s="3">
        <f t="array" aca="1" ref="H208" ca="1">MIN(IF(INDIRECT(CONCATENATE(Tab_Calculs[[#This Row],[Colonne1]],"!$B$2:$B$243"))&gt;=Calculs_Consos!$A208,INDIRECT(CONCATENATE(Tab_Calculs[[#This Row],[Colonne1]],"!$B$2:$B$243"))))</f>
        <v>0</v>
      </c>
      <c r="I208" s="3" t="e">
        <f ca="1">INDEX(INDIRECT(CONCATENATE("Tab_",Tab_Calculs[[#This Row],[Colonne1]])),Tab_Calculs[[#This Row],[index_date_livraison]],1)</f>
        <v>#NUM!</v>
      </c>
      <c r="J208">
        <f ca="1">MATCH(Tab_Calculs[[#This Row],[Date_livraison]],INDIRECT(CONCATENATE("Tab_",Tab_Calculs[[#This Row],[Colonne1]],"[Fin de période]")),0)</f>
        <v>1</v>
      </c>
      <c r="K208" t="e">
        <f ca="1">INDEX(INDIRECT(CONCATENATE("Tab_",Tab_Calculs[[#This Row],[Colonne1]])),Tab_Calculs[[#This Row],[index_date_livraison]]-1,6)*(MAX(Tab_Calculs[[#This Row],[Début periode livraison]],Tab_Calculs[[#This Row],[Début mois]])-Tab_Calculs[[#This Row],[Début mois]])</f>
        <v>#VALUE!</v>
      </c>
      <c r="L208" s="94" t="e">
        <f ca="1">INDEX(INDIRECT(CONCATENATE("Tab_",Tab_Calculs[[#This Row],[Colonne1]])),Tab_Calculs[[#This Row],[index_date_livraison]],6)*(1+MIN(Tab_Calculs[[#This Row],[Date_livraison]],Tab_Calculs[[#This Row],[fin mois]])-MAX(Tab_Calculs[[#This Row],[Début mois]],Tab_Calculs[[#This Row],[Début periode livraison]]))</f>
        <v>#NUM!</v>
      </c>
      <c r="M208" s="94" t="e">
        <f ca="1">INDEX(INDIRECT(CONCATENATE("Tab_",Tab_Calculs[[#This Row],[Colonne1]])),Tab_Calculs[[#This Row],[index_date_livraison]]+1,6)*(Tab_Calculs[[#This Row],[fin mois]]-MIN(Tab_Calculs[[#This Row],[fin mois]],Tab_Calculs[[#This Row],[Date_livraison]]))</f>
        <v>#VALUE!</v>
      </c>
      <c r="N208" s="231" t="str">
        <f ca="1">IFERROR(Tab_Calculs[[#This Row],[Ratio_jour_après_livr]]+Tab_Calculs[[#This Row],[Ratio_jour_avant_livr]]+Tab_Calculs[[#This Row],[ratio_avant_debut]],"")</f>
        <v/>
      </c>
      <c r="O208" t="e">
        <f ca="1">INDEX(INDIRECT(CONCATENATE("Tab_",Tab_Calculs[[#This Row],[Colonne1]])),Tab_Calculs[[#This Row],[index_date_livraison]]-1,7)*(MAX(Tab_Calculs[[#This Row],[Début periode livraison]],Tab_Calculs[[#This Row],[Début mois]])-Tab_Calculs[[#This Row],[Début mois]])</f>
        <v>#VALUE!</v>
      </c>
      <c r="P208" t="e">
        <f ca="1">INDEX(INDIRECT(CONCATENATE("Tab_",Tab_Calculs[[#This Row],[Colonne1]])),Tab_Calculs[[#This Row],[index_date_livraison]],7)*(1+MIN(Tab_Calculs[[#This Row],[Date_livraison]],Tab_Calculs[[#This Row],[fin mois]])-MAX(Tab_Calculs[[#This Row],[Début mois]],Tab_Calculs[[#This Row],[Début periode livraison]]))</f>
        <v>#NUM!</v>
      </c>
      <c r="Q208" t="e">
        <f ca="1">INDEX(INDIRECT(CONCATENATE("Tab_",Tab_Calculs[[#This Row],[Colonne1]])),Tab_Calculs[[#This Row],[index_date_livraison]]+1,7)*(Tab_Calculs[[#This Row],[fin mois]]-MIN(Tab_Calculs[[#This Row],[fin mois]],Tab_Calculs[[#This Row],[Date_livraison]]))</f>
        <v>#VALUE!</v>
      </c>
      <c r="R208" t="e">
        <f ca="1">Tab_Calculs[[#This Row],[Ratio_Cout_après_livr]]+Tab_Calculs[[#This Row],[Ratio_Cout_avant_livr]]+Tab_Calculs[[#This Row],[Ratio_Cout_avant_debut]]</f>
        <v>#VALUE!</v>
      </c>
      <c r="S208" t="str">
        <f ca="1">IFERROR(N208*VLOOKUP(Tab_Calculs[[#This Row],[Colonne1]],Controle_des_données!$B$7:$G$14,6,FALSE),"")</f>
        <v/>
      </c>
      <c r="T208" t="str">
        <f ca="1">IF(Tab_Calculs[[#This Row],[Combustible ]]="Electricité (kWh)",Tab_Calculs[[#This Row],[Conso_mois_kWh]]*2.3,Tab_Calculs[[#This Row],[Conso_mois_kWh]])</f>
        <v/>
      </c>
      <c r="U208" t="str">
        <f ca="1">IFERROR(N208*VLOOKUP(Tab_Calculs[[#This Row],[Colonne1]],Controle_des_données!$B$7:$H$14,7,FALSE),"")</f>
        <v/>
      </c>
      <c r="V208">
        <f ca="1">IFERROR(Tab_Calculs[[#This Row],[Cout_mois]]/Tab_Calculs[[#This Row],[Conso_mois_kWh]],0)</f>
        <v>0</v>
      </c>
      <c r="W208" t="str">
        <f>T(VLOOKUP(Tab_Calculs[[#This Row],[Compteur]],Site!$B$33:$G$40,3,FALSE))</f>
        <v/>
      </c>
      <c r="X208" t="str">
        <f>T(VLOOKUP(Tab_Calculs[[#This Row],[Compteur]],Site!$B$33:$G$40,4,FALSE))</f>
        <v/>
      </c>
      <c r="Y208" t="str">
        <f>T(VLOOKUP(Tab_Calculs[[#This Row],[Compteur]],Site!$B$33:$G$40,5,FALSE))</f>
        <v/>
      </c>
      <c r="Z208" t="str">
        <f>T(VLOOKUP(Tab_Calculs[[#This Row],[Compteur]],Site!$B$33:$G$40,6,FALSE))</f>
        <v/>
      </c>
      <c r="AA208">
        <f>IFERROR(GETPIVOTDATA("DJU(chauffagiste)",BDD_DJU!$P$13,"annee",Tab_Calculs[[#This Row],[ANNEE]],"mois_numero",Tab_Calculs[[#This Row],[MOIS]]),0)</f>
        <v>41.5</v>
      </c>
    </row>
    <row r="209" spans="1:27" x14ac:dyDescent="0.25">
      <c r="A209" s="3">
        <f>DATE(Tab_Calculs[[#This Row],[ANNEE]],Tab_Calculs[[#This Row],[MOIS]],1)</f>
        <v>40422</v>
      </c>
      <c r="B209" s="3">
        <f>EDATE(Tab_Calculs[[#This Row],[Début mois]],1)-1</f>
        <v>40451</v>
      </c>
      <c r="C209">
        <v>9</v>
      </c>
      <c r="D209">
        <v>2010</v>
      </c>
      <c r="E209" t="s">
        <v>81</v>
      </c>
      <c r="F209" t="str">
        <f>SUBSTITUTE(Tab_Calculs[[#This Row],[Compteur]]," ","_")</f>
        <v>Compteur_2</v>
      </c>
      <c r="G209" t="str">
        <f>T(INDEX(Site!$B$33:$G$40, MATCH(Tab_Calculs[[#This Row],[Compteur]], Site!$B$33:$B$40,0),2))</f>
        <v/>
      </c>
      <c r="H209" s="3">
        <f t="array" aca="1" ref="H209" ca="1">MIN(IF(INDIRECT(CONCATENATE(Tab_Calculs[[#This Row],[Colonne1]],"!$B$2:$B$243"))&gt;=Calculs_Consos!$A209,INDIRECT(CONCATENATE(Tab_Calculs[[#This Row],[Colonne1]],"!$B$2:$B$243"))))</f>
        <v>0</v>
      </c>
      <c r="I209" s="3" t="e">
        <f ca="1">INDEX(INDIRECT(CONCATENATE("Tab_",Tab_Calculs[[#This Row],[Colonne1]])),Tab_Calculs[[#This Row],[index_date_livraison]],1)</f>
        <v>#NUM!</v>
      </c>
      <c r="J209">
        <f ca="1">MATCH(Tab_Calculs[[#This Row],[Date_livraison]],INDIRECT(CONCATENATE("Tab_",Tab_Calculs[[#This Row],[Colonne1]],"[Fin de période]")),0)</f>
        <v>1</v>
      </c>
      <c r="K209" t="e">
        <f ca="1">INDEX(INDIRECT(CONCATENATE("Tab_",Tab_Calculs[[#This Row],[Colonne1]])),Tab_Calculs[[#This Row],[index_date_livraison]]-1,6)*(MAX(Tab_Calculs[[#This Row],[Début periode livraison]],Tab_Calculs[[#This Row],[Début mois]])-Tab_Calculs[[#This Row],[Début mois]])</f>
        <v>#VALUE!</v>
      </c>
      <c r="L209" s="94" t="e">
        <f ca="1">INDEX(INDIRECT(CONCATENATE("Tab_",Tab_Calculs[[#This Row],[Colonne1]])),Tab_Calculs[[#This Row],[index_date_livraison]],6)*(1+MIN(Tab_Calculs[[#This Row],[Date_livraison]],Tab_Calculs[[#This Row],[fin mois]])-MAX(Tab_Calculs[[#This Row],[Début mois]],Tab_Calculs[[#This Row],[Début periode livraison]]))</f>
        <v>#NUM!</v>
      </c>
      <c r="M209" s="94" t="e">
        <f ca="1">INDEX(INDIRECT(CONCATENATE("Tab_",Tab_Calculs[[#This Row],[Colonne1]])),Tab_Calculs[[#This Row],[index_date_livraison]]+1,6)*(Tab_Calculs[[#This Row],[fin mois]]-MIN(Tab_Calculs[[#This Row],[fin mois]],Tab_Calculs[[#This Row],[Date_livraison]]))</f>
        <v>#VALUE!</v>
      </c>
      <c r="N209" s="231" t="str">
        <f ca="1">IFERROR(Tab_Calculs[[#This Row],[Ratio_jour_après_livr]]+Tab_Calculs[[#This Row],[Ratio_jour_avant_livr]]+Tab_Calculs[[#This Row],[ratio_avant_debut]],"")</f>
        <v/>
      </c>
      <c r="O209" t="e">
        <f ca="1">INDEX(INDIRECT(CONCATENATE("Tab_",Tab_Calculs[[#This Row],[Colonne1]])),Tab_Calculs[[#This Row],[index_date_livraison]]-1,7)*(MAX(Tab_Calculs[[#This Row],[Début periode livraison]],Tab_Calculs[[#This Row],[Début mois]])-Tab_Calculs[[#This Row],[Début mois]])</f>
        <v>#VALUE!</v>
      </c>
      <c r="P209" t="e">
        <f ca="1">INDEX(INDIRECT(CONCATENATE("Tab_",Tab_Calculs[[#This Row],[Colonne1]])),Tab_Calculs[[#This Row],[index_date_livraison]],7)*(1+MIN(Tab_Calculs[[#This Row],[Date_livraison]],Tab_Calculs[[#This Row],[fin mois]])-MAX(Tab_Calculs[[#This Row],[Début mois]],Tab_Calculs[[#This Row],[Début periode livraison]]))</f>
        <v>#NUM!</v>
      </c>
      <c r="Q209" t="e">
        <f ca="1">INDEX(INDIRECT(CONCATENATE("Tab_",Tab_Calculs[[#This Row],[Colonne1]])),Tab_Calculs[[#This Row],[index_date_livraison]]+1,7)*(Tab_Calculs[[#This Row],[fin mois]]-MIN(Tab_Calculs[[#This Row],[fin mois]],Tab_Calculs[[#This Row],[Date_livraison]]))</f>
        <v>#VALUE!</v>
      </c>
      <c r="R209" t="e">
        <f ca="1">Tab_Calculs[[#This Row],[Ratio_Cout_après_livr]]+Tab_Calculs[[#This Row],[Ratio_Cout_avant_livr]]+Tab_Calculs[[#This Row],[Ratio_Cout_avant_debut]]</f>
        <v>#VALUE!</v>
      </c>
      <c r="S209" t="str">
        <f ca="1">IFERROR(N209*VLOOKUP(Tab_Calculs[[#This Row],[Colonne1]],Controle_des_données!$B$7:$G$14,6,FALSE),"")</f>
        <v/>
      </c>
      <c r="T209" t="str">
        <f ca="1">IF(Tab_Calculs[[#This Row],[Combustible ]]="Electricité (kWh)",Tab_Calculs[[#This Row],[Conso_mois_kWh]]*2.3,Tab_Calculs[[#This Row],[Conso_mois_kWh]])</f>
        <v/>
      </c>
      <c r="U209" t="str">
        <f ca="1">IFERROR(N209*VLOOKUP(Tab_Calculs[[#This Row],[Colonne1]],Controle_des_données!$B$7:$H$14,7,FALSE),"")</f>
        <v/>
      </c>
      <c r="V209">
        <f ca="1">IFERROR(Tab_Calculs[[#This Row],[Cout_mois]]/Tab_Calculs[[#This Row],[Conso_mois_kWh]],0)</f>
        <v>0</v>
      </c>
      <c r="W209" t="str">
        <f>T(VLOOKUP(Tab_Calculs[[#This Row],[Compteur]],Site!$B$33:$G$40,3,FALSE))</f>
        <v/>
      </c>
      <c r="X209" t="str">
        <f>T(VLOOKUP(Tab_Calculs[[#This Row],[Compteur]],Site!$B$33:$G$40,4,FALSE))</f>
        <v/>
      </c>
      <c r="Y209" t="str">
        <f>T(VLOOKUP(Tab_Calculs[[#This Row],[Compteur]],Site!$B$33:$G$40,5,FALSE))</f>
        <v/>
      </c>
      <c r="Z209" t="str">
        <f>T(VLOOKUP(Tab_Calculs[[#This Row],[Compteur]],Site!$B$33:$G$40,6,FALSE))</f>
        <v/>
      </c>
      <c r="AA209">
        <f>IFERROR(GETPIVOTDATA("DJU(chauffagiste)",BDD_DJU!$P$13,"annee",Tab_Calculs[[#This Row],[ANNEE]],"mois_numero",Tab_Calculs[[#This Row],[MOIS]]),0)</f>
        <v>95.4</v>
      </c>
    </row>
    <row r="210" spans="1:27" x14ac:dyDescent="0.25">
      <c r="A210" s="3">
        <f>DATE(Tab_Calculs[[#This Row],[ANNEE]],Tab_Calculs[[#This Row],[MOIS]],1)</f>
        <v>40452</v>
      </c>
      <c r="B210" s="3">
        <f>EDATE(Tab_Calculs[[#This Row],[Début mois]],1)-1</f>
        <v>40482</v>
      </c>
      <c r="C210">
        <v>10</v>
      </c>
      <c r="D210">
        <v>2010</v>
      </c>
      <c r="E210" t="s">
        <v>81</v>
      </c>
      <c r="F210" t="str">
        <f>SUBSTITUTE(Tab_Calculs[[#This Row],[Compteur]]," ","_")</f>
        <v>Compteur_2</v>
      </c>
      <c r="G210" t="str">
        <f>T(INDEX(Site!$B$33:$G$40, MATCH(Tab_Calculs[[#This Row],[Compteur]], Site!$B$33:$B$40,0),2))</f>
        <v/>
      </c>
      <c r="H210" s="3">
        <f t="array" aca="1" ref="H210" ca="1">MIN(IF(INDIRECT(CONCATENATE(Tab_Calculs[[#This Row],[Colonne1]],"!$B$2:$B$243"))&gt;=Calculs_Consos!$A210,INDIRECT(CONCATENATE(Tab_Calculs[[#This Row],[Colonne1]],"!$B$2:$B$243"))))</f>
        <v>0</v>
      </c>
      <c r="I210" s="3" t="e">
        <f ca="1">INDEX(INDIRECT(CONCATENATE("Tab_",Tab_Calculs[[#This Row],[Colonne1]])),Tab_Calculs[[#This Row],[index_date_livraison]],1)</f>
        <v>#NUM!</v>
      </c>
      <c r="J210">
        <f ca="1">MATCH(Tab_Calculs[[#This Row],[Date_livraison]],INDIRECT(CONCATENATE("Tab_",Tab_Calculs[[#This Row],[Colonne1]],"[Fin de période]")),0)</f>
        <v>1</v>
      </c>
      <c r="K210" t="e">
        <f ca="1">INDEX(INDIRECT(CONCATENATE("Tab_",Tab_Calculs[[#This Row],[Colonne1]])),Tab_Calculs[[#This Row],[index_date_livraison]]-1,6)*(MAX(Tab_Calculs[[#This Row],[Début periode livraison]],Tab_Calculs[[#This Row],[Début mois]])-Tab_Calculs[[#This Row],[Début mois]])</f>
        <v>#VALUE!</v>
      </c>
      <c r="L210" s="94" t="e">
        <f ca="1">INDEX(INDIRECT(CONCATENATE("Tab_",Tab_Calculs[[#This Row],[Colonne1]])),Tab_Calculs[[#This Row],[index_date_livraison]],6)*(1+MIN(Tab_Calculs[[#This Row],[Date_livraison]],Tab_Calculs[[#This Row],[fin mois]])-MAX(Tab_Calculs[[#This Row],[Début mois]],Tab_Calculs[[#This Row],[Début periode livraison]]))</f>
        <v>#NUM!</v>
      </c>
      <c r="M210" s="94" t="e">
        <f ca="1">INDEX(INDIRECT(CONCATENATE("Tab_",Tab_Calculs[[#This Row],[Colonne1]])),Tab_Calculs[[#This Row],[index_date_livraison]]+1,6)*(Tab_Calculs[[#This Row],[fin mois]]-MIN(Tab_Calculs[[#This Row],[fin mois]],Tab_Calculs[[#This Row],[Date_livraison]]))</f>
        <v>#VALUE!</v>
      </c>
      <c r="N210" s="231" t="str">
        <f ca="1">IFERROR(Tab_Calculs[[#This Row],[Ratio_jour_après_livr]]+Tab_Calculs[[#This Row],[Ratio_jour_avant_livr]]+Tab_Calculs[[#This Row],[ratio_avant_debut]],"")</f>
        <v/>
      </c>
      <c r="O210" t="e">
        <f ca="1">INDEX(INDIRECT(CONCATENATE("Tab_",Tab_Calculs[[#This Row],[Colonne1]])),Tab_Calculs[[#This Row],[index_date_livraison]]-1,7)*(MAX(Tab_Calculs[[#This Row],[Début periode livraison]],Tab_Calculs[[#This Row],[Début mois]])-Tab_Calculs[[#This Row],[Début mois]])</f>
        <v>#VALUE!</v>
      </c>
      <c r="P210" t="e">
        <f ca="1">INDEX(INDIRECT(CONCATENATE("Tab_",Tab_Calculs[[#This Row],[Colonne1]])),Tab_Calculs[[#This Row],[index_date_livraison]],7)*(1+MIN(Tab_Calculs[[#This Row],[Date_livraison]],Tab_Calculs[[#This Row],[fin mois]])-MAX(Tab_Calculs[[#This Row],[Début mois]],Tab_Calculs[[#This Row],[Début periode livraison]]))</f>
        <v>#NUM!</v>
      </c>
      <c r="Q210" t="e">
        <f ca="1">INDEX(INDIRECT(CONCATENATE("Tab_",Tab_Calculs[[#This Row],[Colonne1]])),Tab_Calculs[[#This Row],[index_date_livraison]]+1,7)*(Tab_Calculs[[#This Row],[fin mois]]-MIN(Tab_Calculs[[#This Row],[fin mois]],Tab_Calculs[[#This Row],[Date_livraison]]))</f>
        <v>#VALUE!</v>
      </c>
      <c r="R210" t="e">
        <f ca="1">Tab_Calculs[[#This Row],[Ratio_Cout_après_livr]]+Tab_Calculs[[#This Row],[Ratio_Cout_avant_livr]]+Tab_Calculs[[#This Row],[Ratio_Cout_avant_debut]]</f>
        <v>#VALUE!</v>
      </c>
      <c r="S210" t="str">
        <f ca="1">IFERROR(N210*VLOOKUP(Tab_Calculs[[#This Row],[Colonne1]],Controle_des_données!$B$7:$G$14,6,FALSE),"")</f>
        <v/>
      </c>
      <c r="T210" t="str">
        <f ca="1">IF(Tab_Calculs[[#This Row],[Combustible ]]="Electricité (kWh)",Tab_Calculs[[#This Row],[Conso_mois_kWh]]*2.3,Tab_Calculs[[#This Row],[Conso_mois_kWh]])</f>
        <v/>
      </c>
      <c r="U210" t="str">
        <f ca="1">IFERROR(N210*VLOOKUP(Tab_Calculs[[#This Row],[Colonne1]],Controle_des_données!$B$7:$H$14,7,FALSE),"")</f>
        <v/>
      </c>
      <c r="V210">
        <f ca="1">IFERROR(Tab_Calculs[[#This Row],[Cout_mois]]/Tab_Calculs[[#This Row],[Conso_mois_kWh]],0)</f>
        <v>0</v>
      </c>
      <c r="W210" t="str">
        <f>T(VLOOKUP(Tab_Calculs[[#This Row],[Compteur]],Site!$B$33:$G$40,3,FALSE))</f>
        <v/>
      </c>
      <c r="X210" t="str">
        <f>T(VLOOKUP(Tab_Calculs[[#This Row],[Compteur]],Site!$B$33:$G$40,4,FALSE))</f>
        <v/>
      </c>
      <c r="Y210" t="str">
        <f>T(VLOOKUP(Tab_Calculs[[#This Row],[Compteur]],Site!$B$33:$G$40,5,FALSE))</f>
        <v/>
      </c>
      <c r="Z210" t="str">
        <f>T(VLOOKUP(Tab_Calculs[[#This Row],[Compteur]],Site!$B$33:$G$40,6,FALSE))</f>
        <v/>
      </c>
      <c r="AA210">
        <f>IFERROR(GETPIVOTDATA("DJU(chauffagiste)",BDD_DJU!$P$13,"annee",Tab_Calculs[[#This Row],[ANNEE]],"mois_numero",Tab_Calculs[[#This Row],[MOIS]]),0)</f>
        <v>190.1</v>
      </c>
    </row>
    <row r="211" spans="1:27" x14ac:dyDescent="0.25">
      <c r="A211" s="3">
        <f>DATE(Tab_Calculs[[#This Row],[ANNEE]],Tab_Calculs[[#This Row],[MOIS]],1)</f>
        <v>40483</v>
      </c>
      <c r="B211" s="3">
        <f>EDATE(Tab_Calculs[[#This Row],[Début mois]],1)-1</f>
        <v>40512</v>
      </c>
      <c r="C211">
        <v>11</v>
      </c>
      <c r="D211">
        <v>2010</v>
      </c>
      <c r="E211" t="s">
        <v>81</v>
      </c>
      <c r="F211" t="str">
        <f>SUBSTITUTE(Tab_Calculs[[#This Row],[Compteur]]," ","_")</f>
        <v>Compteur_2</v>
      </c>
      <c r="G211" t="str">
        <f>T(INDEX(Site!$B$33:$G$40, MATCH(Tab_Calculs[[#This Row],[Compteur]], Site!$B$33:$B$40,0),2))</f>
        <v/>
      </c>
      <c r="H211" s="3">
        <f t="array" aca="1" ref="H211" ca="1">MIN(IF(INDIRECT(CONCATENATE(Tab_Calculs[[#This Row],[Colonne1]],"!$B$2:$B$243"))&gt;=Calculs_Consos!$A211,INDIRECT(CONCATENATE(Tab_Calculs[[#This Row],[Colonne1]],"!$B$2:$B$243"))))</f>
        <v>0</v>
      </c>
      <c r="I211" s="3" t="e">
        <f ca="1">INDEX(INDIRECT(CONCATENATE("Tab_",Tab_Calculs[[#This Row],[Colonne1]])),Tab_Calculs[[#This Row],[index_date_livraison]],1)</f>
        <v>#NUM!</v>
      </c>
      <c r="J211">
        <f ca="1">MATCH(Tab_Calculs[[#This Row],[Date_livraison]],INDIRECT(CONCATENATE("Tab_",Tab_Calculs[[#This Row],[Colonne1]],"[Fin de période]")),0)</f>
        <v>1</v>
      </c>
      <c r="K211" t="e">
        <f ca="1">INDEX(INDIRECT(CONCATENATE("Tab_",Tab_Calculs[[#This Row],[Colonne1]])),Tab_Calculs[[#This Row],[index_date_livraison]]-1,6)*(MAX(Tab_Calculs[[#This Row],[Début periode livraison]],Tab_Calculs[[#This Row],[Début mois]])-Tab_Calculs[[#This Row],[Début mois]])</f>
        <v>#VALUE!</v>
      </c>
      <c r="L211" s="94" t="e">
        <f ca="1">INDEX(INDIRECT(CONCATENATE("Tab_",Tab_Calculs[[#This Row],[Colonne1]])),Tab_Calculs[[#This Row],[index_date_livraison]],6)*(1+MIN(Tab_Calculs[[#This Row],[Date_livraison]],Tab_Calculs[[#This Row],[fin mois]])-MAX(Tab_Calculs[[#This Row],[Début mois]],Tab_Calculs[[#This Row],[Début periode livraison]]))</f>
        <v>#NUM!</v>
      </c>
      <c r="M211" s="94" t="e">
        <f ca="1">INDEX(INDIRECT(CONCATENATE("Tab_",Tab_Calculs[[#This Row],[Colonne1]])),Tab_Calculs[[#This Row],[index_date_livraison]]+1,6)*(Tab_Calculs[[#This Row],[fin mois]]-MIN(Tab_Calculs[[#This Row],[fin mois]],Tab_Calculs[[#This Row],[Date_livraison]]))</f>
        <v>#VALUE!</v>
      </c>
      <c r="N211" s="231" t="str">
        <f ca="1">IFERROR(Tab_Calculs[[#This Row],[Ratio_jour_après_livr]]+Tab_Calculs[[#This Row],[Ratio_jour_avant_livr]]+Tab_Calculs[[#This Row],[ratio_avant_debut]],"")</f>
        <v/>
      </c>
      <c r="O211" t="e">
        <f ca="1">INDEX(INDIRECT(CONCATENATE("Tab_",Tab_Calculs[[#This Row],[Colonne1]])),Tab_Calculs[[#This Row],[index_date_livraison]]-1,7)*(MAX(Tab_Calculs[[#This Row],[Début periode livraison]],Tab_Calculs[[#This Row],[Début mois]])-Tab_Calculs[[#This Row],[Début mois]])</f>
        <v>#VALUE!</v>
      </c>
      <c r="P211" t="e">
        <f ca="1">INDEX(INDIRECT(CONCATENATE("Tab_",Tab_Calculs[[#This Row],[Colonne1]])),Tab_Calculs[[#This Row],[index_date_livraison]],7)*(1+MIN(Tab_Calculs[[#This Row],[Date_livraison]],Tab_Calculs[[#This Row],[fin mois]])-MAX(Tab_Calculs[[#This Row],[Début mois]],Tab_Calculs[[#This Row],[Début periode livraison]]))</f>
        <v>#NUM!</v>
      </c>
      <c r="Q211" t="e">
        <f ca="1">INDEX(INDIRECT(CONCATENATE("Tab_",Tab_Calculs[[#This Row],[Colonne1]])),Tab_Calculs[[#This Row],[index_date_livraison]]+1,7)*(Tab_Calculs[[#This Row],[fin mois]]-MIN(Tab_Calculs[[#This Row],[fin mois]],Tab_Calculs[[#This Row],[Date_livraison]]))</f>
        <v>#VALUE!</v>
      </c>
      <c r="R211" t="e">
        <f ca="1">Tab_Calculs[[#This Row],[Ratio_Cout_après_livr]]+Tab_Calculs[[#This Row],[Ratio_Cout_avant_livr]]+Tab_Calculs[[#This Row],[Ratio_Cout_avant_debut]]</f>
        <v>#VALUE!</v>
      </c>
      <c r="S211" t="str">
        <f ca="1">IFERROR(N211*VLOOKUP(Tab_Calculs[[#This Row],[Colonne1]],Controle_des_données!$B$7:$G$14,6,FALSE),"")</f>
        <v/>
      </c>
      <c r="T211" t="str">
        <f ca="1">IF(Tab_Calculs[[#This Row],[Combustible ]]="Electricité (kWh)",Tab_Calculs[[#This Row],[Conso_mois_kWh]]*2.3,Tab_Calculs[[#This Row],[Conso_mois_kWh]])</f>
        <v/>
      </c>
      <c r="U211" t="str">
        <f ca="1">IFERROR(N211*VLOOKUP(Tab_Calculs[[#This Row],[Colonne1]],Controle_des_données!$B$7:$H$14,7,FALSE),"")</f>
        <v/>
      </c>
      <c r="V211">
        <f ca="1">IFERROR(Tab_Calculs[[#This Row],[Cout_mois]]/Tab_Calculs[[#This Row],[Conso_mois_kWh]],0)</f>
        <v>0</v>
      </c>
      <c r="W211" t="str">
        <f>T(VLOOKUP(Tab_Calculs[[#This Row],[Compteur]],Site!$B$33:$G$40,3,FALSE))</f>
        <v/>
      </c>
      <c r="X211" t="str">
        <f>T(VLOOKUP(Tab_Calculs[[#This Row],[Compteur]],Site!$B$33:$G$40,4,FALSE))</f>
        <v/>
      </c>
      <c r="Y211" t="str">
        <f>T(VLOOKUP(Tab_Calculs[[#This Row],[Compteur]],Site!$B$33:$G$40,5,FALSE))</f>
        <v/>
      </c>
      <c r="Z211" t="str">
        <f>T(VLOOKUP(Tab_Calculs[[#This Row],[Compteur]],Site!$B$33:$G$40,6,FALSE))</f>
        <v/>
      </c>
      <c r="AA211">
        <f>IFERROR(GETPIVOTDATA("DJU(chauffagiste)",BDD_DJU!$P$13,"annee",Tab_Calculs[[#This Row],[ANNEE]],"mois_numero",Tab_Calculs[[#This Row],[MOIS]]),0)</f>
        <v>320.89999999999998</v>
      </c>
    </row>
    <row r="212" spans="1:27" x14ac:dyDescent="0.25">
      <c r="A212" s="3">
        <f>DATE(Tab_Calculs[[#This Row],[ANNEE]],Tab_Calculs[[#This Row],[MOIS]],1)</f>
        <v>40513</v>
      </c>
      <c r="B212" s="3">
        <f>EDATE(Tab_Calculs[[#This Row],[Début mois]],1)-1</f>
        <v>40543</v>
      </c>
      <c r="C212">
        <v>12</v>
      </c>
      <c r="D212">
        <v>2010</v>
      </c>
      <c r="E212" t="s">
        <v>81</v>
      </c>
      <c r="F212" t="str">
        <f>SUBSTITUTE(Tab_Calculs[[#This Row],[Compteur]]," ","_")</f>
        <v>Compteur_2</v>
      </c>
      <c r="G212" t="str">
        <f>T(INDEX(Site!$B$33:$G$40, MATCH(Tab_Calculs[[#This Row],[Compteur]], Site!$B$33:$B$40,0),2))</f>
        <v/>
      </c>
      <c r="H212" s="3">
        <f t="array" aca="1" ref="H212" ca="1">MIN(IF(INDIRECT(CONCATENATE(Tab_Calculs[[#This Row],[Colonne1]],"!$B$2:$B$243"))&gt;=Calculs_Consos!$A212,INDIRECT(CONCATENATE(Tab_Calculs[[#This Row],[Colonne1]],"!$B$2:$B$243"))))</f>
        <v>0</v>
      </c>
      <c r="I212" s="3" t="e">
        <f ca="1">INDEX(INDIRECT(CONCATENATE("Tab_",Tab_Calculs[[#This Row],[Colonne1]])),Tab_Calculs[[#This Row],[index_date_livraison]],1)</f>
        <v>#NUM!</v>
      </c>
      <c r="J212">
        <f ca="1">MATCH(Tab_Calculs[[#This Row],[Date_livraison]],INDIRECT(CONCATENATE("Tab_",Tab_Calculs[[#This Row],[Colonne1]],"[Fin de période]")),0)</f>
        <v>1</v>
      </c>
      <c r="K212" t="e">
        <f ca="1">INDEX(INDIRECT(CONCATENATE("Tab_",Tab_Calculs[[#This Row],[Colonne1]])),Tab_Calculs[[#This Row],[index_date_livraison]]-1,6)*(MAX(Tab_Calculs[[#This Row],[Début periode livraison]],Tab_Calculs[[#This Row],[Début mois]])-Tab_Calculs[[#This Row],[Début mois]])</f>
        <v>#VALUE!</v>
      </c>
      <c r="L212" s="94" t="e">
        <f ca="1">INDEX(INDIRECT(CONCATENATE("Tab_",Tab_Calculs[[#This Row],[Colonne1]])),Tab_Calculs[[#This Row],[index_date_livraison]],6)*(1+MIN(Tab_Calculs[[#This Row],[Date_livraison]],Tab_Calculs[[#This Row],[fin mois]])-MAX(Tab_Calculs[[#This Row],[Début mois]],Tab_Calculs[[#This Row],[Début periode livraison]]))</f>
        <v>#NUM!</v>
      </c>
      <c r="M212" s="94" t="e">
        <f ca="1">INDEX(INDIRECT(CONCATENATE("Tab_",Tab_Calculs[[#This Row],[Colonne1]])),Tab_Calculs[[#This Row],[index_date_livraison]]+1,6)*(Tab_Calculs[[#This Row],[fin mois]]-MIN(Tab_Calculs[[#This Row],[fin mois]],Tab_Calculs[[#This Row],[Date_livraison]]))</f>
        <v>#VALUE!</v>
      </c>
      <c r="N212" s="231" t="str">
        <f ca="1">IFERROR(Tab_Calculs[[#This Row],[Ratio_jour_après_livr]]+Tab_Calculs[[#This Row],[Ratio_jour_avant_livr]]+Tab_Calculs[[#This Row],[ratio_avant_debut]],"")</f>
        <v/>
      </c>
      <c r="O212" t="e">
        <f ca="1">INDEX(INDIRECT(CONCATENATE("Tab_",Tab_Calculs[[#This Row],[Colonne1]])),Tab_Calculs[[#This Row],[index_date_livraison]]-1,7)*(MAX(Tab_Calculs[[#This Row],[Début periode livraison]],Tab_Calculs[[#This Row],[Début mois]])-Tab_Calculs[[#This Row],[Début mois]])</f>
        <v>#VALUE!</v>
      </c>
      <c r="P212" t="e">
        <f ca="1">INDEX(INDIRECT(CONCATENATE("Tab_",Tab_Calculs[[#This Row],[Colonne1]])),Tab_Calculs[[#This Row],[index_date_livraison]],7)*(1+MIN(Tab_Calculs[[#This Row],[Date_livraison]],Tab_Calculs[[#This Row],[fin mois]])-MAX(Tab_Calculs[[#This Row],[Début mois]],Tab_Calculs[[#This Row],[Début periode livraison]]))</f>
        <v>#NUM!</v>
      </c>
      <c r="Q212" t="e">
        <f ca="1">INDEX(INDIRECT(CONCATENATE("Tab_",Tab_Calculs[[#This Row],[Colonne1]])),Tab_Calculs[[#This Row],[index_date_livraison]]+1,7)*(Tab_Calculs[[#This Row],[fin mois]]-MIN(Tab_Calculs[[#This Row],[fin mois]],Tab_Calculs[[#This Row],[Date_livraison]]))</f>
        <v>#VALUE!</v>
      </c>
      <c r="R212" t="e">
        <f ca="1">Tab_Calculs[[#This Row],[Ratio_Cout_après_livr]]+Tab_Calculs[[#This Row],[Ratio_Cout_avant_livr]]+Tab_Calculs[[#This Row],[Ratio_Cout_avant_debut]]</f>
        <v>#VALUE!</v>
      </c>
      <c r="S212" t="str">
        <f ca="1">IFERROR(N212*VLOOKUP(Tab_Calculs[[#This Row],[Colonne1]],Controle_des_données!$B$7:$G$14,6,FALSE),"")</f>
        <v/>
      </c>
      <c r="T212" t="str">
        <f ca="1">IF(Tab_Calculs[[#This Row],[Combustible ]]="Electricité (kWh)",Tab_Calculs[[#This Row],[Conso_mois_kWh]]*2.3,Tab_Calculs[[#This Row],[Conso_mois_kWh]])</f>
        <v/>
      </c>
      <c r="U212" t="str">
        <f ca="1">IFERROR(N212*VLOOKUP(Tab_Calculs[[#This Row],[Colonne1]],Controle_des_données!$B$7:$H$14,7,FALSE),"")</f>
        <v/>
      </c>
      <c r="V212">
        <f ca="1">IFERROR(Tab_Calculs[[#This Row],[Cout_mois]]/Tab_Calculs[[#This Row],[Conso_mois_kWh]],0)</f>
        <v>0</v>
      </c>
      <c r="W212" t="str">
        <f>T(VLOOKUP(Tab_Calculs[[#This Row],[Compteur]],Site!$B$33:$G$40,3,FALSE))</f>
        <v/>
      </c>
      <c r="X212" t="str">
        <f>T(VLOOKUP(Tab_Calculs[[#This Row],[Compteur]],Site!$B$33:$G$40,4,FALSE))</f>
        <v/>
      </c>
      <c r="Y212" t="str">
        <f>T(VLOOKUP(Tab_Calculs[[#This Row],[Compteur]],Site!$B$33:$G$40,5,FALSE))</f>
        <v/>
      </c>
      <c r="Z212" t="str">
        <f>T(VLOOKUP(Tab_Calculs[[#This Row],[Compteur]],Site!$B$33:$G$40,6,FALSE))</f>
        <v/>
      </c>
      <c r="AA212">
        <f>IFERROR(GETPIVOTDATA("DJU(chauffagiste)",BDD_DJU!$P$13,"annee",Tab_Calculs[[#This Row],[ANNEE]],"mois_numero",Tab_Calculs[[#This Row],[MOIS]]),0)</f>
        <v>500.7</v>
      </c>
    </row>
    <row r="213" spans="1:27" x14ac:dyDescent="0.25">
      <c r="A213" s="3">
        <f>DATE(Tab_Calculs[[#This Row],[ANNEE]],Tab_Calculs[[#This Row],[MOIS]],1)</f>
        <v>40544</v>
      </c>
      <c r="B213" s="3">
        <f>EDATE(Tab_Calculs[[#This Row],[Début mois]],1)-1</f>
        <v>40574</v>
      </c>
      <c r="C213">
        <v>1</v>
      </c>
      <c r="D213">
        <v>2011</v>
      </c>
      <c r="E213" t="s">
        <v>81</v>
      </c>
      <c r="F213" t="str">
        <f>SUBSTITUTE(Tab_Calculs[[#This Row],[Compteur]]," ","_")</f>
        <v>Compteur_2</v>
      </c>
      <c r="G213" t="str">
        <f>T(INDEX(Site!$B$33:$G$40, MATCH(Tab_Calculs[[#This Row],[Compteur]], Site!$B$33:$B$40,0),2))</f>
        <v/>
      </c>
      <c r="H213" s="3">
        <f t="array" aca="1" ref="H213" ca="1">MIN(IF(INDIRECT(CONCATENATE(Tab_Calculs[[#This Row],[Colonne1]],"!$B$2:$B$243"))&gt;=Calculs_Consos!$A213,INDIRECT(CONCATENATE(Tab_Calculs[[#This Row],[Colonne1]],"!$B$2:$B$243"))))</f>
        <v>0</v>
      </c>
      <c r="I213" s="3" t="e">
        <f ca="1">INDEX(INDIRECT(CONCATENATE("Tab_",Tab_Calculs[[#This Row],[Colonne1]])),Tab_Calculs[[#This Row],[index_date_livraison]],1)</f>
        <v>#NUM!</v>
      </c>
      <c r="J213">
        <f ca="1">MATCH(Tab_Calculs[[#This Row],[Date_livraison]],INDIRECT(CONCATENATE("Tab_",Tab_Calculs[[#This Row],[Colonne1]],"[Fin de période]")),0)</f>
        <v>1</v>
      </c>
      <c r="K213" t="e">
        <f ca="1">INDEX(INDIRECT(CONCATENATE("Tab_",Tab_Calculs[[#This Row],[Colonne1]])),Tab_Calculs[[#This Row],[index_date_livraison]]-1,6)*(MAX(Tab_Calculs[[#This Row],[Début periode livraison]],Tab_Calculs[[#This Row],[Début mois]])-Tab_Calculs[[#This Row],[Début mois]])</f>
        <v>#VALUE!</v>
      </c>
      <c r="L213" s="94" t="e">
        <f ca="1">INDEX(INDIRECT(CONCATENATE("Tab_",Tab_Calculs[[#This Row],[Colonne1]])),Tab_Calculs[[#This Row],[index_date_livraison]],6)*(1+MIN(Tab_Calculs[[#This Row],[Date_livraison]],Tab_Calculs[[#This Row],[fin mois]])-MAX(Tab_Calculs[[#This Row],[Début mois]],Tab_Calculs[[#This Row],[Début periode livraison]]))</f>
        <v>#NUM!</v>
      </c>
      <c r="M213" s="94" t="e">
        <f ca="1">INDEX(INDIRECT(CONCATENATE("Tab_",Tab_Calculs[[#This Row],[Colonne1]])),Tab_Calculs[[#This Row],[index_date_livraison]]+1,6)*(Tab_Calculs[[#This Row],[fin mois]]-MIN(Tab_Calculs[[#This Row],[fin mois]],Tab_Calculs[[#This Row],[Date_livraison]]))</f>
        <v>#VALUE!</v>
      </c>
      <c r="N213" s="231" t="str">
        <f ca="1">IFERROR(Tab_Calculs[[#This Row],[Ratio_jour_après_livr]]+Tab_Calculs[[#This Row],[Ratio_jour_avant_livr]]+Tab_Calculs[[#This Row],[ratio_avant_debut]],"")</f>
        <v/>
      </c>
      <c r="O213" t="e">
        <f ca="1">INDEX(INDIRECT(CONCATENATE("Tab_",Tab_Calculs[[#This Row],[Colonne1]])),Tab_Calculs[[#This Row],[index_date_livraison]]-1,7)*(MAX(Tab_Calculs[[#This Row],[Début periode livraison]],Tab_Calculs[[#This Row],[Début mois]])-Tab_Calculs[[#This Row],[Début mois]])</f>
        <v>#VALUE!</v>
      </c>
      <c r="P213" t="e">
        <f ca="1">INDEX(INDIRECT(CONCATENATE("Tab_",Tab_Calculs[[#This Row],[Colonne1]])),Tab_Calculs[[#This Row],[index_date_livraison]],7)*(1+MIN(Tab_Calculs[[#This Row],[Date_livraison]],Tab_Calculs[[#This Row],[fin mois]])-MAX(Tab_Calculs[[#This Row],[Début mois]],Tab_Calculs[[#This Row],[Début periode livraison]]))</f>
        <v>#NUM!</v>
      </c>
      <c r="Q213" t="e">
        <f ca="1">INDEX(INDIRECT(CONCATENATE("Tab_",Tab_Calculs[[#This Row],[Colonne1]])),Tab_Calculs[[#This Row],[index_date_livraison]]+1,7)*(Tab_Calculs[[#This Row],[fin mois]]-MIN(Tab_Calculs[[#This Row],[fin mois]],Tab_Calculs[[#This Row],[Date_livraison]]))</f>
        <v>#VALUE!</v>
      </c>
      <c r="R213" t="e">
        <f ca="1">Tab_Calculs[[#This Row],[Ratio_Cout_après_livr]]+Tab_Calculs[[#This Row],[Ratio_Cout_avant_livr]]+Tab_Calculs[[#This Row],[Ratio_Cout_avant_debut]]</f>
        <v>#VALUE!</v>
      </c>
      <c r="S213" t="str">
        <f ca="1">IFERROR(N213*VLOOKUP(Tab_Calculs[[#This Row],[Colonne1]],Controle_des_données!$B$7:$G$14,6,FALSE),"")</f>
        <v/>
      </c>
      <c r="T213" t="str">
        <f ca="1">IF(Tab_Calculs[[#This Row],[Combustible ]]="Electricité (kWh)",Tab_Calculs[[#This Row],[Conso_mois_kWh]]*2.3,Tab_Calculs[[#This Row],[Conso_mois_kWh]])</f>
        <v/>
      </c>
      <c r="U213" t="str">
        <f ca="1">IFERROR(N213*VLOOKUP(Tab_Calculs[[#This Row],[Colonne1]],Controle_des_données!$B$7:$H$14,7,FALSE),"")</f>
        <v/>
      </c>
      <c r="V213">
        <f ca="1">IFERROR(Tab_Calculs[[#This Row],[Cout_mois]]/Tab_Calculs[[#This Row],[Conso_mois_kWh]],0)</f>
        <v>0</v>
      </c>
      <c r="W213" t="str">
        <f>T(VLOOKUP(Tab_Calculs[[#This Row],[Compteur]],Site!$B$33:$G$40,3,FALSE))</f>
        <v/>
      </c>
      <c r="X213" t="str">
        <f>T(VLOOKUP(Tab_Calculs[[#This Row],[Compteur]],Site!$B$33:$G$40,4,FALSE))</f>
        <v/>
      </c>
      <c r="Y213" t="str">
        <f>T(VLOOKUP(Tab_Calculs[[#This Row],[Compteur]],Site!$B$33:$G$40,5,FALSE))</f>
        <v/>
      </c>
      <c r="Z213" t="str">
        <f>T(VLOOKUP(Tab_Calculs[[#This Row],[Compteur]],Site!$B$33:$G$40,6,FALSE))</f>
        <v/>
      </c>
      <c r="AA213">
        <f>IFERROR(GETPIVOTDATA("DJU(chauffagiste)",BDD_DJU!$P$13,"annee",Tab_Calculs[[#This Row],[ANNEE]],"mois_numero",Tab_Calculs[[#This Row],[MOIS]]),0)</f>
        <v>392.2</v>
      </c>
    </row>
    <row r="214" spans="1:27" x14ac:dyDescent="0.25">
      <c r="A214" s="3">
        <f>DATE(Tab_Calculs[[#This Row],[ANNEE]],Tab_Calculs[[#This Row],[MOIS]],1)</f>
        <v>40575</v>
      </c>
      <c r="B214" s="3">
        <f>EDATE(Tab_Calculs[[#This Row],[Début mois]],1)-1</f>
        <v>40602</v>
      </c>
      <c r="C214">
        <v>2</v>
      </c>
      <c r="D214">
        <v>2011</v>
      </c>
      <c r="E214" t="s">
        <v>81</v>
      </c>
      <c r="F214" t="str">
        <f>SUBSTITUTE(Tab_Calculs[[#This Row],[Compteur]]," ","_")</f>
        <v>Compteur_2</v>
      </c>
      <c r="G214" t="str">
        <f>T(INDEX(Site!$B$33:$G$40, MATCH(Tab_Calculs[[#This Row],[Compteur]], Site!$B$33:$B$40,0),2))</f>
        <v/>
      </c>
      <c r="H214" s="3">
        <f t="array" aca="1" ref="H214" ca="1">MIN(IF(INDIRECT(CONCATENATE(Tab_Calculs[[#This Row],[Colonne1]],"!$B$2:$B$243"))&gt;=Calculs_Consos!$A214,INDIRECT(CONCATENATE(Tab_Calculs[[#This Row],[Colonne1]],"!$B$2:$B$243"))))</f>
        <v>0</v>
      </c>
      <c r="I214" s="3" t="e">
        <f ca="1">INDEX(INDIRECT(CONCATENATE("Tab_",Tab_Calculs[[#This Row],[Colonne1]])),Tab_Calculs[[#This Row],[index_date_livraison]],1)</f>
        <v>#NUM!</v>
      </c>
      <c r="J214">
        <f ca="1">MATCH(Tab_Calculs[[#This Row],[Date_livraison]],INDIRECT(CONCATENATE("Tab_",Tab_Calculs[[#This Row],[Colonne1]],"[Fin de période]")),0)</f>
        <v>1</v>
      </c>
      <c r="K214" t="e">
        <f ca="1">INDEX(INDIRECT(CONCATENATE("Tab_",Tab_Calculs[[#This Row],[Colonne1]])),Tab_Calculs[[#This Row],[index_date_livraison]]-1,6)*(MAX(Tab_Calculs[[#This Row],[Début periode livraison]],Tab_Calculs[[#This Row],[Début mois]])-Tab_Calculs[[#This Row],[Début mois]])</f>
        <v>#VALUE!</v>
      </c>
      <c r="L214" s="94" t="e">
        <f ca="1">INDEX(INDIRECT(CONCATENATE("Tab_",Tab_Calculs[[#This Row],[Colonne1]])),Tab_Calculs[[#This Row],[index_date_livraison]],6)*(1+MIN(Tab_Calculs[[#This Row],[Date_livraison]],Tab_Calculs[[#This Row],[fin mois]])-MAX(Tab_Calculs[[#This Row],[Début mois]],Tab_Calculs[[#This Row],[Début periode livraison]]))</f>
        <v>#NUM!</v>
      </c>
      <c r="M214" s="94" t="e">
        <f ca="1">INDEX(INDIRECT(CONCATENATE("Tab_",Tab_Calculs[[#This Row],[Colonne1]])),Tab_Calculs[[#This Row],[index_date_livraison]]+1,6)*(Tab_Calculs[[#This Row],[fin mois]]-MIN(Tab_Calculs[[#This Row],[fin mois]],Tab_Calculs[[#This Row],[Date_livraison]]))</f>
        <v>#VALUE!</v>
      </c>
      <c r="N214" s="231" t="str">
        <f ca="1">IFERROR(Tab_Calculs[[#This Row],[Ratio_jour_après_livr]]+Tab_Calculs[[#This Row],[Ratio_jour_avant_livr]]+Tab_Calculs[[#This Row],[ratio_avant_debut]],"")</f>
        <v/>
      </c>
      <c r="O214" t="e">
        <f ca="1">INDEX(INDIRECT(CONCATENATE("Tab_",Tab_Calculs[[#This Row],[Colonne1]])),Tab_Calculs[[#This Row],[index_date_livraison]]-1,7)*(MAX(Tab_Calculs[[#This Row],[Début periode livraison]],Tab_Calculs[[#This Row],[Début mois]])-Tab_Calculs[[#This Row],[Début mois]])</f>
        <v>#VALUE!</v>
      </c>
      <c r="P214" t="e">
        <f ca="1">INDEX(INDIRECT(CONCATENATE("Tab_",Tab_Calculs[[#This Row],[Colonne1]])),Tab_Calculs[[#This Row],[index_date_livraison]],7)*(1+MIN(Tab_Calculs[[#This Row],[Date_livraison]],Tab_Calculs[[#This Row],[fin mois]])-MAX(Tab_Calculs[[#This Row],[Début mois]],Tab_Calculs[[#This Row],[Début periode livraison]]))</f>
        <v>#NUM!</v>
      </c>
      <c r="Q214" t="e">
        <f ca="1">INDEX(INDIRECT(CONCATENATE("Tab_",Tab_Calculs[[#This Row],[Colonne1]])),Tab_Calculs[[#This Row],[index_date_livraison]]+1,7)*(Tab_Calculs[[#This Row],[fin mois]]-MIN(Tab_Calculs[[#This Row],[fin mois]],Tab_Calculs[[#This Row],[Date_livraison]]))</f>
        <v>#VALUE!</v>
      </c>
      <c r="R214" t="e">
        <f ca="1">Tab_Calculs[[#This Row],[Ratio_Cout_après_livr]]+Tab_Calculs[[#This Row],[Ratio_Cout_avant_livr]]+Tab_Calculs[[#This Row],[Ratio_Cout_avant_debut]]</f>
        <v>#VALUE!</v>
      </c>
      <c r="S214" t="str">
        <f ca="1">IFERROR(N214*VLOOKUP(Tab_Calculs[[#This Row],[Colonne1]],Controle_des_données!$B$7:$G$14,6,FALSE),"")</f>
        <v/>
      </c>
      <c r="T214" t="str">
        <f ca="1">IF(Tab_Calculs[[#This Row],[Combustible ]]="Electricité (kWh)",Tab_Calculs[[#This Row],[Conso_mois_kWh]]*2.3,Tab_Calculs[[#This Row],[Conso_mois_kWh]])</f>
        <v/>
      </c>
      <c r="U214" t="str">
        <f ca="1">IFERROR(N214*VLOOKUP(Tab_Calculs[[#This Row],[Colonne1]],Controle_des_données!$B$7:$H$14,7,FALSE),"")</f>
        <v/>
      </c>
      <c r="V214">
        <f ca="1">IFERROR(Tab_Calculs[[#This Row],[Cout_mois]]/Tab_Calculs[[#This Row],[Conso_mois_kWh]],0)</f>
        <v>0</v>
      </c>
      <c r="W214" t="str">
        <f>T(VLOOKUP(Tab_Calculs[[#This Row],[Compteur]],Site!$B$33:$G$40,3,FALSE))</f>
        <v/>
      </c>
      <c r="X214" t="str">
        <f>T(VLOOKUP(Tab_Calculs[[#This Row],[Compteur]],Site!$B$33:$G$40,4,FALSE))</f>
        <v/>
      </c>
      <c r="Y214" t="str">
        <f>T(VLOOKUP(Tab_Calculs[[#This Row],[Compteur]],Site!$B$33:$G$40,5,FALSE))</f>
        <v/>
      </c>
      <c r="Z214" t="str">
        <f>T(VLOOKUP(Tab_Calculs[[#This Row],[Compteur]],Site!$B$33:$G$40,6,FALSE))</f>
        <v/>
      </c>
      <c r="AA214">
        <f>IFERROR(GETPIVOTDATA("DJU(chauffagiste)",BDD_DJU!$P$13,"annee",Tab_Calculs[[#This Row],[ANNEE]],"mois_numero",Tab_Calculs[[#This Row],[MOIS]]),0)</f>
        <v>299.10000000000002</v>
      </c>
    </row>
    <row r="215" spans="1:27" x14ac:dyDescent="0.25">
      <c r="A215" s="3">
        <f>DATE(Tab_Calculs[[#This Row],[ANNEE]],Tab_Calculs[[#This Row],[MOIS]],1)</f>
        <v>40603</v>
      </c>
      <c r="B215" s="3">
        <f>EDATE(Tab_Calculs[[#This Row],[Début mois]],1)-1</f>
        <v>40633</v>
      </c>
      <c r="C215">
        <v>3</v>
      </c>
      <c r="D215">
        <v>2011</v>
      </c>
      <c r="E215" t="s">
        <v>81</v>
      </c>
      <c r="F215" t="str">
        <f>SUBSTITUTE(Tab_Calculs[[#This Row],[Compteur]]," ","_")</f>
        <v>Compteur_2</v>
      </c>
      <c r="G215" t="str">
        <f>T(INDEX(Site!$B$33:$G$40, MATCH(Tab_Calculs[[#This Row],[Compteur]], Site!$B$33:$B$40,0),2))</f>
        <v/>
      </c>
      <c r="H215" s="3">
        <f t="array" aca="1" ref="H215" ca="1">MIN(IF(INDIRECT(CONCATENATE(Tab_Calculs[[#This Row],[Colonne1]],"!$B$2:$B$243"))&gt;=Calculs_Consos!$A215,INDIRECT(CONCATENATE(Tab_Calculs[[#This Row],[Colonne1]],"!$B$2:$B$243"))))</f>
        <v>0</v>
      </c>
      <c r="I215" s="3" t="e">
        <f ca="1">INDEX(INDIRECT(CONCATENATE("Tab_",Tab_Calculs[[#This Row],[Colonne1]])),Tab_Calculs[[#This Row],[index_date_livraison]],1)</f>
        <v>#NUM!</v>
      </c>
      <c r="J215">
        <f ca="1">MATCH(Tab_Calculs[[#This Row],[Date_livraison]],INDIRECT(CONCATENATE("Tab_",Tab_Calculs[[#This Row],[Colonne1]],"[Fin de période]")),0)</f>
        <v>1</v>
      </c>
      <c r="K215" t="e">
        <f ca="1">INDEX(INDIRECT(CONCATENATE("Tab_",Tab_Calculs[[#This Row],[Colonne1]])),Tab_Calculs[[#This Row],[index_date_livraison]]-1,6)*(MAX(Tab_Calculs[[#This Row],[Début periode livraison]],Tab_Calculs[[#This Row],[Début mois]])-Tab_Calculs[[#This Row],[Début mois]])</f>
        <v>#VALUE!</v>
      </c>
      <c r="L215" s="94" t="e">
        <f ca="1">INDEX(INDIRECT(CONCATENATE("Tab_",Tab_Calculs[[#This Row],[Colonne1]])),Tab_Calculs[[#This Row],[index_date_livraison]],6)*(1+MIN(Tab_Calculs[[#This Row],[Date_livraison]],Tab_Calculs[[#This Row],[fin mois]])-MAX(Tab_Calculs[[#This Row],[Début mois]],Tab_Calculs[[#This Row],[Début periode livraison]]))</f>
        <v>#NUM!</v>
      </c>
      <c r="M215" s="94" t="e">
        <f ca="1">INDEX(INDIRECT(CONCATENATE("Tab_",Tab_Calculs[[#This Row],[Colonne1]])),Tab_Calculs[[#This Row],[index_date_livraison]]+1,6)*(Tab_Calculs[[#This Row],[fin mois]]-MIN(Tab_Calculs[[#This Row],[fin mois]],Tab_Calculs[[#This Row],[Date_livraison]]))</f>
        <v>#VALUE!</v>
      </c>
      <c r="N215" s="231" t="str">
        <f ca="1">IFERROR(Tab_Calculs[[#This Row],[Ratio_jour_après_livr]]+Tab_Calculs[[#This Row],[Ratio_jour_avant_livr]]+Tab_Calculs[[#This Row],[ratio_avant_debut]],"")</f>
        <v/>
      </c>
      <c r="O215" t="e">
        <f ca="1">INDEX(INDIRECT(CONCATENATE("Tab_",Tab_Calculs[[#This Row],[Colonne1]])),Tab_Calculs[[#This Row],[index_date_livraison]]-1,7)*(MAX(Tab_Calculs[[#This Row],[Début periode livraison]],Tab_Calculs[[#This Row],[Début mois]])-Tab_Calculs[[#This Row],[Début mois]])</f>
        <v>#VALUE!</v>
      </c>
      <c r="P215" t="e">
        <f ca="1">INDEX(INDIRECT(CONCATENATE("Tab_",Tab_Calculs[[#This Row],[Colonne1]])),Tab_Calculs[[#This Row],[index_date_livraison]],7)*(1+MIN(Tab_Calculs[[#This Row],[Date_livraison]],Tab_Calculs[[#This Row],[fin mois]])-MAX(Tab_Calculs[[#This Row],[Début mois]],Tab_Calculs[[#This Row],[Début periode livraison]]))</f>
        <v>#NUM!</v>
      </c>
      <c r="Q215" t="e">
        <f ca="1">INDEX(INDIRECT(CONCATENATE("Tab_",Tab_Calculs[[#This Row],[Colonne1]])),Tab_Calculs[[#This Row],[index_date_livraison]]+1,7)*(Tab_Calculs[[#This Row],[fin mois]]-MIN(Tab_Calculs[[#This Row],[fin mois]],Tab_Calculs[[#This Row],[Date_livraison]]))</f>
        <v>#VALUE!</v>
      </c>
      <c r="R215" t="e">
        <f ca="1">Tab_Calculs[[#This Row],[Ratio_Cout_après_livr]]+Tab_Calculs[[#This Row],[Ratio_Cout_avant_livr]]+Tab_Calculs[[#This Row],[Ratio_Cout_avant_debut]]</f>
        <v>#VALUE!</v>
      </c>
      <c r="S215" t="str">
        <f ca="1">IFERROR(N215*VLOOKUP(Tab_Calculs[[#This Row],[Colonne1]],Controle_des_données!$B$7:$G$14,6,FALSE),"")</f>
        <v/>
      </c>
      <c r="T215" t="str">
        <f ca="1">IF(Tab_Calculs[[#This Row],[Combustible ]]="Electricité (kWh)",Tab_Calculs[[#This Row],[Conso_mois_kWh]]*2.3,Tab_Calculs[[#This Row],[Conso_mois_kWh]])</f>
        <v/>
      </c>
      <c r="U215" t="str">
        <f ca="1">IFERROR(N215*VLOOKUP(Tab_Calculs[[#This Row],[Colonne1]],Controle_des_données!$B$7:$H$14,7,FALSE),"")</f>
        <v/>
      </c>
      <c r="V215">
        <f ca="1">IFERROR(Tab_Calculs[[#This Row],[Cout_mois]]/Tab_Calculs[[#This Row],[Conso_mois_kWh]],0)</f>
        <v>0</v>
      </c>
      <c r="W215" t="str">
        <f>T(VLOOKUP(Tab_Calculs[[#This Row],[Compteur]],Site!$B$33:$G$40,3,FALSE))</f>
        <v/>
      </c>
      <c r="X215" t="str">
        <f>T(VLOOKUP(Tab_Calculs[[#This Row],[Compteur]],Site!$B$33:$G$40,4,FALSE))</f>
        <v/>
      </c>
      <c r="Y215" t="str">
        <f>T(VLOOKUP(Tab_Calculs[[#This Row],[Compteur]],Site!$B$33:$G$40,5,FALSE))</f>
        <v/>
      </c>
      <c r="Z215" t="str">
        <f>T(VLOOKUP(Tab_Calculs[[#This Row],[Compteur]],Site!$B$33:$G$40,6,FALSE))</f>
        <v/>
      </c>
      <c r="AA215">
        <f>IFERROR(GETPIVOTDATA("DJU(chauffagiste)",BDD_DJU!$P$13,"annee",Tab_Calculs[[#This Row],[ANNEE]],"mois_numero",Tab_Calculs[[#This Row],[MOIS]]),0)</f>
        <v>266.5</v>
      </c>
    </row>
    <row r="216" spans="1:27" x14ac:dyDescent="0.25">
      <c r="A216" s="3">
        <f>DATE(Tab_Calculs[[#This Row],[ANNEE]],Tab_Calculs[[#This Row],[MOIS]],1)</f>
        <v>40634</v>
      </c>
      <c r="B216" s="3">
        <f>EDATE(Tab_Calculs[[#This Row],[Début mois]],1)-1</f>
        <v>40663</v>
      </c>
      <c r="C216">
        <v>4</v>
      </c>
      <c r="D216">
        <v>2011</v>
      </c>
      <c r="E216" t="s">
        <v>81</v>
      </c>
      <c r="F216" t="str">
        <f>SUBSTITUTE(Tab_Calculs[[#This Row],[Compteur]]," ","_")</f>
        <v>Compteur_2</v>
      </c>
      <c r="G216" t="str">
        <f>T(INDEX(Site!$B$33:$G$40, MATCH(Tab_Calculs[[#This Row],[Compteur]], Site!$B$33:$B$40,0),2))</f>
        <v/>
      </c>
      <c r="H216" s="3">
        <f t="array" aca="1" ref="H216" ca="1">MIN(IF(INDIRECT(CONCATENATE(Tab_Calculs[[#This Row],[Colonne1]],"!$B$2:$B$243"))&gt;=Calculs_Consos!$A216,INDIRECT(CONCATENATE(Tab_Calculs[[#This Row],[Colonne1]],"!$B$2:$B$243"))))</f>
        <v>0</v>
      </c>
      <c r="I216" s="3" t="e">
        <f ca="1">INDEX(INDIRECT(CONCATENATE("Tab_",Tab_Calculs[[#This Row],[Colonne1]])),Tab_Calculs[[#This Row],[index_date_livraison]],1)</f>
        <v>#NUM!</v>
      </c>
      <c r="J216">
        <f ca="1">MATCH(Tab_Calculs[[#This Row],[Date_livraison]],INDIRECT(CONCATENATE("Tab_",Tab_Calculs[[#This Row],[Colonne1]],"[Fin de période]")),0)</f>
        <v>1</v>
      </c>
      <c r="K216" t="e">
        <f ca="1">INDEX(INDIRECT(CONCATENATE("Tab_",Tab_Calculs[[#This Row],[Colonne1]])),Tab_Calculs[[#This Row],[index_date_livraison]]-1,6)*(MAX(Tab_Calculs[[#This Row],[Début periode livraison]],Tab_Calculs[[#This Row],[Début mois]])-Tab_Calculs[[#This Row],[Début mois]])</f>
        <v>#VALUE!</v>
      </c>
      <c r="L216" s="94" t="e">
        <f ca="1">INDEX(INDIRECT(CONCATENATE("Tab_",Tab_Calculs[[#This Row],[Colonne1]])),Tab_Calculs[[#This Row],[index_date_livraison]],6)*(1+MIN(Tab_Calculs[[#This Row],[Date_livraison]],Tab_Calculs[[#This Row],[fin mois]])-MAX(Tab_Calculs[[#This Row],[Début mois]],Tab_Calculs[[#This Row],[Début periode livraison]]))</f>
        <v>#NUM!</v>
      </c>
      <c r="M216" s="94" t="e">
        <f ca="1">INDEX(INDIRECT(CONCATENATE("Tab_",Tab_Calculs[[#This Row],[Colonne1]])),Tab_Calculs[[#This Row],[index_date_livraison]]+1,6)*(Tab_Calculs[[#This Row],[fin mois]]-MIN(Tab_Calculs[[#This Row],[fin mois]],Tab_Calculs[[#This Row],[Date_livraison]]))</f>
        <v>#VALUE!</v>
      </c>
      <c r="N216" s="231" t="str">
        <f ca="1">IFERROR(Tab_Calculs[[#This Row],[Ratio_jour_après_livr]]+Tab_Calculs[[#This Row],[Ratio_jour_avant_livr]]+Tab_Calculs[[#This Row],[ratio_avant_debut]],"")</f>
        <v/>
      </c>
      <c r="O216" t="e">
        <f ca="1">INDEX(INDIRECT(CONCATENATE("Tab_",Tab_Calculs[[#This Row],[Colonne1]])),Tab_Calculs[[#This Row],[index_date_livraison]]-1,7)*(MAX(Tab_Calculs[[#This Row],[Début periode livraison]],Tab_Calculs[[#This Row],[Début mois]])-Tab_Calculs[[#This Row],[Début mois]])</f>
        <v>#VALUE!</v>
      </c>
      <c r="P216" t="e">
        <f ca="1">INDEX(INDIRECT(CONCATENATE("Tab_",Tab_Calculs[[#This Row],[Colonne1]])),Tab_Calculs[[#This Row],[index_date_livraison]],7)*(1+MIN(Tab_Calculs[[#This Row],[Date_livraison]],Tab_Calculs[[#This Row],[fin mois]])-MAX(Tab_Calculs[[#This Row],[Début mois]],Tab_Calculs[[#This Row],[Début periode livraison]]))</f>
        <v>#NUM!</v>
      </c>
      <c r="Q216" t="e">
        <f ca="1">INDEX(INDIRECT(CONCATENATE("Tab_",Tab_Calculs[[#This Row],[Colonne1]])),Tab_Calculs[[#This Row],[index_date_livraison]]+1,7)*(Tab_Calculs[[#This Row],[fin mois]]-MIN(Tab_Calculs[[#This Row],[fin mois]],Tab_Calculs[[#This Row],[Date_livraison]]))</f>
        <v>#VALUE!</v>
      </c>
      <c r="R216" t="e">
        <f ca="1">Tab_Calculs[[#This Row],[Ratio_Cout_après_livr]]+Tab_Calculs[[#This Row],[Ratio_Cout_avant_livr]]+Tab_Calculs[[#This Row],[Ratio_Cout_avant_debut]]</f>
        <v>#VALUE!</v>
      </c>
      <c r="S216" t="str">
        <f ca="1">IFERROR(N216*VLOOKUP(Tab_Calculs[[#This Row],[Colonne1]],Controle_des_données!$B$7:$G$14,6,FALSE),"")</f>
        <v/>
      </c>
      <c r="T216" t="str">
        <f ca="1">IF(Tab_Calculs[[#This Row],[Combustible ]]="Electricité (kWh)",Tab_Calculs[[#This Row],[Conso_mois_kWh]]*2.3,Tab_Calculs[[#This Row],[Conso_mois_kWh]])</f>
        <v/>
      </c>
      <c r="U216" t="str">
        <f ca="1">IFERROR(N216*VLOOKUP(Tab_Calculs[[#This Row],[Colonne1]],Controle_des_données!$B$7:$H$14,7,FALSE),"")</f>
        <v/>
      </c>
      <c r="V216">
        <f ca="1">IFERROR(Tab_Calculs[[#This Row],[Cout_mois]]/Tab_Calculs[[#This Row],[Conso_mois_kWh]],0)</f>
        <v>0</v>
      </c>
      <c r="W216" t="str">
        <f>T(VLOOKUP(Tab_Calculs[[#This Row],[Compteur]],Site!$B$33:$G$40,3,FALSE))</f>
        <v/>
      </c>
      <c r="X216" t="str">
        <f>T(VLOOKUP(Tab_Calculs[[#This Row],[Compteur]],Site!$B$33:$G$40,4,FALSE))</f>
        <v/>
      </c>
      <c r="Y216" t="str">
        <f>T(VLOOKUP(Tab_Calculs[[#This Row],[Compteur]],Site!$B$33:$G$40,5,FALSE))</f>
        <v/>
      </c>
      <c r="Z216" t="str">
        <f>T(VLOOKUP(Tab_Calculs[[#This Row],[Compteur]],Site!$B$33:$G$40,6,FALSE))</f>
        <v/>
      </c>
      <c r="AA216">
        <f>IFERROR(GETPIVOTDATA("DJU(chauffagiste)",BDD_DJU!$P$13,"annee",Tab_Calculs[[#This Row],[ANNEE]],"mois_numero",Tab_Calculs[[#This Row],[MOIS]]),0)</f>
        <v>136.19999999999999</v>
      </c>
    </row>
    <row r="217" spans="1:27" x14ac:dyDescent="0.25">
      <c r="A217" s="3">
        <f>DATE(Tab_Calculs[[#This Row],[ANNEE]],Tab_Calculs[[#This Row],[MOIS]],1)</f>
        <v>40664</v>
      </c>
      <c r="B217" s="3">
        <f>EDATE(Tab_Calculs[[#This Row],[Début mois]],1)-1</f>
        <v>40694</v>
      </c>
      <c r="C217">
        <v>5</v>
      </c>
      <c r="D217">
        <v>2011</v>
      </c>
      <c r="E217" t="s">
        <v>81</v>
      </c>
      <c r="F217" t="str">
        <f>SUBSTITUTE(Tab_Calculs[[#This Row],[Compteur]]," ","_")</f>
        <v>Compteur_2</v>
      </c>
      <c r="G217" t="str">
        <f>T(INDEX(Site!$B$33:$G$40, MATCH(Tab_Calculs[[#This Row],[Compteur]], Site!$B$33:$B$40,0),2))</f>
        <v/>
      </c>
      <c r="H217" s="3">
        <f t="array" aca="1" ref="H217" ca="1">MIN(IF(INDIRECT(CONCATENATE(Tab_Calculs[[#This Row],[Colonne1]],"!$B$2:$B$243"))&gt;=Calculs_Consos!$A217,INDIRECT(CONCATENATE(Tab_Calculs[[#This Row],[Colonne1]],"!$B$2:$B$243"))))</f>
        <v>0</v>
      </c>
      <c r="I217" s="3" t="e">
        <f ca="1">INDEX(INDIRECT(CONCATENATE("Tab_",Tab_Calculs[[#This Row],[Colonne1]])),Tab_Calculs[[#This Row],[index_date_livraison]],1)</f>
        <v>#NUM!</v>
      </c>
      <c r="J217">
        <f ca="1">MATCH(Tab_Calculs[[#This Row],[Date_livraison]],INDIRECT(CONCATENATE("Tab_",Tab_Calculs[[#This Row],[Colonne1]],"[Fin de période]")),0)</f>
        <v>1</v>
      </c>
      <c r="K217" t="e">
        <f ca="1">INDEX(INDIRECT(CONCATENATE("Tab_",Tab_Calculs[[#This Row],[Colonne1]])),Tab_Calculs[[#This Row],[index_date_livraison]]-1,6)*(MAX(Tab_Calculs[[#This Row],[Début periode livraison]],Tab_Calculs[[#This Row],[Début mois]])-Tab_Calculs[[#This Row],[Début mois]])</f>
        <v>#VALUE!</v>
      </c>
      <c r="L217" s="94" t="e">
        <f ca="1">INDEX(INDIRECT(CONCATENATE("Tab_",Tab_Calculs[[#This Row],[Colonne1]])),Tab_Calculs[[#This Row],[index_date_livraison]],6)*(1+MIN(Tab_Calculs[[#This Row],[Date_livraison]],Tab_Calculs[[#This Row],[fin mois]])-MAX(Tab_Calculs[[#This Row],[Début mois]],Tab_Calculs[[#This Row],[Début periode livraison]]))</f>
        <v>#NUM!</v>
      </c>
      <c r="M217" s="94" t="e">
        <f ca="1">INDEX(INDIRECT(CONCATENATE("Tab_",Tab_Calculs[[#This Row],[Colonne1]])),Tab_Calculs[[#This Row],[index_date_livraison]]+1,6)*(Tab_Calculs[[#This Row],[fin mois]]-MIN(Tab_Calculs[[#This Row],[fin mois]],Tab_Calculs[[#This Row],[Date_livraison]]))</f>
        <v>#VALUE!</v>
      </c>
      <c r="N217" s="231" t="str">
        <f ca="1">IFERROR(Tab_Calculs[[#This Row],[Ratio_jour_après_livr]]+Tab_Calculs[[#This Row],[Ratio_jour_avant_livr]]+Tab_Calculs[[#This Row],[ratio_avant_debut]],"")</f>
        <v/>
      </c>
      <c r="O217" t="e">
        <f ca="1">INDEX(INDIRECT(CONCATENATE("Tab_",Tab_Calculs[[#This Row],[Colonne1]])),Tab_Calculs[[#This Row],[index_date_livraison]]-1,7)*(MAX(Tab_Calculs[[#This Row],[Début periode livraison]],Tab_Calculs[[#This Row],[Début mois]])-Tab_Calculs[[#This Row],[Début mois]])</f>
        <v>#VALUE!</v>
      </c>
      <c r="P217" t="e">
        <f ca="1">INDEX(INDIRECT(CONCATENATE("Tab_",Tab_Calculs[[#This Row],[Colonne1]])),Tab_Calculs[[#This Row],[index_date_livraison]],7)*(1+MIN(Tab_Calculs[[#This Row],[Date_livraison]],Tab_Calculs[[#This Row],[fin mois]])-MAX(Tab_Calculs[[#This Row],[Début mois]],Tab_Calculs[[#This Row],[Début periode livraison]]))</f>
        <v>#NUM!</v>
      </c>
      <c r="Q217" t="e">
        <f ca="1">INDEX(INDIRECT(CONCATENATE("Tab_",Tab_Calculs[[#This Row],[Colonne1]])),Tab_Calculs[[#This Row],[index_date_livraison]]+1,7)*(Tab_Calculs[[#This Row],[fin mois]]-MIN(Tab_Calculs[[#This Row],[fin mois]],Tab_Calculs[[#This Row],[Date_livraison]]))</f>
        <v>#VALUE!</v>
      </c>
      <c r="R217" t="e">
        <f ca="1">Tab_Calculs[[#This Row],[Ratio_Cout_après_livr]]+Tab_Calculs[[#This Row],[Ratio_Cout_avant_livr]]+Tab_Calculs[[#This Row],[Ratio_Cout_avant_debut]]</f>
        <v>#VALUE!</v>
      </c>
      <c r="S217" t="str">
        <f ca="1">IFERROR(N217*VLOOKUP(Tab_Calculs[[#This Row],[Colonne1]],Controle_des_données!$B$7:$G$14,6,FALSE),"")</f>
        <v/>
      </c>
      <c r="T217" t="str">
        <f ca="1">IF(Tab_Calculs[[#This Row],[Combustible ]]="Electricité (kWh)",Tab_Calculs[[#This Row],[Conso_mois_kWh]]*2.3,Tab_Calculs[[#This Row],[Conso_mois_kWh]])</f>
        <v/>
      </c>
      <c r="U217" t="str">
        <f ca="1">IFERROR(N217*VLOOKUP(Tab_Calculs[[#This Row],[Colonne1]],Controle_des_données!$B$7:$H$14,7,FALSE),"")</f>
        <v/>
      </c>
      <c r="V217">
        <f ca="1">IFERROR(Tab_Calculs[[#This Row],[Cout_mois]]/Tab_Calculs[[#This Row],[Conso_mois_kWh]],0)</f>
        <v>0</v>
      </c>
      <c r="W217" t="str">
        <f>T(VLOOKUP(Tab_Calculs[[#This Row],[Compteur]],Site!$B$33:$G$40,3,FALSE))</f>
        <v/>
      </c>
      <c r="X217" t="str">
        <f>T(VLOOKUP(Tab_Calculs[[#This Row],[Compteur]],Site!$B$33:$G$40,4,FALSE))</f>
        <v/>
      </c>
      <c r="Y217" t="str">
        <f>T(VLOOKUP(Tab_Calculs[[#This Row],[Compteur]],Site!$B$33:$G$40,5,FALSE))</f>
        <v/>
      </c>
      <c r="Z217" t="str">
        <f>T(VLOOKUP(Tab_Calculs[[#This Row],[Compteur]],Site!$B$33:$G$40,6,FALSE))</f>
        <v/>
      </c>
      <c r="AA217">
        <f>IFERROR(GETPIVOTDATA("DJU(chauffagiste)",BDD_DJU!$P$13,"annee",Tab_Calculs[[#This Row],[ANNEE]],"mois_numero",Tab_Calculs[[#This Row],[MOIS]]),0)</f>
        <v>91.9</v>
      </c>
    </row>
    <row r="218" spans="1:27" x14ac:dyDescent="0.25">
      <c r="A218" s="3">
        <f>DATE(Tab_Calculs[[#This Row],[ANNEE]],Tab_Calculs[[#This Row],[MOIS]],1)</f>
        <v>40695</v>
      </c>
      <c r="B218" s="3">
        <f>EDATE(Tab_Calculs[[#This Row],[Début mois]],1)-1</f>
        <v>40724</v>
      </c>
      <c r="C218">
        <v>6</v>
      </c>
      <c r="D218">
        <v>2011</v>
      </c>
      <c r="E218" t="s">
        <v>81</v>
      </c>
      <c r="F218" t="str">
        <f>SUBSTITUTE(Tab_Calculs[[#This Row],[Compteur]]," ","_")</f>
        <v>Compteur_2</v>
      </c>
      <c r="G218" t="str">
        <f>T(INDEX(Site!$B$33:$G$40, MATCH(Tab_Calculs[[#This Row],[Compteur]], Site!$B$33:$B$40,0),2))</f>
        <v/>
      </c>
      <c r="H218" s="3">
        <f t="array" aca="1" ref="H218" ca="1">MIN(IF(INDIRECT(CONCATENATE(Tab_Calculs[[#This Row],[Colonne1]],"!$B$2:$B$243"))&gt;=Calculs_Consos!$A218,INDIRECT(CONCATENATE(Tab_Calculs[[#This Row],[Colonne1]],"!$B$2:$B$243"))))</f>
        <v>0</v>
      </c>
      <c r="I218" s="3" t="e">
        <f ca="1">INDEX(INDIRECT(CONCATENATE("Tab_",Tab_Calculs[[#This Row],[Colonne1]])),Tab_Calculs[[#This Row],[index_date_livraison]],1)</f>
        <v>#NUM!</v>
      </c>
      <c r="J218">
        <f ca="1">MATCH(Tab_Calculs[[#This Row],[Date_livraison]],INDIRECT(CONCATENATE("Tab_",Tab_Calculs[[#This Row],[Colonne1]],"[Fin de période]")),0)</f>
        <v>1</v>
      </c>
      <c r="K218" t="e">
        <f ca="1">INDEX(INDIRECT(CONCATENATE("Tab_",Tab_Calculs[[#This Row],[Colonne1]])),Tab_Calculs[[#This Row],[index_date_livraison]]-1,6)*(MAX(Tab_Calculs[[#This Row],[Début periode livraison]],Tab_Calculs[[#This Row],[Début mois]])-Tab_Calculs[[#This Row],[Début mois]])</f>
        <v>#VALUE!</v>
      </c>
      <c r="L218" s="94" t="e">
        <f ca="1">INDEX(INDIRECT(CONCATENATE("Tab_",Tab_Calculs[[#This Row],[Colonne1]])),Tab_Calculs[[#This Row],[index_date_livraison]],6)*(1+MIN(Tab_Calculs[[#This Row],[Date_livraison]],Tab_Calculs[[#This Row],[fin mois]])-MAX(Tab_Calculs[[#This Row],[Début mois]],Tab_Calculs[[#This Row],[Début periode livraison]]))</f>
        <v>#NUM!</v>
      </c>
      <c r="M218" s="94" t="e">
        <f ca="1">INDEX(INDIRECT(CONCATENATE("Tab_",Tab_Calculs[[#This Row],[Colonne1]])),Tab_Calculs[[#This Row],[index_date_livraison]]+1,6)*(Tab_Calculs[[#This Row],[fin mois]]-MIN(Tab_Calculs[[#This Row],[fin mois]],Tab_Calculs[[#This Row],[Date_livraison]]))</f>
        <v>#VALUE!</v>
      </c>
      <c r="N218" s="231" t="str">
        <f ca="1">IFERROR(Tab_Calculs[[#This Row],[Ratio_jour_après_livr]]+Tab_Calculs[[#This Row],[Ratio_jour_avant_livr]]+Tab_Calculs[[#This Row],[ratio_avant_debut]],"")</f>
        <v/>
      </c>
      <c r="O218" t="e">
        <f ca="1">INDEX(INDIRECT(CONCATENATE("Tab_",Tab_Calculs[[#This Row],[Colonne1]])),Tab_Calculs[[#This Row],[index_date_livraison]]-1,7)*(MAX(Tab_Calculs[[#This Row],[Début periode livraison]],Tab_Calculs[[#This Row],[Début mois]])-Tab_Calculs[[#This Row],[Début mois]])</f>
        <v>#VALUE!</v>
      </c>
      <c r="P218" t="e">
        <f ca="1">INDEX(INDIRECT(CONCATENATE("Tab_",Tab_Calculs[[#This Row],[Colonne1]])),Tab_Calculs[[#This Row],[index_date_livraison]],7)*(1+MIN(Tab_Calculs[[#This Row],[Date_livraison]],Tab_Calculs[[#This Row],[fin mois]])-MAX(Tab_Calculs[[#This Row],[Début mois]],Tab_Calculs[[#This Row],[Début periode livraison]]))</f>
        <v>#NUM!</v>
      </c>
      <c r="Q218" t="e">
        <f ca="1">INDEX(INDIRECT(CONCATENATE("Tab_",Tab_Calculs[[#This Row],[Colonne1]])),Tab_Calculs[[#This Row],[index_date_livraison]]+1,7)*(Tab_Calculs[[#This Row],[fin mois]]-MIN(Tab_Calculs[[#This Row],[fin mois]],Tab_Calculs[[#This Row],[Date_livraison]]))</f>
        <v>#VALUE!</v>
      </c>
      <c r="R218" t="e">
        <f ca="1">Tab_Calculs[[#This Row],[Ratio_Cout_après_livr]]+Tab_Calculs[[#This Row],[Ratio_Cout_avant_livr]]+Tab_Calculs[[#This Row],[Ratio_Cout_avant_debut]]</f>
        <v>#VALUE!</v>
      </c>
      <c r="S218" t="str">
        <f ca="1">IFERROR(N218*VLOOKUP(Tab_Calculs[[#This Row],[Colonne1]],Controle_des_données!$B$7:$G$14,6,FALSE),"")</f>
        <v/>
      </c>
      <c r="T218" t="str">
        <f ca="1">IF(Tab_Calculs[[#This Row],[Combustible ]]="Electricité (kWh)",Tab_Calculs[[#This Row],[Conso_mois_kWh]]*2.3,Tab_Calculs[[#This Row],[Conso_mois_kWh]])</f>
        <v/>
      </c>
      <c r="U218" t="str">
        <f ca="1">IFERROR(N218*VLOOKUP(Tab_Calculs[[#This Row],[Colonne1]],Controle_des_données!$B$7:$H$14,7,FALSE),"")</f>
        <v/>
      </c>
      <c r="V218">
        <f ca="1">IFERROR(Tab_Calculs[[#This Row],[Cout_mois]]/Tab_Calculs[[#This Row],[Conso_mois_kWh]],0)</f>
        <v>0</v>
      </c>
      <c r="W218" t="str">
        <f>T(VLOOKUP(Tab_Calculs[[#This Row],[Compteur]],Site!$B$33:$G$40,3,FALSE))</f>
        <v/>
      </c>
      <c r="X218" t="str">
        <f>T(VLOOKUP(Tab_Calculs[[#This Row],[Compteur]],Site!$B$33:$G$40,4,FALSE))</f>
        <v/>
      </c>
      <c r="Y218" t="str">
        <f>T(VLOOKUP(Tab_Calculs[[#This Row],[Compteur]],Site!$B$33:$G$40,5,FALSE))</f>
        <v/>
      </c>
      <c r="Z218" t="str">
        <f>T(VLOOKUP(Tab_Calculs[[#This Row],[Compteur]],Site!$B$33:$G$40,6,FALSE))</f>
        <v/>
      </c>
      <c r="AA218">
        <f>IFERROR(GETPIVOTDATA("DJU(chauffagiste)",BDD_DJU!$P$13,"annee",Tab_Calculs[[#This Row],[ANNEE]],"mois_numero",Tab_Calculs[[#This Row],[MOIS]]),0)</f>
        <v>55.8</v>
      </c>
    </row>
    <row r="219" spans="1:27" x14ac:dyDescent="0.25">
      <c r="A219" s="3">
        <f>DATE(Tab_Calculs[[#This Row],[ANNEE]],Tab_Calculs[[#This Row],[MOIS]],1)</f>
        <v>40725</v>
      </c>
      <c r="B219" s="3">
        <f>EDATE(Tab_Calculs[[#This Row],[Début mois]],1)-1</f>
        <v>40755</v>
      </c>
      <c r="C219">
        <v>7</v>
      </c>
      <c r="D219">
        <v>2011</v>
      </c>
      <c r="E219" t="s">
        <v>81</v>
      </c>
      <c r="F219" t="str">
        <f>SUBSTITUTE(Tab_Calculs[[#This Row],[Compteur]]," ","_")</f>
        <v>Compteur_2</v>
      </c>
      <c r="G219" t="str">
        <f>T(INDEX(Site!$B$33:$G$40, MATCH(Tab_Calculs[[#This Row],[Compteur]], Site!$B$33:$B$40,0),2))</f>
        <v/>
      </c>
      <c r="H219" s="3">
        <f t="array" aca="1" ref="H219" ca="1">MIN(IF(INDIRECT(CONCATENATE(Tab_Calculs[[#This Row],[Colonne1]],"!$B$2:$B$243"))&gt;=Calculs_Consos!$A219,INDIRECT(CONCATENATE(Tab_Calculs[[#This Row],[Colonne1]],"!$B$2:$B$243"))))</f>
        <v>0</v>
      </c>
      <c r="I219" s="3" t="e">
        <f ca="1">INDEX(INDIRECT(CONCATENATE("Tab_",Tab_Calculs[[#This Row],[Colonne1]])),Tab_Calculs[[#This Row],[index_date_livraison]],1)</f>
        <v>#NUM!</v>
      </c>
      <c r="J219">
        <f ca="1">MATCH(Tab_Calculs[[#This Row],[Date_livraison]],INDIRECT(CONCATENATE("Tab_",Tab_Calculs[[#This Row],[Colonne1]],"[Fin de période]")),0)</f>
        <v>1</v>
      </c>
      <c r="K219" t="e">
        <f ca="1">INDEX(INDIRECT(CONCATENATE("Tab_",Tab_Calculs[[#This Row],[Colonne1]])),Tab_Calculs[[#This Row],[index_date_livraison]]-1,6)*(MAX(Tab_Calculs[[#This Row],[Début periode livraison]],Tab_Calculs[[#This Row],[Début mois]])-Tab_Calculs[[#This Row],[Début mois]])</f>
        <v>#VALUE!</v>
      </c>
      <c r="L219" s="94" t="e">
        <f ca="1">INDEX(INDIRECT(CONCATENATE("Tab_",Tab_Calculs[[#This Row],[Colonne1]])),Tab_Calculs[[#This Row],[index_date_livraison]],6)*(1+MIN(Tab_Calculs[[#This Row],[Date_livraison]],Tab_Calculs[[#This Row],[fin mois]])-MAX(Tab_Calculs[[#This Row],[Début mois]],Tab_Calculs[[#This Row],[Début periode livraison]]))</f>
        <v>#NUM!</v>
      </c>
      <c r="M219" s="94" t="e">
        <f ca="1">INDEX(INDIRECT(CONCATENATE("Tab_",Tab_Calculs[[#This Row],[Colonne1]])),Tab_Calculs[[#This Row],[index_date_livraison]]+1,6)*(Tab_Calculs[[#This Row],[fin mois]]-MIN(Tab_Calculs[[#This Row],[fin mois]],Tab_Calculs[[#This Row],[Date_livraison]]))</f>
        <v>#VALUE!</v>
      </c>
      <c r="N219" s="231" t="str">
        <f ca="1">IFERROR(Tab_Calculs[[#This Row],[Ratio_jour_après_livr]]+Tab_Calculs[[#This Row],[Ratio_jour_avant_livr]]+Tab_Calculs[[#This Row],[ratio_avant_debut]],"")</f>
        <v/>
      </c>
      <c r="O219" t="e">
        <f ca="1">INDEX(INDIRECT(CONCATENATE("Tab_",Tab_Calculs[[#This Row],[Colonne1]])),Tab_Calculs[[#This Row],[index_date_livraison]]-1,7)*(MAX(Tab_Calculs[[#This Row],[Début periode livraison]],Tab_Calculs[[#This Row],[Début mois]])-Tab_Calculs[[#This Row],[Début mois]])</f>
        <v>#VALUE!</v>
      </c>
      <c r="P219" t="e">
        <f ca="1">INDEX(INDIRECT(CONCATENATE("Tab_",Tab_Calculs[[#This Row],[Colonne1]])),Tab_Calculs[[#This Row],[index_date_livraison]],7)*(1+MIN(Tab_Calculs[[#This Row],[Date_livraison]],Tab_Calculs[[#This Row],[fin mois]])-MAX(Tab_Calculs[[#This Row],[Début mois]],Tab_Calculs[[#This Row],[Début periode livraison]]))</f>
        <v>#NUM!</v>
      </c>
      <c r="Q219" t="e">
        <f ca="1">INDEX(INDIRECT(CONCATENATE("Tab_",Tab_Calculs[[#This Row],[Colonne1]])),Tab_Calculs[[#This Row],[index_date_livraison]]+1,7)*(Tab_Calculs[[#This Row],[fin mois]]-MIN(Tab_Calculs[[#This Row],[fin mois]],Tab_Calculs[[#This Row],[Date_livraison]]))</f>
        <v>#VALUE!</v>
      </c>
      <c r="R219" t="e">
        <f ca="1">Tab_Calculs[[#This Row],[Ratio_Cout_après_livr]]+Tab_Calculs[[#This Row],[Ratio_Cout_avant_livr]]+Tab_Calculs[[#This Row],[Ratio_Cout_avant_debut]]</f>
        <v>#VALUE!</v>
      </c>
      <c r="S219" t="str">
        <f ca="1">IFERROR(N219*VLOOKUP(Tab_Calculs[[#This Row],[Colonne1]],Controle_des_données!$B$7:$G$14,6,FALSE),"")</f>
        <v/>
      </c>
      <c r="T219" t="str">
        <f ca="1">IF(Tab_Calculs[[#This Row],[Combustible ]]="Electricité (kWh)",Tab_Calculs[[#This Row],[Conso_mois_kWh]]*2.3,Tab_Calculs[[#This Row],[Conso_mois_kWh]])</f>
        <v/>
      </c>
      <c r="U219" t="str">
        <f ca="1">IFERROR(N219*VLOOKUP(Tab_Calculs[[#This Row],[Colonne1]],Controle_des_données!$B$7:$H$14,7,FALSE),"")</f>
        <v/>
      </c>
      <c r="V219">
        <f ca="1">IFERROR(Tab_Calculs[[#This Row],[Cout_mois]]/Tab_Calculs[[#This Row],[Conso_mois_kWh]],0)</f>
        <v>0</v>
      </c>
      <c r="W219" t="str">
        <f>T(VLOOKUP(Tab_Calculs[[#This Row],[Compteur]],Site!$B$33:$G$40,3,FALSE))</f>
        <v/>
      </c>
      <c r="X219" t="str">
        <f>T(VLOOKUP(Tab_Calculs[[#This Row],[Compteur]],Site!$B$33:$G$40,4,FALSE))</f>
        <v/>
      </c>
      <c r="Y219" t="str">
        <f>T(VLOOKUP(Tab_Calculs[[#This Row],[Compteur]],Site!$B$33:$G$40,5,FALSE))</f>
        <v/>
      </c>
      <c r="Z219" t="str">
        <f>T(VLOOKUP(Tab_Calculs[[#This Row],[Compteur]],Site!$B$33:$G$40,6,FALSE))</f>
        <v/>
      </c>
      <c r="AA219">
        <f>IFERROR(GETPIVOTDATA("DJU(chauffagiste)",BDD_DJU!$P$13,"annee",Tab_Calculs[[#This Row],[ANNEE]],"mois_numero",Tab_Calculs[[#This Row],[MOIS]]),0)</f>
        <v>50.8</v>
      </c>
    </row>
    <row r="220" spans="1:27" x14ac:dyDescent="0.25">
      <c r="A220" s="3">
        <f>DATE(Tab_Calculs[[#This Row],[ANNEE]],Tab_Calculs[[#This Row],[MOIS]],1)</f>
        <v>40756</v>
      </c>
      <c r="B220" s="3">
        <f>EDATE(Tab_Calculs[[#This Row],[Début mois]],1)-1</f>
        <v>40786</v>
      </c>
      <c r="C220">
        <v>8</v>
      </c>
      <c r="D220">
        <v>2011</v>
      </c>
      <c r="E220" t="s">
        <v>81</v>
      </c>
      <c r="F220" t="str">
        <f>SUBSTITUTE(Tab_Calculs[[#This Row],[Compteur]]," ","_")</f>
        <v>Compteur_2</v>
      </c>
      <c r="G220" t="str">
        <f>T(INDEX(Site!$B$33:$G$40, MATCH(Tab_Calculs[[#This Row],[Compteur]], Site!$B$33:$B$40,0),2))</f>
        <v/>
      </c>
      <c r="H220" s="3">
        <f t="array" aca="1" ref="H220" ca="1">MIN(IF(INDIRECT(CONCATENATE(Tab_Calculs[[#This Row],[Colonne1]],"!$B$2:$B$243"))&gt;=Calculs_Consos!$A220,INDIRECT(CONCATENATE(Tab_Calculs[[#This Row],[Colonne1]],"!$B$2:$B$243"))))</f>
        <v>0</v>
      </c>
      <c r="I220" s="3" t="e">
        <f ca="1">INDEX(INDIRECT(CONCATENATE("Tab_",Tab_Calculs[[#This Row],[Colonne1]])),Tab_Calculs[[#This Row],[index_date_livraison]],1)</f>
        <v>#NUM!</v>
      </c>
      <c r="J220">
        <f ca="1">MATCH(Tab_Calculs[[#This Row],[Date_livraison]],INDIRECT(CONCATENATE("Tab_",Tab_Calculs[[#This Row],[Colonne1]],"[Fin de période]")),0)</f>
        <v>1</v>
      </c>
      <c r="K220" t="e">
        <f ca="1">INDEX(INDIRECT(CONCATENATE("Tab_",Tab_Calculs[[#This Row],[Colonne1]])),Tab_Calculs[[#This Row],[index_date_livraison]]-1,6)*(MAX(Tab_Calculs[[#This Row],[Début periode livraison]],Tab_Calculs[[#This Row],[Début mois]])-Tab_Calculs[[#This Row],[Début mois]])</f>
        <v>#VALUE!</v>
      </c>
      <c r="L220" s="94" t="e">
        <f ca="1">INDEX(INDIRECT(CONCATENATE("Tab_",Tab_Calculs[[#This Row],[Colonne1]])),Tab_Calculs[[#This Row],[index_date_livraison]],6)*(1+MIN(Tab_Calculs[[#This Row],[Date_livraison]],Tab_Calculs[[#This Row],[fin mois]])-MAX(Tab_Calculs[[#This Row],[Début mois]],Tab_Calculs[[#This Row],[Début periode livraison]]))</f>
        <v>#NUM!</v>
      </c>
      <c r="M220" s="94" t="e">
        <f ca="1">INDEX(INDIRECT(CONCATENATE("Tab_",Tab_Calculs[[#This Row],[Colonne1]])),Tab_Calculs[[#This Row],[index_date_livraison]]+1,6)*(Tab_Calculs[[#This Row],[fin mois]]-MIN(Tab_Calculs[[#This Row],[fin mois]],Tab_Calculs[[#This Row],[Date_livraison]]))</f>
        <v>#VALUE!</v>
      </c>
      <c r="N220" s="231" t="str">
        <f ca="1">IFERROR(Tab_Calculs[[#This Row],[Ratio_jour_après_livr]]+Tab_Calculs[[#This Row],[Ratio_jour_avant_livr]]+Tab_Calculs[[#This Row],[ratio_avant_debut]],"")</f>
        <v/>
      </c>
      <c r="O220" t="e">
        <f ca="1">INDEX(INDIRECT(CONCATENATE("Tab_",Tab_Calculs[[#This Row],[Colonne1]])),Tab_Calculs[[#This Row],[index_date_livraison]]-1,7)*(MAX(Tab_Calculs[[#This Row],[Début periode livraison]],Tab_Calculs[[#This Row],[Début mois]])-Tab_Calculs[[#This Row],[Début mois]])</f>
        <v>#VALUE!</v>
      </c>
      <c r="P220" t="e">
        <f ca="1">INDEX(INDIRECT(CONCATENATE("Tab_",Tab_Calculs[[#This Row],[Colonne1]])),Tab_Calculs[[#This Row],[index_date_livraison]],7)*(1+MIN(Tab_Calculs[[#This Row],[Date_livraison]],Tab_Calculs[[#This Row],[fin mois]])-MAX(Tab_Calculs[[#This Row],[Début mois]],Tab_Calculs[[#This Row],[Début periode livraison]]))</f>
        <v>#NUM!</v>
      </c>
      <c r="Q220" t="e">
        <f ca="1">INDEX(INDIRECT(CONCATENATE("Tab_",Tab_Calculs[[#This Row],[Colonne1]])),Tab_Calculs[[#This Row],[index_date_livraison]]+1,7)*(Tab_Calculs[[#This Row],[fin mois]]-MIN(Tab_Calculs[[#This Row],[fin mois]],Tab_Calculs[[#This Row],[Date_livraison]]))</f>
        <v>#VALUE!</v>
      </c>
      <c r="R220" t="e">
        <f ca="1">Tab_Calculs[[#This Row],[Ratio_Cout_après_livr]]+Tab_Calculs[[#This Row],[Ratio_Cout_avant_livr]]+Tab_Calculs[[#This Row],[Ratio_Cout_avant_debut]]</f>
        <v>#VALUE!</v>
      </c>
      <c r="S220" t="str">
        <f ca="1">IFERROR(N220*VLOOKUP(Tab_Calculs[[#This Row],[Colonne1]],Controle_des_données!$B$7:$G$14,6,FALSE),"")</f>
        <v/>
      </c>
      <c r="T220" t="str">
        <f ca="1">IF(Tab_Calculs[[#This Row],[Combustible ]]="Electricité (kWh)",Tab_Calculs[[#This Row],[Conso_mois_kWh]]*2.3,Tab_Calculs[[#This Row],[Conso_mois_kWh]])</f>
        <v/>
      </c>
      <c r="U220" t="str">
        <f ca="1">IFERROR(N220*VLOOKUP(Tab_Calculs[[#This Row],[Colonne1]],Controle_des_données!$B$7:$H$14,7,FALSE),"")</f>
        <v/>
      </c>
      <c r="V220">
        <f ca="1">IFERROR(Tab_Calculs[[#This Row],[Cout_mois]]/Tab_Calculs[[#This Row],[Conso_mois_kWh]],0)</f>
        <v>0</v>
      </c>
      <c r="W220" t="str">
        <f>T(VLOOKUP(Tab_Calculs[[#This Row],[Compteur]],Site!$B$33:$G$40,3,FALSE))</f>
        <v/>
      </c>
      <c r="X220" t="str">
        <f>T(VLOOKUP(Tab_Calculs[[#This Row],[Compteur]],Site!$B$33:$G$40,4,FALSE))</f>
        <v/>
      </c>
      <c r="Y220" t="str">
        <f>T(VLOOKUP(Tab_Calculs[[#This Row],[Compteur]],Site!$B$33:$G$40,5,FALSE))</f>
        <v/>
      </c>
      <c r="Z220" t="str">
        <f>T(VLOOKUP(Tab_Calculs[[#This Row],[Compteur]],Site!$B$33:$G$40,6,FALSE))</f>
        <v/>
      </c>
      <c r="AA220">
        <f>IFERROR(GETPIVOTDATA("DJU(chauffagiste)",BDD_DJU!$P$13,"annee",Tab_Calculs[[#This Row],[ANNEE]],"mois_numero",Tab_Calculs[[#This Row],[MOIS]]),0)</f>
        <v>34.700000000000003</v>
      </c>
    </row>
    <row r="221" spans="1:27" x14ac:dyDescent="0.25">
      <c r="A221" s="3">
        <f>DATE(Tab_Calculs[[#This Row],[ANNEE]],Tab_Calculs[[#This Row],[MOIS]],1)</f>
        <v>40787</v>
      </c>
      <c r="B221" s="3">
        <f>EDATE(Tab_Calculs[[#This Row],[Début mois]],1)-1</f>
        <v>40816</v>
      </c>
      <c r="C221">
        <v>9</v>
      </c>
      <c r="D221">
        <v>2011</v>
      </c>
      <c r="E221" t="s">
        <v>81</v>
      </c>
      <c r="F221" t="str">
        <f>SUBSTITUTE(Tab_Calculs[[#This Row],[Compteur]]," ","_")</f>
        <v>Compteur_2</v>
      </c>
      <c r="G221" t="str">
        <f>T(INDEX(Site!$B$33:$G$40, MATCH(Tab_Calculs[[#This Row],[Compteur]], Site!$B$33:$B$40,0),2))</f>
        <v/>
      </c>
      <c r="H221" s="3">
        <f t="array" aca="1" ref="H221" ca="1">MIN(IF(INDIRECT(CONCATENATE(Tab_Calculs[[#This Row],[Colonne1]],"!$B$2:$B$243"))&gt;=Calculs_Consos!$A221,INDIRECT(CONCATENATE(Tab_Calculs[[#This Row],[Colonne1]],"!$B$2:$B$243"))))</f>
        <v>0</v>
      </c>
      <c r="I221" s="3" t="e">
        <f ca="1">INDEX(INDIRECT(CONCATENATE("Tab_",Tab_Calculs[[#This Row],[Colonne1]])),Tab_Calculs[[#This Row],[index_date_livraison]],1)</f>
        <v>#NUM!</v>
      </c>
      <c r="J221">
        <f ca="1">MATCH(Tab_Calculs[[#This Row],[Date_livraison]],INDIRECT(CONCATENATE("Tab_",Tab_Calculs[[#This Row],[Colonne1]],"[Fin de période]")),0)</f>
        <v>1</v>
      </c>
      <c r="K221" t="e">
        <f ca="1">INDEX(INDIRECT(CONCATENATE("Tab_",Tab_Calculs[[#This Row],[Colonne1]])),Tab_Calculs[[#This Row],[index_date_livraison]]-1,6)*(MAX(Tab_Calculs[[#This Row],[Début periode livraison]],Tab_Calculs[[#This Row],[Début mois]])-Tab_Calculs[[#This Row],[Début mois]])</f>
        <v>#VALUE!</v>
      </c>
      <c r="L221" s="94" t="e">
        <f ca="1">INDEX(INDIRECT(CONCATENATE("Tab_",Tab_Calculs[[#This Row],[Colonne1]])),Tab_Calculs[[#This Row],[index_date_livraison]],6)*(1+MIN(Tab_Calculs[[#This Row],[Date_livraison]],Tab_Calculs[[#This Row],[fin mois]])-MAX(Tab_Calculs[[#This Row],[Début mois]],Tab_Calculs[[#This Row],[Début periode livraison]]))</f>
        <v>#NUM!</v>
      </c>
      <c r="M221" s="94" t="e">
        <f ca="1">INDEX(INDIRECT(CONCATENATE("Tab_",Tab_Calculs[[#This Row],[Colonne1]])),Tab_Calculs[[#This Row],[index_date_livraison]]+1,6)*(Tab_Calculs[[#This Row],[fin mois]]-MIN(Tab_Calculs[[#This Row],[fin mois]],Tab_Calculs[[#This Row],[Date_livraison]]))</f>
        <v>#VALUE!</v>
      </c>
      <c r="N221" s="231" t="str">
        <f ca="1">IFERROR(Tab_Calculs[[#This Row],[Ratio_jour_après_livr]]+Tab_Calculs[[#This Row],[Ratio_jour_avant_livr]]+Tab_Calculs[[#This Row],[ratio_avant_debut]],"")</f>
        <v/>
      </c>
      <c r="O221" t="e">
        <f ca="1">INDEX(INDIRECT(CONCATENATE("Tab_",Tab_Calculs[[#This Row],[Colonne1]])),Tab_Calculs[[#This Row],[index_date_livraison]]-1,7)*(MAX(Tab_Calculs[[#This Row],[Début periode livraison]],Tab_Calculs[[#This Row],[Début mois]])-Tab_Calculs[[#This Row],[Début mois]])</f>
        <v>#VALUE!</v>
      </c>
      <c r="P221" t="e">
        <f ca="1">INDEX(INDIRECT(CONCATENATE("Tab_",Tab_Calculs[[#This Row],[Colonne1]])),Tab_Calculs[[#This Row],[index_date_livraison]],7)*(1+MIN(Tab_Calculs[[#This Row],[Date_livraison]],Tab_Calculs[[#This Row],[fin mois]])-MAX(Tab_Calculs[[#This Row],[Début mois]],Tab_Calculs[[#This Row],[Début periode livraison]]))</f>
        <v>#NUM!</v>
      </c>
      <c r="Q221" t="e">
        <f ca="1">INDEX(INDIRECT(CONCATENATE("Tab_",Tab_Calculs[[#This Row],[Colonne1]])),Tab_Calculs[[#This Row],[index_date_livraison]]+1,7)*(Tab_Calculs[[#This Row],[fin mois]]-MIN(Tab_Calculs[[#This Row],[fin mois]],Tab_Calculs[[#This Row],[Date_livraison]]))</f>
        <v>#VALUE!</v>
      </c>
      <c r="R221" t="e">
        <f ca="1">Tab_Calculs[[#This Row],[Ratio_Cout_après_livr]]+Tab_Calculs[[#This Row],[Ratio_Cout_avant_livr]]+Tab_Calculs[[#This Row],[Ratio_Cout_avant_debut]]</f>
        <v>#VALUE!</v>
      </c>
      <c r="S221" t="str">
        <f ca="1">IFERROR(N221*VLOOKUP(Tab_Calculs[[#This Row],[Colonne1]],Controle_des_données!$B$7:$G$14,6,FALSE),"")</f>
        <v/>
      </c>
      <c r="T221" t="str">
        <f ca="1">IF(Tab_Calculs[[#This Row],[Combustible ]]="Electricité (kWh)",Tab_Calculs[[#This Row],[Conso_mois_kWh]]*2.3,Tab_Calculs[[#This Row],[Conso_mois_kWh]])</f>
        <v/>
      </c>
      <c r="U221" t="str">
        <f ca="1">IFERROR(N221*VLOOKUP(Tab_Calculs[[#This Row],[Colonne1]],Controle_des_données!$B$7:$H$14,7,FALSE),"")</f>
        <v/>
      </c>
      <c r="V221">
        <f ca="1">IFERROR(Tab_Calculs[[#This Row],[Cout_mois]]/Tab_Calculs[[#This Row],[Conso_mois_kWh]],0)</f>
        <v>0</v>
      </c>
      <c r="W221" t="str">
        <f>T(VLOOKUP(Tab_Calculs[[#This Row],[Compteur]],Site!$B$33:$G$40,3,FALSE))</f>
        <v/>
      </c>
      <c r="X221" t="str">
        <f>T(VLOOKUP(Tab_Calculs[[#This Row],[Compteur]],Site!$B$33:$G$40,4,FALSE))</f>
        <v/>
      </c>
      <c r="Y221" t="str">
        <f>T(VLOOKUP(Tab_Calculs[[#This Row],[Compteur]],Site!$B$33:$G$40,5,FALSE))</f>
        <v/>
      </c>
      <c r="Z221" t="str">
        <f>T(VLOOKUP(Tab_Calculs[[#This Row],[Compteur]],Site!$B$33:$G$40,6,FALSE))</f>
        <v/>
      </c>
      <c r="AA221">
        <f>IFERROR(GETPIVOTDATA("DJU(chauffagiste)",BDD_DJU!$P$13,"annee",Tab_Calculs[[#This Row],[ANNEE]],"mois_numero",Tab_Calculs[[#This Row],[MOIS]]),0)</f>
        <v>51.3</v>
      </c>
    </row>
    <row r="222" spans="1:27" x14ac:dyDescent="0.25">
      <c r="A222" s="3">
        <f>DATE(Tab_Calculs[[#This Row],[ANNEE]],Tab_Calculs[[#This Row],[MOIS]],1)</f>
        <v>40817</v>
      </c>
      <c r="B222" s="3">
        <f>EDATE(Tab_Calculs[[#This Row],[Début mois]],1)-1</f>
        <v>40847</v>
      </c>
      <c r="C222">
        <v>10</v>
      </c>
      <c r="D222">
        <v>2011</v>
      </c>
      <c r="E222" t="s">
        <v>81</v>
      </c>
      <c r="F222" t="str">
        <f>SUBSTITUTE(Tab_Calculs[[#This Row],[Compteur]]," ","_")</f>
        <v>Compteur_2</v>
      </c>
      <c r="G222" t="str">
        <f>T(INDEX(Site!$B$33:$G$40, MATCH(Tab_Calculs[[#This Row],[Compteur]], Site!$B$33:$B$40,0),2))</f>
        <v/>
      </c>
      <c r="H222" s="3">
        <f t="array" aca="1" ref="H222" ca="1">MIN(IF(INDIRECT(CONCATENATE(Tab_Calculs[[#This Row],[Colonne1]],"!$B$2:$B$243"))&gt;=Calculs_Consos!$A222,INDIRECT(CONCATENATE(Tab_Calculs[[#This Row],[Colonne1]],"!$B$2:$B$243"))))</f>
        <v>0</v>
      </c>
      <c r="I222" s="3" t="e">
        <f ca="1">INDEX(INDIRECT(CONCATENATE("Tab_",Tab_Calculs[[#This Row],[Colonne1]])),Tab_Calculs[[#This Row],[index_date_livraison]],1)</f>
        <v>#NUM!</v>
      </c>
      <c r="J222">
        <f ca="1">MATCH(Tab_Calculs[[#This Row],[Date_livraison]],INDIRECT(CONCATENATE("Tab_",Tab_Calculs[[#This Row],[Colonne1]],"[Fin de période]")),0)</f>
        <v>1</v>
      </c>
      <c r="K222" t="e">
        <f ca="1">INDEX(INDIRECT(CONCATENATE("Tab_",Tab_Calculs[[#This Row],[Colonne1]])),Tab_Calculs[[#This Row],[index_date_livraison]]-1,6)*(MAX(Tab_Calculs[[#This Row],[Début periode livraison]],Tab_Calculs[[#This Row],[Début mois]])-Tab_Calculs[[#This Row],[Début mois]])</f>
        <v>#VALUE!</v>
      </c>
      <c r="L222" s="94" t="e">
        <f ca="1">INDEX(INDIRECT(CONCATENATE("Tab_",Tab_Calculs[[#This Row],[Colonne1]])),Tab_Calculs[[#This Row],[index_date_livraison]],6)*(1+MIN(Tab_Calculs[[#This Row],[Date_livraison]],Tab_Calculs[[#This Row],[fin mois]])-MAX(Tab_Calculs[[#This Row],[Début mois]],Tab_Calculs[[#This Row],[Début periode livraison]]))</f>
        <v>#NUM!</v>
      </c>
      <c r="M222" s="94" t="e">
        <f ca="1">INDEX(INDIRECT(CONCATENATE("Tab_",Tab_Calculs[[#This Row],[Colonne1]])),Tab_Calculs[[#This Row],[index_date_livraison]]+1,6)*(Tab_Calculs[[#This Row],[fin mois]]-MIN(Tab_Calculs[[#This Row],[fin mois]],Tab_Calculs[[#This Row],[Date_livraison]]))</f>
        <v>#VALUE!</v>
      </c>
      <c r="N222" s="231" t="str">
        <f ca="1">IFERROR(Tab_Calculs[[#This Row],[Ratio_jour_après_livr]]+Tab_Calculs[[#This Row],[Ratio_jour_avant_livr]]+Tab_Calculs[[#This Row],[ratio_avant_debut]],"")</f>
        <v/>
      </c>
      <c r="O222" t="e">
        <f ca="1">INDEX(INDIRECT(CONCATENATE("Tab_",Tab_Calculs[[#This Row],[Colonne1]])),Tab_Calculs[[#This Row],[index_date_livraison]]-1,7)*(MAX(Tab_Calculs[[#This Row],[Début periode livraison]],Tab_Calculs[[#This Row],[Début mois]])-Tab_Calculs[[#This Row],[Début mois]])</f>
        <v>#VALUE!</v>
      </c>
      <c r="P222" t="e">
        <f ca="1">INDEX(INDIRECT(CONCATENATE("Tab_",Tab_Calculs[[#This Row],[Colonne1]])),Tab_Calculs[[#This Row],[index_date_livraison]],7)*(1+MIN(Tab_Calculs[[#This Row],[Date_livraison]],Tab_Calculs[[#This Row],[fin mois]])-MAX(Tab_Calculs[[#This Row],[Début mois]],Tab_Calculs[[#This Row],[Début periode livraison]]))</f>
        <v>#NUM!</v>
      </c>
      <c r="Q222" t="e">
        <f ca="1">INDEX(INDIRECT(CONCATENATE("Tab_",Tab_Calculs[[#This Row],[Colonne1]])),Tab_Calculs[[#This Row],[index_date_livraison]]+1,7)*(Tab_Calculs[[#This Row],[fin mois]]-MIN(Tab_Calculs[[#This Row],[fin mois]],Tab_Calculs[[#This Row],[Date_livraison]]))</f>
        <v>#VALUE!</v>
      </c>
      <c r="R222" t="e">
        <f ca="1">Tab_Calculs[[#This Row],[Ratio_Cout_après_livr]]+Tab_Calculs[[#This Row],[Ratio_Cout_avant_livr]]+Tab_Calculs[[#This Row],[Ratio_Cout_avant_debut]]</f>
        <v>#VALUE!</v>
      </c>
      <c r="S222" t="str">
        <f ca="1">IFERROR(N222*VLOOKUP(Tab_Calculs[[#This Row],[Colonne1]],Controle_des_données!$B$7:$G$14,6,FALSE),"")</f>
        <v/>
      </c>
      <c r="T222" t="str">
        <f ca="1">IF(Tab_Calculs[[#This Row],[Combustible ]]="Electricité (kWh)",Tab_Calculs[[#This Row],[Conso_mois_kWh]]*2.3,Tab_Calculs[[#This Row],[Conso_mois_kWh]])</f>
        <v/>
      </c>
      <c r="U222" t="str">
        <f ca="1">IFERROR(N222*VLOOKUP(Tab_Calculs[[#This Row],[Colonne1]],Controle_des_données!$B$7:$H$14,7,FALSE),"")</f>
        <v/>
      </c>
      <c r="V222">
        <f ca="1">IFERROR(Tab_Calculs[[#This Row],[Cout_mois]]/Tab_Calculs[[#This Row],[Conso_mois_kWh]],0)</f>
        <v>0</v>
      </c>
      <c r="W222" t="str">
        <f>T(VLOOKUP(Tab_Calculs[[#This Row],[Compteur]],Site!$B$33:$G$40,3,FALSE))</f>
        <v/>
      </c>
      <c r="X222" t="str">
        <f>T(VLOOKUP(Tab_Calculs[[#This Row],[Compteur]],Site!$B$33:$G$40,4,FALSE))</f>
        <v/>
      </c>
      <c r="Y222" t="str">
        <f>T(VLOOKUP(Tab_Calculs[[#This Row],[Compteur]],Site!$B$33:$G$40,5,FALSE))</f>
        <v/>
      </c>
      <c r="Z222" t="str">
        <f>T(VLOOKUP(Tab_Calculs[[#This Row],[Compteur]],Site!$B$33:$G$40,6,FALSE))</f>
        <v/>
      </c>
      <c r="AA222">
        <f>IFERROR(GETPIVOTDATA("DJU(chauffagiste)",BDD_DJU!$P$13,"annee",Tab_Calculs[[#This Row],[ANNEE]],"mois_numero",Tab_Calculs[[#This Row],[MOIS]]),0)</f>
        <v>145.6</v>
      </c>
    </row>
    <row r="223" spans="1:27" x14ac:dyDescent="0.25">
      <c r="A223" s="3">
        <f>DATE(Tab_Calculs[[#This Row],[ANNEE]],Tab_Calculs[[#This Row],[MOIS]],1)</f>
        <v>40848</v>
      </c>
      <c r="B223" s="3">
        <f>EDATE(Tab_Calculs[[#This Row],[Début mois]],1)-1</f>
        <v>40877</v>
      </c>
      <c r="C223">
        <v>11</v>
      </c>
      <c r="D223">
        <v>2011</v>
      </c>
      <c r="E223" t="s">
        <v>81</v>
      </c>
      <c r="F223" t="str">
        <f>SUBSTITUTE(Tab_Calculs[[#This Row],[Compteur]]," ","_")</f>
        <v>Compteur_2</v>
      </c>
      <c r="G223" t="str">
        <f>T(INDEX(Site!$B$33:$G$40, MATCH(Tab_Calculs[[#This Row],[Compteur]], Site!$B$33:$B$40,0),2))</f>
        <v/>
      </c>
      <c r="H223" s="3">
        <f t="array" aca="1" ref="H223" ca="1">MIN(IF(INDIRECT(CONCATENATE(Tab_Calculs[[#This Row],[Colonne1]],"!$B$2:$B$243"))&gt;=Calculs_Consos!$A223,INDIRECT(CONCATENATE(Tab_Calculs[[#This Row],[Colonne1]],"!$B$2:$B$243"))))</f>
        <v>0</v>
      </c>
      <c r="I223" s="3" t="e">
        <f ca="1">INDEX(INDIRECT(CONCATENATE("Tab_",Tab_Calculs[[#This Row],[Colonne1]])),Tab_Calculs[[#This Row],[index_date_livraison]],1)</f>
        <v>#NUM!</v>
      </c>
      <c r="J223">
        <f ca="1">MATCH(Tab_Calculs[[#This Row],[Date_livraison]],INDIRECT(CONCATENATE("Tab_",Tab_Calculs[[#This Row],[Colonne1]],"[Fin de période]")),0)</f>
        <v>1</v>
      </c>
      <c r="K223" t="e">
        <f ca="1">INDEX(INDIRECT(CONCATENATE("Tab_",Tab_Calculs[[#This Row],[Colonne1]])),Tab_Calculs[[#This Row],[index_date_livraison]]-1,6)*(MAX(Tab_Calculs[[#This Row],[Début periode livraison]],Tab_Calculs[[#This Row],[Début mois]])-Tab_Calculs[[#This Row],[Début mois]])</f>
        <v>#VALUE!</v>
      </c>
      <c r="L223" s="94" t="e">
        <f ca="1">INDEX(INDIRECT(CONCATENATE("Tab_",Tab_Calculs[[#This Row],[Colonne1]])),Tab_Calculs[[#This Row],[index_date_livraison]],6)*(1+MIN(Tab_Calculs[[#This Row],[Date_livraison]],Tab_Calculs[[#This Row],[fin mois]])-MAX(Tab_Calculs[[#This Row],[Début mois]],Tab_Calculs[[#This Row],[Début periode livraison]]))</f>
        <v>#NUM!</v>
      </c>
      <c r="M223" s="94" t="e">
        <f ca="1">INDEX(INDIRECT(CONCATENATE("Tab_",Tab_Calculs[[#This Row],[Colonne1]])),Tab_Calculs[[#This Row],[index_date_livraison]]+1,6)*(Tab_Calculs[[#This Row],[fin mois]]-MIN(Tab_Calculs[[#This Row],[fin mois]],Tab_Calculs[[#This Row],[Date_livraison]]))</f>
        <v>#VALUE!</v>
      </c>
      <c r="N223" s="231" t="str">
        <f ca="1">IFERROR(Tab_Calculs[[#This Row],[Ratio_jour_après_livr]]+Tab_Calculs[[#This Row],[Ratio_jour_avant_livr]]+Tab_Calculs[[#This Row],[ratio_avant_debut]],"")</f>
        <v/>
      </c>
      <c r="O223" t="e">
        <f ca="1">INDEX(INDIRECT(CONCATENATE("Tab_",Tab_Calculs[[#This Row],[Colonne1]])),Tab_Calculs[[#This Row],[index_date_livraison]]-1,7)*(MAX(Tab_Calculs[[#This Row],[Début periode livraison]],Tab_Calculs[[#This Row],[Début mois]])-Tab_Calculs[[#This Row],[Début mois]])</f>
        <v>#VALUE!</v>
      </c>
      <c r="P223" t="e">
        <f ca="1">INDEX(INDIRECT(CONCATENATE("Tab_",Tab_Calculs[[#This Row],[Colonne1]])),Tab_Calculs[[#This Row],[index_date_livraison]],7)*(1+MIN(Tab_Calculs[[#This Row],[Date_livraison]],Tab_Calculs[[#This Row],[fin mois]])-MAX(Tab_Calculs[[#This Row],[Début mois]],Tab_Calculs[[#This Row],[Début periode livraison]]))</f>
        <v>#NUM!</v>
      </c>
      <c r="Q223" t="e">
        <f ca="1">INDEX(INDIRECT(CONCATENATE("Tab_",Tab_Calculs[[#This Row],[Colonne1]])),Tab_Calculs[[#This Row],[index_date_livraison]]+1,7)*(Tab_Calculs[[#This Row],[fin mois]]-MIN(Tab_Calculs[[#This Row],[fin mois]],Tab_Calculs[[#This Row],[Date_livraison]]))</f>
        <v>#VALUE!</v>
      </c>
      <c r="R223" t="e">
        <f ca="1">Tab_Calculs[[#This Row],[Ratio_Cout_après_livr]]+Tab_Calculs[[#This Row],[Ratio_Cout_avant_livr]]+Tab_Calculs[[#This Row],[Ratio_Cout_avant_debut]]</f>
        <v>#VALUE!</v>
      </c>
      <c r="S223" t="str">
        <f ca="1">IFERROR(N223*VLOOKUP(Tab_Calculs[[#This Row],[Colonne1]],Controle_des_données!$B$7:$G$14,6,FALSE),"")</f>
        <v/>
      </c>
      <c r="T223" t="str">
        <f ca="1">IF(Tab_Calculs[[#This Row],[Combustible ]]="Electricité (kWh)",Tab_Calculs[[#This Row],[Conso_mois_kWh]]*2.3,Tab_Calculs[[#This Row],[Conso_mois_kWh]])</f>
        <v/>
      </c>
      <c r="U223" t="str">
        <f ca="1">IFERROR(N223*VLOOKUP(Tab_Calculs[[#This Row],[Colonne1]],Controle_des_données!$B$7:$H$14,7,FALSE),"")</f>
        <v/>
      </c>
      <c r="V223">
        <f ca="1">IFERROR(Tab_Calculs[[#This Row],[Cout_mois]]/Tab_Calculs[[#This Row],[Conso_mois_kWh]],0)</f>
        <v>0</v>
      </c>
      <c r="W223" t="str">
        <f>T(VLOOKUP(Tab_Calculs[[#This Row],[Compteur]],Site!$B$33:$G$40,3,FALSE))</f>
        <v/>
      </c>
      <c r="X223" t="str">
        <f>T(VLOOKUP(Tab_Calculs[[#This Row],[Compteur]],Site!$B$33:$G$40,4,FALSE))</f>
        <v/>
      </c>
      <c r="Y223" t="str">
        <f>T(VLOOKUP(Tab_Calculs[[#This Row],[Compteur]],Site!$B$33:$G$40,5,FALSE))</f>
        <v/>
      </c>
      <c r="Z223" t="str">
        <f>T(VLOOKUP(Tab_Calculs[[#This Row],[Compteur]],Site!$B$33:$G$40,6,FALSE))</f>
        <v/>
      </c>
      <c r="AA223">
        <f>IFERROR(GETPIVOTDATA("DJU(chauffagiste)",BDD_DJU!$P$13,"annee",Tab_Calculs[[#This Row],[ANNEE]],"mois_numero",Tab_Calculs[[#This Row],[MOIS]]),0)</f>
        <v>205.3</v>
      </c>
    </row>
    <row r="224" spans="1:27" x14ac:dyDescent="0.25">
      <c r="A224" s="3">
        <f>DATE(Tab_Calculs[[#This Row],[ANNEE]],Tab_Calculs[[#This Row],[MOIS]],1)</f>
        <v>40878</v>
      </c>
      <c r="B224" s="3">
        <f>EDATE(Tab_Calculs[[#This Row],[Début mois]],1)-1</f>
        <v>40908</v>
      </c>
      <c r="C224">
        <v>12</v>
      </c>
      <c r="D224">
        <v>2011</v>
      </c>
      <c r="E224" t="s">
        <v>81</v>
      </c>
      <c r="F224" t="str">
        <f>SUBSTITUTE(Tab_Calculs[[#This Row],[Compteur]]," ","_")</f>
        <v>Compteur_2</v>
      </c>
      <c r="G224" t="str">
        <f>T(INDEX(Site!$B$33:$G$40, MATCH(Tab_Calculs[[#This Row],[Compteur]], Site!$B$33:$B$40,0),2))</f>
        <v/>
      </c>
      <c r="H224" s="3">
        <f t="array" aca="1" ref="H224" ca="1">MIN(IF(INDIRECT(CONCATENATE(Tab_Calculs[[#This Row],[Colonne1]],"!$B$2:$B$243"))&gt;=Calculs_Consos!$A224,INDIRECT(CONCATENATE(Tab_Calculs[[#This Row],[Colonne1]],"!$B$2:$B$243"))))</f>
        <v>0</v>
      </c>
      <c r="I224" s="3" t="e">
        <f ca="1">INDEX(INDIRECT(CONCATENATE("Tab_",Tab_Calculs[[#This Row],[Colonne1]])),Tab_Calculs[[#This Row],[index_date_livraison]],1)</f>
        <v>#NUM!</v>
      </c>
      <c r="J224">
        <f ca="1">MATCH(Tab_Calculs[[#This Row],[Date_livraison]],INDIRECT(CONCATENATE("Tab_",Tab_Calculs[[#This Row],[Colonne1]],"[Fin de période]")),0)</f>
        <v>1</v>
      </c>
      <c r="K224" t="e">
        <f ca="1">INDEX(INDIRECT(CONCATENATE("Tab_",Tab_Calculs[[#This Row],[Colonne1]])),Tab_Calculs[[#This Row],[index_date_livraison]]-1,6)*(MAX(Tab_Calculs[[#This Row],[Début periode livraison]],Tab_Calculs[[#This Row],[Début mois]])-Tab_Calculs[[#This Row],[Début mois]])</f>
        <v>#VALUE!</v>
      </c>
      <c r="L224" s="94" t="e">
        <f ca="1">INDEX(INDIRECT(CONCATENATE("Tab_",Tab_Calculs[[#This Row],[Colonne1]])),Tab_Calculs[[#This Row],[index_date_livraison]],6)*(1+MIN(Tab_Calculs[[#This Row],[Date_livraison]],Tab_Calculs[[#This Row],[fin mois]])-MAX(Tab_Calculs[[#This Row],[Début mois]],Tab_Calculs[[#This Row],[Début periode livraison]]))</f>
        <v>#NUM!</v>
      </c>
      <c r="M224" s="94" t="e">
        <f ca="1">INDEX(INDIRECT(CONCATENATE("Tab_",Tab_Calculs[[#This Row],[Colonne1]])),Tab_Calculs[[#This Row],[index_date_livraison]]+1,6)*(Tab_Calculs[[#This Row],[fin mois]]-MIN(Tab_Calculs[[#This Row],[fin mois]],Tab_Calculs[[#This Row],[Date_livraison]]))</f>
        <v>#VALUE!</v>
      </c>
      <c r="N224" s="231" t="str">
        <f ca="1">IFERROR(Tab_Calculs[[#This Row],[Ratio_jour_après_livr]]+Tab_Calculs[[#This Row],[Ratio_jour_avant_livr]]+Tab_Calculs[[#This Row],[ratio_avant_debut]],"")</f>
        <v/>
      </c>
      <c r="O224" t="e">
        <f ca="1">INDEX(INDIRECT(CONCATENATE("Tab_",Tab_Calculs[[#This Row],[Colonne1]])),Tab_Calculs[[#This Row],[index_date_livraison]]-1,7)*(MAX(Tab_Calculs[[#This Row],[Début periode livraison]],Tab_Calculs[[#This Row],[Début mois]])-Tab_Calculs[[#This Row],[Début mois]])</f>
        <v>#VALUE!</v>
      </c>
      <c r="P224" t="e">
        <f ca="1">INDEX(INDIRECT(CONCATENATE("Tab_",Tab_Calculs[[#This Row],[Colonne1]])),Tab_Calculs[[#This Row],[index_date_livraison]],7)*(1+MIN(Tab_Calculs[[#This Row],[Date_livraison]],Tab_Calculs[[#This Row],[fin mois]])-MAX(Tab_Calculs[[#This Row],[Début mois]],Tab_Calculs[[#This Row],[Début periode livraison]]))</f>
        <v>#NUM!</v>
      </c>
      <c r="Q224" t="e">
        <f ca="1">INDEX(INDIRECT(CONCATENATE("Tab_",Tab_Calculs[[#This Row],[Colonne1]])),Tab_Calculs[[#This Row],[index_date_livraison]]+1,7)*(Tab_Calculs[[#This Row],[fin mois]]-MIN(Tab_Calculs[[#This Row],[fin mois]],Tab_Calculs[[#This Row],[Date_livraison]]))</f>
        <v>#VALUE!</v>
      </c>
      <c r="R224" t="e">
        <f ca="1">Tab_Calculs[[#This Row],[Ratio_Cout_après_livr]]+Tab_Calculs[[#This Row],[Ratio_Cout_avant_livr]]+Tab_Calculs[[#This Row],[Ratio_Cout_avant_debut]]</f>
        <v>#VALUE!</v>
      </c>
      <c r="S224" t="str">
        <f ca="1">IFERROR(N224*VLOOKUP(Tab_Calculs[[#This Row],[Colonne1]],Controle_des_données!$B$7:$G$14,6,FALSE),"")</f>
        <v/>
      </c>
      <c r="T224" t="str">
        <f ca="1">IF(Tab_Calculs[[#This Row],[Combustible ]]="Electricité (kWh)",Tab_Calculs[[#This Row],[Conso_mois_kWh]]*2.3,Tab_Calculs[[#This Row],[Conso_mois_kWh]])</f>
        <v/>
      </c>
      <c r="U224" t="str">
        <f ca="1">IFERROR(N224*VLOOKUP(Tab_Calculs[[#This Row],[Colonne1]],Controle_des_données!$B$7:$H$14,7,FALSE),"")</f>
        <v/>
      </c>
      <c r="V224">
        <f ca="1">IFERROR(Tab_Calculs[[#This Row],[Cout_mois]]/Tab_Calculs[[#This Row],[Conso_mois_kWh]],0)</f>
        <v>0</v>
      </c>
      <c r="W224" t="str">
        <f>T(VLOOKUP(Tab_Calculs[[#This Row],[Compteur]],Site!$B$33:$G$40,3,FALSE))</f>
        <v/>
      </c>
      <c r="X224" t="str">
        <f>T(VLOOKUP(Tab_Calculs[[#This Row],[Compteur]],Site!$B$33:$G$40,4,FALSE))</f>
        <v/>
      </c>
      <c r="Y224" t="str">
        <f>T(VLOOKUP(Tab_Calculs[[#This Row],[Compteur]],Site!$B$33:$G$40,5,FALSE))</f>
        <v/>
      </c>
      <c r="Z224" t="str">
        <f>T(VLOOKUP(Tab_Calculs[[#This Row],[Compteur]],Site!$B$33:$G$40,6,FALSE))</f>
        <v/>
      </c>
      <c r="AA224">
        <f>IFERROR(GETPIVOTDATA("DJU(chauffagiste)",BDD_DJU!$P$13,"annee",Tab_Calculs[[#This Row],[ANNEE]],"mois_numero",Tab_Calculs[[#This Row],[MOIS]]),0)</f>
        <v>307.5</v>
      </c>
    </row>
    <row r="225" spans="1:27" x14ac:dyDescent="0.25">
      <c r="A225" s="3">
        <f>DATE(Tab_Calculs[[#This Row],[ANNEE]],Tab_Calculs[[#This Row],[MOIS]],1)</f>
        <v>40909</v>
      </c>
      <c r="B225" s="3">
        <f>EDATE(Tab_Calculs[[#This Row],[Début mois]],1)-1</f>
        <v>40939</v>
      </c>
      <c r="C225">
        <v>1</v>
      </c>
      <c r="D225">
        <v>2012</v>
      </c>
      <c r="E225" t="s">
        <v>81</v>
      </c>
      <c r="F225" t="str">
        <f>SUBSTITUTE(Tab_Calculs[[#This Row],[Compteur]]," ","_")</f>
        <v>Compteur_2</v>
      </c>
      <c r="G225" t="str">
        <f>T(INDEX(Site!$B$33:$G$40, MATCH(Tab_Calculs[[#This Row],[Compteur]], Site!$B$33:$B$40,0),2))</f>
        <v/>
      </c>
      <c r="H225" s="3">
        <f t="array" aca="1" ref="H225" ca="1">MIN(IF(INDIRECT(CONCATENATE(Tab_Calculs[[#This Row],[Colonne1]],"!$B$2:$B$243"))&gt;=Calculs_Consos!$A225,INDIRECT(CONCATENATE(Tab_Calculs[[#This Row],[Colonne1]],"!$B$2:$B$243"))))</f>
        <v>0</v>
      </c>
      <c r="I225" s="3" t="e">
        <f ca="1">INDEX(INDIRECT(CONCATENATE("Tab_",Tab_Calculs[[#This Row],[Colonne1]])),Tab_Calculs[[#This Row],[index_date_livraison]],1)</f>
        <v>#NUM!</v>
      </c>
      <c r="J225">
        <f ca="1">MATCH(Tab_Calculs[[#This Row],[Date_livraison]],INDIRECT(CONCATENATE("Tab_",Tab_Calculs[[#This Row],[Colonne1]],"[Fin de période]")),0)</f>
        <v>1</v>
      </c>
      <c r="K225" t="e">
        <f ca="1">INDEX(INDIRECT(CONCATENATE("Tab_",Tab_Calculs[[#This Row],[Colonne1]])),Tab_Calculs[[#This Row],[index_date_livraison]]-1,6)*(MAX(Tab_Calculs[[#This Row],[Début periode livraison]],Tab_Calculs[[#This Row],[Début mois]])-Tab_Calculs[[#This Row],[Début mois]])</f>
        <v>#VALUE!</v>
      </c>
      <c r="L225" s="94" t="e">
        <f ca="1">INDEX(INDIRECT(CONCATENATE("Tab_",Tab_Calculs[[#This Row],[Colonne1]])),Tab_Calculs[[#This Row],[index_date_livraison]],6)*(1+MIN(Tab_Calculs[[#This Row],[Date_livraison]],Tab_Calculs[[#This Row],[fin mois]])-MAX(Tab_Calculs[[#This Row],[Début mois]],Tab_Calculs[[#This Row],[Début periode livraison]]))</f>
        <v>#NUM!</v>
      </c>
      <c r="M225" s="94" t="e">
        <f ca="1">INDEX(INDIRECT(CONCATENATE("Tab_",Tab_Calculs[[#This Row],[Colonne1]])),Tab_Calculs[[#This Row],[index_date_livraison]]+1,6)*(Tab_Calculs[[#This Row],[fin mois]]-MIN(Tab_Calculs[[#This Row],[fin mois]],Tab_Calculs[[#This Row],[Date_livraison]]))</f>
        <v>#VALUE!</v>
      </c>
      <c r="N225" s="231" t="str">
        <f ca="1">IFERROR(Tab_Calculs[[#This Row],[Ratio_jour_après_livr]]+Tab_Calculs[[#This Row],[Ratio_jour_avant_livr]]+Tab_Calculs[[#This Row],[ratio_avant_debut]],"")</f>
        <v/>
      </c>
      <c r="O225" t="e">
        <f ca="1">INDEX(INDIRECT(CONCATENATE("Tab_",Tab_Calculs[[#This Row],[Colonne1]])),Tab_Calculs[[#This Row],[index_date_livraison]]-1,7)*(MAX(Tab_Calculs[[#This Row],[Début periode livraison]],Tab_Calculs[[#This Row],[Début mois]])-Tab_Calculs[[#This Row],[Début mois]])</f>
        <v>#VALUE!</v>
      </c>
      <c r="P225" t="e">
        <f ca="1">INDEX(INDIRECT(CONCATENATE("Tab_",Tab_Calculs[[#This Row],[Colonne1]])),Tab_Calculs[[#This Row],[index_date_livraison]],7)*(1+MIN(Tab_Calculs[[#This Row],[Date_livraison]],Tab_Calculs[[#This Row],[fin mois]])-MAX(Tab_Calculs[[#This Row],[Début mois]],Tab_Calculs[[#This Row],[Début periode livraison]]))</f>
        <v>#NUM!</v>
      </c>
      <c r="Q225" t="e">
        <f ca="1">INDEX(INDIRECT(CONCATENATE("Tab_",Tab_Calculs[[#This Row],[Colonne1]])),Tab_Calculs[[#This Row],[index_date_livraison]]+1,7)*(Tab_Calculs[[#This Row],[fin mois]]-MIN(Tab_Calculs[[#This Row],[fin mois]],Tab_Calculs[[#This Row],[Date_livraison]]))</f>
        <v>#VALUE!</v>
      </c>
      <c r="R225" t="e">
        <f ca="1">Tab_Calculs[[#This Row],[Ratio_Cout_après_livr]]+Tab_Calculs[[#This Row],[Ratio_Cout_avant_livr]]+Tab_Calculs[[#This Row],[Ratio_Cout_avant_debut]]</f>
        <v>#VALUE!</v>
      </c>
      <c r="S225" t="str">
        <f ca="1">IFERROR(N225*VLOOKUP(Tab_Calculs[[#This Row],[Colonne1]],Controle_des_données!$B$7:$G$14,6,FALSE),"")</f>
        <v/>
      </c>
      <c r="T225" t="str">
        <f ca="1">IF(Tab_Calculs[[#This Row],[Combustible ]]="Electricité (kWh)",Tab_Calculs[[#This Row],[Conso_mois_kWh]]*2.3,Tab_Calculs[[#This Row],[Conso_mois_kWh]])</f>
        <v/>
      </c>
      <c r="U225" t="str">
        <f ca="1">IFERROR(N225*VLOOKUP(Tab_Calculs[[#This Row],[Colonne1]],Controle_des_données!$B$7:$H$14,7,FALSE),"")</f>
        <v/>
      </c>
      <c r="V225">
        <f ca="1">IFERROR(Tab_Calculs[[#This Row],[Cout_mois]]/Tab_Calculs[[#This Row],[Conso_mois_kWh]],0)</f>
        <v>0</v>
      </c>
      <c r="W225" t="str">
        <f>T(VLOOKUP(Tab_Calculs[[#This Row],[Compteur]],Site!$B$33:$G$40,3,FALSE))</f>
        <v/>
      </c>
      <c r="X225" t="str">
        <f>T(VLOOKUP(Tab_Calculs[[#This Row],[Compteur]],Site!$B$33:$G$40,4,FALSE))</f>
        <v/>
      </c>
      <c r="Y225" t="str">
        <f>T(VLOOKUP(Tab_Calculs[[#This Row],[Compteur]],Site!$B$33:$G$40,5,FALSE))</f>
        <v/>
      </c>
      <c r="Z225" t="str">
        <f>T(VLOOKUP(Tab_Calculs[[#This Row],[Compteur]],Site!$B$33:$G$40,6,FALSE))</f>
        <v/>
      </c>
      <c r="AA225">
        <f>IFERROR(GETPIVOTDATA("DJU(chauffagiste)",BDD_DJU!$P$13,"annee",Tab_Calculs[[#This Row],[ANNEE]],"mois_numero",Tab_Calculs[[#This Row],[MOIS]]),0)</f>
        <v>348.8</v>
      </c>
    </row>
    <row r="226" spans="1:27" x14ac:dyDescent="0.25">
      <c r="A226" s="3">
        <f>DATE(Tab_Calculs[[#This Row],[ANNEE]],Tab_Calculs[[#This Row],[MOIS]],1)</f>
        <v>40940</v>
      </c>
      <c r="B226" s="3">
        <f>EDATE(Tab_Calculs[[#This Row],[Début mois]],1)-1</f>
        <v>40968</v>
      </c>
      <c r="C226">
        <v>2</v>
      </c>
      <c r="D226">
        <v>2012</v>
      </c>
      <c r="E226" t="s">
        <v>81</v>
      </c>
      <c r="F226" t="str">
        <f>SUBSTITUTE(Tab_Calculs[[#This Row],[Compteur]]," ","_")</f>
        <v>Compteur_2</v>
      </c>
      <c r="G226" t="str">
        <f>T(INDEX(Site!$B$33:$G$40, MATCH(Tab_Calculs[[#This Row],[Compteur]], Site!$B$33:$B$40,0),2))</f>
        <v/>
      </c>
      <c r="H226" s="3">
        <f t="array" aca="1" ref="H226" ca="1">MIN(IF(INDIRECT(CONCATENATE(Tab_Calculs[[#This Row],[Colonne1]],"!$B$2:$B$243"))&gt;=Calculs_Consos!$A226,INDIRECT(CONCATENATE(Tab_Calculs[[#This Row],[Colonne1]],"!$B$2:$B$243"))))</f>
        <v>0</v>
      </c>
      <c r="I226" s="3" t="e">
        <f ca="1">INDEX(INDIRECT(CONCATENATE("Tab_",Tab_Calculs[[#This Row],[Colonne1]])),Tab_Calculs[[#This Row],[index_date_livraison]],1)</f>
        <v>#NUM!</v>
      </c>
      <c r="J226">
        <f ca="1">MATCH(Tab_Calculs[[#This Row],[Date_livraison]],INDIRECT(CONCATENATE("Tab_",Tab_Calculs[[#This Row],[Colonne1]],"[Fin de période]")),0)</f>
        <v>1</v>
      </c>
      <c r="K226" t="e">
        <f ca="1">INDEX(INDIRECT(CONCATENATE("Tab_",Tab_Calculs[[#This Row],[Colonne1]])),Tab_Calculs[[#This Row],[index_date_livraison]]-1,6)*(MAX(Tab_Calculs[[#This Row],[Début periode livraison]],Tab_Calculs[[#This Row],[Début mois]])-Tab_Calculs[[#This Row],[Début mois]])</f>
        <v>#VALUE!</v>
      </c>
      <c r="L226" s="94" t="e">
        <f ca="1">INDEX(INDIRECT(CONCATENATE("Tab_",Tab_Calculs[[#This Row],[Colonne1]])),Tab_Calculs[[#This Row],[index_date_livraison]],6)*(1+MIN(Tab_Calculs[[#This Row],[Date_livraison]],Tab_Calculs[[#This Row],[fin mois]])-MAX(Tab_Calculs[[#This Row],[Début mois]],Tab_Calculs[[#This Row],[Début periode livraison]]))</f>
        <v>#NUM!</v>
      </c>
      <c r="M226" s="94" t="e">
        <f ca="1">INDEX(INDIRECT(CONCATENATE("Tab_",Tab_Calculs[[#This Row],[Colonne1]])),Tab_Calculs[[#This Row],[index_date_livraison]]+1,6)*(Tab_Calculs[[#This Row],[fin mois]]-MIN(Tab_Calculs[[#This Row],[fin mois]],Tab_Calculs[[#This Row],[Date_livraison]]))</f>
        <v>#VALUE!</v>
      </c>
      <c r="N226" s="231" t="str">
        <f ca="1">IFERROR(Tab_Calculs[[#This Row],[Ratio_jour_après_livr]]+Tab_Calculs[[#This Row],[Ratio_jour_avant_livr]]+Tab_Calculs[[#This Row],[ratio_avant_debut]],"")</f>
        <v/>
      </c>
      <c r="O226" t="e">
        <f ca="1">INDEX(INDIRECT(CONCATENATE("Tab_",Tab_Calculs[[#This Row],[Colonne1]])),Tab_Calculs[[#This Row],[index_date_livraison]]-1,7)*(MAX(Tab_Calculs[[#This Row],[Début periode livraison]],Tab_Calculs[[#This Row],[Début mois]])-Tab_Calculs[[#This Row],[Début mois]])</f>
        <v>#VALUE!</v>
      </c>
      <c r="P226" t="e">
        <f ca="1">INDEX(INDIRECT(CONCATENATE("Tab_",Tab_Calculs[[#This Row],[Colonne1]])),Tab_Calculs[[#This Row],[index_date_livraison]],7)*(1+MIN(Tab_Calculs[[#This Row],[Date_livraison]],Tab_Calculs[[#This Row],[fin mois]])-MAX(Tab_Calculs[[#This Row],[Début mois]],Tab_Calculs[[#This Row],[Début periode livraison]]))</f>
        <v>#NUM!</v>
      </c>
      <c r="Q226" t="e">
        <f ca="1">INDEX(INDIRECT(CONCATENATE("Tab_",Tab_Calculs[[#This Row],[Colonne1]])),Tab_Calculs[[#This Row],[index_date_livraison]]+1,7)*(Tab_Calculs[[#This Row],[fin mois]]-MIN(Tab_Calculs[[#This Row],[fin mois]],Tab_Calculs[[#This Row],[Date_livraison]]))</f>
        <v>#VALUE!</v>
      </c>
      <c r="R226" t="e">
        <f ca="1">Tab_Calculs[[#This Row],[Ratio_Cout_après_livr]]+Tab_Calculs[[#This Row],[Ratio_Cout_avant_livr]]+Tab_Calculs[[#This Row],[Ratio_Cout_avant_debut]]</f>
        <v>#VALUE!</v>
      </c>
      <c r="S226" t="str">
        <f ca="1">IFERROR(N226*VLOOKUP(Tab_Calculs[[#This Row],[Colonne1]],Controle_des_données!$B$7:$G$14,6,FALSE),"")</f>
        <v/>
      </c>
      <c r="T226" t="str">
        <f ca="1">IF(Tab_Calculs[[#This Row],[Combustible ]]="Electricité (kWh)",Tab_Calculs[[#This Row],[Conso_mois_kWh]]*2.3,Tab_Calculs[[#This Row],[Conso_mois_kWh]])</f>
        <v/>
      </c>
      <c r="U226" t="str">
        <f ca="1">IFERROR(N226*VLOOKUP(Tab_Calculs[[#This Row],[Colonne1]],Controle_des_données!$B$7:$H$14,7,FALSE),"")</f>
        <v/>
      </c>
      <c r="V226">
        <f ca="1">IFERROR(Tab_Calculs[[#This Row],[Cout_mois]]/Tab_Calculs[[#This Row],[Conso_mois_kWh]],0)</f>
        <v>0</v>
      </c>
      <c r="W226" t="str">
        <f>T(VLOOKUP(Tab_Calculs[[#This Row],[Compteur]],Site!$B$33:$G$40,3,FALSE))</f>
        <v/>
      </c>
      <c r="X226" t="str">
        <f>T(VLOOKUP(Tab_Calculs[[#This Row],[Compteur]],Site!$B$33:$G$40,4,FALSE))</f>
        <v/>
      </c>
      <c r="Y226" t="str">
        <f>T(VLOOKUP(Tab_Calculs[[#This Row],[Compteur]],Site!$B$33:$G$40,5,FALSE))</f>
        <v/>
      </c>
      <c r="Z226" t="str">
        <f>T(VLOOKUP(Tab_Calculs[[#This Row],[Compteur]],Site!$B$33:$G$40,6,FALSE))</f>
        <v/>
      </c>
      <c r="AA226">
        <f>IFERROR(GETPIVOTDATA("DJU(chauffagiste)",BDD_DJU!$P$13,"annee",Tab_Calculs[[#This Row],[ANNEE]],"mois_numero",Tab_Calculs[[#This Row],[MOIS]]),0)</f>
        <v>469.8</v>
      </c>
    </row>
    <row r="227" spans="1:27" x14ac:dyDescent="0.25">
      <c r="A227" s="3">
        <f>DATE(Tab_Calculs[[#This Row],[ANNEE]],Tab_Calculs[[#This Row],[MOIS]],1)</f>
        <v>40969</v>
      </c>
      <c r="B227" s="3">
        <f>EDATE(Tab_Calculs[[#This Row],[Début mois]],1)-1</f>
        <v>40999</v>
      </c>
      <c r="C227">
        <v>3</v>
      </c>
      <c r="D227">
        <v>2012</v>
      </c>
      <c r="E227" t="s">
        <v>81</v>
      </c>
      <c r="F227" t="str">
        <f>SUBSTITUTE(Tab_Calculs[[#This Row],[Compteur]]," ","_")</f>
        <v>Compteur_2</v>
      </c>
      <c r="G227" t="str">
        <f>T(INDEX(Site!$B$33:$G$40, MATCH(Tab_Calculs[[#This Row],[Compteur]], Site!$B$33:$B$40,0),2))</f>
        <v/>
      </c>
      <c r="H227" s="3">
        <f t="array" aca="1" ref="H227" ca="1">MIN(IF(INDIRECT(CONCATENATE(Tab_Calculs[[#This Row],[Colonne1]],"!$B$2:$B$243"))&gt;=Calculs_Consos!$A227,INDIRECT(CONCATENATE(Tab_Calculs[[#This Row],[Colonne1]],"!$B$2:$B$243"))))</f>
        <v>0</v>
      </c>
      <c r="I227" s="3" t="e">
        <f ca="1">INDEX(INDIRECT(CONCATENATE("Tab_",Tab_Calculs[[#This Row],[Colonne1]])),Tab_Calculs[[#This Row],[index_date_livraison]],1)</f>
        <v>#NUM!</v>
      </c>
      <c r="J227">
        <f ca="1">MATCH(Tab_Calculs[[#This Row],[Date_livraison]],INDIRECT(CONCATENATE("Tab_",Tab_Calculs[[#This Row],[Colonne1]],"[Fin de période]")),0)</f>
        <v>1</v>
      </c>
      <c r="K227" t="e">
        <f ca="1">INDEX(INDIRECT(CONCATENATE("Tab_",Tab_Calculs[[#This Row],[Colonne1]])),Tab_Calculs[[#This Row],[index_date_livraison]]-1,6)*(MAX(Tab_Calculs[[#This Row],[Début periode livraison]],Tab_Calculs[[#This Row],[Début mois]])-Tab_Calculs[[#This Row],[Début mois]])</f>
        <v>#VALUE!</v>
      </c>
      <c r="L227" s="94" t="e">
        <f ca="1">INDEX(INDIRECT(CONCATENATE("Tab_",Tab_Calculs[[#This Row],[Colonne1]])),Tab_Calculs[[#This Row],[index_date_livraison]],6)*(1+MIN(Tab_Calculs[[#This Row],[Date_livraison]],Tab_Calculs[[#This Row],[fin mois]])-MAX(Tab_Calculs[[#This Row],[Début mois]],Tab_Calculs[[#This Row],[Début periode livraison]]))</f>
        <v>#NUM!</v>
      </c>
      <c r="M227" s="94" t="e">
        <f ca="1">INDEX(INDIRECT(CONCATENATE("Tab_",Tab_Calculs[[#This Row],[Colonne1]])),Tab_Calculs[[#This Row],[index_date_livraison]]+1,6)*(Tab_Calculs[[#This Row],[fin mois]]-MIN(Tab_Calculs[[#This Row],[fin mois]],Tab_Calculs[[#This Row],[Date_livraison]]))</f>
        <v>#VALUE!</v>
      </c>
      <c r="N227" s="231" t="str">
        <f ca="1">IFERROR(Tab_Calculs[[#This Row],[Ratio_jour_après_livr]]+Tab_Calculs[[#This Row],[Ratio_jour_avant_livr]]+Tab_Calculs[[#This Row],[ratio_avant_debut]],"")</f>
        <v/>
      </c>
      <c r="O227" t="e">
        <f ca="1">INDEX(INDIRECT(CONCATENATE("Tab_",Tab_Calculs[[#This Row],[Colonne1]])),Tab_Calculs[[#This Row],[index_date_livraison]]-1,7)*(MAX(Tab_Calculs[[#This Row],[Début periode livraison]],Tab_Calculs[[#This Row],[Début mois]])-Tab_Calculs[[#This Row],[Début mois]])</f>
        <v>#VALUE!</v>
      </c>
      <c r="P227" t="e">
        <f ca="1">INDEX(INDIRECT(CONCATENATE("Tab_",Tab_Calculs[[#This Row],[Colonne1]])),Tab_Calculs[[#This Row],[index_date_livraison]],7)*(1+MIN(Tab_Calculs[[#This Row],[Date_livraison]],Tab_Calculs[[#This Row],[fin mois]])-MAX(Tab_Calculs[[#This Row],[Début mois]],Tab_Calculs[[#This Row],[Début periode livraison]]))</f>
        <v>#NUM!</v>
      </c>
      <c r="Q227" t="e">
        <f ca="1">INDEX(INDIRECT(CONCATENATE("Tab_",Tab_Calculs[[#This Row],[Colonne1]])),Tab_Calculs[[#This Row],[index_date_livraison]]+1,7)*(Tab_Calculs[[#This Row],[fin mois]]-MIN(Tab_Calculs[[#This Row],[fin mois]],Tab_Calculs[[#This Row],[Date_livraison]]))</f>
        <v>#VALUE!</v>
      </c>
      <c r="R227" t="e">
        <f ca="1">Tab_Calculs[[#This Row],[Ratio_Cout_après_livr]]+Tab_Calculs[[#This Row],[Ratio_Cout_avant_livr]]+Tab_Calculs[[#This Row],[Ratio_Cout_avant_debut]]</f>
        <v>#VALUE!</v>
      </c>
      <c r="S227" t="str">
        <f ca="1">IFERROR(N227*VLOOKUP(Tab_Calculs[[#This Row],[Colonne1]],Controle_des_données!$B$7:$G$14,6,FALSE),"")</f>
        <v/>
      </c>
      <c r="T227" t="str">
        <f ca="1">IF(Tab_Calculs[[#This Row],[Combustible ]]="Electricité (kWh)",Tab_Calculs[[#This Row],[Conso_mois_kWh]]*2.3,Tab_Calculs[[#This Row],[Conso_mois_kWh]])</f>
        <v/>
      </c>
      <c r="U227" t="str">
        <f ca="1">IFERROR(N227*VLOOKUP(Tab_Calculs[[#This Row],[Colonne1]],Controle_des_données!$B$7:$H$14,7,FALSE),"")</f>
        <v/>
      </c>
      <c r="V227">
        <f ca="1">IFERROR(Tab_Calculs[[#This Row],[Cout_mois]]/Tab_Calculs[[#This Row],[Conso_mois_kWh]],0)</f>
        <v>0</v>
      </c>
      <c r="W227" t="str">
        <f>T(VLOOKUP(Tab_Calculs[[#This Row],[Compteur]],Site!$B$33:$G$40,3,FALSE))</f>
        <v/>
      </c>
      <c r="X227" t="str">
        <f>T(VLOOKUP(Tab_Calculs[[#This Row],[Compteur]],Site!$B$33:$G$40,4,FALSE))</f>
        <v/>
      </c>
      <c r="Y227" t="str">
        <f>T(VLOOKUP(Tab_Calculs[[#This Row],[Compteur]],Site!$B$33:$G$40,5,FALSE))</f>
        <v/>
      </c>
      <c r="Z227" t="str">
        <f>T(VLOOKUP(Tab_Calculs[[#This Row],[Compteur]],Site!$B$33:$G$40,6,FALSE))</f>
        <v/>
      </c>
      <c r="AA227">
        <f>IFERROR(GETPIVOTDATA("DJU(chauffagiste)",BDD_DJU!$P$13,"annee",Tab_Calculs[[#This Row],[ANNEE]],"mois_numero",Tab_Calculs[[#This Row],[MOIS]]),0)</f>
        <v>247.3</v>
      </c>
    </row>
    <row r="228" spans="1:27" x14ac:dyDescent="0.25">
      <c r="A228" s="3">
        <f>DATE(Tab_Calculs[[#This Row],[ANNEE]],Tab_Calculs[[#This Row],[MOIS]],1)</f>
        <v>41000</v>
      </c>
      <c r="B228" s="3">
        <f>EDATE(Tab_Calculs[[#This Row],[Début mois]],1)-1</f>
        <v>41029</v>
      </c>
      <c r="C228">
        <v>4</v>
      </c>
      <c r="D228">
        <v>2012</v>
      </c>
      <c r="E228" t="s">
        <v>81</v>
      </c>
      <c r="F228" t="str">
        <f>SUBSTITUTE(Tab_Calculs[[#This Row],[Compteur]]," ","_")</f>
        <v>Compteur_2</v>
      </c>
      <c r="G228" t="str">
        <f>T(INDEX(Site!$B$33:$G$40, MATCH(Tab_Calculs[[#This Row],[Compteur]], Site!$B$33:$B$40,0),2))</f>
        <v/>
      </c>
      <c r="H228" s="3">
        <f t="array" aca="1" ref="H228" ca="1">MIN(IF(INDIRECT(CONCATENATE(Tab_Calculs[[#This Row],[Colonne1]],"!$B$2:$B$243"))&gt;=Calculs_Consos!$A228,INDIRECT(CONCATENATE(Tab_Calculs[[#This Row],[Colonne1]],"!$B$2:$B$243"))))</f>
        <v>0</v>
      </c>
      <c r="I228" s="3" t="e">
        <f ca="1">INDEX(INDIRECT(CONCATENATE("Tab_",Tab_Calculs[[#This Row],[Colonne1]])),Tab_Calculs[[#This Row],[index_date_livraison]],1)</f>
        <v>#NUM!</v>
      </c>
      <c r="J228">
        <f ca="1">MATCH(Tab_Calculs[[#This Row],[Date_livraison]],INDIRECT(CONCATENATE("Tab_",Tab_Calculs[[#This Row],[Colonne1]],"[Fin de période]")),0)</f>
        <v>1</v>
      </c>
      <c r="K228" t="e">
        <f ca="1">INDEX(INDIRECT(CONCATENATE("Tab_",Tab_Calculs[[#This Row],[Colonne1]])),Tab_Calculs[[#This Row],[index_date_livraison]]-1,6)*(MAX(Tab_Calculs[[#This Row],[Début periode livraison]],Tab_Calculs[[#This Row],[Début mois]])-Tab_Calculs[[#This Row],[Début mois]])</f>
        <v>#VALUE!</v>
      </c>
      <c r="L228" s="94" t="e">
        <f ca="1">INDEX(INDIRECT(CONCATENATE("Tab_",Tab_Calculs[[#This Row],[Colonne1]])),Tab_Calculs[[#This Row],[index_date_livraison]],6)*(1+MIN(Tab_Calculs[[#This Row],[Date_livraison]],Tab_Calculs[[#This Row],[fin mois]])-MAX(Tab_Calculs[[#This Row],[Début mois]],Tab_Calculs[[#This Row],[Début periode livraison]]))</f>
        <v>#NUM!</v>
      </c>
      <c r="M228" s="94" t="e">
        <f ca="1">INDEX(INDIRECT(CONCATENATE("Tab_",Tab_Calculs[[#This Row],[Colonne1]])),Tab_Calculs[[#This Row],[index_date_livraison]]+1,6)*(Tab_Calculs[[#This Row],[fin mois]]-MIN(Tab_Calculs[[#This Row],[fin mois]],Tab_Calculs[[#This Row],[Date_livraison]]))</f>
        <v>#VALUE!</v>
      </c>
      <c r="N228" s="231" t="str">
        <f ca="1">IFERROR(Tab_Calculs[[#This Row],[Ratio_jour_après_livr]]+Tab_Calculs[[#This Row],[Ratio_jour_avant_livr]]+Tab_Calculs[[#This Row],[ratio_avant_debut]],"")</f>
        <v/>
      </c>
      <c r="O228" t="e">
        <f ca="1">INDEX(INDIRECT(CONCATENATE("Tab_",Tab_Calculs[[#This Row],[Colonne1]])),Tab_Calculs[[#This Row],[index_date_livraison]]-1,7)*(MAX(Tab_Calculs[[#This Row],[Début periode livraison]],Tab_Calculs[[#This Row],[Début mois]])-Tab_Calculs[[#This Row],[Début mois]])</f>
        <v>#VALUE!</v>
      </c>
      <c r="P228" t="e">
        <f ca="1">INDEX(INDIRECT(CONCATENATE("Tab_",Tab_Calculs[[#This Row],[Colonne1]])),Tab_Calculs[[#This Row],[index_date_livraison]],7)*(1+MIN(Tab_Calculs[[#This Row],[Date_livraison]],Tab_Calculs[[#This Row],[fin mois]])-MAX(Tab_Calculs[[#This Row],[Début mois]],Tab_Calculs[[#This Row],[Début periode livraison]]))</f>
        <v>#NUM!</v>
      </c>
      <c r="Q228" t="e">
        <f ca="1">INDEX(INDIRECT(CONCATENATE("Tab_",Tab_Calculs[[#This Row],[Colonne1]])),Tab_Calculs[[#This Row],[index_date_livraison]]+1,7)*(Tab_Calculs[[#This Row],[fin mois]]-MIN(Tab_Calculs[[#This Row],[fin mois]],Tab_Calculs[[#This Row],[Date_livraison]]))</f>
        <v>#VALUE!</v>
      </c>
      <c r="R228" t="e">
        <f ca="1">Tab_Calculs[[#This Row],[Ratio_Cout_après_livr]]+Tab_Calculs[[#This Row],[Ratio_Cout_avant_livr]]+Tab_Calculs[[#This Row],[Ratio_Cout_avant_debut]]</f>
        <v>#VALUE!</v>
      </c>
      <c r="S228" t="str">
        <f ca="1">IFERROR(N228*VLOOKUP(Tab_Calculs[[#This Row],[Colonne1]],Controle_des_données!$B$7:$G$14,6,FALSE),"")</f>
        <v/>
      </c>
      <c r="T228" t="str">
        <f ca="1">IF(Tab_Calculs[[#This Row],[Combustible ]]="Electricité (kWh)",Tab_Calculs[[#This Row],[Conso_mois_kWh]]*2.3,Tab_Calculs[[#This Row],[Conso_mois_kWh]])</f>
        <v/>
      </c>
      <c r="U228" t="str">
        <f ca="1">IFERROR(N228*VLOOKUP(Tab_Calculs[[#This Row],[Colonne1]],Controle_des_données!$B$7:$H$14,7,FALSE),"")</f>
        <v/>
      </c>
      <c r="V228">
        <f ca="1">IFERROR(Tab_Calculs[[#This Row],[Cout_mois]]/Tab_Calculs[[#This Row],[Conso_mois_kWh]],0)</f>
        <v>0</v>
      </c>
      <c r="W228" t="str">
        <f>T(VLOOKUP(Tab_Calculs[[#This Row],[Compteur]],Site!$B$33:$G$40,3,FALSE))</f>
        <v/>
      </c>
      <c r="X228" t="str">
        <f>T(VLOOKUP(Tab_Calculs[[#This Row],[Compteur]],Site!$B$33:$G$40,4,FALSE))</f>
        <v/>
      </c>
      <c r="Y228" t="str">
        <f>T(VLOOKUP(Tab_Calculs[[#This Row],[Compteur]],Site!$B$33:$G$40,5,FALSE))</f>
        <v/>
      </c>
      <c r="Z228" t="str">
        <f>T(VLOOKUP(Tab_Calculs[[#This Row],[Compteur]],Site!$B$33:$G$40,6,FALSE))</f>
        <v/>
      </c>
      <c r="AA228">
        <f>IFERROR(GETPIVOTDATA("DJU(chauffagiste)",BDD_DJU!$P$13,"annee",Tab_Calculs[[#This Row],[ANNEE]],"mois_numero",Tab_Calculs[[#This Row],[MOIS]]),0)</f>
        <v>253.8</v>
      </c>
    </row>
    <row r="229" spans="1:27" x14ac:dyDescent="0.25">
      <c r="A229" s="3">
        <f>DATE(Tab_Calculs[[#This Row],[ANNEE]],Tab_Calculs[[#This Row],[MOIS]],1)</f>
        <v>41030</v>
      </c>
      <c r="B229" s="3">
        <f>EDATE(Tab_Calculs[[#This Row],[Début mois]],1)-1</f>
        <v>41060</v>
      </c>
      <c r="C229">
        <v>5</v>
      </c>
      <c r="D229">
        <v>2012</v>
      </c>
      <c r="E229" t="s">
        <v>81</v>
      </c>
      <c r="F229" t="str">
        <f>SUBSTITUTE(Tab_Calculs[[#This Row],[Compteur]]," ","_")</f>
        <v>Compteur_2</v>
      </c>
      <c r="G229" t="str">
        <f>T(INDEX(Site!$B$33:$G$40, MATCH(Tab_Calculs[[#This Row],[Compteur]], Site!$B$33:$B$40,0),2))</f>
        <v/>
      </c>
      <c r="H229" s="3">
        <f t="array" aca="1" ref="H229" ca="1">MIN(IF(INDIRECT(CONCATENATE(Tab_Calculs[[#This Row],[Colonne1]],"!$B$2:$B$243"))&gt;=Calculs_Consos!$A229,INDIRECT(CONCATENATE(Tab_Calculs[[#This Row],[Colonne1]],"!$B$2:$B$243"))))</f>
        <v>0</v>
      </c>
      <c r="I229" s="3" t="e">
        <f ca="1">INDEX(INDIRECT(CONCATENATE("Tab_",Tab_Calculs[[#This Row],[Colonne1]])),Tab_Calculs[[#This Row],[index_date_livraison]],1)</f>
        <v>#NUM!</v>
      </c>
      <c r="J229">
        <f ca="1">MATCH(Tab_Calculs[[#This Row],[Date_livraison]],INDIRECT(CONCATENATE("Tab_",Tab_Calculs[[#This Row],[Colonne1]],"[Fin de période]")),0)</f>
        <v>1</v>
      </c>
      <c r="K229" t="e">
        <f ca="1">INDEX(INDIRECT(CONCATENATE("Tab_",Tab_Calculs[[#This Row],[Colonne1]])),Tab_Calculs[[#This Row],[index_date_livraison]]-1,6)*(MAX(Tab_Calculs[[#This Row],[Début periode livraison]],Tab_Calculs[[#This Row],[Début mois]])-Tab_Calculs[[#This Row],[Début mois]])</f>
        <v>#VALUE!</v>
      </c>
      <c r="L229" s="94" t="e">
        <f ca="1">INDEX(INDIRECT(CONCATENATE("Tab_",Tab_Calculs[[#This Row],[Colonne1]])),Tab_Calculs[[#This Row],[index_date_livraison]],6)*(1+MIN(Tab_Calculs[[#This Row],[Date_livraison]],Tab_Calculs[[#This Row],[fin mois]])-MAX(Tab_Calculs[[#This Row],[Début mois]],Tab_Calculs[[#This Row],[Début periode livraison]]))</f>
        <v>#NUM!</v>
      </c>
      <c r="M229" s="94" t="e">
        <f ca="1">INDEX(INDIRECT(CONCATENATE("Tab_",Tab_Calculs[[#This Row],[Colonne1]])),Tab_Calculs[[#This Row],[index_date_livraison]]+1,6)*(Tab_Calculs[[#This Row],[fin mois]]-MIN(Tab_Calculs[[#This Row],[fin mois]],Tab_Calculs[[#This Row],[Date_livraison]]))</f>
        <v>#VALUE!</v>
      </c>
      <c r="N229" s="231" t="str">
        <f ca="1">IFERROR(Tab_Calculs[[#This Row],[Ratio_jour_après_livr]]+Tab_Calculs[[#This Row],[Ratio_jour_avant_livr]]+Tab_Calculs[[#This Row],[ratio_avant_debut]],"")</f>
        <v/>
      </c>
      <c r="O229" t="e">
        <f ca="1">INDEX(INDIRECT(CONCATENATE("Tab_",Tab_Calculs[[#This Row],[Colonne1]])),Tab_Calculs[[#This Row],[index_date_livraison]]-1,7)*(MAX(Tab_Calculs[[#This Row],[Début periode livraison]],Tab_Calculs[[#This Row],[Début mois]])-Tab_Calculs[[#This Row],[Début mois]])</f>
        <v>#VALUE!</v>
      </c>
      <c r="P229" t="e">
        <f ca="1">INDEX(INDIRECT(CONCATENATE("Tab_",Tab_Calculs[[#This Row],[Colonne1]])),Tab_Calculs[[#This Row],[index_date_livraison]],7)*(1+MIN(Tab_Calculs[[#This Row],[Date_livraison]],Tab_Calculs[[#This Row],[fin mois]])-MAX(Tab_Calculs[[#This Row],[Début mois]],Tab_Calculs[[#This Row],[Début periode livraison]]))</f>
        <v>#NUM!</v>
      </c>
      <c r="Q229" t="e">
        <f ca="1">INDEX(INDIRECT(CONCATENATE("Tab_",Tab_Calculs[[#This Row],[Colonne1]])),Tab_Calculs[[#This Row],[index_date_livraison]]+1,7)*(Tab_Calculs[[#This Row],[fin mois]]-MIN(Tab_Calculs[[#This Row],[fin mois]],Tab_Calculs[[#This Row],[Date_livraison]]))</f>
        <v>#VALUE!</v>
      </c>
      <c r="R229" t="e">
        <f ca="1">Tab_Calculs[[#This Row],[Ratio_Cout_après_livr]]+Tab_Calculs[[#This Row],[Ratio_Cout_avant_livr]]+Tab_Calculs[[#This Row],[Ratio_Cout_avant_debut]]</f>
        <v>#VALUE!</v>
      </c>
      <c r="S229" t="str">
        <f ca="1">IFERROR(N229*VLOOKUP(Tab_Calculs[[#This Row],[Colonne1]],Controle_des_données!$B$7:$G$14,6,FALSE),"")</f>
        <v/>
      </c>
      <c r="T229" t="str">
        <f ca="1">IF(Tab_Calculs[[#This Row],[Combustible ]]="Electricité (kWh)",Tab_Calculs[[#This Row],[Conso_mois_kWh]]*2.3,Tab_Calculs[[#This Row],[Conso_mois_kWh]])</f>
        <v/>
      </c>
      <c r="U229" t="str">
        <f ca="1">IFERROR(N229*VLOOKUP(Tab_Calculs[[#This Row],[Colonne1]],Controle_des_données!$B$7:$H$14,7,FALSE),"")</f>
        <v/>
      </c>
      <c r="V229">
        <f ca="1">IFERROR(Tab_Calculs[[#This Row],[Cout_mois]]/Tab_Calculs[[#This Row],[Conso_mois_kWh]],0)</f>
        <v>0</v>
      </c>
      <c r="W229" t="str">
        <f>T(VLOOKUP(Tab_Calculs[[#This Row],[Compteur]],Site!$B$33:$G$40,3,FALSE))</f>
        <v/>
      </c>
      <c r="X229" t="str">
        <f>T(VLOOKUP(Tab_Calculs[[#This Row],[Compteur]],Site!$B$33:$G$40,4,FALSE))</f>
        <v/>
      </c>
      <c r="Y229" t="str">
        <f>T(VLOOKUP(Tab_Calculs[[#This Row],[Compteur]],Site!$B$33:$G$40,5,FALSE))</f>
        <v/>
      </c>
      <c r="Z229" t="str">
        <f>T(VLOOKUP(Tab_Calculs[[#This Row],[Compteur]],Site!$B$33:$G$40,6,FALSE))</f>
        <v/>
      </c>
      <c r="AA229">
        <f>IFERROR(GETPIVOTDATA("DJU(chauffagiste)",BDD_DJU!$P$13,"annee",Tab_Calculs[[#This Row],[ANNEE]],"mois_numero",Tab_Calculs[[#This Row],[MOIS]]),0)</f>
        <v>113.8</v>
      </c>
    </row>
    <row r="230" spans="1:27" x14ac:dyDescent="0.25">
      <c r="A230" s="3">
        <f>DATE(Tab_Calculs[[#This Row],[ANNEE]],Tab_Calculs[[#This Row],[MOIS]],1)</f>
        <v>41061</v>
      </c>
      <c r="B230" s="3">
        <f>EDATE(Tab_Calculs[[#This Row],[Début mois]],1)-1</f>
        <v>41090</v>
      </c>
      <c r="C230">
        <v>6</v>
      </c>
      <c r="D230">
        <v>2012</v>
      </c>
      <c r="E230" t="s">
        <v>81</v>
      </c>
      <c r="F230" t="str">
        <f>SUBSTITUTE(Tab_Calculs[[#This Row],[Compteur]]," ","_")</f>
        <v>Compteur_2</v>
      </c>
      <c r="G230" t="str">
        <f>T(INDEX(Site!$B$33:$G$40, MATCH(Tab_Calculs[[#This Row],[Compteur]], Site!$B$33:$B$40,0),2))</f>
        <v/>
      </c>
      <c r="H230" s="3">
        <f t="array" aca="1" ref="H230" ca="1">MIN(IF(INDIRECT(CONCATENATE(Tab_Calculs[[#This Row],[Colonne1]],"!$B$2:$B$243"))&gt;=Calculs_Consos!$A230,INDIRECT(CONCATENATE(Tab_Calculs[[#This Row],[Colonne1]],"!$B$2:$B$243"))))</f>
        <v>0</v>
      </c>
      <c r="I230" s="3" t="e">
        <f ca="1">INDEX(INDIRECT(CONCATENATE("Tab_",Tab_Calculs[[#This Row],[Colonne1]])),Tab_Calculs[[#This Row],[index_date_livraison]],1)</f>
        <v>#NUM!</v>
      </c>
      <c r="J230">
        <f ca="1">MATCH(Tab_Calculs[[#This Row],[Date_livraison]],INDIRECT(CONCATENATE("Tab_",Tab_Calculs[[#This Row],[Colonne1]],"[Fin de période]")),0)</f>
        <v>1</v>
      </c>
      <c r="K230" t="e">
        <f ca="1">INDEX(INDIRECT(CONCATENATE("Tab_",Tab_Calculs[[#This Row],[Colonne1]])),Tab_Calculs[[#This Row],[index_date_livraison]]-1,6)*(MAX(Tab_Calculs[[#This Row],[Début periode livraison]],Tab_Calculs[[#This Row],[Début mois]])-Tab_Calculs[[#This Row],[Début mois]])</f>
        <v>#VALUE!</v>
      </c>
      <c r="L230" s="94" t="e">
        <f ca="1">INDEX(INDIRECT(CONCATENATE("Tab_",Tab_Calculs[[#This Row],[Colonne1]])),Tab_Calculs[[#This Row],[index_date_livraison]],6)*(1+MIN(Tab_Calculs[[#This Row],[Date_livraison]],Tab_Calculs[[#This Row],[fin mois]])-MAX(Tab_Calculs[[#This Row],[Début mois]],Tab_Calculs[[#This Row],[Début periode livraison]]))</f>
        <v>#NUM!</v>
      </c>
      <c r="M230" s="94" t="e">
        <f ca="1">INDEX(INDIRECT(CONCATENATE("Tab_",Tab_Calculs[[#This Row],[Colonne1]])),Tab_Calculs[[#This Row],[index_date_livraison]]+1,6)*(Tab_Calculs[[#This Row],[fin mois]]-MIN(Tab_Calculs[[#This Row],[fin mois]],Tab_Calculs[[#This Row],[Date_livraison]]))</f>
        <v>#VALUE!</v>
      </c>
      <c r="N230" s="231" t="str">
        <f ca="1">IFERROR(Tab_Calculs[[#This Row],[Ratio_jour_après_livr]]+Tab_Calculs[[#This Row],[Ratio_jour_avant_livr]]+Tab_Calculs[[#This Row],[ratio_avant_debut]],"")</f>
        <v/>
      </c>
      <c r="O230" t="e">
        <f ca="1">INDEX(INDIRECT(CONCATENATE("Tab_",Tab_Calculs[[#This Row],[Colonne1]])),Tab_Calculs[[#This Row],[index_date_livraison]]-1,7)*(MAX(Tab_Calculs[[#This Row],[Début periode livraison]],Tab_Calculs[[#This Row],[Début mois]])-Tab_Calculs[[#This Row],[Début mois]])</f>
        <v>#VALUE!</v>
      </c>
      <c r="P230" t="e">
        <f ca="1">INDEX(INDIRECT(CONCATENATE("Tab_",Tab_Calculs[[#This Row],[Colonne1]])),Tab_Calculs[[#This Row],[index_date_livraison]],7)*(1+MIN(Tab_Calculs[[#This Row],[Date_livraison]],Tab_Calculs[[#This Row],[fin mois]])-MAX(Tab_Calculs[[#This Row],[Début mois]],Tab_Calculs[[#This Row],[Début periode livraison]]))</f>
        <v>#NUM!</v>
      </c>
      <c r="Q230" t="e">
        <f ca="1">INDEX(INDIRECT(CONCATENATE("Tab_",Tab_Calculs[[#This Row],[Colonne1]])),Tab_Calculs[[#This Row],[index_date_livraison]]+1,7)*(Tab_Calculs[[#This Row],[fin mois]]-MIN(Tab_Calculs[[#This Row],[fin mois]],Tab_Calculs[[#This Row],[Date_livraison]]))</f>
        <v>#VALUE!</v>
      </c>
      <c r="R230" t="e">
        <f ca="1">Tab_Calculs[[#This Row],[Ratio_Cout_après_livr]]+Tab_Calculs[[#This Row],[Ratio_Cout_avant_livr]]+Tab_Calculs[[#This Row],[Ratio_Cout_avant_debut]]</f>
        <v>#VALUE!</v>
      </c>
      <c r="S230" t="str">
        <f ca="1">IFERROR(N230*VLOOKUP(Tab_Calculs[[#This Row],[Colonne1]],Controle_des_données!$B$7:$G$14,6,FALSE),"")</f>
        <v/>
      </c>
      <c r="T230" t="str">
        <f ca="1">IF(Tab_Calculs[[#This Row],[Combustible ]]="Electricité (kWh)",Tab_Calculs[[#This Row],[Conso_mois_kWh]]*2.3,Tab_Calculs[[#This Row],[Conso_mois_kWh]])</f>
        <v/>
      </c>
      <c r="U230" t="str">
        <f ca="1">IFERROR(N230*VLOOKUP(Tab_Calculs[[#This Row],[Colonne1]],Controle_des_données!$B$7:$H$14,7,FALSE),"")</f>
        <v/>
      </c>
      <c r="V230">
        <f ca="1">IFERROR(Tab_Calculs[[#This Row],[Cout_mois]]/Tab_Calculs[[#This Row],[Conso_mois_kWh]],0)</f>
        <v>0</v>
      </c>
      <c r="W230" t="str">
        <f>T(VLOOKUP(Tab_Calculs[[#This Row],[Compteur]],Site!$B$33:$G$40,3,FALSE))</f>
        <v/>
      </c>
      <c r="X230" t="str">
        <f>T(VLOOKUP(Tab_Calculs[[#This Row],[Compteur]],Site!$B$33:$G$40,4,FALSE))</f>
        <v/>
      </c>
      <c r="Y230" t="str">
        <f>T(VLOOKUP(Tab_Calculs[[#This Row],[Compteur]],Site!$B$33:$G$40,5,FALSE))</f>
        <v/>
      </c>
      <c r="Z230" t="str">
        <f>T(VLOOKUP(Tab_Calculs[[#This Row],[Compteur]],Site!$B$33:$G$40,6,FALSE))</f>
        <v/>
      </c>
      <c r="AA230">
        <f>IFERROR(GETPIVOTDATA("DJU(chauffagiste)",BDD_DJU!$P$13,"annee",Tab_Calculs[[#This Row],[ANNEE]],"mois_numero",Tab_Calculs[[#This Row],[MOIS]]),0)</f>
        <v>59.4</v>
      </c>
    </row>
    <row r="231" spans="1:27" x14ac:dyDescent="0.25">
      <c r="A231" s="3">
        <f>DATE(Tab_Calculs[[#This Row],[ANNEE]],Tab_Calculs[[#This Row],[MOIS]],1)</f>
        <v>41091</v>
      </c>
      <c r="B231" s="3">
        <f>EDATE(Tab_Calculs[[#This Row],[Début mois]],1)-1</f>
        <v>41121</v>
      </c>
      <c r="C231">
        <v>7</v>
      </c>
      <c r="D231">
        <v>2012</v>
      </c>
      <c r="E231" t="s">
        <v>81</v>
      </c>
      <c r="F231" t="str">
        <f>SUBSTITUTE(Tab_Calculs[[#This Row],[Compteur]]," ","_")</f>
        <v>Compteur_2</v>
      </c>
      <c r="G231" t="str">
        <f>T(INDEX(Site!$B$33:$G$40, MATCH(Tab_Calculs[[#This Row],[Compteur]], Site!$B$33:$B$40,0),2))</f>
        <v/>
      </c>
      <c r="H231" s="3">
        <f t="array" aca="1" ref="H231" ca="1">MIN(IF(INDIRECT(CONCATENATE(Tab_Calculs[[#This Row],[Colonne1]],"!$B$2:$B$243"))&gt;=Calculs_Consos!$A231,INDIRECT(CONCATENATE(Tab_Calculs[[#This Row],[Colonne1]],"!$B$2:$B$243"))))</f>
        <v>0</v>
      </c>
      <c r="I231" s="3" t="e">
        <f ca="1">INDEX(INDIRECT(CONCATENATE("Tab_",Tab_Calculs[[#This Row],[Colonne1]])),Tab_Calculs[[#This Row],[index_date_livraison]],1)</f>
        <v>#NUM!</v>
      </c>
      <c r="J231">
        <f ca="1">MATCH(Tab_Calculs[[#This Row],[Date_livraison]],INDIRECT(CONCATENATE("Tab_",Tab_Calculs[[#This Row],[Colonne1]],"[Fin de période]")),0)</f>
        <v>1</v>
      </c>
      <c r="K231" t="e">
        <f ca="1">INDEX(INDIRECT(CONCATENATE("Tab_",Tab_Calculs[[#This Row],[Colonne1]])),Tab_Calculs[[#This Row],[index_date_livraison]]-1,6)*(MAX(Tab_Calculs[[#This Row],[Début periode livraison]],Tab_Calculs[[#This Row],[Début mois]])-Tab_Calculs[[#This Row],[Début mois]])</f>
        <v>#VALUE!</v>
      </c>
      <c r="L231" s="94" t="e">
        <f ca="1">INDEX(INDIRECT(CONCATENATE("Tab_",Tab_Calculs[[#This Row],[Colonne1]])),Tab_Calculs[[#This Row],[index_date_livraison]],6)*(1+MIN(Tab_Calculs[[#This Row],[Date_livraison]],Tab_Calculs[[#This Row],[fin mois]])-MAX(Tab_Calculs[[#This Row],[Début mois]],Tab_Calculs[[#This Row],[Début periode livraison]]))</f>
        <v>#NUM!</v>
      </c>
      <c r="M231" s="94" t="e">
        <f ca="1">INDEX(INDIRECT(CONCATENATE("Tab_",Tab_Calculs[[#This Row],[Colonne1]])),Tab_Calculs[[#This Row],[index_date_livraison]]+1,6)*(Tab_Calculs[[#This Row],[fin mois]]-MIN(Tab_Calculs[[#This Row],[fin mois]],Tab_Calculs[[#This Row],[Date_livraison]]))</f>
        <v>#VALUE!</v>
      </c>
      <c r="N231" s="231" t="str">
        <f ca="1">IFERROR(Tab_Calculs[[#This Row],[Ratio_jour_après_livr]]+Tab_Calculs[[#This Row],[Ratio_jour_avant_livr]]+Tab_Calculs[[#This Row],[ratio_avant_debut]],"")</f>
        <v/>
      </c>
      <c r="O231" t="e">
        <f ca="1">INDEX(INDIRECT(CONCATENATE("Tab_",Tab_Calculs[[#This Row],[Colonne1]])),Tab_Calculs[[#This Row],[index_date_livraison]]-1,7)*(MAX(Tab_Calculs[[#This Row],[Début periode livraison]],Tab_Calculs[[#This Row],[Début mois]])-Tab_Calculs[[#This Row],[Début mois]])</f>
        <v>#VALUE!</v>
      </c>
      <c r="P231" t="e">
        <f ca="1">INDEX(INDIRECT(CONCATENATE("Tab_",Tab_Calculs[[#This Row],[Colonne1]])),Tab_Calculs[[#This Row],[index_date_livraison]],7)*(1+MIN(Tab_Calculs[[#This Row],[Date_livraison]],Tab_Calculs[[#This Row],[fin mois]])-MAX(Tab_Calculs[[#This Row],[Début mois]],Tab_Calculs[[#This Row],[Début periode livraison]]))</f>
        <v>#NUM!</v>
      </c>
      <c r="Q231" t="e">
        <f ca="1">INDEX(INDIRECT(CONCATENATE("Tab_",Tab_Calculs[[#This Row],[Colonne1]])),Tab_Calculs[[#This Row],[index_date_livraison]]+1,7)*(Tab_Calculs[[#This Row],[fin mois]]-MIN(Tab_Calculs[[#This Row],[fin mois]],Tab_Calculs[[#This Row],[Date_livraison]]))</f>
        <v>#VALUE!</v>
      </c>
      <c r="R231" t="e">
        <f ca="1">Tab_Calculs[[#This Row],[Ratio_Cout_après_livr]]+Tab_Calculs[[#This Row],[Ratio_Cout_avant_livr]]+Tab_Calculs[[#This Row],[Ratio_Cout_avant_debut]]</f>
        <v>#VALUE!</v>
      </c>
      <c r="S231" t="str">
        <f ca="1">IFERROR(N231*VLOOKUP(Tab_Calculs[[#This Row],[Colonne1]],Controle_des_données!$B$7:$G$14,6,FALSE),"")</f>
        <v/>
      </c>
      <c r="T231" t="str">
        <f ca="1">IF(Tab_Calculs[[#This Row],[Combustible ]]="Electricité (kWh)",Tab_Calculs[[#This Row],[Conso_mois_kWh]]*2.3,Tab_Calculs[[#This Row],[Conso_mois_kWh]])</f>
        <v/>
      </c>
      <c r="U231" t="str">
        <f ca="1">IFERROR(N231*VLOOKUP(Tab_Calculs[[#This Row],[Colonne1]],Controle_des_données!$B$7:$H$14,7,FALSE),"")</f>
        <v/>
      </c>
      <c r="V231">
        <f ca="1">IFERROR(Tab_Calculs[[#This Row],[Cout_mois]]/Tab_Calculs[[#This Row],[Conso_mois_kWh]],0)</f>
        <v>0</v>
      </c>
      <c r="W231" t="str">
        <f>T(VLOOKUP(Tab_Calculs[[#This Row],[Compteur]],Site!$B$33:$G$40,3,FALSE))</f>
        <v/>
      </c>
      <c r="X231" t="str">
        <f>T(VLOOKUP(Tab_Calculs[[#This Row],[Compteur]],Site!$B$33:$G$40,4,FALSE))</f>
        <v/>
      </c>
      <c r="Y231" t="str">
        <f>T(VLOOKUP(Tab_Calculs[[#This Row],[Compteur]],Site!$B$33:$G$40,5,FALSE))</f>
        <v/>
      </c>
      <c r="Z231" t="str">
        <f>T(VLOOKUP(Tab_Calculs[[#This Row],[Compteur]],Site!$B$33:$G$40,6,FALSE))</f>
        <v/>
      </c>
      <c r="AA231">
        <f>IFERROR(GETPIVOTDATA("DJU(chauffagiste)",BDD_DJU!$P$13,"annee",Tab_Calculs[[#This Row],[ANNEE]],"mois_numero",Tab_Calculs[[#This Row],[MOIS]]),0)</f>
        <v>48.9</v>
      </c>
    </row>
    <row r="232" spans="1:27" x14ac:dyDescent="0.25">
      <c r="A232" s="3">
        <f>DATE(Tab_Calculs[[#This Row],[ANNEE]],Tab_Calculs[[#This Row],[MOIS]],1)</f>
        <v>41122</v>
      </c>
      <c r="B232" s="3">
        <f>EDATE(Tab_Calculs[[#This Row],[Début mois]],1)-1</f>
        <v>41152</v>
      </c>
      <c r="C232">
        <v>8</v>
      </c>
      <c r="D232">
        <v>2012</v>
      </c>
      <c r="E232" t="s">
        <v>81</v>
      </c>
      <c r="F232" t="str">
        <f>SUBSTITUTE(Tab_Calculs[[#This Row],[Compteur]]," ","_")</f>
        <v>Compteur_2</v>
      </c>
      <c r="G232" t="str">
        <f>T(INDEX(Site!$B$33:$G$40, MATCH(Tab_Calculs[[#This Row],[Compteur]], Site!$B$33:$B$40,0),2))</f>
        <v/>
      </c>
      <c r="H232" s="3">
        <f t="array" aca="1" ref="H232" ca="1">MIN(IF(INDIRECT(CONCATENATE(Tab_Calculs[[#This Row],[Colonne1]],"!$B$2:$B$243"))&gt;=Calculs_Consos!$A232,INDIRECT(CONCATENATE(Tab_Calculs[[#This Row],[Colonne1]],"!$B$2:$B$243"))))</f>
        <v>0</v>
      </c>
      <c r="I232" s="3" t="e">
        <f ca="1">INDEX(INDIRECT(CONCATENATE("Tab_",Tab_Calculs[[#This Row],[Colonne1]])),Tab_Calculs[[#This Row],[index_date_livraison]],1)</f>
        <v>#NUM!</v>
      </c>
      <c r="J232">
        <f ca="1">MATCH(Tab_Calculs[[#This Row],[Date_livraison]],INDIRECT(CONCATENATE("Tab_",Tab_Calculs[[#This Row],[Colonne1]],"[Fin de période]")),0)</f>
        <v>1</v>
      </c>
      <c r="K232" t="e">
        <f ca="1">INDEX(INDIRECT(CONCATENATE("Tab_",Tab_Calculs[[#This Row],[Colonne1]])),Tab_Calculs[[#This Row],[index_date_livraison]]-1,6)*(MAX(Tab_Calculs[[#This Row],[Début periode livraison]],Tab_Calculs[[#This Row],[Début mois]])-Tab_Calculs[[#This Row],[Début mois]])</f>
        <v>#VALUE!</v>
      </c>
      <c r="L232" s="94" t="e">
        <f ca="1">INDEX(INDIRECT(CONCATENATE("Tab_",Tab_Calculs[[#This Row],[Colonne1]])),Tab_Calculs[[#This Row],[index_date_livraison]],6)*(1+MIN(Tab_Calculs[[#This Row],[Date_livraison]],Tab_Calculs[[#This Row],[fin mois]])-MAX(Tab_Calculs[[#This Row],[Début mois]],Tab_Calculs[[#This Row],[Début periode livraison]]))</f>
        <v>#NUM!</v>
      </c>
      <c r="M232" s="94" t="e">
        <f ca="1">INDEX(INDIRECT(CONCATENATE("Tab_",Tab_Calculs[[#This Row],[Colonne1]])),Tab_Calculs[[#This Row],[index_date_livraison]]+1,6)*(Tab_Calculs[[#This Row],[fin mois]]-MIN(Tab_Calculs[[#This Row],[fin mois]],Tab_Calculs[[#This Row],[Date_livraison]]))</f>
        <v>#VALUE!</v>
      </c>
      <c r="N232" s="231" t="str">
        <f ca="1">IFERROR(Tab_Calculs[[#This Row],[Ratio_jour_après_livr]]+Tab_Calculs[[#This Row],[Ratio_jour_avant_livr]]+Tab_Calculs[[#This Row],[ratio_avant_debut]],"")</f>
        <v/>
      </c>
      <c r="O232" t="e">
        <f ca="1">INDEX(INDIRECT(CONCATENATE("Tab_",Tab_Calculs[[#This Row],[Colonne1]])),Tab_Calculs[[#This Row],[index_date_livraison]]-1,7)*(MAX(Tab_Calculs[[#This Row],[Début periode livraison]],Tab_Calculs[[#This Row],[Début mois]])-Tab_Calculs[[#This Row],[Début mois]])</f>
        <v>#VALUE!</v>
      </c>
      <c r="P232" t="e">
        <f ca="1">INDEX(INDIRECT(CONCATENATE("Tab_",Tab_Calculs[[#This Row],[Colonne1]])),Tab_Calculs[[#This Row],[index_date_livraison]],7)*(1+MIN(Tab_Calculs[[#This Row],[Date_livraison]],Tab_Calculs[[#This Row],[fin mois]])-MAX(Tab_Calculs[[#This Row],[Début mois]],Tab_Calculs[[#This Row],[Début periode livraison]]))</f>
        <v>#NUM!</v>
      </c>
      <c r="Q232" t="e">
        <f ca="1">INDEX(INDIRECT(CONCATENATE("Tab_",Tab_Calculs[[#This Row],[Colonne1]])),Tab_Calculs[[#This Row],[index_date_livraison]]+1,7)*(Tab_Calculs[[#This Row],[fin mois]]-MIN(Tab_Calculs[[#This Row],[fin mois]],Tab_Calculs[[#This Row],[Date_livraison]]))</f>
        <v>#VALUE!</v>
      </c>
      <c r="R232" t="e">
        <f ca="1">Tab_Calculs[[#This Row],[Ratio_Cout_après_livr]]+Tab_Calculs[[#This Row],[Ratio_Cout_avant_livr]]+Tab_Calculs[[#This Row],[Ratio_Cout_avant_debut]]</f>
        <v>#VALUE!</v>
      </c>
      <c r="S232" t="str">
        <f ca="1">IFERROR(N232*VLOOKUP(Tab_Calculs[[#This Row],[Colonne1]],Controle_des_données!$B$7:$G$14,6,FALSE),"")</f>
        <v/>
      </c>
      <c r="T232" t="str">
        <f ca="1">IF(Tab_Calculs[[#This Row],[Combustible ]]="Electricité (kWh)",Tab_Calculs[[#This Row],[Conso_mois_kWh]]*2.3,Tab_Calculs[[#This Row],[Conso_mois_kWh]])</f>
        <v/>
      </c>
      <c r="U232" t="str">
        <f ca="1">IFERROR(N232*VLOOKUP(Tab_Calculs[[#This Row],[Colonne1]],Controle_des_données!$B$7:$H$14,7,FALSE),"")</f>
        <v/>
      </c>
      <c r="V232">
        <f ca="1">IFERROR(Tab_Calculs[[#This Row],[Cout_mois]]/Tab_Calculs[[#This Row],[Conso_mois_kWh]],0)</f>
        <v>0</v>
      </c>
      <c r="W232" t="str">
        <f>T(VLOOKUP(Tab_Calculs[[#This Row],[Compteur]],Site!$B$33:$G$40,3,FALSE))</f>
        <v/>
      </c>
      <c r="X232" t="str">
        <f>T(VLOOKUP(Tab_Calculs[[#This Row],[Compteur]],Site!$B$33:$G$40,4,FALSE))</f>
        <v/>
      </c>
      <c r="Y232" t="str">
        <f>T(VLOOKUP(Tab_Calculs[[#This Row],[Compteur]],Site!$B$33:$G$40,5,FALSE))</f>
        <v/>
      </c>
      <c r="Z232" t="str">
        <f>T(VLOOKUP(Tab_Calculs[[#This Row],[Compteur]],Site!$B$33:$G$40,6,FALSE))</f>
        <v/>
      </c>
      <c r="AA232">
        <f>IFERROR(GETPIVOTDATA("DJU(chauffagiste)",BDD_DJU!$P$13,"annee",Tab_Calculs[[#This Row],[ANNEE]],"mois_numero",Tab_Calculs[[#This Row],[MOIS]]),0)</f>
        <v>28.8</v>
      </c>
    </row>
    <row r="233" spans="1:27" x14ac:dyDescent="0.25">
      <c r="A233" s="3">
        <f>DATE(Tab_Calculs[[#This Row],[ANNEE]],Tab_Calculs[[#This Row],[MOIS]],1)</f>
        <v>41153</v>
      </c>
      <c r="B233" s="3">
        <f>EDATE(Tab_Calculs[[#This Row],[Début mois]],1)-1</f>
        <v>41182</v>
      </c>
      <c r="C233">
        <v>9</v>
      </c>
      <c r="D233">
        <v>2012</v>
      </c>
      <c r="E233" t="s">
        <v>81</v>
      </c>
      <c r="F233" t="str">
        <f>SUBSTITUTE(Tab_Calculs[[#This Row],[Compteur]]," ","_")</f>
        <v>Compteur_2</v>
      </c>
      <c r="G233" t="str">
        <f>T(INDEX(Site!$B$33:$G$40, MATCH(Tab_Calculs[[#This Row],[Compteur]], Site!$B$33:$B$40,0),2))</f>
        <v/>
      </c>
      <c r="H233" s="3">
        <f t="array" aca="1" ref="H233" ca="1">MIN(IF(INDIRECT(CONCATENATE(Tab_Calculs[[#This Row],[Colonne1]],"!$B$2:$B$243"))&gt;=Calculs_Consos!$A233,INDIRECT(CONCATENATE(Tab_Calculs[[#This Row],[Colonne1]],"!$B$2:$B$243"))))</f>
        <v>0</v>
      </c>
      <c r="I233" s="3" t="e">
        <f ca="1">INDEX(INDIRECT(CONCATENATE("Tab_",Tab_Calculs[[#This Row],[Colonne1]])),Tab_Calculs[[#This Row],[index_date_livraison]],1)</f>
        <v>#NUM!</v>
      </c>
      <c r="J233">
        <f ca="1">MATCH(Tab_Calculs[[#This Row],[Date_livraison]],INDIRECT(CONCATENATE("Tab_",Tab_Calculs[[#This Row],[Colonne1]],"[Fin de période]")),0)</f>
        <v>1</v>
      </c>
      <c r="K233" t="e">
        <f ca="1">INDEX(INDIRECT(CONCATENATE("Tab_",Tab_Calculs[[#This Row],[Colonne1]])),Tab_Calculs[[#This Row],[index_date_livraison]]-1,6)*(MAX(Tab_Calculs[[#This Row],[Début periode livraison]],Tab_Calculs[[#This Row],[Début mois]])-Tab_Calculs[[#This Row],[Début mois]])</f>
        <v>#VALUE!</v>
      </c>
      <c r="L233" s="94" t="e">
        <f ca="1">INDEX(INDIRECT(CONCATENATE("Tab_",Tab_Calculs[[#This Row],[Colonne1]])),Tab_Calculs[[#This Row],[index_date_livraison]],6)*(1+MIN(Tab_Calculs[[#This Row],[Date_livraison]],Tab_Calculs[[#This Row],[fin mois]])-MAX(Tab_Calculs[[#This Row],[Début mois]],Tab_Calculs[[#This Row],[Début periode livraison]]))</f>
        <v>#NUM!</v>
      </c>
      <c r="M233" s="94" t="e">
        <f ca="1">INDEX(INDIRECT(CONCATENATE("Tab_",Tab_Calculs[[#This Row],[Colonne1]])),Tab_Calculs[[#This Row],[index_date_livraison]]+1,6)*(Tab_Calculs[[#This Row],[fin mois]]-MIN(Tab_Calculs[[#This Row],[fin mois]],Tab_Calculs[[#This Row],[Date_livraison]]))</f>
        <v>#VALUE!</v>
      </c>
      <c r="N233" s="231" t="str">
        <f ca="1">IFERROR(Tab_Calculs[[#This Row],[Ratio_jour_après_livr]]+Tab_Calculs[[#This Row],[Ratio_jour_avant_livr]]+Tab_Calculs[[#This Row],[ratio_avant_debut]],"")</f>
        <v/>
      </c>
      <c r="O233" t="e">
        <f ca="1">INDEX(INDIRECT(CONCATENATE("Tab_",Tab_Calculs[[#This Row],[Colonne1]])),Tab_Calculs[[#This Row],[index_date_livraison]]-1,7)*(MAX(Tab_Calculs[[#This Row],[Début periode livraison]],Tab_Calculs[[#This Row],[Début mois]])-Tab_Calculs[[#This Row],[Début mois]])</f>
        <v>#VALUE!</v>
      </c>
      <c r="P233" t="e">
        <f ca="1">INDEX(INDIRECT(CONCATENATE("Tab_",Tab_Calculs[[#This Row],[Colonne1]])),Tab_Calculs[[#This Row],[index_date_livraison]],7)*(1+MIN(Tab_Calculs[[#This Row],[Date_livraison]],Tab_Calculs[[#This Row],[fin mois]])-MAX(Tab_Calculs[[#This Row],[Début mois]],Tab_Calculs[[#This Row],[Début periode livraison]]))</f>
        <v>#NUM!</v>
      </c>
      <c r="Q233" t="e">
        <f ca="1">INDEX(INDIRECT(CONCATENATE("Tab_",Tab_Calculs[[#This Row],[Colonne1]])),Tab_Calculs[[#This Row],[index_date_livraison]]+1,7)*(Tab_Calculs[[#This Row],[fin mois]]-MIN(Tab_Calculs[[#This Row],[fin mois]],Tab_Calculs[[#This Row],[Date_livraison]]))</f>
        <v>#VALUE!</v>
      </c>
      <c r="R233" t="e">
        <f ca="1">Tab_Calculs[[#This Row],[Ratio_Cout_après_livr]]+Tab_Calculs[[#This Row],[Ratio_Cout_avant_livr]]+Tab_Calculs[[#This Row],[Ratio_Cout_avant_debut]]</f>
        <v>#VALUE!</v>
      </c>
      <c r="S233" t="str">
        <f ca="1">IFERROR(N233*VLOOKUP(Tab_Calculs[[#This Row],[Colonne1]],Controle_des_données!$B$7:$G$14,6,FALSE),"")</f>
        <v/>
      </c>
      <c r="T233" t="str">
        <f ca="1">IF(Tab_Calculs[[#This Row],[Combustible ]]="Electricité (kWh)",Tab_Calculs[[#This Row],[Conso_mois_kWh]]*2.3,Tab_Calculs[[#This Row],[Conso_mois_kWh]])</f>
        <v/>
      </c>
      <c r="U233" t="str">
        <f ca="1">IFERROR(N233*VLOOKUP(Tab_Calculs[[#This Row],[Colonne1]],Controle_des_données!$B$7:$H$14,7,FALSE),"")</f>
        <v/>
      </c>
      <c r="V233">
        <f ca="1">IFERROR(Tab_Calculs[[#This Row],[Cout_mois]]/Tab_Calculs[[#This Row],[Conso_mois_kWh]],0)</f>
        <v>0</v>
      </c>
      <c r="W233" t="str">
        <f>T(VLOOKUP(Tab_Calculs[[#This Row],[Compteur]],Site!$B$33:$G$40,3,FALSE))</f>
        <v/>
      </c>
      <c r="X233" t="str">
        <f>T(VLOOKUP(Tab_Calculs[[#This Row],[Compteur]],Site!$B$33:$G$40,4,FALSE))</f>
        <v/>
      </c>
      <c r="Y233" t="str">
        <f>T(VLOOKUP(Tab_Calculs[[#This Row],[Compteur]],Site!$B$33:$G$40,5,FALSE))</f>
        <v/>
      </c>
      <c r="Z233" t="str">
        <f>T(VLOOKUP(Tab_Calculs[[#This Row],[Compteur]],Site!$B$33:$G$40,6,FALSE))</f>
        <v/>
      </c>
      <c r="AA233">
        <f>IFERROR(GETPIVOTDATA("DJU(chauffagiste)",BDD_DJU!$P$13,"annee",Tab_Calculs[[#This Row],[ANNEE]],"mois_numero",Tab_Calculs[[#This Row],[MOIS]]),0)</f>
        <v>108.1</v>
      </c>
    </row>
    <row r="234" spans="1:27" x14ac:dyDescent="0.25">
      <c r="A234" s="3">
        <f>DATE(Tab_Calculs[[#This Row],[ANNEE]],Tab_Calculs[[#This Row],[MOIS]],1)</f>
        <v>41183</v>
      </c>
      <c r="B234" s="3">
        <f>EDATE(Tab_Calculs[[#This Row],[Début mois]],1)-1</f>
        <v>41213</v>
      </c>
      <c r="C234">
        <v>10</v>
      </c>
      <c r="D234">
        <v>2012</v>
      </c>
      <c r="E234" t="s">
        <v>81</v>
      </c>
      <c r="F234" t="str">
        <f>SUBSTITUTE(Tab_Calculs[[#This Row],[Compteur]]," ","_")</f>
        <v>Compteur_2</v>
      </c>
      <c r="G234" t="str">
        <f>T(INDEX(Site!$B$33:$G$40, MATCH(Tab_Calculs[[#This Row],[Compteur]], Site!$B$33:$B$40,0),2))</f>
        <v/>
      </c>
      <c r="H234" s="3">
        <f t="array" aca="1" ref="H234" ca="1">MIN(IF(INDIRECT(CONCATENATE(Tab_Calculs[[#This Row],[Colonne1]],"!$B$2:$B$243"))&gt;=Calculs_Consos!$A234,INDIRECT(CONCATENATE(Tab_Calculs[[#This Row],[Colonne1]],"!$B$2:$B$243"))))</f>
        <v>0</v>
      </c>
      <c r="I234" s="3" t="e">
        <f ca="1">INDEX(INDIRECT(CONCATENATE("Tab_",Tab_Calculs[[#This Row],[Colonne1]])),Tab_Calculs[[#This Row],[index_date_livraison]],1)</f>
        <v>#NUM!</v>
      </c>
      <c r="J234">
        <f ca="1">MATCH(Tab_Calculs[[#This Row],[Date_livraison]],INDIRECT(CONCATENATE("Tab_",Tab_Calculs[[#This Row],[Colonne1]],"[Fin de période]")),0)</f>
        <v>1</v>
      </c>
      <c r="K234" t="e">
        <f ca="1">INDEX(INDIRECT(CONCATENATE("Tab_",Tab_Calculs[[#This Row],[Colonne1]])),Tab_Calculs[[#This Row],[index_date_livraison]]-1,6)*(MAX(Tab_Calculs[[#This Row],[Début periode livraison]],Tab_Calculs[[#This Row],[Début mois]])-Tab_Calculs[[#This Row],[Début mois]])</f>
        <v>#VALUE!</v>
      </c>
      <c r="L234" s="94" t="e">
        <f ca="1">INDEX(INDIRECT(CONCATENATE("Tab_",Tab_Calculs[[#This Row],[Colonne1]])),Tab_Calculs[[#This Row],[index_date_livraison]],6)*(1+MIN(Tab_Calculs[[#This Row],[Date_livraison]],Tab_Calculs[[#This Row],[fin mois]])-MAX(Tab_Calculs[[#This Row],[Début mois]],Tab_Calculs[[#This Row],[Début periode livraison]]))</f>
        <v>#NUM!</v>
      </c>
      <c r="M234" s="94" t="e">
        <f ca="1">INDEX(INDIRECT(CONCATENATE("Tab_",Tab_Calculs[[#This Row],[Colonne1]])),Tab_Calculs[[#This Row],[index_date_livraison]]+1,6)*(Tab_Calculs[[#This Row],[fin mois]]-MIN(Tab_Calculs[[#This Row],[fin mois]],Tab_Calculs[[#This Row],[Date_livraison]]))</f>
        <v>#VALUE!</v>
      </c>
      <c r="N234" s="231" t="str">
        <f ca="1">IFERROR(Tab_Calculs[[#This Row],[Ratio_jour_après_livr]]+Tab_Calculs[[#This Row],[Ratio_jour_avant_livr]]+Tab_Calculs[[#This Row],[ratio_avant_debut]],"")</f>
        <v/>
      </c>
      <c r="O234" t="e">
        <f ca="1">INDEX(INDIRECT(CONCATENATE("Tab_",Tab_Calculs[[#This Row],[Colonne1]])),Tab_Calculs[[#This Row],[index_date_livraison]]-1,7)*(MAX(Tab_Calculs[[#This Row],[Début periode livraison]],Tab_Calculs[[#This Row],[Début mois]])-Tab_Calculs[[#This Row],[Début mois]])</f>
        <v>#VALUE!</v>
      </c>
      <c r="P234" t="e">
        <f ca="1">INDEX(INDIRECT(CONCATENATE("Tab_",Tab_Calculs[[#This Row],[Colonne1]])),Tab_Calculs[[#This Row],[index_date_livraison]],7)*(1+MIN(Tab_Calculs[[#This Row],[Date_livraison]],Tab_Calculs[[#This Row],[fin mois]])-MAX(Tab_Calculs[[#This Row],[Début mois]],Tab_Calculs[[#This Row],[Début periode livraison]]))</f>
        <v>#NUM!</v>
      </c>
      <c r="Q234" t="e">
        <f ca="1">INDEX(INDIRECT(CONCATENATE("Tab_",Tab_Calculs[[#This Row],[Colonne1]])),Tab_Calculs[[#This Row],[index_date_livraison]]+1,7)*(Tab_Calculs[[#This Row],[fin mois]]-MIN(Tab_Calculs[[#This Row],[fin mois]],Tab_Calculs[[#This Row],[Date_livraison]]))</f>
        <v>#VALUE!</v>
      </c>
      <c r="R234" t="e">
        <f ca="1">Tab_Calculs[[#This Row],[Ratio_Cout_après_livr]]+Tab_Calculs[[#This Row],[Ratio_Cout_avant_livr]]+Tab_Calculs[[#This Row],[Ratio_Cout_avant_debut]]</f>
        <v>#VALUE!</v>
      </c>
      <c r="S234" t="str">
        <f ca="1">IFERROR(N234*VLOOKUP(Tab_Calculs[[#This Row],[Colonne1]],Controle_des_données!$B$7:$G$14,6,FALSE),"")</f>
        <v/>
      </c>
      <c r="T234" t="str">
        <f ca="1">IF(Tab_Calculs[[#This Row],[Combustible ]]="Electricité (kWh)",Tab_Calculs[[#This Row],[Conso_mois_kWh]]*2.3,Tab_Calculs[[#This Row],[Conso_mois_kWh]])</f>
        <v/>
      </c>
      <c r="U234" t="str">
        <f ca="1">IFERROR(N234*VLOOKUP(Tab_Calculs[[#This Row],[Colonne1]],Controle_des_données!$B$7:$H$14,7,FALSE),"")</f>
        <v/>
      </c>
      <c r="V234">
        <f ca="1">IFERROR(Tab_Calculs[[#This Row],[Cout_mois]]/Tab_Calculs[[#This Row],[Conso_mois_kWh]],0)</f>
        <v>0</v>
      </c>
      <c r="W234" t="str">
        <f>T(VLOOKUP(Tab_Calculs[[#This Row],[Compteur]],Site!$B$33:$G$40,3,FALSE))</f>
        <v/>
      </c>
      <c r="X234" t="str">
        <f>T(VLOOKUP(Tab_Calculs[[#This Row],[Compteur]],Site!$B$33:$G$40,4,FALSE))</f>
        <v/>
      </c>
      <c r="Y234" t="str">
        <f>T(VLOOKUP(Tab_Calculs[[#This Row],[Compteur]],Site!$B$33:$G$40,5,FALSE))</f>
        <v/>
      </c>
      <c r="Z234" t="str">
        <f>T(VLOOKUP(Tab_Calculs[[#This Row],[Compteur]],Site!$B$33:$G$40,6,FALSE))</f>
        <v/>
      </c>
      <c r="AA234">
        <f>IFERROR(GETPIVOTDATA("DJU(chauffagiste)",BDD_DJU!$P$13,"annee",Tab_Calculs[[#This Row],[ANNEE]],"mois_numero",Tab_Calculs[[#This Row],[MOIS]]),0)</f>
        <v>161.69999999999999</v>
      </c>
    </row>
    <row r="235" spans="1:27" x14ac:dyDescent="0.25">
      <c r="A235" s="3">
        <f>DATE(Tab_Calculs[[#This Row],[ANNEE]],Tab_Calculs[[#This Row],[MOIS]],1)</f>
        <v>41214</v>
      </c>
      <c r="B235" s="3">
        <f>EDATE(Tab_Calculs[[#This Row],[Début mois]],1)-1</f>
        <v>41243</v>
      </c>
      <c r="C235">
        <v>11</v>
      </c>
      <c r="D235">
        <v>2012</v>
      </c>
      <c r="E235" t="s">
        <v>81</v>
      </c>
      <c r="F235" t="str">
        <f>SUBSTITUTE(Tab_Calculs[[#This Row],[Compteur]]," ","_")</f>
        <v>Compteur_2</v>
      </c>
      <c r="G235" t="str">
        <f>T(INDEX(Site!$B$33:$G$40, MATCH(Tab_Calculs[[#This Row],[Compteur]], Site!$B$33:$B$40,0),2))</f>
        <v/>
      </c>
      <c r="H235" s="3">
        <f t="array" aca="1" ref="H235" ca="1">MIN(IF(INDIRECT(CONCATENATE(Tab_Calculs[[#This Row],[Colonne1]],"!$B$2:$B$243"))&gt;=Calculs_Consos!$A235,INDIRECT(CONCATENATE(Tab_Calculs[[#This Row],[Colonne1]],"!$B$2:$B$243"))))</f>
        <v>0</v>
      </c>
      <c r="I235" s="3" t="e">
        <f ca="1">INDEX(INDIRECT(CONCATENATE("Tab_",Tab_Calculs[[#This Row],[Colonne1]])),Tab_Calculs[[#This Row],[index_date_livraison]],1)</f>
        <v>#NUM!</v>
      </c>
      <c r="J235">
        <f ca="1">MATCH(Tab_Calculs[[#This Row],[Date_livraison]],INDIRECT(CONCATENATE("Tab_",Tab_Calculs[[#This Row],[Colonne1]],"[Fin de période]")),0)</f>
        <v>1</v>
      </c>
      <c r="K235" t="e">
        <f ca="1">INDEX(INDIRECT(CONCATENATE("Tab_",Tab_Calculs[[#This Row],[Colonne1]])),Tab_Calculs[[#This Row],[index_date_livraison]]-1,6)*(MAX(Tab_Calculs[[#This Row],[Début periode livraison]],Tab_Calculs[[#This Row],[Début mois]])-Tab_Calculs[[#This Row],[Début mois]])</f>
        <v>#VALUE!</v>
      </c>
      <c r="L235" s="94" t="e">
        <f ca="1">INDEX(INDIRECT(CONCATENATE("Tab_",Tab_Calculs[[#This Row],[Colonne1]])),Tab_Calculs[[#This Row],[index_date_livraison]],6)*(1+MIN(Tab_Calculs[[#This Row],[Date_livraison]],Tab_Calculs[[#This Row],[fin mois]])-MAX(Tab_Calculs[[#This Row],[Début mois]],Tab_Calculs[[#This Row],[Début periode livraison]]))</f>
        <v>#NUM!</v>
      </c>
      <c r="M235" s="94" t="e">
        <f ca="1">INDEX(INDIRECT(CONCATENATE("Tab_",Tab_Calculs[[#This Row],[Colonne1]])),Tab_Calculs[[#This Row],[index_date_livraison]]+1,6)*(Tab_Calculs[[#This Row],[fin mois]]-MIN(Tab_Calculs[[#This Row],[fin mois]],Tab_Calculs[[#This Row],[Date_livraison]]))</f>
        <v>#VALUE!</v>
      </c>
      <c r="N235" s="231" t="str">
        <f ca="1">IFERROR(Tab_Calculs[[#This Row],[Ratio_jour_après_livr]]+Tab_Calculs[[#This Row],[Ratio_jour_avant_livr]]+Tab_Calculs[[#This Row],[ratio_avant_debut]],"")</f>
        <v/>
      </c>
      <c r="O235" t="e">
        <f ca="1">INDEX(INDIRECT(CONCATENATE("Tab_",Tab_Calculs[[#This Row],[Colonne1]])),Tab_Calculs[[#This Row],[index_date_livraison]]-1,7)*(MAX(Tab_Calculs[[#This Row],[Début periode livraison]],Tab_Calculs[[#This Row],[Début mois]])-Tab_Calculs[[#This Row],[Début mois]])</f>
        <v>#VALUE!</v>
      </c>
      <c r="P235" t="e">
        <f ca="1">INDEX(INDIRECT(CONCATENATE("Tab_",Tab_Calculs[[#This Row],[Colonne1]])),Tab_Calculs[[#This Row],[index_date_livraison]],7)*(1+MIN(Tab_Calculs[[#This Row],[Date_livraison]],Tab_Calculs[[#This Row],[fin mois]])-MAX(Tab_Calculs[[#This Row],[Début mois]],Tab_Calculs[[#This Row],[Début periode livraison]]))</f>
        <v>#NUM!</v>
      </c>
      <c r="Q235" t="e">
        <f ca="1">INDEX(INDIRECT(CONCATENATE("Tab_",Tab_Calculs[[#This Row],[Colonne1]])),Tab_Calculs[[#This Row],[index_date_livraison]]+1,7)*(Tab_Calculs[[#This Row],[fin mois]]-MIN(Tab_Calculs[[#This Row],[fin mois]],Tab_Calculs[[#This Row],[Date_livraison]]))</f>
        <v>#VALUE!</v>
      </c>
      <c r="R235" t="e">
        <f ca="1">Tab_Calculs[[#This Row],[Ratio_Cout_après_livr]]+Tab_Calculs[[#This Row],[Ratio_Cout_avant_livr]]+Tab_Calculs[[#This Row],[Ratio_Cout_avant_debut]]</f>
        <v>#VALUE!</v>
      </c>
      <c r="S235" t="str">
        <f ca="1">IFERROR(N235*VLOOKUP(Tab_Calculs[[#This Row],[Colonne1]],Controle_des_données!$B$7:$G$14,6,FALSE),"")</f>
        <v/>
      </c>
      <c r="T235" t="str">
        <f ca="1">IF(Tab_Calculs[[#This Row],[Combustible ]]="Electricité (kWh)",Tab_Calculs[[#This Row],[Conso_mois_kWh]]*2.3,Tab_Calculs[[#This Row],[Conso_mois_kWh]])</f>
        <v/>
      </c>
      <c r="U235" t="str">
        <f ca="1">IFERROR(N235*VLOOKUP(Tab_Calculs[[#This Row],[Colonne1]],Controle_des_données!$B$7:$H$14,7,FALSE),"")</f>
        <v/>
      </c>
      <c r="V235">
        <f ca="1">IFERROR(Tab_Calculs[[#This Row],[Cout_mois]]/Tab_Calculs[[#This Row],[Conso_mois_kWh]],0)</f>
        <v>0</v>
      </c>
      <c r="W235" t="str">
        <f>T(VLOOKUP(Tab_Calculs[[#This Row],[Compteur]],Site!$B$33:$G$40,3,FALSE))</f>
        <v/>
      </c>
      <c r="X235" t="str">
        <f>T(VLOOKUP(Tab_Calculs[[#This Row],[Compteur]],Site!$B$33:$G$40,4,FALSE))</f>
        <v/>
      </c>
      <c r="Y235" t="str">
        <f>T(VLOOKUP(Tab_Calculs[[#This Row],[Compteur]],Site!$B$33:$G$40,5,FALSE))</f>
        <v/>
      </c>
      <c r="Z235" t="str">
        <f>T(VLOOKUP(Tab_Calculs[[#This Row],[Compteur]],Site!$B$33:$G$40,6,FALSE))</f>
        <v/>
      </c>
      <c r="AA235">
        <f>IFERROR(GETPIVOTDATA("DJU(chauffagiste)",BDD_DJU!$P$13,"annee",Tab_Calculs[[#This Row],[ANNEE]],"mois_numero",Tab_Calculs[[#This Row],[MOIS]]),0)</f>
        <v>300.39999999999998</v>
      </c>
    </row>
    <row r="236" spans="1:27" x14ac:dyDescent="0.25">
      <c r="A236" s="3">
        <f>DATE(Tab_Calculs[[#This Row],[ANNEE]],Tab_Calculs[[#This Row],[MOIS]],1)</f>
        <v>41244</v>
      </c>
      <c r="B236" s="3">
        <f>EDATE(Tab_Calculs[[#This Row],[Début mois]],1)-1</f>
        <v>41274</v>
      </c>
      <c r="C236">
        <v>12</v>
      </c>
      <c r="D236">
        <v>2012</v>
      </c>
      <c r="E236" t="s">
        <v>81</v>
      </c>
      <c r="F236" t="str">
        <f>SUBSTITUTE(Tab_Calculs[[#This Row],[Compteur]]," ","_")</f>
        <v>Compteur_2</v>
      </c>
      <c r="G236" t="str">
        <f>T(INDEX(Site!$B$33:$G$40, MATCH(Tab_Calculs[[#This Row],[Compteur]], Site!$B$33:$B$40,0),2))</f>
        <v/>
      </c>
      <c r="H236" s="3">
        <f t="array" aca="1" ref="H236" ca="1">MIN(IF(INDIRECT(CONCATENATE(Tab_Calculs[[#This Row],[Colonne1]],"!$B$2:$B$243"))&gt;=Calculs_Consos!$A236,INDIRECT(CONCATENATE(Tab_Calculs[[#This Row],[Colonne1]],"!$B$2:$B$243"))))</f>
        <v>0</v>
      </c>
      <c r="I236" s="3" t="e">
        <f ca="1">INDEX(INDIRECT(CONCATENATE("Tab_",Tab_Calculs[[#This Row],[Colonne1]])),Tab_Calculs[[#This Row],[index_date_livraison]],1)</f>
        <v>#NUM!</v>
      </c>
      <c r="J236">
        <f ca="1">MATCH(Tab_Calculs[[#This Row],[Date_livraison]],INDIRECT(CONCATENATE("Tab_",Tab_Calculs[[#This Row],[Colonne1]],"[Fin de période]")),0)</f>
        <v>1</v>
      </c>
      <c r="K236" t="e">
        <f ca="1">INDEX(INDIRECT(CONCATENATE("Tab_",Tab_Calculs[[#This Row],[Colonne1]])),Tab_Calculs[[#This Row],[index_date_livraison]]-1,6)*(MAX(Tab_Calculs[[#This Row],[Début periode livraison]],Tab_Calculs[[#This Row],[Début mois]])-Tab_Calculs[[#This Row],[Début mois]])</f>
        <v>#VALUE!</v>
      </c>
      <c r="L236" s="94" t="e">
        <f ca="1">INDEX(INDIRECT(CONCATENATE("Tab_",Tab_Calculs[[#This Row],[Colonne1]])),Tab_Calculs[[#This Row],[index_date_livraison]],6)*(1+MIN(Tab_Calculs[[#This Row],[Date_livraison]],Tab_Calculs[[#This Row],[fin mois]])-MAX(Tab_Calculs[[#This Row],[Début mois]],Tab_Calculs[[#This Row],[Début periode livraison]]))</f>
        <v>#NUM!</v>
      </c>
      <c r="M236" s="94" t="e">
        <f ca="1">INDEX(INDIRECT(CONCATENATE("Tab_",Tab_Calculs[[#This Row],[Colonne1]])),Tab_Calculs[[#This Row],[index_date_livraison]]+1,6)*(Tab_Calculs[[#This Row],[fin mois]]-MIN(Tab_Calculs[[#This Row],[fin mois]],Tab_Calculs[[#This Row],[Date_livraison]]))</f>
        <v>#VALUE!</v>
      </c>
      <c r="N236" s="231" t="str">
        <f ca="1">IFERROR(Tab_Calculs[[#This Row],[Ratio_jour_après_livr]]+Tab_Calculs[[#This Row],[Ratio_jour_avant_livr]]+Tab_Calculs[[#This Row],[ratio_avant_debut]],"")</f>
        <v/>
      </c>
      <c r="O236" t="e">
        <f ca="1">INDEX(INDIRECT(CONCATENATE("Tab_",Tab_Calculs[[#This Row],[Colonne1]])),Tab_Calculs[[#This Row],[index_date_livraison]]-1,7)*(MAX(Tab_Calculs[[#This Row],[Début periode livraison]],Tab_Calculs[[#This Row],[Début mois]])-Tab_Calculs[[#This Row],[Début mois]])</f>
        <v>#VALUE!</v>
      </c>
      <c r="P236" t="e">
        <f ca="1">INDEX(INDIRECT(CONCATENATE("Tab_",Tab_Calculs[[#This Row],[Colonne1]])),Tab_Calculs[[#This Row],[index_date_livraison]],7)*(1+MIN(Tab_Calculs[[#This Row],[Date_livraison]],Tab_Calculs[[#This Row],[fin mois]])-MAX(Tab_Calculs[[#This Row],[Début mois]],Tab_Calculs[[#This Row],[Début periode livraison]]))</f>
        <v>#NUM!</v>
      </c>
      <c r="Q236" t="e">
        <f ca="1">INDEX(INDIRECT(CONCATENATE("Tab_",Tab_Calculs[[#This Row],[Colonne1]])),Tab_Calculs[[#This Row],[index_date_livraison]]+1,7)*(Tab_Calculs[[#This Row],[fin mois]]-MIN(Tab_Calculs[[#This Row],[fin mois]],Tab_Calculs[[#This Row],[Date_livraison]]))</f>
        <v>#VALUE!</v>
      </c>
      <c r="R236" t="e">
        <f ca="1">Tab_Calculs[[#This Row],[Ratio_Cout_après_livr]]+Tab_Calculs[[#This Row],[Ratio_Cout_avant_livr]]+Tab_Calculs[[#This Row],[Ratio_Cout_avant_debut]]</f>
        <v>#VALUE!</v>
      </c>
      <c r="S236" t="str">
        <f ca="1">IFERROR(N236*VLOOKUP(Tab_Calculs[[#This Row],[Colonne1]],Controle_des_données!$B$7:$G$14,6,FALSE),"")</f>
        <v/>
      </c>
      <c r="T236" t="str">
        <f ca="1">IF(Tab_Calculs[[#This Row],[Combustible ]]="Electricité (kWh)",Tab_Calculs[[#This Row],[Conso_mois_kWh]]*2.3,Tab_Calculs[[#This Row],[Conso_mois_kWh]])</f>
        <v/>
      </c>
      <c r="U236" t="str">
        <f ca="1">IFERROR(N236*VLOOKUP(Tab_Calculs[[#This Row],[Colonne1]],Controle_des_données!$B$7:$H$14,7,FALSE),"")</f>
        <v/>
      </c>
      <c r="V236">
        <f ca="1">IFERROR(Tab_Calculs[[#This Row],[Cout_mois]]/Tab_Calculs[[#This Row],[Conso_mois_kWh]],0)</f>
        <v>0</v>
      </c>
      <c r="W236" t="str">
        <f>T(VLOOKUP(Tab_Calculs[[#This Row],[Compteur]],Site!$B$33:$G$40,3,FALSE))</f>
        <v/>
      </c>
      <c r="X236" t="str">
        <f>T(VLOOKUP(Tab_Calculs[[#This Row],[Compteur]],Site!$B$33:$G$40,4,FALSE))</f>
        <v/>
      </c>
      <c r="Y236" t="str">
        <f>T(VLOOKUP(Tab_Calculs[[#This Row],[Compteur]],Site!$B$33:$G$40,5,FALSE))</f>
        <v/>
      </c>
      <c r="Z236" t="str">
        <f>T(VLOOKUP(Tab_Calculs[[#This Row],[Compteur]],Site!$B$33:$G$40,6,FALSE))</f>
        <v/>
      </c>
      <c r="AA236">
        <f>IFERROR(GETPIVOTDATA("DJU(chauffagiste)",BDD_DJU!$P$13,"annee",Tab_Calculs[[#This Row],[ANNEE]],"mois_numero",Tab_Calculs[[#This Row],[MOIS]]),0)</f>
        <v>333.7</v>
      </c>
    </row>
    <row r="237" spans="1:27" x14ac:dyDescent="0.25">
      <c r="A237" s="3">
        <f>DATE(Tab_Calculs[[#This Row],[ANNEE]],Tab_Calculs[[#This Row],[MOIS]],1)</f>
        <v>41275</v>
      </c>
      <c r="B237" s="3">
        <f>EDATE(Tab_Calculs[[#This Row],[Début mois]],1)-1</f>
        <v>41305</v>
      </c>
      <c r="C237">
        <v>1</v>
      </c>
      <c r="D237">
        <v>2013</v>
      </c>
      <c r="E237" t="s">
        <v>81</v>
      </c>
      <c r="F237" t="str">
        <f>SUBSTITUTE(Tab_Calculs[[#This Row],[Compteur]]," ","_")</f>
        <v>Compteur_2</v>
      </c>
      <c r="G237" t="str">
        <f>T(INDEX(Site!$B$33:$G$40, MATCH(Tab_Calculs[[#This Row],[Compteur]], Site!$B$33:$B$40,0),2))</f>
        <v/>
      </c>
      <c r="H237" s="3">
        <f t="array" aca="1" ref="H237" ca="1">MIN(IF(INDIRECT(CONCATENATE(Tab_Calculs[[#This Row],[Colonne1]],"!$B$2:$B$243"))&gt;=Calculs_Consos!$A237,INDIRECT(CONCATENATE(Tab_Calculs[[#This Row],[Colonne1]],"!$B$2:$B$243"))))</f>
        <v>0</v>
      </c>
      <c r="I237" s="3" t="e">
        <f ca="1">INDEX(INDIRECT(CONCATENATE("Tab_",Tab_Calculs[[#This Row],[Colonne1]])),Tab_Calculs[[#This Row],[index_date_livraison]],1)</f>
        <v>#NUM!</v>
      </c>
      <c r="J237">
        <f ca="1">MATCH(Tab_Calculs[[#This Row],[Date_livraison]],INDIRECT(CONCATENATE("Tab_",Tab_Calculs[[#This Row],[Colonne1]],"[Fin de période]")),0)</f>
        <v>1</v>
      </c>
      <c r="K237" t="e">
        <f ca="1">INDEX(INDIRECT(CONCATENATE("Tab_",Tab_Calculs[[#This Row],[Colonne1]])),Tab_Calculs[[#This Row],[index_date_livraison]]-1,6)*(MAX(Tab_Calculs[[#This Row],[Début periode livraison]],Tab_Calculs[[#This Row],[Début mois]])-Tab_Calculs[[#This Row],[Début mois]])</f>
        <v>#VALUE!</v>
      </c>
      <c r="L237" s="94" t="e">
        <f ca="1">INDEX(INDIRECT(CONCATENATE("Tab_",Tab_Calculs[[#This Row],[Colonne1]])),Tab_Calculs[[#This Row],[index_date_livraison]],6)*(1+MIN(Tab_Calculs[[#This Row],[Date_livraison]],Tab_Calculs[[#This Row],[fin mois]])-MAX(Tab_Calculs[[#This Row],[Début mois]],Tab_Calculs[[#This Row],[Début periode livraison]]))</f>
        <v>#NUM!</v>
      </c>
      <c r="M237" s="94" t="e">
        <f ca="1">INDEX(INDIRECT(CONCATENATE("Tab_",Tab_Calculs[[#This Row],[Colonne1]])),Tab_Calculs[[#This Row],[index_date_livraison]]+1,6)*(Tab_Calculs[[#This Row],[fin mois]]-MIN(Tab_Calculs[[#This Row],[fin mois]],Tab_Calculs[[#This Row],[Date_livraison]]))</f>
        <v>#VALUE!</v>
      </c>
      <c r="N237" s="231" t="str">
        <f ca="1">IFERROR(Tab_Calculs[[#This Row],[Ratio_jour_après_livr]]+Tab_Calculs[[#This Row],[Ratio_jour_avant_livr]]+Tab_Calculs[[#This Row],[ratio_avant_debut]],"")</f>
        <v/>
      </c>
      <c r="O237" t="e">
        <f ca="1">INDEX(INDIRECT(CONCATENATE("Tab_",Tab_Calculs[[#This Row],[Colonne1]])),Tab_Calculs[[#This Row],[index_date_livraison]]-1,7)*(MAX(Tab_Calculs[[#This Row],[Début periode livraison]],Tab_Calculs[[#This Row],[Début mois]])-Tab_Calculs[[#This Row],[Début mois]])</f>
        <v>#VALUE!</v>
      </c>
      <c r="P237" t="e">
        <f ca="1">INDEX(INDIRECT(CONCATENATE("Tab_",Tab_Calculs[[#This Row],[Colonne1]])),Tab_Calculs[[#This Row],[index_date_livraison]],7)*(1+MIN(Tab_Calculs[[#This Row],[Date_livraison]],Tab_Calculs[[#This Row],[fin mois]])-MAX(Tab_Calculs[[#This Row],[Début mois]],Tab_Calculs[[#This Row],[Début periode livraison]]))</f>
        <v>#NUM!</v>
      </c>
      <c r="Q237" t="e">
        <f ca="1">INDEX(INDIRECT(CONCATENATE("Tab_",Tab_Calculs[[#This Row],[Colonne1]])),Tab_Calculs[[#This Row],[index_date_livraison]]+1,7)*(Tab_Calculs[[#This Row],[fin mois]]-MIN(Tab_Calculs[[#This Row],[fin mois]],Tab_Calculs[[#This Row],[Date_livraison]]))</f>
        <v>#VALUE!</v>
      </c>
      <c r="R237" t="e">
        <f ca="1">Tab_Calculs[[#This Row],[Ratio_Cout_après_livr]]+Tab_Calculs[[#This Row],[Ratio_Cout_avant_livr]]+Tab_Calculs[[#This Row],[Ratio_Cout_avant_debut]]</f>
        <v>#VALUE!</v>
      </c>
      <c r="S237" t="str">
        <f ca="1">IFERROR(N237*VLOOKUP(Tab_Calculs[[#This Row],[Colonne1]],Controle_des_données!$B$7:$G$14,6,FALSE),"")</f>
        <v/>
      </c>
      <c r="T237" t="str">
        <f ca="1">IF(Tab_Calculs[[#This Row],[Combustible ]]="Electricité (kWh)",Tab_Calculs[[#This Row],[Conso_mois_kWh]]*2.3,Tab_Calculs[[#This Row],[Conso_mois_kWh]])</f>
        <v/>
      </c>
      <c r="U237" t="str">
        <f ca="1">IFERROR(N237*VLOOKUP(Tab_Calculs[[#This Row],[Colonne1]],Controle_des_données!$B$7:$H$14,7,FALSE),"")</f>
        <v/>
      </c>
      <c r="V237">
        <f ca="1">IFERROR(Tab_Calculs[[#This Row],[Cout_mois]]/Tab_Calculs[[#This Row],[Conso_mois_kWh]],0)</f>
        <v>0</v>
      </c>
      <c r="W237" t="str">
        <f>T(VLOOKUP(Tab_Calculs[[#This Row],[Compteur]],Site!$B$33:$G$40,3,FALSE))</f>
        <v/>
      </c>
      <c r="X237" t="str">
        <f>T(VLOOKUP(Tab_Calculs[[#This Row],[Compteur]],Site!$B$33:$G$40,4,FALSE))</f>
        <v/>
      </c>
      <c r="Y237" t="str">
        <f>T(VLOOKUP(Tab_Calculs[[#This Row],[Compteur]],Site!$B$33:$G$40,5,FALSE))</f>
        <v/>
      </c>
      <c r="Z237" t="str">
        <f>T(VLOOKUP(Tab_Calculs[[#This Row],[Compteur]],Site!$B$33:$G$40,6,FALSE))</f>
        <v/>
      </c>
      <c r="AA237">
        <f>IFERROR(GETPIVOTDATA("DJU(chauffagiste)",BDD_DJU!$P$13,"annee",Tab_Calculs[[#This Row],[ANNEE]],"mois_numero",Tab_Calculs[[#This Row],[MOIS]]),0)</f>
        <v>409.5</v>
      </c>
    </row>
    <row r="238" spans="1:27" x14ac:dyDescent="0.25">
      <c r="A238" s="3">
        <f>DATE(Tab_Calculs[[#This Row],[ANNEE]],Tab_Calculs[[#This Row],[MOIS]],1)</f>
        <v>41306</v>
      </c>
      <c r="B238" s="3">
        <f>EDATE(Tab_Calculs[[#This Row],[Début mois]],1)-1</f>
        <v>41333</v>
      </c>
      <c r="C238">
        <v>2</v>
      </c>
      <c r="D238">
        <v>2013</v>
      </c>
      <c r="E238" t="s">
        <v>81</v>
      </c>
      <c r="F238" t="str">
        <f>SUBSTITUTE(Tab_Calculs[[#This Row],[Compteur]]," ","_")</f>
        <v>Compteur_2</v>
      </c>
      <c r="G238" t="str">
        <f>T(INDEX(Site!$B$33:$G$40, MATCH(Tab_Calculs[[#This Row],[Compteur]], Site!$B$33:$B$40,0),2))</f>
        <v/>
      </c>
      <c r="H238" s="3">
        <f t="array" aca="1" ref="H238" ca="1">MIN(IF(INDIRECT(CONCATENATE(Tab_Calculs[[#This Row],[Colonne1]],"!$B$2:$B$243"))&gt;=Calculs_Consos!$A238,INDIRECT(CONCATENATE(Tab_Calculs[[#This Row],[Colonne1]],"!$B$2:$B$243"))))</f>
        <v>0</v>
      </c>
      <c r="I238" s="3" t="e">
        <f ca="1">INDEX(INDIRECT(CONCATENATE("Tab_",Tab_Calculs[[#This Row],[Colonne1]])),Tab_Calculs[[#This Row],[index_date_livraison]],1)</f>
        <v>#NUM!</v>
      </c>
      <c r="J238">
        <f ca="1">MATCH(Tab_Calculs[[#This Row],[Date_livraison]],INDIRECT(CONCATENATE("Tab_",Tab_Calculs[[#This Row],[Colonne1]],"[Fin de période]")),0)</f>
        <v>1</v>
      </c>
      <c r="K238" t="e">
        <f ca="1">INDEX(INDIRECT(CONCATENATE("Tab_",Tab_Calculs[[#This Row],[Colonne1]])),Tab_Calculs[[#This Row],[index_date_livraison]]-1,6)*(MAX(Tab_Calculs[[#This Row],[Début periode livraison]],Tab_Calculs[[#This Row],[Début mois]])-Tab_Calculs[[#This Row],[Début mois]])</f>
        <v>#VALUE!</v>
      </c>
      <c r="L238" s="94" t="e">
        <f ca="1">INDEX(INDIRECT(CONCATENATE("Tab_",Tab_Calculs[[#This Row],[Colonne1]])),Tab_Calculs[[#This Row],[index_date_livraison]],6)*(1+MIN(Tab_Calculs[[#This Row],[Date_livraison]],Tab_Calculs[[#This Row],[fin mois]])-MAX(Tab_Calculs[[#This Row],[Début mois]],Tab_Calculs[[#This Row],[Début periode livraison]]))</f>
        <v>#NUM!</v>
      </c>
      <c r="M238" s="94" t="e">
        <f ca="1">INDEX(INDIRECT(CONCATENATE("Tab_",Tab_Calculs[[#This Row],[Colonne1]])),Tab_Calculs[[#This Row],[index_date_livraison]]+1,6)*(Tab_Calculs[[#This Row],[fin mois]]-MIN(Tab_Calculs[[#This Row],[fin mois]],Tab_Calculs[[#This Row],[Date_livraison]]))</f>
        <v>#VALUE!</v>
      </c>
      <c r="N238" s="231" t="str">
        <f ca="1">IFERROR(Tab_Calculs[[#This Row],[Ratio_jour_après_livr]]+Tab_Calculs[[#This Row],[Ratio_jour_avant_livr]]+Tab_Calculs[[#This Row],[ratio_avant_debut]],"")</f>
        <v/>
      </c>
      <c r="O238" t="e">
        <f ca="1">INDEX(INDIRECT(CONCATENATE("Tab_",Tab_Calculs[[#This Row],[Colonne1]])),Tab_Calculs[[#This Row],[index_date_livraison]]-1,7)*(MAX(Tab_Calculs[[#This Row],[Début periode livraison]],Tab_Calculs[[#This Row],[Début mois]])-Tab_Calculs[[#This Row],[Début mois]])</f>
        <v>#VALUE!</v>
      </c>
      <c r="P238" t="e">
        <f ca="1">INDEX(INDIRECT(CONCATENATE("Tab_",Tab_Calculs[[#This Row],[Colonne1]])),Tab_Calculs[[#This Row],[index_date_livraison]],7)*(1+MIN(Tab_Calculs[[#This Row],[Date_livraison]],Tab_Calculs[[#This Row],[fin mois]])-MAX(Tab_Calculs[[#This Row],[Début mois]],Tab_Calculs[[#This Row],[Début periode livraison]]))</f>
        <v>#NUM!</v>
      </c>
      <c r="Q238" t="e">
        <f ca="1">INDEX(INDIRECT(CONCATENATE("Tab_",Tab_Calculs[[#This Row],[Colonne1]])),Tab_Calculs[[#This Row],[index_date_livraison]]+1,7)*(Tab_Calculs[[#This Row],[fin mois]]-MIN(Tab_Calculs[[#This Row],[fin mois]],Tab_Calculs[[#This Row],[Date_livraison]]))</f>
        <v>#VALUE!</v>
      </c>
      <c r="R238" t="e">
        <f ca="1">Tab_Calculs[[#This Row],[Ratio_Cout_après_livr]]+Tab_Calculs[[#This Row],[Ratio_Cout_avant_livr]]+Tab_Calculs[[#This Row],[Ratio_Cout_avant_debut]]</f>
        <v>#VALUE!</v>
      </c>
      <c r="S238" t="str">
        <f ca="1">IFERROR(N238*VLOOKUP(Tab_Calculs[[#This Row],[Colonne1]],Controle_des_données!$B$7:$G$14,6,FALSE),"")</f>
        <v/>
      </c>
      <c r="T238" t="str">
        <f ca="1">IF(Tab_Calculs[[#This Row],[Combustible ]]="Electricité (kWh)",Tab_Calculs[[#This Row],[Conso_mois_kWh]]*2.3,Tab_Calculs[[#This Row],[Conso_mois_kWh]])</f>
        <v/>
      </c>
      <c r="U238" t="str">
        <f ca="1">IFERROR(N238*VLOOKUP(Tab_Calculs[[#This Row],[Colonne1]],Controle_des_données!$B$7:$H$14,7,FALSE),"")</f>
        <v/>
      </c>
      <c r="V238">
        <f ca="1">IFERROR(Tab_Calculs[[#This Row],[Cout_mois]]/Tab_Calculs[[#This Row],[Conso_mois_kWh]],0)</f>
        <v>0</v>
      </c>
      <c r="W238" t="str">
        <f>T(VLOOKUP(Tab_Calculs[[#This Row],[Compteur]],Site!$B$33:$G$40,3,FALSE))</f>
        <v/>
      </c>
      <c r="X238" t="str">
        <f>T(VLOOKUP(Tab_Calculs[[#This Row],[Compteur]],Site!$B$33:$G$40,4,FALSE))</f>
        <v/>
      </c>
      <c r="Y238" t="str">
        <f>T(VLOOKUP(Tab_Calculs[[#This Row],[Compteur]],Site!$B$33:$G$40,5,FALSE))</f>
        <v/>
      </c>
      <c r="Z238" t="str">
        <f>T(VLOOKUP(Tab_Calculs[[#This Row],[Compteur]],Site!$B$33:$G$40,6,FALSE))</f>
        <v/>
      </c>
      <c r="AA238">
        <f>IFERROR(GETPIVOTDATA("DJU(chauffagiste)",BDD_DJU!$P$13,"annee",Tab_Calculs[[#This Row],[ANNEE]],"mois_numero",Tab_Calculs[[#This Row],[MOIS]]),0)</f>
        <v>389.8</v>
      </c>
    </row>
    <row r="239" spans="1:27" x14ac:dyDescent="0.25">
      <c r="A239" s="3">
        <f>DATE(Tab_Calculs[[#This Row],[ANNEE]],Tab_Calculs[[#This Row],[MOIS]],1)</f>
        <v>41334</v>
      </c>
      <c r="B239" s="3">
        <f>EDATE(Tab_Calculs[[#This Row],[Début mois]],1)-1</f>
        <v>41364</v>
      </c>
      <c r="C239">
        <v>3</v>
      </c>
      <c r="D239">
        <v>2013</v>
      </c>
      <c r="E239" t="s">
        <v>81</v>
      </c>
      <c r="F239" t="str">
        <f>SUBSTITUTE(Tab_Calculs[[#This Row],[Compteur]]," ","_")</f>
        <v>Compteur_2</v>
      </c>
      <c r="G239" t="str">
        <f>T(INDEX(Site!$B$33:$G$40, MATCH(Tab_Calculs[[#This Row],[Compteur]], Site!$B$33:$B$40,0),2))</f>
        <v/>
      </c>
      <c r="H239" s="3">
        <f t="array" aca="1" ref="H239" ca="1">MIN(IF(INDIRECT(CONCATENATE(Tab_Calculs[[#This Row],[Colonne1]],"!$B$2:$B$243"))&gt;=Calculs_Consos!$A239,INDIRECT(CONCATENATE(Tab_Calculs[[#This Row],[Colonne1]],"!$B$2:$B$243"))))</f>
        <v>0</v>
      </c>
      <c r="I239" s="3" t="e">
        <f ca="1">INDEX(INDIRECT(CONCATENATE("Tab_",Tab_Calculs[[#This Row],[Colonne1]])),Tab_Calculs[[#This Row],[index_date_livraison]],1)</f>
        <v>#NUM!</v>
      </c>
      <c r="J239">
        <f ca="1">MATCH(Tab_Calculs[[#This Row],[Date_livraison]],INDIRECT(CONCATENATE("Tab_",Tab_Calculs[[#This Row],[Colonne1]],"[Fin de période]")),0)</f>
        <v>1</v>
      </c>
      <c r="K239" t="e">
        <f ca="1">INDEX(INDIRECT(CONCATENATE("Tab_",Tab_Calculs[[#This Row],[Colonne1]])),Tab_Calculs[[#This Row],[index_date_livraison]]-1,6)*(MAX(Tab_Calculs[[#This Row],[Début periode livraison]],Tab_Calculs[[#This Row],[Début mois]])-Tab_Calculs[[#This Row],[Début mois]])</f>
        <v>#VALUE!</v>
      </c>
      <c r="L239" s="94" t="e">
        <f ca="1">INDEX(INDIRECT(CONCATENATE("Tab_",Tab_Calculs[[#This Row],[Colonne1]])),Tab_Calculs[[#This Row],[index_date_livraison]],6)*(1+MIN(Tab_Calculs[[#This Row],[Date_livraison]],Tab_Calculs[[#This Row],[fin mois]])-MAX(Tab_Calculs[[#This Row],[Début mois]],Tab_Calculs[[#This Row],[Début periode livraison]]))</f>
        <v>#NUM!</v>
      </c>
      <c r="M239" s="94" t="e">
        <f ca="1">INDEX(INDIRECT(CONCATENATE("Tab_",Tab_Calculs[[#This Row],[Colonne1]])),Tab_Calculs[[#This Row],[index_date_livraison]]+1,6)*(Tab_Calculs[[#This Row],[fin mois]]-MIN(Tab_Calculs[[#This Row],[fin mois]],Tab_Calculs[[#This Row],[Date_livraison]]))</f>
        <v>#VALUE!</v>
      </c>
      <c r="N239" s="231" t="str">
        <f ca="1">IFERROR(Tab_Calculs[[#This Row],[Ratio_jour_après_livr]]+Tab_Calculs[[#This Row],[Ratio_jour_avant_livr]]+Tab_Calculs[[#This Row],[ratio_avant_debut]],"")</f>
        <v/>
      </c>
      <c r="O239" t="e">
        <f ca="1">INDEX(INDIRECT(CONCATENATE("Tab_",Tab_Calculs[[#This Row],[Colonne1]])),Tab_Calculs[[#This Row],[index_date_livraison]]-1,7)*(MAX(Tab_Calculs[[#This Row],[Début periode livraison]],Tab_Calculs[[#This Row],[Début mois]])-Tab_Calculs[[#This Row],[Début mois]])</f>
        <v>#VALUE!</v>
      </c>
      <c r="P239" t="e">
        <f ca="1">INDEX(INDIRECT(CONCATENATE("Tab_",Tab_Calculs[[#This Row],[Colonne1]])),Tab_Calculs[[#This Row],[index_date_livraison]],7)*(1+MIN(Tab_Calculs[[#This Row],[Date_livraison]],Tab_Calculs[[#This Row],[fin mois]])-MAX(Tab_Calculs[[#This Row],[Début mois]],Tab_Calculs[[#This Row],[Début periode livraison]]))</f>
        <v>#NUM!</v>
      </c>
      <c r="Q239" t="e">
        <f ca="1">INDEX(INDIRECT(CONCATENATE("Tab_",Tab_Calculs[[#This Row],[Colonne1]])),Tab_Calculs[[#This Row],[index_date_livraison]]+1,7)*(Tab_Calculs[[#This Row],[fin mois]]-MIN(Tab_Calculs[[#This Row],[fin mois]],Tab_Calculs[[#This Row],[Date_livraison]]))</f>
        <v>#VALUE!</v>
      </c>
      <c r="R239" t="e">
        <f ca="1">Tab_Calculs[[#This Row],[Ratio_Cout_après_livr]]+Tab_Calculs[[#This Row],[Ratio_Cout_avant_livr]]+Tab_Calculs[[#This Row],[Ratio_Cout_avant_debut]]</f>
        <v>#VALUE!</v>
      </c>
      <c r="S239" t="str">
        <f ca="1">IFERROR(N239*VLOOKUP(Tab_Calculs[[#This Row],[Colonne1]],Controle_des_données!$B$7:$G$14,6,FALSE),"")</f>
        <v/>
      </c>
      <c r="T239" t="str">
        <f ca="1">IF(Tab_Calculs[[#This Row],[Combustible ]]="Electricité (kWh)",Tab_Calculs[[#This Row],[Conso_mois_kWh]]*2.3,Tab_Calculs[[#This Row],[Conso_mois_kWh]])</f>
        <v/>
      </c>
      <c r="U239" t="str">
        <f ca="1">IFERROR(N239*VLOOKUP(Tab_Calculs[[#This Row],[Colonne1]],Controle_des_données!$B$7:$H$14,7,FALSE),"")</f>
        <v/>
      </c>
      <c r="V239">
        <f ca="1">IFERROR(Tab_Calculs[[#This Row],[Cout_mois]]/Tab_Calculs[[#This Row],[Conso_mois_kWh]],0)</f>
        <v>0</v>
      </c>
      <c r="W239" t="str">
        <f>T(VLOOKUP(Tab_Calculs[[#This Row],[Compteur]],Site!$B$33:$G$40,3,FALSE))</f>
        <v/>
      </c>
      <c r="X239" t="str">
        <f>T(VLOOKUP(Tab_Calculs[[#This Row],[Compteur]],Site!$B$33:$G$40,4,FALSE))</f>
        <v/>
      </c>
      <c r="Y239" t="str">
        <f>T(VLOOKUP(Tab_Calculs[[#This Row],[Compteur]],Site!$B$33:$G$40,5,FALSE))</f>
        <v/>
      </c>
      <c r="Z239" t="str">
        <f>T(VLOOKUP(Tab_Calculs[[#This Row],[Compteur]],Site!$B$33:$G$40,6,FALSE))</f>
        <v/>
      </c>
      <c r="AA239">
        <f>IFERROR(GETPIVOTDATA("DJU(chauffagiste)",BDD_DJU!$P$13,"annee",Tab_Calculs[[#This Row],[ANNEE]],"mois_numero",Tab_Calculs[[#This Row],[MOIS]]),0)</f>
        <v>360.4</v>
      </c>
    </row>
    <row r="240" spans="1:27" x14ac:dyDescent="0.25">
      <c r="A240" s="3">
        <f>DATE(Tab_Calculs[[#This Row],[ANNEE]],Tab_Calculs[[#This Row],[MOIS]],1)</f>
        <v>41365</v>
      </c>
      <c r="B240" s="3">
        <f>EDATE(Tab_Calculs[[#This Row],[Début mois]],1)-1</f>
        <v>41394</v>
      </c>
      <c r="C240">
        <v>4</v>
      </c>
      <c r="D240">
        <v>2013</v>
      </c>
      <c r="E240" t="s">
        <v>81</v>
      </c>
      <c r="F240" t="str">
        <f>SUBSTITUTE(Tab_Calculs[[#This Row],[Compteur]]," ","_")</f>
        <v>Compteur_2</v>
      </c>
      <c r="G240" t="str">
        <f>T(INDEX(Site!$B$33:$G$40, MATCH(Tab_Calculs[[#This Row],[Compteur]], Site!$B$33:$B$40,0),2))</f>
        <v/>
      </c>
      <c r="H240" s="3">
        <f t="array" aca="1" ref="H240" ca="1">MIN(IF(INDIRECT(CONCATENATE(Tab_Calculs[[#This Row],[Colonne1]],"!$B$2:$B$243"))&gt;=Calculs_Consos!$A240,INDIRECT(CONCATENATE(Tab_Calculs[[#This Row],[Colonne1]],"!$B$2:$B$243"))))</f>
        <v>0</v>
      </c>
      <c r="I240" s="3" t="e">
        <f ca="1">INDEX(INDIRECT(CONCATENATE("Tab_",Tab_Calculs[[#This Row],[Colonne1]])),Tab_Calculs[[#This Row],[index_date_livraison]],1)</f>
        <v>#NUM!</v>
      </c>
      <c r="J240">
        <f ca="1">MATCH(Tab_Calculs[[#This Row],[Date_livraison]],INDIRECT(CONCATENATE("Tab_",Tab_Calculs[[#This Row],[Colonne1]],"[Fin de période]")),0)</f>
        <v>1</v>
      </c>
      <c r="K240" t="e">
        <f ca="1">INDEX(INDIRECT(CONCATENATE("Tab_",Tab_Calculs[[#This Row],[Colonne1]])),Tab_Calculs[[#This Row],[index_date_livraison]]-1,6)*(MAX(Tab_Calculs[[#This Row],[Début periode livraison]],Tab_Calculs[[#This Row],[Début mois]])-Tab_Calculs[[#This Row],[Début mois]])</f>
        <v>#VALUE!</v>
      </c>
      <c r="L240" s="94" t="e">
        <f ca="1">INDEX(INDIRECT(CONCATENATE("Tab_",Tab_Calculs[[#This Row],[Colonne1]])),Tab_Calculs[[#This Row],[index_date_livraison]],6)*(1+MIN(Tab_Calculs[[#This Row],[Date_livraison]],Tab_Calculs[[#This Row],[fin mois]])-MAX(Tab_Calculs[[#This Row],[Début mois]],Tab_Calculs[[#This Row],[Début periode livraison]]))</f>
        <v>#NUM!</v>
      </c>
      <c r="M240" s="94" t="e">
        <f ca="1">INDEX(INDIRECT(CONCATENATE("Tab_",Tab_Calculs[[#This Row],[Colonne1]])),Tab_Calculs[[#This Row],[index_date_livraison]]+1,6)*(Tab_Calculs[[#This Row],[fin mois]]-MIN(Tab_Calculs[[#This Row],[fin mois]],Tab_Calculs[[#This Row],[Date_livraison]]))</f>
        <v>#VALUE!</v>
      </c>
      <c r="N240" s="231" t="str">
        <f ca="1">IFERROR(Tab_Calculs[[#This Row],[Ratio_jour_après_livr]]+Tab_Calculs[[#This Row],[Ratio_jour_avant_livr]]+Tab_Calculs[[#This Row],[ratio_avant_debut]],"")</f>
        <v/>
      </c>
      <c r="O240" t="e">
        <f ca="1">INDEX(INDIRECT(CONCATENATE("Tab_",Tab_Calculs[[#This Row],[Colonne1]])),Tab_Calculs[[#This Row],[index_date_livraison]]-1,7)*(MAX(Tab_Calculs[[#This Row],[Début periode livraison]],Tab_Calculs[[#This Row],[Début mois]])-Tab_Calculs[[#This Row],[Début mois]])</f>
        <v>#VALUE!</v>
      </c>
      <c r="P240" t="e">
        <f ca="1">INDEX(INDIRECT(CONCATENATE("Tab_",Tab_Calculs[[#This Row],[Colonne1]])),Tab_Calculs[[#This Row],[index_date_livraison]],7)*(1+MIN(Tab_Calculs[[#This Row],[Date_livraison]],Tab_Calculs[[#This Row],[fin mois]])-MAX(Tab_Calculs[[#This Row],[Début mois]],Tab_Calculs[[#This Row],[Début periode livraison]]))</f>
        <v>#NUM!</v>
      </c>
      <c r="Q240" t="e">
        <f ca="1">INDEX(INDIRECT(CONCATENATE("Tab_",Tab_Calculs[[#This Row],[Colonne1]])),Tab_Calculs[[#This Row],[index_date_livraison]]+1,7)*(Tab_Calculs[[#This Row],[fin mois]]-MIN(Tab_Calculs[[#This Row],[fin mois]],Tab_Calculs[[#This Row],[Date_livraison]]))</f>
        <v>#VALUE!</v>
      </c>
      <c r="R240" t="e">
        <f ca="1">Tab_Calculs[[#This Row],[Ratio_Cout_après_livr]]+Tab_Calculs[[#This Row],[Ratio_Cout_avant_livr]]+Tab_Calculs[[#This Row],[Ratio_Cout_avant_debut]]</f>
        <v>#VALUE!</v>
      </c>
      <c r="S240" t="str">
        <f ca="1">IFERROR(N240*VLOOKUP(Tab_Calculs[[#This Row],[Colonne1]],Controle_des_données!$B$7:$G$14,6,FALSE),"")</f>
        <v/>
      </c>
      <c r="T240" t="str">
        <f ca="1">IF(Tab_Calculs[[#This Row],[Combustible ]]="Electricité (kWh)",Tab_Calculs[[#This Row],[Conso_mois_kWh]]*2.3,Tab_Calculs[[#This Row],[Conso_mois_kWh]])</f>
        <v/>
      </c>
      <c r="U240" t="str">
        <f ca="1">IFERROR(N240*VLOOKUP(Tab_Calculs[[#This Row],[Colonne1]],Controle_des_données!$B$7:$H$14,7,FALSE),"")</f>
        <v/>
      </c>
      <c r="V240">
        <f ca="1">IFERROR(Tab_Calculs[[#This Row],[Cout_mois]]/Tab_Calculs[[#This Row],[Conso_mois_kWh]],0)</f>
        <v>0</v>
      </c>
      <c r="W240" t="str">
        <f>T(VLOOKUP(Tab_Calculs[[#This Row],[Compteur]],Site!$B$33:$G$40,3,FALSE))</f>
        <v/>
      </c>
      <c r="X240" t="str">
        <f>T(VLOOKUP(Tab_Calculs[[#This Row],[Compteur]],Site!$B$33:$G$40,4,FALSE))</f>
        <v/>
      </c>
      <c r="Y240" t="str">
        <f>T(VLOOKUP(Tab_Calculs[[#This Row],[Compteur]],Site!$B$33:$G$40,5,FALSE))</f>
        <v/>
      </c>
      <c r="Z240" t="str">
        <f>T(VLOOKUP(Tab_Calculs[[#This Row],[Compteur]],Site!$B$33:$G$40,6,FALSE))</f>
        <v/>
      </c>
      <c r="AA240">
        <f>IFERROR(GETPIVOTDATA("DJU(chauffagiste)",BDD_DJU!$P$13,"annee",Tab_Calculs[[#This Row],[ANNEE]],"mois_numero",Tab_Calculs[[#This Row],[MOIS]]),0)</f>
        <v>247.2</v>
      </c>
    </row>
    <row r="241" spans="1:27" x14ac:dyDescent="0.25">
      <c r="A241" s="3">
        <f>DATE(Tab_Calculs[[#This Row],[ANNEE]],Tab_Calculs[[#This Row],[MOIS]],1)</f>
        <v>41395</v>
      </c>
      <c r="B241" s="3">
        <f>EDATE(Tab_Calculs[[#This Row],[Début mois]],1)-1</f>
        <v>41425</v>
      </c>
      <c r="C241">
        <v>5</v>
      </c>
      <c r="D241">
        <v>2013</v>
      </c>
      <c r="E241" t="s">
        <v>81</v>
      </c>
      <c r="F241" t="str">
        <f>SUBSTITUTE(Tab_Calculs[[#This Row],[Compteur]]," ","_")</f>
        <v>Compteur_2</v>
      </c>
      <c r="G241" t="str">
        <f>T(INDEX(Site!$B$33:$G$40, MATCH(Tab_Calculs[[#This Row],[Compteur]], Site!$B$33:$B$40,0),2))</f>
        <v/>
      </c>
      <c r="H241" s="3">
        <f t="array" aca="1" ref="H241" ca="1">MIN(IF(INDIRECT(CONCATENATE(Tab_Calculs[[#This Row],[Colonne1]],"!$B$2:$B$243"))&gt;=Calculs_Consos!$A241,INDIRECT(CONCATENATE(Tab_Calculs[[#This Row],[Colonne1]],"!$B$2:$B$243"))))</f>
        <v>0</v>
      </c>
      <c r="I241" s="3" t="e">
        <f ca="1">INDEX(INDIRECT(CONCATENATE("Tab_",Tab_Calculs[[#This Row],[Colonne1]])),Tab_Calculs[[#This Row],[index_date_livraison]],1)</f>
        <v>#NUM!</v>
      </c>
      <c r="J241">
        <f ca="1">MATCH(Tab_Calculs[[#This Row],[Date_livraison]],INDIRECT(CONCATENATE("Tab_",Tab_Calculs[[#This Row],[Colonne1]],"[Fin de période]")),0)</f>
        <v>1</v>
      </c>
      <c r="K241" t="e">
        <f ca="1">INDEX(INDIRECT(CONCATENATE("Tab_",Tab_Calculs[[#This Row],[Colonne1]])),Tab_Calculs[[#This Row],[index_date_livraison]]-1,6)*(MAX(Tab_Calculs[[#This Row],[Début periode livraison]],Tab_Calculs[[#This Row],[Début mois]])-Tab_Calculs[[#This Row],[Début mois]])</f>
        <v>#VALUE!</v>
      </c>
      <c r="L241" s="94" t="e">
        <f ca="1">INDEX(INDIRECT(CONCATENATE("Tab_",Tab_Calculs[[#This Row],[Colonne1]])),Tab_Calculs[[#This Row],[index_date_livraison]],6)*(1+MIN(Tab_Calculs[[#This Row],[Date_livraison]],Tab_Calculs[[#This Row],[fin mois]])-MAX(Tab_Calculs[[#This Row],[Début mois]],Tab_Calculs[[#This Row],[Début periode livraison]]))</f>
        <v>#NUM!</v>
      </c>
      <c r="M241" s="94" t="e">
        <f ca="1">INDEX(INDIRECT(CONCATENATE("Tab_",Tab_Calculs[[#This Row],[Colonne1]])),Tab_Calculs[[#This Row],[index_date_livraison]]+1,6)*(Tab_Calculs[[#This Row],[fin mois]]-MIN(Tab_Calculs[[#This Row],[fin mois]],Tab_Calculs[[#This Row],[Date_livraison]]))</f>
        <v>#VALUE!</v>
      </c>
      <c r="N241" s="231" t="str">
        <f ca="1">IFERROR(Tab_Calculs[[#This Row],[Ratio_jour_après_livr]]+Tab_Calculs[[#This Row],[Ratio_jour_avant_livr]]+Tab_Calculs[[#This Row],[ratio_avant_debut]],"")</f>
        <v/>
      </c>
      <c r="O241" t="e">
        <f ca="1">INDEX(INDIRECT(CONCATENATE("Tab_",Tab_Calculs[[#This Row],[Colonne1]])),Tab_Calculs[[#This Row],[index_date_livraison]]-1,7)*(MAX(Tab_Calculs[[#This Row],[Début periode livraison]],Tab_Calculs[[#This Row],[Début mois]])-Tab_Calculs[[#This Row],[Début mois]])</f>
        <v>#VALUE!</v>
      </c>
      <c r="P241" t="e">
        <f ca="1">INDEX(INDIRECT(CONCATENATE("Tab_",Tab_Calculs[[#This Row],[Colonne1]])),Tab_Calculs[[#This Row],[index_date_livraison]],7)*(1+MIN(Tab_Calculs[[#This Row],[Date_livraison]],Tab_Calculs[[#This Row],[fin mois]])-MAX(Tab_Calculs[[#This Row],[Début mois]],Tab_Calculs[[#This Row],[Début periode livraison]]))</f>
        <v>#NUM!</v>
      </c>
      <c r="Q241" t="e">
        <f ca="1">INDEX(INDIRECT(CONCATENATE("Tab_",Tab_Calculs[[#This Row],[Colonne1]])),Tab_Calculs[[#This Row],[index_date_livraison]]+1,7)*(Tab_Calculs[[#This Row],[fin mois]]-MIN(Tab_Calculs[[#This Row],[fin mois]],Tab_Calculs[[#This Row],[Date_livraison]]))</f>
        <v>#VALUE!</v>
      </c>
      <c r="R241" t="e">
        <f ca="1">Tab_Calculs[[#This Row],[Ratio_Cout_après_livr]]+Tab_Calculs[[#This Row],[Ratio_Cout_avant_livr]]+Tab_Calculs[[#This Row],[Ratio_Cout_avant_debut]]</f>
        <v>#VALUE!</v>
      </c>
      <c r="S241" t="str">
        <f ca="1">IFERROR(N241*VLOOKUP(Tab_Calculs[[#This Row],[Colonne1]],Controle_des_données!$B$7:$G$14,6,FALSE),"")</f>
        <v/>
      </c>
      <c r="T241" t="str">
        <f ca="1">IF(Tab_Calculs[[#This Row],[Combustible ]]="Electricité (kWh)",Tab_Calculs[[#This Row],[Conso_mois_kWh]]*2.3,Tab_Calculs[[#This Row],[Conso_mois_kWh]])</f>
        <v/>
      </c>
      <c r="U241" t="str">
        <f ca="1">IFERROR(N241*VLOOKUP(Tab_Calculs[[#This Row],[Colonne1]],Controle_des_données!$B$7:$H$14,7,FALSE),"")</f>
        <v/>
      </c>
      <c r="V241">
        <f ca="1">IFERROR(Tab_Calculs[[#This Row],[Cout_mois]]/Tab_Calculs[[#This Row],[Conso_mois_kWh]],0)</f>
        <v>0</v>
      </c>
      <c r="W241" t="str">
        <f>T(VLOOKUP(Tab_Calculs[[#This Row],[Compteur]],Site!$B$33:$G$40,3,FALSE))</f>
        <v/>
      </c>
      <c r="X241" t="str">
        <f>T(VLOOKUP(Tab_Calculs[[#This Row],[Compteur]],Site!$B$33:$G$40,4,FALSE))</f>
        <v/>
      </c>
      <c r="Y241" t="str">
        <f>T(VLOOKUP(Tab_Calculs[[#This Row],[Compteur]],Site!$B$33:$G$40,5,FALSE))</f>
        <v/>
      </c>
      <c r="Z241" t="str">
        <f>T(VLOOKUP(Tab_Calculs[[#This Row],[Compteur]],Site!$B$33:$G$40,6,FALSE))</f>
        <v/>
      </c>
      <c r="AA241">
        <f>IFERROR(GETPIVOTDATA("DJU(chauffagiste)",BDD_DJU!$P$13,"annee",Tab_Calculs[[#This Row],[ANNEE]],"mois_numero",Tab_Calculs[[#This Row],[MOIS]]),0)</f>
        <v>175.2</v>
      </c>
    </row>
    <row r="242" spans="1:27" x14ac:dyDescent="0.25">
      <c r="A242" s="3">
        <f>DATE(Tab_Calculs[[#This Row],[ANNEE]],Tab_Calculs[[#This Row],[MOIS]],1)</f>
        <v>41426</v>
      </c>
      <c r="B242" s="3">
        <f>EDATE(Tab_Calculs[[#This Row],[Début mois]],1)-1</f>
        <v>41455</v>
      </c>
      <c r="C242">
        <v>6</v>
      </c>
      <c r="D242">
        <v>2013</v>
      </c>
      <c r="E242" t="s">
        <v>81</v>
      </c>
      <c r="F242" t="str">
        <f>SUBSTITUTE(Tab_Calculs[[#This Row],[Compteur]]," ","_")</f>
        <v>Compteur_2</v>
      </c>
      <c r="G242" t="str">
        <f>T(INDEX(Site!$B$33:$G$40, MATCH(Tab_Calculs[[#This Row],[Compteur]], Site!$B$33:$B$40,0),2))</f>
        <v/>
      </c>
      <c r="H242" s="3">
        <f t="array" aca="1" ref="H242" ca="1">MIN(IF(INDIRECT(CONCATENATE(Tab_Calculs[[#This Row],[Colonne1]],"!$B$2:$B$243"))&gt;=Calculs_Consos!$A242,INDIRECT(CONCATENATE(Tab_Calculs[[#This Row],[Colonne1]],"!$B$2:$B$243"))))</f>
        <v>0</v>
      </c>
      <c r="I242" s="3" t="e">
        <f ca="1">INDEX(INDIRECT(CONCATENATE("Tab_",Tab_Calculs[[#This Row],[Colonne1]])),Tab_Calculs[[#This Row],[index_date_livraison]],1)</f>
        <v>#NUM!</v>
      </c>
      <c r="J242">
        <f ca="1">MATCH(Tab_Calculs[[#This Row],[Date_livraison]],INDIRECT(CONCATENATE("Tab_",Tab_Calculs[[#This Row],[Colonne1]],"[Fin de période]")),0)</f>
        <v>1</v>
      </c>
      <c r="K242" t="e">
        <f ca="1">INDEX(INDIRECT(CONCATENATE("Tab_",Tab_Calculs[[#This Row],[Colonne1]])),Tab_Calculs[[#This Row],[index_date_livraison]]-1,6)*(MAX(Tab_Calculs[[#This Row],[Début periode livraison]],Tab_Calculs[[#This Row],[Début mois]])-Tab_Calculs[[#This Row],[Début mois]])</f>
        <v>#VALUE!</v>
      </c>
      <c r="L242" s="94" t="e">
        <f ca="1">INDEX(INDIRECT(CONCATENATE("Tab_",Tab_Calculs[[#This Row],[Colonne1]])),Tab_Calculs[[#This Row],[index_date_livraison]],6)*(1+MIN(Tab_Calculs[[#This Row],[Date_livraison]],Tab_Calculs[[#This Row],[fin mois]])-MAX(Tab_Calculs[[#This Row],[Début mois]],Tab_Calculs[[#This Row],[Début periode livraison]]))</f>
        <v>#NUM!</v>
      </c>
      <c r="M242" s="94" t="e">
        <f ca="1">INDEX(INDIRECT(CONCATENATE("Tab_",Tab_Calculs[[#This Row],[Colonne1]])),Tab_Calculs[[#This Row],[index_date_livraison]]+1,6)*(Tab_Calculs[[#This Row],[fin mois]]-MIN(Tab_Calculs[[#This Row],[fin mois]],Tab_Calculs[[#This Row],[Date_livraison]]))</f>
        <v>#VALUE!</v>
      </c>
      <c r="N242" s="231" t="str">
        <f ca="1">IFERROR(Tab_Calculs[[#This Row],[Ratio_jour_après_livr]]+Tab_Calculs[[#This Row],[Ratio_jour_avant_livr]]+Tab_Calculs[[#This Row],[ratio_avant_debut]],"")</f>
        <v/>
      </c>
      <c r="O242" t="e">
        <f ca="1">INDEX(INDIRECT(CONCATENATE("Tab_",Tab_Calculs[[#This Row],[Colonne1]])),Tab_Calculs[[#This Row],[index_date_livraison]]-1,7)*(MAX(Tab_Calculs[[#This Row],[Début periode livraison]],Tab_Calculs[[#This Row],[Début mois]])-Tab_Calculs[[#This Row],[Début mois]])</f>
        <v>#VALUE!</v>
      </c>
      <c r="P242" t="e">
        <f ca="1">INDEX(INDIRECT(CONCATENATE("Tab_",Tab_Calculs[[#This Row],[Colonne1]])),Tab_Calculs[[#This Row],[index_date_livraison]],7)*(1+MIN(Tab_Calculs[[#This Row],[Date_livraison]],Tab_Calculs[[#This Row],[fin mois]])-MAX(Tab_Calculs[[#This Row],[Début mois]],Tab_Calculs[[#This Row],[Début periode livraison]]))</f>
        <v>#NUM!</v>
      </c>
      <c r="Q242" t="e">
        <f ca="1">INDEX(INDIRECT(CONCATENATE("Tab_",Tab_Calculs[[#This Row],[Colonne1]])),Tab_Calculs[[#This Row],[index_date_livraison]]+1,7)*(Tab_Calculs[[#This Row],[fin mois]]-MIN(Tab_Calculs[[#This Row],[fin mois]],Tab_Calculs[[#This Row],[Date_livraison]]))</f>
        <v>#VALUE!</v>
      </c>
      <c r="R242" t="e">
        <f ca="1">Tab_Calculs[[#This Row],[Ratio_Cout_après_livr]]+Tab_Calculs[[#This Row],[Ratio_Cout_avant_livr]]+Tab_Calculs[[#This Row],[Ratio_Cout_avant_debut]]</f>
        <v>#VALUE!</v>
      </c>
      <c r="S242" t="str">
        <f ca="1">IFERROR(N242*VLOOKUP(Tab_Calculs[[#This Row],[Colonne1]],Controle_des_données!$B$7:$G$14,6,FALSE),"")</f>
        <v/>
      </c>
      <c r="T242" t="str">
        <f ca="1">IF(Tab_Calculs[[#This Row],[Combustible ]]="Electricité (kWh)",Tab_Calculs[[#This Row],[Conso_mois_kWh]]*2.3,Tab_Calculs[[#This Row],[Conso_mois_kWh]])</f>
        <v/>
      </c>
      <c r="U242" t="str">
        <f ca="1">IFERROR(N242*VLOOKUP(Tab_Calculs[[#This Row],[Colonne1]],Controle_des_données!$B$7:$H$14,7,FALSE),"")</f>
        <v/>
      </c>
      <c r="V242">
        <f ca="1">IFERROR(Tab_Calculs[[#This Row],[Cout_mois]]/Tab_Calculs[[#This Row],[Conso_mois_kWh]],0)</f>
        <v>0</v>
      </c>
      <c r="W242" t="str">
        <f>T(VLOOKUP(Tab_Calculs[[#This Row],[Compteur]],Site!$B$33:$G$40,3,FALSE))</f>
        <v/>
      </c>
      <c r="X242" t="str">
        <f>T(VLOOKUP(Tab_Calculs[[#This Row],[Compteur]],Site!$B$33:$G$40,4,FALSE))</f>
        <v/>
      </c>
      <c r="Y242" t="str">
        <f>T(VLOOKUP(Tab_Calculs[[#This Row],[Compteur]],Site!$B$33:$G$40,5,FALSE))</f>
        <v/>
      </c>
      <c r="Z242" t="str">
        <f>T(VLOOKUP(Tab_Calculs[[#This Row],[Compteur]],Site!$B$33:$G$40,6,FALSE))</f>
        <v/>
      </c>
      <c r="AA242">
        <f>IFERROR(GETPIVOTDATA("DJU(chauffagiste)",BDD_DJU!$P$13,"annee",Tab_Calculs[[#This Row],[ANNEE]],"mois_numero",Tab_Calculs[[#This Row],[MOIS]]),0)</f>
        <v>68</v>
      </c>
    </row>
    <row r="243" spans="1:27" x14ac:dyDescent="0.25">
      <c r="A243" s="3">
        <f>DATE(Tab_Calculs[[#This Row],[ANNEE]],Tab_Calculs[[#This Row],[MOIS]],1)</f>
        <v>41456</v>
      </c>
      <c r="B243" s="3">
        <f>EDATE(Tab_Calculs[[#This Row],[Début mois]],1)-1</f>
        <v>41486</v>
      </c>
      <c r="C243">
        <v>7</v>
      </c>
      <c r="D243">
        <v>2013</v>
      </c>
      <c r="E243" t="s">
        <v>81</v>
      </c>
      <c r="F243" t="str">
        <f>SUBSTITUTE(Tab_Calculs[[#This Row],[Compteur]]," ","_")</f>
        <v>Compteur_2</v>
      </c>
      <c r="G243" t="str">
        <f>T(INDEX(Site!$B$33:$G$40, MATCH(Tab_Calculs[[#This Row],[Compteur]], Site!$B$33:$B$40,0),2))</f>
        <v/>
      </c>
      <c r="H243" s="3">
        <f t="array" aca="1" ref="H243" ca="1">MIN(IF(INDIRECT(CONCATENATE(Tab_Calculs[[#This Row],[Colonne1]],"!$B$2:$B$243"))&gt;=Calculs_Consos!$A243,INDIRECT(CONCATENATE(Tab_Calculs[[#This Row],[Colonne1]],"!$B$2:$B$243"))))</f>
        <v>0</v>
      </c>
      <c r="I243" s="3" t="e">
        <f ca="1">INDEX(INDIRECT(CONCATENATE("Tab_",Tab_Calculs[[#This Row],[Colonne1]])),Tab_Calculs[[#This Row],[index_date_livraison]],1)</f>
        <v>#NUM!</v>
      </c>
      <c r="J243">
        <f ca="1">MATCH(Tab_Calculs[[#This Row],[Date_livraison]],INDIRECT(CONCATENATE("Tab_",Tab_Calculs[[#This Row],[Colonne1]],"[Fin de période]")),0)</f>
        <v>1</v>
      </c>
      <c r="K243" t="e">
        <f ca="1">INDEX(INDIRECT(CONCATENATE("Tab_",Tab_Calculs[[#This Row],[Colonne1]])),Tab_Calculs[[#This Row],[index_date_livraison]]-1,6)*(MAX(Tab_Calculs[[#This Row],[Début periode livraison]],Tab_Calculs[[#This Row],[Début mois]])-Tab_Calculs[[#This Row],[Début mois]])</f>
        <v>#VALUE!</v>
      </c>
      <c r="L243" s="94" t="e">
        <f ca="1">INDEX(INDIRECT(CONCATENATE("Tab_",Tab_Calculs[[#This Row],[Colonne1]])),Tab_Calculs[[#This Row],[index_date_livraison]],6)*(1+MIN(Tab_Calculs[[#This Row],[Date_livraison]],Tab_Calculs[[#This Row],[fin mois]])-MAX(Tab_Calculs[[#This Row],[Début mois]],Tab_Calculs[[#This Row],[Début periode livraison]]))</f>
        <v>#NUM!</v>
      </c>
      <c r="M243" s="94" t="e">
        <f ca="1">INDEX(INDIRECT(CONCATENATE("Tab_",Tab_Calculs[[#This Row],[Colonne1]])),Tab_Calculs[[#This Row],[index_date_livraison]]+1,6)*(Tab_Calculs[[#This Row],[fin mois]]-MIN(Tab_Calculs[[#This Row],[fin mois]],Tab_Calculs[[#This Row],[Date_livraison]]))</f>
        <v>#VALUE!</v>
      </c>
      <c r="N243" s="231" t="str">
        <f ca="1">IFERROR(Tab_Calculs[[#This Row],[Ratio_jour_après_livr]]+Tab_Calculs[[#This Row],[Ratio_jour_avant_livr]]+Tab_Calculs[[#This Row],[ratio_avant_debut]],"")</f>
        <v/>
      </c>
      <c r="O243" t="e">
        <f ca="1">INDEX(INDIRECT(CONCATENATE("Tab_",Tab_Calculs[[#This Row],[Colonne1]])),Tab_Calculs[[#This Row],[index_date_livraison]]-1,7)*(MAX(Tab_Calculs[[#This Row],[Début periode livraison]],Tab_Calculs[[#This Row],[Début mois]])-Tab_Calculs[[#This Row],[Début mois]])</f>
        <v>#VALUE!</v>
      </c>
      <c r="P243" t="e">
        <f ca="1">INDEX(INDIRECT(CONCATENATE("Tab_",Tab_Calculs[[#This Row],[Colonne1]])),Tab_Calculs[[#This Row],[index_date_livraison]],7)*(1+MIN(Tab_Calculs[[#This Row],[Date_livraison]],Tab_Calculs[[#This Row],[fin mois]])-MAX(Tab_Calculs[[#This Row],[Début mois]],Tab_Calculs[[#This Row],[Début periode livraison]]))</f>
        <v>#NUM!</v>
      </c>
      <c r="Q243" t="e">
        <f ca="1">INDEX(INDIRECT(CONCATENATE("Tab_",Tab_Calculs[[#This Row],[Colonne1]])),Tab_Calculs[[#This Row],[index_date_livraison]]+1,7)*(Tab_Calculs[[#This Row],[fin mois]]-MIN(Tab_Calculs[[#This Row],[fin mois]],Tab_Calculs[[#This Row],[Date_livraison]]))</f>
        <v>#VALUE!</v>
      </c>
      <c r="R243" t="e">
        <f ca="1">Tab_Calculs[[#This Row],[Ratio_Cout_après_livr]]+Tab_Calculs[[#This Row],[Ratio_Cout_avant_livr]]+Tab_Calculs[[#This Row],[Ratio_Cout_avant_debut]]</f>
        <v>#VALUE!</v>
      </c>
      <c r="S243" t="str">
        <f ca="1">IFERROR(N243*VLOOKUP(Tab_Calculs[[#This Row],[Colonne1]],Controle_des_données!$B$7:$G$14,6,FALSE),"")</f>
        <v/>
      </c>
      <c r="T243" t="str">
        <f ca="1">IF(Tab_Calculs[[#This Row],[Combustible ]]="Electricité (kWh)",Tab_Calculs[[#This Row],[Conso_mois_kWh]]*2.3,Tab_Calculs[[#This Row],[Conso_mois_kWh]])</f>
        <v/>
      </c>
      <c r="U243" t="str">
        <f ca="1">IFERROR(N243*VLOOKUP(Tab_Calculs[[#This Row],[Colonne1]],Controle_des_données!$B$7:$H$14,7,FALSE),"")</f>
        <v/>
      </c>
      <c r="V243">
        <f ca="1">IFERROR(Tab_Calculs[[#This Row],[Cout_mois]]/Tab_Calculs[[#This Row],[Conso_mois_kWh]],0)</f>
        <v>0</v>
      </c>
      <c r="W243" t="str">
        <f>T(VLOOKUP(Tab_Calculs[[#This Row],[Compteur]],Site!$B$33:$G$40,3,FALSE))</f>
        <v/>
      </c>
      <c r="X243" t="str">
        <f>T(VLOOKUP(Tab_Calculs[[#This Row],[Compteur]],Site!$B$33:$G$40,4,FALSE))</f>
        <v/>
      </c>
      <c r="Y243" t="str">
        <f>T(VLOOKUP(Tab_Calculs[[#This Row],[Compteur]],Site!$B$33:$G$40,5,FALSE))</f>
        <v/>
      </c>
      <c r="Z243" t="str">
        <f>T(VLOOKUP(Tab_Calculs[[#This Row],[Compteur]],Site!$B$33:$G$40,6,FALSE))</f>
        <v/>
      </c>
      <c r="AA243">
        <f>IFERROR(GETPIVOTDATA("DJU(chauffagiste)",BDD_DJU!$P$13,"annee",Tab_Calculs[[#This Row],[ANNEE]],"mois_numero",Tab_Calculs[[#This Row],[MOIS]]),0)</f>
        <v>13.3</v>
      </c>
    </row>
    <row r="244" spans="1:27" x14ac:dyDescent="0.25">
      <c r="A244" s="3">
        <f>DATE(Tab_Calculs[[#This Row],[ANNEE]],Tab_Calculs[[#This Row],[MOIS]],1)</f>
        <v>41487</v>
      </c>
      <c r="B244" s="3">
        <f>EDATE(Tab_Calculs[[#This Row],[Début mois]],1)-1</f>
        <v>41517</v>
      </c>
      <c r="C244">
        <v>8</v>
      </c>
      <c r="D244">
        <v>2013</v>
      </c>
      <c r="E244" t="s">
        <v>81</v>
      </c>
      <c r="F244" t="str">
        <f>SUBSTITUTE(Tab_Calculs[[#This Row],[Compteur]]," ","_")</f>
        <v>Compteur_2</v>
      </c>
      <c r="G244" t="str">
        <f>T(INDEX(Site!$B$33:$G$40, MATCH(Tab_Calculs[[#This Row],[Compteur]], Site!$B$33:$B$40,0),2))</f>
        <v/>
      </c>
      <c r="H244" s="3">
        <f t="array" aca="1" ref="H244" ca="1">MIN(IF(INDIRECT(CONCATENATE(Tab_Calculs[[#This Row],[Colonne1]],"!$B$2:$B$243"))&gt;=Calculs_Consos!$A244,INDIRECT(CONCATENATE(Tab_Calculs[[#This Row],[Colonne1]],"!$B$2:$B$243"))))</f>
        <v>0</v>
      </c>
      <c r="I244" s="3" t="e">
        <f ca="1">INDEX(INDIRECT(CONCATENATE("Tab_",Tab_Calculs[[#This Row],[Colonne1]])),Tab_Calculs[[#This Row],[index_date_livraison]],1)</f>
        <v>#NUM!</v>
      </c>
      <c r="J244">
        <f ca="1">MATCH(Tab_Calculs[[#This Row],[Date_livraison]],INDIRECT(CONCATENATE("Tab_",Tab_Calculs[[#This Row],[Colonne1]],"[Fin de période]")),0)</f>
        <v>1</v>
      </c>
      <c r="K244" t="e">
        <f ca="1">INDEX(INDIRECT(CONCATENATE("Tab_",Tab_Calculs[[#This Row],[Colonne1]])),Tab_Calculs[[#This Row],[index_date_livraison]]-1,6)*(MAX(Tab_Calculs[[#This Row],[Début periode livraison]],Tab_Calculs[[#This Row],[Début mois]])-Tab_Calculs[[#This Row],[Début mois]])</f>
        <v>#VALUE!</v>
      </c>
      <c r="L244" s="94" t="e">
        <f ca="1">INDEX(INDIRECT(CONCATENATE("Tab_",Tab_Calculs[[#This Row],[Colonne1]])),Tab_Calculs[[#This Row],[index_date_livraison]],6)*(1+MIN(Tab_Calculs[[#This Row],[Date_livraison]],Tab_Calculs[[#This Row],[fin mois]])-MAX(Tab_Calculs[[#This Row],[Début mois]],Tab_Calculs[[#This Row],[Début periode livraison]]))</f>
        <v>#NUM!</v>
      </c>
      <c r="M244" s="94" t="e">
        <f ca="1">INDEX(INDIRECT(CONCATENATE("Tab_",Tab_Calculs[[#This Row],[Colonne1]])),Tab_Calculs[[#This Row],[index_date_livraison]]+1,6)*(Tab_Calculs[[#This Row],[fin mois]]-MIN(Tab_Calculs[[#This Row],[fin mois]],Tab_Calculs[[#This Row],[Date_livraison]]))</f>
        <v>#VALUE!</v>
      </c>
      <c r="N244" s="231" t="str">
        <f ca="1">IFERROR(Tab_Calculs[[#This Row],[Ratio_jour_après_livr]]+Tab_Calculs[[#This Row],[Ratio_jour_avant_livr]]+Tab_Calculs[[#This Row],[ratio_avant_debut]],"")</f>
        <v/>
      </c>
      <c r="O244" t="e">
        <f ca="1">INDEX(INDIRECT(CONCATENATE("Tab_",Tab_Calculs[[#This Row],[Colonne1]])),Tab_Calculs[[#This Row],[index_date_livraison]]-1,7)*(MAX(Tab_Calculs[[#This Row],[Début periode livraison]],Tab_Calculs[[#This Row],[Début mois]])-Tab_Calculs[[#This Row],[Début mois]])</f>
        <v>#VALUE!</v>
      </c>
      <c r="P244" t="e">
        <f ca="1">INDEX(INDIRECT(CONCATENATE("Tab_",Tab_Calculs[[#This Row],[Colonne1]])),Tab_Calculs[[#This Row],[index_date_livraison]],7)*(1+MIN(Tab_Calculs[[#This Row],[Date_livraison]],Tab_Calculs[[#This Row],[fin mois]])-MAX(Tab_Calculs[[#This Row],[Début mois]],Tab_Calculs[[#This Row],[Début periode livraison]]))</f>
        <v>#NUM!</v>
      </c>
      <c r="Q244" t="e">
        <f ca="1">INDEX(INDIRECT(CONCATENATE("Tab_",Tab_Calculs[[#This Row],[Colonne1]])),Tab_Calculs[[#This Row],[index_date_livraison]]+1,7)*(Tab_Calculs[[#This Row],[fin mois]]-MIN(Tab_Calculs[[#This Row],[fin mois]],Tab_Calculs[[#This Row],[Date_livraison]]))</f>
        <v>#VALUE!</v>
      </c>
      <c r="R244" t="e">
        <f ca="1">Tab_Calculs[[#This Row],[Ratio_Cout_après_livr]]+Tab_Calculs[[#This Row],[Ratio_Cout_avant_livr]]+Tab_Calculs[[#This Row],[Ratio_Cout_avant_debut]]</f>
        <v>#VALUE!</v>
      </c>
      <c r="S244" t="str">
        <f ca="1">IFERROR(N244*VLOOKUP(Tab_Calculs[[#This Row],[Colonne1]],Controle_des_données!$B$7:$G$14,6,FALSE),"")</f>
        <v/>
      </c>
      <c r="T244" t="str">
        <f ca="1">IF(Tab_Calculs[[#This Row],[Combustible ]]="Electricité (kWh)",Tab_Calculs[[#This Row],[Conso_mois_kWh]]*2.3,Tab_Calculs[[#This Row],[Conso_mois_kWh]])</f>
        <v/>
      </c>
      <c r="U244" t="str">
        <f ca="1">IFERROR(N244*VLOOKUP(Tab_Calculs[[#This Row],[Colonne1]],Controle_des_données!$B$7:$H$14,7,FALSE),"")</f>
        <v/>
      </c>
      <c r="V244">
        <f ca="1">IFERROR(Tab_Calculs[[#This Row],[Cout_mois]]/Tab_Calculs[[#This Row],[Conso_mois_kWh]],0)</f>
        <v>0</v>
      </c>
      <c r="W244" t="str">
        <f>T(VLOOKUP(Tab_Calculs[[#This Row],[Compteur]],Site!$B$33:$G$40,3,FALSE))</f>
        <v/>
      </c>
      <c r="X244" t="str">
        <f>T(VLOOKUP(Tab_Calculs[[#This Row],[Compteur]],Site!$B$33:$G$40,4,FALSE))</f>
        <v/>
      </c>
      <c r="Y244" t="str">
        <f>T(VLOOKUP(Tab_Calculs[[#This Row],[Compteur]],Site!$B$33:$G$40,5,FALSE))</f>
        <v/>
      </c>
      <c r="Z244" t="str">
        <f>T(VLOOKUP(Tab_Calculs[[#This Row],[Compteur]],Site!$B$33:$G$40,6,FALSE))</f>
        <v/>
      </c>
      <c r="AA244">
        <f>IFERROR(GETPIVOTDATA("DJU(chauffagiste)",BDD_DJU!$P$13,"annee",Tab_Calculs[[#This Row],[ANNEE]],"mois_numero",Tab_Calculs[[#This Row],[MOIS]]),0)</f>
        <v>38.5</v>
      </c>
    </row>
    <row r="245" spans="1:27" x14ac:dyDescent="0.25">
      <c r="A245" s="3">
        <f>DATE(Tab_Calculs[[#This Row],[ANNEE]],Tab_Calculs[[#This Row],[MOIS]],1)</f>
        <v>41518</v>
      </c>
      <c r="B245" s="3">
        <f>EDATE(Tab_Calculs[[#This Row],[Début mois]],1)-1</f>
        <v>41547</v>
      </c>
      <c r="C245">
        <v>9</v>
      </c>
      <c r="D245">
        <v>2013</v>
      </c>
      <c r="E245" t="s">
        <v>81</v>
      </c>
      <c r="F245" t="str">
        <f>SUBSTITUTE(Tab_Calculs[[#This Row],[Compteur]]," ","_")</f>
        <v>Compteur_2</v>
      </c>
      <c r="G245" t="str">
        <f>T(INDEX(Site!$B$33:$G$40, MATCH(Tab_Calculs[[#This Row],[Compteur]], Site!$B$33:$B$40,0),2))</f>
        <v/>
      </c>
      <c r="H245" s="3">
        <f t="array" aca="1" ref="H245" ca="1">MIN(IF(INDIRECT(CONCATENATE(Tab_Calculs[[#This Row],[Colonne1]],"!$B$2:$B$243"))&gt;=Calculs_Consos!$A245,INDIRECT(CONCATENATE(Tab_Calculs[[#This Row],[Colonne1]],"!$B$2:$B$243"))))</f>
        <v>0</v>
      </c>
      <c r="I245" s="3" t="e">
        <f ca="1">INDEX(INDIRECT(CONCATENATE("Tab_",Tab_Calculs[[#This Row],[Colonne1]])),Tab_Calculs[[#This Row],[index_date_livraison]],1)</f>
        <v>#NUM!</v>
      </c>
      <c r="J245">
        <f ca="1">MATCH(Tab_Calculs[[#This Row],[Date_livraison]],INDIRECT(CONCATENATE("Tab_",Tab_Calculs[[#This Row],[Colonne1]],"[Fin de période]")),0)</f>
        <v>1</v>
      </c>
      <c r="K245" t="e">
        <f ca="1">INDEX(INDIRECT(CONCATENATE("Tab_",Tab_Calculs[[#This Row],[Colonne1]])),Tab_Calculs[[#This Row],[index_date_livraison]]-1,6)*(MAX(Tab_Calculs[[#This Row],[Début periode livraison]],Tab_Calculs[[#This Row],[Début mois]])-Tab_Calculs[[#This Row],[Début mois]])</f>
        <v>#VALUE!</v>
      </c>
      <c r="L245" s="94" t="e">
        <f ca="1">INDEX(INDIRECT(CONCATENATE("Tab_",Tab_Calculs[[#This Row],[Colonne1]])),Tab_Calculs[[#This Row],[index_date_livraison]],6)*(1+MIN(Tab_Calculs[[#This Row],[Date_livraison]],Tab_Calculs[[#This Row],[fin mois]])-MAX(Tab_Calculs[[#This Row],[Début mois]],Tab_Calculs[[#This Row],[Début periode livraison]]))</f>
        <v>#NUM!</v>
      </c>
      <c r="M245" s="94" t="e">
        <f ca="1">INDEX(INDIRECT(CONCATENATE("Tab_",Tab_Calculs[[#This Row],[Colonne1]])),Tab_Calculs[[#This Row],[index_date_livraison]]+1,6)*(Tab_Calculs[[#This Row],[fin mois]]-MIN(Tab_Calculs[[#This Row],[fin mois]],Tab_Calculs[[#This Row],[Date_livraison]]))</f>
        <v>#VALUE!</v>
      </c>
      <c r="N245" s="231" t="str">
        <f ca="1">IFERROR(Tab_Calculs[[#This Row],[Ratio_jour_après_livr]]+Tab_Calculs[[#This Row],[Ratio_jour_avant_livr]]+Tab_Calculs[[#This Row],[ratio_avant_debut]],"")</f>
        <v/>
      </c>
      <c r="O245" t="e">
        <f ca="1">INDEX(INDIRECT(CONCATENATE("Tab_",Tab_Calculs[[#This Row],[Colonne1]])),Tab_Calculs[[#This Row],[index_date_livraison]]-1,7)*(MAX(Tab_Calculs[[#This Row],[Début periode livraison]],Tab_Calculs[[#This Row],[Début mois]])-Tab_Calculs[[#This Row],[Début mois]])</f>
        <v>#VALUE!</v>
      </c>
      <c r="P245" t="e">
        <f ca="1">INDEX(INDIRECT(CONCATENATE("Tab_",Tab_Calculs[[#This Row],[Colonne1]])),Tab_Calculs[[#This Row],[index_date_livraison]],7)*(1+MIN(Tab_Calculs[[#This Row],[Date_livraison]],Tab_Calculs[[#This Row],[fin mois]])-MAX(Tab_Calculs[[#This Row],[Début mois]],Tab_Calculs[[#This Row],[Début periode livraison]]))</f>
        <v>#NUM!</v>
      </c>
      <c r="Q245" t="e">
        <f ca="1">INDEX(INDIRECT(CONCATENATE("Tab_",Tab_Calculs[[#This Row],[Colonne1]])),Tab_Calculs[[#This Row],[index_date_livraison]]+1,7)*(Tab_Calculs[[#This Row],[fin mois]]-MIN(Tab_Calculs[[#This Row],[fin mois]],Tab_Calculs[[#This Row],[Date_livraison]]))</f>
        <v>#VALUE!</v>
      </c>
      <c r="R245" t="e">
        <f ca="1">Tab_Calculs[[#This Row],[Ratio_Cout_après_livr]]+Tab_Calculs[[#This Row],[Ratio_Cout_avant_livr]]+Tab_Calculs[[#This Row],[Ratio_Cout_avant_debut]]</f>
        <v>#VALUE!</v>
      </c>
      <c r="S245" t="str">
        <f ca="1">IFERROR(N245*VLOOKUP(Tab_Calculs[[#This Row],[Colonne1]],Controle_des_données!$B$7:$G$14,6,FALSE),"")</f>
        <v/>
      </c>
      <c r="T245" t="str">
        <f ca="1">IF(Tab_Calculs[[#This Row],[Combustible ]]="Electricité (kWh)",Tab_Calculs[[#This Row],[Conso_mois_kWh]]*2.3,Tab_Calculs[[#This Row],[Conso_mois_kWh]])</f>
        <v/>
      </c>
      <c r="U245" t="str">
        <f ca="1">IFERROR(N245*VLOOKUP(Tab_Calculs[[#This Row],[Colonne1]],Controle_des_données!$B$7:$H$14,7,FALSE),"")</f>
        <v/>
      </c>
      <c r="V245">
        <f ca="1">IFERROR(Tab_Calculs[[#This Row],[Cout_mois]]/Tab_Calculs[[#This Row],[Conso_mois_kWh]],0)</f>
        <v>0</v>
      </c>
      <c r="W245" t="str">
        <f>T(VLOOKUP(Tab_Calculs[[#This Row],[Compteur]],Site!$B$33:$G$40,3,FALSE))</f>
        <v/>
      </c>
      <c r="X245" t="str">
        <f>T(VLOOKUP(Tab_Calculs[[#This Row],[Compteur]],Site!$B$33:$G$40,4,FALSE))</f>
        <v/>
      </c>
      <c r="Y245" t="str">
        <f>T(VLOOKUP(Tab_Calculs[[#This Row],[Compteur]],Site!$B$33:$G$40,5,FALSE))</f>
        <v/>
      </c>
      <c r="Z245" t="str">
        <f>T(VLOOKUP(Tab_Calculs[[#This Row],[Compteur]],Site!$B$33:$G$40,6,FALSE))</f>
        <v/>
      </c>
      <c r="AA245">
        <f>IFERROR(GETPIVOTDATA("DJU(chauffagiste)",BDD_DJU!$P$13,"annee",Tab_Calculs[[#This Row],[ANNEE]],"mois_numero",Tab_Calculs[[#This Row],[MOIS]]),0)</f>
        <v>69.2</v>
      </c>
    </row>
    <row r="246" spans="1:27" x14ac:dyDescent="0.25">
      <c r="A246" s="3">
        <f>DATE(Tab_Calculs[[#This Row],[ANNEE]],Tab_Calculs[[#This Row],[MOIS]],1)</f>
        <v>41548</v>
      </c>
      <c r="B246" s="3">
        <f>EDATE(Tab_Calculs[[#This Row],[Début mois]],1)-1</f>
        <v>41578</v>
      </c>
      <c r="C246">
        <v>10</v>
      </c>
      <c r="D246">
        <v>2013</v>
      </c>
      <c r="E246" t="s">
        <v>81</v>
      </c>
      <c r="F246" t="str">
        <f>SUBSTITUTE(Tab_Calculs[[#This Row],[Compteur]]," ","_")</f>
        <v>Compteur_2</v>
      </c>
      <c r="G246" t="str">
        <f>T(INDEX(Site!$B$33:$G$40, MATCH(Tab_Calculs[[#This Row],[Compteur]], Site!$B$33:$B$40,0),2))</f>
        <v/>
      </c>
      <c r="H246" s="3">
        <f t="array" aca="1" ref="H246" ca="1">MIN(IF(INDIRECT(CONCATENATE(Tab_Calculs[[#This Row],[Colonne1]],"!$B$2:$B$243"))&gt;=Calculs_Consos!$A246,INDIRECT(CONCATENATE(Tab_Calculs[[#This Row],[Colonne1]],"!$B$2:$B$243"))))</f>
        <v>0</v>
      </c>
      <c r="I246" s="3" t="e">
        <f ca="1">INDEX(INDIRECT(CONCATENATE("Tab_",Tab_Calculs[[#This Row],[Colonne1]])),Tab_Calculs[[#This Row],[index_date_livraison]],1)</f>
        <v>#NUM!</v>
      </c>
      <c r="J246">
        <f ca="1">MATCH(Tab_Calculs[[#This Row],[Date_livraison]],INDIRECT(CONCATENATE("Tab_",Tab_Calculs[[#This Row],[Colonne1]],"[Fin de période]")),0)</f>
        <v>1</v>
      </c>
      <c r="K246" t="e">
        <f ca="1">INDEX(INDIRECT(CONCATENATE("Tab_",Tab_Calculs[[#This Row],[Colonne1]])),Tab_Calculs[[#This Row],[index_date_livraison]]-1,6)*(MAX(Tab_Calculs[[#This Row],[Début periode livraison]],Tab_Calculs[[#This Row],[Début mois]])-Tab_Calculs[[#This Row],[Début mois]])</f>
        <v>#VALUE!</v>
      </c>
      <c r="L246" s="94" t="e">
        <f ca="1">INDEX(INDIRECT(CONCATENATE("Tab_",Tab_Calculs[[#This Row],[Colonne1]])),Tab_Calculs[[#This Row],[index_date_livraison]],6)*(1+MIN(Tab_Calculs[[#This Row],[Date_livraison]],Tab_Calculs[[#This Row],[fin mois]])-MAX(Tab_Calculs[[#This Row],[Début mois]],Tab_Calculs[[#This Row],[Début periode livraison]]))</f>
        <v>#NUM!</v>
      </c>
      <c r="M246" s="94" t="e">
        <f ca="1">INDEX(INDIRECT(CONCATENATE("Tab_",Tab_Calculs[[#This Row],[Colonne1]])),Tab_Calculs[[#This Row],[index_date_livraison]]+1,6)*(Tab_Calculs[[#This Row],[fin mois]]-MIN(Tab_Calculs[[#This Row],[fin mois]],Tab_Calculs[[#This Row],[Date_livraison]]))</f>
        <v>#VALUE!</v>
      </c>
      <c r="N246" s="231" t="str">
        <f ca="1">IFERROR(Tab_Calculs[[#This Row],[Ratio_jour_après_livr]]+Tab_Calculs[[#This Row],[Ratio_jour_avant_livr]]+Tab_Calculs[[#This Row],[ratio_avant_debut]],"")</f>
        <v/>
      </c>
      <c r="O246" t="e">
        <f ca="1">INDEX(INDIRECT(CONCATENATE("Tab_",Tab_Calculs[[#This Row],[Colonne1]])),Tab_Calculs[[#This Row],[index_date_livraison]]-1,7)*(MAX(Tab_Calculs[[#This Row],[Début periode livraison]],Tab_Calculs[[#This Row],[Début mois]])-Tab_Calculs[[#This Row],[Début mois]])</f>
        <v>#VALUE!</v>
      </c>
      <c r="P246" t="e">
        <f ca="1">INDEX(INDIRECT(CONCATENATE("Tab_",Tab_Calculs[[#This Row],[Colonne1]])),Tab_Calculs[[#This Row],[index_date_livraison]],7)*(1+MIN(Tab_Calculs[[#This Row],[Date_livraison]],Tab_Calculs[[#This Row],[fin mois]])-MAX(Tab_Calculs[[#This Row],[Début mois]],Tab_Calculs[[#This Row],[Début periode livraison]]))</f>
        <v>#NUM!</v>
      </c>
      <c r="Q246" t="e">
        <f ca="1">INDEX(INDIRECT(CONCATENATE("Tab_",Tab_Calculs[[#This Row],[Colonne1]])),Tab_Calculs[[#This Row],[index_date_livraison]]+1,7)*(Tab_Calculs[[#This Row],[fin mois]]-MIN(Tab_Calculs[[#This Row],[fin mois]],Tab_Calculs[[#This Row],[Date_livraison]]))</f>
        <v>#VALUE!</v>
      </c>
      <c r="R246" t="e">
        <f ca="1">Tab_Calculs[[#This Row],[Ratio_Cout_après_livr]]+Tab_Calculs[[#This Row],[Ratio_Cout_avant_livr]]+Tab_Calculs[[#This Row],[Ratio_Cout_avant_debut]]</f>
        <v>#VALUE!</v>
      </c>
      <c r="S246" t="str">
        <f ca="1">IFERROR(N246*VLOOKUP(Tab_Calculs[[#This Row],[Colonne1]],Controle_des_données!$B$7:$G$14,6,FALSE),"")</f>
        <v/>
      </c>
      <c r="T246" t="str">
        <f ca="1">IF(Tab_Calculs[[#This Row],[Combustible ]]="Electricité (kWh)",Tab_Calculs[[#This Row],[Conso_mois_kWh]]*2.3,Tab_Calculs[[#This Row],[Conso_mois_kWh]])</f>
        <v/>
      </c>
      <c r="U246" t="str">
        <f ca="1">IFERROR(N246*VLOOKUP(Tab_Calculs[[#This Row],[Colonne1]],Controle_des_données!$B$7:$H$14,7,FALSE),"")</f>
        <v/>
      </c>
      <c r="V246">
        <f ca="1">IFERROR(Tab_Calculs[[#This Row],[Cout_mois]]/Tab_Calculs[[#This Row],[Conso_mois_kWh]],0)</f>
        <v>0</v>
      </c>
      <c r="W246" t="str">
        <f>T(VLOOKUP(Tab_Calculs[[#This Row],[Compteur]],Site!$B$33:$G$40,3,FALSE))</f>
        <v/>
      </c>
      <c r="X246" t="str">
        <f>T(VLOOKUP(Tab_Calculs[[#This Row],[Compteur]],Site!$B$33:$G$40,4,FALSE))</f>
        <v/>
      </c>
      <c r="Y246" t="str">
        <f>T(VLOOKUP(Tab_Calculs[[#This Row],[Compteur]],Site!$B$33:$G$40,5,FALSE))</f>
        <v/>
      </c>
      <c r="Z246" t="str">
        <f>T(VLOOKUP(Tab_Calculs[[#This Row],[Compteur]],Site!$B$33:$G$40,6,FALSE))</f>
        <v/>
      </c>
      <c r="AA246">
        <f>IFERROR(GETPIVOTDATA("DJU(chauffagiste)",BDD_DJU!$P$13,"annee",Tab_Calculs[[#This Row],[ANNEE]],"mois_numero",Tab_Calculs[[#This Row],[MOIS]]),0)</f>
        <v>122.6</v>
      </c>
    </row>
    <row r="247" spans="1:27" x14ac:dyDescent="0.25">
      <c r="A247" s="3">
        <f>DATE(Tab_Calculs[[#This Row],[ANNEE]],Tab_Calculs[[#This Row],[MOIS]],1)</f>
        <v>41579</v>
      </c>
      <c r="B247" s="3">
        <f>EDATE(Tab_Calculs[[#This Row],[Début mois]],1)-1</f>
        <v>41608</v>
      </c>
      <c r="C247">
        <v>11</v>
      </c>
      <c r="D247">
        <v>2013</v>
      </c>
      <c r="E247" t="s">
        <v>81</v>
      </c>
      <c r="F247" t="str">
        <f>SUBSTITUTE(Tab_Calculs[[#This Row],[Compteur]]," ","_")</f>
        <v>Compteur_2</v>
      </c>
      <c r="G247" t="str">
        <f>T(INDEX(Site!$B$33:$G$40, MATCH(Tab_Calculs[[#This Row],[Compteur]], Site!$B$33:$B$40,0),2))</f>
        <v/>
      </c>
      <c r="H247" s="3">
        <f t="array" aca="1" ref="H247" ca="1">MIN(IF(INDIRECT(CONCATENATE(Tab_Calculs[[#This Row],[Colonne1]],"!$B$2:$B$243"))&gt;=Calculs_Consos!$A247,INDIRECT(CONCATENATE(Tab_Calculs[[#This Row],[Colonne1]],"!$B$2:$B$243"))))</f>
        <v>0</v>
      </c>
      <c r="I247" s="3" t="e">
        <f ca="1">INDEX(INDIRECT(CONCATENATE("Tab_",Tab_Calculs[[#This Row],[Colonne1]])),Tab_Calculs[[#This Row],[index_date_livraison]],1)</f>
        <v>#NUM!</v>
      </c>
      <c r="J247">
        <f ca="1">MATCH(Tab_Calculs[[#This Row],[Date_livraison]],INDIRECT(CONCATENATE("Tab_",Tab_Calculs[[#This Row],[Colonne1]],"[Fin de période]")),0)</f>
        <v>1</v>
      </c>
      <c r="K247" t="e">
        <f ca="1">INDEX(INDIRECT(CONCATENATE("Tab_",Tab_Calculs[[#This Row],[Colonne1]])),Tab_Calculs[[#This Row],[index_date_livraison]]-1,6)*(MAX(Tab_Calculs[[#This Row],[Début periode livraison]],Tab_Calculs[[#This Row],[Début mois]])-Tab_Calculs[[#This Row],[Début mois]])</f>
        <v>#VALUE!</v>
      </c>
      <c r="L247" s="94" t="e">
        <f ca="1">INDEX(INDIRECT(CONCATENATE("Tab_",Tab_Calculs[[#This Row],[Colonne1]])),Tab_Calculs[[#This Row],[index_date_livraison]],6)*(1+MIN(Tab_Calculs[[#This Row],[Date_livraison]],Tab_Calculs[[#This Row],[fin mois]])-MAX(Tab_Calculs[[#This Row],[Début mois]],Tab_Calculs[[#This Row],[Début periode livraison]]))</f>
        <v>#NUM!</v>
      </c>
      <c r="M247" s="94" t="e">
        <f ca="1">INDEX(INDIRECT(CONCATENATE("Tab_",Tab_Calculs[[#This Row],[Colonne1]])),Tab_Calculs[[#This Row],[index_date_livraison]]+1,6)*(Tab_Calculs[[#This Row],[fin mois]]-MIN(Tab_Calculs[[#This Row],[fin mois]],Tab_Calculs[[#This Row],[Date_livraison]]))</f>
        <v>#VALUE!</v>
      </c>
      <c r="N247" s="231" t="str">
        <f ca="1">IFERROR(Tab_Calculs[[#This Row],[Ratio_jour_après_livr]]+Tab_Calculs[[#This Row],[Ratio_jour_avant_livr]]+Tab_Calculs[[#This Row],[ratio_avant_debut]],"")</f>
        <v/>
      </c>
      <c r="O247" t="e">
        <f ca="1">INDEX(INDIRECT(CONCATENATE("Tab_",Tab_Calculs[[#This Row],[Colonne1]])),Tab_Calculs[[#This Row],[index_date_livraison]]-1,7)*(MAX(Tab_Calculs[[#This Row],[Début periode livraison]],Tab_Calculs[[#This Row],[Début mois]])-Tab_Calculs[[#This Row],[Début mois]])</f>
        <v>#VALUE!</v>
      </c>
      <c r="P247" t="e">
        <f ca="1">INDEX(INDIRECT(CONCATENATE("Tab_",Tab_Calculs[[#This Row],[Colonne1]])),Tab_Calculs[[#This Row],[index_date_livraison]],7)*(1+MIN(Tab_Calculs[[#This Row],[Date_livraison]],Tab_Calculs[[#This Row],[fin mois]])-MAX(Tab_Calculs[[#This Row],[Début mois]],Tab_Calculs[[#This Row],[Début periode livraison]]))</f>
        <v>#NUM!</v>
      </c>
      <c r="Q247" t="e">
        <f ca="1">INDEX(INDIRECT(CONCATENATE("Tab_",Tab_Calculs[[#This Row],[Colonne1]])),Tab_Calculs[[#This Row],[index_date_livraison]]+1,7)*(Tab_Calculs[[#This Row],[fin mois]]-MIN(Tab_Calculs[[#This Row],[fin mois]],Tab_Calculs[[#This Row],[Date_livraison]]))</f>
        <v>#VALUE!</v>
      </c>
      <c r="R247" t="e">
        <f ca="1">Tab_Calculs[[#This Row],[Ratio_Cout_après_livr]]+Tab_Calculs[[#This Row],[Ratio_Cout_avant_livr]]+Tab_Calculs[[#This Row],[Ratio_Cout_avant_debut]]</f>
        <v>#VALUE!</v>
      </c>
      <c r="S247" t="str">
        <f ca="1">IFERROR(N247*VLOOKUP(Tab_Calculs[[#This Row],[Colonne1]],Controle_des_données!$B$7:$G$14,6,FALSE),"")</f>
        <v/>
      </c>
      <c r="T247" t="str">
        <f ca="1">IF(Tab_Calculs[[#This Row],[Combustible ]]="Electricité (kWh)",Tab_Calculs[[#This Row],[Conso_mois_kWh]]*2.3,Tab_Calculs[[#This Row],[Conso_mois_kWh]])</f>
        <v/>
      </c>
      <c r="U247" t="str">
        <f ca="1">IFERROR(N247*VLOOKUP(Tab_Calculs[[#This Row],[Colonne1]],Controle_des_données!$B$7:$H$14,7,FALSE),"")</f>
        <v/>
      </c>
      <c r="V247">
        <f ca="1">IFERROR(Tab_Calculs[[#This Row],[Cout_mois]]/Tab_Calculs[[#This Row],[Conso_mois_kWh]],0)</f>
        <v>0</v>
      </c>
      <c r="W247" t="str">
        <f>T(VLOOKUP(Tab_Calculs[[#This Row],[Compteur]],Site!$B$33:$G$40,3,FALSE))</f>
        <v/>
      </c>
      <c r="X247" t="str">
        <f>T(VLOOKUP(Tab_Calculs[[#This Row],[Compteur]],Site!$B$33:$G$40,4,FALSE))</f>
        <v/>
      </c>
      <c r="Y247" t="str">
        <f>T(VLOOKUP(Tab_Calculs[[#This Row],[Compteur]],Site!$B$33:$G$40,5,FALSE))</f>
        <v/>
      </c>
      <c r="Z247" t="str">
        <f>T(VLOOKUP(Tab_Calculs[[#This Row],[Compteur]],Site!$B$33:$G$40,6,FALSE))</f>
        <v/>
      </c>
      <c r="AA247">
        <f>IFERROR(GETPIVOTDATA("DJU(chauffagiste)",BDD_DJU!$P$13,"annee",Tab_Calculs[[#This Row],[ANNEE]],"mois_numero",Tab_Calculs[[#This Row],[MOIS]]),0)</f>
        <v>311.10000000000002</v>
      </c>
    </row>
    <row r="248" spans="1:27" x14ac:dyDescent="0.25">
      <c r="A248" s="3">
        <f>DATE(Tab_Calculs[[#This Row],[ANNEE]],Tab_Calculs[[#This Row],[MOIS]],1)</f>
        <v>41609</v>
      </c>
      <c r="B248" s="3">
        <f>EDATE(Tab_Calculs[[#This Row],[Début mois]],1)-1</f>
        <v>41639</v>
      </c>
      <c r="C248">
        <v>12</v>
      </c>
      <c r="D248">
        <v>2013</v>
      </c>
      <c r="E248" t="s">
        <v>81</v>
      </c>
      <c r="F248" t="str">
        <f>SUBSTITUTE(Tab_Calculs[[#This Row],[Compteur]]," ","_")</f>
        <v>Compteur_2</v>
      </c>
      <c r="G248" t="str">
        <f>T(INDEX(Site!$B$33:$G$40, MATCH(Tab_Calculs[[#This Row],[Compteur]], Site!$B$33:$B$40,0),2))</f>
        <v/>
      </c>
      <c r="H248" s="3">
        <f t="array" aca="1" ref="H248" ca="1">MIN(IF(INDIRECT(CONCATENATE(Tab_Calculs[[#This Row],[Colonne1]],"!$B$2:$B$243"))&gt;=Calculs_Consos!$A248,INDIRECT(CONCATENATE(Tab_Calculs[[#This Row],[Colonne1]],"!$B$2:$B$243"))))</f>
        <v>0</v>
      </c>
      <c r="I248" s="3" t="e">
        <f ca="1">INDEX(INDIRECT(CONCATENATE("Tab_",Tab_Calculs[[#This Row],[Colonne1]])),Tab_Calculs[[#This Row],[index_date_livraison]],1)</f>
        <v>#NUM!</v>
      </c>
      <c r="J248">
        <f ca="1">MATCH(Tab_Calculs[[#This Row],[Date_livraison]],INDIRECT(CONCATENATE("Tab_",Tab_Calculs[[#This Row],[Colonne1]],"[Fin de période]")),0)</f>
        <v>1</v>
      </c>
      <c r="K248" t="e">
        <f ca="1">INDEX(INDIRECT(CONCATENATE("Tab_",Tab_Calculs[[#This Row],[Colonne1]])),Tab_Calculs[[#This Row],[index_date_livraison]]-1,6)*(MAX(Tab_Calculs[[#This Row],[Début periode livraison]],Tab_Calculs[[#This Row],[Début mois]])-Tab_Calculs[[#This Row],[Début mois]])</f>
        <v>#VALUE!</v>
      </c>
      <c r="L248" s="94" t="e">
        <f ca="1">INDEX(INDIRECT(CONCATENATE("Tab_",Tab_Calculs[[#This Row],[Colonne1]])),Tab_Calculs[[#This Row],[index_date_livraison]],6)*(1+MIN(Tab_Calculs[[#This Row],[Date_livraison]],Tab_Calculs[[#This Row],[fin mois]])-MAX(Tab_Calculs[[#This Row],[Début mois]],Tab_Calculs[[#This Row],[Début periode livraison]]))</f>
        <v>#NUM!</v>
      </c>
      <c r="M248" s="94" t="e">
        <f ca="1">INDEX(INDIRECT(CONCATENATE("Tab_",Tab_Calculs[[#This Row],[Colonne1]])),Tab_Calculs[[#This Row],[index_date_livraison]]+1,6)*(Tab_Calculs[[#This Row],[fin mois]]-MIN(Tab_Calculs[[#This Row],[fin mois]],Tab_Calculs[[#This Row],[Date_livraison]]))</f>
        <v>#VALUE!</v>
      </c>
      <c r="N248" s="231" t="str">
        <f ca="1">IFERROR(Tab_Calculs[[#This Row],[Ratio_jour_après_livr]]+Tab_Calculs[[#This Row],[Ratio_jour_avant_livr]]+Tab_Calculs[[#This Row],[ratio_avant_debut]],"")</f>
        <v/>
      </c>
      <c r="O248" t="e">
        <f ca="1">INDEX(INDIRECT(CONCATENATE("Tab_",Tab_Calculs[[#This Row],[Colonne1]])),Tab_Calculs[[#This Row],[index_date_livraison]]-1,7)*(MAX(Tab_Calculs[[#This Row],[Début periode livraison]],Tab_Calculs[[#This Row],[Début mois]])-Tab_Calculs[[#This Row],[Début mois]])</f>
        <v>#VALUE!</v>
      </c>
      <c r="P248" t="e">
        <f ca="1">INDEX(INDIRECT(CONCATENATE("Tab_",Tab_Calculs[[#This Row],[Colonne1]])),Tab_Calculs[[#This Row],[index_date_livraison]],7)*(1+MIN(Tab_Calculs[[#This Row],[Date_livraison]],Tab_Calculs[[#This Row],[fin mois]])-MAX(Tab_Calculs[[#This Row],[Début mois]],Tab_Calculs[[#This Row],[Début periode livraison]]))</f>
        <v>#NUM!</v>
      </c>
      <c r="Q248" t="e">
        <f ca="1">INDEX(INDIRECT(CONCATENATE("Tab_",Tab_Calculs[[#This Row],[Colonne1]])),Tab_Calculs[[#This Row],[index_date_livraison]]+1,7)*(Tab_Calculs[[#This Row],[fin mois]]-MIN(Tab_Calculs[[#This Row],[fin mois]],Tab_Calculs[[#This Row],[Date_livraison]]))</f>
        <v>#VALUE!</v>
      </c>
      <c r="R248" t="e">
        <f ca="1">Tab_Calculs[[#This Row],[Ratio_Cout_après_livr]]+Tab_Calculs[[#This Row],[Ratio_Cout_avant_livr]]+Tab_Calculs[[#This Row],[Ratio_Cout_avant_debut]]</f>
        <v>#VALUE!</v>
      </c>
      <c r="S248" t="str">
        <f ca="1">IFERROR(N248*VLOOKUP(Tab_Calculs[[#This Row],[Colonne1]],Controle_des_données!$B$7:$G$14,6,FALSE),"")</f>
        <v/>
      </c>
      <c r="T248" t="str">
        <f ca="1">IF(Tab_Calculs[[#This Row],[Combustible ]]="Electricité (kWh)",Tab_Calculs[[#This Row],[Conso_mois_kWh]]*2.3,Tab_Calculs[[#This Row],[Conso_mois_kWh]])</f>
        <v/>
      </c>
      <c r="U248" t="str">
        <f ca="1">IFERROR(N248*VLOOKUP(Tab_Calculs[[#This Row],[Colonne1]],Controle_des_données!$B$7:$H$14,7,FALSE),"")</f>
        <v/>
      </c>
      <c r="V248">
        <f ca="1">IFERROR(Tab_Calculs[[#This Row],[Cout_mois]]/Tab_Calculs[[#This Row],[Conso_mois_kWh]],0)</f>
        <v>0</v>
      </c>
      <c r="W248" t="str">
        <f>T(VLOOKUP(Tab_Calculs[[#This Row],[Compteur]],Site!$B$33:$G$40,3,FALSE))</f>
        <v/>
      </c>
      <c r="X248" t="str">
        <f>T(VLOOKUP(Tab_Calculs[[#This Row],[Compteur]],Site!$B$33:$G$40,4,FALSE))</f>
        <v/>
      </c>
      <c r="Y248" t="str">
        <f>T(VLOOKUP(Tab_Calculs[[#This Row],[Compteur]],Site!$B$33:$G$40,5,FALSE))</f>
        <v/>
      </c>
      <c r="Z248" t="str">
        <f>T(VLOOKUP(Tab_Calculs[[#This Row],[Compteur]],Site!$B$33:$G$40,6,FALSE))</f>
        <v/>
      </c>
      <c r="AA248">
        <f>IFERROR(GETPIVOTDATA("DJU(chauffagiste)",BDD_DJU!$P$13,"annee",Tab_Calculs[[#This Row],[ANNEE]],"mois_numero",Tab_Calculs[[#This Row],[MOIS]]),0)</f>
        <v>380.4</v>
      </c>
    </row>
    <row r="249" spans="1:27" x14ac:dyDescent="0.25">
      <c r="A249" s="3">
        <f>DATE(Tab_Calculs[[#This Row],[ANNEE]],Tab_Calculs[[#This Row],[MOIS]],1)</f>
        <v>41640</v>
      </c>
      <c r="B249" s="3">
        <f>EDATE(Tab_Calculs[[#This Row],[Début mois]],1)-1</f>
        <v>41670</v>
      </c>
      <c r="C249">
        <v>1</v>
      </c>
      <c r="D249">
        <v>2014</v>
      </c>
      <c r="E249" t="s">
        <v>81</v>
      </c>
      <c r="F249" t="str">
        <f>SUBSTITUTE(Tab_Calculs[[#This Row],[Compteur]]," ","_")</f>
        <v>Compteur_2</v>
      </c>
      <c r="G249" t="str">
        <f>T(INDEX(Site!$B$33:$G$40, MATCH(Tab_Calculs[[#This Row],[Compteur]], Site!$B$33:$B$40,0),2))</f>
        <v/>
      </c>
      <c r="H249" s="3">
        <f t="array" aca="1" ref="H249" ca="1">MIN(IF(INDIRECT(CONCATENATE(Tab_Calculs[[#This Row],[Colonne1]],"!$B$2:$B$243"))&gt;=Calculs_Consos!$A249,INDIRECT(CONCATENATE(Tab_Calculs[[#This Row],[Colonne1]],"!$B$2:$B$243"))))</f>
        <v>0</v>
      </c>
      <c r="I249" s="3" t="e">
        <f ca="1">INDEX(INDIRECT(CONCATENATE("Tab_",Tab_Calculs[[#This Row],[Colonne1]])),Tab_Calculs[[#This Row],[index_date_livraison]],1)</f>
        <v>#NUM!</v>
      </c>
      <c r="J249">
        <f ca="1">MATCH(Tab_Calculs[[#This Row],[Date_livraison]],INDIRECT(CONCATENATE("Tab_",Tab_Calculs[[#This Row],[Colonne1]],"[Fin de période]")),0)</f>
        <v>1</v>
      </c>
      <c r="K249" t="e">
        <f ca="1">INDEX(INDIRECT(CONCATENATE("Tab_",Tab_Calculs[[#This Row],[Colonne1]])),Tab_Calculs[[#This Row],[index_date_livraison]]-1,6)*(MAX(Tab_Calculs[[#This Row],[Début periode livraison]],Tab_Calculs[[#This Row],[Début mois]])-Tab_Calculs[[#This Row],[Début mois]])</f>
        <v>#VALUE!</v>
      </c>
      <c r="L249" s="94" t="e">
        <f ca="1">INDEX(INDIRECT(CONCATENATE("Tab_",Tab_Calculs[[#This Row],[Colonne1]])),Tab_Calculs[[#This Row],[index_date_livraison]],6)*(1+MIN(Tab_Calculs[[#This Row],[Date_livraison]],Tab_Calculs[[#This Row],[fin mois]])-MAX(Tab_Calculs[[#This Row],[Début mois]],Tab_Calculs[[#This Row],[Début periode livraison]]))</f>
        <v>#NUM!</v>
      </c>
      <c r="M249" s="94" t="e">
        <f ca="1">INDEX(INDIRECT(CONCATENATE("Tab_",Tab_Calculs[[#This Row],[Colonne1]])),Tab_Calculs[[#This Row],[index_date_livraison]]+1,6)*(Tab_Calculs[[#This Row],[fin mois]]-MIN(Tab_Calculs[[#This Row],[fin mois]],Tab_Calculs[[#This Row],[Date_livraison]]))</f>
        <v>#VALUE!</v>
      </c>
      <c r="N249" s="231" t="str">
        <f ca="1">IFERROR(Tab_Calculs[[#This Row],[Ratio_jour_après_livr]]+Tab_Calculs[[#This Row],[Ratio_jour_avant_livr]]+Tab_Calculs[[#This Row],[ratio_avant_debut]],"")</f>
        <v/>
      </c>
      <c r="O249" t="e">
        <f ca="1">INDEX(INDIRECT(CONCATENATE("Tab_",Tab_Calculs[[#This Row],[Colonne1]])),Tab_Calculs[[#This Row],[index_date_livraison]]-1,7)*(MAX(Tab_Calculs[[#This Row],[Début periode livraison]],Tab_Calculs[[#This Row],[Début mois]])-Tab_Calculs[[#This Row],[Début mois]])</f>
        <v>#VALUE!</v>
      </c>
      <c r="P249" t="e">
        <f ca="1">INDEX(INDIRECT(CONCATENATE("Tab_",Tab_Calculs[[#This Row],[Colonne1]])),Tab_Calculs[[#This Row],[index_date_livraison]],7)*(1+MIN(Tab_Calculs[[#This Row],[Date_livraison]],Tab_Calculs[[#This Row],[fin mois]])-MAX(Tab_Calculs[[#This Row],[Début mois]],Tab_Calculs[[#This Row],[Début periode livraison]]))</f>
        <v>#NUM!</v>
      </c>
      <c r="Q249" t="e">
        <f ca="1">INDEX(INDIRECT(CONCATENATE("Tab_",Tab_Calculs[[#This Row],[Colonne1]])),Tab_Calculs[[#This Row],[index_date_livraison]]+1,7)*(Tab_Calculs[[#This Row],[fin mois]]-MIN(Tab_Calculs[[#This Row],[fin mois]],Tab_Calculs[[#This Row],[Date_livraison]]))</f>
        <v>#VALUE!</v>
      </c>
      <c r="R249" t="e">
        <f ca="1">Tab_Calculs[[#This Row],[Ratio_Cout_après_livr]]+Tab_Calculs[[#This Row],[Ratio_Cout_avant_livr]]+Tab_Calculs[[#This Row],[Ratio_Cout_avant_debut]]</f>
        <v>#VALUE!</v>
      </c>
      <c r="S249" t="str">
        <f ca="1">IFERROR(N249*VLOOKUP(Tab_Calculs[[#This Row],[Colonne1]],Controle_des_données!$B$7:$G$14,6,FALSE),"")</f>
        <v/>
      </c>
      <c r="T249" t="str">
        <f ca="1">IF(Tab_Calculs[[#This Row],[Combustible ]]="Electricité (kWh)",Tab_Calculs[[#This Row],[Conso_mois_kWh]]*2.3,Tab_Calculs[[#This Row],[Conso_mois_kWh]])</f>
        <v/>
      </c>
      <c r="U249" t="str">
        <f ca="1">IFERROR(N249*VLOOKUP(Tab_Calculs[[#This Row],[Colonne1]],Controle_des_données!$B$7:$H$14,7,FALSE),"")</f>
        <v/>
      </c>
      <c r="V249">
        <f ca="1">IFERROR(Tab_Calculs[[#This Row],[Cout_mois]]/Tab_Calculs[[#This Row],[Conso_mois_kWh]],0)</f>
        <v>0</v>
      </c>
      <c r="W249" t="str">
        <f>T(VLOOKUP(Tab_Calculs[[#This Row],[Compteur]],Site!$B$33:$G$40,3,FALSE))</f>
        <v/>
      </c>
      <c r="X249" t="str">
        <f>T(VLOOKUP(Tab_Calculs[[#This Row],[Compteur]],Site!$B$33:$G$40,4,FALSE))</f>
        <v/>
      </c>
      <c r="Y249" t="str">
        <f>T(VLOOKUP(Tab_Calculs[[#This Row],[Compteur]],Site!$B$33:$G$40,5,FALSE))</f>
        <v/>
      </c>
      <c r="Z249" t="str">
        <f>T(VLOOKUP(Tab_Calculs[[#This Row],[Compteur]],Site!$B$33:$G$40,6,FALSE))</f>
        <v/>
      </c>
      <c r="AA249">
        <f>IFERROR(GETPIVOTDATA("DJU(chauffagiste)",BDD_DJU!$P$13,"annee",Tab_Calculs[[#This Row],[ANNEE]],"mois_numero",Tab_Calculs[[#This Row],[MOIS]]),0)</f>
        <v>320.5</v>
      </c>
    </row>
    <row r="250" spans="1:27" x14ac:dyDescent="0.25">
      <c r="A250" s="3">
        <f>DATE(Tab_Calculs[[#This Row],[ANNEE]],Tab_Calculs[[#This Row],[MOIS]],1)</f>
        <v>41671</v>
      </c>
      <c r="B250" s="3">
        <f>EDATE(Tab_Calculs[[#This Row],[Début mois]],1)-1</f>
        <v>41698</v>
      </c>
      <c r="C250">
        <v>2</v>
      </c>
      <c r="D250">
        <v>2014</v>
      </c>
      <c r="E250" t="s">
        <v>81</v>
      </c>
      <c r="F250" t="str">
        <f>SUBSTITUTE(Tab_Calculs[[#This Row],[Compteur]]," ","_")</f>
        <v>Compteur_2</v>
      </c>
      <c r="G250" t="str">
        <f>T(INDEX(Site!$B$33:$G$40, MATCH(Tab_Calculs[[#This Row],[Compteur]], Site!$B$33:$B$40,0),2))</f>
        <v/>
      </c>
      <c r="H250" s="3">
        <f t="array" aca="1" ref="H250" ca="1">MIN(IF(INDIRECT(CONCATENATE(Tab_Calculs[[#This Row],[Colonne1]],"!$B$2:$B$243"))&gt;=Calculs_Consos!$A250,INDIRECT(CONCATENATE(Tab_Calculs[[#This Row],[Colonne1]],"!$B$2:$B$243"))))</f>
        <v>0</v>
      </c>
      <c r="I250" s="3" t="e">
        <f ca="1">INDEX(INDIRECT(CONCATENATE("Tab_",Tab_Calculs[[#This Row],[Colonne1]])),Tab_Calculs[[#This Row],[index_date_livraison]],1)</f>
        <v>#NUM!</v>
      </c>
      <c r="J250">
        <f ca="1">MATCH(Tab_Calculs[[#This Row],[Date_livraison]],INDIRECT(CONCATENATE("Tab_",Tab_Calculs[[#This Row],[Colonne1]],"[Fin de période]")),0)</f>
        <v>1</v>
      </c>
      <c r="K250" t="e">
        <f ca="1">INDEX(INDIRECT(CONCATENATE("Tab_",Tab_Calculs[[#This Row],[Colonne1]])),Tab_Calculs[[#This Row],[index_date_livraison]]-1,6)*(MAX(Tab_Calculs[[#This Row],[Début periode livraison]],Tab_Calculs[[#This Row],[Début mois]])-Tab_Calculs[[#This Row],[Début mois]])</f>
        <v>#VALUE!</v>
      </c>
      <c r="L250" s="94" t="e">
        <f ca="1">INDEX(INDIRECT(CONCATENATE("Tab_",Tab_Calculs[[#This Row],[Colonne1]])),Tab_Calculs[[#This Row],[index_date_livraison]],6)*(1+MIN(Tab_Calculs[[#This Row],[Date_livraison]],Tab_Calculs[[#This Row],[fin mois]])-MAX(Tab_Calculs[[#This Row],[Début mois]],Tab_Calculs[[#This Row],[Début periode livraison]]))</f>
        <v>#NUM!</v>
      </c>
      <c r="M250" s="94" t="e">
        <f ca="1">INDEX(INDIRECT(CONCATENATE("Tab_",Tab_Calculs[[#This Row],[Colonne1]])),Tab_Calculs[[#This Row],[index_date_livraison]]+1,6)*(Tab_Calculs[[#This Row],[fin mois]]-MIN(Tab_Calculs[[#This Row],[fin mois]],Tab_Calculs[[#This Row],[Date_livraison]]))</f>
        <v>#VALUE!</v>
      </c>
      <c r="N250" s="231" t="str">
        <f ca="1">IFERROR(Tab_Calculs[[#This Row],[Ratio_jour_après_livr]]+Tab_Calculs[[#This Row],[Ratio_jour_avant_livr]]+Tab_Calculs[[#This Row],[ratio_avant_debut]],"")</f>
        <v/>
      </c>
      <c r="O250" t="e">
        <f ca="1">INDEX(INDIRECT(CONCATENATE("Tab_",Tab_Calculs[[#This Row],[Colonne1]])),Tab_Calculs[[#This Row],[index_date_livraison]]-1,7)*(MAX(Tab_Calculs[[#This Row],[Début periode livraison]],Tab_Calculs[[#This Row],[Début mois]])-Tab_Calculs[[#This Row],[Début mois]])</f>
        <v>#VALUE!</v>
      </c>
      <c r="P250" t="e">
        <f ca="1">INDEX(INDIRECT(CONCATENATE("Tab_",Tab_Calculs[[#This Row],[Colonne1]])),Tab_Calculs[[#This Row],[index_date_livraison]],7)*(1+MIN(Tab_Calculs[[#This Row],[Date_livraison]],Tab_Calculs[[#This Row],[fin mois]])-MAX(Tab_Calculs[[#This Row],[Début mois]],Tab_Calculs[[#This Row],[Début periode livraison]]))</f>
        <v>#NUM!</v>
      </c>
      <c r="Q250" t="e">
        <f ca="1">INDEX(INDIRECT(CONCATENATE("Tab_",Tab_Calculs[[#This Row],[Colonne1]])),Tab_Calculs[[#This Row],[index_date_livraison]]+1,7)*(Tab_Calculs[[#This Row],[fin mois]]-MIN(Tab_Calculs[[#This Row],[fin mois]],Tab_Calculs[[#This Row],[Date_livraison]]))</f>
        <v>#VALUE!</v>
      </c>
      <c r="R250" t="e">
        <f ca="1">Tab_Calculs[[#This Row],[Ratio_Cout_après_livr]]+Tab_Calculs[[#This Row],[Ratio_Cout_avant_livr]]+Tab_Calculs[[#This Row],[Ratio_Cout_avant_debut]]</f>
        <v>#VALUE!</v>
      </c>
      <c r="S250" t="str">
        <f ca="1">IFERROR(N250*VLOOKUP(Tab_Calculs[[#This Row],[Colonne1]],Controle_des_données!$B$7:$G$14,6,FALSE),"")</f>
        <v/>
      </c>
      <c r="T250" t="str">
        <f ca="1">IF(Tab_Calculs[[#This Row],[Combustible ]]="Electricité (kWh)",Tab_Calculs[[#This Row],[Conso_mois_kWh]]*2.3,Tab_Calculs[[#This Row],[Conso_mois_kWh]])</f>
        <v/>
      </c>
      <c r="U250" t="str">
        <f ca="1">IFERROR(N250*VLOOKUP(Tab_Calculs[[#This Row],[Colonne1]],Controle_des_données!$B$7:$H$14,7,FALSE),"")</f>
        <v/>
      </c>
      <c r="V250">
        <f ca="1">IFERROR(Tab_Calculs[[#This Row],[Cout_mois]]/Tab_Calculs[[#This Row],[Conso_mois_kWh]],0)</f>
        <v>0</v>
      </c>
      <c r="W250" t="str">
        <f>T(VLOOKUP(Tab_Calculs[[#This Row],[Compteur]],Site!$B$33:$G$40,3,FALSE))</f>
        <v/>
      </c>
      <c r="X250" t="str">
        <f>T(VLOOKUP(Tab_Calculs[[#This Row],[Compteur]],Site!$B$33:$G$40,4,FALSE))</f>
        <v/>
      </c>
      <c r="Y250" t="str">
        <f>T(VLOOKUP(Tab_Calculs[[#This Row],[Compteur]],Site!$B$33:$G$40,5,FALSE))</f>
        <v/>
      </c>
      <c r="Z250" t="str">
        <f>T(VLOOKUP(Tab_Calculs[[#This Row],[Compteur]],Site!$B$33:$G$40,6,FALSE))</f>
        <v/>
      </c>
      <c r="AA250">
        <f>IFERROR(GETPIVOTDATA("DJU(chauffagiste)",BDD_DJU!$P$13,"annee",Tab_Calculs[[#This Row],[ANNEE]],"mois_numero",Tab_Calculs[[#This Row],[MOIS]]),0)</f>
        <v>281.3</v>
      </c>
    </row>
    <row r="251" spans="1:27" x14ac:dyDescent="0.25">
      <c r="A251" s="3">
        <f>DATE(Tab_Calculs[[#This Row],[ANNEE]],Tab_Calculs[[#This Row],[MOIS]],1)</f>
        <v>41699</v>
      </c>
      <c r="B251" s="3">
        <f>EDATE(Tab_Calculs[[#This Row],[Début mois]],1)-1</f>
        <v>41729</v>
      </c>
      <c r="C251">
        <v>3</v>
      </c>
      <c r="D251">
        <v>2014</v>
      </c>
      <c r="E251" t="s">
        <v>81</v>
      </c>
      <c r="F251" t="str">
        <f>SUBSTITUTE(Tab_Calculs[[#This Row],[Compteur]]," ","_")</f>
        <v>Compteur_2</v>
      </c>
      <c r="G251" t="str">
        <f>T(INDEX(Site!$B$33:$G$40, MATCH(Tab_Calculs[[#This Row],[Compteur]], Site!$B$33:$B$40,0),2))</f>
        <v/>
      </c>
      <c r="H251" s="3">
        <f t="array" aca="1" ref="H251" ca="1">MIN(IF(INDIRECT(CONCATENATE(Tab_Calculs[[#This Row],[Colonne1]],"!$B$2:$B$243"))&gt;=Calculs_Consos!$A251,INDIRECT(CONCATENATE(Tab_Calculs[[#This Row],[Colonne1]],"!$B$2:$B$243"))))</f>
        <v>0</v>
      </c>
      <c r="I251" s="3" t="e">
        <f ca="1">INDEX(INDIRECT(CONCATENATE("Tab_",Tab_Calculs[[#This Row],[Colonne1]])),Tab_Calculs[[#This Row],[index_date_livraison]],1)</f>
        <v>#NUM!</v>
      </c>
      <c r="J251">
        <f ca="1">MATCH(Tab_Calculs[[#This Row],[Date_livraison]],INDIRECT(CONCATENATE("Tab_",Tab_Calculs[[#This Row],[Colonne1]],"[Fin de période]")),0)</f>
        <v>1</v>
      </c>
      <c r="K251" t="e">
        <f ca="1">INDEX(INDIRECT(CONCATENATE("Tab_",Tab_Calculs[[#This Row],[Colonne1]])),Tab_Calculs[[#This Row],[index_date_livraison]]-1,6)*(MAX(Tab_Calculs[[#This Row],[Début periode livraison]],Tab_Calculs[[#This Row],[Début mois]])-Tab_Calculs[[#This Row],[Début mois]])</f>
        <v>#VALUE!</v>
      </c>
      <c r="L251" s="94" t="e">
        <f ca="1">INDEX(INDIRECT(CONCATENATE("Tab_",Tab_Calculs[[#This Row],[Colonne1]])),Tab_Calculs[[#This Row],[index_date_livraison]],6)*(1+MIN(Tab_Calculs[[#This Row],[Date_livraison]],Tab_Calculs[[#This Row],[fin mois]])-MAX(Tab_Calculs[[#This Row],[Début mois]],Tab_Calculs[[#This Row],[Début periode livraison]]))</f>
        <v>#NUM!</v>
      </c>
      <c r="M251" s="94" t="e">
        <f ca="1">INDEX(INDIRECT(CONCATENATE("Tab_",Tab_Calculs[[#This Row],[Colonne1]])),Tab_Calculs[[#This Row],[index_date_livraison]]+1,6)*(Tab_Calculs[[#This Row],[fin mois]]-MIN(Tab_Calculs[[#This Row],[fin mois]],Tab_Calculs[[#This Row],[Date_livraison]]))</f>
        <v>#VALUE!</v>
      </c>
      <c r="N251" s="231" t="str">
        <f ca="1">IFERROR(Tab_Calculs[[#This Row],[Ratio_jour_après_livr]]+Tab_Calculs[[#This Row],[Ratio_jour_avant_livr]]+Tab_Calculs[[#This Row],[ratio_avant_debut]],"")</f>
        <v/>
      </c>
      <c r="O251" t="e">
        <f ca="1">INDEX(INDIRECT(CONCATENATE("Tab_",Tab_Calculs[[#This Row],[Colonne1]])),Tab_Calculs[[#This Row],[index_date_livraison]]-1,7)*(MAX(Tab_Calculs[[#This Row],[Début periode livraison]],Tab_Calculs[[#This Row],[Début mois]])-Tab_Calculs[[#This Row],[Début mois]])</f>
        <v>#VALUE!</v>
      </c>
      <c r="P251" t="e">
        <f ca="1">INDEX(INDIRECT(CONCATENATE("Tab_",Tab_Calculs[[#This Row],[Colonne1]])),Tab_Calculs[[#This Row],[index_date_livraison]],7)*(1+MIN(Tab_Calculs[[#This Row],[Date_livraison]],Tab_Calculs[[#This Row],[fin mois]])-MAX(Tab_Calculs[[#This Row],[Début mois]],Tab_Calculs[[#This Row],[Début periode livraison]]))</f>
        <v>#NUM!</v>
      </c>
      <c r="Q251" t="e">
        <f ca="1">INDEX(INDIRECT(CONCATENATE("Tab_",Tab_Calculs[[#This Row],[Colonne1]])),Tab_Calculs[[#This Row],[index_date_livraison]]+1,7)*(Tab_Calculs[[#This Row],[fin mois]]-MIN(Tab_Calculs[[#This Row],[fin mois]],Tab_Calculs[[#This Row],[Date_livraison]]))</f>
        <v>#VALUE!</v>
      </c>
      <c r="R251" t="e">
        <f ca="1">Tab_Calculs[[#This Row],[Ratio_Cout_après_livr]]+Tab_Calculs[[#This Row],[Ratio_Cout_avant_livr]]+Tab_Calculs[[#This Row],[Ratio_Cout_avant_debut]]</f>
        <v>#VALUE!</v>
      </c>
      <c r="S251" t="str">
        <f ca="1">IFERROR(N251*VLOOKUP(Tab_Calculs[[#This Row],[Colonne1]],Controle_des_données!$B$7:$G$14,6,FALSE),"")</f>
        <v/>
      </c>
      <c r="T251" t="str">
        <f ca="1">IF(Tab_Calculs[[#This Row],[Combustible ]]="Electricité (kWh)",Tab_Calculs[[#This Row],[Conso_mois_kWh]]*2.3,Tab_Calculs[[#This Row],[Conso_mois_kWh]])</f>
        <v/>
      </c>
      <c r="U251" t="str">
        <f ca="1">IFERROR(N251*VLOOKUP(Tab_Calculs[[#This Row],[Colonne1]],Controle_des_données!$B$7:$H$14,7,FALSE),"")</f>
        <v/>
      </c>
      <c r="V251">
        <f ca="1">IFERROR(Tab_Calculs[[#This Row],[Cout_mois]]/Tab_Calculs[[#This Row],[Conso_mois_kWh]],0)</f>
        <v>0</v>
      </c>
      <c r="W251" t="str">
        <f>T(VLOOKUP(Tab_Calculs[[#This Row],[Compteur]],Site!$B$33:$G$40,3,FALSE))</f>
        <v/>
      </c>
      <c r="X251" t="str">
        <f>T(VLOOKUP(Tab_Calculs[[#This Row],[Compteur]],Site!$B$33:$G$40,4,FALSE))</f>
        <v/>
      </c>
      <c r="Y251" t="str">
        <f>T(VLOOKUP(Tab_Calculs[[#This Row],[Compteur]],Site!$B$33:$G$40,5,FALSE))</f>
        <v/>
      </c>
      <c r="Z251" t="str">
        <f>T(VLOOKUP(Tab_Calculs[[#This Row],[Compteur]],Site!$B$33:$G$40,6,FALSE))</f>
        <v/>
      </c>
      <c r="AA251">
        <f>IFERROR(GETPIVOTDATA("DJU(chauffagiste)",BDD_DJU!$P$13,"annee",Tab_Calculs[[#This Row],[ANNEE]],"mois_numero",Tab_Calculs[[#This Row],[MOIS]]),0)</f>
        <v>263.89999999999998</v>
      </c>
    </row>
    <row r="252" spans="1:27" x14ac:dyDescent="0.25">
      <c r="A252" s="3">
        <f>DATE(Tab_Calculs[[#This Row],[ANNEE]],Tab_Calculs[[#This Row],[MOIS]],1)</f>
        <v>41730</v>
      </c>
      <c r="B252" s="3">
        <f>EDATE(Tab_Calculs[[#This Row],[Début mois]],1)-1</f>
        <v>41759</v>
      </c>
      <c r="C252">
        <v>4</v>
      </c>
      <c r="D252">
        <v>2014</v>
      </c>
      <c r="E252" t="s">
        <v>81</v>
      </c>
      <c r="F252" t="str">
        <f>SUBSTITUTE(Tab_Calculs[[#This Row],[Compteur]]," ","_")</f>
        <v>Compteur_2</v>
      </c>
      <c r="G252" t="str">
        <f>T(INDEX(Site!$B$33:$G$40, MATCH(Tab_Calculs[[#This Row],[Compteur]], Site!$B$33:$B$40,0),2))</f>
        <v/>
      </c>
      <c r="H252" s="3">
        <f t="array" aca="1" ref="H252" ca="1">MIN(IF(INDIRECT(CONCATENATE(Tab_Calculs[[#This Row],[Colonne1]],"!$B$2:$B$243"))&gt;=Calculs_Consos!$A252,INDIRECT(CONCATENATE(Tab_Calculs[[#This Row],[Colonne1]],"!$B$2:$B$243"))))</f>
        <v>0</v>
      </c>
      <c r="I252" s="3" t="e">
        <f ca="1">INDEX(INDIRECT(CONCATENATE("Tab_",Tab_Calculs[[#This Row],[Colonne1]])),Tab_Calculs[[#This Row],[index_date_livraison]],1)</f>
        <v>#NUM!</v>
      </c>
      <c r="J252">
        <f ca="1">MATCH(Tab_Calculs[[#This Row],[Date_livraison]],INDIRECT(CONCATENATE("Tab_",Tab_Calculs[[#This Row],[Colonne1]],"[Fin de période]")),0)</f>
        <v>1</v>
      </c>
      <c r="K252" t="e">
        <f ca="1">INDEX(INDIRECT(CONCATENATE("Tab_",Tab_Calculs[[#This Row],[Colonne1]])),Tab_Calculs[[#This Row],[index_date_livraison]]-1,6)*(MAX(Tab_Calculs[[#This Row],[Début periode livraison]],Tab_Calculs[[#This Row],[Début mois]])-Tab_Calculs[[#This Row],[Début mois]])</f>
        <v>#VALUE!</v>
      </c>
      <c r="L252" s="94" t="e">
        <f ca="1">INDEX(INDIRECT(CONCATENATE("Tab_",Tab_Calculs[[#This Row],[Colonne1]])),Tab_Calculs[[#This Row],[index_date_livraison]],6)*(1+MIN(Tab_Calculs[[#This Row],[Date_livraison]],Tab_Calculs[[#This Row],[fin mois]])-MAX(Tab_Calculs[[#This Row],[Début mois]],Tab_Calculs[[#This Row],[Début periode livraison]]))</f>
        <v>#NUM!</v>
      </c>
      <c r="M252" s="94" t="e">
        <f ca="1">INDEX(INDIRECT(CONCATENATE("Tab_",Tab_Calculs[[#This Row],[Colonne1]])),Tab_Calculs[[#This Row],[index_date_livraison]]+1,6)*(Tab_Calculs[[#This Row],[fin mois]]-MIN(Tab_Calculs[[#This Row],[fin mois]],Tab_Calculs[[#This Row],[Date_livraison]]))</f>
        <v>#VALUE!</v>
      </c>
      <c r="N252" s="231" t="str">
        <f ca="1">IFERROR(Tab_Calculs[[#This Row],[Ratio_jour_après_livr]]+Tab_Calculs[[#This Row],[Ratio_jour_avant_livr]]+Tab_Calculs[[#This Row],[ratio_avant_debut]],"")</f>
        <v/>
      </c>
      <c r="O252" t="e">
        <f ca="1">INDEX(INDIRECT(CONCATENATE("Tab_",Tab_Calculs[[#This Row],[Colonne1]])),Tab_Calculs[[#This Row],[index_date_livraison]]-1,7)*(MAX(Tab_Calculs[[#This Row],[Début periode livraison]],Tab_Calculs[[#This Row],[Début mois]])-Tab_Calculs[[#This Row],[Début mois]])</f>
        <v>#VALUE!</v>
      </c>
      <c r="P252" t="e">
        <f ca="1">INDEX(INDIRECT(CONCATENATE("Tab_",Tab_Calculs[[#This Row],[Colonne1]])),Tab_Calculs[[#This Row],[index_date_livraison]],7)*(1+MIN(Tab_Calculs[[#This Row],[Date_livraison]],Tab_Calculs[[#This Row],[fin mois]])-MAX(Tab_Calculs[[#This Row],[Début mois]],Tab_Calculs[[#This Row],[Début periode livraison]]))</f>
        <v>#NUM!</v>
      </c>
      <c r="Q252" t="e">
        <f ca="1">INDEX(INDIRECT(CONCATENATE("Tab_",Tab_Calculs[[#This Row],[Colonne1]])),Tab_Calculs[[#This Row],[index_date_livraison]]+1,7)*(Tab_Calculs[[#This Row],[fin mois]]-MIN(Tab_Calculs[[#This Row],[fin mois]],Tab_Calculs[[#This Row],[Date_livraison]]))</f>
        <v>#VALUE!</v>
      </c>
      <c r="R252" t="e">
        <f ca="1">Tab_Calculs[[#This Row],[Ratio_Cout_après_livr]]+Tab_Calculs[[#This Row],[Ratio_Cout_avant_livr]]+Tab_Calculs[[#This Row],[Ratio_Cout_avant_debut]]</f>
        <v>#VALUE!</v>
      </c>
      <c r="S252" t="str">
        <f ca="1">IFERROR(N252*VLOOKUP(Tab_Calculs[[#This Row],[Colonne1]],Controle_des_données!$B$7:$G$14,6,FALSE),"")</f>
        <v/>
      </c>
      <c r="T252" t="str">
        <f ca="1">IF(Tab_Calculs[[#This Row],[Combustible ]]="Electricité (kWh)",Tab_Calculs[[#This Row],[Conso_mois_kWh]]*2.3,Tab_Calculs[[#This Row],[Conso_mois_kWh]])</f>
        <v/>
      </c>
      <c r="U252" t="str">
        <f ca="1">IFERROR(N252*VLOOKUP(Tab_Calculs[[#This Row],[Colonne1]],Controle_des_données!$B$7:$H$14,7,FALSE),"")</f>
        <v/>
      </c>
      <c r="V252">
        <f ca="1">IFERROR(Tab_Calculs[[#This Row],[Cout_mois]]/Tab_Calculs[[#This Row],[Conso_mois_kWh]],0)</f>
        <v>0</v>
      </c>
      <c r="W252" t="str">
        <f>T(VLOOKUP(Tab_Calculs[[#This Row],[Compteur]],Site!$B$33:$G$40,3,FALSE))</f>
        <v/>
      </c>
      <c r="X252" t="str">
        <f>T(VLOOKUP(Tab_Calculs[[#This Row],[Compteur]],Site!$B$33:$G$40,4,FALSE))</f>
        <v/>
      </c>
      <c r="Y252" t="str">
        <f>T(VLOOKUP(Tab_Calculs[[#This Row],[Compteur]],Site!$B$33:$G$40,5,FALSE))</f>
        <v/>
      </c>
      <c r="Z252" t="str">
        <f>T(VLOOKUP(Tab_Calculs[[#This Row],[Compteur]],Site!$B$33:$G$40,6,FALSE))</f>
        <v/>
      </c>
      <c r="AA252">
        <f>IFERROR(GETPIVOTDATA("DJU(chauffagiste)",BDD_DJU!$P$13,"annee",Tab_Calculs[[#This Row],[ANNEE]],"mois_numero",Tab_Calculs[[#This Row],[MOIS]]),0)</f>
        <v>174.2</v>
      </c>
    </row>
    <row r="253" spans="1:27" x14ac:dyDescent="0.25">
      <c r="A253" s="3">
        <f>DATE(Tab_Calculs[[#This Row],[ANNEE]],Tab_Calculs[[#This Row],[MOIS]],1)</f>
        <v>41760</v>
      </c>
      <c r="B253" s="3">
        <f>EDATE(Tab_Calculs[[#This Row],[Début mois]],1)-1</f>
        <v>41790</v>
      </c>
      <c r="C253">
        <v>5</v>
      </c>
      <c r="D253">
        <v>2014</v>
      </c>
      <c r="E253" t="s">
        <v>81</v>
      </c>
      <c r="F253" t="str">
        <f>SUBSTITUTE(Tab_Calculs[[#This Row],[Compteur]]," ","_")</f>
        <v>Compteur_2</v>
      </c>
      <c r="G253" t="str">
        <f>T(INDEX(Site!$B$33:$G$40, MATCH(Tab_Calculs[[#This Row],[Compteur]], Site!$B$33:$B$40,0),2))</f>
        <v/>
      </c>
      <c r="H253" s="3">
        <f t="array" aca="1" ref="H253" ca="1">MIN(IF(INDIRECT(CONCATENATE(Tab_Calculs[[#This Row],[Colonne1]],"!$B$2:$B$243"))&gt;=Calculs_Consos!$A253,INDIRECT(CONCATENATE(Tab_Calculs[[#This Row],[Colonne1]],"!$B$2:$B$243"))))</f>
        <v>0</v>
      </c>
      <c r="I253" s="3" t="e">
        <f ca="1">INDEX(INDIRECT(CONCATENATE("Tab_",Tab_Calculs[[#This Row],[Colonne1]])),Tab_Calculs[[#This Row],[index_date_livraison]],1)</f>
        <v>#NUM!</v>
      </c>
      <c r="J253">
        <f ca="1">MATCH(Tab_Calculs[[#This Row],[Date_livraison]],INDIRECT(CONCATENATE("Tab_",Tab_Calculs[[#This Row],[Colonne1]],"[Fin de période]")),0)</f>
        <v>1</v>
      </c>
      <c r="K253" t="e">
        <f ca="1">INDEX(INDIRECT(CONCATENATE("Tab_",Tab_Calculs[[#This Row],[Colonne1]])),Tab_Calculs[[#This Row],[index_date_livraison]]-1,6)*(MAX(Tab_Calculs[[#This Row],[Début periode livraison]],Tab_Calculs[[#This Row],[Début mois]])-Tab_Calculs[[#This Row],[Début mois]])</f>
        <v>#VALUE!</v>
      </c>
      <c r="L253" s="94" t="e">
        <f ca="1">INDEX(INDIRECT(CONCATENATE("Tab_",Tab_Calculs[[#This Row],[Colonne1]])),Tab_Calculs[[#This Row],[index_date_livraison]],6)*(1+MIN(Tab_Calculs[[#This Row],[Date_livraison]],Tab_Calculs[[#This Row],[fin mois]])-MAX(Tab_Calculs[[#This Row],[Début mois]],Tab_Calculs[[#This Row],[Début periode livraison]]))</f>
        <v>#NUM!</v>
      </c>
      <c r="M253" s="94" t="e">
        <f ca="1">INDEX(INDIRECT(CONCATENATE("Tab_",Tab_Calculs[[#This Row],[Colonne1]])),Tab_Calculs[[#This Row],[index_date_livraison]]+1,6)*(Tab_Calculs[[#This Row],[fin mois]]-MIN(Tab_Calculs[[#This Row],[fin mois]],Tab_Calculs[[#This Row],[Date_livraison]]))</f>
        <v>#VALUE!</v>
      </c>
      <c r="N253" s="231" t="str">
        <f ca="1">IFERROR(Tab_Calculs[[#This Row],[Ratio_jour_après_livr]]+Tab_Calculs[[#This Row],[Ratio_jour_avant_livr]]+Tab_Calculs[[#This Row],[ratio_avant_debut]],"")</f>
        <v/>
      </c>
      <c r="O253" t="e">
        <f ca="1">INDEX(INDIRECT(CONCATENATE("Tab_",Tab_Calculs[[#This Row],[Colonne1]])),Tab_Calculs[[#This Row],[index_date_livraison]]-1,7)*(MAX(Tab_Calculs[[#This Row],[Début periode livraison]],Tab_Calculs[[#This Row],[Début mois]])-Tab_Calculs[[#This Row],[Début mois]])</f>
        <v>#VALUE!</v>
      </c>
      <c r="P253" t="e">
        <f ca="1">INDEX(INDIRECT(CONCATENATE("Tab_",Tab_Calculs[[#This Row],[Colonne1]])),Tab_Calculs[[#This Row],[index_date_livraison]],7)*(1+MIN(Tab_Calculs[[#This Row],[Date_livraison]],Tab_Calculs[[#This Row],[fin mois]])-MAX(Tab_Calculs[[#This Row],[Début mois]],Tab_Calculs[[#This Row],[Début periode livraison]]))</f>
        <v>#NUM!</v>
      </c>
      <c r="Q253" t="e">
        <f ca="1">INDEX(INDIRECT(CONCATENATE("Tab_",Tab_Calculs[[#This Row],[Colonne1]])),Tab_Calculs[[#This Row],[index_date_livraison]]+1,7)*(Tab_Calculs[[#This Row],[fin mois]]-MIN(Tab_Calculs[[#This Row],[fin mois]],Tab_Calculs[[#This Row],[Date_livraison]]))</f>
        <v>#VALUE!</v>
      </c>
      <c r="R253" t="e">
        <f ca="1">Tab_Calculs[[#This Row],[Ratio_Cout_après_livr]]+Tab_Calculs[[#This Row],[Ratio_Cout_avant_livr]]+Tab_Calculs[[#This Row],[Ratio_Cout_avant_debut]]</f>
        <v>#VALUE!</v>
      </c>
      <c r="S253" t="str">
        <f ca="1">IFERROR(N253*VLOOKUP(Tab_Calculs[[#This Row],[Colonne1]],Controle_des_données!$B$7:$G$14,6,FALSE),"")</f>
        <v/>
      </c>
      <c r="T253" t="str">
        <f ca="1">IF(Tab_Calculs[[#This Row],[Combustible ]]="Electricité (kWh)",Tab_Calculs[[#This Row],[Conso_mois_kWh]]*2.3,Tab_Calculs[[#This Row],[Conso_mois_kWh]])</f>
        <v/>
      </c>
      <c r="U253" t="str">
        <f ca="1">IFERROR(N253*VLOOKUP(Tab_Calculs[[#This Row],[Colonne1]],Controle_des_données!$B$7:$H$14,7,FALSE),"")</f>
        <v/>
      </c>
      <c r="V253">
        <f ca="1">IFERROR(Tab_Calculs[[#This Row],[Cout_mois]]/Tab_Calculs[[#This Row],[Conso_mois_kWh]],0)</f>
        <v>0</v>
      </c>
      <c r="W253" t="str">
        <f>T(VLOOKUP(Tab_Calculs[[#This Row],[Compteur]],Site!$B$33:$G$40,3,FALSE))</f>
        <v/>
      </c>
      <c r="X253" t="str">
        <f>T(VLOOKUP(Tab_Calculs[[#This Row],[Compteur]],Site!$B$33:$G$40,4,FALSE))</f>
        <v/>
      </c>
      <c r="Y253" t="str">
        <f>T(VLOOKUP(Tab_Calculs[[#This Row],[Compteur]],Site!$B$33:$G$40,5,FALSE))</f>
        <v/>
      </c>
      <c r="Z253" t="str">
        <f>T(VLOOKUP(Tab_Calculs[[#This Row],[Compteur]],Site!$B$33:$G$40,6,FALSE))</f>
        <v/>
      </c>
      <c r="AA253">
        <f>IFERROR(GETPIVOTDATA("DJU(chauffagiste)",BDD_DJU!$P$13,"annee",Tab_Calculs[[#This Row],[ANNEE]],"mois_numero",Tab_Calculs[[#This Row],[MOIS]]),0)</f>
        <v>134.5</v>
      </c>
    </row>
    <row r="254" spans="1:27" x14ac:dyDescent="0.25">
      <c r="A254" s="3">
        <f>DATE(Tab_Calculs[[#This Row],[ANNEE]],Tab_Calculs[[#This Row],[MOIS]],1)</f>
        <v>41791</v>
      </c>
      <c r="B254" s="3">
        <f>EDATE(Tab_Calculs[[#This Row],[Début mois]],1)-1</f>
        <v>41820</v>
      </c>
      <c r="C254">
        <v>6</v>
      </c>
      <c r="D254">
        <v>2014</v>
      </c>
      <c r="E254" t="s">
        <v>81</v>
      </c>
      <c r="F254" t="str">
        <f>SUBSTITUTE(Tab_Calculs[[#This Row],[Compteur]]," ","_")</f>
        <v>Compteur_2</v>
      </c>
      <c r="G254" t="str">
        <f>T(INDEX(Site!$B$33:$G$40, MATCH(Tab_Calculs[[#This Row],[Compteur]], Site!$B$33:$B$40,0),2))</f>
        <v/>
      </c>
      <c r="H254" s="3">
        <f t="array" aca="1" ref="H254" ca="1">MIN(IF(INDIRECT(CONCATENATE(Tab_Calculs[[#This Row],[Colonne1]],"!$B$2:$B$243"))&gt;=Calculs_Consos!$A254,INDIRECT(CONCATENATE(Tab_Calculs[[#This Row],[Colonne1]],"!$B$2:$B$243"))))</f>
        <v>0</v>
      </c>
      <c r="I254" s="3" t="e">
        <f ca="1">INDEX(INDIRECT(CONCATENATE("Tab_",Tab_Calculs[[#This Row],[Colonne1]])),Tab_Calculs[[#This Row],[index_date_livraison]],1)</f>
        <v>#NUM!</v>
      </c>
      <c r="J254">
        <f ca="1">MATCH(Tab_Calculs[[#This Row],[Date_livraison]],INDIRECT(CONCATENATE("Tab_",Tab_Calculs[[#This Row],[Colonne1]],"[Fin de période]")),0)</f>
        <v>1</v>
      </c>
      <c r="K254" t="e">
        <f ca="1">INDEX(INDIRECT(CONCATENATE("Tab_",Tab_Calculs[[#This Row],[Colonne1]])),Tab_Calculs[[#This Row],[index_date_livraison]]-1,6)*(MAX(Tab_Calculs[[#This Row],[Début periode livraison]],Tab_Calculs[[#This Row],[Début mois]])-Tab_Calculs[[#This Row],[Début mois]])</f>
        <v>#VALUE!</v>
      </c>
      <c r="L254" s="94" t="e">
        <f ca="1">INDEX(INDIRECT(CONCATENATE("Tab_",Tab_Calculs[[#This Row],[Colonne1]])),Tab_Calculs[[#This Row],[index_date_livraison]],6)*(1+MIN(Tab_Calculs[[#This Row],[Date_livraison]],Tab_Calculs[[#This Row],[fin mois]])-MAX(Tab_Calculs[[#This Row],[Début mois]],Tab_Calculs[[#This Row],[Début periode livraison]]))</f>
        <v>#NUM!</v>
      </c>
      <c r="M254" s="94" t="e">
        <f ca="1">INDEX(INDIRECT(CONCATENATE("Tab_",Tab_Calculs[[#This Row],[Colonne1]])),Tab_Calculs[[#This Row],[index_date_livraison]]+1,6)*(Tab_Calculs[[#This Row],[fin mois]]-MIN(Tab_Calculs[[#This Row],[fin mois]],Tab_Calculs[[#This Row],[Date_livraison]]))</f>
        <v>#VALUE!</v>
      </c>
      <c r="N254" s="231" t="str">
        <f ca="1">IFERROR(Tab_Calculs[[#This Row],[Ratio_jour_après_livr]]+Tab_Calculs[[#This Row],[Ratio_jour_avant_livr]]+Tab_Calculs[[#This Row],[ratio_avant_debut]],"")</f>
        <v/>
      </c>
      <c r="O254" t="e">
        <f ca="1">INDEX(INDIRECT(CONCATENATE("Tab_",Tab_Calculs[[#This Row],[Colonne1]])),Tab_Calculs[[#This Row],[index_date_livraison]]-1,7)*(MAX(Tab_Calculs[[#This Row],[Début periode livraison]],Tab_Calculs[[#This Row],[Début mois]])-Tab_Calculs[[#This Row],[Début mois]])</f>
        <v>#VALUE!</v>
      </c>
      <c r="P254" t="e">
        <f ca="1">INDEX(INDIRECT(CONCATENATE("Tab_",Tab_Calculs[[#This Row],[Colonne1]])),Tab_Calculs[[#This Row],[index_date_livraison]],7)*(1+MIN(Tab_Calculs[[#This Row],[Date_livraison]],Tab_Calculs[[#This Row],[fin mois]])-MAX(Tab_Calculs[[#This Row],[Début mois]],Tab_Calculs[[#This Row],[Début periode livraison]]))</f>
        <v>#NUM!</v>
      </c>
      <c r="Q254" t="e">
        <f ca="1">INDEX(INDIRECT(CONCATENATE("Tab_",Tab_Calculs[[#This Row],[Colonne1]])),Tab_Calculs[[#This Row],[index_date_livraison]]+1,7)*(Tab_Calculs[[#This Row],[fin mois]]-MIN(Tab_Calculs[[#This Row],[fin mois]],Tab_Calculs[[#This Row],[Date_livraison]]))</f>
        <v>#VALUE!</v>
      </c>
      <c r="R254" t="e">
        <f ca="1">Tab_Calculs[[#This Row],[Ratio_Cout_après_livr]]+Tab_Calculs[[#This Row],[Ratio_Cout_avant_livr]]+Tab_Calculs[[#This Row],[Ratio_Cout_avant_debut]]</f>
        <v>#VALUE!</v>
      </c>
      <c r="S254" t="str">
        <f ca="1">IFERROR(N254*VLOOKUP(Tab_Calculs[[#This Row],[Colonne1]],Controle_des_données!$B$7:$G$14,6,FALSE),"")</f>
        <v/>
      </c>
      <c r="T254" t="str">
        <f ca="1">IF(Tab_Calculs[[#This Row],[Combustible ]]="Electricité (kWh)",Tab_Calculs[[#This Row],[Conso_mois_kWh]]*2.3,Tab_Calculs[[#This Row],[Conso_mois_kWh]])</f>
        <v/>
      </c>
      <c r="U254" t="str">
        <f ca="1">IFERROR(N254*VLOOKUP(Tab_Calculs[[#This Row],[Colonne1]],Controle_des_données!$B$7:$H$14,7,FALSE),"")</f>
        <v/>
      </c>
      <c r="V254">
        <f ca="1">IFERROR(Tab_Calculs[[#This Row],[Cout_mois]]/Tab_Calculs[[#This Row],[Conso_mois_kWh]],0)</f>
        <v>0</v>
      </c>
      <c r="W254" t="str">
        <f>T(VLOOKUP(Tab_Calculs[[#This Row],[Compteur]],Site!$B$33:$G$40,3,FALSE))</f>
        <v/>
      </c>
      <c r="X254" t="str">
        <f>T(VLOOKUP(Tab_Calculs[[#This Row],[Compteur]],Site!$B$33:$G$40,4,FALSE))</f>
        <v/>
      </c>
      <c r="Y254" t="str">
        <f>T(VLOOKUP(Tab_Calculs[[#This Row],[Compteur]],Site!$B$33:$G$40,5,FALSE))</f>
        <v/>
      </c>
      <c r="Z254" t="str">
        <f>T(VLOOKUP(Tab_Calculs[[#This Row],[Compteur]],Site!$B$33:$G$40,6,FALSE))</f>
        <v/>
      </c>
      <c r="AA254">
        <f>IFERROR(GETPIVOTDATA("DJU(chauffagiste)",BDD_DJU!$P$13,"annee",Tab_Calculs[[#This Row],[ANNEE]],"mois_numero",Tab_Calculs[[#This Row],[MOIS]]),0)</f>
        <v>48.5</v>
      </c>
    </row>
    <row r="255" spans="1:27" x14ac:dyDescent="0.25">
      <c r="A255" s="3">
        <f>DATE(Tab_Calculs[[#This Row],[ANNEE]],Tab_Calculs[[#This Row],[MOIS]],1)</f>
        <v>41821</v>
      </c>
      <c r="B255" s="3">
        <f>EDATE(Tab_Calculs[[#This Row],[Début mois]],1)-1</f>
        <v>41851</v>
      </c>
      <c r="C255">
        <v>7</v>
      </c>
      <c r="D255">
        <v>2014</v>
      </c>
      <c r="E255" t="s">
        <v>81</v>
      </c>
      <c r="F255" t="str">
        <f>SUBSTITUTE(Tab_Calculs[[#This Row],[Compteur]]," ","_")</f>
        <v>Compteur_2</v>
      </c>
      <c r="G255" t="str">
        <f>T(INDEX(Site!$B$33:$G$40, MATCH(Tab_Calculs[[#This Row],[Compteur]], Site!$B$33:$B$40,0),2))</f>
        <v/>
      </c>
      <c r="H255" s="3">
        <f t="array" aca="1" ref="H255" ca="1">MIN(IF(INDIRECT(CONCATENATE(Tab_Calculs[[#This Row],[Colonne1]],"!$B$2:$B$243"))&gt;=Calculs_Consos!$A255,INDIRECT(CONCATENATE(Tab_Calculs[[#This Row],[Colonne1]],"!$B$2:$B$243"))))</f>
        <v>0</v>
      </c>
      <c r="I255" s="3" t="e">
        <f ca="1">INDEX(INDIRECT(CONCATENATE("Tab_",Tab_Calculs[[#This Row],[Colonne1]])),Tab_Calculs[[#This Row],[index_date_livraison]],1)</f>
        <v>#NUM!</v>
      </c>
      <c r="J255">
        <f ca="1">MATCH(Tab_Calculs[[#This Row],[Date_livraison]],INDIRECT(CONCATENATE("Tab_",Tab_Calculs[[#This Row],[Colonne1]],"[Fin de période]")),0)</f>
        <v>1</v>
      </c>
      <c r="K255" t="e">
        <f ca="1">INDEX(INDIRECT(CONCATENATE("Tab_",Tab_Calculs[[#This Row],[Colonne1]])),Tab_Calculs[[#This Row],[index_date_livraison]]-1,6)*(MAX(Tab_Calculs[[#This Row],[Début periode livraison]],Tab_Calculs[[#This Row],[Début mois]])-Tab_Calculs[[#This Row],[Début mois]])</f>
        <v>#VALUE!</v>
      </c>
      <c r="L255" s="94" t="e">
        <f ca="1">INDEX(INDIRECT(CONCATENATE("Tab_",Tab_Calculs[[#This Row],[Colonne1]])),Tab_Calculs[[#This Row],[index_date_livraison]],6)*(1+MIN(Tab_Calculs[[#This Row],[Date_livraison]],Tab_Calculs[[#This Row],[fin mois]])-MAX(Tab_Calculs[[#This Row],[Début mois]],Tab_Calculs[[#This Row],[Début periode livraison]]))</f>
        <v>#NUM!</v>
      </c>
      <c r="M255" s="94" t="e">
        <f ca="1">INDEX(INDIRECT(CONCATENATE("Tab_",Tab_Calculs[[#This Row],[Colonne1]])),Tab_Calculs[[#This Row],[index_date_livraison]]+1,6)*(Tab_Calculs[[#This Row],[fin mois]]-MIN(Tab_Calculs[[#This Row],[fin mois]],Tab_Calculs[[#This Row],[Date_livraison]]))</f>
        <v>#VALUE!</v>
      </c>
      <c r="N255" s="231" t="str">
        <f ca="1">IFERROR(Tab_Calculs[[#This Row],[Ratio_jour_après_livr]]+Tab_Calculs[[#This Row],[Ratio_jour_avant_livr]]+Tab_Calculs[[#This Row],[ratio_avant_debut]],"")</f>
        <v/>
      </c>
      <c r="O255" t="e">
        <f ca="1">INDEX(INDIRECT(CONCATENATE("Tab_",Tab_Calculs[[#This Row],[Colonne1]])),Tab_Calculs[[#This Row],[index_date_livraison]]-1,7)*(MAX(Tab_Calculs[[#This Row],[Début periode livraison]],Tab_Calculs[[#This Row],[Début mois]])-Tab_Calculs[[#This Row],[Début mois]])</f>
        <v>#VALUE!</v>
      </c>
      <c r="P255" t="e">
        <f ca="1">INDEX(INDIRECT(CONCATENATE("Tab_",Tab_Calculs[[#This Row],[Colonne1]])),Tab_Calculs[[#This Row],[index_date_livraison]],7)*(1+MIN(Tab_Calculs[[#This Row],[Date_livraison]],Tab_Calculs[[#This Row],[fin mois]])-MAX(Tab_Calculs[[#This Row],[Début mois]],Tab_Calculs[[#This Row],[Début periode livraison]]))</f>
        <v>#NUM!</v>
      </c>
      <c r="Q255" t="e">
        <f ca="1">INDEX(INDIRECT(CONCATENATE("Tab_",Tab_Calculs[[#This Row],[Colonne1]])),Tab_Calculs[[#This Row],[index_date_livraison]]+1,7)*(Tab_Calculs[[#This Row],[fin mois]]-MIN(Tab_Calculs[[#This Row],[fin mois]],Tab_Calculs[[#This Row],[Date_livraison]]))</f>
        <v>#VALUE!</v>
      </c>
      <c r="R255" t="e">
        <f ca="1">Tab_Calculs[[#This Row],[Ratio_Cout_après_livr]]+Tab_Calculs[[#This Row],[Ratio_Cout_avant_livr]]+Tab_Calculs[[#This Row],[Ratio_Cout_avant_debut]]</f>
        <v>#VALUE!</v>
      </c>
      <c r="S255" t="str">
        <f ca="1">IFERROR(N255*VLOOKUP(Tab_Calculs[[#This Row],[Colonne1]],Controle_des_données!$B$7:$G$14,6,FALSE),"")</f>
        <v/>
      </c>
      <c r="T255" t="str">
        <f ca="1">IF(Tab_Calculs[[#This Row],[Combustible ]]="Electricité (kWh)",Tab_Calculs[[#This Row],[Conso_mois_kWh]]*2.3,Tab_Calculs[[#This Row],[Conso_mois_kWh]])</f>
        <v/>
      </c>
      <c r="U255" t="str">
        <f ca="1">IFERROR(N255*VLOOKUP(Tab_Calculs[[#This Row],[Colonne1]],Controle_des_données!$B$7:$H$14,7,FALSE),"")</f>
        <v/>
      </c>
      <c r="V255">
        <f ca="1">IFERROR(Tab_Calculs[[#This Row],[Cout_mois]]/Tab_Calculs[[#This Row],[Conso_mois_kWh]],0)</f>
        <v>0</v>
      </c>
      <c r="W255" t="str">
        <f>T(VLOOKUP(Tab_Calculs[[#This Row],[Compteur]],Site!$B$33:$G$40,3,FALSE))</f>
        <v/>
      </c>
      <c r="X255" t="str">
        <f>T(VLOOKUP(Tab_Calculs[[#This Row],[Compteur]],Site!$B$33:$G$40,4,FALSE))</f>
        <v/>
      </c>
      <c r="Y255" t="str">
        <f>T(VLOOKUP(Tab_Calculs[[#This Row],[Compteur]],Site!$B$33:$G$40,5,FALSE))</f>
        <v/>
      </c>
      <c r="Z255" t="str">
        <f>T(VLOOKUP(Tab_Calculs[[#This Row],[Compteur]],Site!$B$33:$G$40,6,FALSE))</f>
        <v/>
      </c>
      <c r="AA255">
        <f>IFERROR(GETPIVOTDATA("DJU(chauffagiste)",BDD_DJU!$P$13,"annee",Tab_Calculs[[#This Row],[ANNEE]],"mois_numero",Tab_Calculs[[#This Row],[MOIS]]),0)</f>
        <v>22.6</v>
      </c>
    </row>
    <row r="256" spans="1:27" x14ac:dyDescent="0.25">
      <c r="A256" s="3">
        <f>DATE(Tab_Calculs[[#This Row],[ANNEE]],Tab_Calculs[[#This Row],[MOIS]],1)</f>
        <v>41852</v>
      </c>
      <c r="B256" s="3">
        <f>EDATE(Tab_Calculs[[#This Row],[Début mois]],1)-1</f>
        <v>41882</v>
      </c>
      <c r="C256">
        <v>8</v>
      </c>
      <c r="D256">
        <v>2014</v>
      </c>
      <c r="E256" t="s">
        <v>81</v>
      </c>
      <c r="F256" t="str">
        <f>SUBSTITUTE(Tab_Calculs[[#This Row],[Compteur]]," ","_")</f>
        <v>Compteur_2</v>
      </c>
      <c r="G256" t="str">
        <f>T(INDEX(Site!$B$33:$G$40, MATCH(Tab_Calculs[[#This Row],[Compteur]], Site!$B$33:$B$40,0),2))</f>
        <v/>
      </c>
      <c r="H256" s="3">
        <f t="array" aca="1" ref="H256" ca="1">MIN(IF(INDIRECT(CONCATENATE(Tab_Calculs[[#This Row],[Colonne1]],"!$B$2:$B$243"))&gt;=Calculs_Consos!$A256,INDIRECT(CONCATENATE(Tab_Calculs[[#This Row],[Colonne1]],"!$B$2:$B$243"))))</f>
        <v>0</v>
      </c>
      <c r="I256" s="3" t="e">
        <f ca="1">INDEX(INDIRECT(CONCATENATE("Tab_",Tab_Calculs[[#This Row],[Colonne1]])),Tab_Calculs[[#This Row],[index_date_livraison]],1)</f>
        <v>#NUM!</v>
      </c>
      <c r="J256">
        <f ca="1">MATCH(Tab_Calculs[[#This Row],[Date_livraison]],INDIRECT(CONCATENATE("Tab_",Tab_Calculs[[#This Row],[Colonne1]],"[Fin de période]")),0)</f>
        <v>1</v>
      </c>
      <c r="K256" t="e">
        <f ca="1">INDEX(INDIRECT(CONCATENATE("Tab_",Tab_Calculs[[#This Row],[Colonne1]])),Tab_Calculs[[#This Row],[index_date_livraison]]-1,6)*(MAX(Tab_Calculs[[#This Row],[Début periode livraison]],Tab_Calculs[[#This Row],[Début mois]])-Tab_Calculs[[#This Row],[Début mois]])</f>
        <v>#VALUE!</v>
      </c>
      <c r="L256" s="94" t="e">
        <f ca="1">INDEX(INDIRECT(CONCATENATE("Tab_",Tab_Calculs[[#This Row],[Colonne1]])),Tab_Calculs[[#This Row],[index_date_livraison]],6)*(1+MIN(Tab_Calculs[[#This Row],[Date_livraison]],Tab_Calculs[[#This Row],[fin mois]])-MAX(Tab_Calculs[[#This Row],[Début mois]],Tab_Calculs[[#This Row],[Début periode livraison]]))</f>
        <v>#NUM!</v>
      </c>
      <c r="M256" s="94" t="e">
        <f ca="1">INDEX(INDIRECT(CONCATENATE("Tab_",Tab_Calculs[[#This Row],[Colonne1]])),Tab_Calculs[[#This Row],[index_date_livraison]]+1,6)*(Tab_Calculs[[#This Row],[fin mois]]-MIN(Tab_Calculs[[#This Row],[fin mois]],Tab_Calculs[[#This Row],[Date_livraison]]))</f>
        <v>#VALUE!</v>
      </c>
      <c r="N256" s="231" t="str">
        <f ca="1">IFERROR(Tab_Calculs[[#This Row],[Ratio_jour_après_livr]]+Tab_Calculs[[#This Row],[Ratio_jour_avant_livr]]+Tab_Calculs[[#This Row],[ratio_avant_debut]],"")</f>
        <v/>
      </c>
      <c r="O256" t="e">
        <f ca="1">INDEX(INDIRECT(CONCATENATE("Tab_",Tab_Calculs[[#This Row],[Colonne1]])),Tab_Calculs[[#This Row],[index_date_livraison]]-1,7)*(MAX(Tab_Calculs[[#This Row],[Début periode livraison]],Tab_Calculs[[#This Row],[Début mois]])-Tab_Calculs[[#This Row],[Début mois]])</f>
        <v>#VALUE!</v>
      </c>
      <c r="P256" t="e">
        <f ca="1">INDEX(INDIRECT(CONCATENATE("Tab_",Tab_Calculs[[#This Row],[Colonne1]])),Tab_Calculs[[#This Row],[index_date_livraison]],7)*(1+MIN(Tab_Calculs[[#This Row],[Date_livraison]],Tab_Calculs[[#This Row],[fin mois]])-MAX(Tab_Calculs[[#This Row],[Début mois]],Tab_Calculs[[#This Row],[Début periode livraison]]))</f>
        <v>#NUM!</v>
      </c>
      <c r="Q256" t="e">
        <f ca="1">INDEX(INDIRECT(CONCATENATE("Tab_",Tab_Calculs[[#This Row],[Colonne1]])),Tab_Calculs[[#This Row],[index_date_livraison]]+1,7)*(Tab_Calculs[[#This Row],[fin mois]]-MIN(Tab_Calculs[[#This Row],[fin mois]],Tab_Calculs[[#This Row],[Date_livraison]]))</f>
        <v>#VALUE!</v>
      </c>
      <c r="R256" t="e">
        <f ca="1">Tab_Calculs[[#This Row],[Ratio_Cout_après_livr]]+Tab_Calculs[[#This Row],[Ratio_Cout_avant_livr]]+Tab_Calculs[[#This Row],[Ratio_Cout_avant_debut]]</f>
        <v>#VALUE!</v>
      </c>
      <c r="S256" t="str">
        <f ca="1">IFERROR(N256*VLOOKUP(Tab_Calculs[[#This Row],[Colonne1]],Controle_des_données!$B$7:$G$14,6,FALSE),"")</f>
        <v/>
      </c>
      <c r="T256" t="str">
        <f ca="1">IF(Tab_Calculs[[#This Row],[Combustible ]]="Electricité (kWh)",Tab_Calculs[[#This Row],[Conso_mois_kWh]]*2.3,Tab_Calculs[[#This Row],[Conso_mois_kWh]])</f>
        <v/>
      </c>
      <c r="U256" t="str">
        <f ca="1">IFERROR(N256*VLOOKUP(Tab_Calculs[[#This Row],[Colonne1]],Controle_des_données!$B$7:$H$14,7,FALSE),"")</f>
        <v/>
      </c>
      <c r="V256">
        <f ca="1">IFERROR(Tab_Calculs[[#This Row],[Cout_mois]]/Tab_Calculs[[#This Row],[Conso_mois_kWh]],0)</f>
        <v>0</v>
      </c>
      <c r="W256" t="str">
        <f>T(VLOOKUP(Tab_Calculs[[#This Row],[Compteur]],Site!$B$33:$G$40,3,FALSE))</f>
        <v/>
      </c>
      <c r="X256" t="str">
        <f>T(VLOOKUP(Tab_Calculs[[#This Row],[Compteur]],Site!$B$33:$G$40,4,FALSE))</f>
        <v/>
      </c>
      <c r="Y256" t="str">
        <f>T(VLOOKUP(Tab_Calculs[[#This Row],[Compteur]],Site!$B$33:$G$40,5,FALSE))</f>
        <v/>
      </c>
      <c r="Z256" t="str">
        <f>T(VLOOKUP(Tab_Calculs[[#This Row],[Compteur]],Site!$B$33:$G$40,6,FALSE))</f>
        <v/>
      </c>
      <c r="AA256">
        <f>IFERROR(GETPIVOTDATA("DJU(chauffagiste)",BDD_DJU!$P$13,"annee",Tab_Calculs[[#This Row],[ANNEE]],"mois_numero",Tab_Calculs[[#This Row],[MOIS]]),0)</f>
        <v>51.9</v>
      </c>
    </row>
    <row r="257" spans="1:27" x14ac:dyDescent="0.25">
      <c r="A257" s="3">
        <f>DATE(Tab_Calculs[[#This Row],[ANNEE]],Tab_Calculs[[#This Row],[MOIS]],1)</f>
        <v>41883</v>
      </c>
      <c r="B257" s="3">
        <f>EDATE(Tab_Calculs[[#This Row],[Début mois]],1)-1</f>
        <v>41912</v>
      </c>
      <c r="C257">
        <v>9</v>
      </c>
      <c r="D257">
        <v>2014</v>
      </c>
      <c r="E257" t="s">
        <v>81</v>
      </c>
      <c r="F257" t="str">
        <f>SUBSTITUTE(Tab_Calculs[[#This Row],[Compteur]]," ","_")</f>
        <v>Compteur_2</v>
      </c>
      <c r="G257" t="str">
        <f>T(INDEX(Site!$B$33:$G$40, MATCH(Tab_Calculs[[#This Row],[Compteur]], Site!$B$33:$B$40,0),2))</f>
        <v/>
      </c>
      <c r="H257" s="3">
        <f t="array" aca="1" ref="H257" ca="1">MIN(IF(INDIRECT(CONCATENATE(Tab_Calculs[[#This Row],[Colonne1]],"!$B$2:$B$243"))&gt;=Calculs_Consos!$A257,INDIRECT(CONCATENATE(Tab_Calculs[[#This Row],[Colonne1]],"!$B$2:$B$243"))))</f>
        <v>0</v>
      </c>
      <c r="I257" s="3" t="e">
        <f ca="1">INDEX(INDIRECT(CONCATENATE("Tab_",Tab_Calculs[[#This Row],[Colonne1]])),Tab_Calculs[[#This Row],[index_date_livraison]],1)</f>
        <v>#NUM!</v>
      </c>
      <c r="J257">
        <f ca="1">MATCH(Tab_Calculs[[#This Row],[Date_livraison]],INDIRECT(CONCATENATE("Tab_",Tab_Calculs[[#This Row],[Colonne1]],"[Fin de période]")),0)</f>
        <v>1</v>
      </c>
      <c r="K257" t="e">
        <f ca="1">INDEX(INDIRECT(CONCATENATE("Tab_",Tab_Calculs[[#This Row],[Colonne1]])),Tab_Calculs[[#This Row],[index_date_livraison]]-1,6)*(MAX(Tab_Calculs[[#This Row],[Début periode livraison]],Tab_Calculs[[#This Row],[Début mois]])-Tab_Calculs[[#This Row],[Début mois]])</f>
        <v>#VALUE!</v>
      </c>
      <c r="L257" s="94" t="e">
        <f ca="1">INDEX(INDIRECT(CONCATENATE("Tab_",Tab_Calculs[[#This Row],[Colonne1]])),Tab_Calculs[[#This Row],[index_date_livraison]],6)*(1+MIN(Tab_Calculs[[#This Row],[Date_livraison]],Tab_Calculs[[#This Row],[fin mois]])-MAX(Tab_Calculs[[#This Row],[Début mois]],Tab_Calculs[[#This Row],[Début periode livraison]]))</f>
        <v>#NUM!</v>
      </c>
      <c r="M257" s="94" t="e">
        <f ca="1">INDEX(INDIRECT(CONCATENATE("Tab_",Tab_Calculs[[#This Row],[Colonne1]])),Tab_Calculs[[#This Row],[index_date_livraison]]+1,6)*(Tab_Calculs[[#This Row],[fin mois]]-MIN(Tab_Calculs[[#This Row],[fin mois]],Tab_Calculs[[#This Row],[Date_livraison]]))</f>
        <v>#VALUE!</v>
      </c>
      <c r="N257" s="231" t="str">
        <f ca="1">IFERROR(Tab_Calculs[[#This Row],[Ratio_jour_après_livr]]+Tab_Calculs[[#This Row],[Ratio_jour_avant_livr]]+Tab_Calculs[[#This Row],[ratio_avant_debut]],"")</f>
        <v/>
      </c>
      <c r="O257" t="e">
        <f ca="1">INDEX(INDIRECT(CONCATENATE("Tab_",Tab_Calculs[[#This Row],[Colonne1]])),Tab_Calculs[[#This Row],[index_date_livraison]]-1,7)*(MAX(Tab_Calculs[[#This Row],[Début periode livraison]],Tab_Calculs[[#This Row],[Début mois]])-Tab_Calculs[[#This Row],[Début mois]])</f>
        <v>#VALUE!</v>
      </c>
      <c r="P257" t="e">
        <f ca="1">INDEX(INDIRECT(CONCATENATE("Tab_",Tab_Calculs[[#This Row],[Colonne1]])),Tab_Calculs[[#This Row],[index_date_livraison]],7)*(1+MIN(Tab_Calculs[[#This Row],[Date_livraison]],Tab_Calculs[[#This Row],[fin mois]])-MAX(Tab_Calculs[[#This Row],[Début mois]],Tab_Calculs[[#This Row],[Début periode livraison]]))</f>
        <v>#NUM!</v>
      </c>
      <c r="Q257" t="e">
        <f ca="1">INDEX(INDIRECT(CONCATENATE("Tab_",Tab_Calculs[[#This Row],[Colonne1]])),Tab_Calculs[[#This Row],[index_date_livraison]]+1,7)*(Tab_Calculs[[#This Row],[fin mois]]-MIN(Tab_Calculs[[#This Row],[fin mois]],Tab_Calculs[[#This Row],[Date_livraison]]))</f>
        <v>#VALUE!</v>
      </c>
      <c r="R257" t="e">
        <f ca="1">Tab_Calculs[[#This Row],[Ratio_Cout_après_livr]]+Tab_Calculs[[#This Row],[Ratio_Cout_avant_livr]]+Tab_Calculs[[#This Row],[Ratio_Cout_avant_debut]]</f>
        <v>#VALUE!</v>
      </c>
      <c r="S257" t="str">
        <f ca="1">IFERROR(N257*VLOOKUP(Tab_Calculs[[#This Row],[Colonne1]],Controle_des_données!$B$7:$G$14,6,FALSE),"")</f>
        <v/>
      </c>
      <c r="T257" t="str">
        <f ca="1">IF(Tab_Calculs[[#This Row],[Combustible ]]="Electricité (kWh)",Tab_Calculs[[#This Row],[Conso_mois_kWh]]*2.3,Tab_Calculs[[#This Row],[Conso_mois_kWh]])</f>
        <v/>
      </c>
      <c r="U257" t="str">
        <f ca="1">IFERROR(N257*VLOOKUP(Tab_Calculs[[#This Row],[Colonne1]],Controle_des_données!$B$7:$H$14,7,FALSE),"")</f>
        <v/>
      </c>
      <c r="V257">
        <f ca="1">IFERROR(Tab_Calculs[[#This Row],[Cout_mois]]/Tab_Calculs[[#This Row],[Conso_mois_kWh]],0)</f>
        <v>0</v>
      </c>
      <c r="W257" t="str">
        <f>T(VLOOKUP(Tab_Calculs[[#This Row],[Compteur]],Site!$B$33:$G$40,3,FALSE))</f>
        <v/>
      </c>
      <c r="X257" t="str">
        <f>T(VLOOKUP(Tab_Calculs[[#This Row],[Compteur]],Site!$B$33:$G$40,4,FALSE))</f>
        <v/>
      </c>
      <c r="Y257" t="str">
        <f>T(VLOOKUP(Tab_Calculs[[#This Row],[Compteur]],Site!$B$33:$G$40,5,FALSE))</f>
        <v/>
      </c>
      <c r="Z257" t="str">
        <f>T(VLOOKUP(Tab_Calculs[[#This Row],[Compteur]],Site!$B$33:$G$40,6,FALSE))</f>
        <v/>
      </c>
      <c r="AA257">
        <f>IFERROR(GETPIVOTDATA("DJU(chauffagiste)",BDD_DJU!$P$13,"annee",Tab_Calculs[[#This Row],[ANNEE]],"mois_numero",Tab_Calculs[[#This Row],[MOIS]]),0)</f>
        <v>54.3</v>
      </c>
    </row>
    <row r="258" spans="1:27" x14ac:dyDescent="0.25">
      <c r="A258" s="3">
        <f>DATE(Tab_Calculs[[#This Row],[ANNEE]],Tab_Calculs[[#This Row],[MOIS]],1)</f>
        <v>41913</v>
      </c>
      <c r="B258" s="3">
        <f>EDATE(Tab_Calculs[[#This Row],[Début mois]],1)-1</f>
        <v>41943</v>
      </c>
      <c r="C258">
        <v>10</v>
      </c>
      <c r="D258">
        <v>2014</v>
      </c>
      <c r="E258" t="s">
        <v>81</v>
      </c>
      <c r="F258" t="str">
        <f>SUBSTITUTE(Tab_Calculs[[#This Row],[Compteur]]," ","_")</f>
        <v>Compteur_2</v>
      </c>
      <c r="G258" t="str">
        <f>T(INDEX(Site!$B$33:$G$40, MATCH(Tab_Calculs[[#This Row],[Compteur]], Site!$B$33:$B$40,0),2))</f>
        <v/>
      </c>
      <c r="H258" s="3">
        <f t="array" aca="1" ref="H258" ca="1">MIN(IF(INDIRECT(CONCATENATE(Tab_Calculs[[#This Row],[Colonne1]],"!$B$2:$B$243"))&gt;=Calculs_Consos!$A258,INDIRECT(CONCATENATE(Tab_Calculs[[#This Row],[Colonne1]],"!$B$2:$B$243"))))</f>
        <v>0</v>
      </c>
      <c r="I258" s="3" t="e">
        <f ca="1">INDEX(INDIRECT(CONCATENATE("Tab_",Tab_Calculs[[#This Row],[Colonne1]])),Tab_Calculs[[#This Row],[index_date_livraison]],1)</f>
        <v>#NUM!</v>
      </c>
      <c r="J258">
        <f ca="1">MATCH(Tab_Calculs[[#This Row],[Date_livraison]],INDIRECT(CONCATENATE("Tab_",Tab_Calculs[[#This Row],[Colonne1]],"[Fin de période]")),0)</f>
        <v>1</v>
      </c>
      <c r="K258" t="e">
        <f ca="1">INDEX(INDIRECT(CONCATENATE("Tab_",Tab_Calculs[[#This Row],[Colonne1]])),Tab_Calculs[[#This Row],[index_date_livraison]]-1,6)*(MAX(Tab_Calculs[[#This Row],[Début periode livraison]],Tab_Calculs[[#This Row],[Début mois]])-Tab_Calculs[[#This Row],[Début mois]])</f>
        <v>#VALUE!</v>
      </c>
      <c r="L258" s="94" t="e">
        <f ca="1">INDEX(INDIRECT(CONCATENATE("Tab_",Tab_Calculs[[#This Row],[Colonne1]])),Tab_Calculs[[#This Row],[index_date_livraison]],6)*(1+MIN(Tab_Calculs[[#This Row],[Date_livraison]],Tab_Calculs[[#This Row],[fin mois]])-MAX(Tab_Calculs[[#This Row],[Début mois]],Tab_Calculs[[#This Row],[Début periode livraison]]))</f>
        <v>#NUM!</v>
      </c>
      <c r="M258" s="94" t="e">
        <f ca="1">INDEX(INDIRECT(CONCATENATE("Tab_",Tab_Calculs[[#This Row],[Colonne1]])),Tab_Calculs[[#This Row],[index_date_livraison]]+1,6)*(Tab_Calculs[[#This Row],[fin mois]]-MIN(Tab_Calculs[[#This Row],[fin mois]],Tab_Calculs[[#This Row],[Date_livraison]]))</f>
        <v>#VALUE!</v>
      </c>
      <c r="N258" s="231" t="str">
        <f ca="1">IFERROR(Tab_Calculs[[#This Row],[Ratio_jour_après_livr]]+Tab_Calculs[[#This Row],[Ratio_jour_avant_livr]]+Tab_Calculs[[#This Row],[ratio_avant_debut]],"")</f>
        <v/>
      </c>
      <c r="O258" t="e">
        <f ca="1">INDEX(INDIRECT(CONCATENATE("Tab_",Tab_Calculs[[#This Row],[Colonne1]])),Tab_Calculs[[#This Row],[index_date_livraison]]-1,7)*(MAX(Tab_Calculs[[#This Row],[Début periode livraison]],Tab_Calculs[[#This Row],[Début mois]])-Tab_Calculs[[#This Row],[Début mois]])</f>
        <v>#VALUE!</v>
      </c>
      <c r="P258" t="e">
        <f ca="1">INDEX(INDIRECT(CONCATENATE("Tab_",Tab_Calculs[[#This Row],[Colonne1]])),Tab_Calculs[[#This Row],[index_date_livraison]],7)*(1+MIN(Tab_Calculs[[#This Row],[Date_livraison]],Tab_Calculs[[#This Row],[fin mois]])-MAX(Tab_Calculs[[#This Row],[Début mois]],Tab_Calculs[[#This Row],[Début periode livraison]]))</f>
        <v>#NUM!</v>
      </c>
      <c r="Q258" t="e">
        <f ca="1">INDEX(INDIRECT(CONCATENATE("Tab_",Tab_Calculs[[#This Row],[Colonne1]])),Tab_Calculs[[#This Row],[index_date_livraison]]+1,7)*(Tab_Calculs[[#This Row],[fin mois]]-MIN(Tab_Calculs[[#This Row],[fin mois]],Tab_Calculs[[#This Row],[Date_livraison]]))</f>
        <v>#VALUE!</v>
      </c>
      <c r="R258" t="e">
        <f ca="1">Tab_Calculs[[#This Row],[Ratio_Cout_après_livr]]+Tab_Calculs[[#This Row],[Ratio_Cout_avant_livr]]+Tab_Calculs[[#This Row],[Ratio_Cout_avant_debut]]</f>
        <v>#VALUE!</v>
      </c>
      <c r="S258" t="str">
        <f ca="1">IFERROR(N258*VLOOKUP(Tab_Calculs[[#This Row],[Colonne1]],Controle_des_données!$B$7:$G$14,6,FALSE),"")</f>
        <v/>
      </c>
      <c r="T258" t="str">
        <f ca="1">IF(Tab_Calculs[[#This Row],[Combustible ]]="Electricité (kWh)",Tab_Calculs[[#This Row],[Conso_mois_kWh]]*2.3,Tab_Calculs[[#This Row],[Conso_mois_kWh]])</f>
        <v/>
      </c>
      <c r="U258" t="str">
        <f ca="1">IFERROR(N258*VLOOKUP(Tab_Calculs[[#This Row],[Colonne1]],Controle_des_données!$B$7:$H$14,7,FALSE),"")</f>
        <v/>
      </c>
      <c r="V258">
        <f ca="1">IFERROR(Tab_Calculs[[#This Row],[Cout_mois]]/Tab_Calculs[[#This Row],[Conso_mois_kWh]],0)</f>
        <v>0</v>
      </c>
      <c r="W258" t="str">
        <f>T(VLOOKUP(Tab_Calculs[[#This Row],[Compteur]],Site!$B$33:$G$40,3,FALSE))</f>
        <v/>
      </c>
      <c r="X258" t="str">
        <f>T(VLOOKUP(Tab_Calculs[[#This Row],[Compteur]],Site!$B$33:$G$40,4,FALSE))</f>
        <v/>
      </c>
      <c r="Y258" t="str">
        <f>T(VLOOKUP(Tab_Calculs[[#This Row],[Compteur]],Site!$B$33:$G$40,5,FALSE))</f>
        <v/>
      </c>
      <c r="Z258" t="str">
        <f>T(VLOOKUP(Tab_Calculs[[#This Row],[Compteur]],Site!$B$33:$G$40,6,FALSE))</f>
        <v/>
      </c>
      <c r="AA258">
        <f>IFERROR(GETPIVOTDATA("DJU(chauffagiste)",BDD_DJU!$P$13,"annee",Tab_Calculs[[#This Row],[ANNEE]],"mois_numero",Tab_Calculs[[#This Row],[MOIS]]),0)</f>
        <v>124.2</v>
      </c>
    </row>
    <row r="259" spans="1:27" x14ac:dyDescent="0.25">
      <c r="A259" s="3">
        <f>DATE(Tab_Calculs[[#This Row],[ANNEE]],Tab_Calculs[[#This Row],[MOIS]],1)</f>
        <v>41944</v>
      </c>
      <c r="B259" s="3">
        <f>EDATE(Tab_Calculs[[#This Row],[Début mois]],1)-1</f>
        <v>41973</v>
      </c>
      <c r="C259">
        <v>11</v>
      </c>
      <c r="D259">
        <v>2014</v>
      </c>
      <c r="E259" t="s">
        <v>81</v>
      </c>
      <c r="F259" t="str">
        <f>SUBSTITUTE(Tab_Calculs[[#This Row],[Compteur]]," ","_")</f>
        <v>Compteur_2</v>
      </c>
      <c r="G259" t="str">
        <f>T(INDEX(Site!$B$33:$G$40, MATCH(Tab_Calculs[[#This Row],[Compteur]], Site!$B$33:$B$40,0),2))</f>
        <v/>
      </c>
      <c r="H259" s="3">
        <f t="array" aca="1" ref="H259" ca="1">MIN(IF(INDIRECT(CONCATENATE(Tab_Calculs[[#This Row],[Colonne1]],"!$B$2:$B$243"))&gt;=Calculs_Consos!$A259,INDIRECT(CONCATENATE(Tab_Calculs[[#This Row],[Colonne1]],"!$B$2:$B$243"))))</f>
        <v>0</v>
      </c>
      <c r="I259" s="3" t="e">
        <f ca="1">INDEX(INDIRECT(CONCATENATE("Tab_",Tab_Calculs[[#This Row],[Colonne1]])),Tab_Calculs[[#This Row],[index_date_livraison]],1)</f>
        <v>#NUM!</v>
      </c>
      <c r="J259">
        <f ca="1">MATCH(Tab_Calculs[[#This Row],[Date_livraison]],INDIRECT(CONCATENATE("Tab_",Tab_Calculs[[#This Row],[Colonne1]],"[Fin de période]")),0)</f>
        <v>1</v>
      </c>
      <c r="K259" t="e">
        <f ca="1">INDEX(INDIRECT(CONCATENATE("Tab_",Tab_Calculs[[#This Row],[Colonne1]])),Tab_Calculs[[#This Row],[index_date_livraison]]-1,6)*(MAX(Tab_Calculs[[#This Row],[Début periode livraison]],Tab_Calculs[[#This Row],[Début mois]])-Tab_Calculs[[#This Row],[Début mois]])</f>
        <v>#VALUE!</v>
      </c>
      <c r="L259" s="94" t="e">
        <f ca="1">INDEX(INDIRECT(CONCATENATE("Tab_",Tab_Calculs[[#This Row],[Colonne1]])),Tab_Calculs[[#This Row],[index_date_livraison]],6)*(1+MIN(Tab_Calculs[[#This Row],[Date_livraison]],Tab_Calculs[[#This Row],[fin mois]])-MAX(Tab_Calculs[[#This Row],[Début mois]],Tab_Calculs[[#This Row],[Début periode livraison]]))</f>
        <v>#NUM!</v>
      </c>
      <c r="M259" s="94" t="e">
        <f ca="1">INDEX(INDIRECT(CONCATENATE("Tab_",Tab_Calculs[[#This Row],[Colonne1]])),Tab_Calculs[[#This Row],[index_date_livraison]]+1,6)*(Tab_Calculs[[#This Row],[fin mois]]-MIN(Tab_Calculs[[#This Row],[fin mois]],Tab_Calculs[[#This Row],[Date_livraison]]))</f>
        <v>#VALUE!</v>
      </c>
      <c r="N259" s="231" t="str">
        <f ca="1">IFERROR(Tab_Calculs[[#This Row],[Ratio_jour_après_livr]]+Tab_Calculs[[#This Row],[Ratio_jour_avant_livr]]+Tab_Calculs[[#This Row],[ratio_avant_debut]],"")</f>
        <v/>
      </c>
      <c r="O259" t="e">
        <f ca="1">INDEX(INDIRECT(CONCATENATE("Tab_",Tab_Calculs[[#This Row],[Colonne1]])),Tab_Calculs[[#This Row],[index_date_livraison]]-1,7)*(MAX(Tab_Calculs[[#This Row],[Début periode livraison]],Tab_Calculs[[#This Row],[Début mois]])-Tab_Calculs[[#This Row],[Début mois]])</f>
        <v>#VALUE!</v>
      </c>
      <c r="P259" t="e">
        <f ca="1">INDEX(INDIRECT(CONCATENATE("Tab_",Tab_Calculs[[#This Row],[Colonne1]])),Tab_Calculs[[#This Row],[index_date_livraison]],7)*(1+MIN(Tab_Calculs[[#This Row],[Date_livraison]],Tab_Calculs[[#This Row],[fin mois]])-MAX(Tab_Calculs[[#This Row],[Début mois]],Tab_Calculs[[#This Row],[Début periode livraison]]))</f>
        <v>#NUM!</v>
      </c>
      <c r="Q259" t="e">
        <f ca="1">INDEX(INDIRECT(CONCATENATE("Tab_",Tab_Calculs[[#This Row],[Colonne1]])),Tab_Calculs[[#This Row],[index_date_livraison]]+1,7)*(Tab_Calculs[[#This Row],[fin mois]]-MIN(Tab_Calculs[[#This Row],[fin mois]],Tab_Calculs[[#This Row],[Date_livraison]]))</f>
        <v>#VALUE!</v>
      </c>
      <c r="R259" t="e">
        <f ca="1">Tab_Calculs[[#This Row],[Ratio_Cout_après_livr]]+Tab_Calculs[[#This Row],[Ratio_Cout_avant_livr]]+Tab_Calculs[[#This Row],[Ratio_Cout_avant_debut]]</f>
        <v>#VALUE!</v>
      </c>
      <c r="S259" t="str">
        <f ca="1">IFERROR(N259*VLOOKUP(Tab_Calculs[[#This Row],[Colonne1]],Controle_des_données!$B$7:$G$14,6,FALSE),"")</f>
        <v/>
      </c>
      <c r="T259" t="str">
        <f ca="1">IF(Tab_Calculs[[#This Row],[Combustible ]]="Electricité (kWh)",Tab_Calculs[[#This Row],[Conso_mois_kWh]]*2.3,Tab_Calculs[[#This Row],[Conso_mois_kWh]])</f>
        <v/>
      </c>
      <c r="U259" t="str">
        <f ca="1">IFERROR(N259*VLOOKUP(Tab_Calculs[[#This Row],[Colonne1]],Controle_des_données!$B$7:$H$14,7,FALSE),"")</f>
        <v/>
      </c>
      <c r="V259">
        <f ca="1">IFERROR(Tab_Calculs[[#This Row],[Cout_mois]]/Tab_Calculs[[#This Row],[Conso_mois_kWh]],0)</f>
        <v>0</v>
      </c>
      <c r="W259" t="str">
        <f>T(VLOOKUP(Tab_Calculs[[#This Row],[Compteur]],Site!$B$33:$G$40,3,FALSE))</f>
        <v/>
      </c>
      <c r="X259" t="str">
        <f>T(VLOOKUP(Tab_Calculs[[#This Row],[Compteur]],Site!$B$33:$G$40,4,FALSE))</f>
        <v/>
      </c>
      <c r="Y259" t="str">
        <f>T(VLOOKUP(Tab_Calculs[[#This Row],[Compteur]],Site!$B$33:$G$40,5,FALSE))</f>
        <v/>
      </c>
      <c r="Z259" t="str">
        <f>T(VLOOKUP(Tab_Calculs[[#This Row],[Compteur]],Site!$B$33:$G$40,6,FALSE))</f>
        <v/>
      </c>
      <c r="AA259">
        <f>IFERROR(GETPIVOTDATA("DJU(chauffagiste)",BDD_DJU!$P$13,"annee",Tab_Calculs[[#This Row],[ANNEE]],"mois_numero",Tab_Calculs[[#This Row],[MOIS]]),0)</f>
        <v>219.5</v>
      </c>
    </row>
    <row r="260" spans="1:27" x14ac:dyDescent="0.25">
      <c r="A260" s="3">
        <f>DATE(Tab_Calculs[[#This Row],[ANNEE]],Tab_Calculs[[#This Row],[MOIS]],1)</f>
        <v>41974</v>
      </c>
      <c r="B260" s="3">
        <f>EDATE(Tab_Calculs[[#This Row],[Début mois]],1)-1</f>
        <v>42004</v>
      </c>
      <c r="C260">
        <v>12</v>
      </c>
      <c r="D260">
        <v>2014</v>
      </c>
      <c r="E260" t="s">
        <v>81</v>
      </c>
      <c r="F260" t="str">
        <f>SUBSTITUTE(Tab_Calculs[[#This Row],[Compteur]]," ","_")</f>
        <v>Compteur_2</v>
      </c>
      <c r="G260" t="str">
        <f>T(INDEX(Site!$B$33:$G$40, MATCH(Tab_Calculs[[#This Row],[Compteur]], Site!$B$33:$B$40,0),2))</f>
        <v/>
      </c>
      <c r="H260" s="3">
        <f t="array" aca="1" ref="H260" ca="1">MIN(IF(INDIRECT(CONCATENATE(Tab_Calculs[[#This Row],[Colonne1]],"!$B$2:$B$243"))&gt;=Calculs_Consos!$A260,INDIRECT(CONCATENATE(Tab_Calculs[[#This Row],[Colonne1]],"!$B$2:$B$243"))))</f>
        <v>0</v>
      </c>
      <c r="I260" s="3" t="e">
        <f ca="1">INDEX(INDIRECT(CONCATENATE("Tab_",Tab_Calculs[[#This Row],[Colonne1]])),Tab_Calculs[[#This Row],[index_date_livraison]],1)</f>
        <v>#NUM!</v>
      </c>
      <c r="J260">
        <f ca="1">MATCH(Tab_Calculs[[#This Row],[Date_livraison]],INDIRECT(CONCATENATE("Tab_",Tab_Calculs[[#This Row],[Colonne1]],"[Fin de période]")),0)</f>
        <v>1</v>
      </c>
      <c r="K260" t="e">
        <f ca="1">INDEX(INDIRECT(CONCATENATE("Tab_",Tab_Calculs[[#This Row],[Colonne1]])),Tab_Calculs[[#This Row],[index_date_livraison]]-1,6)*(MAX(Tab_Calculs[[#This Row],[Début periode livraison]],Tab_Calculs[[#This Row],[Début mois]])-Tab_Calculs[[#This Row],[Début mois]])</f>
        <v>#VALUE!</v>
      </c>
      <c r="L260" s="94" t="e">
        <f ca="1">INDEX(INDIRECT(CONCATENATE("Tab_",Tab_Calculs[[#This Row],[Colonne1]])),Tab_Calculs[[#This Row],[index_date_livraison]],6)*(1+MIN(Tab_Calculs[[#This Row],[Date_livraison]],Tab_Calculs[[#This Row],[fin mois]])-MAX(Tab_Calculs[[#This Row],[Début mois]],Tab_Calculs[[#This Row],[Début periode livraison]]))</f>
        <v>#NUM!</v>
      </c>
      <c r="M260" s="94" t="e">
        <f ca="1">INDEX(INDIRECT(CONCATENATE("Tab_",Tab_Calculs[[#This Row],[Colonne1]])),Tab_Calculs[[#This Row],[index_date_livraison]]+1,6)*(Tab_Calculs[[#This Row],[fin mois]]-MIN(Tab_Calculs[[#This Row],[fin mois]],Tab_Calculs[[#This Row],[Date_livraison]]))</f>
        <v>#VALUE!</v>
      </c>
      <c r="N260" s="231" t="str">
        <f ca="1">IFERROR(Tab_Calculs[[#This Row],[Ratio_jour_après_livr]]+Tab_Calculs[[#This Row],[Ratio_jour_avant_livr]]+Tab_Calculs[[#This Row],[ratio_avant_debut]],"")</f>
        <v/>
      </c>
      <c r="O260" t="e">
        <f ca="1">INDEX(INDIRECT(CONCATENATE("Tab_",Tab_Calculs[[#This Row],[Colonne1]])),Tab_Calculs[[#This Row],[index_date_livraison]]-1,7)*(MAX(Tab_Calculs[[#This Row],[Début periode livraison]],Tab_Calculs[[#This Row],[Début mois]])-Tab_Calculs[[#This Row],[Début mois]])</f>
        <v>#VALUE!</v>
      </c>
      <c r="P260" t="e">
        <f ca="1">INDEX(INDIRECT(CONCATENATE("Tab_",Tab_Calculs[[#This Row],[Colonne1]])),Tab_Calculs[[#This Row],[index_date_livraison]],7)*(1+MIN(Tab_Calculs[[#This Row],[Date_livraison]],Tab_Calculs[[#This Row],[fin mois]])-MAX(Tab_Calculs[[#This Row],[Début mois]],Tab_Calculs[[#This Row],[Début periode livraison]]))</f>
        <v>#NUM!</v>
      </c>
      <c r="Q260" t="e">
        <f ca="1">INDEX(INDIRECT(CONCATENATE("Tab_",Tab_Calculs[[#This Row],[Colonne1]])),Tab_Calculs[[#This Row],[index_date_livraison]]+1,7)*(Tab_Calculs[[#This Row],[fin mois]]-MIN(Tab_Calculs[[#This Row],[fin mois]],Tab_Calculs[[#This Row],[Date_livraison]]))</f>
        <v>#VALUE!</v>
      </c>
      <c r="R260" t="e">
        <f ca="1">Tab_Calculs[[#This Row],[Ratio_Cout_après_livr]]+Tab_Calculs[[#This Row],[Ratio_Cout_avant_livr]]+Tab_Calculs[[#This Row],[Ratio_Cout_avant_debut]]</f>
        <v>#VALUE!</v>
      </c>
      <c r="S260" t="str">
        <f ca="1">IFERROR(N260*VLOOKUP(Tab_Calculs[[#This Row],[Colonne1]],Controle_des_données!$B$7:$G$14,6,FALSE),"")</f>
        <v/>
      </c>
      <c r="T260" t="str">
        <f ca="1">IF(Tab_Calculs[[#This Row],[Combustible ]]="Electricité (kWh)",Tab_Calculs[[#This Row],[Conso_mois_kWh]]*2.3,Tab_Calculs[[#This Row],[Conso_mois_kWh]])</f>
        <v/>
      </c>
      <c r="U260" t="str">
        <f ca="1">IFERROR(N260*VLOOKUP(Tab_Calculs[[#This Row],[Colonne1]],Controle_des_données!$B$7:$H$14,7,FALSE),"")</f>
        <v/>
      </c>
      <c r="V260">
        <f ca="1">IFERROR(Tab_Calculs[[#This Row],[Cout_mois]]/Tab_Calculs[[#This Row],[Conso_mois_kWh]],0)</f>
        <v>0</v>
      </c>
      <c r="W260" t="str">
        <f>T(VLOOKUP(Tab_Calculs[[#This Row],[Compteur]],Site!$B$33:$G$40,3,FALSE))</f>
        <v/>
      </c>
      <c r="X260" t="str">
        <f>T(VLOOKUP(Tab_Calculs[[#This Row],[Compteur]],Site!$B$33:$G$40,4,FALSE))</f>
        <v/>
      </c>
      <c r="Y260" t="str">
        <f>T(VLOOKUP(Tab_Calculs[[#This Row],[Compteur]],Site!$B$33:$G$40,5,FALSE))</f>
        <v/>
      </c>
      <c r="Z260" t="str">
        <f>T(VLOOKUP(Tab_Calculs[[#This Row],[Compteur]],Site!$B$33:$G$40,6,FALSE))</f>
        <v/>
      </c>
      <c r="AA260">
        <f>IFERROR(GETPIVOTDATA("DJU(chauffagiste)",BDD_DJU!$P$13,"annee",Tab_Calculs[[#This Row],[ANNEE]],"mois_numero",Tab_Calculs[[#This Row],[MOIS]]),0)</f>
        <v>374.8</v>
      </c>
    </row>
    <row r="261" spans="1:27" x14ac:dyDescent="0.25">
      <c r="A261" s="3">
        <f>DATE(Tab_Calculs[[#This Row],[ANNEE]],Tab_Calculs[[#This Row],[MOIS]],1)</f>
        <v>42005</v>
      </c>
      <c r="B261" s="3">
        <f>EDATE(Tab_Calculs[[#This Row],[Début mois]],1)-1</f>
        <v>42035</v>
      </c>
      <c r="C261">
        <v>1</v>
      </c>
      <c r="D261">
        <f>D249+1</f>
        <v>2015</v>
      </c>
      <c r="E261" t="s">
        <v>81</v>
      </c>
      <c r="F261" t="str">
        <f>SUBSTITUTE(Tab_Calculs[[#This Row],[Compteur]]," ","_")</f>
        <v>Compteur_2</v>
      </c>
      <c r="G261" t="str">
        <f>T(INDEX(Site!$B$33:$G$40, MATCH(Tab_Calculs[[#This Row],[Compteur]], Site!$B$33:$B$40,0),2))</f>
        <v/>
      </c>
      <c r="H261" s="3">
        <f t="array" aca="1" ref="H261" ca="1">MIN(IF(INDIRECT(CONCATENATE(Tab_Calculs[[#This Row],[Colonne1]],"!$B$2:$B$243"))&gt;=Calculs_Consos!$A261,INDIRECT(CONCATENATE(Tab_Calculs[[#This Row],[Colonne1]],"!$B$2:$B$243"))))</f>
        <v>0</v>
      </c>
      <c r="I261" s="3" t="e">
        <f ca="1">INDEX(INDIRECT(CONCATENATE("Tab_",Tab_Calculs[[#This Row],[Colonne1]])),Tab_Calculs[[#This Row],[index_date_livraison]],1)</f>
        <v>#NUM!</v>
      </c>
      <c r="J261">
        <f ca="1">MATCH(Tab_Calculs[[#This Row],[Date_livraison]],INDIRECT(CONCATENATE("Tab_",Tab_Calculs[[#This Row],[Colonne1]],"[Fin de période]")),0)</f>
        <v>1</v>
      </c>
      <c r="K261" t="e">
        <f ca="1">INDEX(INDIRECT(CONCATENATE("Tab_",Tab_Calculs[[#This Row],[Colonne1]])),Tab_Calculs[[#This Row],[index_date_livraison]]-1,6)*(MAX(Tab_Calculs[[#This Row],[Début periode livraison]],Tab_Calculs[[#This Row],[Début mois]])-Tab_Calculs[[#This Row],[Début mois]])</f>
        <v>#VALUE!</v>
      </c>
      <c r="L261" s="94" t="e">
        <f ca="1">INDEX(INDIRECT(CONCATENATE("Tab_",Tab_Calculs[[#This Row],[Colonne1]])),Tab_Calculs[[#This Row],[index_date_livraison]],6)*(1+MIN(Tab_Calculs[[#This Row],[Date_livraison]],Tab_Calculs[[#This Row],[fin mois]])-MAX(Tab_Calculs[[#This Row],[Début mois]],Tab_Calculs[[#This Row],[Début periode livraison]]))</f>
        <v>#NUM!</v>
      </c>
      <c r="M261" s="94" t="e">
        <f ca="1">INDEX(INDIRECT(CONCATENATE("Tab_",Tab_Calculs[[#This Row],[Colonne1]])),Tab_Calculs[[#This Row],[index_date_livraison]]+1,6)*(Tab_Calculs[[#This Row],[fin mois]]-MIN(Tab_Calculs[[#This Row],[fin mois]],Tab_Calculs[[#This Row],[Date_livraison]]))</f>
        <v>#VALUE!</v>
      </c>
      <c r="N261" s="231" t="str">
        <f ca="1">IFERROR(Tab_Calculs[[#This Row],[Ratio_jour_après_livr]]+Tab_Calculs[[#This Row],[Ratio_jour_avant_livr]]+Tab_Calculs[[#This Row],[ratio_avant_debut]],"")</f>
        <v/>
      </c>
      <c r="O261" t="e">
        <f ca="1">INDEX(INDIRECT(CONCATENATE("Tab_",Tab_Calculs[[#This Row],[Colonne1]])),Tab_Calculs[[#This Row],[index_date_livraison]]-1,7)*(MAX(Tab_Calculs[[#This Row],[Début periode livraison]],Tab_Calculs[[#This Row],[Début mois]])-Tab_Calculs[[#This Row],[Début mois]])</f>
        <v>#VALUE!</v>
      </c>
      <c r="P261" t="e">
        <f ca="1">INDEX(INDIRECT(CONCATENATE("Tab_",Tab_Calculs[[#This Row],[Colonne1]])),Tab_Calculs[[#This Row],[index_date_livraison]],7)*(1+MIN(Tab_Calculs[[#This Row],[Date_livraison]],Tab_Calculs[[#This Row],[fin mois]])-MAX(Tab_Calculs[[#This Row],[Début mois]],Tab_Calculs[[#This Row],[Début periode livraison]]))</f>
        <v>#NUM!</v>
      </c>
      <c r="Q261" t="e">
        <f ca="1">INDEX(INDIRECT(CONCATENATE("Tab_",Tab_Calculs[[#This Row],[Colonne1]])),Tab_Calculs[[#This Row],[index_date_livraison]]+1,7)*(Tab_Calculs[[#This Row],[fin mois]]-MIN(Tab_Calculs[[#This Row],[fin mois]],Tab_Calculs[[#This Row],[Date_livraison]]))</f>
        <v>#VALUE!</v>
      </c>
      <c r="R261" t="e">
        <f ca="1">Tab_Calculs[[#This Row],[Ratio_Cout_après_livr]]+Tab_Calculs[[#This Row],[Ratio_Cout_avant_livr]]+Tab_Calculs[[#This Row],[Ratio_Cout_avant_debut]]</f>
        <v>#VALUE!</v>
      </c>
      <c r="S261" t="str">
        <f ca="1">IFERROR(N261*VLOOKUP(Tab_Calculs[[#This Row],[Colonne1]],Controle_des_données!$B$7:$G$14,6,FALSE),"")</f>
        <v/>
      </c>
      <c r="T261" t="str">
        <f ca="1">IF(Tab_Calculs[[#This Row],[Combustible ]]="Electricité (kWh)",Tab_Calculs[[#This Row],[Conso_mois_kWh]]*2.3,Tab_Calculs[[#This Row],[Conso_mois_kWh]])</f>
        <v/>
      </c>
      <c r="U261" t="str">
        <f ca="1">IFERROR(N261*VLOOKUP(Tab_Calculs[[#This Row],[Colonne1]],Controle_des_données!$B$7:$H$14,7,FALSE),"")</f>
        <v/>
      </c>
      <c r="V261">
        <f ca="1">IFERROR(Tab_Calculs[[#This Row],[Cout_mois]]/Tab_Calculs[[#This Row],[Conso_mois_kWh]],0)</f>
        <v>0</v>
      </c>
      <c r="W261" t="str">
        <f>T(VLOOKUP(Tab_Calculs[[#This Row],[Compteur]],Site!$B$33:$G$40,3,FALSE))</f>
        <v/>
      </c>
      <c r="X261" t="str">
        <f>T(VLOOKUP(Tab_Calculs[[#This Row],[Compteur]],Site!$B$33:$G$40,4,FALSE))</f>
        <v/>
      </c>
      <c r="Y261" t="str">
        <f>T(VLOOKUP(Tab_Calculs[[#This Row],[Compteur]],Site!$B$33:$G$40,5,FALSE))</f>
        <v/>
      </c>
      <c r="Z261" t="str">
        <f>T(VLOOKUP(Tab_Calculs[[#This Row],[Compteur]],Site!$B$33:$G$40,6,FALSE))</f>
        <v/>
      </c>
      <c r="AA261">
        <f>IFERROR(GETPIVOTDATA("DJU(chauffagiste)",BDD_DJU!$P$13,"annee",Tab_Calculs[[#This Row],[ANNEE]],"mois_numero",Tab_Calculs[[#This Row],[MOIS]]),0)</f>
        <v>392.1</v>
      </c>
    </row>
    <row r="262" spans="1:27" x14ac:dyDescent="0.25">
      <c r="A262" s="3">
        <f>DATE(Tab_Calculs[[#This Row],[ANNEE]],Tab_Calculs[[#This Row],[MOIS]],1)</f>
        <v>42036</v>
      </c>
      <c r="B262" s="3">
        <f>EDATE(Tab_Calculs[[#This Row],[Début mois]],1)-1</f>
        <v>42063</v>
      </c>
      <c r="C262">
        <v>2</v>
      </c>
      <c r="D262">
        <f t="shared" ref="D262:D325" si="7">D250+1</f>
        <v>2015</v>
      </c>
      <c r="E262" t="s">
        <v>81</v>
      </c>
      <c r="F262" t="str">
        <f>SUBSTITUTE(Tab_Calculs[[#This Row],[Compteur]]," ","_")</f>
        <v>Compteur_2</v>
      </c>
      <c r="G262" t="str">
        <f>T(INDEX(Site!$B$33:$G$40, MATCH(Tab_Calculs[[#This Row],[Compteur]], Site!$B$33:$B$40,0),2))</f>
        <v/>
      </c>
      <c r="H262" s="3">
        <f t="array" aca="1" ref="H262" ca="1">MIN(IF(INDIRECT(CONCATENATE(Tab_Calculs[[#This Row],[Colonne1]],"!$B$2:$B$243"))&gt;=Calculs_Consos!$A262,INDIRECT(CONCATENATE(Tab_Calculs[[#This Row],[Colonne1]],"!$B$2:$B$243"))))</f>
        <v>0</v>
      </c>
      <c r="I262" s="3" t="e">
        <f ca="1">INDEX(INDIRECT(CONCATENATE("Tab_",Tab_Calculs[[#This Row],[Colonne1]])),Tab_Calculs[[#This Row],[index_date_livraison]],1)</f>
        <v>#NUM!</v>
      </c>
      <c r="J262">
        <f ca="1">MATCH(Tab_Calculs[[#This Row],[Date_livraison]],INDIRECT(CONCATENATE("Tab_",Tab_Calculs[[#This Row],[Colonne1]],"[Fin de période]")),0)</f>
        <v>1</v>
      </c>
      <c r="K262" t="e">
        <f ca="1">INDEX(INDIRECT(CONCATENATE("Tab_",Tab_Calculs[[#This Row],[Colonne1]])),Tab_Calculs[[#This Row],[index_date_livraison]]-1,6)*(MAX(Tab_Calculs[[#This Row],[Début periode livraison]],Tab_Calculs[[#This Row],[Début mois]])-Tab_Calculs[[#This Row],[Début mois]])</f>
        <v>#VALUE!</v>
      </c>
      <c r="L262" s="94" t="e">
        <f ca="1">INDEX(INDIRECT(CONCATENATE("Tab_",Tab_Calculs[[#This Row],[Colonne1]])),Tab_Calculs[[#This Row],[index_date_livraison]],6)*(1+MIN(Tab_Calculs[[#This Row],[Date_livraison]],Tab_Calculs[[#This Row],[fin mois]])-MAX(Tab_Calculs[[#This Row],[Début mois]],Tab_Calculs[[#This Row],[Début periode livraison]]))</f>
        <v>#NUM!</v>
      </c>
      <c r="M262" s="94" t="e">
        <f ca="1">INDEX(INDIRECT(CONCATENATE("Tab_",Tab_Calculs[[#This Row],[Colonne1]])),Tab_Calculs[[#This Row],[index_date_livraison]]+1,6)*(Tab_Calculs[[#This Row],[fin mois]]-MIN(Tab_Calculs[[#This Row],[fin mois]],Tab_Calculs[[#This Row],[Date_livraison]]))</f>
        <v>#VALUE!</v>
      </c>
      <c r="N262" s="231" t="str">
        <f ca="1">IFERROR(Tab_Calculs[[#This Row],[Ratio_jour_après_livr]]+Tab_Calculs[[#This Row],[Ratio_jour_avant_livr]]+Tab_Calculs[[#This Row],[ratio_avant_debut]],"")</f>
        <v/>
      </c>
      <c r="O262" t="e">
        <f ca="1">INDEX(INDIRECT(CONCATENATE("Tab_",Tab_Calculs[[#This Row],[Colonne1]])),Tab_Calculs[[#This Row],[index_date_livraison]]-1,7)*(MAX(Tab_Calculs[[#This Row],[Début periode livraison]],Tab_Calculs[[#This Row],[Début mois]])-Tab_Calculs[[#This Row],[Début mois]])</f>
        <v>#VALUE!</v>
      </c>
      <c r="P262" t="e">
        <f ca="1">INDEX(INDIRECT(CONCATENATE("Tab_",Tab_Calculs[[#This Row],[Colonne1]])),Tab_Calculs[[#This Row],[index_date_livraison]],7)*(1+MIN(Tab_Calculs[[#This Row],[Date_livraison]],Tab_Calculs[[#This Row],[fin mois]])-MAX(Tab_Calculs[[#This Row],[Début mois]],Tab_Calculs[[#This Row],[Début periode livraison]]))</f>
        <v>#NUM!</v>
      </c>
      <c r="Q262" t="e">
        <f ca="1">INDEX(INDIRECT(CONCATENATE("Tab_",Tab_Calculs[[#This Row],[Colonne1]])),Tab_Calculs[[#This Row],[index_date_livraison]]+1,7)*(Tab_Calculs[[#This Row],[fin mois]]-MIN(Tab_Calculs[[#This Row],[fin mois]],Tab_Calculs[[#This Row],[Date_livraison]]))</f>
        <v>#VALUE!</v>
      </c>
      <c r="R262" t="e">
        <f ca="1">Tab_Calculs[[#This Row],[Ratio_Cout_après_livr]]+Tab_Calculs[[#This Row],[Ratio_Cout_avant_livr]]+Tab_Calculs[[#This Row],[Ratio_Cout_avant_debut]]</f>
        <v>#VALUE!</v>
      </c>
      <c r="S262" t="str">
        <f ca="1">IFERROR(N262*VLOOKUP(Tab_Calculs[[#This Row],[Colonne1]],Controle_des_données!$B$7:$G$14,6,FALSE),"")</f>
        <v/>
      </c>
      <c r="T262" t="str">
        <f ca="1">IF(Tab_Calculs[[#This Row],[Combustible ]]="Electricité (kWh)",Tab_Calculs[[#This Row],[Conso_mois_kWh]]*2.3,Tab_Calculs[[#This Row],[Conso_mois_kWh]])</f>
        <v/>
      </c>
      <c r="U262" t="str">
        <f ca="1">IFERROR(N262*VLOOKUP(Tab_Calculs[[#This Row],[Colonne1]],Controle_des_données!$B$7:$H$14,7,FALSE),"")</f>
        <v/>
      </c>
      <c r="V262">
        <f ca="1">IFERROR(Tab_Calculs[[#This Row],[Cout_mois]]/Tab_Calculs[[#This Row],[Conso_mois_kWh]],0)</f>
        <v>0</v>
      </c>
      <c r="W262" t="str">
        <f>T(VLOOKUP(Tab_Calculs[[#This Row],[Compteur]],Site!$B$33:$G$40,3,FALSE))</f>
        <v/>
      </c>
      <c r="X262" t="str">
        <f>T(VLOOKUP(Tab_Calculs[[#This Row],[Compteur]],Site!$B$33:$G$40,4,FALSE))</f>
        <v/>
      </c>
      <c r="Y262" t="str">
        <f>T(VLOOKUP(Tab_Calculs[[#This Row],[Compteur]],Site!$B$33:$G$40,5,FALSE))</f>
        <v/>
      </c>
      <c r="Z262" t="str">
        <f>T(VLOOKUP(Tab_Calculs[[#This Row],[Compteur]],Site!$B$33:$G$40,6,FALSE))</f>
        <v/>
      </c>
      <c r="AA262">
        <f>IFERROR(GETPIVOTDATA("DJU(chauffagiste)",BDD_DJU!$P$13,"annee",Tab_Calculs[[#This Row],[ANNEE]],"mois_numero",Tab_Calculs[[#This Row],[MOIS]]),0)</f>
        <v>366.9</v>
      </c>
    </row>
    <row r="263" spans="1:27" x14ac:dyDescent="0.25">
      <c r="A263" s="3">
        <f>DATE(Tab_Calculs[[#This Row],[ANNEE]],Tab_Calculs[[#This Row],[MOIS]],1)</f>
        <v>42064</v>
      </c>
      <c r="B263" s="3">
        <f>EDATE(Tab_Calculs[[#This Row],[Début mois]],1)-1</f>
        <v>42094</v>
      </c>
      <c r="C263">
        <v>3</v>
      </c>
      <c r="D263">
        <f t="shared" si="7"/>
        <v>2015</v>
      </c>
      <c r="E263" t="s">
        <v>81</v>
      </c>
      <c r="F263" t="str">
        <f>SUBSTITUTE(Tab_Calculs[[#This Row],[Compteur]]," ","_")</f>
        <v>Compteur_2</v>
      </c>
      <c r="G263" t="str">
        <f>T(INDEX(Site!$B$33:$G$40, MATCH(Tab_Calculs[[#This Row],[Compteur]], Site!$B$33:$B$40,0),2))</f>
        <v/>
      </c>
      <c r="H263" s="3">
        <f t="array" aca="1" ref="H263" ca="1">MIN(IF(INDIRECT(CONCATENATE(Tab_Calculs[[#This Row],[Colonne1]],"!$B$2:$B$243"))&gt;=Calculs_Consos!$A263,INDIRECT(CONCATENATE(Tab_Calculs[[#This Row],[Colonne1]],"!$B$2:$B$243"))))</f>
        <v>0</v>
      </c>
      <c r="I263" s="3" t="e">
        <f ca="1">INDEX(INDIRECT(CONCATENATE("Tab_",Tab_Calculs[[#This Row],[Colonne1]])),Tab_Calculs[[#This Row],[index_date_livraison]],1)</f>
        <v>#NUM!</v>
      </c>
      <c r="J263">
        <f ca="1">MATCH(Tab_Calculs[[#This Row],[Date_livraison]],INDIRECT(CONCATENATE("Tab_",Tab_Calculs[[#This Row],[Colonne1]],"[Fin de période]")),0)</f>
        <v>1</v>
      </c>
      <c r="K263" t="e">
        <f ca="1">INDEX(INDIRECT(CONCATENATE("Tab_",Tab_Calculs[[#This Row],[Colonne1]])),Tab_Calculs[[#This Row],[index_date_livraison]]-1,6)*(MAX(Tab_Calculs[[#This Row],[Début periode livraison]],Tab_Calculs[[#This Row],[Début mois]])-Tab_Calculs[[#This Row],[Début mois]])</f>
        <v>#VALUE!</v>
      </c>
      <c r="L263" s="94" t="e">
        <f ca="1">INDEX(INDIRECT(CONCATENATE("Tab_",Tab_Calculs[[#This Row],[Colonne1]])),Tab_Calculs[[#This Row],[index_date_livraison]],6)*(1+MIN(Tab_Calculs[[#This Row],[Date_livraison]],Tab_Calculs[[#This Row],[fin mois]])-MAX(Tab_Calculs[[#This Row],[Début mois]],Tab_Calculs[[#This Row],[Début periode livraison]]))</f>
        <v>#NUM!</v>
      </c>
      <c r="M263" s="94" t="e">
        <f ca="1">INDEX(INDIRECT(CONCATENATE("Tab_",Tab_Calculs[[#This Row],[Colonne1]])),Tab_Calculs[[#This Row],[index_date_livraison]]+1,6)*(Tab_Calculs[[#This Row],[fin mois]]-MIN(Tab_Calculs[[#This Row],[fin mois]],Tab_Calculs[[#This Row],[Date_livraison]]))</f>
        <v>#VALUE!</v>
      </c>
      <c r="N263" s="231" t="str">
        <f ca="1">IFERROR(Tab_Calculs[[#This Row],[Ratio_jour_après_livr]]+Tab_Calculs[[#This Row],[Ratio_jour_avant_livr]]+Tab_Calculs[[#This Row],[ratio_avant_debut]],"")</f>
        <v/>
      </c>
      <c r="O263" t="e">
        <f ca="1">INDEX(INDIRECT(CONCATENATE("Tab_",Tab_Calculs[[#This Row],[Colonne1]])),Tab_Calculs[[#This Row],[index_date_livraison]]-1,7)*(MAX(Tab_Calculs[[#This Row],[Début periode livraison]],Tab_Calculs[[#This Row],[Début mois]])-Tab_Calculs[[#This Row],[Début mois]])</f>
        <v>#VALUE!</v>
      </c>
      <c r="P263" t="e">
        <f ca="1">INDEX(INDIRECT(CONCATENATE("Tab_",Tab_Calculs[[#This Row],[Colonne1]])),Tab_Calculs[[#This Row],[index_date_livraison]],7)*(1+MIN(Tab_Calculs[[#This Row],[Date_livraison]],Tab_Calculs[[#This Row],[fin mois]])-MAX(Tab_Calculs[[#This Row],[Début mois]],Tab_Calculs[[#This Row],[Début periode livraison]]))</f>
        <v>#NUM!</v>
      </c>
      <c r="Q263" t="e">
        <f ca="1">INDEX(INDIRECT(CONCATENATE("Tab_",Tab_Calculs[[#This Row],[Colonne1]])),Tab_Calculs[[#This Row],[index_date_livraison]]+1,7)*(Tab_Calculs[[#This Row],[fin mois]]-MIN(Tab_Calculs[[#This Row],[fin mois]],Tab_Calculs[[#This Row],[Date_livraison]]))</f>
        <v>#VALUE!</v>
      </c>
      <c r="R263" t="e">
        <f ca="1">Tab_Calculs[[#This Row],[Ratio_Cout_après_livr]]+Tab_Calculs[[#This Row],[Ratio_Cout_avant_livr]]+Tab_Calculs[[#This Row],[Ratio_Cout_avant_debut]]</f>
        <v>#VALUE!</v>
      </c>
      <c r="S263" t="str">
        <f ca="1">IFERROR(N263*VLOOKUP(Tab_Calculs[[#This Row],[Colonne1]],Controle_des_données!$B$7:$G$14,6,FALSE),"")</f>
        <v/>
      </c>
      <c r="T263" t="str">
        <f ca="1">IF(Tab_Calculs[[#This Row],[Combustible ]]="Electricité (kWh)",Tab_Calculs[[#This Row],[Conso_mois_kWh]]*2.3,Tab_Calculs[[#This Row],[Conso_mois_kWh]])</f>
        <v/>
      </c>
      <c r="U263" t="str">
        <f ca="1">IFERROR(N263*VLOOKUP(Tab_Calculs[[#This Row],[Colonne1]],Controle_des_données!$B$7:$H$14,7,FALSE),"")</f>
        <v/>
      </c>
      <c r="V263">
        <f ca="1">IFERROR(Tab_Calculs[[#This Row],[Cout_mois]]/Tab_Calculs[[#This Row],[Conso_mois_kWh]],0)</f>
        <v>0</v>
      </c>
      <c r="W263" t="str">
        <f>T(VLOOKUP(Tab_Calculs[[#This Row],[Compteur]],Site!$B$33:$G$40,3,FALSE))</f>
        <v/>
      </c>
      <c r="X263" t="str">
        <f>T(VLOOKUP(Tab_Calculs[[#This Row],[Compteur]],Site!$B$33:$G$40,4,FALSE))</f>
        <v/>
      </c>
      <c r="Y263" t="str">
        <f>T(VLOOKUP(Tab_Calculs[[#This Row],[Compteur]],Site!$B$33:$G$40,5,FALSE))</f>
        <v/>
      </c>
      <c r="Z263" t="str">
        <f>T(VLOOKUP(Tab_Calculs[[#This Row],[Compteur]],Site!$B$33:$G$40,6,FALSE))</f>
        <v/>
      </c>
      <c r="AA263">
        <f>IFERROR(GETPIVOTDATA("DJU(chauffagiste)",BDD_DJU!$P$13,"annee",Tab_Calculs[[#This Row],[ANNEE]],"mois_numero",Tab_Calculs[[#This Row],[MOIS]]),0)</f>
        <v>303.8</v>
      </c>
    </row>
    <row r="264" spans="1:27" x14ac:dyDescent="0.25">
      <c r="A264" s="3">
        <f>DATE(Tab_Calculs[[#This Row],[ANNEE]],Tab_Calculs[[#This Row],[MOIS]],1)</f>
        <v>42095</v>
      </c>
      <c r="B264" s="3">
        <f>EDATE(Tab_Calculs[[#This Row],[Début mois]],1)-1</f>
        <v>42124</v>
      </c>
      <c r="C264">
        <v>4</v>
      </c>
      <c r="D264">
        <f t="shared" si="7"/>
        <v>2015</v>
      </c>
      <c r="E264" t="s">
        <v>81</v>
      </c>
      <c r="F264" t="str">
        <f>SUBSTITUTE(Tab_Calculs[[#This Row],[Compteur]]," ","_")</f>
        <v>Compteur_2</v>
      </c>
      <c r="G264" t="str">
        <f>T(INDEX(Site!$B$33:$G$40, MATCH(Tab_Calculs[[#This Row],[Compteur]], Site!$B$33:$B$40,0),2))</f>
        <v/>
      </c>
      <c r="H264" s="3">
        <f t="array" aca="1" ref="H264" ca="1">MIN(IF(INDIRECT(CONCATENATE(Tab_Calculs[[#This Row],[Colonne1]],"!$B$2:$B$243"))&gt;=Calculs_Consos!$A264,INDIRECT(CONCATENATE(Tab_Calculs[[#This Row],[Colonne1]],"!$B$2:$B$243"))))</f>
        <v>0</v>
      </c>
      <c r="I264" s="3" t="e">
        <f ca="1">INDEX(INDIRECT(CONCATENATE("Tab_",Tab_Calculs[[#This Row],[Colonne1]])),Tab_Calculs[[#This Row],[index_date_livraison]],1)</f>
        <v>#NUM!</v>
      </c>
      <c r="J264">
        <f ca="1">MATCH(Tab_Calculs[[#This Row],[Date_livraison]],INDIRECT(CONCATENATE("Tab_",Tab_Calculs[[#This Row],[Colonne1]],"[Fin de période]")),0)</f>
        <v>1</v>
      </c>
      <c r="K264" t="e">
        <f ca="1">INDEX(INDIRECT(CONCATENATE("Tab_",Tab_Calculs[[#This Row],[Colonne1]])),Tab_Calculs[[#This Row],[index_date_livraison]]-1,6)*(MAX(Tab_Calculs[[#This Row],[Début periode livraison]],Tab_Calculs[[#This Row],[Début mois]])-Tab_Calculs[[#This Row],[Début mois]])</f>
        <v>#VALUE!</v>
      </c>
      <c r="L264" s="94" t="e">
        <f ca="1">INDEX(INDIRECT(CONCATENATE("Tab_",Tab_Calculs[[#This Row],[Colonne1]])),Tab_Calculs[[#This Row],[index_date_livraison]],6)*(1+MIN(Tab_Calculs[[#This Row],[Date_livraison]],Tab_Calculs[[#This Row],[fin mois]])-MAX(Tab_Calculs[[#This Row],[Début mois]],Tab_Calculs[[#This Row],[Début periode livraison]]))</f>
        <v>#NUM!</v>
      </c>
      <c r="M264" s="94" t="e">
        <f ca="1">INDEX(INDIRECT(CONCATENATE("Tab_",Tab_Calculs[[#This Row],[Colonne1]])),Tab_Calculs[[#This Row],[index_date_livraison]]+1,6)*(Tab_Calculs[[#This Row],[fin mois]]-MIN(Tab_Calculs[[#This Row],[fin mois]],Tab_Calculs[[#This Row],[Date_livraison]]))</f>
        <v>#VALUE!</v>
      </c>
      <c r="N264" s="231" t="str">
        <f ca="1">IFERROR(Tab_Calculs[[#This Row],[Ratio_jour_après_livr]]+Tab_Calculs[[#This Row],[Ratio_jour_avant_livr]]+Tab_Calculs[[#This Row],[ratio_avant_debut]],"")</f>
        <v/>
      </c>
      <c r="O264" t="e">
        <f ca="1">INDEX(INDIRECT(CONCATENATE("Tab_",Tab_Calculs[[#This Row],[Colonne1]])),Tab_Calculs[[#This Row],[index_date_livraison]]-1,7)*(MAX(Tab_Calculs[[#This Row],[Début periode livraison]],Tab_Calculs[[#This Row],[Début mois]])-Tab_Calculs[[#This Row],[Début mois]])</f>
        <v>#VALUE!</v>
      </c>
      <c r="P264" t="e">
        <f ca="1">INDEX(INDIRECT(CONCATENATE("Tab_",Tab_Calculs[[#This Row],[Colonne1]])),Tab_Calculs[[#This Row],[index_date_livraison]],7)*(1+MIN(Tab_Calculs[[#This Row],[Date_livraison]],Tab_Calculs[[#This Row],[fin mois]])-MAX(Tab_Calculs[[#This Row],[Début mois]],Tab_Calculs[[#This Row],[Début periode livraison]]))</f>
        <v>#NUM!</v>
      </c>
      <c r="Q264" t="e">
        <f ca="1">INDEX(INDIRECT(CONCATENATE("Tab_",Tab_Calculs[[#This Row],[Colonne1]])),Tab_Calculs[[#This Row],[index_date_livraison]]+1,7)*(Tab_Calculs[[#This Row],[fin mois]]-MIN(Tab_Calculs[[#This Row],[fin mois]],Tab_Calculs[[#This Row],[Date_livraison]]))</f>
        <v>#VALUE!</v>
      </c>
      <c r="R264" t="e">
        <f ca="1">Tab_Calculs[[#This Row],[Ratio_Cout_après_livr]]+Tab_Calculs[[#This Row],[Ratio_Cout_avant_livr]]+Tab_Calculs[[#This Row],[Ratio_Cout_avant_debut]]</f>
        <v>#VALUE!</v>
      </c>
      <c r="S264" t="str">
        <f ca="1">IFERROR(N264*VLOOKUP(Tab_Calculs[[#This Row],[Colonne1]],Controle_des_données!$B$7:$G$14,6,FALSE),"")</f>
        <v/>
      </c>
      <c r="T264" t="str">
        <f ca="1">IF(Tab_Calculs[[#This Row],[Combustible ]]="Electricité (kWh)",Tab_Calculs[[#This Row],[Conso_mois_kWh]]*2.3,Tab_Calculs[[#This Row],[Conso_mois_kWh]])</f>
        <v/>
      </c>
      <c r="U264" t="str">
        <f ca="1">IFERROR(N264*VLOOKUP(Tab_Calculs[[#This Row],[Colonne1]],Controle_des_données!$B$7:$H$14,7,FALSE),"")</f>
        <v/>
      </c>
      <c r="V264">
        <f ca="1">IFERROR(Tab_Calculs[[#This Row],[Cout_mois]]/Tab_Calculs[[#This Row],[Conso_mois_kWh]],0)</f>
        <v>0</v>
      </c>
      <c r="W264" t="str">
        <f>T(VLOOKUP(Tab_Calculs[[#This Row],[Compteur]],Site!$B$33:$G$40,3,FALSE))</f>
        <v/>
      </c>
      <c r="X264" t="str">
        <f>T(VLOOKUP(Tab_Calculs[[#This Row],[Compteur]],Site!$B$33:$G$40,4,FALSE))</f>
        <v/>
      </c>
      <c r="Y264" t="str">
        <f>T(VLOOKUP(Tab_Calculs[[#This Row],[Compteur]],Site!$B$33:$G$40,5,FALSE))</f>
        <v/>
      </c>
      <c r="Z264" t="str">
        <f>T(VLOOKUP(Tab_Calculs[[#This Row],[Compteur]],Site!$B$33:$G$40,6,FALSE))</f>
        <v/>
      </c>
      <c r="AA264">
        <f>IFERROR(GETPIVOTDATA("DJU(chauffagiste)",BDD_DJU!$P$13,"annee",Tab_Calculs[[#This Row],[ANNEE]],"mois_numero",Tab_Calculs[[#This Row],[MOIS]]),0)</f>
        <v>166.6</v>
      </c>
    </row>
    <row r="265" spans="1:27" x14ac:dyDescent="0.25">
      <c r="A265" s="3">
        <f>DATE(Tab_Calculs[[#This Row],[ANNEE]],Tab_Calculs[[#This Row],[MOIS]],1)</f>
        <v>42125</v>
      </c>
      <c r="B265" s="3">
        <f>EDATE(Tab_Calculs[[#This Row],[Début mois]],1)-1</f>
        <v>42155</v>
      </c>
      <c r="C265">
        <v>5</v>
      </c>
      <c r="D265">
        <f t="shared" si="7"/>
        <v>2015</v>
      </c>
      <c r="E265" t="s">
        <v>81</v>
      </c>
      <c r="F265" t="str">
        <f>SUBSTITUTE(Tab_Calculs[[#This Row],[Compteur]]," ","_")</f>
        <v>Compteur_2</v>
      </c>
      <c r="G265" t="str">
        <f>T(INDEX(Site!$B$33:$G$40, MATCH(Tab_Calculs[[#This Row],[Compteur]], Site!$B$33:$B$40,0),2))</f>
        <v/>
      </c>
      <c r="H265" s="3">
        <f t="array" aca="1" ref="H265" ca="1">MIN(IF(INDIRECT(CONCATENATE(Tab_Calculs[[#This Row],[Colonne1]],"!$B$2:$B$243"))&gt;=Calculs_Consos!$A265,INDIRECT(CONCATENATE(Tab_Calculs[[#This Row],[Colonne1]],"!$B$2:$B$243"))))</f>
        <v>0</v>
      </c>
      <c r="I265" s="3" t="e">
        <f ca="1">INDEX(INDIRECT(CONCATENATE("Tab_",Tab_Calculs[[#This Row],[Colonne1]])),Tab_Calculs[[#This Row],[index_date_livraison]],1)</f>
        <v>#NUM!</v>
      </c>
      <c r="J265">
        <f ca="1">MATCH(Tab_Calculs[[#This Row],[Date_livraison]],INDIRECT(CONCATENATE("Tab_",Tab_Calculs[[#This Row],[Colonne1]],"[Fin de période]")),0)</f>
        <v>1</v>
      </c>
      <c r="K265" t="e">
        <f ca="1">INDEX(INDIRECT(CONCATENATE("Tab_",Tab_Calculs[[#This Row],[Colonne1]])),Tab_Calculs[[#This Row],[index_date_livraison]]-1,6)*(MAX(Tab_Calculs[[#This Row],[Début periode livraison]],Tab_Calculs[[#This Row],[Début mois]])-Tab_Calculs[[#This Row],[Début mois]])</f>
        <v>#VALUE!</v>
      </c>
      <c r="L265" s="94" t="e">
        <f ca="1">INDEX(INDIRECT(CONCATENATE("Tab_",Tab_Calculs[[#This Row],[Colonne1]])),Tab_Calculs[[#This Row],[index_date_livraison]],6)*(1+MIN(Tab_Calculs[[#This Row],[Date_livraison]],Tab_Calculs[[#This Row],[fin mois]])-MAX(Tab_Calculs[[#This Row],[Début mois]],Tab_Calculs[[#This Row],[Début periode livraison]]))</f>
        <v>#NUM!</v>
      </c>
      <c r="M265" s="94" t="e">
        <f ca="1">INDEX(INDIRECT(CONCATENATE("Tab_",Tab_Calculs[[#This Row],[Colonne1]])),Tab_Calculs[[#This Row],[index_date_livraison]]+1,6)*(Tab_Calculs[[#This Row],[fin mois]]-MIN(Tab_Calculs[[#This Row],[fin mois]],Tab_Calculs[[#This Row],[Date_livraison]]))</f>
        <v>#VALUE!</v>
      </c>
      <c r="N265" s="231" t="str">
        <f ca="1">IFERROR(Tab_Calculs[[#This Row],[Ratio_jour_après_livr]]+Tab_Calculs[[#This Row],[Ratio_jour_avant_livr]]+Tab_Calculs[[#This Row],[ratio_avant_debut]],"")</f>
        <v/>
      </c>
      <c r="O265" t="e">
        <f ca="1">INDEX(INDIRECT(CONCATENATE("Tab_",Tab_Calculs[[#This Row],[Colonne1]])),Tab_Calculs[[#This Row],[index_date_livraison]]-1,7)*(MAX(Tab_Calculs[[#This Row],[Début periode livraison]],Tab_Calculs[[#This Row],[Début mois]])-Tab_Calculs[[#This Row],[Début mois]])</f>
        <v>#VALUE!</v>
      </c>
      <c r="P265" t="e">
        <f ca="1">INDEX(INDIRECT(CONCATENATE("Tab_",Tab_Calculs[[#This Row],[Colonne1]])),Tab_Calculs[[#This Row],[index_date_livraison]],7)*(1+MIN(Tab_Calculs[[#This Row],[Date_livraison]],Tab_Calculs[[#This Row],[fin mois]])-MAX(Tab_Calculs[[#This Row],[Début mois]],Tab_Calculs[[#This Row],[Début periode livraison]]))</f>
        <v>#NUM!</v>
      </c>
      <c r="Q265" t="e">
        <f ca="1">INDEX(INDIRECT(CONCATENATE("Tab_",Tab_Calculs[[#This Row],[Colonne1]])),Tab_Calculs[[#This Row],[index_date_livraison]]+1,7)*(Tab_Calculs[[#This Row],[fin mois]]-MIN(Tab_Calculs[[#This Row],[fin mois]],Tab_Calculs[[#This Row],[Date_livraison]]))</f>
        <v>#VALUE!</v>
      </c>
      <c r="R265" t="e">
        <f ca="1">Tab_Calculs[[#This Row],[Ratio_Cout_après_livr]]+Tab_Calculs[[#This Row],[Ratio_Cout_avant_livr]]+Tab_Calculs[[#This Row],[Ratio_Cout_avant_debut]]</f>
        <v>#VALUE!</v>
      </c>
      <c r="S265" t="str">
        <f ca="1">IFERROR(N265*VLOOKUP(Tab_Calculs[[#This Row],[Colonne1]],Controle_des_données!$B$7:$G$14,6,FALSE),"")</f>
        <v/>
      </c>
      <c r="T265" t="str">
        <f ca="1">IF(Tab_Calculs[[#This Row],[Combustible ]]="Electricité (kWh)",Tab_Calculs[[#This Row],[Conso_mois_kWh]]*2.3,Tab_Calculs[[#This Row],[Conso_mois_kWh]])</f>
        <v/>
      </c>
      <c r="U265" t="str">
        <f ca="1">IFERROR(N265*VLOOKUP(Tab_Calculs[[#This Row],[Colonne1]],Controle_des_données!$B$7:$H$14,7,FALSE),"")</f>
        <v/>
      </c>
      <c r="V265">
        <f ca="1">IFERROR(Tab_Calculs[[#This Row],[Cout_mois]]/Tab_Calculs[[#This Row],[Conso_mois_kWh]],0)</f>
        <v>0</v>
      </c>
      <c r="W265" t="str">
        <f>T(VLOOKUP(Tab_Calculs[[#This Row],[Compteur]],Site!$B$33:$G$40,3,FALSE))</f>
        <v/>
      </c>
      <c r="X265" t="str">
        <f>T(VLOOKUP(Tab_Calculs[[#This Row],[Compteur]],Site!$B$33:$G$40,4,FALSE))</f>
        <v/>
      </c>
      <c r="Y265" t="str">
        <f>T(VLOOKUP(Tab_Calculs[[#This Row],[Compteur]],Site!$B$33:$G$40,5,FALSE))</f>
        <v/>
      </c>
      <c r="Z265" t="str">
        <f>T(VLOOKUP(Tab_Calculs[[#This Row],[Compteur]],Site!$B$33:$G$40,6,FALSE))</f>
        <v/>
      </c>
      <c r="AA265">
        <f>IFERROR(GETPIVOTDATA("DJU(chauffagiste)",BDD_DJU!$P$13,"annee",Tab_Calculs[[#This Row],[ANNEE]],"mois_numero",Tab_Calculs[[#This Row],[MOIS]]),0)</f>
        <v>119.9</v>
      </c>
    </row>
    <row r="266" spans="1:27" x14ac:dyDescent="0.25">
      <c r="A266" s="3">
        <f>DATE(Tab_Calculs[[#This Row],[ANNEE]],Tab_Calculs[[#This Row],[MOIS]],1)</f>
        <v>42156</v>
      </c>
      <c r="B266" s="3">
        <f>EDATE(Tab_Calculs[[#This Row],[Début mois]],1)-1</f>
        <v>42185</v>
      </c>
      <c r="C266">
        <v>6</v>
      </c>
      <c r="D266">
        <f t="shared" si="7"/>
        <v>2015</v>
      </c>
      <c r="E266" t="s">
        <v>81</v>
      </c>
      <c r="F266" t="str">
        <f>SUBSTITUTE(Tab_Calculs[[#This Row],[Compteur]]," ","_")</f>
        <v>Compteur_2</v>
      </c>
      <c r="G266" t="str">
        <f>T(INDEX(Site!$B$33:$G$40, MATCH(Tab_Calculs[[#This Row],[Compteur]], Site!$B$33:$B$40,0),2))</f>
        <v/>
      </c>
      <c r="H266" s="3">
        <f t="array" aca="1" ref="H266" ca="1">MIN(IF(INDIRECT(CONCATENATE(Tab_Calculs[[#This Row],[Colonne1]],"!$B$2:$B$243"))&gt;=Calculs_Consos!$A266,INDIRECT(CONCATENATE(Tab_Calculs[[#This Row],[Colonne1]],"!$B$2:$B$243"))))</f>
        <v>0</v>
      </c>
      <c r="I266" s="3" t="e">
        <f ca="1">INDEX(INDIRECT(CONCATENATE("Tab_",Tab_Calculs[[#This Row],[Colonne1]])),Tab_Calculs[[#This Row],[index_date_livraison]],1)</f>
        <v>#NUM!</v>
      </c>
      <c r="J266">
        <f ca="1">MATCH(Tab_Calculs[[#This Row],[Date_livraison]],INDIRECT(CONCATENATE("Tab_",Tab_Calculs[[#This Row],[Colonne1]],"[Fin de période]")),0)</f>
        <v>1</v>
      </c>
      <c r="K266" t="e">
        <f ca="1">INDEX(INDIRECT(CONCATENATE("Tab_",Tab_Calculs[[#This Row],[Colonne1]])),Tab_Calculs[[#This Row],[index_date_livraison]]-1,6)*(MAX(Tab_Calculs[[#This Row],[Début periode livraison]],Tab_Calculs[[#This Row],[Début mois]])-Tab_Calculs[[#This Row],[Début mois]])</f>
        <v>#VALUE!</v>
      </c>
      <c r="L266" s="94" t="e">
        <f ca="1">INDEX(INDIRECT(CONCATENATE("Tab_",Tab_Calculs[[#This Row],[Colonne1]])),Tab_Calculs[[#This Row],[index_date_livraison]],6)*(1+MIN(Tab_Calculs[[#This Row],[Date_livraison]],Tab_Calculs[[#This Row],[fin mois]])-MAX(Tab_Calculs[[#This Row],[Début mois]],Tab_Calculs[[#This Row],[Début periode livraison]]))</f>
        <v>#NUM!</v>
      </c>
      <c r="M266" s="94" t="e">
        <f ca="1">INDEX(INDIRECT(CONCATENATE("Tab_",Tab_Calculs[[#This Row],[Colonne1]])),Tab_Calculs[[#This Row],[index_date_livraison]]+1,6)*(Tab_Calculs[[#This Row],[fin mois]]-MIN(Tab_Calculs[[#This Row],[fin mois]],Tab_Calculs[[#This Row],[Date_livraison]]))</f>
        <v>#VALUE!</v>
      </c>
      <c r="N266" s="231" t="str">
        <f ca="1">IFERROR(Tab_Calculs[[#This Row],[Ratio_jour_après_livr]]+Tab_Calculs[[#This Row],[Ratio_jour_avant_livr]]+Tab_Calculs[[#This Row],[ratio_avant_debut]],"")</f>
        <v/>
      </c>
      <c r="O266" t="e">
        <f ca="1">INDEX(INDIRECT(CONCATENATE("Tab_",Tab_Calculs[[#This Row],[Colonne1]])),Tab_Calculs[[#This Row],[index_date_livraison]]-1,7)*(MAX(Tab_Calculs[[#This Row],[Début periode livraison]],Tab_Calculs[[#This Row],[Début mois]])-Tab_Calculs[[#This Row],[Début mois]])</f>
        <v>#VALUE!</v>
      </c>
      <c r="P266" t="e">
        <f ca="1">INDEX(INDIRECT(CONCATENATE("Tab_",Tab_Calculs[[#This Row],[Colonne1]])),Tab_Calculs[[#This Row],[index_date_livraison]],7)*(1+MIN(Tab_Calculs[[#This Row],[Date_livraison]],Tab_Calculs[[#This Row],[fin mois]])-MAX(Tab_Calculs[[#This Row],[Début mois]],Tab_Calculs[[#This Row],[Début periode livraison]]))</f>
        <v>#NUM!</v>
      </c>
      <c r="Q266" t="e">
        <f ca="1">INDEX(INDIRECT(CONCATENATE("Tab_",Tab_Calculs[[#This Row],[Colonne1]])),Tab_Calculs[[#This Row],[index_date_livraison]]+1,7)*(Tab_Calculs[[#This Row],[fin mois]]-MIN(Tab_Calculs[[#This Row],[fin mois]],Tab_Calculs[[#This Row],[Date_livraison]]))</f>
        <v>#VALUE!</v>
      </c>
      <c r="R266" t="e">
        <f ca="1">Tab_Calculs[[#This Row],[Ratio_Cout_après_livr]]+Tab_Calculs[[#This Row],[Ratio_Cout_avant_livr]]+Tab_Calculs[[#This Row],[Ratio_Cout_avant_debut]]</f>
        <v>#VALUE!</v>
      </c>
      <c r="S266" t="str">
        <f ca="1">IFERROR(N266*VLOOKUP(Tab_Calculs[[#This Row],[Colonne1]],Controle_des_données!$B$7:$G$14,6,FALSE),"")</f>
        <v/>
      </c>
      <c r="T266" t="str">
        <f ca="1">IF(Tab_Calculs[[#This Row],[Combustible ]]="Electricité (kWh)",Tab_Calculs[[#This Row],[Conso_mois_kWh]]*2.3,Tab_Calculs[[#This Row],[Conso_mois_kWh]])</f>
        <v/>
      </c>
      <c r="U266" t="str">
        <f ca="1">IFERROR(N266*VLOOKUP(Tab_Calculs[[#This Row],[Colonne1]],Controle_des_données!$B$7:$H$14,7,FALSE),"")</f>
        <v/>
      </c>
      <c r="V266">
        <f ca="1">IFERROR(Tab_Calculs[[#This Row],[Cout_mois]]/Tab_Calculs[[#This Row],[Conso_mois_kWh]],0)</f>
        <v>0</v>
      </c>
      <c r="W266" t="str">
        <f>T(VLOOKUP(Tab_Calculs[[#This Row],[Compteur]],Site!$B$33:$G$40,3,FALSE))</f>
        <v/>
      </c>
      <c r="X266" t="str">
        <f>T(VLOOKUP(Tab_Calculs[[#This Row],[Compteur]],Site!$B$33:$G$40,4,FALSE))</f>
        <v/>
      </c>
      <c r="Y266" t="str">
        <f>T(VLOOKUP(Tab_Calculs[[#This Row],[Compteur]],Site!$B$33:$G$40,5,FALSE))</f>
        <v/>
      </c>
      <c r="Z266" t="str">
        <f>T(VLOOKUP(Tab_Calculs[[#This Row],[Compteur]],Site!$B$33:$G$40,6,FALSE))</f>
        <v/>
      </c>
      <c r="AA266">
        <f>IFERROR(GETPIVOTDATA("DJU(chauffagiste)",BDD_DJU!$P$13,"annee",Tab_Calculs[[#This Row],[ANNEE]],"mois_numero",Tab_Calculs[[#This Row],[MOIS]]),0)</f>
        <v>51.8</v>
      </c>
    </row>
    <row r="267" spans="1:27" x14ac:dyDescent="0.25">
      <c r="A267" s="3">
        <f>DATE(Tab_Calculs[[#This Row],[ANNEE]],Tab_Calculs[[#This Row],[MOIS]],1)</f>
        <v>42186</v>
      </c>
      <c r="B267" s="3">
        <f>EDATE(Tab_Calculs[[#This Row],[Début mois]],1)-1</f>
        <v>42216</v>
      </c>
      <c r="C267">
        <v>7</v>
      </c>
      <c r="D267">
        <f t="shared" si="7"/>
        <v>2015</v>
      </c>
      <c r="E267" t="s">
        <v>81</v>
      </c>
      <c r="F267" t="str">
        <f>SUBSTITUTE(Tab_Calculs[[#This Row],[Compteur]]," ","_")</f>
        <v>Compteur_2</v>
      </c>
      <c r="G267" t="str">
        <f>T(INDEX(Site!$B$33:$G$40, MATCH(Tab_Calculs[[#This Row],[Compteur]], Site!$B$33:$B$40,0),2))</f>
        <v/>
      </c>
      <c r="H267" s="3">
        <f t="array" aca="1" ref="H267" ca="1">MIN(IF(INDIRECT(CONCATENATE(Tab_Calculs[[#This Row],[Colonne1]],"!$B$2:$B$243"))&gt;=Calculs_Consos!$A267,INDIRECT(CONCATENATE(Tab_Calculs[[#This Row],[Colonne1]],"!$B$2:$B$243"))))</f>
        <v>0</v>
      </c>
      <c r="I267" s="3" t="e">
        <f ca="1">INDEX(INDIRECT(CONCATENATE("Tab_",Tab_Calculs[[#This Row],[Colonne1]])),Tab_Calculs[[#This Row],[index_date_livraison]],1)</f>
        <v>#NUM!</v>
      </c>
      <c r="J267">
        <f ca="1">MATCH(Tab_Calculs[[#This Row],[Date_livraison]],INDIRECT(CONCATENATE("Tab_",Tab_Calculs[[#This Row],[Colonne1]],"[Fin de période]")),0)</f>
        <v>1</v>
      </c>
      <c r="K267" t="e">
        <f ca="1">INDEX(INDIRECT(CONCATENATE("Tab_",Tab_Calculs[[#This Row],[Colonne1]])),Tab_Calculs[[#This Row],[index_date_livraison]]-1,6)*(MAX(Tab_Calculs[[#This Row],[Début periode livraison]],Tab_Calculs[[#This Row],[Début mois]])-Tab_Calculs[[#This Row],[Début mois]])</f>
        <v>#VALUE!</v>
      </c>
      <c r="L267" s="94" t="e">
        <f ca="1">INDEX(INDIRECT(CONCATENATE("Tab_",Tab_Calculs[[#This Row],[Colonne1]])),Tab_Calculs[[#This Row],[index_date_livraison]],6)*(1+MIN(Tab_Calculs[[#This Row],[Date_livraison]],Tab_Calculs[[#This Row],[fin mois]])-MAX(Tab_Calculs[[#This Row],[Début mois]],Tab_Calculs[[#This Row],[Début periode livraison]]))</f>
        <v>#NUM!</v>
      </c>
      <c r="M267" s="94" t="e">
        <f ca="1">INDEX(INDIRECT(CONCATENATE("Tab_",Tab_Calculs[[#This Row],[Colonne1]])),Tab_Calculs[[#This Row],[index_date_livraison]]+1,6)*(Tab_Calculs[[#This Row],[fin mois]]-MIN(Tab_Calculs[[#This Row],[fin mois]],Tab_Calculs[[#This Row],[Date_livraison]]))</f>
        <v>#VALUE!</v>
      </c>
      <c r="N267" s="231" t="str">
        <f ca="1">IFERROR(Tab_Calculs[[#This Row],[Ratio_jour_après_livr]]+Tab_Calculs[[#This Row],[Ratio_jour_avant_livr]]+Tab_Calculs[[#This Row],[ratio_avant_debut]],"")</f>
        <v/>
      </c>
      <c r="O267" t="e">
        <f ca="1">INDEX(INDIRECT(CONCATENATE("Tab_",Tab_Calculs[[#This Row],[Colonne1]])),Tab_Calculs[[#This Row],[index_date_livraison]]-1,7)*(MAX(Tab_Calculs[[#This Row],[Début periode livraison]],Tab_Calculs[[#This Row],[Début mois]])-Tab_Calculs[[#This Row],[Début mois]])</f>
        <v>#VALUE!</v>
      </c>
      <c r="P267" t="e">
        <f ca="1">INDEX(INDIRECT(CONCATENATE("Tab_",Tab_Calculs[[#This Row],[Colonne1]])),Tab_Calculs[[#This Row],[index_date_livraison]],7)*(1+MIN(Tab_Calculs[[#This Row],[Date_livraison]],Tab_Calculs[[#This Row],[fin mois]])-MAX(Tab_Calculs[[#This Row],[Début mois]],Tab_Calculs[[#This Row],[Début periode livraison]]))</f>
        <v>#NUM!</v>
      </c>
      <c r="Q267" t="e">
        <f ca="1">INDEX(INDIRECT(CONCATENATE("Tab_",Tab_Calculs[[#This Row],[Colonne1]])),Tab_Calculs[[#This Row],[index_date_livraison]]+1,7)*(Tab_Calculs[[#This Row],[fin mois]]-MIN(Tab_Calculs[[#This Row],[fin mois]],Tab_Calculs[[#This Row],[Date_livraison]]))</f>
        <v>#VALUE!</v>
      </c>
      <c r="R267" t="e">
        <f ca="1">Tab_Calculs[[#This Row],[Ratio_Cout_après_livr]]+Tab_Calculs[[#This Row],[Ratio_Cout_avant_livr]]+Tab_Calculs[[#This Row],[Ratio_Cout_avant_debut]]</f>
        <v>#VALUE!</v>
      </c>
      <c r="S267" t="str">
        <f ca="1">IFERROR(N267*VLOOKUP(Tab_Calculs[[#This Row],[Colonne1]],Controle_des_données!$B$7:$G$14,6,FALSE),"")</f>
        <v/>
      </c>
      <c r="T267" t="str">
        <f ca="1">IF(Tab_Calculs[[#This Row],[Combustible ]]="Electricité (kWh)",Tab_Calculs[[#This Row],[Conso_mois_kWh]]*2.3,Tab_Calculs[[#This Row],[Conso_mois_kWh]])</f>
        <v/>
      </c>
      <c r="U267" t="str">
        <f ca="1">IFERROR(N267*VLOOKUP(Tab_Calculs[[#This Row],[Colonne1]],Controle_des_données!$B$7:$H$14,7,FALSE),"")</f>
        <v/>
      </c>
      <c r="V267">
        <f ca="1">IFERROR(Tab_Calculs[[#This Row],[Cout_mois]]/Tab_Calculs[[#This Row],[Conso_mois_kWh]],0)</f>
        <v>0</v>
      </c>
      <c r="W267" t="str">
        <f>T(VLOOKUP(Tab_Calculs[[#This Row],[Compteur]],Site!$B$33:$G$40,3,FALSE))</f>
        <v/>
      </c>
      <c r="X267" t="str">
        <f>T(VLOOKUP(Tab_Calculs[[#This Row],[Compteur]],Site!$B$33:$G$40,4,FALSE))</f>
        <v/>
      </c>
      <c r="Y267" t="str">
        <f>T(VLOOKUP(Tab_Calculs[[#This Row],[Compteur]],Site!$B$33:$G$40,5,FALSE))</f>
        <v/>
      </c>
      <c r="Z267" t="str">
        <f>T(VLOOKUP(Tab_Calculs[[#This Row],[Compteur]],Site!$B$33:$G$40,6,FALSE))</f>
        <v/>
      </c>
      <c r="AA267">
        <f>IFERROR(GETPIVOTDATA("DJU(chauffagiste)",BDD_DJU!$P$13,"annee",Tab_Calculs[[#This Row],[ANNEE]],"mois_numero",Tab_Calculs[[#This Row],[MOIS]]),0)</f>
        <v>29</v>
      </c>
    </row>
    <row r="268" spans="1:27" x14ac:dyDescent="0.25">
      <c r="A268" s="3">
        <f>DATE(Tab_Calculs[[#This Row],[ANNEE]],Tab_Calculs[[#This Row],[MOIS]],1)</f>
        <v>42217</v>
      </c>
      <c r="B268" s="3">
        <f>EDATE(Tab_Calculs[[#This Row],[Début mois]],1)-1</f>
        <v>42247</v>
      </c>
      <c r="C268">
        <v>8</v>
      </c>
      <c r="D268">
        <f t="shared" si="7"/>
        <v>2015</v>
      </c>
      <c r="E268" t="s">
        <v>81</v>
      </c>
      <c r="F268" t="str">
        <f>SUBSTITUTE(Tab_Calculs[[#This Row],[Compteur]]," ","_")</f>
        <v>Compteur_2</v>
      </c>
      <c r="G268" t="str">
        <f>T(INDEX(Site!$B$33:$G$40, MATCH(Tab_Calculs[[#This Row],[Compteur]], Site!$B$33:$B$40,0),2))</f>
        <v/>
      </c>
      <c r="H268" s="3">
        <f t="array" aca="1" ref="H268" ca="1">MIN(IF(INDIRECT(CONCATENATE(Tab_Calculs[[#This Row],[Colonne1]],"!$B$2:$B$243"))&gt;=Calculs_Consos!$A268,INDIRECT(CONCATENATE(Tab_Calculs[[#This Row],[Colonne1]],"!$B$2:$B$243"))))</f>
        <v>0</v>
      </c>
      <c r="I268" s="3" t="e">
        <f ca="1">INDEX(INDIRECT(CONCATENATE("Tab_",Tab_Calculs[[#This Row],[Colonne1]])),Tab_Calculs[[#This Row],[index_date_livraison]],1)</f>
        <v>#NUM!</v>
      </c>
      <c r="J268">
        <f ca="1">MATCH(Tab_Calculs[[#This Row],[Date_livraison]],INDIRECT(CONCATENATE("Tab_",Tab_Calculs[[#This Row],[Colonne1]],"[Fin de période]")),0)</f>
        <v>1</v>
      </c>
      <c r="K268" t="e">
        <f ca="1">INDEX(INDIRECT(CONCATENATE("Tab_",Tab_Calculs[[#This Row],[Colonne1]])),Tab_Calculs[[#This Row],[index_date_livraison]]-1,6)*(MAX(Tab_Calculs[[#This Row],[Début periode livraison]],Tab_Calculs[[#This Row],[Début mois]])-Tab_Calculs[[#This Row],[Début mois]])</f>
        <v>#VALUE!</v>
      </c>
      <c r="L268" s="94" t="e">
        <f ca="1">INDEX(INDIRECT(CONCATENATE("Tab_",Tab_Calculs[[#This Row],[Colonne1]])),Tab_Calculs[[#This Row],[index_date_livraison]],6)*(1+MIN(Tab_Calculs[[#This Row],[Date_livraison]],Tab_Calculs[[#This Row],[fin mois]])-MAX(Tab_Calculs[[#This Row],[Début mois]],Tab_Calculs[[#This Row],[Début periode livraison]]))</f>
        <v>#NUM!</v>
      </c>
      <c r="M268" s="94" t="e">
        <f ca="1">INDEX(INDIRECT(CONCATENATE("Tab_",Tab_Calculs[[#This Row],[Colonne1]])),Tab_Calculs[[#This Row],[index_date_livraison]]+1,6)*(Tab_Calculs[[#This Row],[fin mois]]-MIN(Tab_Calculs[[#This Row],[fin mois]],Tab_Calculs[[#This Row],[Date_livraison]]))</f>
        <v>#VALUE!</v>
      </c>
      <c r="N268" s="231" t="str">
        <f ca="1">IFERROR(Tab_Calculs[[#This Row],[Ratio_jour_après_livr]]+Tab_Calculs[[#This Row],[Ratio_jour_avant_livr]]+Tab_Calculs[[#This Row],[ratio_avant_debut]],"")</f>
        <v/>
      </c>
      <c r="O268" t="e">
        <f ca="1">INDEX(INDIRECT(CONCATENATE("Tab_",Tab_Calculs[[#This Row],[Colonne1]])),Tab_Calculs[[#This Row],[index_date_livraison]]-1,7)*(MAX(Tab_Calculs[[#This Row],[Début periode livraison]],Tab_Calculs[[#This Row],[Début mois]])-Tab_Calculs[[#This Row],[Début mois]])</f>
        <v>#VALUE!</v>
      </c>
      <c r="P268" t="e">
        <f ca="1">INDEX(INDIRECT(CONCATENATE("Tab_",Tab_Calculs[[#This Row],[Colonne1]])),Tab_Calculs[[#This Row],[index_date_livraison]],7)*(1+MIN(Tab_Calculs[[#This Row],[Date_livraison]],Tab_Calculs[[#This Row],[fin mois]])-MAX(Tab_Calculs[[#This Row],[Début mois]],Tab_Calculs[[#This Row],[Début periode livraison]]))</f>
        <v>#NUM!</v>
      </c>
      <c r="Q268" t="e">
        <f ca="1">INDEX(INDIRECT(CONCATENATE("Tab_",Tab_Calculs[[#This Row],[Colonne1]])),Tab_Calculs[[#This Row],[index_date_livraison]]+1,7)*(Tab_Calculs[[#This Row],[fin mois]]-MIN(Tab_Calculs[[#This Row],[fin mois]],Tab_Calculs[[#This Row],[Date_livraison]]))</f>
        <v>#VALUE!</v>
      </c>
      <c r="R268" t="e">
        <f ca="1">Tab_Calculs[[#This Row],[Ratio_Cout_après_livr]]+Tab_Calculs[[#This Row],[Ratio_Cout_avant_livr]]+Tab_Calculs[[#This Row],[Ratio_Cout_avant_debut]]</f>
        <v>#VALUE!</v>
      </c>
      <c r="S268" t="str">
        <f ca="1">IFERROR(N268*VLOOKUP(Tab_Calculs[[#This Row],[Colonne1]],Controle_des_données!$B$7:$G$14,6,FALSE),"")</f>
        <v/>
      </c>
      <c r="T268" t="str">
        <f ca="1">IF(Tab_Calculs[[#This Row],[Combustible ]]="Electricité (kWh)",Tab_Calculs[[#This Row],[Conso_mois_kWh]]*2.3,Tab_Calculs[[#This Row],[Conso_mois_kWh]])</f>
        <v/>
      </c>
      <c r="U268" t="str">
        <f ca="1">IFERROR(N268*VLOOKUP(Tab_Calculs[[#This Row],[Colonne1]],Controle_des_données!$B$7:$H$14,7,FALSE),"")</f>
        <v/>
      </c>
      <c r="V268">
        <f ca="1">IFERROR(Tab_Calculs[[#This Row],[Cout_mois]]/Tab_Calculs[[#This Row],[Conso_mois_kWh]],0)</f>
        <v>0</v>
      </c>
      <c r="W268" t="str">
        <f>T(VLOOKUP(Tab_Calculs[[#This Row],[Compteur]],Site!$B$33:$G$40,3,FALSE))</f>
        <v/>
      </c>
      <c r="X268" t="str">
        <f>T(VLOOKUP(Tab_Calculs[[#This Row],[Compteur]],Site!$B$33:$G$40,4,FALSE))</f>
        <v/>
      </c>
      <c r="Y268" t="str">
        <f>T(VLOOKUP(Tab_Calculs[[#This Row],[Compteur]],Site!$B$33:$G$40,5,FALSE))</f>
        <v/>
      </c>
      <c r="Z268" t="str">
        <f>T(VLOOKUP(Tab_Calculs[[#This Row],[Compteur]],Site!$B$33:$G$40,6,FALSE))</f>
        <v/>
      </c>
      <c r="AA268">
        <f>IFERROR(GETPIVOTDATA("DJU(chauffagiste)",BDD_DJU!$P$13,"annee",Tab_Calculs[[#This Row],[ANNEE]],"mois_numero",Tab_Calculs[[#This Row],[MOIS]]),0)</f>
        <v>32</v>
      </c>
    </row>
    <row r="269" spans="1:27" x14ac:dyDescent="0.25">
      <c r="A269" s="3">
        <f>DATE(Tab_Calculs[[#This Row],[ANNEE]],Tab_Calculs[[#This Row],[MOIS]],1)</f>
        <v>42248</v>
      </c>
      <c r="B269" s="3">
        <f>EDATE(Tab_Calculs[[#This Row],[Début mois]],1)-1</f>
        <v>42277</v>
      </c>
      <c r="C269">
        <v>9</v>
      </c>
      <c r="D269">
        <f t="shared" si="7"/>
        <v>2015</v>
      </c>
      <c r="E269" t="s">
        <v>81</v>
      </c>
      <c r="F269" t="str">
        <f>SUBSTITUTE(Tab_Calculs[[#This Row],[Compteur]]," ","_")</f>
        <v>Compteur_2</v>
      </c>
      <c r="G269" t="str">
        <f>T(INDEX(Site!$B$33:$G$40, MATCH(Tab_Calculs[[#This Row],[Compteur]], Site!$B$33:$B$40,0),2))</f>
        <v/>
      </c>
      <c r="H269" s="3">
        <f t="array" aca="1" ref="H269" ca="1">MIN(IF(INDIRECT(CONCATENATE(Tab_Calculs[[#This Row],[Colonne1]],"!$B$2:$B$243"))&gt;=Calculs_Consos!$A269,INDIRECT(CONCATENATE(Tab_Calculs[[#This Row],[Colonne1]],"!$B$2:$B$243"))))</f>
        <v>0</v>
      </c>
      <c r="I269" s="3" t="e">
        <f ca="1">INDEX(INDIRECT(CONCATENATE("Tab_",Tab_Calculs[[#This Row],[Colonne1]])),Tab_Calculs[[#This Row],[index_date_livraison]],1)</f>
        <v>#NUM!</v>
      </c>
      <c r="J269">
        <f ca="1">MATCH(Tab_Calculs[[#This Row],[Date_livraison]],INDIRECT(CONCATENATE("Tab_",Tab_Calculs[[#This Row],[Colonne1]],"[Fin de période]")),0)</f>
        <v>1</v>
      </c>
      <c r="K269" t="e">
        <f ca="1">INDEX(INDIRECT(CONCATENATE("Tab_",Tab_Calculs[[#This Row],[Colonne1]])),Tab_Calculs[[#This Row],[index_date_livraison]]-1,6)*(MAX(Tab_Calculs[[#This Row],[Début periode livraison]],Tab_Calculs[[#This Row],[Début mois]])-Tab_Calculs[[#This Row],[Début mois]])</f>
        <v>#VALUE!</v>
      </c>
      <c r="L269" s="94" t="e">
        <f ca="1">INDEX(INDIRECT(CONCATENATE("Tab_",Tab_Calculs[[#This Row],[Colonne1]])),Tab_Calculs[[#This Row],[index_date_livraison]],6)*(1+MIN(Tab_Calculs[[#This Row],[Date_livraison]],Tab_Calculs[[#This Row],[fin mois]])-MAX(Tab_Calculs[[#This Row],[Début mois]],Tab_Calculs[[#This Row],[Début periode livraison]]))</f>
        <v>#NUM!</v>
      </c>
      <c r="M269" s="94" t="e">
        <f ca="1">INDEX(INDIRECT(CONCATENATE("Tab_",Tab_Calculs[[#This Row],[Colonne1]])),Tab_Calculs[[#This Row],[index_date_livraison]]+1,6)*(Tab_Calculs[[#This Row],[fin mois]]-MIN(Tab_Calculs[[#This Row],[fin mois]],Tab_Calculs[[#This Row],[Date_livraison]]))</f>
        <v>#VALUE!</v>
      </c>
      <c r="N269" s="231" t="str">
        <f ca="1">IFERROR(Tab_Calculs[[#This Row],[Ratio_jour_après_livr]]+Tab_Calculs[[#This Row],[Ratio_jour_avant_livr]]+Tab_Calculs[[#This Row],[ratio_avant_debut]],"")</f>
        <v/>
      </c>
      <c r="O269" t="e">
        <f ca="1">INDEX(INDIRECT(CONCATENATE("Tab_",Tab_Calculs[[#This Row],[Colonne1]])),Tab_Calculs[[#This Row],[index_date_livraison]]-1,7)*(MAX(Tab_Calculs[[#This Row],[Début periode livraison]],Tab_Calculs[[#This Row],[Début mois]])-Tab_Calculs[[#This Row],[Début mois]])</f>
        <v>#VALUE!</v>
      </c>
      <c r="P269" t="e">
        <f ca="1">INDEX(INDIRECT(CONCATENATE("Tab_",Tab_Calculs[[#This Row],[Colonne1]])),Tab_Calculs[[#This Row],[index_date_livraison]],7)*(1+MIN(Tab_Calculs[[#This Row],[Date_livraison]],Tab_Calculs[[#This Row],[fin mois]])-MAX(Tab_Calculs[[#This Row],[Début mois]],Tab_Calculs[[#This Row],[Début periode livraison]]))</f>
        <v>#NUM!</v>
      </c>
      <c r="Q269" t="e">
        <f ca="1">INDEX(INDIRECT(CONCATENATE("Tab_",Tab_Calculs[[#This Row],[Colonne1]])),Tab_Calculs[[#This Row],[index_date_livraison]]+1,7)*(Tab_Calculs[[#This Row],[fin mois]]-MIN(Tab_Calculs[[#This Row],[fin mois]],Tab_Calculs[[#This Row],[Date_livraison]]))</f>
        <v>#VALUE!</v>
      </c>
      <c r="R269" t="e">
        <f ca="1">Tab_Calculs[[#This Row],[Ratio_Cout_après_livr]]+Tab_Calculs[[#This Row],[Ratio_Cout_avant_livr]]+Tab_Calculs[[#This Row],[Ratio_Cout_avant_debut]]</f>
        <v>#VALUE!</v>
      </c>
      <c r="S269" t="str">
        <f ca="1">IFERROR(N269*VLOOKUP(Tab_Calculs[[#This Row],[Colonne1]],Controle_des_données!$B$7:$G$14,6,FALSE),"")</f>
        <v/>
      </c>
      <c r="T269" t="str">
        <f ca="1">IF(Tab_Calculs[[#This Row],[Combustible ]]="Electricité (kWh)",Tab_Calculs[[#This Row],[Conso_mois_kWh]]*2.3,Tab_Calculs[[#This Row],[Conso_mois_kWh]])</f>
        <v/>
      </c>
      <c r="U269" t="str">
        <f ca="1">IFERROR(N269*VLOOKUP(Tab_Calculs[[#This Row],[Colonne1]],Controle_des_données!$B$7:$H$14,7,FALSE),"")</f>
        <v/>
      </c>
      <c r="V269">
        <f ca="1">IFERROR(Tab_Calculs[[#This Row],[Cout_mois]]/Tab_Calculs[[#This Row],[Conso_mois_kWh]],0)</f>
        <v>0</v>
      </c>
      <c r="W269" t="str">
        <f>T(VLOOKUP(Tab_Calculs[[#This Row],[Compteur]],Site!$B$33:$G$40,3,FALSE))</f>
        <v/>
      </c>
      <c r="X269" t="str">
        <f>T(VLOOKUP(Tab_Calculs[[#This Row],[Compteur]],Site!$B$33:$G$40,4,FALSE))</f>
        <v/>
      </c>
      <c r="Y269" t="str">
        <f>T(VLOOKUP(Tab_Calculs[[#This Row],[Compteur]],Site!$B$33:$G$40,5,FALSE))</f>
        <v/>
      </c>
      <c r="Z269" t="str">
        <f>T(VLOOKUP(Tab_Calculs[[#This Row],[Compteur]],Site!$B$33:$G$40,6,FALSE))</f>
        <v/>
      </c>
      <c r="AA269">
        <f>IFERROR(GETPIVOTDATA("DJU(chauffagiste)",BDD_DJU!$P$13,"annee",Tab_Calculs[[#This Row],[ANNEE]],"mois_numero",Tab_Calculs[[#This Row],[MOIS]]),0)</f>
        <v>96.9</v>
      </c>
    </row>
    <row r="270" spans="1:27" x14ac:dyDescent="0.25">
      <c r="A270" s="3">
        <f>DATE(Tab_Calculs[[#This Row],[ANNEE]],Tab_Calculs[[#This Row],[MOIS]],1)</f>
        <v>42278</v>
      </c>
      <c r="B270" s="3">
        <f>EDATE(Tab_Calculs[[#This Row],[Début mois]],1)-1</f>
        <v>42308</v>
      </c>
      <c r="C270">
        <v>10</v>
      </c>
      <c r="D270">
        <f t="shared" si="7"/>
        <v>2015</v>
      </c>
      <c r="E270" t="s">
        <v>81</v>
      </c>
      <c r="F270" t="str">
        <f>SUBSTITUTE(Tab_Calculs[[#This Row],[Compteur]]," ","_")</f>
        <v>Compteur_2</v>
      </c>
      <c r="G270" t="str">
        <f>T(INDEX(Site!$B$33:$G$40, MATCH(Tab_Calculs[[#This Row],[Compteur]], Site!$B$33:$B$40,0),2))</f>
        <v/>
      </c>
      <c r="H270" s="3">
        <f t="array" aca="1" ref="H270" ca="1">MIN(IF(INDIRECT(CONCATENATE(Tab_Calculs[[#This Row],[Colonne1]],"!$B$2:$B$243"))&gt;=Calculs_Consos!$A270,INDIRECT(CONCATENATE(Tab_Calculs[[#This Row],[Colonne1]],"!$B$2:$B$243"))))</f>
        <v>0</v>
      </c>
      <c r="I270" s="3" t="e">
        <f ca="1">INDEX(INDIRECT(CONCATENATE("Tab_",Tab_Calculs[[#This Row],[Colonne1]])),Tab_Calculs[[#This Row],[index_date_livraison]],1)</f>
        <v>#NUM!</v>
      </c>
      <c r="J270">
        <f ca="1">MATCH(Tab_Calculs[[#This Row],[Date_livraison]],INDIRECT(CONCATENATE("Tab_",Tab_Calculs[[#This Row],[Colonne1]],"[Fin de période]")),0)</f>
        <v>1</v>
      </c>
      <c r="K270" t="e">
        <f ca="1">INDEX(INDIRECT(CONCATENATE("Tab_",Tab_Calculs[[#This Row],[Colonne1]])),Tab_Calculs[[#This Row],[index_date_livraison]]-1,6)*(MAX(Tab_Calculs[[#This Row],[Début periode livraison]],Tab_Calculs[[#This Row],[Début mois]])-Tab_Calculs[[#This Row],[Début mois]])</f>
        <v>#VALUE!</v>
      </c>
      <c r="L270" s="94" t="e">
        <f ca="1">INDEX(INDIRECT(CONCATENATE("Tab_",Tab_Calculs[[#This Row],[Colonne1]])),Tab_Calculs[[#This Row],[index_date_livraison]],6)*(1+MIN(Tab_Calculs[[#This Row],[Date_livraison]],Tab_Calculs[[#This Row],[fin mois]])-MAX(Tab_Calculs[[#This Row],[Début mois]],Tab_Calculs[[#This Row],[Début periode livraison]]))</f>
        <v>#NUM!</v>
      </c>
      <c r="M270" s="94" t="e">
        <f ca="1">INDEX(INDIRECT(CONCATENATE("Tab_",Tab_Calculs[[#This Row],[Colonne1]])),Tab_Calculs[[#This Row],[index_date_livraison]]+1,6)*(Tab_Calculs[[#This Row],[fin mois]]-MIN(Tab_Calculs[[#This Row],[fin mois]],Tab_Calculs[[#This Row],[Date_livraison]]))</f>
        <v>#VALUE!</v>
      </c>
      <c r="N270" s="231" t="str">
        <f ca="1">IFERROR(Tab_Calculs[[#This Row],[Ratio_jour_après_livr]]+Tab_Calculs[[#This Row],[Ratio_jour_avant_livr]]+Tab_Calculs[[#This Row],[ratio_avant_debut]],"")</f>
        <v/>
      </c>
      <c r="O270" t="e">
        <f ca="1">INDEX(INDIRECT(CONCATENATE("Tab_",Tab_Calculs[[#This Row],[Colonne1]])),Tab_Calculs[[#This Row],[index_date_livraison]]-1,7)*(MAX(Tab_Calculs[[#This Row],[Début periode livraison]],Tab_Calculs[[#This Row],[Début mois]])-Tab_Calculs[[#This Row],[Début mois]])</f>
        <v>#VALUE!</v>
      </c>
      <c r="P270" t="e">
        <f ca="1">INDEX(INDIRECT(CONCATENATE("Tab_",Tab_Calculs[[#This Row],[Colonne1]])),Tab_Calculs[[#This Row],[index_date_livraison]],7)*(1+MIN(Tab_Calculs[[#This Row],[Date_livraison]],Tab_Calculs[[#This Row],[fin mois]])-MAX(Tab_Calculs[[#This Row],[Début mois]],Tab_Calculs[[#This Row],[Début periode livraison]]))</f>
        <v>#NUM!</v>
      </c>
      <c r="Q270" t="e">
        <f ca="1">INDEX(INDIRECT(CONCATENATE("Tab_",Tab_Calculs[[#This Row],[Colonne1]])),Tab_Calculs[[#This Row],[index_date_livraison]]+1,7)*(Tab_Calculs[[#This Row],[fin mois]]-MIN(Tab_Calculs[[#This Row],[fin mois]],Tab_Calculs[[#This Row],[Date_livraison]]))</f>
        <v>#VALUE!</v>
      </c>
      <c r="R270" t="e">
        <f ca="1">Tab_Calculs[[#This Row],[Ratio_Cout_après_livr]]+Tab_Calculs[[#This Row],[Ratio_Cout_avant_livr]]+Tab_Calculs[[#This Row],[Ratio_Cout_avant_debut]]</f>
        <v>#VALUE!</v>
      </c>
      <c r="S270" t="str">
        <f ca="1">IFERROR(N270*VLOOKUP(Tab_Calculs[[#This Row],[Colonne1]],Controle_des_données!$B$7:$G$14,6,FALSE),"")</f>
        <v/>
      </c>
      <c r="T270" t="str">
        <f ca="1">IF(Tab_Calculs[[#This Row],[Combustible ]]="Electricité (kWh)",Tab_Calculs[[#This Row],[Conso_mois_kWh]]*2.3,Tab_Calculs[[#This Row],[Conso_mois_kWh]])</f>
        <v/>
      </c>
      <c r="U270" t="str">
        <f ca="1">IFERROR(N270*VLOOKUP(Tab_Calculs[[#This Row],[Colonne1]],Controle_des_données!$B$7:$H$14,7,FALSE),"")</f>
        <v/>
      </c>
      <c r="V270">
        <f ca="1">IFERROR(Tab_Calculs[[#This Row],[Cout_mois]]/Tab_Calculs[[#This Row],[Conso_mois_kWh]],0)</f>
        <v>0</v>
      </c>
      <c r="W270" t="str">
        <f>T(VLOOKUP(Tab_Calculs[[#This Row],[Compteur]],Site!$B$33:$G$40,3,FALSE))</f>
        <v/>
      </c>
      <c r="X270" t="str">
        <f>T(VLOOKUP(Tab_Calculs[[#This Row],[Compteur]],Site!$B$33:$G$40,4,FALSE))</f>
        <v/>
      </c>
      <c r="Y270" t="str">
        <f>T(VLOOKUP(Tab_Calculs[[#This Row],[Compteur]],Site!$B$33:$G$40,5,FALSE))</f>
        <v/>
      </c>
      <c r="Z270" t="str">
        <f>T(VLOOKUP(Tab_Calculs[[#This Row],[Compteur]],Site!$B$33:$G$40,6,FALSE))</f>
        <v/>
      </c>
      <c r="AA270">
        <f>IFERROR(GETPIVOTDATA("DJU(chauffagiste)",BDD_DJU!$P$13,"annee",Tab_Calculs[[#This Row],[ANNEE]],"mois_numero",Tab_Calculs[[#This Row],[MOIS]]),0)</f>
        <v>181.1</v>
      </c>
    </row>
    <row r="271" spans="1:27" x14ac:dyDescent="0.25">
      <c r="A271" s="3">
        <f>DATE(Tab_Calculs[[#This Row],[ANNEE]],Tab_Calculs[[#This Row],[MOIS]],1)</f>
        <v>42309</v>
      </c>
      <c r="B271" s="3">
        <f>EDATE(Tab_Calculs[[#This Row],[Début mois]],1)-1</f>
        <v>42338</v>
      </c>
      <c r="C271">
        <v>11</v>
      </c>
      <c r="D271">
        <f t="shared" si="7"/>
        <v>2015</v>
      </c>
      <c r="E271" t="s">
        <v>81</v>
      </c>
      <c r="F271" t="str">
        <f>SUBSTITUTE(Tab_Calculs[[#This Row],[Compteur]]," ","_")</f>
        <v>Compteur_2</v>
      </c>
      <c r="G271" t="str">
        <f>T(INDEX(Site!$B$33:$G$40, MATCH(Tab_Calculs[[#This Row],[Compteur]], Site!$B$33:$B$40,0),2))</f>
        <v/>
      </c>
      <c r="H271" s="3">
        <f t="array" aca="1" ref="H271" ca="1">MIN(IF(INDIRECT(CONCATENATE(Tab_Calculs[[#This Row],[Colonne1]],"!$B$2:$B$243"))&gt;=Calculs_Consos!$A271,INDIRECT(CONCATENATE(Tab_Calculs[[#This Row],[Colonne1]],"!$B$2:$B$243"))))</f>
        <v>0</v>
      </c>
      <c r="I271" s="3" t="e">
        <f ca="1">INDEX(INDIRECT(CONCATENATE("Tab_",Tab_Calculs[[#This Row],[Colonne1]])),Tab_Calculs[[#This Row],[index_date_livraison]],1)</f>
        <v>#NUM!</v>
      </c>
      <c r="J271">
        <f ca="1">MATCH(Tab_Calculs[[#This Row],[Date_livraison]],INDIRECT(CONCATENATE("Tab_",Tab_Calculs[[#This Row],[Colonne1]],"[Fin de période]")),0)</f>
        <v>1</v>
      </c>
      <c r="K271" t="e">
        <f ca="1">INDEX(INDIRECT(CONCATENATE("Tab_",Tab_Calculs[[#This Row],[Colonne1]])),Tab_Calculs[[#This Row],[index_date_livraison]]-1,6)*(MAX(Tab_Calculs[[#This Row],[Début periode livraison]],Tab_Calculs[[#This Row],[Début mois]])-Tab_Calculs[[#This Row],[Début mois]])</f>
        <v>#VALUE!</v>
      </c>
      <c r="L271" s="94" t="e">
        <f ca="1">INDEX(INDIRECT(CONCATENATE("Tab_",Tab_Calculs[[#This Row],[Colonne1]])),Tab_Calculs[[#This Row],[index_date_livraison]],6)*(1+MIN(Tab_Calculs[[#This Row],[Date_livraison]],Tab_Calculs[[#This Row],[fin mois]])-MAX(Tab_Calculs[[#This Row],[Début mois]],Tab_Calculs[[#This Row],[Début periode livraison]]))</f>
        <v>#NUM!</v>
      </c>
      <c r="M271" s="94" t="e">
        <f ca="1">INDEX(INDIRECT(CONCATENATE("Tab_",Tab_Calculs[[#This Row],[Colonne1]])),Tab_Calculs[[#This Row],[index_date_livraison]]+1,6)*(Tab_Calculs[[#This Row],[fin mois]]-MIN(Tab_Calculs[[#This Row],[fin mois]],Tab_Calculs[[#This Row],[Date_livraison]]))</f>
        <v>#VALUE!</v>
      </c>
      <c r="N271" s="231" t="str">
        <f ca="1">IFERROR(Tab_Calculs[[#This Row],[Ratio_jour_après_livr]]+Tab_Calculs[[#This Row],[Ratio_jour_avant_livr]]+Tab_Calculs[[#This Row],[ratio_avant_debut]],"")</f>
        <v/>
      </c>
      <c r="O271" t="e">
        <f ca="1">INDEX(INDIRECT(CONCATENATE("Tab_",Tab_Calculs[[#This Row],[Colonne1]])),Tab_Calculs[[#This Row],[index_date_livraison]]-1,7)*(MAX(Tab_Calculs[[#This Row],[Début periode livraison]],Tab_Calculs[[#This Row],[Début mois]])-Tab_Calculs[[#This Row],[Début mois]])</f>
        <v>#VALUE!</v>
      </c>
      <c r="P271" t="e">
        <f ca="1">INDEX(INDIRECT(CONCATENATE("Tab_",Tab_Calculs[[#This Row],[Colonne1]])),Tab_Calculs[[#This Row],[index_date_livraison]],7)*(1+MIN(Tab_Calculs[[#This Row],[Date_livraison]],Tab_Calculs[[#This Row],[fin mois]])-MAX(Tab_Calculs[[#This Row],[Début mois]],Tab_Calculs[[#This Row],[Début periode livraison]]))</f>
        <v>#NUM!</v>
      </c>
      <c r="Q271" t="e">
        <f ca="1">INDEX(INDIRECT(CONCATENATE("Tab_",Tab_Calculs[[#This Row],[Colonne1]])),Tab_Calculs[[#This Row],[index_date_livraison]]+1,7)*(Tab_Calculs[[#This Row],[fin mois]]-MIN(Tab_Calculs[[#This Row],[fin mois]],Tab_Calculs[[#This Row],[Date_livraison]]))</f>
        <v>#VALUE!</v>
      </c>
      <c r="R271" t="e">
        <f ca="1">Tab_Calculs[[#This Row],[Ratio_Cout_après_livr]]+Tab_Calculs[[#This Row],[Ratio_Cout_avant_livr]]+Tab_Calculs[[#This Row],[Ratio_Cout_avant_debut]]</f>
        <v>#VALUE!</v>
      </c>
      <c r="S271" t="str">
        <f ca="1">IFERROR(N271*VLOOKUP(Tab_Calculs[[#This Row],[Colonne1]],Controle_des_données!$B$7:$G$14,6,FALSE),"")</f>
        <v/>
      </c>
      <c r="T271" t="str">
        <f ca="1">IF(Tab_Calculs[[#This Row],[Combustible ]]="Electricité (kWh)",Tab_Calculs[[#This Row],[Conso_mois_kWh]]*2.3,Tab_Calculs[[#This Row],[Conso_mois_kWh]])</f>
        <v/>
      </c>
      <c r="U271" t="str">
        <f ca="1">IFERROR(N271*VLOOKUP(Tab_Calculs[[#This Row],[Colonne1]],Controle_des_données!$B$7:$H$14,7,FALSE),"")</f>
        <v/>
      </c>
      <c r="V271">
        <f ca="1">IFERROR(Tab_Calculs[[#This Row],[Cout_mois]]/Tab_Calculs[[#This Row],[Conso_mois_kWh]],0)</f>
        <v>0</v>
      </c>
      <c r="W271" t="str">
        <f>T(VLOOKUP(Tab_Calculs[[#This Row],[Compteur]],Site!$B$33:$G$40,3,FALSE))</f>
        <v/>
      </c>
      <c r="X271" t="str">
        <f>T(VLOOKUP(Tab_Calculs[[#This Row],[Compteur]],Site!$B$33:$G$40,4,FALSE))</f>
        <v/>
      </c>
      <c r="Y271" t="str">
        <f>T(VLOOKUP(Tab_Calculs[[#This Row],[Compteur]],Site!$B$33:$G$40,5,FALSE))</f>
        <v/>
      </c>
      <c r="Z271" t="str">
        <f>T(VLOOKUP(Tab_Calculs[[#This Row],[Compteur]],Site!$B$33:$G$40,6,FALSE))</f>
        <v/>
      </c>
      <c r="AA271">
        <f>IFERROR(GETPIVOTDATA("DJU(chauffagiste)",BDD_DJU!$P$13,"annee",Tab_Calculs[[#This Row],[ANNEE]],"mois_numero",Tab_Calculs[[#This Row],[MOIS]]),0)</f>
        <v>191.1</v>
      </c>
    </row>
    <row r="272" spans="1:27" x14ac:dyDescent="0.25">
      <c r="A272" s="3">
        <f>DATE(Tab_Calculs[[#This Row],[ANNEE]],Tab_Calculs[[#This Row],[MOIS]],1)</f>
        <v>42339</v>
      </c>
      <c r="B272" s="3">
        <f>EDATE(Tab_Calculs[[#This Row],[Début mois]],1)-1</f>
        <v>42369</v>
      </c>
      <c r="C272">
        <v>12</v>
      </c>
      <c r="D272">
        <f t="shared" si="7"/>
        <v>2015</v>
      </c>
      <c r="E272" t="s">
        <v>81</v>
      </c>
      <c r="F272" t="str">
        <f>SUBSTITUTE(Tab_Calculs[[#This Row],[Compteur]]," ","_")</f>
        <v>Compteur_2</v>
      </c>
      <c r="G272" t="str">
        <f>T(INDEX(Site!$B$33:$G$40, MATCH(Tab_Calculs[[#This Row],[Compteur]], Site!$B$33:$B$40,0),2))</f>
        <v/>
      </c>
      <c r="H272" s="3">
        <f t="array" aca="1" ref="H272" ca="1">MIN(IF(INDIRECT(CONCATENATE(Tab_Calculs[[#This Row],[Colonne1]],"!$B$2:$B$243"))&gt;=Calculs_Consos!$A272,INDIRECT(CONCATENATE(Tab_Calculs[[#This Row],[Colonne1]],"!$B$2:$B$243"))))</f>
        <v>0</v>
      </c>
      <c r="I272" s="3" t="e">
        <f ca="1">INDEX(INDIRECT(CONCATENATE("Tab_",Tab_Calculs[[#This Row],[Colonne1]])),Tab_Calculs[[#This Row],[index_date_livraison]],1)</f>
        <v>#NUM!</v>
      </c>
      <c r="J272">
        <f ca="1">MATCH(Tab_Calculs[[#This Row],[Date_livraison]],INDIRECT(CONCATENATE("Tab_",Tab_Calculs[[#This Row],[Colonne1]],"[Fin de période]")),0)</f>
        <v>1</v>
      </c>
      <c r="K272" t="e">
        <f ca="1">INDEX(INDIRECT(CONCATENATE("Tab_",Tab_Calculs[[#This Row],[Colonne1]])),Tab_Calculs[[#This Row],[index_date_livraison]]-1,6)*(MAX(Tab_Calculs[[#This Row],[Début periode livraison]],Tab_Calculs[[#This Row],[Début mois]])-Tab_Calculs[[#This Row],[Début mois]])</f>
        <v>#VALUE!</v>
      </c>
      <c r="L272" s="94" t="e">
        <f ca="1">INDEX(INDIRECT(CONCATENATE("Tab_",Tab_Calculs[[#This Row],[Colonne1]])),Tab_Calculs[[#This Row],[index_date_livraison]],6)*(1+MIN(Tab_Calculs[[#This Row],[Date_livraison]],Tab_Calculs[[#This Row],[fin mois]])-MAX(Tab_Calculs[[#This Row],[Début mois]],Tab_Calculs[[#This Row],[Début periode livraison]]))</f>
        <v>#NUM!</v>
      </c>
      <c r="M272" s="94" t="e">
        <f ca="1">INDEX(INDIRECT(CONCATENATE("Tab_",Tab_Calculs[[#This Row],[Colonne1]])),Tab_Calculs[[#This Row],[index_date_livraison]]+1,6)*(Tab_Calculs[[#This Row],[fin mois]]-MIN(Tab_Calculs[[#This Row],[fin mois]],Tab_Calculs[[#This Row],[Date_livraison]]))</f>
        <v>#VALUE!</v>
      </c>
      <c r="N272" s="231" t="str">
        <f ca="1">IFERROR(Tab_Calculs[[#This Row],[Ratio_jour_après_livr]]+Tab_Calculs[[#This Row],[Ratio_jour_avant_livr]]+Tab_Calculs[[#This Row],[ratio_avant_debut]],"")</f>
        <v/>
      </c>
      <c r="O272" t="e">
        <f ca="1">INDEX(INDIRECT(CONCATENATE("Tab_",Tab_Calculs[[#This Row],[Colonne1]])),Tab_Calculs[[#This Row],[index_date_livraison]]-1,7)*(MAX(Tab_Calculs[[#This Row],[Début periode livraison]],Tab_Calculs[[#This Row],[Début mois]])-Tab_Calculs[[#This Row],[Début mois]])</f>
        <v>#VALUE!</v>
      </c>
      <c r="P272" t="e">
        <f ca="1">INDEX(INDIRECT(CONCATENATE("Tab_",Tab_Calculs[[#This Row],[Colonne1]])),Tab_Calculs[[#This Row],[index_date_livraison]],7)*(1+MIN(Tab_Calculs[[#This Row],[Date_livraison]],Tab_Calculs[[#This Row],[fin mois]])-MAX(Tab_Calculs[[#This Row],[Début mois]],Tab_Calculs[[#This Row],[Début periode livraison]]))</f>
        <v>#NUM!</v>
      </c>
      <c r="Q272" t="e">
        <f ca="1">INDEX(INDIRECT(CONCATENATE("Tab_",Tab_Calculs[[#This Row],[Colonne1]])),Tab_Calculs[[#This Row],[index_date_livraison]]+1,7)*(Tab_Calculs[[#This Row],[fin mois]]-MIN(Tab_Calculs[[#This Row],[fin mois]],Tab_Calculs[[#This Row],[Date_livraison]]))</f>
        <v>#VALUE!</v>
      </c>
      <c r="R272" t="e">
        <f ca="1">Tab_Calculs[[#This Row],[Ratio_Cout_après_livr]]+Tab_Calculs[[#This Row],[Ratio_Cout_avant_livr]]+Tab_Calculs[[#This Row],[Ratio_Cout_avant_debut]]</f>
        <v>#VALUE!</v>
      </c>
      <c r="S272" t="str">
        <f ca="1">IFERROR(N272*VLOOKUP(Tab_Calculs[[#This Row],[Colonne1]],Controle_des_données!$B$7:$G$14,6,FALSE),"")</f>
        <v/>
      </c>
      <c r="T272" t="str">
        <f ca="1">IF(Tab_Calculs[[#This Row],[Combustible ]]="Electricité (kWh)",Tab_Calculs[[#This Row],[Conso_mois_kWh]]*2.3,Tab_Calculs[[#This Row],[Conso_mois_kWh]])</f>
        <v/>
      </c>
      <c r="U272" t="str">
        <f ca="1">IFERROR(N272*VLOOKUP(Tab_Calculs[[#This Row],[Colonne1]],Controle_des_données!$B$7:$H$14,7,FALSE),"")</f>
        <v/>
      </c>
      <c r="V272">
        <f ca="1">IFERROR(Tab_Calculs[[#This Row],[Cout_mois]]/Tab_Calculs[[#This Row],[Conso_mois_kWh]],0)</f>
        <v>0</v>
      </c>
      <c r="W272" t="str">
        <f>T(VLOOKUP(Tab_Calculs[[#This Row],[Compteur]],Site!$B$33:$G$40,3,FALSE))</f>
        <v/>
      </c>
      <c r="X272" t="str">
        <f>T(VLOOKUP(Tab_Calculs[[#This Row],[Compteur]],Site!$B$33:$G$40,4,FALSE))</f>
        <v/>
      </c>
      <c r="Y272" t="str">
        <f>T(VLOOKUP(Tab_Calculs[[#This Row],[Compteur]],Site!$B$33:$G$40,5,FALSE))</f>
        <v/>
      </c>
      <c r="Z272" t="str">
        <f>T(VLOOKUP(Tab_Calculs[[#This Row],[Compteur]],Site!$B$33:$G$40,6,FALSE))</f>
        <v/>
      </c>
      <c r="AA272">
        <f>IFERROR(GETPIVOTDATA("DJU(chauffagiste)",BDD_DJU!$P$13,"annee",Tab_Calculs[[#This Row],[ANNEE]],"mois_numero",Tab_Calculs[[#This Row],[MOIS]]),0)</f>
        <v>258.5</v>
      </c>
    </row>
    <row r="273" spans="1:27" x14ac:dyDescent="0.25">
      <c r="A273" s="3">
        <f>DATE(Tab_Calculs[[#This Row],[ANNEE]],Tab_Calculs[[#This Row],[MOIS]],1)</f>
        <v>42370</v>
      </c>
      <c r="B273" s="3">
        <f>EDATE(Tab_Calculs[[#This Row],[Début mois]],1)-1</f>
        <v>42400</v>
      </c>
      <c r="C273">
        <f>C261</f>
        <v>1</v>
      </c>
      <c r="D273">
        <f t="shared" si="7"/>
        <v>2016</v>
      </c>
      <c r="E273" t="s">
        <v>81</v>
      </c>
      <c r="F273" t="str">
        <f>SUBSTITUTE(Tab_Calculs[[#This Row],[Compteur]]," ","_")</f>
        <v>Compteur_2</v>
      </c>
      <c r="G273" t="str">
        <f>T(INDEX(Site!$B$33:$G$40, MATCH(Tab_Calculs[[#This Row],[Compteur]], Site!$B$33:$B$40,0),2))</f>
        <v/>
      </c>
      <c r="H273" s="3">
        <f t="array" aca="1" ref="H273" ca="1">MIN(IF(INDIRECT(CONCATENATE(Tab_Calculs[[#This Row],[Colonne1]],"!$B$2:$B$243"))&gt;=Calculs_Consos!$A273,INDIRECT(CONCATENATE(Tab_Calculs[[#This Row],[Colonne1]],"!$B$2:$B$243"))))</f>
        <v>0</v>
      </c>
      <c r="I273" s="3" t="e">
        <f ca="1">INDEX(INDIRECT(CONCATENATE("Tab_",Tab_Calculs[[#This Row],[Colonne1]])),Tab_Calculs[[#This Row],[index_date_livraison]],1)</f>
        <v>#NUM!</v>
      </c>
      <c r="J273">
        <f ca="1">MATCH(Tab_Calculs[[#This Row],[Date_livraison]],INDIRECT(CONCATENATE("Tab_",Tab_Calculs[[#This Row],[Colonne1]],"[Fin de période]")),0)</f>
        <v>1</v>
      </c>
      <c r="K273" t="e">
        <f ca="1">INDEX(INDIRECT(CONCATENATE("Tab_",Tab_Calculs[[#This Row],[Colonne1]])),Tab_Calculs[[#This Row],[index_date_livraison]]-1,6)*(MAX(Tab_Calculs[[#This Row],[Début periode livraison]],Tab_Calculs[[#This Row],[Début mois]])-Tab_Calculs[[#This Row],[Début mois]])</f>
        <v>#VALUE!</v>
      </c>
      <c r="L273" s="94" t="e">
        <f ca="1">INDEX(INDIRECT(CONCATENATE("Tab_",Tab_Calculs[[#This Row],[Colonne1]])),Tab_Calculs[[#This Row],[index_date_livraison]],6)*(1+MIN(Tab_Calculs[[#This Row],[Date_livraison]],Tab_Calculs[[#This Row],[fin mois]])-MAX(Tab_Calculs[[#This Row],[Début mois]],Tab_Calculs[[#This Row],[Début periode livraison]]))</f>
        <v>#NUM!</v>
      </c>
      <c r="M273" s="94" t="e">
        <f ca="1">INDEX(INDIRECT(CONCATENATE("Tab_",Tab_Calculs[[#This Row],[Colonne1]])),Tab_Calculs[[#This Row],[index_date_livraison]]+1,6)*(Tab_Calculs[[#This Row],[fin mois]]-MIN(Tab_Calculs[[#This Row],[fin mois]],Tab_Calculs[[#This Row],[Date_livraison]]))</f>
        <v>#VALUE!</v>
      </c>
      <c r="N273" s="231" t="str">
        <f ca="1">IFERROR(Tab_Calculs[[#This Row],[Ratio_jour_après_livr]]+Tab_Calculs[[#This Row],[Ratio_jour_avant_livr]]+Tab_Calculs[[#This Row],[ratio_avant_debut]],"")</f>
        <v/>
      </c>
      <c r="O273" t="e">
        <f ca="1">INDEX(INDIRECT(CONCATENATE("Tab_",Tab_Calculs[[#This Row],[Colonne1]])),Tab_Calculs[[#This Row],[index_date_livraison]]-1,7)*(MAX(Tab_Calculs[[#This Row],[Début periode livraison]],Tab_Calculs[[#This Row],[Début mois]])-Tab_Calculs[[#This Row],[Début mois]])</f>
        <v>#VALUE!</v>
      </c>
      <c r="P273" t="e">
        <f ca="1">INDEX(INDIRECT(CONCATENATE("Tab_",Tab_Calculs[[#This Row],[Colonne1]])),Tab_Calculs[[#This Row],[index_date_livraison]],7)*(1+MIN(Tab_Calculs[[#This Row],[Date_livraison]],Tab_Calculs[[#This Row],[fin mois]])-MAX(Tab_Calculs[[#This Row],[Début mois]],Tab_Calculs[[#This Row],[Début periode livraison]]))</f>
        <v>#NUM!</v>
      </c>
      <c r="Q273" t="e">
        <f ca="1">INDEX(INDIRECT(CONCATENATE("Tab_",Tab_Calculs[[#This Row],[Colonne1]])),Tab_Calculs[[#This Row],[index_date_livraison]]+1,7)*(Tab_Calculs[[#This Row],[fin mois]]-MIN(Tab_Calculs[[#This Row],[fin mois]],Tab_Calculs[[#This Row],[Date_livraison]]))</f>
        <v>#VALUE!</v>
      </c>
      <c r="R273" t="e">
        <f ca="1">Tab_Calculs[[#This Row],[Ratio_Cout_après_livr]]+Tab_Calculs[[#This Row],[Ratio_Cout_avant_livr]]+Tab_Calculs[[#This Row],[Ratio_Cout_avant_debut]]</f>
        <v>#VALUE!</v>
      </c>
      <c r="S273" t="str">
        <f ca="1">IFERROR(N273*VLOOKUP(Tab_Calculs[[#This Row],[Colonne1]],Controle_des_données!$B$7:$G$14,6,FALSE),"")</f>
        <v/>
      </c>
      <c r="T273" t="str">
        <f ca="1">IF(Tab_Calculs[[#This Row],[Combustible ]]="Electricité (kWh)",Tab_Calculs[[#This Row],[Conso_mois_kWh]]*2.3,Tab_Calculs[[#This Row],[Conso_mois_kWh]])</f>
        <v/>
      </c>
      <c r="U273" t="str">
        <f ca="1">IFERROR(N273*VLOOKUP(Tab_Calculs[[#This Row],[Colonne1]],Controle_des_données!$B$7:$H$14,7,FALSE),"")</f>
        <v/>
      </c>
      <c r="V273">
        <f ca="1">IFERROR(Tab_Calculs[[#This Row],[Cout_mois]]/Tab_Calculs[[#This Row],[Conso_mois_kWh]],0)</f>
        <v>0</v>
      </c>
      <c r="W273" t="str">
        <f>T(VLOOKUP(Tab_Calculs[[#This Row],[Compteur]],Site!$B$33:$G$40,3,FALSE))</f>
        <v/>
      </c>
      <c r="X273" t="str">
        <f>T(VLOOKUP(Tab_Calculs[[#This Row],[Compteur]],Site!$B$33:$G$40,4,FALSE))</f>
        <v/>
      </c>
      <c r="Y273" t="str">
        <f>T(VLOOKUP(Tab_Calculs[[#This Row],[Compteur]],Site!$B$33:$G$40,5,FALSE))</f>
        <v/>
      </c>
      <c r="Z273" t="str">
        <f>T(VLOOKUP(Tab_Calculs[[#This Row],[Compteur]],Site!$B$33:$G$40,6,FALSE))</f>
        <v/>
      </c>
      <c r="AA273">
        <f>IFERROR(GETPIVOTDATA("DJU(chauffagiste)",BDD_DJU!$P$13,"annee",Tab_Calculs[[#This Row],[ANNEE]],"mois_numero",Tab_Calculs[[#This Row],[MOIS]]),0)</f>
        <v>348.4</v>
      </c>
    </row>
    <row r="274" spans="1:27" x14ac:dyDescent="0.25">
      <c r="A274" s="3">
        <f>DATE(Tab_Calculs[[#This Row],[ANNEE]],Tab_Calculs[[#This Row],[MOIS]],1)</f>
        <v>42401</v>
      </c>
      <c r="B274" s="3">
        <f>EDATE(Tab_Calculs[[#This Row],[Début mois]],1)-1</f>
        <v>42429</v>
      </c>
      <c r="C274">
        <f t="shared" ref="C274:C337" si="8">C262</f>
        <v>2</v>
      </c>
      <c r="D274">
        <f t="shared" si="7"/>
        <v>2016</v>
      </c>
      <c r="E274" t="s">
        <v>81</v>
      </c>
      <c r="F274" t="str">
        <f>SUBSTITUTE(Tab_Calculs[[#This Row],[Compteur]]," ","_")</f>
        <v>Compteur_2</v>
      </c>
      <c r="G274" t="str">
        <f>T(INDEX(Site!$B$33:$G$40, MATCH(Tab_Calculs[[#This Row],[Compteur]], Site!$B$33:$B$40,0),2))</f>
        <v/>
      </c>
      <c r="H274" s="3">
        <f t="array" aca="1" ref="H274" ca="1">MIN(IF(INDIRECT(CONCATENATE(Tab_Calculs[[#This Row],[Colonne1]],"!$B$2:$B$243"))&gt;=Calculs_Consos!$A274,INDIRECT(CONCATENATE(Tab_Calculs[[#This Row],[Colonne1]],"!$B$2:$B$243"))))</f>
        <v>0</v>
      </c>
      <c r="I274" s="3" t="e">
        <f ca="1">INDEX(INDIRECT(CONCATENATE("Tab_",Tab_Calculs[[#This Row],[Colonne1]])),Tab_Calculs[[#This Row],[index_date_livraison]],1)</f>
        <v>#NUM!</v>
      </c>
      <c r="J274">
        <f ca="1">MATCH(Tab_Calculs[[#This Row],[Date_livraison]],INDIRECT(CONCATENATE("Tab_",Tab_Calculs[[#This Row],[Colonne1]],"[Fin de période]")),0)</f>
        <v>1</v>
      </c>
      <c r="K274" t="e">
        <f ca="1">INDEX(INDIRECT(CONCATENATE("Tab_",Tab_Calculs[[#This Row],[Colonne1]])),Tab_Calculs[[#This Row],[index_date_livraison]]-1,6)*(MAX(Tab_Calculs[[#This Row],[Début periode livraison]],Tab_Calculs[[#This Row],[Début mois]])-Tab_Calculs[[#This Row],[Début mois]])</f>
        <v>#VALUE!</v>
      </c>
      <c r="L274" s="94" t="e">
        <f ca="1">INDEX(INDIRECT(CONCATENATE("Tab_",Tab_Calculs[[#This Row],[Colonne1]])),Tab_Calculs[[#This Row],[index_date_livraison]],6)*(1+MIN(Tab_Calculs[[#This Row],[Date_livraison]],Tab_Calculs[[#This Row],[fin mois]])-MAX(Tab_Calculs[[#This Row],[Début mois]],Tab_Calculs[[#This Row],[Début periode livraison]]))</f>
        <v>#NUM!</v>
      </c>
      <c r="M274" s="94" t="e">
        <f ca="1">INDEX(INDIRECT(CONCATENATE("Tab_",Tab_Calculs[[#This Row],[Colonne1]])),Tab_Calculs[[#This Row],[index_date_livraison]]+1,6)*(Tab_Calculs[[#This Row],[fin mois]]-MIN(Tab_Calculs[[#This Row],[fin mois]],Tab_Calculs[[#This Row],[Date_livraison]]))</f>
        <v>#VALUE!</v>
      </c>
      <c r="N274" s="231" t="str">
        <f ca="1">IFERROR(Tab_Calculs[[#This Row],[Ratio_jour_après_livr]]+Tab_Calculs[[#This Row],[Ratio_jour_avant_livr]]+Tab_Calculs[[#This Row],[ratio_avant_debut]],"")</f>
        <v/>
      </c>
      <c r="O274" t="e">
        <f ca="1">INDEX(INDIRECT(CONCATENATE("Tab_",Tab_Calculs[[#This Row],[Colonne1]])),Tab_Calculs[[#This Row],[index_date_livraison]]-1,7)*(MAX(Tab_Calculs[[#This Row],[Début periode livraison]],Tab_Calculs[[#This Row],[Début mois]])-Tab_Calculs[[#This Row],[Début mois]])</f>
        <v>#VALUE!</v>
      </c>
      <c r="P274" t="e">
        <f ca="1">INDEX(INDIRECT(CONCATENATE("Tab_",Tab_Calculs[[#This Row],[Colonne1]])),Tab_Calculs[[#This Row],[index_date_livraison]],7)*(1+MIN(Tab_Calculs[[#This Row],[Date_livraison]],Tab_Calculs[[#This Row],[fin mois]])-MAX(Tab_Calculs[[#This Row],[Début mois]],Tab_Calculs[[#This Row],[Début periode livraison]]))</f>
        <v>#NUM!</v>
      </c>
      <c r="Q274" t="e">
        <f ca="1">INDEX(INDIRECT(CONCATENATE("Tab_",Tab_Calculs[[#This Row],[Colonne1]])),Tab_Calculs[[#This Row],[index_date_livraison]]+1,7)*(Tab_Calculs[[#This Row],[fin mois]]-MIN(Tab_Calculs[[#This Row],[fin mois]],Tab_Calculs[[#This Row],[Date_livraison]]))</f>
        <v>#VALUE!</v>
      </c>
      <c r="R274" t="e">
        <f ca="1">Tab_Calculs[[#This Row],[Ratio_Cout_après_livr]]+Tab_Calculs[[#This Row],[Ratio_Cout_avant_livr]]+Tab_Calculs[[#This Row],[Ratio_Cout_avant_debut]]</f>
        <v>#VALUE!</v>
      </c>
      <c r="S274" t="str">
        <f ca="1">IFERROR(N274*VLOOKUP(Tab_Calculs[[#This Row],[Colonne1]],Controle_des_données!$B$7:$G$14,6,FALSE),"")</f>
        <v/>
      </c>
      <c r="T274" t="str">
        <f ca="1">IF(Tab_Calculs[[#This Row],[Combustible ]]="Electricité (kWh)",Tab_Calculs[[#This Row],[Conso_mois_kWh]]*2.3,Tab_Calculs[[#This Row],[Conso_mois_kWh]])</f>
        <v/>
      </c>
      <c r="U274" t="str">
        <f ca="1">IFERROR(N274*VLOOKUP(Tab_Calculs[[#This Row],[Colonne1]],Controle_des_données!$B$7:$H$14,7,FALSE),"")</f>
        <v/>
      </c>
      <c r="V274">
        <f ca="1">IFERROR(Tab_Calculs[[#This Row],[Cout_mois]]/Tab_Calculs[[#This Row],[Conso_mois_kWh]],0)</f>
        <v>0</v>
      </c>
      <c r="W274" t="str">
        <f>T(VLOOKUP(Tab_Calculs[[#This Row],[Compteur]],Site!$B$33:$G$40,3,FALSE))</f>
        <v/>
      </c>
      <c r="X274" t="str">
        <f>T(VLOOKUP(Tab_Calculs[[#This Row],[Compteur]],Site!$B$33:$G$40,4,FALSE))</f>
        <v/>
      </c>
      <c r="Y274" t="str">
        <f>T(VLOOKUP(Tab_Calculs[[#This Row],[Compteur]],Site!$B$33:$G$40,5,FALSE))</f>
        <v/>
      </c>
      <c r="Z274" t="str">
        <f>T(VLOOKUP(Tab_Calculs[[#This Row],[Compteur]],Site!$B$33:$G$40,6,FALSE))</f>
        <v/>
      </c>
      <c r="AA274">
        <f>IFERROR(GETPIVOTDATA("DJU(chauffagiste)",BDD_DJU!$P$13,"annee",Tab_Calculs[[#This Row],[ANNEE]],"mois_numero",Tab_Calculs[[#This Row],[MOIS]]),0)</f>
        <v>321.2</v>
      </c>
    </row>
    <row r="275" spans="1:27" x14ac:dyDescent="0.25">
      <c r="A275" s="3">
        <f>DATE(Tab_Calculs[[#This Row],[ANNEE]],Tab_Calculs[[#This Row],[MOIS]],1)</f>
        <v>42430</v>
      </c>
      <c r="B275" s="3">
        <f>EDATE(Tab_Calculs[[#This Row],[Début mois]],1)-1</f>
        <v>42460</v>
      </c>
      <c r="C275">
        <f t="shared" si="8"/>
        <v>3</v>
      </c>
      <c r="D275">
        <f t="shared" si="7"/>
        <v>2016</v>
      </c>
      <c r="E275" t="s">
        <v>81</v>
      </c>
      <c r="F275" t="str">
        <f>SUBSTITUTE(Tab_Calculs[[#This Row],[Compteur]]," ","_")</f>
        <v>Compteur_2</v>
      </c>
      <c r="G275" t="str">
        <f>T(INDEX(Site!$B$33:$G$40, MATCH(Tab_Calculs[[#This Row],[Compteur]], Site!$B$33:$B$40,0),2))</f>
        <v/>
      </c>
      <c r="H275" s="3">
        <f t="array" aca="1" ref="H275" ca="1">MIN(IF(INDIRECT(CONCATENATE(Tab_Calculs[[#This Row],[Colonne1]],"!$B$2:$B$243"))&gt;=Calculs_Consos!$A275,INDIRECT(CONCATENATE(Tab_Calculs[[#This Row],[Colonne1]],"!$B$2:$B$243"))))</f>
        <v>0</v>
      </c>
      <c r="I275" s="3" t="e">
        <f ca="1">INDEX(INDIRECT(CONCATENATE("Tab_",Tab_Calculs[[#This Row],[Colonne1]])),Tab_Calculs[[#This Row],[index_date_livraison]],1)</f>
        <v>#NUM!</v>
      </c>
      <c r="J275">
        <f ca="1">MATCH(Tab_Calculs[[#This Row],[Date_livraison]],INDIRECT(CONCATENATE("Tab_",Tab_Calculs[[#This Row],[Colonne1]],"[Fin de période]")),0)</f>
        <v>1</v>
      </c>
      <c r="K275" t="e">
        <f ca="1">INDEX(INDIRECT(CONCATENATE("Tab_",Tab_Calculs[[#This Row],[Colonne1]])),Tab_Calculs[[#This Row],[index_date_livraison]]-1,6)*(MAX(Tab_Calculs[[#This Row],[Début periode livraison]],Tab_Calculs[[#This Row],[Début mois]])-Tab_Calculs[[#This Row],[Début mois]])</f>
        <v>#VALUE!</v>
      </c>
      <c r="L275" s="94" t="e">
        <f ca="1">INDEX(INDIRECT(CONCATENATE("Tab_",Tab_Calculs[[#This Row],[Colonne1]])),Tab_Calculs[[#This Row],[index_date_livraison]],6)*(1+MIN(Tab_Calculs[[#This Row],[Date_livraison]],Tab_Calculs[[#This Row],[fin mois]])-MAX(Tab_Calculs[[#This Row],[Début mois]],Tab_Calculs[[#This Row],[Début periode livraison]]))</f>
        <v>#NUM!</v>
      </c>
      <c r="M275" s="94" t="e">
        <f ca="1">INDEX(INDIRECT(CONCATENATE("Tab_",Tab_Calculs[[#This Row],[Colonne1]])),Tab_Calculs[[#This Row],[index_date_livraison]]+1,6)*(Tab_Calculs[[#This Row],[fin mois]]-MIN(Tab_Calculs[[#This Row],[fin mois]],Tab_Calculs[[#This Row],[Date_livraison]]))</f>
        <v>#VALUE!</v>
      </c>
      <c r="N275" s="231" t="str">
        <f ca="1">IFERROR(Tab_Calculs[[#This Row],[Ratio_jour_après_livr]]+Tab_Calculs[[#This Row],[Ratio_jour_avant_livr]]+Tab_Calculs[[#This Row],[ratio_avant_debut]],"")</f>
        <v/>
      </c>
      <c r="O275" t="e">
        <f ca="1">INDEX(INDIRECT(CONCATENATE("Tab_",Tab_Calculs[[#This Row],[Colonne1]])),Tab_Calculs[[#This Row],[index_date_livraison]]-1,7)*(MAX(Tab_Calculs[[#This Row],[Début periode livraison]],Tab_Calculs[[#This Row],[Début mois]])-Tab_Calculs[[#This Row],[Début mois]])</f>
        <v>#VALUE!</v>
      </c>
      <c r="P275" t="e">
        <f ca="1">INDEX(INDIRECT(CONCATENATE("Tab_",Tab_Calculs[[#This Row],[Colonne1]])),Tab_Calculs[[#This Row],[index_date_livraison]],7)*(1+MIN(Tab_Calculs[[#This Row],[Date_livraison]],Tab_Calculs[[#This Row],[fin mois]])-MAX(Tab_Calculs[[#This Row],[Début mois]],Tab_Calculs[[#This Row],[Début periode livraison]]))</f>
        <v>#NUM!</v>
      </c>
      <c r="Q275" t="e">
        <f ca="1">INDEX(INDIRECT(CONCATENATE("Tab_",Tab_Calculs[[#This Row],[Colonne1]])),Tab_Calculs[[#This Row],[index_date_livraison]]+1,7)*(Tab_Calculs[[#This Row],[fin mois]]-MIN(Tab_Calculs[[#This Row],[fin mois]],Tab_Calculs[[#This Row],[Date_livraison]]))</f>
        <v>#VALUE!</v>
      </c>
      <c r="R275" t="e">
        <f ca="1">Tab_Calculs[[#This Row],[Ratio_Cout_après_livr]]+Tab_Calculs[[#This Row],[Ratio_Cout_avant_livr]]+Tab_Calculs[[#This Row],[Ratio_Cout_avant_debut]]</f>
        <v>#VALUE!</v>
      </c>
      <c r="S275" t="str">
        <f ca="1">IFERROR(N275*VLOOKUP(Tab_Calculs[[#This Row],[Colonne1]],Controle_des_données!$B$7:$G$14,6,FALSE),"")</f>
        <v/>
      </c>
      <c r="T275" t="str">
        <f ca="1">IF(Tab_Calculs[[#This Row],[Combustible ]]="Electricité (kWh)",Tab_Calculs[[#This Row],[Conso_mois_kWh]]*2.3,Tab_Calculs[[#This Row],[Conso_mois_kWh]])</f>
        <v/>
      </c>
      <c r="U275" t="str">
        <f ca="1">IFERROR(N275*VLOOKUP(Tab_Calculs[[#This Row],[Colonne1]],Controle_des_données!$B$7:$H$14,7,FALSE),"")</f>
        <v/>
      </c>
      <c r="V275">
        <f ca="1">IFERROR(Tab_Calculs[[#This Row],[Cout_mois]]/Tab_Calculs[[#This Row],[Conso_mois_kWh]],0)</f>
        <v>0</v>
      </c>
      <c r="W275" t="str">
        <f>T(VLOOKUP(Tab_Calculs[[#This Row],[Compteur]],Site!$B$33:$G$40,3,FALSE))</f>
        <v/>
      </c>
      <c r="X275" t="str">
        <f>T(VLOOKUP(Tab_Calculs[[#This Row],[Compteur]],Site!$B$33:$G$40,4,FALSE))</f>
        <v/>
      </c>
      <c r="Y275" t="str">
        <f>T(VLOOKUP(Tab_Calculs[[#This Row],[Compteur]],Site!$B$33:$G$40,5,FALSE))</f>
        <v/>
      </c>
      <c r="Z275" t="str">
        <f>T(VLOOKUP(Tab_Calculs[[#This Row],[Compteur]],Site!$B$33:$G$40,6,FALSE))</f>
        <v/>
      </c>
      <c r="AA275">
        <f>IFERROR(GETPIVOTDATA("DJU(chauffagiste)",BDD_DJU!$P$13,"annee",Tab_Calculs[[#This Row],[ANNEE]],"mois_numero",Tab_Calculs[[#This Row],[MOIS]]),0)</f>
        <v>328.3</v>
      </c>
    </row>
    <row r="276" spans="1:27" x14ac:dyDescent="0.25">
      <c r="A276" s="3">
        <f>DATE(Tab_Calculs[[#This Row],[ANNEE]],Tab_Calculs[[#This Row],[MOIS]],1)</f>
        <v>42461</v>
      </c>
      <c r="B276" s="3">
        <f>EDATE(Tab_Calculs[[#This Row],[Début mois]],1)-1</f>
        <v>42490</v>
      </c>
      <c r="C276">
        <f t="shared" si="8"/>
        <v>4</v>
      </c>
      <c r="D276">
        <f t="shared" si="7"/>
        <v>2016</v>
      </c>
      <c r="E276" t="s">
        <v>81</v>
      </c>
      <c r="F276" t="str">
        <f>SUBSTITUTE(Tab_Calculs[[#This Row],[Compteur]]," ","_")</f>
        <v>Compteur_2</v>
      </c>
      <c r="G276" t="str">
        <f>T(INDEX(Site!$B$33:$G$40, MATCH(Tab_Calculs[[#This Row],[Compteur]], Site!$B$33:$B$40,0),2))</f>
        <v/>
      </c>
      <c r="H276" s="3">
        <f t="array" aca="1" ref="H276" ca="1">MIN(IF(INDIRECT(CONCATENATE(Tab_Calculs[[#This Row],[Colonne1]],"!$B$2:$B$243"))&gt;=Calculs_Consos!$A276,INDIRECT(CONCATENATE(Tab_Calculs[[#This Row],[Colonne1]],"!$B$2:$B$243"))))</f>
        <v>0</v>
      </c>
      <c r="I276" s="3" t="e">
        <f ca="1">INDEX(INDIRECT(CONCATENATE("Tab_",Tab_Calculs[[#This Row],[Colonne1]])),Tab_Calculs[[#This Row],[index_date_livraison]],1)</f>
        <v>#NUM!</v>
      </c>
      <c r="J276">
        <f ca="1">MATCH(Tab_Calculs[[#This Row],[Date_livraison]],INDIRECT(CONCATENATE("Tab_",Tab_Calculs[[#This Row],[Colonne1]],"[Fin de période]")),0)</f>
        <v>1</v>
      </c>
      <c r="K276" t="e">
        <f ca="1">INDEX(INDIRECT(CONCATENATE("Tab_",Tab_Calculs[[#This Row],[Colonne1]])),Tab_Calculs[[#This Row],[index_date_livraison]]-1,6)*(MAX(Tab_Calculs[[#This Row],[Début periode livraison]],Tab_Calculs[[#This Row],[Début mois]])-Tab_Calculs[[#This Row],[Début mois]])</f>
        <v>#VALUE!</v>
      </c>
      <c r="L276" s="94" t="e">
        <f ca="1">INDEX(INDIRECT(CONCATENATE("Tab_",Tab_Calculs[[#This Row],[Colonne1]])),Tab_Calculs[[#This Row],[index_date_livraison]],6)*(1+MIN(Tab_Calculs[[#This Row],[Date_livraison]],Tab_Calculs[[#This Row],[fin mois]])-MAX(Tab_Calculs[[#This Row],[Début mois]],Tab_Calculs[[#This Row],[Début periode livraison]]))</f>
        <v>#NUM!</v>
      </c>
      <c r="M276" s="94" t="e">
        <f ca="1">INDEX(INDIRECT(CONCATENATE("Tab_",Tab_Calculs[[#This Row],[Colonne1]])),Tab_Calculs[[#This Row],[index_date_livraison]]+1,6)*(Tab_Calculs[[#This Row],[fin mois]]-MIN(Tab_Calculs[[#This Row],[fin mois]],Tab_Calculs[[#This Row],[Date_livraison]]))</f>
        <v>#VALUE!</v>
      </c>
      <c r="N276" s="231" t="str">
        <f ca="1">IFERROR(Tab_Calculs[[#This Row],[Ratio_jour_après_livr]]+Tab_Calculs[[#This Row],[Ratio_jour_avant_livr]]+Tab_Calculs[[#This Row],[ratio_avant_debut]],"")</f>
        <v/>
      </c>
      <c r="O276" t="e">
        <f ca="1">INDEX(INDIRECT(CONCATENATE("Tab_",Tab_Calculs[[#This Row],[Colonne1]])),Tab_Calculs[[#This Row],[index_date_livraison]]-1,7)*(MAX(Tab_Calculs[[#This Row],[Début periode livraison]],Tab_Calculs[[#This Row],[Début mois]])-Tab_Calculs[[#This Row],[Début mois]])</f>
        <v>#VALUE!</v>
      </c>
      <c r="P276" t="e">
        <f ca="1">INDEX(INDIRECT(CONCATENATE("Tab_",Tab_Calculs[[#This Row],[Colonne1]])),Tab_Calculs[[#This Row],[index_date_livraison]],7)*(1+MIN(Tab_Calculs[[#This Row],[Date_livraison]],Tab_Calculs[[#This Row],[fin mois]])-MAX(Tab_Calculs[[#This Row],[Début mois]],Tab_Calculs[[#This Row],[Début periode livraison]]))</f>
        <v>#NUM!</v>
      </c>
      <c r="Q276" t="e">
        <f ca="1">INDEX(INDIRECT(CONCATENATE("Tab_",Tab_Calculs[[#This Row],[Colonne1]])),Tab_Calculs[[#This Row],[index_date_livraison]]+1,7)*(Tab_Calculs[[#This Row],[fin mois]]-MIN(Tab_Calculs[[#This Row],[fin mois]],Tab_Calculs[[#This Row],[Date_livraison]]))</f>
        <v>#VALUE!</v>
      </c>
      <c r="R276" t="e">
        <f ca="1">Tab_Calculs[[#This Row],[Ratio_Cout_après_livr]]+Tab_Calculs[[#This Row],[Ratio_Cout_avant_livr]]+Tab_Calculs[[#This Row],[Ratio_Cout_avant_debut]]</f>
        <v>#VALUE!</v>
      </c>
      <c r="S276" t="str">
        <f ca="1">IFERROR(N276*VLOOKUP(Tab_Calculs[[#This Row],[Colonne1]],Controle_des_données!$B$7:$G$14,6,FALSE),"")</f>
        <v/>
      </c>
      <c r="T276" t="str">
        <f ca="1">IF(Tab_Calculs[[#This Row],[Combustible ]]="Electricité (kWh)",Tab_Calculs[[#This Row],[Conso_mois_kWh]]*2.3,Tab_Calculs[[#This Row],[Conso_mois_kWh]])</f>
        <v/>
      </c>
      <c r="U276" t="str">
        <f ca="1">IFERROR(N276*VLOOKUP(Tab_Calculs[[#This Row],[Colonne1]],Controle_des_données!$B$7:$H$14,7,FALSE),"")</f>
        <v/>
      </c>
      <c r="V276">
        <f ca="1">IFERROR(Tab_Calculs[[#This Row],[Cout_mois]]/Tab_Calculs[[#This Row],[Conso_mois_kWh]],0)</f>
        <v>0</v>
      </c>
      <c r="W276" t="str">
        <f>T(VLOOKUP(Tab_Calculs[[#This Row],[Compteur]],Site!$B$33:$G$40,3,FALSE))</f>
        <v/>
      </c>
      <c r="X276" t="str">
        <f>T(VLOOKUP(Tab_Calculs[[#This Row],[Compteur]],Site!$B$33:$G$40,4,FALSE))</f>
        <v/>
      </c>
      <c r="Y276" t="str">
        <f>T(VLOOKUP(Tab_Calculs[[#This Row],[Compteur]],Site!$B$33:$G$40,5,FALSE))</f>
        <v/>
      </c>
      <c r="Z276" t="str">
        <f>T(VLOOKUP(Tab_Calculs[[#This Row],[Compteur]],Site!$B$33:$G$40,6,FALSE))</f>
        <v/>
      </c>
      <c r="AA276">
        <f>IFERROR(GETPIVOTDATA("DJU(chauffagiste)",BDD_DJU!$P$13,"annee",Tab_Calculs[[#This Row],[ANNEE]],"mois_numero",Tab_Calculs[[#This Row],[MOIS]]),0)</f>
        <v>252.6</v>
      </c>
    </row>
    <row r="277" spans="1:27" x14ac:dyDescent="0.25">
      <c r="A277" s="3">
        <f>DATE(Tab_Calculs[[#This Row],[ANNEE]],Tab_Calculs[[#This Row],[MOIS]],1)</f>
        <v>42491</v>
      </c>
      <c r="B277" s="3">
        <f>EDATE(Tab_Calculs[[#This Row],[Début mois]],1)-1</f>
        <v>42521</v>
      </c>
      <c r="C277">
        <f t="shared" si="8"/>
        <v>5</v>
      </c>
      <c r="D277">
        <f t="shared" si="7"/>
        <v>2016</v>
      </c>
      <c r="E277" t="s">
        <v>81</v>
      </c>
      <c r="F277" t="str">
        <f>SUBSTITUTE(Tab_Calculs[[#This Row],[Compteur]]," ","_")</f>
        <v>Compteur_2</v>
      </c>
      <c r="G277" t="str">
        <f>T(INDEX(Site!$B$33:$G$40, MATCH(Tab_Calculs[[#This Row],[Compteur]], Site!$B$33:$B$40,0),2))</f>
        <v/>
      </c>
      <c r="H277" s="3">
        <f t="array" aca="1" ref="H277" ca="1">MIN(IF(INDIRECT(CONCATENATE(Tab_Calculs[[#This Row],[Colonne1]],"!$B$2:$B$243"))&gt;=Calculs_Consos!$A277,INDIRECT(CONCATENATE(Tab_Calculs[[#This Row],[Colonne1]],"!$B$2:$B$243"))))</f>
        <v>0</v>
      </c>
      <c r="I277" s="3" t="e">
        <f ca="1">INDEX(INDIRECT(CONCATENATE("Tab_",Tab_Calculs[[#This Row],[Colonne1]])),Tab_Calculs[[#This Row],[index_date_livraison]],1)</f>
        <v>#NUM!</v>
      </c>
      <c r="J277">
        <f ca="1">MATCH(Tab_Calculs[[#This Row],[Date_livraison]],INDIRECT(CONCATENATE("Tab_",Tab_Calculs[[#This Row],[Colonne1]],"[Fin de période]")),0)</f>
        <v>1</v>
      </c>
      <c r="K277" t="e">
        <f ca="1">INDEX(INDIRECT(CONCATENATE("Tab_",Tab_Calculs[[#This Row],[Colonne1]])),Tab_Calculs[[#This Row],[index_date_livraison]]-1,6)*(MAX(Tab_Calculs[[#This Row],[Début periode livraison]],Tab_Calculs[[#This Row],[Début mois]])-Tab_Calculs[[#This Row],[Début mois]])</f>
        <v>#VALUE!</v>
      </c>
      <c r="L277" s="94" t="e">
        <f ca="1">INDEX(INDIRECT(CONCATENATE("Tab_",Tab_Calculs[[#This Row],[Colonne1]])),Tab_Calculs[[#This Row],[index_date_livraison]],6)*(1+MIN(Tab_Calculs[[#This Row],[Date_livraison]],Tab_Calculs[[#This Row],[fin mois]])-MAX(Tab_Calculs[[#This Row],[Début mois]],Tab_Calculs[[#This Row],[Début periode livraison]]))</f>
        <v>#NUM!</v>
      </c>
      <c r="M277" s="94" t="e">
        <f ca="1">INDEX(INDIRECT(CONCATENATE("Tab_",Tab_Calculs[[#This Row],[Colonne1]])),Tab_Calculs[[#This Row],[index_date_livraison]]+1,6)*(Tab_Calculs[[#This Row],[fin mois]]-MIN(Tab_Calculs[[#This Row],[fin mois]],Tab_Calculs[[#This Row],[Date_livraison]]))</f>
        <v>#VALUE!</v>
      </c>
      <c r="N277" s="231" t="str">
        <f ca="1">IFERROR(Tab_Calculs[[#This Row],[Ratio_jour_après_livr]]+Tab_Calculs[[#This Row],[Ratio_jour_avant_livr]]+Tab_Calculs[[#This Row],[ratio_avant_debut]],"")</f>
        <v/>
      </c>
      <c r="O277" t="e">
        <f ca="1">INDEX(INDIRECT(CONCATENATE("Tab_",Tab_Calculs[[#This Row],[Colonne1]])),Tab_Calculs[[#This Row],[index_date_livraison]]-1,7)*(MAX(Tab_Calculs[[#This Row],[Début periode livraison]],Tab_Calculs[[#This Row],[Début mois]])-Tab_Calculs[[#This Row],[Début mois]])</f>
        <v>#VALUE!</v>
      </c>
      <c r="P277" t="e">
        <f ca="1">INDEX(INDIRECT(CONCATENATE("Tab_",Tab_Calculs[[#This Row],[Colonne1]])),Tab_Calculs[[#This Row],[index_date_livraison]],7)*(1+MIN(Tab_Calculs[[#This Row],[Date_livraison]],Tab_Calculs[[#This Row],[fin mois]])-MAX(Tab_Calculs[[#This Row],[Début mois]],Tab_Calculs[[#This Row],[Début periode livraison]]))</f>
        <v>#NUM!</v>
      </c>
      <c r="Q277" t="e">
        <f ca="1">INDEX(INDIRECT(CONCATENATE("Tab_",Tab_Calculs[[#This Row],[Colonne1]])),Tab_Calculs[[#This Row],[index_date_livraison]]+1,7)*(Tab_Calculs[[#This Row],[fin mois]]-MIN(Tab_Calculs[[#This Row],[fin mois]],Tab_Calculs[[#This Row],[Date_livraison]]))</f>
        <v>#VALUE!</v>
      </c>
      <c r="R277" t="e">
        <f ca="1">Tab_Calculs[[#This Row],[Ratio_Cout_après_livr]]+Tab_Calculs[[#This Row],[Ratio_Cout_avant_livr]]+Tab_Calculs[[#This Row],[Ratio_Cout_avant_debut]]</f>
        <v>#VALUE!</v>
      </c>
      <c r="S277" t="str">
        <f ca="1">IFERROR(N277*VLOOKUP(Tab_Calculs[[#This Row],[Colonne1]],Controle_des_données!$B$7:$G$14,6,FALSE),"")</f>
        <v/>
      </c>
      <c r="T277" t="str">
        <f ca="1">IF(Tab_Calculs[[#This Row],[Combustible ]]="Electricité (kWh)",Tab_Calculs[[#This Row],[Conso_mois_kWh]]*2.3,Tab_Calculs[[#This Row],[Conso_mois_kWh]])</f>
        <v/>
      </c>
      <c r="U277" t="str">
        <f ca="1">IFERROR(N277*VLOOKUP(Tab_Calculs[[#This Row],[Colonne1]],Controle_des_données!$B$7:$H$14,7,FALSE),"")</f>
        <v/>
      </c>
      <c r="V277">
        <f ca="1">IFERROR(Tab_Calculs[[#This Row],[Cout_mois]]/Tab_Calculs[[#This Row],[Conso_mois_kWh]],0)</f>
        <v>0</v>
      </c>
      <c r="W277" t="str">
        <f>T(VLOOKUP(Tab_Calculs[[#This Row],[Compteur]],Site!$B$33:$G$40,3,FALSE))</f>
        <v/>
      </c>
      <c r="X277" t="str">
        <f>T(VLOOKUP(Tab_Calculs[[#This Row],[Compteur]],Site!$B$33:$G$40,4,FALSE))</f>
        <v/>
      </c>
      <c r="Y277" t="str">
        <f>T(VLOOKUP(Tab_Calculs[[#This Row],[Compteur]],Site!$B$33:$G$40,5,FALSE))</f>
        <v/>
      </c>
      <c r="Z277" t="str">
        <f>T(VLOOKUP(Tab_Calculs[[#This Row],[Compteur]],Site!$B$33:$G$40,6,FALSE))</f>
        <v/>
      </c>
      <c r="AA277">
        <f>IFERROR(GETPIVOTDATA("DJU(chauffagiste)",BDD_DJU!$P$13,"annee",Tab_Calculs[[#This Row],[ANNEE]],"mois_numero",Tab_Calculs[[#This Row],[MOIS]]),0)</f>
        <v>124.3</v>
      </c>
    </row>
    <row r="278" spans="1:27" x14ac:dyDescent="0.25">
      <c r="A278" s="3">
        <f>DATE(Tab_Calculs[[#This Row],[ANNEE]],Tab_Calculs[[#This Row],[MOIS]],1)</f>
        <v>42522</v>
      </c>
      <c r="B278" s="3">
        <f>EDATE(Tab_Calculs[[#This Row],[Début mois]],1)-1</f>
        <v>42551</v>
      </c>
      <c r="C278">
        <f t="shared" si="8"/>
        <v>6</v>
      </c>
      <c r="D278">
        <f t="shared" si="7"/>
        <v>2016</v>
      </c>
      <c r="E278" t="s">
        <v>81</v>
      </c>
      <c r="F278" t="str">
        <f>SUBSTITUTE(Tab_Calculs[[#This Row],[Compteur]]," ","_")</f>
        <v>Compteur_2</v>
      </c>
      <c r="G278" t="str">
        <f>T(INDEX(Site!$B$33:$G$40, MATCH(Tab_Calculs[[#This Row],[Compteur]], Site!$B$33:$B$40,0),2))</f>
        <v/>
      </c>
      <c r="H278" s="3">
        <f t="array" aca="1" ref="H278" ca="1">MIN(IF(INDIRECT(CONCATENATE(Tab_Calculs[[#This Row],[Colonne1]],"!$B$2:$B$243"))&gt;=Calculs_Consos!$A278,INDIRECT(CONCATENATE(Tab_Calculs[[#This Row],[Colonne1]],"!$B$2:$B$243"))))</f>
        <v>0</v>
      </c>
      <c r="I278" s="3" t="e">
        <f ca="1">INDEX(INDIRECT(CONCATENATE("Tab_",Tab_Calculs[[#This Row],[Colonne1]])),Tab_Calculs[[#This Row],[index_date_livraison]],1)</f>
        <v>#NUM!</v>
      </c>
      <c r="J278">
        <f ca="1">MATCH(Tab_Calculs[[#This Row],[Date_livraison]],INDIRECT(CONCATENATE("Tab_",Tab_Calculs[[#This Row],[Colonne1]],"[Fin de période]")),0)</f>
        <v>1</v>
      </c>
      <c r="K278" t="e">
        <f ca="1">INDEX(INDIRECT(CONCATENATE("Tab_",Tab_Calculs[[#This Row],[Colonne1]])),Tab_Calculs[[#This Row],[index_date_livraison]]-1,6)*(MAX(Tab_Calculs[[#This Row],[Début periode livraison]],Tab_Calculs[[#This Row],[Début mois]])-Tab_Calculs[[#This Row],[Début mois]])</f>
        <v>#VALUE!</v>
      </c>
      <c r="L278" s="94" t="e">
        <f ca="1">INDEX(INDIRECT(CONCATENATE("Tab_",Tab_Calculs[[#This Row],[Colonne1]])),Tab_Calculs[[#This Row],[index_date_livraison]],6)*(1+MIN(Tab_Calculs[[#This Row],[Date_livraison]],Tab_Calculs[[#This Row],[fin mois]])-MAX(Tab_Calculs[[#This Row],[Début mois]],Tab_Calculs[[#This Row],[Début periode livraison]]))</f>
        <v>#NUM!</v>
      </c>
      <c r="M278" s="94" t="e">
        <f ca="1">INDEX(INDIRECT(CONCATENATE("Tab_",Tab_Calculs[[#This Row],[Colonne1]])),Tab_Calculs[[#This Row],[index_date_livraison]]+1,6)*(Tab_Calculs[[#This Row],[fin mois]]-MIN(Tab_Calculs[[#This Row],[fin mois]],Tab_Calculs[[#This Row],[Date_livraison]]))</f>
        <v>#VALUE!</v>
      </c>
      <c r="N278" s="231" t="str">
        <f ca="1">IFERROR(Tab_Calculs[[#This Row],[Ratio_jour_après_livr]]+Tab_Calculs[[#This Row],[Ratio_jour_avant_livr]]+Tab_Calculs[[#This Row],[ratio_avant_debut]],"")</f>
        <v/>
      </c>
      <c r="O278" t="e">
        <f ca="1">INDEX(INDIRECT(CONCATENATE("Tab_",Tab_Calculs[[#This Row],[Colonne1]])),Tab_Calculs[[#This Row],[index_date_livraison]]-1,7)*(MAX(Tab_Calculs[[#This Row],[Début periode livraison]],Tab_Calculs[[#This Row],[Début mois]])-Tab_Calculs[[#This Row],[Début mois]])</f>
        <v>#VALUE!</v>
      </c>
      <c r="P278" t="e">
        <f ca="1">INDEX(INDIRECT(CONCATENATE("Tab_",Tab_Calculs[[#This Row],[Colonne1]])),Tab_Calculs[[#This Row],[index_date_livraison]],7)*(1+MIN(Tab_Calculs[[#This Row],[Date_livraison]],Tab_Calculs[[#This Row],[fin mois]])-MAX(Tab_Calculs[[#This Row],[Début mois]],Tab_Calculs[[#This Row],[Début periode livraison]]))</f>
        <v>#NUM!</v>
      </c>
      <c r="Q278" t="e">
        <f ca="1">INDEX(INDIRECT(CONCATENATE("Tab_",Tab_Calculs[[#This Row],[Colonne1]])),Tab_Calculs[[#This Row],[index_date_livraison]]+1,7)*(Tab_Calculs[[#This Row],[fin mois]]-MIN(Tab_Calculs[[#This Row],[fin mois]],Tab_Calculs[[#This Row],[Date_livraison]]))</f>
        <v>#VALUE!</v>
      </c>
      <c r="R278" t="e">
        <f ca="1">Tab_Calculs[[#This Row],[Ratio_Cout_après_livr]]+Tab_Calculs[[#This Row],[Ratio_Cout_avant_livr]]+Tab_Calculs[[#This Row],[Ratio_Cout_avant_debut]]</f>
        <v>#VALUE!</v>
      </c>
      <c r="S278" t="str">
        <f ca="1">IFERROR(N278*VLOOKUP(Tab_Calculs[[#This Row],[Colonne1]],Controle_des_données!$B$7:$G$14,6,FALSE),"")</f>
        <v/>
      </c>
      <c r="T278" t="str">
        <f ca="1">IF(Tab_Calculs[[#This Row],[Combustible ]]="Electricité (kWh)",Tab_Calculs[[#This Row],[Conso_mois_kWh]]*2.3,Tab_Calculs[[#This Row],[Conso_mois_kWh]])</f>
        <v/>
      </c>
      <c r="U278" t="str">
        <f ca="1">IFERROR(N278*VLOOKUP(Tab_Calculs[[#This Row],[Colonne1]],Controle_des_données!$B$7:$H$14,7,FALSE),"")</f>
        <v/>
      </c>
      <c r="V278">
        <f ca="1">IFERROR(Tab_Calculs[[#This Row],[Cout_mois]]/Tab_Calculs[[#This Row],[Conso_mois_kWh]],0)</f>
        <v>0</v>
      </c>
      <c r="W278" t="str">
        <f>T(VLOOKUP(Tab_Calculs[[#This Row],[Compteur]],Site!$B$33:$G$40,3,FALSE))</f>
        <v/>
      </c>
      <c r="X278" t="str">
        <f>T(VLOOKUP(Tab_Calculs[[#This Row],[Compteur]],Site!$B$33:$G$40,4,FALSE))</f>
        <v/>
      </c>
      <c r="Y278" t="str">
        <f>T(VLOOKUP(Tab_Calculs[[#This Row],[Compteur]],Site!$B$33:$G$40,5,FALSE))</f>
        <v/>
      </c>
      <c r="Z278" t="str">
        <f>T(VLOOKUP(Tab_Calculs[[#This Row],[Compteur]],Site!$B$33:$G$40,6,FALSE))</f>
        <v/>
      </c>
      <c r="AA278">
        <f>IFERROR(GETPIVOTDATA("DJU(chauffagiste)",BDD_DJU!$P$13,"annee",Tab_Calculs[[#This Row],[ANNEE]],"mois_numero",Tab_Calculs[[#This Row],[MOIS]]),0)</f>
        <v>47.7</v>
      </c>
    </row>
    <row r="279" spans="1:27" x14ac:dyDescent="0.25">
      <c r="A279" s="3">
        <f>DATE(Tab_Calculs[[#This Row],[ANNEE]],Tab_Calculs[[#This Row],[MOIS]],1)</f>
        <v>42552</v>
      </c>
      <c r="B279" s="3">
        <f>EDATE(Tab_Calculs[[#This Row],[Début mois]],1)-1</f>
        <v>42582</v>
      </c>
      <c r="C279">
        <f t="shared" si="8"/>
        <v>7</v>
      </c>
      <c r="D279">
        <f t="shared" si="7"/>
        <v>2016</v>
      </c>
      <c r="E279" t="s">
        <v>81</v>
      </c>
      <c r="F279" t="str">
        <f>SUBSTITUTE(Tab_Calculs[[#This Row],[Compteur]]," ","_")</f>
        <v>Compteur_2</v>
      </c>
      <c r="G279" t="str">
        <f>T(INDEX(Site!$B$33:$G$40, MATCH(Tab_Calculs[[#This Row],[Compteur]], Site!$B$33:$B$40,0),2))</f>
        <v/>
      </c>
      <c r="H279" s="3">
        <f t="array" aca="1" ref="H279" ca="1">MIN(IF(INDIRECT(CONCATENATE(Tab_Calculs[[#This Row],[Colonne1]],"!$B$2:$B$243"))&gt;=Calculs_Consos!$A279,INDIRECT(CONCATENATE(Tab_Calculs[[#This Row],[Colonne1]],"!$B$2:$B$243"))))</f>
        <v>0</v>
      </c>
      <c r="I279" s="3" t="e">
        <f ca="1">INDEX(INDIRECT(CONCATENATE("Tab_",Tab_Calculs[[#This Row],[Colonne1]])),Tab_Calculs[[#This Row],[index_date_livraison]],1)</f>
        <v>#NUM!</v>
      </c>
      <c r="J279">
        <f ca="1">MATCH(Tab_Calculs[[#This Row],[Date_livraison]],INDIRECT(CONCATENATE("Tab_",Tab_Calculs[[#This Row],[Colonne1]],"[Fin de période]")),0)</f>
        <v>1</v>
      </c>
      <c r="K279" t="e">
        <f ca="1">INDEX(INDIRECT(CONCATENATE("Tab_",Tab_Calculs[[#This Row],[Colonne1]])),Tab_Calculs[[#This Row],[index_date_livraison]]-1,6)*(MAX(Tab_Calculs[[#This Row],[Début periode livraison]],Tab_Calculs[[#This Row],[Début mois]])-Tab_Calculs[[#This Row],[Début mois]])</f>
        <v>#VALUE!</v>
      </c>
      <c r="L279" s="94" t="e">
        <f ca="1">INDEX(INDIRECT(CONCATENATE("Tab_",Tab_Calculs[[#This Row],[Colonne1]])),Tab_Calculs[[#This Row],[index_date_livraison]],6)*(1+MIN(Tab_Calculs[[#This Row],[Date_livraison]],Tab_Calculs[[#This Row],[fin mois]])-MAX(Tab_Calculs[[#This Row],[Début mois]],Tab_Calculs[[#This Row],[Début periode livraison]]))</f>
        <v>#NUM!</v>
      </c>
      <c r="M279" s="94" t="e">
        <f ca="1">INDEX(INDIRECT(CONCATENATE("Tab_",Tab_Calculs[[#This Row],[Colonne1]])),Tab_Calculs[[#This Row],[index_date_livraison]]+1,6)*(Tab_Calculs[[#This Row],[fin mois]]-MIN(Tab_Calculs[[#This Row],[fin mois]],Tab_Calculs[[#This Row],[Date_livraison]]))</f>
        <v>#VALUE!</v>
      </c>
      <c r="N279" s="231" t="str">
        <f ca="1">IFERROR(Tab_Calculs[[#This Row],[Ratio_jour_après_livr]]+Tab_Calculs[[#This Row],[Ratio_jour_avant_livr]]+Tab_Calculs[[#This Row],[ratio_avant_debut]],"")</f>
        <v/>
      </c>
      <c r="O279" t="e">
        <f ca="1">INDEX(INDIRECT(CONCATENATE("Tab_",Tab_Calculs[[#This Row],[Colonne1]])),Tab_Calculs[[#This Row],[index_date_livraison]]-1,7)*(MAX(Tab_Calculs[[#This Row],[Début periode livraison]],Tab_Calculs[[#This Row],[Début mois]])-Tab_Calculs[[#This Row],[Début mois]])</f>
        <v>#VALUE!</v>
      </c>
      <c r="P279" t="e">
        <f ca="1">INDEX(INDIRECT(CONCATENATE("Tab_",Tab_Calculs[[#This Row],[Colonne1]])),Tab_Calculs[[#This Row],[index_date_livraison]],7)*(1+MIN(Tab_Calculs[[#This Row],[Date_livraison]],Tab_Calculs[[#This Row],[fin mois]])-MAX(Tab_Calculs[[#This Row],[Début mois]],Tab_Calculs[[#This Row],[Début periode livraison]]))</f>
        <v>#NUM!</v>
      </c>
      <c r="Q279" t="e">
        <f ca="1">INDEX(INDIRECT(CONCATENATE("Tab_",Tab_Calculs[[#This Row],[Colonne1]])),Tab_Calculs[[#This Row],[index_date_livraison]]+1,7)*(Tab_Calculs[[#This Row],[fin mois]]-MIN(Tab_Calculs[[#This Row],[fin mois]],Tab_Calculs[[#This Row],[Date_livraison]]))</f>
        <v>#VALUE!</v>
      </c>
      <c r="R279" t="e">
        <f ca="1">Tab_Calculs[[#This Row],[Ratio_Cout_après_livr]]+Tab_Calculs[[#This Row],[Ratio_Cout_avant_livr]]+Tab_Calculs[[#This Row],[Ratio_Cout_avant_debut]]</f>
        <v>#VALUE!</v>
      </c>
      <c r="S279" t="str">
        <f ca="1">IFERROR(N279*VLOOKUP(Tab_Calculs[[#This Row],[Colonne1]],Controle_des_données!$B$7:$G$14,6,FALSE),"")</f>
        <v/>
      </c>
      <c r="T279" t="str">
        <f ca="1">IF(Tab_Calculs[[#This Row],[Combustible ]]="Electricité (kWh)",Tab_Calculs[[#This Row],[Conso_mois_kWh]]*2.3,Tab_Calculs[[#This Row],[Conso_mois_kWh]])</f>
        <v/>
      </c>
      <c r="U279" t="str">
        <f ca="1">IFERROR(N279*VLOOKUP(Tab_Calculs[[#This Row],[Colonne1]],Controle_des_données!$B$7:$H$14,7,FALSE),"")</f>
        <v/>
      </c>
      <c r="V279">
        <f ca="1">IFERROR(Tab_Calculs[[#This Row],[Cout_mois]]/Tab_Calculs[[#This Row],[Conso_mois_kWh]],0)</f>
        <v>0</v>
      </c>
      <c r="W279" t="str">
        <f>T(VLOOKUP(Tab_Calculs[[#This Row],[Compteur]],Site!$B$33:$G$40,3,FALSE))</f>
        <v/>
      </c>
      <c r="X279" t="str">
        <f>T(VLOOKUP(Tab_Calculs[[#This Row],[Compteur]],Site!$B$33:$G$40,4,FALSE))</f>
        <v/>
      </c>
      <c r="Y279" t="str">
        <f>T(VLOOKUP(Tab_Calculs[[#This Row],[Compteur]],Site!$B$33:$G$40,5,FALSE))</f>
        <v/>
      </c>
      <c r="Z279" t="str">
        <f>T(VLOOKUP(Tab_Calculs[[#This Row],[Compteur]],Site!$B$33:$G$40,6,FALSE))</f>
        <v/>
      </c>
      <c r="AA279">
        <f>IFERROR(GETPIVOTDATA("DJU(chauffagiste)",BDD_DJU!$P$13,"annee",Tab_Calculs[[#This Row],[ANNEE]],"mois_numero",Tab_Calculs[[#This Row],[MOIS]]),0)</f>
        <v>32.299999999999997</v>
      </c>
    </row>
    <row r="280" spans="1:27" x14ac:dyDescent="0.25">
      <c r="A280" s="3">
        <f>DATE(Tab_Calculs[[#This Row],[ANNEE]],Tab_Calculs[[#This Row],[MOIS]],1)</f>
        <v>42583</v>
      </c>
      <c r="B280" s="3">
        <f>EDATE(Tab_Calculs[[#This Row],[Début mois]],1)-1</f>
        <v>42613</v>
      </c>
      <c r="C280">
        <f t="shared" si="8"/>
        <v>8</v>
      </c>
      <c r="D280">
        <f t="shared" si="7"/>
        <v>2016</v>
      </c>
      <c r="E280" t="s">
        <v>81</v>
      </c>
      <c r="F280" t="str">
        <f>SUBSTITUTE(Tab_Calculs[[#This Row],[Compteur]]," ","_")</f>
        <v>Compteur_2</v>
      </c>
      <c r="G280" t="str">
        <f>T(INDEX(Site!$B$33:$G$40, MATCH(Tab_Calculs[[#This Row],[Compteur]], Site!$B$33:$B$40,0),2))</f>
        <v/>
      </c>
      <c r="H280" s="3">
        <f t="array" aca="1" ref="H280" ca="1">MIN(IF(INDIRECT(CONCATENATE(Tab_Calculs[[#This Row],[Colonne1]],"!$B$2:$B$243"))&gt;=Calculs_Consos!$A280,INDIRECT(CONCATENATE(Tab_Calculs[[#This Row],[Colonne1]],"!$B$2:$B$243"))))</f>
        <v>0</v>
      </c>
      <c r="I280" s="3" t="e">
        <f ca="1">INDEX(INDIRECT(CONCATENATE("Tab_",Tab_Calculs[[#This Row],[Colonne1]])),Tab_Calculs[[#This Row],[index_date_livraison]],1)</f>
        <v>#NUM!</v>
      </c>
      <c r="J280">
        <f ca="1">MATCH(Tab_Calculs[[#This Row],[Date_livraison]],INDIRECT(CONCATENATE("Tab_",Tab_Calculs[[#This Row],[Colonne1]],"[Fin de période]")),0)</f>
        <v>1</v>
      </c>
      <c r="K280" t="e">
        <f ca="1">INDEX(INDIRECT(CONCATENATE("Tab_",Tab_Calculs[[#This Row],[Colonne1]])),Tab_Calculs[[#This Row],[index_date_livraison]]-1,6)*(MAX(Tab_Calculs[[#This Row],[Début periode livraison]],Tab_Calculs[[#This Row],[Début mois]])-Tab_Calculs[[#This Row],[Début mois]])</f>
        <v>#VALUE!</v>
      </c>
      <c r="L280" s="94" t="e">
        <f ca="1">INDEX(INDIRECT(CONCATENATE("Tab_",Tab_Calculs[[#This Row],[Colonne1]])),Tab_Calculs[[#This Row],[index_date_livraison]],6)*(1+MIN(Tab_Calculs[[#This Row],[Date_livraison]],Tab_Calculs[[#This Row],[fin mois]])-MAX(Tab_Calculs[[#This Row],[Début mois]],Tab_Calculs[[#This Row],[Début periode livraison]]))</f>
        <v>#NUM!</v>
      </c>
      <c r="M280" s="94" t="e">
        <f ca="1">INDEX(INDIRECT(CONCATENATE("Tab_",Tab_Calculs[[#This Row],[Colonne1]])),Tab_Calculs[[#This Row],[index_date_livraison]]+1,6)*(Tab_Calculs[[#This Row],[fin mois]]-MIN(Tab_Calculs[[#This Row],[fin mois]],Tab_Calculs[[#This Row],[Date_livraison]]))</f>
        <v>#VALUE!</v>
      </c>
      <c r="N280" s="231" t="str">
        <f ca="1">IFERROR(Tab_Calculs[[#This Row],[Ratio_jour_après_livr]]+Tab_Calculs[[#This Row],[Ratio_jour_avant_livr]]+Tab_Calculs[[#This Row],[ratio_avant_debut]],"")</f>
        <v/>
      </c>
      <c r="O280" t="e">
        <f ca="1">INDEX(INDIRECT(CONCATENATE("Tab_",Tab_Calculs[[#This Row],[Colonne1]])),Tab_Calculs[[#This Row],[index_date_livraison]]-1,7)*(MAX(Tab_Calculs[[#This Row],[Début periode livraison]],Tab_Calculs[[#This Row],[Début mois]])-Tab_Calculs[[#This Row],[Début mois]])</f>
        <v>#VALUE!</v>
      </c>
      <c r="P280" t="e">
        <f ca="1">INDEX(INDIRECT(CONCATENATE("Tab_",Tab_Calculs[[#This Row],[Colonne1]])),Tab_Calculs[[#This Row],[index_date_livraison]],7)*(1+MIN(Tab_Calculs[[#This Row],[Date_livraison]],Tab_Calculs[[#This Row],[fin mois]])-MAX(Tab_Calculs[[#This Row],[Début mois]],Tab_Calculs[[#This Row],[Début periode livraison]]))</f>
        <v>#NUM!</v>
      </c>
      <c r="Q280" t="e">
        <f ca="1">INDEX(INDIRECT(CONCATENATE("Tab_",Tab_Calculs[[#This Row],[Colonne1]])),Tab_Calculs[[#This Row],[index_date_livraison]]+1,7)*(Tab_Calculs[[#This Row],[fin mois]]-MIN(Tab_Calculs[[#This Row],[fin mois]],Tab_Calculs[[#This Row],[Date_livraison]]))</f>
        <v>#VALUE!</v>
      </c>
      <c r="R280" t="e">
        <f ca="1">Tab_Calculs[[#This Row],[Ratio_Cout_après_livr]]+Tab_Calculs[[#This Row],[Ratio_Cout_avant_livr]]+Tab_Calculs[[#This Row],[Ratio_Cout_avant_debut]]</f>
        <v>#VALUE!</v>
      </c>
      <c r="S280" t="str">
        <f ca="1">IFERROR(N280*VLOOKUP(Tab_Calculs[[#This Row],[Colonne1]],Controle_des_données!$B$7:$G$14,6,FALSE),"")</f>
        <v/>
      </c>
      <c r="T280" t="str">
        <f ca="1">IF(Tab_Calculs[[#This Row],[Combustible ]]="Electricité (kWh)",Tab_Calculs[[#This Row],[Conso_mois_kWh]]*2.3,Tab_Calculs[[#This Row],[Conso_mois_kWh]])</f>
        <v/>
      </c>
      <c r="U280" t="str">
        <f ca="1">IFERROR(N280*VLOOKUP(Tab_Calculs[[#This Row],[Colonne1]],Controle_des_données!$B$7:$H$14,7,FALSE),"")</f>
        <v/>
      </c>
      <c r="V280">
        <f ca="1">IFERROR(Tab_Calculs[[#This Row],[Cout_mois]]/Tab_Calculs[[#This Row],[Conso_mois_kWh]],0)</f>
        <v>0</v>
      </c>
      <c r="W280" t="str">
        <f>T(VLOOKUP(Tab_Calculs[[#This Row],[Compteur]],Site!$B$33:$G$40,3,FALSE))</f>
        <v/>
      </c>
      <c r="X280" t="str">
        <f>T(VLOOKUP(Tab_Calculs[[#This Row],[Compteur]],Site!$B$33:$G$40,4,FALSE))</f>
        <v/>
      </c>
      <c r="Y280" t="str">
        <f>T(VLOOKUP(Tab_Calculs[[#This Row],[Compteur]],Site!$B$33:$G$40,5,FALSE))</f>
        <v/>
      </c>
      <c r="Z280" t="str">
        <f>T(VLOOKUP(Tab_Calculs[[#This Row],[Compteur]],Site!$B$33:$G$40,6,FALSE))</f>
        <v/>
      </c>
      <c r="AA280">
        <f>IFERROR(GETPIVOTDATA("DJU(chauffagiste)",BDD_DJU!$P$13,"annee",Tab_Calculs[[#This Row],[ANNEE]],"mois_numero",Tab_Calculs[[#This Row],[MOIS]]),0)</f>
        <v>33.799999999999997</v>
      </c>
    </row>
    <row r="281" spans="1:27" x14ac:dyDescent="0.25">
      <c r="A281" s="3">
        <f>DATE(Tab_Calculs[[#This Row],[ANNEE]],Tab_Calculs[[#This Row],[MOIS]],1)</f>
        <v>42614</v>
      </c>
      <c r="B281" s="3">
        <f>EDATE(Tab_Calculs[[#This Row],[Début mois]],1)-1</f>
        <v>42643</v>
      </c>
      <c r="C281">
        <f t="shared" si="8"/>
        <v>9</v>
      </c>
      <c r="D281">
        <f t="shared" si="7"/>
        <v>2016</v>
      </c>
      <c r="E281" t="s">
        <v>81</v>
      </c>
      <c r="F281" t="str">
        <f>SUBSTITUTE(Tab_Calculs[[#This Row],[Compteur]]," ","_")</f>
        <v>Compteur_2</v>
      </c>
      <c r="G281" t="str">
        <f>T(INDEX(Site!$B$33:$G$40, MATCH(Tab_Calculs[[#This Row],[Compteur]], Site!$B$33:$B$40,0),2))</f>
        <v/>
      </c>
      <c r="H281" s="3">
        <f t="array" aca="1" ref="H281" ca="1">MIN(IF(INDIRECT(CONCATENATE(Tab_Calculs[[#This Row],[Colonne1]],"!$B$2:$B$243"))&gt;=Calculs_Consos!$A281,INDIRECT(CONCATENATE(Tab_Calculs[[#This Row],[Colonne1]],"!$B$2:$B$243"))))</f>
        <v>0</v>
      </c>
      <c r="I281" s="3" t="e">
        <f ca="1">INDEX(INDIRECT(CONCATENATE("Tab_",Tab_Calculs[[#This Row],[Colonne1]])),Tab_Calculs[[#This Row],[index_date_livraison]],1)</f>
        <v>#NUM!</v>
      </c>
      <c r="J281">
        <f ca="1">MATCH(Tab_Calculs[[#This Row],[Date_livraison]],INDIRECT(CONCATENATE("Tab_",Tab_Calculs[[#This Row],[Colonne1]],"[Fin de période]")),0)</f>
        <v>1</v>
      </c>
      <c r="K281" t="e">
        <f ca="1">INDEX(INDIRECT(CONCATENATE("Tab_",Tab_Calculs[[#This Row],[Colonne1]])),Tab_Calculs[[#This Row],[index_date_livraison]]-1,6)*(MAX(Tab_Calculs[[#This Row],[Début periode livraison]],Tab_Calculs[[#This Row],[Début mois]])-Tab_Calculs[[#This Row],[Début mois]])</f>
        <v>#VALUE!</v>
      </c>
      <c r="L281" s="94" t="e">
        <f ca="1">INDEX(INDIRECT(CONCATENATE("Tab_",Tab_Calculs[[#This Row],[Colonne1]])),Tab_Calculs[[#This Row],[index_date_livraison]],6)*(1+MIN(Tab_Calculs[[#This Row],[Date_livraison]],Tab_Calculs[[#This Row],[fin mois]])-MAX(Tab_Calculs[[#This Row],[Début mois]],Tab_Calculs[[#This Row],[Début periode livraison]]))</f>
        <v>#NUM!</v>
      </c>
      <c r="M281" s="94" t="e">
        <f ca="1">INDEX(INDIRECT(CONCATENATE("Tab_",Tab_Calculs[[#This Row],[Colonne1]])),Tab_Calculs[[#This Row],[index_date_livraison]]+1,6)*(Tab_Calculs[[#This Row],[fin mois]]-MIN(Tab_Calculs[[#This Row],[fin mois]],Tab_Calculs[[#This Row],[Date_livraison]]))</f>
        <v>#VALUE!</v>
      </c>
      <c r="N281" s="231" t="str">
        <f ca="1">IFERROR(Tab_Calculs[[#This Row],[Ratio_jour_après_livr]]+Tab_Calculs[[#This Row],[Ratio_jour_avant_livr]]+Tab_Calculs[[#This Row],[ratio_avant_debut]],"")</f>
        <v/>
      </c>
      <c r="O281" t="e">
        <f ca="1">INDEX(INDIRECT(CONCATENATE("Tab_",Tab_Calculs[[#This Row],[Colonne1]])),Tab_Calculs[[#This Row],[index_date_livraison]]-1,7)*(MAX(Tab_Calculs[[#This Row],[Début periode livraison]],Tab_Calculs[[#This Row],[Début mois]])-Tab_Calculs[[#This Row],[Début mois]])</f>
        <v>#VALUE!</v>
      </c>
      <c r="P281" t="e">
        <f ca="1">INDEX(INDIRECT(CONCATENATE("Tab_",Tab_Calculs[[#This Row],[Colonne1]])),Tab_Calculs[[#This Row],[index_date_livraison]],7)*(1+MIN(Tab_Calculs[[#This Row],[Date_livraison]],Tab_Calculs[[#This Row],[fin mois]])-MAX(Tab_Calculs[[#This Row],[Début mois]],Tab_Calculs[[#This Row],[Début periode livraison]]))</f>
        <v>#NUM!</v>
      </c>
      <c r="Q281" t="e">
        <f ca="1">INDEX(INDIRECT(CONCATENATE("Tab_",Tab_Calculs[[#This Row],[Colonne1]])),Tab_Calculs[[#This Row],[index_date_livraison]]+1,7)*(Tab_Calculs[[#This Row],[fin mois]]-MIN(Tab_Calculs[[#This Row],[fin mois]],Tab_Calculs[[#This Row],[Date_livraison]]))</f>
        <v>#VALUE!</v>
      </c>
      <c r="R281" t="e">
        <f ca="1">Tab_Calculs[[#This Row],[Ratio_Cout_après_livr]]+Tab_Calculs[[#This Row],[Ratio_Cout_avant_livr]]+Tab_Calculs[[#This Row],[Ratio_Cout_avant_debut]]</f>
        <v>#VALUE!</v>
      </c>
      <c r="S281" t="str">
        <f ca="1">IFERROR(N281*VLOOKUP(Tab_Calculs[[#This Row],[Colonne1]],Controle_des_données!$B$7:$G$14,6,FALSE),"")</f>
        <v/>
      </c>
      <c r="T281" t="str">
        <f ca="1">IF(Tab_Calculs[[#This Row],[Combustible ]]="Electricité (kWh)",Tab_Calculs[[#This Row],[Conso_mois_kWh]]*2.3,Tab_Calculs[[#This Row],[Conso_mois_kWh]])</f>
        <v/>
      </c>
      <c r="U281" t="str">
        <f ca="1">IFERROR(N281*VLOOKUP(Tab_Calculs[[#This Row],[Colonne1]],Controle_des_données!$B$7:$H$14,7,FALSE),"")</f>
        <v/>
      </c>
      <c r="V281">
        <f ca="1">IFERROR(Tab_Calculs[[#This Row],[Cout_mois]]/Tab_Calculs[[#This Row],[Conso_mois_kWh]],0)</f>
        <v>0</v>
      </c>
      <c r="W281" t="str">
        <f>T(VLOOKUP(Tab_Calculs[[#This Row],[Compteur]],Site!$B$33:$G$40,3,FALSE))</f>
        <v/>
      </c>
      <c r="X281" t="str">
        <f>T(VLOOKUP(Tab_Calculs[[#This Row],[Compteur]],Site!$B$33:$G$40,4,FALSE))</f>
        <v/>
      </c>
      <c r="Y281" t="str">
        <f>T(VLOOKUP(Tab_Calculs[[#This Row],[Compteur]],Site!$B$33:$G$40,5,FALSE))</f>
        <v/>
      </c>
      <c r="Z281" t="str">
        <f>T(VLOOKUP(Tab_Calculs[[#This Row],[Compteur]],Site!$B$33:$G$40,6,FALSE))</f>
        <v/>
      </c>
      <c r="AA281">
        <f>IFERROR(GETPIVOTDATA("DJU(chauffagiste)",BDD_DJU!$P$13,"annee",Tab_Calculs[[#This Row],[ANNEE]],"mois_numero",Tab_Calculs[[#This Row],[MOIS]]),0)</f>
        <v>43.5</v>
      </c>
    </row>
    <row r="282" spans="1:27" x14ac:dyDescent="0.25">
      <c r="A282" s="3">
        <f>DATE(Tab_Calculs[[#This Row],[ANNEE]],Tab_Calculs[[#This Row],[MOIS]],1)</f>
        <v>42644</v>
      </c>
      <c r="B282" s="3">
        <f>EDATE(Tab_Calculs[[#This Row],[Début mois]],1)-1</f>
        <v>42674</v>
      </c>
      <c r="C282">
        <f t="shared" si="8"/>
        <v>10</v>
      </c>
      <c r="D282">
        <f t="shared" si="7"/>
        <v>2016</v>
      </c>
      <c r="E282" t="s">
        <v>81</v>
      </c>
      <c r="F282" t="str">
        <f>SUBSTITUTE(Tab_Calculs[[#This Row],[Compteur]]," ","_")</f>
        <v>Compteur_2</v>
      </c>
      <c r="G282" t="str">
        <f>T(INDEX(Site!$B$33:$G$40, MATCH(Tab_Calculs[[#This Row],[Compteur]], Site!$B$33:$B$40,0),2))</f>
        <v/>
      </c>
      <c r="H282" s="3">
        <f t="array" aca="1" ref="H282" ca="1">MIN(IF(INDIRECT(CONCATENATE(Tab_Calculs[[#This Row],[Colonne1]],"!$B$2:$B$243"))&gt;=Calculs_Consos!$A282,INDIRECT(CONCATENATE(Tab_Calculs[[#This Row],[Colonne1]],"!$B$2:$B$243"))))</f>
        <v>0</v>
      </c>
      <c r="I282" s="3" t="e">
        <f ca="1">INDEX(INDIRECT(CONCATENATE("Tab_",Tab_Calculs[[#This Row],[Colonne1]])),Tab_Calculs[[#This Row],[index_date_livraison]],1)</f>
        <v>#NUM!</v>
      </c>
      <c r="J282">
        <f ca="1">MATCH(Tab_Calculs[[#This Row],[Date_livraison]],INDIRECT(CONCATENATE("Tab_",Tab_Calculs[[#This Row],[Colonne1]],"[Fin de période]")),0)</f>
        <v>1</v>
      </c>
      <c r="K282" t="e">
        <f ca="1">INDEX(INDIRECT(CONCATENATE("Tab_",Tab_Calculs[[#This Row],[Colonne1]])),Tab_Calculs[[#This Row],[index_date_livraison]]-1,6)*(MAX(Tab_Calculs[[#This Row],[Début periode livraison]],Tab_Calculs[[#This Row],[Début mois]])-Tab_Calculs[[#This Row],[Début mois]])</f>
        <v>#VALUE!</v>
      </c>
      <c r="L282" s="94" t="e">
        <f ca="1">INDEX(INDIRECT(CONCATENATE("Tab_",Tab_Calculs[[#This Row],[Colonne1]])),Tab_Calculs[[#This Row],[index_date_livraison]],6)*(1+MIN(Tab_Calculs[[#This Row],[Date_livraison]],Tab_Calculs[[#This Row],[fin mois]])-MAX(Tab_Calculs[[#This Row],[Début mois]],Tab_Calculs[[#This Row],[Début periode livraison]]))</f>
        <v>#NUM!</v>
      </c>
      <c r="M282" s="94" t="e">
        <f ca="1">INDEX(INDIRECT(CONCATENATE("Tab_",Tab_Calculs[[#This Row],[Colonne1]])),Tab_Calculs[[#This Row],[index_date_livraison]]+1,6)*(Tab_Calculs[[#This Row],[fin mois]]-MIN(Tab_Calculs[[#This Row],[fin mois]],Tab_Calculs[[#This Row],[Date_livraison]]))</f>
        <v>#VALUE!</v>
      </c>
      <c r="N282" s="231" t="str">
        <f ca="1">IFERROR(Tab_Calculs[[#This Row],[Ratio_jour_après_livr]]+Tab_Calculs[[#This Row],[Ratio_jour_avant_livr]]+Tab_Calculs[[#This Row],[ratio_avant_debut]],"")</f>
        <v/>
      </c>
      <c r="O282" t="e">
        <f ca="1">INDEX(INDIRECT(CONCATENATE("Tab_",Tab_Calculs[[#This Row],[Colonne1]])),Tab_Calculs[[#This Row],[index_date_livraison]]-1,7)*(MAX(Tab_Calculs[[#This Row],[Début periode livraison]],Tab_Calculs[[#This Row],[Début mois]])-Tab_Calculs[[#This Row],[Début mois]])</f>
        <v>#VALUE!</v>
      </c>
      <c r="P282" t="e">
        <f ca="1">INDEX(INDIRECT(CONCATENATE("Tab_",Tab_Calculs[[#This Row],[Colonne1]])),Tab_Calculs[[#This Row],[index_date_livraison]],7)*(1+MIN(Tab_Calculs[[#This Row],[Date_livraison]],Tab_Calculs[[#This Row],[fin mois]])-MAX(Tab_Calculs[[#This Row],[Début mois]],Tab_Calculs[[#This Row],[Début periode livraison]]))</f>
        <v>#NUM!</v>
      </c>
      <c r="Q282" t="e">
        <f ca="1">INDEX(INDIRECT(CONCATENATE("Tab_",Tab_Calculs[[#This Row],[Colonne1]])),Tab_Calculs[[#This Row],[index_date_livraison]]+1,7)*(Tab_Calculs[[#This Row],[fin mois]]-MIN(Tab_Calculs[[#This Row],[fin mois]],Tab_Calculs[[#This Row],[Date_livraison]]))</f>
        <v>#VALUE!</v>
      </c>
      <c r="R282" t="e">
        <f ca="1">Tab_Calculs[[#This Row],[Ratio_Cout_après_livr]]+Tab_Calculs[[#This Row],[Ratio_Cout_avant_livr]]+Tab_Calculs[[#This Row],[Ratio_Cout_avant_debut]]</f>
        <v>#VALUE!</v>
      </c>
      <c r="S282" t="str">
        <f ca="1">IFERROR(N282*VLOOKUP(Tab_Calculs[[#This Row],[Colonne1]],Controle_des_données!$B$7:$G$14,6,FALSE),"")</f>
        <v/>
      </c>
      <c r="T282" t="str">
        <f ca="1">IF(Tab_Calculs[[#This Row],[Combustible ]]="Electricité (kWh)",Tab_Calculs[[#This Row],[Conso_mois_kWh]]*2.3,Tab_Calculs[[#This Row],[Conso_mois_kWh]])</f>
        <v/>
      </c>
      <c r="U282" t="str">
        <f ca="1">IFERROR(N282*VLOOKUP(Tab_Calculs[[#This Row],[Colonne1]],Controle_des_données!$B$7:$H$14,7,FALSE),"")</f>
        <v/>
      </c>
      <c r="V282">
        <f ca="1">IFERROR(Tab_Calculs[[#This Row],[Cout_mois]]/Tab_Calculs[[#This Row],[Conso_mois_kWh]],0)</f>
        <v>0</v>
      </c>
      <c r="W282" t="str">
        <f>T(VLOOKUP(Tab_Calculs[[#This Row],[Compteur]],Site!$B$33:$G$40,3,FALSE))</f>
        <v/>
      </c>
      <c r="X282" t="str">
        <f>T(VLOOKUP(Tab_Calculs[[#This Row],[Compteur]],Site!$B$33:$G$40,4,FALSE))</f>
        <v/>
      </c>
      <c r="Y282" t="str">
        <f>T(VLOOKUP(Tab_Calculs[[#This Row],[Compteur]],Site!$B$33:$G$40,5,FALSE))</f>
        <v/>
      </c>
      <c r="Z282" t="str">
        <f>T(VLOOKUP(Tab_Calculs[[#This Row],[Compteur]],Site!$B$33:$G$40,6,FALSE))</f>
        <v/>
      </c>
      <c r="AA282">
        <f>IFERROR(GETPIVOTDATA("DJU(chauffagiste)",BDD_DJU!$P$13,"annee",Tab_Calculs[[#This Row],[ANNEE]],"mois_numero",Tab_Calculs[[#This Row],[MOIS]]),0)</f>
        <v>202.6</v>
      </c>
    </row>
    <row r="283" spans="1:27" x14ac:dyDescent="0.25">
      <c r="A283" s="3">
        <f>DATE(Tab_Calculs[[#This Row],[ANNEE]],Tab_Calculs[[#This Row],[MOIS]],1)</f>
        <v>42675</v>
      </c>
      <c r="B283" s="3">
        <f>EDATE(Tab_Calculs[[#This Row],[Début mois]],1)-1</f>
        <v>42704</v>
      </c>
      <c r="C283">
        <f t="shared" si="8"/>
        <v>11</v>
      </c>
      <c r="D283">
        <f t="shared" si="7"/>
        <v>2016</v>
      </c>
      <c r="E283" t="s">
        <v>81</v>
      </c>
      <c r="F283" t="str">
        <f>SUBSTITUTE(Tab_Calculs[[#This Row],[Compteur]]," ","_")</f>
        <v>Compteur_2</v>
      </c>
      <c r="G283" t="str">
        <f>T(INDEX(Site!$B$33:$G$40, MATCH(Tab_Calculs[[#This Row],[Compteur]], Site!$B$33:$B$40,0),2))</f>
        <v/>
      </c>
      <c r="H283" s="3">
        <f t="array" aca="1" ref="H283" ca="1">MIN(IF(INDIRECT(CONCATENATE(Tab_Calculs[[#This Row],[Colonne1]],"!$B$2:$B$243"))&gt;=Calculs_Consos!$A283,INDIRECT(CONCATENATE(Tab_Calculs[[#This Row],[Colonne1]],"!$B$2:$B$243"))))</f>
        <v>0</v>
      </c>
      <c r="I283" s="3" t="e">
        <f ca="1">INDEX(INDIRECT(CONCATENATE("Tab_",Tab_Calculs[[#This Row],[Colonne1]])),Tab_Calculs[[#This Row],[index_date_livraison]],1)</f>
        <v>#NUM!</v>
      </c>
      <c r="J283">
        <f ca="1">MATCH(Tab_Calculs[[#This Row],[Date_livraison]],INDIRECT(CONCATENATE("Tab_",Tab_Calculs[[#This Row],[Colonne1]],"[Fin de période]")),0)</f>
        <v>1</v>
      </c>
      <c r="K283" t="e">
        <f ca="1">INDEX(INDIRECT(CONCATENATE("Tab_",Tab_Calculs[[#This Row],[Colonne1]])),Tab_Calculs[[#This Row],[index_date_livraison]]-1,6)*(MAX(Tab_Calculs[[#This Row],[Début periode livraison]],Tab_Calculs[[#This Row],[Début mois]])-Tab_Calculs[[#This Row],[Début mois]])</f>
        <v>#VALUE!</v>
      </c>
      <c r="L283" s="94" t="e">
        <f ca="1">INDEX(INDIRECT(CONCATENATE("Tab_",Tab_Calculs[[#This Row],[Colonne1]])),Tab_Calculs[[#This Row],[index_date_livraison]],6)*(1+MIN(Tab_Calculs[[#This Row],[Date_livraison]],Tab_Calculs[[#This Row],[fin mois]])-MAX(Tab_Calculs[[#This Row],[Début mois]],Tab_Calculs[[#This Row],[Début periode livraison]]))</f>
        <v>#NUM!</v>
      </c>
      <c r="M283" s="94" t="e">
        <f ca="1">INDEX(INDIRECT(CONCATENATE("Tab_",Tab_Calculs[[#This Row],[Colonne1]])),Tab_Calculs[[#This Row],[index_date_livraison]]+1,6)*(Tab_Calculs[[#This Row],[fin mois]]-MIN(Tab_Calculs[[#This Row],[fin mois]],Tab_Calculs[[#This Row],[Date_livraison]]))</f>
        <v>#VALUE!</v>
      </c>
      <c r="N283" s="231" t="str">
        <f ca="1">IFERROR(Tab_Calculs[[#This Row],[Ratio_jour_après_livr]]+Tab_Calculs[[#This Row],[Ratio_jour_avant_livr]]+Tab_Calculs[[#This Row],[ratio_avant_debut]],"")</f>
        <v/>
      </c>
      <c r="O283" t="e">
        <f ca="1">INDEX(INDIRECT(CONCATENATE("Tab_",Tab_Calculs[[#This Row],[Colonne1]])),Tab_Calculs[[#This Row],[index_date_livraison]]-1,7)*(MAX(Tab_Calculs[[#This Row],[Début periode livraison]],Tab_Calculs[[#This Row],[Début mois]])-Tab_Calculs[[#This Row],[Début mois]])</f>
        <v>#VALUE!</v>
      </c>
      <c r="P283" t="e">
        <f ca="1">INDEX(INDIRECT(CONCATENATE("Tab_",Tab_Calculs[[#This Row],[Colonne1]])),Tab_Calculs[[#This Row],[index_date_livraison]],7)*(1+MIN(Tab_Calculs[[#This Row],[Date_livraison]],Tab_Calculs[[#This Row],[fin mois]])-MAX(Tab_Calculs[[#This Row],[Début mois]],Tab_Calculs[[#This Row],[Début periode livraison]]))</f>
        <v>#NUM!</v>
      </c>
      <c r="Q283" t="e">
        <f ca="1">INDEX(INDIRECT(CONCATENATE("Tab_",Tab_Calculs[[#This Row],[Colonne1]])),Tab_Calculs[[#This Row],[index_date_livraison]]+1,7)*(Tab_Calculs[[#This Row],[fin mois]]-MIN(Tab_Calculs[[#This Row],[fin mois]],Tab_Calculs[[#This Row],[Date_livraison]]))</f>
        <v>#VALUE!</v>
      </c>
      <c r="R283" t="e">
        <f ca="1">Tab_Calculs[[#This Row],[Ratio_Cout_après_livr]]+Tab_Calculs[[#This Row],[Ratio_Cout_avant_livr]]+Tab_Calculs[[#This Row],[Ratio_Cout_avant_debut]]</f>
        <v>#VALUE!</v>
      </c>
      <c r="S283" t="str">
        <f ca="1">IFERROR(N283*VLOOKUP(Tab_Calculs[[#This Row],[Colonne1]],Controle_des_données!$B$7:$G$14,6,FALSE),"")</f>
        <v/>
      </c>
      <c r="T283" t="str">
        <f ca="1">IF(Tab_Calculs[[#This Row],[Combustible ]]="Electricité (kWh)",Tab_Calculs[[#This Row],[Conso_mois_kWh]]*2.3,Tab_Calculs[[#This Row],[Conso_mois_kWh]])</f>
        <v/>
      </c>
      <c r="U283" t="str">
        <f ca="1">IFERROR(N283*VLOOKUP(Tab_Calculs[[#This Row],[Colonne1]],Controle_des_données!$B$7:$H$14,7,FALSE),"")</f>
        <v/>
      </c>
      <c r="V283">
        <f ca="1">IFERROR(Tab_Calculs[[#This Row],[Cout_mois]]/Tab_Calculs[[#This Row],[Conso_mois_kWh]],0)</f>
        <v>0</v>
      </c>
      <c r="W283" t="str">
        <f>T(VLOOKUP(Tab_Calculs[[#This Row],[Compteur]],Site!$B$33:$G$40,3,FALSE))</f>
        <v/>
      </c>
      <c r="X283" t="str">
        <f>T(VLOOKUP(Tab_Calculs[[#This Row],[Compteur]],Site!$B$33:$G$40,4,FALSE))</f>
        <v/>
      </c>
      <c r="Y283" t="str">
        <f>T(VLOOKUP(Tab_Calculs[[#This Row],[Compteur]],Site!$B$33:$G$40,5,FALSE))</f>
        <v/>
      </c>
      <c r="Z283" t="str">
        <f>T(VLOOKUP(Tab_Calculs[[#This Row],[Compteur]],Site!$B$33:$G$40,6,FALSE))</f>
        <v/>
      </c>
      <c r="AA283">
        <f>IFERROR(GETPIVOTDATA("DJU(chauffagiste)",BDD_DJU!$P$13,"annee",Tab_Calculs[[#This Row],[ANNEE]],"mois_numero",Tab_Calculs[[#This Row],[MOIS]]),0)</f>
        <v>289.2</v>
      </c>
    </row>
    <row r="284" spans="1:27" x14ac:dyDescent="0.25">
      <c r="A284" s="3">
        <f>DATE(Tab_Calculs[[#This Row],[ANNEE]],Tab_Calculs[[#This Row],[MOIS]],1)</f>
        <v>42705</v>
      </c>
      <c r="B284" s="3">
        <f>EDATE(Tab_Calculs[[#This Row],[Début mois]],1)-1</f>
        <v>42735</v>
      </c>
      <c r="C284">
        <f t="shared" si="8"/>
        <v>12</v>
      </c>
      <c r="D284">
        <f t="shared" si="7"/>
        <v>2016</v>
      </c>
      <c r="E284" t="s">
        <v>81</v>
      </c>
      <c r="F284" t="str">
        <f>SUBSTITUTE(Tab_Calculs[[#This Row],[Compteur]]," ","_")</f>
        <v>Compteur_2</v>
      </c>
      <c r="G284" t="str">
        <f>T(INDEX(Site!$B$33:$G$40, MATCH(Tab_Calculs[[#This Row],[Compteur]], Site!$B$33:$B$40,0),2))</f>
        <v/>
      </c>
      <c r="H284" s="3">
        <f t="array" aca="1" ref="H284" ca="1">MIN(IF(INDIRECT(CONCATENATE(Tab_Calculs[[#This Row],[Colonne1]],"!$B$2:$B$243"))&gt;=Calculs_Consos!$A284,INDIRECT(CONCATENATE(Tab_Calculs[[#This Row],[Colonne1]],"!$B$2:$B$243"))))</f>
        <v>0</v>
      </c>
      <c r="I284" s="3" t="e">
        <f ca="1">INDEX(INDIRECT(CONCATENATE("Tab_",Tab_Calculs[[#This Row],[Colonne1]])),Tab_Calculs[[#This Row],[index_date_livraison]],1)</f>
        <v>#NUM!</v>
      </c>
      <c r="J284">
        <f ca="1">MATCH(Tab_Calculs[[#This Row],[Date_livraison]],INDIRECT(CONCATENATE("Tab_",Tab_Calculs[[#This Row],[Colonne1]],"[Fin de période]")),0)</f>
        <v>1</v>
      </c>
      <c r="K284" t="e">
        <f ca="1">INDEX(INDIRECT(CONCATENATE("Tab_",Tab_Calculs[[#This Row],[Colonne1]])),Tab_Calculs[[#This Row],[index_date_livraison]]-1,6)*(MAX(Tab_Calculs[[#This Row],[Début periode livraison]],Tab_Calculs[[#This Row],[Début mois]])-Tab_Calculs[[#This Row],[Début mois]])</f>
        <v>#VALUE!</v>
      </c>
      <c r="L284" s="94" t="e">
        <f ca="1">INDEX(INDIRECT(CONCATENATE("Tab_",Tab_Calculs[[#This Row],[Colonne1]])),Tab_Calculs[[#This Row],[index_date_livraison]],6)*(1+MIN(Tab_Calculs[[#This Row],[Date_livraison]],Tab_Calculs[[#This Row],[fin mois]])-MAX(Tab_Calculs[[#This Row],[Début mois]],Tab_Calculs[[#This Row],[Début periode livraison]]))</f>
        <v>#NUM!</v>
      </c>
      <c r="M284" s="94" t="e">
        <f ca="1">INDEX(INDIRECT(CONCATENATE("Tab_",Tab_Calculs[[#This Row],[Colonne1]])),Tab_Calculs[[#This Row],[index_date_livraison]]+1,6)*(Tab_Calculs[[#This Row],[fin mois]]-MIN(Tab_Calculs[[#This Row],[fin mois]],Tab_Calculs[[#This Row],[Date_livraison]]))</f>
        <v>#VALUE!</v>
      </c>
      <c r="N284" s="231" t="str">
        <f ca="1">IFERROR(Tab_Calculs[[#This Row],[Ratio_jour_après_livr]]+Tab_Calculs[[#This Row],[Ratio_jour_avant_livr]]+Tab_Calculs[[#This Row],[ratio_avant_debut]],"")</f>
        <v/>
      </c>
      <c r="O284" t="e">
        <f ca="1">INDEX(INDIRECT(CONCATENATE("Tab_",Tab_Calculs[[#This Row],[Colonne1]])),Tab_Calculs[[#This Row],[index_date_livraison]]-1,7)*(MAX(Tab_Calculs[[#This Row],[Début periode livraison]],Tab_Calculs[[#This Row],[Début mois]])-Tab_Calculs[[#This Row],[Début mois]])</f>
        <v>#VALUE!</v>
      </c>
      <c r="P284" t="e">
        <f ca="1">INDEX(INDIRECT(CONCATENATE("Tab_",Tab_Calculs[[#This Row],[Colonne1]])),Tab_Calculs[[#This Row],[index_date_livraison]],7)*(1+MIN(Tab_Calculs[[#This Row],[Date_livraison]],Tab_Calculs[[#This Row],[fin mois]])-MAX(Tab_Calculs[[#This Row],[Début mois]],Tab_Calculs[[#This Row],[Début periode livraison]]))</f>
        <v>#NUM!</v>
      </c>
      <c r="Q284" t="e">
        <f ca="1">INDEX(INDIRECT(CONCATENATE("Tab_",Tab_Calculs[[#This Row],[Colonne1]])),Tab_Calculs[[#This Row],[index_date_livraison]]+1,7)*(Tab_Calculs[[#This Row],[fin mois]]-MIN(Tab_Calculs[[#This Row],[fin mois]],Tab_Calculs[[#This Row],[Date_livraison]]))</f>
        <v>#VALUE!</v>
      </c>
      <c r="R284" t="e">
        <f ca="1">Tab_Calculs[[#This Row],[Ratio_Cout_après_livr]]+Tab_Calculs[[#This Row],[Ratio_Cout_avant_livr]]+Tab_Calculs[[#This Row],[Ratio_Cout_avant_debut]]</f>
        <v>#VALUE!</v>
      </c>
      <c r="S284" t="str">
        <f ca="1">IFERROR(N284*VLOOKUP(Tab_Calculs[[#This Row],[Colonne1]],Controle_des_données!$B$7:$G$14,6,FALSE),"")</f>
        <v/>
      </c>
      <c r="T284" t="str">
        <f ca="1">IF(Tab_Calculs[[#This Row],[Combustible ]]="Electricité (kWh)",Tab_Calculs[[#This Row],[Conso_mois_kWh]]*2.3,Tab_Calculs[[#This Row],[Conso_mois_kWh]])</f>
        <v/>
      </c>
      <c r="U284" t="str">
        <f ca="1">IFERROR(N284*VLOOKUP(Tab_Calculs[[#This Row],[Colonne1]],Controle_des_données!$B$7:$H$14,7,FALSE),"")</f>
        <v/>
      </c>
      <c r="V284">
        <f ca="1">IFERROR(Tab_Calculs[[#This Row],[Cout_mois]]/Tab_Calculs[[#This Row],[Conso_mois_kWh]],0)</f>
        <v>0</v>
      </c>
      <c r="W284" t="str">
        <f>T(VLOOKUP(Tab_Calculs[[#This Row],[Compteur]],Site!$B$33:$G$40,3,FALSE))</f>
        <v/>
      </c>
      <c r="X284" t="str">
        <f>T(VLOOKUP(Tab_Calculs[[#This Row],[Compteur]],Site!$B$33:$G$40,4,FALSE))</f>
        <v/>
      </c>
      <c r="Y284" t="str">
        <f>T(VLOOKUP(Tab_Calculs[[#This Row],[Compteur]],Site!$B$33:$G$40,5,FALSE))</f>
        <v/>
      </c>
      <c r="Z284" t="str">
        <f>T(VLOOKUP(Tab_Calculs[[#This Row],[Compteur]],Site!$B$33:$G$40,6,FALSE))</f>
        <v/>
      </c>
      <c r="AA284">
        <f>IFERROR(GETPIVOTDATA("DJU(chauffagiste)",BDD_DJU!$P$13,"annee",Tab_Calculs[[#This Row],[ANNEE]],"mois_numero",Tab_Calculs[[#This Row],[MOIS]]),0)</f>
        <v>370.4</v>
      </c>
    </row>
    <row r="285" spans="1:27" x14ac:dyDescent="0.25">
      <c r="A285" s="3">
        <f>DATE(Tab_Calculs[[#This Row],[ANNEE]],Tab_Calculs[[#This Row],[MOIS]],1)</f>
        <v>42736</v>
      </c>
      <c r="B285" s="3">
        <f>EDATE(Tab_Calculs[[#This Row],[Début mois]],1)-1</f>
        <v>42766</v>
      </c>
      <c r="C285">
        <f t="shared" si="8"/>
        <v>1</v>
      </c>
      <c r="D285">
        <f t="shared" si="7"/>
        <v>2017</v>
      </c>
      <c r="E285" t="s">
        <v>81</v>
      </c>
      <c r="F285" t="str">
        <f>SUBSTITUTE(Tab_Calculs[[#This Row],[Compteur]]," ","_")</f>
        <v>Compteur_2</v>
      </c>
      <c r="G285" t="str">
        <f>T(INDEX(Site!$B$33:$G$40, MATCH(Tab_Calculs[[#This Row],[Compteur]], Site!$B$33:$B$40,0),2))</f>
        <v/>
      </c>
      <c r="H285" s="3">
        <f t="array" aca="1" ref="H285" ca="1">MIN(IF(INDIRECT(CONCATENATE(Tab_Calculs[[#This Row],[Colonne1]],"!$B$2:$B$243"))&gt;=Calculs_Consos!$A285,INDIRECT(CONCATENATE(Tab_Calculs[[#This Row],[Colonne1]],"!$B$2:$B$243"))))</f>
        <v>0</v>
      </c>
      <c r="I285" s="3" t="e">
        <f ca="1">INDEX(INDIRECT(CONCATENATE("Tab_",Tab_Calculs[[#This Row],[Colonne1]])),Tab_Calculs[[#This Row],[index_date_livraison]],1)</f>
        <v>#NUM!</v>
      </c>
      <c r="J285">
        <f ca="1">MATCH(Tab_Calculs[[#This Row],[Date_livraison]],INDIRECT(CONCATENATE("Tab_",Tab_Calculs[[#This Row],[Colonne1]],"[Fin de période]")),0)</f>
        <v>1</v>
      </c>
      <c r="K285" t="e">
        <f ca="1">INDEX(INDIRECT(CONCATENATE("Tab_",Tab_Calculs[[#This Row],[Colonne1]])),Tab_Calculs[[#This Row],[index_date_livraison]]-1,6)*(MAX(Tab_Calculs[[#This Row],[Début periode livraison]],Tab_Calculs[[#This Row],[Début mois]])-Tab_Calculs[[#This Row],[Début mois]])</f>
        <v>#VALUE!</v>
      </c>
      <c r="L285" s="94" t="e">
        <f ca="1">INDEX(INDIRECT(CONCATENATE("Tab_",Tab_Calculs[[#This Row],[Colonne1]])),Tab_Calculs[[#This Row],[index_date_livraison]],6)*(1+MIN(Tab_Calculs[[#This Row],[Date_livraison]],Tab_Calculs[[#This Row],[fin mois]])-MAX(Tab_Calculs[[#This Row],[Début mois]],Tab_Calculs[[#This Row],[Début periode livraison]]))</f>
        <v>#NUM!</v>
      </c>
      <c r="M285" s="94" t="e">
        <f ca="1">INDEX(INDIRECT(CONCATENATE("Tab_",Tab_Calculs[[#This Row],[Colonne1]])),Tab_Calculs[[#This Row],[index_date_livraison]]+1,6)*(Tab_Calculs[[#This Row],[fin mois]]-MIN(Tab_Calculs[[#This Row],[fin mois]],Tab_Calculs[[#This Row],[Date_livraison]]))</f>
        <v>#VALUE!</v>
      </c>
      <c r="N285" s="231" t="str">
        <f ca="1">IFERROR(Tab_Calculs[[#This Row],[Ratio_jour_après_livr]]+Tab_Calculs[[#This Row],[Ratio_jour_avant_livr]]+Tab_Calculs[[#This Row],[ratio_avant_debut]],"")</f>
        <v/>
      </c>
      <c r="O285" t="e">
        <f ca="1">INDEX(INDIRECT(CONCATENATE("Tab_",Tab_Calculs[[#This Row],[Colonne1]])),Tab_Calculs[[#This Row],[index_date_livraison]]-1,7)*(MAX(Tab_Calculs[[#This Row],[Début periode livraison]],Tab_Calculs[[#This Row],[Début mois]])-Tab_Calculs[[#This Row],[Début mois]])</f>
        <v>#VALUE!</v>
      </c>
      <c r="P285" t="e">
        <f ca="1">INDEX(INDIRECT(CONCATENATE("Tab_",Tab_Calculs[[#This Row],[Colonne1]])),Tab_Calculs[[#This Row],[index_date_livraison]],7)*(1+MIN(Tab_Calculs[[#This Row],[Date_livraison]],Tab_Calculs[[#This Row],[fin mois]])-MAX(Tab_Calculs[[#This Row],[Début mois]],Tab_Calculs[[#This Row],[Début periode livraison]]))</f>
        <v>#NUM!</v>
      </c>
      <c r="Q285" t="e">
        <f ca="1">INDEX(INDIRECT(CONCATENATE("Tab_",Tab_Calculs[[#This Row],[Colonne1]])),Tab_Calculs[[#This Row],[index_date_livraison]]+1,7)*(Tab_Calculs[[#This Row],[fin mois]]-MIN(Tab_Calculs[[#This Row],[fin mois]],Tab_Calculs[[#This Row],[Date_livraison]]))</f>
        <v>#VALUE!</v>
      </c>
      <c r="R285" t="e">
        <f ca="1">Tab_Calculs[[#This Row],[Ratio_Cout_après_livr]]+Tab_Calculs[[#This Row],[Ratio_Cout_avant_livr]]+Tab_Calculs[[#This Row],[Ratio_Cout_avant_debut]]</f>
        <v>#VALUE!</v>
      </c>
      <c r="S285" t="str">
        <f ca="1">IFERROR(N285*VLOOKUP(Tab_Calculs[[#This Row],[Colonne1]],Controle_des_données!$B$7:$G$14,6,FALSE),"")</f>
        <v/>
      </c>
      <c r="T285" t="str">
        <f ca="1">IF(Tab_Calculs[[#This Row],[Combustible ]]="Electricité (kWh)",Tab_Calculs[[#This Row],[Conso_mois_kWh]]*2.3,Tab_Calculs[[#This Row],[Conso_mois_kWh]])</f>
        <v/>
      </c>
      <c r="U285" t="str">
        <f ca="1">IFERROR(N285*VLOOKUP(Tab_Calculs[[#This Row],[Colonne1]],Controle_des_données!$B$7:$H$14,7,FALSE),"")</f>
        <v/>
      </c>
      <c r="V285">
        <f ca="1">IFERROR(Tab_Calculs[[#This Row],[Cout_mois]]/Tab_Calculs[[#This Row],[Conso_mois_kWh]],0)</f>
        <v>0</v>
      </c>
      <c r="W285" t="str">
        <f>T(VLOOKUP(Tab_Calculs[[#This Row],[Compteur]],Site!$B$33:$G$40,3,FALSE))</f>
        <v/>
      </c>
      <c r="X285" t="str">
        <f>T(VLOOKUP(Tab_Calculs[[#This Row],[Compteur]],Site!$B$33:$G$40,4,FALSE))</f>
        <v/>
      </c>
      <c r="Y285" t="str">
        <f>T(VLOOKUP(Tab_Calculs[[#This Row],[Compteur]],Site!$B$33:$G$40,5,FALSE))</f>
        <v/>
      </c>
      <c r="Z285" t="str">
        <f>T(VLOOKUP(Tab_Calculs[[#This Row],[Compteur]],Site!$B$33:$G$40,6,FALSE))</f>
        <v/>
      </c>
      <c r="AA285">
        <f>IFERROR(GETPIVOTDATA("DJU(chauffagiste)",BDD_DJU!$P$13,"annee",Tab_Calculs[[#This Row],[ANNEE]],"mois_numero",Tab_Calculs[[#This Row],[MOIS]]),0)</f>
        <v>451.9</v>
      </c>
    </row>
    <row r="286" spans="1:27" x14ac:dyDescent="0.25">
      <c r="A286" s="3">
        <f>DATE(Tab_Calculs[[#This Row],[ANNEE]],Tab_Calculs[[#This Row],[MOIS]],1)</f>
        <v>42767</v>
      </c>
      <c r="B286" s="3">
        <f>EDATE(Tab_Calculs[[#This Row],[Début mois]],1)-1</f>
        <v>42794</v>
      </c>
      <c r="C286">
        <f t="shared" si="8"/>
        <v>2</v>
      </c>
      <c r="D286">
        <f>D274+1</f>
        <v>2017</v>
      </c>
      <c r="E286" t="s">
        <v>81</v>
      </c>
      <c r="F286" t="str">
        <f>SUBSTITUTE(Tab_Calculs[[#This Row],[Compteur]]," ","_")</f>
        <v>Compteur_2</v>
      </c>
      <c r="G286" t="str">
        <f>T(INDEX(Site!$B$33:$G$40, MATCH(Tab_Calculs[[#This Row],[Compteur]], Site!$B$33:$B$40,0),2))</f>
        <v/>
      </c>
      <c r="H286" s="3">
        <f t="array" aca="1" ref="H286" ca="1">MIN(IF(INDIRECT(CONCATENATE(Tab_Calculs[[#This Row],[Colonne1]],"!$B$2:$B$243"))&gt;=Calculs_Consos!$A286,INDIRECT(CONCATENATE(Tab_Calculs[[#This Row],[Colonne1]],"!$B$2:$B$243"))))</f>
        <v>0</v>
      </c>
      <c r="I286" s="3" t="e">
        <f ca="1">INDEX(INDIRECT(CONCATENATE("Tab_",Tab_Calculs[[#This Row],[Colonne1]])),Tab_Calculs[[#This Row],[index_date_livraison]],1)</f>
        <v>#NUM!</v>
      </c>
      <c r="J286">
        <f ca="1">MATCH(Tab_Calculs[[#This Row],[Date_livraison]],INDIRECT(CONCATENATE("Tab_",Tab_Calculs[[#This Row],[Colonne1]],"[Fin de période]")),0)</f>
        <v>1</v>
      </c>
      <c r="K286" t="e">
        <f ca="1">INDEX(INDIRECT(CONCATENATE("Tab_",Tab_Calculs[[#This Row],[Colonne1]])),Tab_Calculs[[#This Row],[index_date_livraison]]-1,6)*(MAX(Tab_Calculs[[#This Row],[Début periode livraison]],Tab_Calculs[[#This Row],[Début mois]])-Tab_Calculs[[#This Row],[Début mois]])</f>
        <v>#VALUE!</v>
      </c>
      <c r="L286" s="94" t="e">
        <f ca="1">INDEX(INDIRECT(CONCATENATE("Tab_",Tab_Calculs[[#This Row],[Colonne1]])),Tab_Calculs[[#This Row],[index_date_livraison]],6)*(1+MIN(Tab_Calculs[[#This Row],[Date_livraison]],Tab_Calculs[[#This Row],[fin mois]])-MAX(Tab_Calculs[[#This Row],[Début mois]],Tab_Calculs[[#This Row],[Début periode livraison]]))</f>
        <v>#NUM!</v>
      </c>
      <c r="M286" s="94" t="e">
        <f ca="1">INDEX(INDIRECT(CONCATENATE("Tab_",Tab_Calculs[[#This Row],[Colonne1]])),Tab_Calculs[[#This Row],[index_date_livraison]]+1,6)*(Tab_Calculs[[#This Row],[fin mois]]-MIN(Tab_Calculs[[#This Row],[fin mois]],Tab_Calculs[[#This Row],[Date_livraison]]))</f>
        <v>#VALUE!</v>
      </c>
      <c r="N286" s="231" t="str">
        <f ca="1">IFERROR(Tab_Calculs[[#This Row],[Ratio_jour_après_livr]]+Tab_Calculs[[#This Row],[Ratio_jour_avant_livr]]+Tab_Calculs[[#This Row],[ratio_avant_debut]],"")</f>
        <v/>
      </c>
      <c r="O286" t="e">
        <f ca="1">INDEX(INDIRECT(CONCATENATE("Tab_",Tab_Calculs[[#This Row],[Colonne1]])),Tab_Calculs[[#This Row],[index_date_livraison]]-1,7)*(MAX(Tab_Calculs[[#This Row],[Début periode livraison]],Tab_Calculs[[#This Row],[Début mois]])-Tab_Calculs[[#This Row],[Début mois]])</f>
        <v>#VALUE!</v>
      </c>
      <c r="P286" t="e">
        <f ca="1">INDEX(INDIRECT(CONCATENATE("Tab_",Tab_Calculs[[#This Row],[Colonne1]])),Tab_Calculs[[#This Row],[index_date_livraison]],7)*(1+MIN(Tab_Calculs[[#This Row],[Date_livraison]],Tab_Calculs[[#This Row],[fin mois]])-MAX(Tab_Calculs[[#This Row],[Début mois]],Tab_Calculs[[#This Row],[Début periode livraison]]))</f>
        <v>#NUM!</v>
      </c>
      <c r="Q286" t="e">
        <f ca="1">INDEX(INDIRECT(CONCATENATE("Tab_",Tab_Calculs[[#This Row],[Colonne1]])),Tab_Calculs[[#This Row],[index_date_livraison]]+1,7)*(Tab_Calculs[[#This Row],[fin mois]]-MIN(Tab_Calculs[[#This Row],[fin mois]],Tab_Calculs[[#This Row],[Date_livraison]]))</f>
        <v>#VALUE!</v>
      </c>
      <c r="R286" t="e">
        <f ca="1">Tab_Calculs[[#This Row],[Ratio_Cout_après_livr]]+Tab_Calculs[[#This Row],[Ratio_Cout_avant_livr]]+Tab_Calculs[[#This Row],[Ratio_Cout_avant_debut]]</f>
        <v>#VALUE!</v>
      </c>
      <c r="S286" t="str">
        <f ca="1">IFERROR(N286*VLOOKUP(Tab_Calculs[[#This Row],[Colonne1]],Controle_des_données!$B$7:$G$14,6,FALSE),"")</f>
        <v/>
      </c>
      <c r="T286" t="str">
        <f ca="1">IF(Tab_Calculs[[#This Row],[Combustible ]]="Electricité (kWh)",Tab_Calculs[[#This Row],[Conso_mois_kWh]]*2.3,Tab_Calculs[[#This Row],[Conso_mois_kWh]])</f>
        <v/>
      </c>
      <c r="U286" t="str">
        <f ca="1">IFERROR(N286*VLOOKUP(Tab_Calculs[[#This Row],[Colonne1]],Controle_des_données!$B$7:$H$14,7,FALSE),"")</f>
        <v/>
      </c>
      <c r="V286">
        <f ca="1">IFERROR(Tab_Calculs[[#This Row],[Cout_mois]]/Tab_Calculs[[#This Row],[Conso_mois_kWh]],0)</f>
        <v>0</v>
      </c>
      <c r="W286" t="str">
        <f>T(VLOOKUP(Tab_Calculs[[#This Row],[Compteur]],Site!$B$33:$G$40,3,FALSE))</f>
        <v/>
      </c>
      <c r="X286" t="str">
        <f>T(VLOOKUP(Tab_Calculs[[#This Row],[Compteur]],Site!$B$33:$G$40,4,FALSE))</f>
        <v/>
      </c>
      <c r="Y286" t="str">
        <f>T(VLOOKUP(Tab_Calculs[[#This Row],[Compteur]],Site!$B$33:$G$40,5,FALSE))</f>
        <v/>
      </c>
      <c r="Z286" t="str">
        <f>T(VLOOKUP(Tab_Calculs[[#This Row],[Compteur]],Site!$B$33:$G$40,6,FALSE))</f>
        <v/>
      </c>
      <c r="AA286">
        <f>IFERROR(GETPIVOTDATA("DJU(chauffagiste)",BDD_DJU!$P$13,"annee",Tab_Calculs[[#This Row],[ANNEE]],"mois_numero",Tab_Calculs[[#This Row],[MOIS]]),0)</f>
        <v>287.8</v>
      </c>
    </row>
    <row r="287" spans="1:27" x14ac:dyDescent="0.25">
      <c r="A287" s="3">
        <f>DATE(Tab_Calculs[[#This Row],[ANNEE]],Tab_Calculs[[#This Row],[MOIS]],1)</f>
        <v>42795</v>
      </c>
      <c r="B287" s="3">
        <f>EDATE(Tab_Calculs[[#This Row],[Début mois]],1)-1</f>
        <v>42825</v>
      </c>
      <c r="C287">
        <f t="shared" si="8"/>
        <v>3</v>
      </c>
      <c r="D287">
        <f t="shared" si="7"/>
        <v>2017</v>
      </c>
      <c r="E287" t="s">
        <v>81</v>
      </c>
      <c r="F287" t="str">
        <f>SUBSTITUTE(Tab_Calculs[[#This Row],[Compteur]]," ","_")</f>
        <v>Compteur_2</v>
      </c>
      <c r="G287" t="str">
        <f>T(INDEX(Site!$B$33:$G$40, MATCH(Tab_Calculs[[#This Row],[Compteur]], Site!$B$33:$B$40,0),2))</f>
        <v/>
      </c>
      <c r="H287" s="3">
        <f t="array" aca="1" ref="H287" ca="1">MIN(IF(INDIRECT(CONCATENATE(Tab_Calculs[[#This Row],[Colonne1]],"!$B$2:$B$243"))&gt;=Calculs_Consos!$A287,INDIRECT(CONCATENATE(Tab_Calculs[[#This Row],[Colonne1]],"!$B$2:$B$243"))))</f>
        <v>0</v>
      </c>
      <c r="I287" s="3" t="e">
        <f ca="1">INDEX(INDIRECT(CONCATENATE("Tab_",Tab_Calculs[[#This Row],[Colonne1]])),Tab_Calculs[[#This Row],[index_date_livraison]],1)</f>
        <v>#NUM!</v>
      </c>
      <c r="J287">
        <f ca="1">MATCH(Tab_Calculs[[#This Row],[Date_livraison]],INDIRECT(CONCATENATE("Tab_",Tab_Calculs[[#This Row],[Colonne1]],"[Fin de période]")),0)</f>
        <v>1</v>
      </c>
      <c r="K287" t="e">
        <f ca="1">INDEX(INDIRECT(CONCATENATE("Tab_",Tab_Calculs[[#This Row],[Colonne1]])),Tab_Calculs[[#This Row],[index_date_livraison]]-1,6)*(MAX(Tab_Calculs[[#This Row],[Début periode livraison]],Tab_Calculs[[#This Row],[Début mois]])-Tab_Calculs[[#This Row],[Début mois]])</f>
        <v>#VALUE!</v>
      </c>
      <c r="L287" s="94" t="e">
        <f ca="1">INDEX(INDIRECT(CONCATENATE("Tab_",Tab_Calculs[[#This Row],[Colonne1]])),Tab_Calculs[[#This Row],[index_date_livraison]],6)*(1+MIN(Tab_Calculs[[#This Row],[Date_livraison]],Tab_Calculs[[#This Row],[fin mois]])-MAX(Tab_Calculs[[#This Row],[Début mois]],Tab_Calculs[[#This Row],[Début periode livraison]]))</f>
        <v>#NUM!</v>
      </c>
      <c r="M287" s="94" t="e">
        <f ca="1">INDEX(INDIRECT(CONCATENATE("Tab_",Tab_Calculs[[#This Row],[Colonne1]])),Tab_Calculs[[#This Row],[index_date_livraison]]+1,6)*(Tab_Calculs[[#This Row],[fin mois]]-MIN(Tab_Calculs[[#This Row],[fin mois]],Tab_Calculs[[#This Row],[Date_livraison]]))</f>
        <v>#VALUE!</v>
      </c>
      <c r="N287" s="231" t="str">
        <f ca="1">IFERROR(Tab_Calculs[[#This Row],[Ratio_jour_après_livr]]+Tab_Calculs[[#This Row],[Ratio_jour_avant_livr]]+Tab_Calculs[[#This Row],[ratio_avant_debut]],"")</f>
        <v/>
      </c>
      <c r="O287" t="e">
        <f ca="1">INDEX(INDIRECT(CONCATENATE("Tab_",Tab_Calculs[[#This Row],[Colonne1]])),Tab_Calculs[[#This Row],[index_date_livraison]]-1,7)*(MAX(Tab_Calculs[[#This Row],[Début periode livraison]],Tab_Calculs[[#This Row],[Début mois]])-Tab_Calculs[[#This Row],[Début mois]])</f>
        <v>#VALUE!</v>
      </c>
      <c r="P287" t="e">
        <f ca="1">INDEX(INDIRECT(CONCATENATE("Tab_",Tab_Calculs[[#This Row],[Colonne1]])),Tab_Calculs[[#This Row],[index_date_livraison]],7)*(1+MIN(Tab_Calculs[[#This Row],[Date_livraison]],Tab_Calculs[[#This Row],[fin mois]])-MAX(Tab_Calculs[[#This Row],[Début mois]],Tab_Calculs[[#This Row],[Début periode livraison]]))</f>
        <v>#NUM!</v>
      </c>
      <c r="Q287" t="e">
        <f ca="1">INDEX(INDIRECT(CONCATENATE("Tab_",Tab_Calculs[[#This Row],[Colonne1]])),Tab_Calculs[[#This Row],[index_date_livraison]]+1,7)*(Tab_Calculs[[#This Row],[fin mois]]-MIN(Tab_Calculs[[#This Row],[fin mois]],Tab_Calculs[[#This Row],[Date_livraison]]))</f>
        <v>#VALUE!</v>
      </c>
      <c r="R287" t="e">
        <f ca="1">Tab_Calculs[[#This Row],[Ratio_Cout_après_livr]]+Tab_Calculs[[#This Row],[Ratio_Cout_avant_livr]]+Tab_Calculs[[#This Row],[Ratio_Cout_avant_debut]]</f>
        <v>#VALUE!</v>
      </c>
      <c r="S287" t="str">
        <f ca="1">IFERROR(N287*VLOOKUP(Tab_Calculs[[#This Row],[Colonne1]],Controle_des_données!$B$7:$G$14,6,FALSE),"")</f>
        <v/>
      </c>
      <c r="T287" t="str">
        <f ca="1">IF(Tab_Calculs[[#This Row],[Combustible ]]="Electricité (kWh)",Tab_Calculs[[#This Row],[Conso_mois_kWh]]*2.3,Tab_Calculs[[#This Row],[Conso_mois_kWh]])</f>
        <v/>
      </c>
      <c r="U287" t="str">
        <f ca="1">IFERROR(N287*VLOOKUP(Tab_Calculs[[#This Row],[Colonne1]],Controle_des_données!$B$7:$H$14,7,FALSE),"")</f>
        <v/>
      </c>
      <c r="V287">
        <f ca="1">IFERROR(Tab_Calculs[[#This Row],[Cout_mois]]/Tab_Calculs[[#This Row],[Conso_mois_kWh]],0)</f>
        <v>0</v>
      </c>
      <c r="W287" t="str">
        <f>T(VLOOKUP(Tab_Calculs[[#This Row],[Compteur]],Site!$B$33:$G$40,3,FALSE))</f>
        <v/>
      </c>
      <c r="X287" t="str">
        <f>T(VLOOKUP(Tab_Calculs[[#This Row],[Compteur]],Site!$B$33:$G$40,4,FALSE))</f>
        <v/>
      </c>
      <c r="Y287" t="str">
        <f>T(VLOOKUP(Tab_Calculs[[#This Row],[Compteur]],Site!$B$33:$G$40,5,FALSE))</f>
        <v/>
      </c>
      <c r="Z287" t="str">
        <f>T(VLOOKUP(Tab_Calculs[[#This Row],[Compteur]],Site!$B$33:$G$40,6,FALSE))</f>
        <v/>
      </c>
      <c r="AA287">
        <f>IFERROR(GETPIVOTDATA("DJU(chauffagiste)",BDD_DJU!$P$13,"annee",Tab_Calculs[[#This Row],[ANNEE]],"mois_numero",Tab_Calculs[[#This Row],[MOIS]]),0)</f>
        <v>226.3</v>
      </c>
    </row>
    <row r="288" spans="1:27" x14ac:dyDescent="0.25">
      <c r="A288" s="3">
        <f>DATE(Tab_Calculs[[#This Row],[ANNEE]],Tab_Calculs[[#This Row],[MOIS]],1)</f>
        <v>42826</v>
      </c>
      <c r="B288" s="3">
        <f>EDATE(Tab_Calculs[[#This Row],[Début mois]],1)-1</f>
        <v>42855</v>
      </c>
      <c r="C288">
        <f t="shared" si="8"/>
        <v>4</v>
      </c>
      <c r="D288">
        <f t="shared" si="7"/>
        <v>2017</v>
      </c>
      <c r="E288" t="s">
        <v>81</v>
      </c>
      <c r="F288" t="str">
        <f>SUBSTITUTE(Tab_Calculs[[#This Row],[Compteur]]," ","_")</f>
        <v>Compteur_2</v>
      </c>
      <c r="G288" t="str">
        <f>T(INDEX(Site!$B$33:$G$40, MATCH(Tab_Calculs[[#This Row],[Compteur]], Site!$B$33:$B$40,0),2))</f>
        <v/>
      </c>
      <c r="H288" s="3">
        <f t="array" aca="1" ref="H288" ca="1">MIN(IF(INDIRECT(CONCATENATE(Tab_Calculs[[#This Row],[Colonne1]],"!$B$2:$B$243"))&gt;=Calculs_Consos!$A288,INDIRECT(CONCATENATE(Tab_Calculs[[#This Row],[Colonne1]],"!$B$2:$B$243"))))</f>
        <v>0</v>
      </c>
      <c r="I288" s="3" t="e">
        <f ca="1">INDEX(INDIRECT(CONCATENATE("Tab_",Tab_Calculs[[#This Row],[Colonne1]])),Tab_Calculs[[#This Row],[index_date_livraison]],1)</f>
        <v>#NUM!</v>
      </c>
      <c r="J288">
        <f ca="1">MATCH(Tab_Calculs[[#This Row],[Date_livraison]],INDIRECT(CONCATENATE("Tab_",Tab_Calculs[[#This Row],[Colonne1]],"[Fin de période]")),0)</f>
        <v>1</v>
      </c>
      <c r="K288" t="e">
        <f ca="1">INDEX(INDIRECT(CONCATENATE("Tab_",Tab_Calculs[[#This Row],[Colonne1]])),Tab_Calculs[[#This Row],[index_date_livraison]]-1,6)*(MAX(Tab_Calculs[[#This Row],[Début periode livraison]],Tab_Calculs[[#This Row],[Début mois]])-Tab_Calculs[[#This Row],[Début mois]])</f>
        <v>#VALUE!</v>
      </c>
      <c r="L288" s="94" t="e">
        <f ca="1">INDEX(INDIRECT(CONCATENATE("Tab_",Tab_Calculs[[#This Row],[Colonne1]])),Tab_Calculs[[#This Row],[index_date_livraison]],6)*(1+MIN(Tab_Calculs[[#This Row],[Date_livraison]],Tab_Calculs[[#This Row],[fin mois]])-MAX(Tab_Calculs[[#This Row],[Début mois]],Tab_Calculs[[#This Row],[Début periode livraison]]))</f>
        <v>#NUM!</v>
      </c>
      <c r="M288" s="94" t="e">
        <f ca="1">INDEX(INDIRECT(CONCATENATE("Tab_",Tab_Calculs[[#This Row],[Colonne1]])),Tab_Calculs[[#This Row],[index_date_livraison]]+1,6)*(Tab_Calculs[[#This Row],[fin mois]]-MIN(Tab_Calculs[[#This Row],[fin mois]],Tab_Calculs[[#This Row],[Date_livraison]]))</f>
        <v>#VALUE!</v>
      </c>
      <c r="N288" s="231" t="str">
        <f ca="1">IFERROR(Tab_Calculs[[#This Row],[Ratio_jour_après_livr]]+Tab_Calculs[[#This Row],[Ratio_jour_avant_livr]]+Tab_Calculs[[#This Row],[ratio_avant_debut]],"")</f>
        <v/>
      </c>
      <c r="O288" t="e">
        <f ca="1">INDEX(INDIRECT(CONCATENATE("Tab_",Tab_Calculs[[#This Row],[Colonne1]])),Tab_Calculs[[#This Row],[index_date_livraison]]-1,7)*(MAX(Tab_Calculs[[#This Row],[Début periode livraison]],Tab_Calculs[[#This Row],[Début mois]])-Tab_Calculs[[#This Row],[Début mois]])</f>
        <v>#VALUE!</v>
      </c>
      <c r="P288" t="e">
        <f ca="1">INDEX(INDIRECT(CONCATENATE("Tab_",Tab_Calculs[[#This Row],[Colonne1]])),Tab_Calculs[[#This Row],[index_date_livraison]],7)*(1+MIN(Tab_Calculs[[#This Row],[Date_livraison]],Tab_Calculs[[#This Row],[fin mois]])-MAX(Tab_Calculs[[#This Row],[Début mois]],Tab_Calculs[[#This Row],[Début periode livraison]]))</f>
        <v>#NUM!</v>
      </c>
      <c r="Q288" t="e">
        <f ca="1">INDEX(INDIRECT(CONCATENATE("Tab_",Tab_Calculs[[#This Row],[Colonne1]])),Tab_Calculs[[#This Row],[index_date_livraison]]+1,7)*(Tab_Calculs[[#This Row],[fin mois]]-MIN(Tab_Calculs[[#This Row],[fin mois]],Tab_Calculs[[#This Row],[Date_livraison]]))</f>
        <v>#VALUE!</v>
      </c>
      <c r="R288" t="e">
        <f ca="1">Tab_Calculs[[#This Row],[Ratio_Cout_après_livr]]+Tab_Calculs[[#This Row],[Ratio_Cout_avant_livr]]+Tab_Calculs[[#This Row],[Ratio_Cout_avant_debut]]</f>
        <v>#VALUE!</v>
      </c>
      <c r="S288" t="str">
        <f ca="1">IFERROR(N288*VLOOKUP(Tab_Calculs[[#This Row],[Colonne1]],Controle_des_données!$B$7:$G$14,6,FALSE),"")</f>
        <v/>
      </c>
      <c r="T288" t="str">
        <f ca="1">IF(Tab_Calculs[[#This Row],[Combustible ]]="Electricité (kWh)",Tab_Calculs[[#This Row],[Conso_mois_kWh]]*2.3,Tab_Calculs[[#This Row],[Conso_mois_kWh]])</f>
        <v/>
      </c>
      <c r="U288" t="str">
        <f ca="1">IFERROR(N288*VLOOKUP(Tab_Calculs[[#This Row],[Colonne1]],Controle_des_données!$B$7:$H$14,7,FALSE),"")</f>
        <v/>
      </c>
      <c r="V288">
        <f ca="1">IFERROR(Tab_Calculs[[#This Row],[Cout_mois]]/Tab_Calculs[[#This Row],[Conso_mois_kWh]],0)</f>
        <v>0</v>
      </c>
      <c r="W288" t="str">
        <f>T(VLOOKUP(Tab_Calculs[[#This Row],[Compteur]],Site!$B$33:$G$40,3,FALSE))</f>
        <v/>
      </c>
      <c r="X288" t="str">
        <f>T(VLOOKUP(Tab_Calculs[[#This Row],[Compteur]],Site!$B$33:$G$40,4,FALSE))</f>
        <v/>
      </c>
      <c r="Y288" t="str">
        <f>T(VLOOKUP(Tab_Calculs[[#This Row],[Compteur]],Site!$B$33:$G$40,5,FALSE))</f>
        <v/>
      </c>
      <c r="Z288" t="str">
        <f>T(VLOOKUP(Tab_Calculs[[#This Row],[Compteur]],Site!$B$33:$G$40,6,FALSE))</f>
        <v/>
      </c>
      <c r="AA288">
        <f>IFERROR(GETPIVOTDATA("DJU(chauffagiste)",BDD_DJU!$P$13,"annee",Tab_Calculs[[#This Row],[ANNEE]],"mois_numero",Tab_Calculs[[#This Row],[MOIS]]),0)</f>
        <v>227.8</v>
      </c>
    </row>
    <row r="289" spans="1:27" x14ac:dyDescent="0.25">
      <c r="A289" s="3">
        <f>DATE(Tab_Calculs[[#This Row],[ANNEE]],Tab_Calculs[[#This Row],[MOIS]],1)</f>
        <v>42856</v>
      </c>
      <c r="B289" s="3">
        <f>EDATE(Tab_Calculs[[#This Row],[Début mois]],1)-1</f>
        <v>42886</v>
      </c>
      <c r="C289">
        <f t="shared" si="8"/>
        <v>5</v>
      </c>
      <c r="D289">
        <f t="shared" si="7"/>
        <v>2017</v>
      </c>
      <c r="E289" t="s">
        <v>81</v>
      </c>
      <c r="F289" t="str">
        <f>SUBSTITUTE(Tab_Calculs[[#This Row],[Compteur]]," ","_")</f>
        <v>Compteur_2</v>
      </c>
      <c r="G289" t="str">
        <f>T(INDEX(Site!$B$33:$G$40, MATCH(Tab_Calculs[[#This Row],[Compteur]], Site!$B$33:$B$40,0),2))</f>
        <v/>
      </c>
      <c r="H289" s="3">
        <f t="array" aca="1" ref="H289" ca="1">MIN(IF(INDIRECT(CONCATENATE(Tab_Calculs[[#This Row],[Colonne1]],"!$B$2:$B$243"))&gt;=Calculs_Consos!$A289,INDIRECT(CONCATENATE(Tab_Calculs[[#This Row],[Colonne1]],"!$B$2:$B$243"))))</f>
        <v>0</v>
      </c>
      <c r="I289" s="3" t="e">
        <f ca="1">INDEX(INDIRECT(CONCATENATE("Tab_",Tab_Calculs[[#This Row],[Colonne1]])),Tab_Calculs[[#This Row],[index_date_livraison]],1)</f>
        <v>#NUM!</v>
      </c>
      <c r="J289">
        <f ca="1">MATCH(Tab_Calculs[[#This Row],[Date_livraison]],INDIRECT(CONCATENATE("Tab_",Tab_Calculs[[#This Row],[Colonne1]],"[Fin de période]")),0)</f>
        <v>1</v>
      </c>
      <c r="K289" t="e">
        <f ca="1">INDEX(INDIRECT(CONCATENATE("Tab_",Tab_Calculs[[#This Row],[Colonne1]])),Tab_Calculs[[#This Row],[index_date_livraison]]-1,6)*(MAX(Tab_Calculs[[#This Row],[Début periode livraison]],Tab_Calculs[[#This Row],[Début mois]])-Tab_Calculs[[#This Row],[Début mois]])</f>
        <v>#VALUE!</v>
      </c>
      <c r="L289" s="94" t="e">
        <f ca="1">INDEX(INDIRECT(CONCATENATE("Tab_",Tab_Calculs[[#This Row],[Colonne1]])),Tab_Calculs[[#This Row],[index_date_livraison]],6)*(1+MIN(Tab_Calculs[[#This Row],[Date_livraison]],Tab_Calculs[[#This Row],[fin mois]])-MAX(Tab_Calculs[[#This Row],[Début mois]],Tab_Calculs[[#This Row],[Début periode livraison]]))</f>
        <v>#NUM!</v>
      </c>
      <c r="M289" s="94" t="e">
        <f ca="1">INDEX(INDIRECT(CONCATENATE("Tab_",Tab_Calculs[[#This Row],[Colonne1]])),Tab_Calculs[[#This Row],[index_date_livraison]]+1,6)*(Tab_Calculs[[#This Row],[fin mois]]-MIN(Tab_Calculs[[#This Row],[fin mois]],Tab_Calculs[[#This Row],[Date_livraison]]))</f>
        <v>#VALUE!</v>
      </c>
      <c r="N289" s="231" t="str">
        <f ca="1">IFERROR(Tab_Calculs[[#This Row],[Ratio_jour_après_livr]]+Tab_Calculs[[#This Row],[Ratio_jour_avant_livr]]+Tab_Calculs[[#This Row],[ratio_avant_debut]],"")</f>
        <v/>
      </c>
      <c r="O289" t="e">
        <f ca="1">INDEX(INDIRECT(CONCATENATE("Tab_",Tab_Calculs[[#This Row],[Colonne1]])),Tab_Calculs[[#This Row],[index_date_livraison]]-1,7)*(MAX(Tab_Calculs[[#This Row],[Début periode livraison]],Tab_Calculs[[#This Row],[Début mois]])-Tab_Calculs[[#This Row],[Début mois]])</f>
        <v>#VALUE!</v>
      </c>
      <c r="P289" t="e">
        <f ca="1">INDEX(INDIRECT(CONCATENATE("Tab_",Tab_Calculs[[#This Row],[Colonne1]])),Tab_Calculs[[#This Row],[index_date_livraison]],7)*(1+MIN(Tab_Calculs[[#This Row],[Date_livraison]],Tab_Calculs[[#This Row],[fin mois]])-MAX(Tab_Calculs[[#This Row],[Début mois]],Tab_Calculs[[#This Row],[Début periode livraison]]))</f>
        <v>#NUM!</v>
      </c>
      <c r="Q289" t="e">
        <f ca="1">INDEX(INDIRECT(CONCATENATE("Tab_",Tab_Calculs[[#This Row],[Colonne1]])),Tab_Calculs[[#This Row],[index_date_livraison]]+1,7)*(Tab_Calculs[[#This Row],[fin mois]]-MIN(Tab_Calculs[[#This Row],[fin mois]],Tab_Calculs[[#This Row],[Date_livraison]]))</f>
        <v>#VALUE!</v>
      </c>
      <c r="R289" t="e">
        <f ca="1">Tab_Calculs[[#This Row],[Ratio_Cout_après_livr]]+Tab_Calculs[[#This Row],[Ratio_Cout_avant_livr]]+Tab_Calculs[[#This Row],[Ratio_Cout_avant_debut]]</f>
        <v>#VALUE!</v>
      </c>
      <c r="S289" t="str">
        <f ca="1">IFERROR(N289*VLOOKUP(Tab_Calculs[[#This Row],[Colonne1]],Controle_des_données!$B$7:$G$14,6,FALSE),"")</f>
        <v/>
      </c>
      <c r="T289" t="str">
        <f ca="1">IF(Tab_Calculs[[#This Row],[Combustible ]]="Electricité (kWh)",Tab_Calculs[[#This Row],[Conso_mois_kWh]]*2.3,Tab_Calculs[[#This Row],[Conso_mois_kWh]])</f>
        <v/>
      </c>
      <c r="U289" t="str">
        <f ca="1">IFERROR(N289*VLOOKUP(Tab_Calculs[[#This Row],[Colonne1]],Controle_des_données!$B$7:$H$14,7,FALSE),"")</f>
        <v/>
      </c>
      <c r="V289">
        <f ca="1">IFERROR(Tab_Calculs[[#This Row],[Cout_mois]]/Tab_Calculs[[#This Row],[Conso_mois_kWh]],0)</f>
        <v>0</v>
      </c>
      <c r="W289" t="str">
        <f>T(VLOOKUP(Tab_Calculs[[#This Row],[Compteur]],Site!$B$33:$G$40,3,FALSE))</f>
        <v/>
      </c>
      <c r="X289" t="str">
        <f>T(VLOOKUP(Tab_Calculs[[#This Row],[Compteur]],Site!$B$33:$G$40,4,FALSE))</f>
        <v/>
      </c>
      <c r="Y289" t="str">
        <f>T(VLOOKUP(Tab_Calculs[[#This Row],[Compteur]],Site!$B$33:$G$40,5,FALSE))</f>
        <v/>
      </c>
      <c r="Z289" t="str">
        <f>T(VLOOKUP(Tab_Calculs[[#This Row],[Compteur]],Site!$B$33:$G$40,6,FALSE))</f>
        <v/>
      </c>
      <c r="AA289">
        <f>IFERROR(GETPIVOTDATA("DJU(chauffagiste)",BDD_DJU!$P$13,"annee",Tab_Calculs[[#This Row],[ANNEE]],"mois_numero",Tab_Calculs[[#This Row],[MOIS]]),0)</f>
        <v>98</v>
      </c>
    </row>
    <row r="290" spans="1:27" x14ac:dyDescent="0.25">
      <c r="A290" s="3">
        <f>DATE(Tab_Calculs[[#This Row],[ANNEE]],Tab_Calculs[[#This Row],[MOIS]],1)</f>
        <v>42887</v>
      </c>
      <c r="B290" s="3">
        <f>EDATE(Tab_Calculs[[#This Row],[Début mois]],1)-1</f>
        <v>42916</v>
      </c>
      <c r="C290">
        <f t="shared" si="8"/>
        <v>6</v>
      </c>
      <c r="D290">
        <f t="shared" si="7"/>
        <v>2017</v>
      </c>
      <c r="E290" t="s">
        <v>81</v>
      </c>
      <c r="F290" t="str">
        <f>SUBSTITUTE(Tab_Calculs[[#This Row],[Compteur]]," ","_")</f>
        <v>Compteur_2</v>
      </c>
      <c r="G290" t="str">
        <f>T(INDEX(Site!$B$33:$G$40, MATCH(Tab_Calculs[[#This Row],[Compteur]], Site!$B$33:$B$40,0),2))</f>
        <v/>
      </c>
      <c r="H290" s="3">
        <f t="array" aca="1" ref="H290" ca="1">MIN(IF(INDIRECT(CONCATENATE(Tab_Calculs[[#This Row],[Colonne1]],"!$B$2:$B$243"))&gt;=Calculs_Consos!$A290,INDIRECT(CONCATENATE(Tab_Calculs[[#This Row],[Colonne1]],"!$B$2:$B$243"))))</f>
        <v>0</v>
      </c>
      <c r="I290" s="3" t="e">
        <f ca="1">INDEX(INDIRECT(CONCATENATE("Tab_",Tab_Calculs[[#This Row],[Colonne1]])),Tab_Calculs[[#This Row],[index_date_livraison]],1)</f>
        <v>#NUM!</v>
      </c>
      <c r="J290">
        <f ca="1">MATCH(Tab_Calculs[[#This Row],[Date_livraison]],INDIRECT(CONCATENATE("Tab_",Tab_Calculs[[#This Row],[Colonne1]],"[Fin de période]")),0)</f>
        <v>1</v>
      </c>
      <c r="K290" t="e">
        <f ca="1">INDEX(INDIRECT(CONCATENATE("Tab_",Tab_Calculs[[#This Row],[Colonne1]])),Tab_Calculs[[#This Row],[index_date_livraison]]-1,6)*(MAX(Tab_Calculs[[#This Row],[Début periode livraison]],Tab_Calculs[[#This Row],[Début mois]])-Tab_Calculs[[#This Row],[Début mois]])</f>
        <v>#VALUE!</v>
      </c>
      <c r="L290" s="94" t="e">
        <f ca="1">INDEX(INDIRECT(CONCATENATE("Tab_",Tab_Calculs[[#This Row],[Colonne1]])),Tab_Calculs[[#This Row],[index_date_livraison]],6)*(1+MIN(Tab_Calculs[[#This Row],[Date_livraison]],Tab_Calculs[[#This Row],[fin mois]])-MAX(Tab_Calculs[[#This Row],[Début mois]],Tab_Calculs[[#This Row],[Début periode livraison]]))</f>
        <v>#NUM!</v>
      </c>
      <c r="M290" s="94" t="e">
        <f ca="1">INDEX(INDIRECT(CONCATENATE("Tab_",Tab_Calculs[[#This Row],[Colonne1]])),Tab_Calculs[[#This Row],[index_date_livraison]]+1,6)*(Tab_Calculs[[#This Row],[fin mois]]-MIN(Tab_Calculs[[#This Row],[fin mois]],Tab_Calculs[[#This Row],[Date_livraison]]))</f>
        <v>#VALUE!</v>
      </c>
      <c r="N290" s="231" t="str">
        <f ca="1">IFERROR(Tab_Calculs[[#This Row],[Ratio_jour_après_livr]]+Tab_Calculs[[#This Row],[Ratio_jour_avant_livr]]+Tab_Calculs[[#This Row],[ratio_avant_debut]],"")</f>
        <v/>
      </c>
      <c r="O290" t="e">
        <f ca="1">INDEX(INDIRECT(CONCATENATE("Tab_",Tab_Calculs[[#This Row],[Colonne1]])),Tab_Calculs[[#This Row],[index_date_livraison]]-1,7)*(MAX(Tab_Calculs[[#This Row],[Début periode livraison]],Tab_Calculs[[#This Row],[Début mois]])-Tab_Calculs[[#This Row],[Début mois]])</f>
        <v>#VALUE!</v>
      </c>
      <c r="P290" t="e">
        <f ca="1">INDEX(INDIRECT(CONCATENATE("Tab_",Tab_Calculs[[#This Row],[Colonne1]])),Tab_Calculs[[#This Row],[index_date_livraison]],7)*(1+MIN(Tab_Calculs[[#This Row],[Date_livraison]],Tab_Calculs[[#This Row],[fin mois]])-MAX(Tab_Calculs[[#This Row],[Début mois]],Tab_Calculs[[#This Row],[Début periode livraison]]))</f>
        <v>#NUM!</v>
      </c>
      <c r="Q290" t="e">
        <f ca="1">INDEX(INDIRECT(CONCATENATE("Tab_",Tab_Calculs[[#This Row],[Colonne1]])),Tab_Calculs[[#This Row],[index_date_livraison]]+1,7)*(Tab_Calculs[[#This Row],[fin mois]]-MIN(Tab_Calculs[[#This Row],[fin mois]],Tab_Calculs[[#This Row],[Date_livraison]]))</f>
        <v>#VALUE!</v>
      </c>
      <c r="R290" t="e">
        <f ca="1">Tab_Calculs[[#This Row],[Ratio_Cout_après_livr]]+Tab_Calculs[[#This Row],[Ratio_Cout_avant_livr]]+Tab_Calculs[[#This Row],[Ratio_Cout_avant_debut]]</f>
        <v>#VALUE!</v>
      </c>
      <c r="S290" t="str">
        <f ca="1">IFERROR(N290*VLOOKUP(Tab_Calculs[[#This Row],[Colonne1]],Controle_des_données!$B$7:$G$14,6,FALSE),"")</f>
        <v/>
      </c>
      <c r="T290" t="str">
        <f ca="1">IF(Tab_Calculs[[#This Row],[Combustible ]]="Electricité (kWh)",Tab_Calculs[[#This Row],[Conso_mois_kWh]]*2.3,Tab_Calculs[[#This Row],[Conso_mois_kWh]])</f>
        <v/>
      </c>
      <c r="U290" t="str">
        <f ca="1">IFERROR(N290*VLOOKUP(Tab_Calculs[[#This Row],[Colonne1]],Controle_des_données!$B$7:$H$14,7,FALSE),"")</f>
        <v/>
      </c>
      <c r="V290">
        <f ca="1">IFERROR(Tab_Calculs[[#This Row],[Cout_mois]]/Tab_Calculs[[#This Row],[Conso_mois_kWh]],0)</f>
        <v>0</v>
      </c>
      <c r="W290" t="str">
        <f>T(VLOOKUP(Tab_Calculs[[#This Row],[Compteur]],Site!$B$33:$G$40,3,FALSE))</f>
        <v/>
      </c>
      <c r="X290" t="str">
        <f>T(VLOOKUP(Tab_Calculs[[#This Row],[Compteur]],Site!$B$33:$G$40,4,FALSE))</f>
        <v/>
      </c>
      <c r="Y290" t="str">
        <f>T(VLOOKUP(Tab_Calculs[[#This Row],[Compteur]],Site!$B$33:$G$40,5,FALSE))</f>
        <v/>
      </c>
      <c r="Z290" t="str">
        <f>T(VLOOKUP(Tab_Calculs[[#This Row],[Compteur]],Site!$B$33:$G$40,6,FALSE))</f>
        <v/>
      </c>
      <c r="AA290">
        <f>IFERROR(GETPIVOTDATA("DJU(chauffagiste)",BDD_DJU!$P$13,"annee",Tab_Calculs[[#This Row],[ANNEE]],"mois_numero",Tab_Calculs[[#This Row],[MOIS]]),0)</f>
        <v>30.9</v>
      </c>
    </row>
    <row r="291" spans="1:27" x14ac:dyDescent="0.25">
      <c r="A291" s="3">
        <f>DATE(Tab_Calculs[[#This Row],[ANNEE]],Tab_Calculs[[#This Row],[MOIS]],1)</f>
        <v>42917</v>
      </c>
      <c r="B291" s="3">
        <f>EDATE(Tab_Calculs[[#This Row],[Début mois]],1)-1</f>
        <v>42947</v>
      </c>
      <c r="C291">
        <f t="shared" si="8"/>
        <v>7</v>
      </c>
      <c r="D291">
        <f t="shared" si="7"/>
        <v>2017</v>
      </c>
      <c r="E291" t="s">
        <v>81</v>
      </c>
      <c r="F291" t="str">
        <f>SUBSTITUTE(Tab_Calculs[[#This Row],[Compteur]]," ","_")</f>
        <v>Compteur_2</v>
      </c>
      <c r="G291" t="str">
        <f>T(INDEX(Site!$B$33:$G$40, MATCH(Tab_Calculs[[#This Row],[Compteur]], Site!$B$33:$B$40,0),2))</f>
        <v/>
      </c>
      <c r="H291" s="3">
        <f t="array" aca="1" ref="H291" ca="1">MIN(IF(INDIRECT(CONCATENATE(Tab_Calculs[[#This Row],[Colonne1]],"!$B$2:$B$243"))&gt;=Calculs_Consos!$A291,INDIRECT(CONCATENATE(Tab_Calculs[[#This Row],[Colonne1]],"!$B$2:$B$243"))))</f>
        <v>0</v>
      </c>
      <c r="I291" s="3" t="e">
        <f ca="1">INDEX(INDIRECT(CONCATENATE("Tab_",Tab_Calculs[[#This Row],[Colonne1]])),Tab_Calculs[[#This Row],[index_date_livraison]],1)</f>
        <v>#NUM!</v>
      </c>
      <c r="J291">
        <f ca="1">MATCH(Tab_Calculs[[#This Row],[Date_livraison]],INDIRECT(CONCATENATE("Tab_",Tab_Calculs[[#This Row],[Colonne1]],"[Fin de période]")),0)</f>
        <v>1</v>
      </c>
      <c r="K291" t="e">
        <f ca="1">INDEX(INDIRECT(CONCATENATE("Tab_",Tab_Calculs[[#This Row],[Colonne1]])),Tab_Calculs[[#This Row],[index_date_livraison]]-1,6)*(MAX(Tab_Calculs[[#This Row],[Début periode livraison]],Tab_Calculs[[#This Row],[Début mois]])-Tab_Calculs[[#This Row],[Début mois]])</f>
        <v>#VALUE!</v>
      </c>
      <c r="L291" s="94" t="e">
        <f ca="1">INDEX(INDIRECT(CONCATENATE("Tab_",Tab_Calculs[[#This Row],[Colonne1]])),Tab_Calculs[[#This Row],[index_date_livraison]],6)*(1+MIN(Tab_Calculs[[#This Row],[Date_livraison]],Tab_Calculs[[#This Row],[fin mois]])-MAX(Tab_Calculs[[#This Row],[Début mois]],Tab_Calculs[[#This Row],[Début periode livraison]]))</f>
        <v>#NUM!</v>
      </c>
      <c r="M291" s="94" t="e">
        <f ca="1">INDEX(INDIRECT(CONCATENATE("Tab_",Tab_Calculs[[#This Row],[Colonne1]])),Tab_Calculs[[#This Row],[index_date_livraison]]+1,6)*(Tab_Calculs[[#This Row],[fin mois]]-MIN(Tab_Calculs[[#This Row],[fin mois]],Tab_Calculs[[#This Row],[Date_livraison]]))</f>
        <v>#VALUE!</v>
      </c>
      <c r="N291" s="231" t="str">
        <f ca="1">IFERROR(Tab_Calculs[[#This Row],[Ratio_jour_après_livr]]+Tab_Calculs[[#This Row],[Ratio_jour_avant_livr]]+Tab_Calculs[[#This Row],[ratio_avant_debut]],"")</f>
        <v/>
      </c>
      <c r="O291" t="e">
        <f ca="1">INDEX(INDIRECT(CONCATENATE("Tab_",Tab_Calculs[[#This Row],[Colonne1]])),Tab_Calculs[[#This Row],[index_date_livraison]]-1,7)*(MAX(Tab_Calculs[[#This Row],[Début periode livraison]],Tab_Calculs[[#This Row],[Début mois]])-Tab_Calculs[[#This Row],[Début mois]])</f>
        <v>#VALUE!</v>
      </c>
      <c r="P291" t="e">
        <f ca="1">INDEX(INDIRECT(CONCATENATE("Tab_",Tab_Calculs[[#This Row],[Colonne1]])),Tab_Calculs[[#This Row],[index_date_livraison]],7)*(1+MIN(Tab_Calculs[[#This Row],[Date_livraison]],Tab_Calculs[[#This Row],[fin mois]])-MAX(Tab_Calculs[[#This Row],[Début mois]],Tab_Calculs[[#This Row],[Début periode livraison]]))</f>
        <v>#NUM!</v>
      </c>
      <c r="Q291" t="e">
        <f ca="1">INDEX(INDIRECT(CONCATENATE("Tab_",Tab_Calculs[[#This Row],[Colonne1]])),Tab_Calculs[[#This Row],[index_date_livraison]]+1,7)*(Tab_Calculs[[#This Row],[fin mois]]-MIN(Tab_Calculs[[#This Row],[fin mois]],Tab_Calculs[[#This Row],[Date_livraison]]))</f>
        <v>#VALUE!</v>
      </c>
      <c r="R291" t="e">
        <f ca="1">Tab_Calculs[[#This Row],[Ratio_Cout_après_livr]]+Tab_Calculs[[#This Row],[Ratio_Cout_avant_livr]]+Tab_Calculs[[#This Row],[Ratio_Cout_avant_debut]]</f>
        <v>#VALUE!</v>
      </c>
      <c r="S291" t="str">
        <f ca="1">IFERROR(N291*VLOOKUP(Tab_Calculs[[#This Row],[Colonne1]],Controle_des_données!$B$7:$G$14,6,FALSE),"")</f>
        <v/>
      </c>
      <c r="T291" t="str">
        <f ca="1">IF(Tab_Calculs[[#This Row],[Combustible ]]="Electricité (kWh)",Tab_Calculs[[#This Row],[Conso_mois_kWh]]*2.3,Tab_Calculs[[#This Row],[Conso_mois_kWh]])</f>
        <v/>
      </c>
      <c r="U291" t="str">
        <f ca="1">IFERROR(N291*VLOOKUP(Tab_Calculs[[#This Row],[Colonne1]],Controle_des_données!$B$7:$H$14,7,FALSE),"")</f>
        <v/>
      </c>
      <c r="V291">
        <f ca="1">IFERROR(Tab_Calculs[[#This Row],[Cout_mois]]/Tab_Calculs[[#This Row],[Conso_mois_kWh]],0)</f>
        <v>0</v>
      </c>
      <c r="W291" t="str">
        <f>T(VLOOKUP(Tab_Calculs[[#This Row],[Compteur]],Site!$B$33:$G$40,3,FALSE))</f>
        <v/>
      </c>
      <c r="X291" t="str">
        <f>T(VLOOKUP(Tab_Calculs[[#This Row],[Compteur]],Site!$B$33:$G$40,4,FALSE))</f>
        <v/>
      </c>
      <c r="Y291" t="str">
        <f>T(VLOOKUP(Tab_Calculs[[#This Row],[Compteur]],Site!$B$33:$G$40,5,FALSE))</f>
        <v/>
      </c>
      <c r="Z291" t="str">
        <f>T(VLOOKUP(Tab_Calculs[[#This Row],[Compteur]],Site!$B$33:$G$40,6,FALSE))</f>
        <v/>
      </c>
      <c r="AA291">
        <f>IFERROR(GETPIVOTDATA("DJU(chauffagiste)",BDD_DJU!$P$13,"annee",Tab_Calculs[[#This Row],[ANNEE]],"mois_numero",Tab_Calculs[[#This Row],[MOIS]]),0)</f>
        <v>23.6</v>
      </c>
    </row>
    <row r="292" spans="1:27" x14ac:dyDescent="0.25">
      <c r="A292" s="3">
        <f>DATE(Tab_Calculs[[#This Row],[ANNEE]],Tab_Calculs[[#This Row],[MOIS]],1)</f>
        <v>42948</v>
      </c>
      <c r="B292" s="3">
        <f>EDATE(Tab_Calculs[[#This Row],[Début mois]],1)-1</f>
        <v>42978</v>
      </c>
      <c r="C292">
        <f t="shared" si="8"/>
        <v>8</v>
      </c>
      <c r="D292">
        <f t="shared" si="7"/>
        <v>2017</v>
      </c>
      <c r="E292" t="s">
        <v>81</v>
      </c>
      <c r="F292" t="str">
        <f>SUBSTITUTE(Tab_Calculs[[#This Row],[Compteur]]," ","_")</f>
        <v>Compteur_2</v>
      </c>
      <c r="G292" t="str">
        <f>T(INDEX(Site!$B$33:$G$40, MATCH(Tab_Calculs[[#This Row],[Compteur]], Site!$B$33:$B$40,0),2))</f>
        <v/>
      </c>
      <c r="H292" s="3">
        <f t="array" aca="1" ref="H292" ca="1">MIN(IF(INDIRECT(CONCATENATE(Tab_Calculs[[#This Row],[Colonne1]],"!$B$2:$B$243"))&gt;=Calculs_Consos!$A292,INDIRECT(CONCATENATE(Tab_Calculs[[#This Row],[Colonne1]],"!$B$2:$B$243"))))</f>
        <v>0</v>
      </c>
      <c r="I292" s="3" t="e">
        <f ca="1">INDEX(INDIRECT(CONCATENATE("Tab_",Tab_Calculs[[#This Row],[Colonne1]])),Tab_Calculs[[#This Row],[index_date_livraison]],1)</f>
        <v>#NUM!</v>
      </c>
      <c r="J292">
        <f ca="1">MATCH(Tab_Calculs[[#This Row],[Date_livraison]],INDIRECT(CONCATENATE("Tab_",Tab_Calculs[[#This Row],[Colonne1]],"[Fin de période]")),0)</f>
        <v>1</v>
      </c>
      <c r="K292" t="e">
        <f ca="1">INDEX(INDIRECT(CONCATENATE("Tab_",Tab_Calculs[[#This Row],[Colonne1]])),Tab_Calculs[[#This Row],[index_date_livraison]]-1,6)*(MAX(Tab_Calculs[[#This Row],[Début periode livraison]],Tab_Calculs[[#This Row],[Début mois]])-Tab_Calculs[[#This Row],[Début mois]])</f>
        <v>#VALUE!</v>
      </c>
      <c r="L292" s="94" t="e">
        <f ca="1">INDEX(INDIRECT(CONCATENATE("Tab_",Tab_Calculs[[#This Row],[Colonne1]])),Tab_Calculs[[#This Row],[index_date_livraison]],6)*(1+MIN(Tab_Calculs[[#This Row],[Date_livraison]],Tab_Calculs[[#This Row],[fin mois]])-MAX(Tab_Calculs[[#This Row],[Début mois]],Tab_Calculs[[#This Row],[Début periode livraison]]))</f>
        <v>#NUM!</v>
      </c>
      <c r="M292" s="94" t="e">
        <f ca="1">INDEX(INDIRECT(CONCATENATE("Tab_",Tab_Calculs[[#This Row],[Colonne1]])),Tab_Calculs[[#This Row],[index_date_livraison]]+1,6)*(Tab_Calculs[[#This Row],[fin mois]]-MIN(Tab_Calculs[[#This Row],[fin mois]],Tab_Calculs[[#This Row],[Date_livraison]]))</f>
        <v>#VALUE!</v>
      </c>
      <c r="N292" s="231" t="str">
        <f ca="1">IFERROR(Tab_Calculs[[#This Row],[Ratio_jour_après_livr]]+Tab_Calculs[[#This Row],[Ratio_jour_avant_livr]]+Tab_Calculs[[#This Row],[ratio_avant_debut]],"")</f>
        <v/>
      </c>
      <c r="O292" t="e">
        <f ca="1">INDEX(INDIRECT(CONCATENATE("Tab_",Tab_Calculs[[#This Row],[Colonne1]])),Tab_Calculs[[#This Row],[index_date_livraison]]-1,7)*(MAX(Tab_Calculs[[#This Row],[Début periode livraison]],Tab_Calculs[[#This Row],[Début mois]])-Tab_Calculs[[#This Row],[Début mois]])</f>
        <v>#VALUE!</v>
      </c>
      <c r="P292" t="e">
        <f ca="1">INDEX(INDIRECT(CONCATENATE("Tab_",Tab_Calculs[[#This Row],[Colonne1]])),Tab_Calculs[[#This Row],[index_date_livraison]],7)*(1+MIN(Tab_Calculs[[#This Row],[Date_livraison]],Tab_Calculs[[#This Row],[fin mois]])-MAX(Tab_Calculs[[#This Row],[Début mois]],Tab_Calculs[[#This Row],[Début periode livraison]]))</f>
        <v>#NUM!</v>
      </c>
      <c r="Q292" t="e">
        <f ca="1">INDEX(INDIRECT(CONCATENATE("Tab_",Tab_Calculs[[#This Row],[Colonne1]])),Tab_Calculs[[#This Row],[index_date_livraison]]+1,7)*(Tab_Calculs[[#This Row],[fin mois]]-MIN(Tab_Calculs[[#This Row],[fin mois]],Tab_Calculs[[#This Row],[Date_livraison]]))</f>
        <v>#VALUE!</v>
      </c>
      <c r="R292" t="e">
        <f ca="1">Tab_Calculs[[#This Row],[Ratio_Cout_après_livr]]+Tab_Calculs[[#This Row],[Ratio_Cout_avant_livr]]+Tab_Calculs[[#This Row],[Ratio_Cout_avant_debut]]</f>
        <v>#VALUE!</v>
      </c>
      <c r="S292" t="str">
        <f ca="1">IFERROR(N292*VLOOKUP(Tab_Calculs[[#This Row],[Colonne1]],Controle_des_données!$B$7:$G$14,6,FALSE),"")</f>
        <v/>
      </c>
      <c r="T292" t="str">
        <f ca="1">IF(Tab_Calculs[[#This Row],[Combustible ]]="Electricité (kWh)",Tab_Calculs[[#This Row],[Conso_mois_kWh]]*2.3,Tab_Calculs[[#This Row],[Conso_mois_kWh]])</f>
        <v/>
      </c>
      <c r="U292" t="str">
        <f ca="1">IFERROR(N292*VLOOKUP(Tab_Calculs[[#This Row],[Colonne1]],Controle_des_données!$B$7:$H$14,7,FALSE),"")</f>
        <v/>
      </c>
      <c r="V292">
        <f ca="1">IFERROR(Tab_Calculs[[#This Row],[Cout_mois]]/Tab_Calculs[[#This Row],[Conso_mois_kWh]],0)</f>
        <v>0</v>
      </c>
      <c r="W292" t="str">
        <f>T(VLOOKUP(Tab_Calculs[[#This Row],[Compteur]],Site!$B$33:$G$40,3,FALSE))</f>
        <v/>
      </c>
      <c r="X292" t="str">
        <f>T(VLOOKUP(Tab_Calculs[[#This Row],[Compteur]],Site!$B$33:$G$40,4,FALSE))</f>
        <v/>
      </c>
      <c r="Y292" t="str">
        <f>T(VLOOKUP(Tab_Calculs[[#This Row],[Compteur]],Site!$B$33:$G$40,5,FALSE))</f>
        <v/>
      </c>
      <c r="Z292" t="str">
        <f>T(VLOOKUP(Tab_Calculs[[#This Row],[Compteur]],Site!$B$33:$G$40,6,FALSE))</f>
        <v/>
      </c>
      <c r="AA292">
        <f>IFERROR(GETPIVOTDATA("DJU(chauffagiste)",BDD_DJU!$P$13,"annee",Tab_Calculs[[#This Row],[ANNEE]],"mois_numero",Tab_Calculs[[#This Row],[MOIS]]),0)</f>
        <v>32.200000000000003</v>
      </c>
    </row>
    <row r="293" spans="1:27" x14ac:dyDescent="0.25">
      <c r="A293" s="3">
        <f>DATE(Tab_Calculs[[#This Row],[ANNEE]],Tab_Calculs[[#This Row],[MOIS]],1)</f>
        <v>42979</v>
      </c>
      <c r="B293" s="3">
        <f>EDATE(Tab_Calculs[[#This Row],[Début mois]],1)-1</f>
        <v>43008</v>
      </c>
      <c r="C293">
        <f t="shared" si="8"/>
        <v>9</v>
      </c>
      <c r="D293">
        <f t="shared" si="7"/>
        <v>2017</v>
      </c>
      <c r="E293" t="s">
        <v>81</v>
      </c>
      <c r="F293" t="str">
        <f>SUBSTITUTE(Tab_Calculs[[#This Row],[Compteur]]," ","_")</f>
        <v>Compteur_2</v>
      </c>
      <c r="G293" t="str">
        <f>T(INDEX(Site!$B$33:$G$40, MATCH(Tab_Calculs[[#This Row],[Compteur]], Site!$B$33:$B$40,0),2))</f>
        <v/>
      </c>
      <c r="H293" s="3">
        <f t="array" aca="1" ref="H293" ca="1">MIN(IF(INDIRECT(CONCATENATE(Tab_Calculs[[#This Row],[Colonne1]],"!$B$2:$B$243"))&gt;=Calculs_Consos!$A293,INDIRECT(CONCATENATE(Tab_Calculs[[#This Row],[Colonne1]],"!$B$2:$B$243"))))</f>
        <v>0</v>
      </c>
      <c r="I293" s="3" t="e">
        <f ca="1">INDEX(INDIRECT(CONCATENATE("Tab_",Tab_Calculs[[#This Row],[Colonne1]])),Tab_Calculs[[#This Row],[index_date_livraison]],1)</f>
        <v>#NUM!</v>
      </c>
      <c r="J293">
        <f ca="1">MATCH(Tab_Calculs[[#This Row],[Date_livraison]],INDIRECT(CONCATENATE("Tab_",Tab_Calculs[[#This Row],[Colonne1]],"[Fin de période]")),0)</f>
        <v>1</v>
      </c>
      <c r="K293" t="e">
        <f ca="1">INDEX(INDIRECT(CONCATENATE("Tab_",Tab_Calculs[[#This Row],[Colonne1]])),Tab_Calculs[[#This Row],[index_date_livraison]]-1,6)*(MAX(Tab_Calculs[[#This Row],[Début periode livraison]],Tab_Calculs[[#This Row],[Début mois]])-Tab_Calculs[[#This Row],[Début mois]])</f>
        <v>#VALUE!</v>
      </c>
      <c r="L293" s="94" t="e">
        <f ca="1">INDEX(INDIRECT(CONCATENATE("Tab_",Tab_Calculs[[#This Row],[Colonne1]])),Tab_Calculs[[#This Row],[index_date_livraison]],6)*(1+MIN(Tab_Calculs[[#This Row],[Date_livraison]],Tab_Calculs[[#This Row],[fin mois]])-MAX(Tab_Calculs[[#This Row],[Début mois]],Tab_Calculs[[#This Row],[Début periode livraison]]))</f>
        <v>#NUM!</v>
      </c>
      <c r="M293" s="94" t="e">
        <f ca="1">INDEX(INDIRECT(CONCATENATE("Tab_",Tab_Calculs[[#This Row],[Colonne1]])),Tab_Calculs[[#This Row],[index_date_livraison]]+1,6)*(Tab_Calculs[[#This Row],[fin mois]]-MIN(Tab_Calculs[[#This Row],[fin mois]],Tab_Calculs[[#This Row],[Date_livraison]]))</f>
        <v>#VALUE!</v>
      </c>
      <c r="N293" s="231" t="str">
        <f ca="1">IFERROR(Tab_Calculs[[#This Row],[Ratio_jour_après_livr]]+Tab_Calculs[[#This Row],[Ratio_jour_avant_livr]]+Tab_Calculs[[#This Row],[ratio_avant_debut]],"")</f>
        <v/>
      </c>
      <c r="O293" t="e">
        <f ca="1">INDEX(INDIRECT(CONCATENATE("Tab_",Tab_Calculs[[#This Row],[Colonne1]])),Tab_Calculs[[#This Row],[index_date_livraison]]-1,7)*(MAX(Tab_Calculs[[#This Row],[Début periode livraison]],Tab_Calculs[[#This Row],[Début mois]])-Tab_Calculs[[#This Row],[Début mois]])</f>
        <v>#VALUE!</v>
      </c>
      <c r="P293" t="e">
        <f ca="1">INDEX(INDIRECT(CONCATENATE("Tab_",Tab_Calculs[[#This Row],[Colonne1]])),Tab_Calculs[[#This Row],[index_date_livraison]],7)*(1+MIN(Tab_Calculs[[#This Row],[Date_livraison]],Tab_Calculs[[#This Row],[fin mois]])-MAX(Tab_Calculs[[#This Row],[Début mois]],Tab_Calculs[[#This Row],[Début periode livraison]]))</f>
        <v>#NUM!</v>
      </c>
      <c r="Q293" t="e">
        <f ca="1">INDEX(INDIRECT(CONCATENATE("Tab_",Tab_Calculs[[#This Row],[Colonne1]])),Tab_Calculs[[#This Row],[index_date_livraison]]+1,7)*(Tab_Calculs[[#This Row],[fin mois]]-MIN(Tab_Calculs[[#This Row],[fin mois]],Tab_Calculs[[#This Row],[Date_livraison]]))</f>
        <v>#VALUE!</v>
      </c>
      <c r="R293" t="e">
        <f ca="1">Tab_Calculs[[#This Row],[Ratio_Cout_après_livr]]+Tab_Calculs[[#This Row],[Ratio_Cout_avant_livr]]+Tab_Calculs[[#This Row],[Ratio_Cout_avant_debut]]</f>
        <v>#VALUE!</v>
      </c>
      <c r="S293" t="str">
        <f ca="1">IFERROR(N293*VLOOKUP(Tab_Calculs[[#This Row],[Colonne1]],Controle_des_données!$B$7:$G$14,6,FALSE),"")</f>
        <v/>
      </c>
      <c r="T293" t="str">
        <f ca="1">IF(Tab_Calculs[[#This Row],[Combustible ]]="Electricité (kWh)",Tab_Calculs[[#This Row],[Conso_mois_kWh]]*2.3,Tab_Calculs[[#This Row],[Conso_mois_kWh]])</f>
        <v/>
      </c>
      <c r="U293" t="str">
        <f ca="1">IFERROR(N293*VLOOKUP(Tab_Calculs[[#This Row],[Colonne1]],Controle_des_données!$B$7:$H$14,7,FALSE),"")</f>
        <v/>
      </c>
      <c r="V293">
        <f ca="1">IFERROR(Tab_Calculs[[#This Row],[Cout_mois]]/Tab_Calculs[[#This Row],[Conso_mois_kWh]],0)</f>
        <v>0</v>
      </c>
      <c r="W293" t="str">
        <f>T(VLOOKUP(Tab_Calculs[[#This Row],[Compteur]],Site!$B$33:$G$40,3,FALSE))</f>
        <v/>
      </c>
      <c r="X293" t="str">
        <f>T(VLOOKUP(Tab_Calculs[[#This Row],[Compteur]],Site!$B$33:$G$40,4,FALSE))</f>
        <v/>
      </c>
      <c r="Y293" t="str">
        <f>T(VLOOKUP(Tab_Calculs[[#This Row],[Compteur]],Site!$B$33:$G$40,5,FALSE))</f>
        <v/>
      </c>
      <c r="Z293" t="str">
        <f>T(VLOOKUP(Tab_Calculs[[#This Row],[Compteur]],Site!$B$33:$G$40,6,FALSE))</f>
        <v/>
      </c>
      <c r="AA293">
        <f>IFERROR(GETPIVOTDATA("DJU(chauffagiste)",BDD_DJU!$P$13,"annee",Tab_Calculs[[#This Row],[ANNEE]],"mois_numero",Tab_Calculs[[#This Row],[MOIS]]),0)</f>
        <v>82.3</v>
      </c>
    </row>
    <row r="294" spans="1:27" x14ac:dyDescent="0.25">
      <c r="A294" s="3">
        <f>DATE(Tab_Calculs[[#This Row],[ANNEE]],Tab_Calculs[[#This Row],[MOIS]],1)</f>
        <v>43009</v>
      </c>
      <c r="B294" s="3">
        <f>EDATE(Tab_Calculs[[#This Row],[Début mois]],1)-1</f>
        <v>43039</v>
      </c>
      <c r="C294">
        <f t="shared" si="8"/>
        <v>10</v>
      </c>
      <c r="D294">
        <f t="shared" si="7"/>
        <v>2017</v>
      </c>
      <c r="E294" t="s">
        <v>81</v>
      </c>
      <c r="F294" t="str">
        <f>SUBSTITUTE(Tab_Calculs[[#This Row],[Compteur]]," ","_")</f>
        <v>Compteur_2</v>
      </c>
      <c r="G294" t="str">
        <f>T(INDEX(Site!$B$33:$G$40, MATCH(Tab_Calculs[[#This Row],[Compteur]], Site!$B$33:$B$40,0),2))</f>
        <v/>
      </c>
      <c r="H294" s="3">
        <f t="array" aca="1" ref="H294" ca="1">MIN(IF(INDIRECT(CONCATENATE(Tab_Calculs[[#This Row],[Colonne1]],"!$B$2:$B$243"))&gt;=Calculs_Consos!$A294,INDIRECT(CONCATENATE(Tab_Calculs[[#This Row],[Colonne1]],"!$B$2:$B$243"))))</f>
        <v>0</v>
      </c>
      <c r="I294" s="3" t="e">
        <f ca="1">INDEX(INDIRECT(CONCATENATE("Tab_",Tab_Calculs[[#This Row],[Colonne1]])),Tab_Calculs[[#This Row],[index_date_livraison]],1)</f>
        <v>#NUM!</v>
      </c>
      <c r="J294">
        <f ca="1">MATCH(Tab_Calculs[[#This Row],[Date_livraison]],INDIRECT(CONCATENATE("Tab_",Tab_Calculs[[#This Row],[Colonne1]],"[Fin de période]")),0)</f>
        <v>1</v>
      </c>
      <c r="K294" t="e">
        <f ca="1">INDEX(INDIRECT(CONCATENATE("Tab_",Tab_Calculs[[#This Row],[Colonne1]])),Tab_Calculs[[#This Row],[index_date_livraison]]-1,6)*(MAX(Tab_Calculs[[#This Row],[Début periode livraison]],Tab_Calculs[[#This Row],[Début mois]])-Tab_Calculs[[#This Row],[Début mois]])</f>
        <v>#VALUE!</v>
      </c>
      <c r="L294" s="94" t="e">
        <f ca="1">INDEX(INDIRECT(CONCATENATE("Tab_",Tab_Calculs[[#This Row],[Colonne1]])),Tab_Calculs[[#This Row],[index_date_livraison]],6)*(1+MIN(Tab_Calculs[[#This Row],[Date_livraison]],Tab_Calculs[[#This Row],[fin mois]])-MAX(Tab_Calculs[[#This Row],[Début mois]],Tab_Calculs[[#This Row],[Début periode livraison]]))</f>
        <v>#NUM!</v>
      </c>
      <c r="M294" s="94" t="e">
        <f ca="1">INDEX(INDIRECT(CONCATENATE("Tab_",Tab_Calculs[[#This Row],[Colonne1]])),Tab_Calculs[[#This Row],[index_date_livraison]]+1,6)*(Tab_Calculs[[#This Row],[fin mois]]-MIN(Tab_Calculs[[#This Row],[fin mois]],Tab_Calculs[[#This Row],[Date_livraison]]))</f>
        <v>#VALUE!</v>
      </c>
      <c r="N294" s="231" t="str">
        <f ca="1">IFERROR(Tab_Calculs[[#This Row],[Ratio_jour_après_livr]]+Tab_Calculs[[#This Row],[Ratio_jour_avant_livr]]+Tab_Calculs[[#This Row],[ratio_avant_debut]],"")</f>
        <v/>
      </c>
      <c r="O294" t="e">
        <f ca="1">INDEX(INDIRECT(CONCATENATE("Tab_",Tab_Calculs[[#This Row],[Colonne1]])),Tab_Calculs[[#This Row],[index_date_livraison]]-1,7)*(MAX(Tab_Calculs[[#This Row],[Début periode livraison]],Tab_Calculs[[#This Row],[Début mois]])-Tab_Calculs[[#This Row],[Début mois]])</f>
        <v>#VALUE!</v>
      </c>
      <c r="P294" t="e">
        <f ca="1">INDEX(INDIRECT(CONCATENATE("Tab_",Tab_Calculs[[#This Row],[Colonne1]])),Tab_Calculs[[#This Row],[index_date_livraison]],7)*(1+MIN(Tab_Calculs[[#This Row],[Date_livraison]],Tab_Calculs[[#This Row],[fin mois]])-MAX(Tab_Calculs[[#This Row],[Début mois]],Tab_Calculs[[#This Row],[Début periode livraison]]))</f>
        <v>#NUM!</v>
      </c>
      <c r="Q294" t="e">
        <f ca="1">INDEX(INDIRECT(CONCATENATE("Tab_",Tab_Calculs[[#This Row],[Colonne1]])),Tab_Calculs[[#This Row],[index_date_livraison]]+1,7)*(Tab_Calculs[[#This Row],[fin mois]]-MIN(Tab_Calculs[[#This Row],[fin mois]],Tab_Calculs[[#This Row],[Date_livraison]]))</f>
        <v>#VALUE!</v>
      </c>
      <c r="R294" t="e">
        <f ca="1">Tab_Calculs[[#This Row],[Ratio_Cout_après_livr]]+Tab_Calculs[[#This Row],[Ratio_Cout_avant_livr]]+Tab_Calculs[[#This Row],[Ratio_Cout_avant_debut]]</f>
        <v>#VALUE!</v>
      </c>
      <c r="S294" t="str">
        <f ca="1">IFERROR(N294*VLOOKUP(Tab_Calculs[[#This Row],[Colonne1]],Controle_des_données!$B$7:$G$14,6,FALSE),"")</f>
        <v/>
      </c>
      <c r="T294" t="str">
        <f ca="1">IF(Tab_Calculs[[#This Row],[Combustible ]]="Electricité (kWh)",Tab_Calculs[[#This Row],[Conso_mois_kWh]]*2.3,Tab_Calculs[[#This Row],[Conso_mois_kWh]])</f>
        <v/>
      </c>
      <c r="U294" t="str">
        <f ca="1">IFERROR(N294*VLOOKUP(Tab_Calculs[[#This Row],[Colonne1]],Controle_des_données!$B$7:$H$14,7,FALSE),"")</f>
        <v/>
      </c>
      <c r="V294">
        <f ca="1">IFERROR(Tab_Calculs[[#This Row],[Cout_mois]]/Tab_Calculs[[#This Row],[Conso_mois_kWh]],0)</f>
        <v>0</v>
      </c>
      <c r="W294" t="str">
        <f>T(VLOOKUP(Tab_Calculs[[#This Row],[Compteur]],Site!$B$33:$G$40,3,FALSE))</f>
        <v/>
      </c>
      <c r="X294" t="str">
        <f>T(VLOOKUP(Tab_Calculs[[#This Row],[Compteur]],Site!$B$33:$G$40,4,FALSE))</f>
        <v/>
      </c>
      <c r="Y294" t="str">
        <f>T(VLOOKUP(Tab_Calculs[[#This Row],[Compteur]],Site!$B$33:$G$40,5,FALSE))</f>
        <v/>
      </c>
      <c r="Z294" t="str">
        <f>T(VLOOKUP(Tab_Calculs[[#This Row],[Compteur]],Site!$B$33:$G$40,6,FALSE))</f>
        <v/>
      </c>
      <c r="AA294">
        <f>IFERROR(GETPIVOTDATA("DJU(chauffagiste)",BDD_DJU!$P$13,"annee",Tab_Calculs[[#This Row],[ANNEE]],"mois_numero",Tab_Calculs[[#This Row],[MOIS]]),0)</f>
        <v>126.4</v>
      </c>
    </row>
    <row r="295" spans="1:27" x14ac:dyDescent="0.25">
      <c r="A295" s="3">
        <f>DATE(Tab_Calculs[[#This Row],[ANNEE]],Tab_Calculs[[#This Row],[MOIS]],1)</f>
        <v>43040</v>
      </c>
      <c r="B295" s="3">
        <f>EDATE(Tab_Calculs[[#This Row],[Début mois]],1)-1</f>
        <v>43069</v>
      </c>
      <c r="C295">
        <f t="shared" si="8"/>
        <v>11</v>
      </c>
      <c r="D295">
        <f t="shared" si="7"/>
        <v>2017</v>
      </c>
      <c r="E295" t="s">
        <v>81</v>
      </c>
      <c r="F295" t="str">
        <f>SUBSTITUTE(Tab_Calculs[[#This Row],[Compteur]]," ","_")</f>
        <v>Compteur_2</v>
      </c>
      <c r="G295" t="str">
        <f>T(INDEX(Site!$B$33:$G$40, MATCH(Tab_Calculs[[#This Row],[Compteur]], Site!$B$33:$B$40,0),2))</f>
        <v/>
      </c>
      <c r="H295" s="3">
        <f t="array" aca="1" ref="H295" ca="1">MIN(IF(INDIRECT(CONCATENATE(Tab_Calculs[[#This Row],[Colonne1]],"!$B$2:$B$243"))&gt;=Calculs_Consos!$A295,INDIRECT(CONCATENATE(Tab_Calculs[[#This Row],[Colonne1]],"!$B$2:$B$243"))))</f>
        <v>0</v>
      </c>
      <c r="I295" s="3" t="e">
        <f ca="1">INDEX(INDIRECT(CONCATENATE("Tab_",Tab_Calculs[[#This Row],[Colonne1]])),Tab_Calculs[[#This Row],[index_date_livraison]],1)</f>
        <v>#NUM!</v>
      </c>
      <c r="J295">
        <f ca="1">MATCH(Tab_Calculs[[#This Row],[Date_livraison]],INDIRECT(CONCATENATE("Tab_",Tab_Calculs[[#This Row],[Colonne1]],"[Fin de période]")),0)</f>
        <v>1</v>
      </c>
      <c r="K295" t="e">
        <f ca="1">INDEX(INDIRECT(CONCATENATE("Tab_",Tab_Calculs[[#This Row],[Colonne1]])),Tab_Calculs[[#This Row],[index_date_livraison]]-1,6)*(MAX(Tab_Calculs[[#This Row],[Début periode livraison]],Tab_Calculs[[#This Row],[Début mois]])-Tab_Calculs[[#This Row],[Début mois]])</f>
        <v>#VALUE!</v>
      </c>
      <c r="L295" s="94" t="e">
        <f ca="1">INDEX(INDIRECT(CONCATENATE("Tab_",Tab_Calculs[[#This Row],[Colonne1]])),Tab_Calculs[[#This Row],[index_date_livraison]],6)*(1+MIN(Tab_Calculs[[#This Row],[Date_livraison]],Tab_Calculs[[#This Row],[fin mois]])-MAX(Tab_Calculs[[#This Row],[Début mois]],Tab_Calculs[[#This Row],[Début periode livraison]]))</f>
        <v>#NUM!</v>
      </c>
      <c r="M295" s="94" t="e">
        <f ca="1">INDEX(INDIRECT(CONCATENATE("Tab_",Tab_Calculs[[#This Row],[Colonne1]])),Tab_Calculs[[#This Row],[index_date_livraison]]+1,6)*(Tab_Calculs[[#This Row],[fin mois]]-MIN(Tab_Calculs[[#This Row],[fin mois]],Tab_Calculs[[#This Row],[Date_livraison]]))</f>
        <v>#VALUE!</v>
      </c>
      <c r="N295" s="231" t="str">
        <f ca="1">IFERROR(Tab_Calculs[[#This Row],[Ratio_jour_après_livr]]+Tab_Calculs[[#This Row],[Ratio_jour_avant_livr]]+Tab_Calculs[[#This Row],[ratio_avant_debut]],"")</f>
        <v/>
      </c>
      <c r="O295" t="e">
        <f ca="1">INDEX(INDIRECT(CONCATENATE("Tab_",Tab_Calculs[[#This Row],[Colonne1]])),Tab_Calculs[[#This Row],[index_date_livraison]]-1,7)*(MAX(Tab_Calculs[[#This Row],[Début periode livraison]],Tab_Calculs[[#This Row],[Début mois]])-Tab_Calculs[[#This Row],[Début mois]])</f>
        <v>#VALUE!</v>
      </c>
      <c r="P295" t="e">
        <f ca="1">INDEX(INDIRECT(CONCATENATE("Tab_",Tab_Calculs[[#This Row],[Colonne1]])),Tab_Calculs[[#This Row],[index_date_livraison]],7)*(1+MIN(Tab_Calculs[[#This Row],[Date_livraison]],Tab_Calculs[[#This Row],[fin mois]])-MAX(Tab_Calculs[[#This Row],[Début mois]],Tab_Calculs[[#This Row],[Début periode livraison]]))</f>
        <v>#NUM!</v>
      </c>
      <c r="Q295" t="e">
        <f ca="1">INDEX(INDIRECT(CONCATENATE("Tab_",Tab_Calculs[[#This Row],[Colonne1]])),Tab_Calculs[[#This Row],[index_date_livraison]]+1,7)*(Tab_Calculs[[#This Row],[fin mois]]-MIN(Tab_Calculs[[#This Row],[fin mois]],Tab_Calculs[[#This Row],[Date_livraison]]))</f>
        <v>#VALUE!</v>
      </c>
      <c r="R295" t="e">
        <f ca="1">Tab_Calculs[[#This Row],[Ratio_Cout_après_livr]]+Tab_Calculs[[#This Row],[Ratio_Cout_avant_livr]]+Tab_Calculs[[#This Row],[Ratio_Cout_avant_debut]]</f>
        <v>#VALUE!</v>
      </c>
      <c r="S295" t="str">
        <f ca="1">IFERROR(N295*VLOOKUP(Tab_Calculs[[#This Row],[Colonne1]],Controle_des_données!$B$7:$G$14,6,FALSE),"")</f>
        <v/>
      </c>
      <c r="T295" t="str">
        <f ca="1">IF(Tab_Calculs[[#This Row],[Combustible ]]="Electricité (kWh)",Tab_Calculs[[#This Row],[Conso_mois_kWh]]*2.3,Tab_Calculs[[#This Row],[Conso_mois_kWh]])</f>
        <v/>
      </c>
      <c r="U295" t="str">
        <f ca="1">IFERROR(N295*VLOOKUP(Tab_Calculs[[#This Row],[Colonne1]],Controle_des_données!$B$7:$H$14,7,FALSE),"")</f>
        <v/>
      </c>
      <c r="V295">
        <f ca="1">IFERROR(Tab_Calculs[[#This Row],[Cout_mois]]/Tab_Calculs[[#This Row],[Conso_mois_kWh]],0)</f>
        <v>0</v>
      </c>
      <c r="W295" t="str">
        <f>T(VLOOKUP(Tab_Calculs[[#This Row],[Compteur]],Site!$B$33:$G$40,3,FALSE))</f>
        <v/>
      </c>
      <c r="X295" t="str">
        <f>T(VLOOKUP(Tab_Calculs[[#This Row],[Compteur]],Site!$B$33:$G$40,4,FALSE))</f>
        <v/>
      </c>
      <c r="Y295" t="str">
        <f>T(VLOOKUP(Tab_Calculs[[#This Row],[Compteur]],Site!$B$33:$G$40,5,FALSE))</f>
        <v/>
      </c>
      <c r="Z295" t="str">
        <f>T(VLOOKUP(Tab_Calculs[[#This Row],[Compteur]],Site!$B$33:$G$40,6,FALSE))</f>
        <v/>
      </c>
      <c r="AA295">
        <f>IFERROR(GETPIVOTDATA("DJU(chauffagiste)",BDD_DJU!$P$13,"annee",Tab_Calculs[[#This Row],[ANNEE]],"mois_numero",Tab_Calculs[[#This Row],[MOIS]]),0)</f>
        <v>289.89999999999998</v>
      </c>
    </row>
    <row r="296" spans="1:27" x14ac:dyDescent="0.25">
      <c r="A296" s="3">
        <f>DATE(Tab_Calculs[[#This Row],[ANNEE]],Tab_Calculs[[#This Row],[MOIS]],1)</f>
        <v>43070</v>
      </c>
      <c r="B296" s="3">
        <f>EDATE(Tab_Calculs[[#This Row],[Début mois]],1)-1</f>
        <v>43100</v>
      </c>
      <c r="C296">
        <f t="shared" si="8"/>
        <v>12</v>
      </c>
      <c r="D296">
        <f t="shared" si="7"/>
        <v>2017</v>
      </c>
      <c r="E296" t="s">
        <v>81</v>
      </c>
      <c r="F296" t="str">
        <f>SUBSTITUTE(Tab_Calculs[[#This Row],[Compteur]]," ","_")</f>
        <v>Compteur_2</v>
      </c>
      <c r="G296" t="str">
        <f>T(INDEX(Site!$B$33:$G$40, MATCH(Tab_Calculs[[#This Row],[Compteur]], Site!$B$33:$B$40,0),2))</f>
        <v/>
      </c>
      <c r="H296" s="3">
        <f t="array" aca="1" ref="H296" ca="1">MIN(IF(INDIRECT(CONCATENATE(Tab_Calculs[[#This Row],[Colonne1]],"!$B$2:$B$243"))&gt;=Calculs_Consos!$A296,INDIRECT(CONCATENATE(Tab_Calculs[[#This Row],[Colonne1]],"!$B$2:$B$243"))))</f>
        <v>0</v>
      </c>
      <c r="I296" s="3" t="e">
        <f ca="1">INDEX(INDIRECT(CONCATENATE("Tab_",Tab_Calculs[[#This Row],[Colonne1]])),Tab_Calculs[[#This Row],[index_date_livraison]],1)</f>
        <v>#NUM!</v>
      </c>
      <c r="J296">
        <f ca="1">MATCH(Tab_Calculs[[#This Row],[Date_livraison]],INDIRECT(CONCATENATE("Tab_",Tab_Calculs[[#This Row],[Colonne1]],"[Fin de période]")),0)</f>
        <v>1</v>
      </c>
      <c r="K296" t="e">
        <f ca="1">INDEX(INDIRECT(CONCATENATE("Tab_",Tab_Calculs[[#This Row],[Colonne1]])),Tab_Calculs[[#This Row],[index_date_livraison]]-1,6)*(MAX(Tab_Calculs[[#This Row],[Début periode livraison]],Tab_Calculs[[#This Row],[Début mois]])-Tab_Calculs[[#This Row],[Début mois]])</f>
        <v>#VALUE!</v>
      </c>
      <c r="L296" s="94" t="e">
        <f ca="1">INDEX(INDIRECT(CONCATENATE("Tab_",Tab_Calculs[[#This Row],[Colonne1]])),Tab_Calculs[[#This Row],[index_date_livraison]],6)*(1+MIN(Tab_Calculs[[#This Row],[Date_livraison]],Tab_Calculs[[#This Row],[fin mois]])-MAX(Tab_Calculs[[#This Row],[Début mois]],Tab_Calculs[[#This Row],[Début periode livraison]]))</f>
        <v>#NUM!</v>
      </c>
      <c r="M296" s="94" t="e">
        <f ca="1">INDEX(INDIRECT(CONCATENATE("Tab_",Tab_Calculs[[#This Row],[Colonne1]])),Tab_Calculs[[#This Row],[index_date_livraison]]+1,6)*(Tab_Calculs[[#This Row],[fin mois]]-MIN(Tab_Calculs[[#This Row],[fin mois]],Tab_Calculs[[#This Row],[Date_livraison]]))</f>
        <v>#VALUE!</v>
      </c>
      <c r="N296" s="231" t="str">
        <f ca="1">IFERROR(Tab_Calculs[[#This Row],[Ratio_jour_après_livr]]+Tab_Calculs[[#This Row],[Ratio_jour_avant_livr]]+Tab_Calculs[[#This Row],[ratio_avant_debut]],"")</f>
        <v/>
      </c>
      <c r="O296" t="e">
        <f ca="1">INDEX(INDIRECT(CONCATENATE("Tab_",Tab_Calculs[[#This Row],[Colonne1]])),Tab_Calculs[[#This Row],[index_date_livraison]]-1,7)*(MAX(Tab_Calculs[[#This Row],[Début periode livraison]],Tab_Calculs[[#This Row],[Début mois]])-Tab_Calculs[[#This Row],[Début mois]])</f>
        <v>#VALUE!</v>
      </c>
      <c r="P296" t="e">
        <f ca="1">INDEX(INDIRECT(CONCATENATE("Tab_",Tab_Calculs[[#This Row],[Colonne1]])),Tab_Calculs[[#This Row],[index_date_livraison]],7)*(1+MIN(Tab_Calculs[[#This Row],[Date_livraison]],Tab_Calculs[[#This Row],[fin mois]])-MAX(Tab_Calculs[[#This Row],[Début mois]],Tab_Calculs[[#This Row],[Début periode livraison]]))</f>
        <v>#NUM!</v>
      </c>
      <c r="Q296" t="e">
        <f ca="1">INDEX(INDIRECT(CONCATENATE("Tab_",Tab_Calculs[[#This Row],[Colonne1]])),Tab_Calculs[[#This Row],[index_date_livraison]]+1,7)*(Tab_Calculs[[#This Row],[fin mois]]-MIN(Tab_Calculs[[#This Row],[fin mois]],Tab_Calculs[[#This Row],[Date_livraison]]))</f>
        <v>#VALUE!</v>
      </c>
      <c r="R296" t="e">
        <f ca="1">Tab_Calculs[[#This Row],[Ratio_Cout_après_livr]]+Tab_Calculs[[#This Row],[Ratio_Cout_avant_livr]]+Tab_Calculs[[#This Row],[Ratio_Cout_avant_debut]]</f>
        <v>#VALUE!</v>
      </c>
      <c r="S296" t="str">
        <f ca="1">IFERROR(N296*VLOOKUP(Tab_Calculs[[#This Row],[Colonne1]],Controle_des_données!$B$7:$G$14,6,FALSE),"")</f>
        <v/>
      </c>
      <c r="T296" t="str">
        <f ca="1">IF(Tab_Calculs[[#This Row],[Combustible ]]="Electricité (kWh)",Tab_Calculs[[#This Row],[Conso_mois_kWh]]*2.3,Tab_Calculs[[#This Row],[Conso_mois_kWh]])</f>
        <v/>
      </c>
      <c r="U296" t="str">
        <f ca="1">IFERROR(N296*VLOOKUP(Tab_Calculs[[#This Row],[Colonne1]],Controle_des_données!$B$7:$H$14,7,FALSE),"")</f>
        <v/>
      </c>
      <c r="V296">
        <f ca="1">IFERROR(Tab_Calculs[[#This Row],[Cout_mois]]/Tab_Calculs[[#This Row],[Conso_mois_kWh]],0)</f>
        <v>0</v>
      </c>
      <c r="W296" t="str">
        <f>T(VLOOKUP(Tab_Calculs[[#This Row],[Compteur]],Site!$B$33:$G$40,3,FALSE))</f>
        <v/>
      </c>
      <c r="X296" t="str">
        <f>T(VLOOKUP(Tab_Calculs[[#This Row],[Compteur]],Site!$B$33:$G$40,4,FALSE))</f>
        <v/>
      </c>
      <c r="Y296" t="str">
        <f>T(VLOOKUP(Tab_Calculs[[#This Row],[Compteur]],Site!$B$33:$G$40,5,FALSE))</f>
        <v/>
      </c>
      <c r="Z296" t="str">
        <f>T(VLOOKUP(Tab_Calculs[[#This Row],[Compteur]],Site!$B$33:$G$40,6,FALSE))</f>
        <v/>
      </c>
      <c r="AA296">
        <f>IFERROR(GETPIVOTDATA("DJU(chauffagiste)",BDD_DJU!$P$13,"annee",Tab_Calculs[[#This Row],[ANNEE]],"mois_numero",Tab_Calculs[[#This Row],[MOIS]]),0)</f>
        <v>366.2</v>
      </c>
    </row>
    <row r="297" spans="1:27" x14ac:dyDescent="0.25">
      <c r="A297" s="3">
        <f>DATE(Tab_Calculs[[#This Row],[ANNEE]],Tab_Calculs[[#This Row],[MOIS]],1)</f>
        <v>43101</v>
      </c>
      <c r="B297" s="3">
        <f>EDATE(Tab_Calculs[[#This Row],[Début mois]],1)-1</f>
        <v>43131</v>
      </c>
      <c r="C297">
        <f t="shared" si="8"/>
        <v>1</v>
      </c>
      <c r="D297">
        <f t="shared" si="7"/>
        <v>2018</v>
      </c>
      <c r="E297" t="s">
        <v>81</v>
      </c>
      <c r="F297" t="str">
        <f>SUBSTITUTE(Tab_Calculs[[#This Row],[Compteur]]," ","_")</f>
        <v>Compteur_2</v>
      </c>
      <c r="G297" t="str">
        <f>T(INDEX(Site!$B$33:$G$40, MATCH(Tab_Calculs[[#This Row],[Compteur]], Site!$B$33:$B$40,0),2))</f>
        <v/>
      </c>
      <c r="H297" s="3">
        <f t="array" aca="1" ref="H297" ca="1">MIN(IF(INDIRECT(CONCATENATE(Tab_Calculs[[#This Row],[Colonne1]],"!$B$2:$B$243"))&gt;=Calculs_Consos!$A297,INDIRECT(CONCATENATE(Tab_Calculs[[#This Row],[Colonne1]],"!$B$2:$B$243"))))</f>
        <v>0</v>
      </c>
      <c r="I297" s="3" t="e">
        <f ca="1">INDEX(INDIRECT(CONCATENATE("Tab_",Tab_Calculs[[#This Row],[Colonne1]])),Tab_Calculs[[#This Row],[index_date_livraison]],1)</f>
        <v>#NUM!</v>
      </c>
      <c r="J297">
        <f ca="1">MATCH(Tab_Calculs[[#This Row],[Date_livraison]],INDIRECT(CONCATENATE("Tab_",Tab_Calculs[[#This Row],[Colonne1]],"[Fin de période]")),0)</f>
        <v>1</v>
      </c>
      <c r="K297" t="e">
        <f ca="1">INDEX(INDIRECT(CONCATENATE("Tab_",Tab_Calculs[[#This Row],[Colonne1]])),Tab_Calculs[[#This Row],[index_date_livraison]]-1,6)*(MAX(Tab_Calculs[[#This Row],[Début periode livraison]],Tab_Calculs[[#This Row],[Début mois]])-Tab_Calculs[[#This Row],[Début mois]])</f>
        <v>#VALUE!</v>
      </c>
      <c r="L297" s="94" t="e">
        <f ca="1">INDEX(INDIRECT(CONCATENATE("Tab_",Tab_Calculs[[#This Row],[Colonne1]])),Tab_Calculs[[#This Row],[index_date_livraison]],6)*(1+MIN(Tab_Calculs[[#This Row],[Date_livraison]],Tab_Calculs[[#This Row],[fin mois]])-MAX(Tab_Calculs[[#This Row],[Début mois]],Tab_Calculs[[#This Row],[Début periode livraison]]))</f>
        <v>#NUM!</v>
      </c>
      <c r="M297" s="94" t="e">
        <f ca="1">INDEX(INDIRECT(CONCATENATE("Tab_",Tab_Calculs[[#This Row],[Colonne1]])),Tab_Calculs[[#This Row],[index_date_livraison]]+1,6)*(Tab_Calculs[[#This Row],[fin mois]]-MIN(Tab_Calculs[[#This Row],[fin mois]],Tab_Calculs[[#This Row],[Date_livraison]]))</f>
        <v>#VALUE!</v>
      </c>
      <c r="N297" s="231" t="str">
        <f ca="1">IFERROR(Tab_Calculs[[#This Row],[Ratio_jour_après_livr]]+Tab_Calculs[[#This Row],[Ratio_jour_avant_livr]]+Tab_Calculs[[#This Row],[ratio_avant_debut]],"")</f>
        <v/>
      </c>
      <c r="O297" t="e">
        <f ca="1">INDEX(INDIRECT(CONCATENATE("Tab_",Tab_Calculs[[#This Row],[Colonne1]])),Tab_Calculs[[#This Row],[index_date_livraison]]-1,7)*(MAX(Tab_Calculs[[#This Row],[Début periode livraison]],Tab_Calculs[[#This Row],[Début mois]])-Tab_Calculs[[#This Row],[Début mois]])</f>
        <v>#VALUE!</v>
      </c>
      <c r="P297" t="e">
        <f ca="1">INDEX(INDIRECT(CONCATENATE("Tab_",Tab_Calculs[[#This Row],[Colonne1]])),Tab_Calculs[[#This Row],[index_date_livraison]],7)*(1+MIN(Tab_Calculs[[#This Row],[Date_livraison]],Tab_Calculs[[#This Row],[fin mois]])-MAX(Tab_Calculs[[#This Row],[Début mois]],Tab_Calculs[[#This Row],[Début periode livraison]]))</f>
        <v>#NUM!</v>
      </c>
      <c r="Q297" t="e">
        <f ca="1">INDEX(INDIRECT(CONCATENATE("Tab_",Tab_Calculs[[#This Row],[Colonne1]])),Tab_Calculs[[#This Row],[index_date_livraison]]+1,7)*(Tab_Calculs[[#This Row],[fin mois]]-MIN(Tab_Calculs[[#This Row],[fin mois]],Tab_Calculs[[#This Row],[Date_livraison]]))</f>
        <v>#VALUE!</v>
      </c>
      <c r="R297" t="e">
        <f ca="1">Tab_Calculs[[#This Row],[Ratio_Cout_après_livr]]+Tab_Calculs[[#This Row],[Ratio_Cout_avant_livr]]+Tab_Calculs[[#This Row],[Ratio_Cout_avant_debut]]</f>
        <v>#VALUE!</v>
      </c>
      <c r="S297" t="str">
        <f ca="1">IFERROR(N297*VLOOKUP(Tab_Calculs[[#This Row],[Colonne1]],Controle_des_données!$B$7:$G$14,6,FALSE),"")</f>
        <v/>
      </c>
      <c r="T297" t="str">
        <f ca="1">IF(Tab_Calculs[[#This Row],[Combustible ]]="Electricité (kWh)",Tab_Calculs[[#This Row],[Conso_mois_kWh]]*2.3,Tab_Calculs[[#This Row],[Conso_mois_kWh]])</f>
        <v/>
      </c>
      <c r="U297" t="str">
        <f ca="1">IFERROR(N297*VLOOKUP(Tab_Calculs[[#This Row],[Colonne1]],Controle_des_données!$B$7:$H$14,7,FALSE),"")</f>
        <v/>
      </c>
      <c r="V297">
        <f ca="1">IFERROR(Tab_Calculs[[#This Row],[Cout_mois]]/Tab_Calculs[[#This Row],[Conso_mois_kWh]],0)</f>
        <v>0</v>
      </c>
      <c r="W297" t="str">
        <f>T(VLOOKUP(Tab_Calculs[[#This Row],[Compteur]],Site!$B$33:$G$40,3,FALSE))</f>
        <v/>
      </c>
      <c r="X297" t="str">
        <f>T(VLOOKUP(Tab_Calculs[[#This Row],[Compteur]],Site!$B$33:$G$40,4,FALSE))</f>
        <v/>
      </c>
      <c r="Y297" t="str">
        <f>T(VLOOKUP(Tab_Calculs[[#This Row],[Compteur]],Site!$B$33:$G$40,5,FALSE))</f>
        <v/>
      </c>
      <c r="Z297" t="str">
        <f>T(VLOOKUP(Tab_Calculs[[#This Row],[Compteur]],Site!$B$33:$G$40,6,FALSE))</f>
        <v/>
      </c>
      <c r="AA297">
        <f>IFERROR(GETPIVOTDATA("DJU(chauffagiste)",BDD_DJU!$P$13,"annee",Tab_Calculs[[#This Row],[ANNEE]],"mois_numero",Tab_Calculs[[#This Row],[MOIS]]),0)</f>
        <v>298.60000000000002</v>
      </c>
    </row>
    <row r="298" spans="1:27" x14ac:dyDescent="0.25">
      <c r="A298" s="3">
        <f>DATE(Tab_Calculs[[#This Row],[ANNEE]],Tab_Calculs[[#This Row],[MOIS]],1)</f>
        <v>43132</v>
      </c>
      <c r="B298" s="3">
        <f>EDATE(Tab_Calculs[[#This Row],[Début mois]],1)-1</f>
        <v>43159</v>
      </c>
      <c r="C298">
        <f t="shared" si="8"/>
        <v>2</v>
      </c>
      <c r="D298">
        <f t="shared" si="7"/>
        <v>2018</v>
      </c>
      <c r="E298" t="s">
        <v>81</v>
      </c>
      <c r="F298" t="str">
        <f>SUBSTITUTE(Tab_Calculs[[#This Row],[Compteur]]," ","_")</f>
        <v>Compteur_2</v>
      </c>
      <c r="G298" t="str">
        <f>T(INDEX(Site!$B$33:$G$40, MATCH(Tab_Calculs[[#This Row],[Compteur]], Site!$B$33:$B$40,0),2))</f>
        <v/>
      </c>
      <c r="H298" s="3">
        <f t="array" aca="1" ref="H298" ca="1">MIN(IF(INDIRECT(CONCATENATE(Tab_Calculs[[#This Row],[Colonne1]],"!$B$2:$B$243"))&gt;=Calculs_Consos!$A298,INDIRECT(CONCATENATE(Tab_Calculs[[#This Row],[Colonne1]],"!$B$2:$B$243"))))</f>
        <v>0</v>
      </c>
      <c r="I298" s="3" t="e">
        <f ca="1">INDEX(INDIRECT(CONCATENATE("Tab_",Tab_Calculs[[#This Row],[Colonne1]])),Tab_Calculs[[#This Row],[index_date_livraison]],1)</f>
        <v>#NUM!</v>
      </c>
      <c r="J298">
        <f ca="1">MATCH(Tab_Calculs[[#This Row],[Date_livraison]],INDIRECT(CONCATENATE("Tab_",Tab_Calculs[[#This Row],[Colonne1]],"[Fin de période]")),0)</f>
        <v>1</v>
      </c>
      <c r="K298" t="e">
        <f ca="1">INDEX(INDIRECT(CONCATENATE("Tab_",Tab_Calculs[[#This Row],[Colonne1]])),Tab_Calculs[[#This Row],[index_date_livraison]]-1,6)*(MAX(Tab_Calculs[[#This Row],[Début periode livraison]],Tab_Calculs[[#This Row],[Début mois]])-Tab_Calculs[[#This Row],[Début mois]])</f>
        <v>#VALUE!</v>
      </c>
      <c r="L298" s="94" t="e">
        <f ca="1">INDEX(INDIRECT(CONCATENATE("Tab_",Tab_Calculs[[#This Row],[Colonne1]])),Tab_Calculs[[#This Row],[index_date_livraison]],6)*(1+MIN(Tab_Calculs[[#This Row],[Date_livraison]],Tab_Calculs[[#This Row],[fin mois]])-MAX(Tab_Calculs[[#This Row],[Début mois]],Tab_Calculs[[#This Row],[Début periode livraison]]))</f>
        <v>#NUM!</v>
      </c>
      <c r="M298" s="94" t="e">
        <f ca="1">INDEX(INDIRECT(CONCATENATE("Tab_",Tab_Calculs[[#This Row],[Colonne1]])),Tab_Calculs[[#This Row],[index_date_livraison]]+1,6)*(Tab_Calculs[[#This Row],[fin mois]]-MIN(Tab_Calculs[[#This Row],[fin mois]],Tab_Calculs[[#This Row],[Date_livraison]]))</f>
        <v>#VALUE!</v>
      </c>
      <c r="N298" s="231" t="str">
        <f ca="1">IFERROR(Tab_Calculs[[#This Row],[Ratio_jour_après_livr]]+Tab_Calculs[[#This Row],[Ratio_jour_avant_livr]]+Tab_Calculs[[#This Row],[ratio_avant_debut]],"")</f>
        <v/>
      </c>
      <c r="O298" t="e">
        <f ca="1">INDEX(INDIRECT(CONCATENATE("Tab_",Tab_Calculs[[#This Row],[Colonne1]])),Tab_Calculs[[#This Row],[index_date_livraison]]-1,7)*(MAX(Tab_Calculs[[#This Row],[Début periode livraison]],Tab_Calculs[[#This Row],[Début mois]])-Tab_Calculs[[#This Row],[Début mois]])</f>
        <v>#VALUE!</v>
      </c>
      <c r="P298" t="e">
        <f ca="1">INDEX(INDIRECT(CONCATENATE("Tab_",Tab_Calculs[[#This Row],[Colonne1]])),Tab_Calculs[[#This Row],[index_date_livraison]],7)*(1+MIN(Tab_Calculs[[#This Row],[Date_livraison]],Tab_Calculs[[#This Row],[fin mois]])-MAX(Tab_Calculs[[#This Row],[Début mois]],Tab_Calculs[[#This Row],[Début periode livraison]]))</f>
        <v>#NUM!</v>
      </c>
      <c r="Q298" t="e">
        <f ca="1">INDEX(INDIRECT(CONCATENATE("Tab_",Tab_Calculs[[#This Row],[Colonne1]])),Tab_Calculs[[#This Row],[index_date_livraison]]+1,7)*(Tab_Calculs[[#This Row],[fin mois]]-MIN(Tab_Calculs[[#This Row],[fin mois]],Tab_Calculs[[#This Row],[Date_livraison]]))</f>
        <v>#VALUE!</v>
      </c>
      <c r="R298" t="e">
        <f ca="1">Tab_Calculs[[#This Row],[Ratio_Cout_après_livr]]+Tab_Calculs[[#This Row],[Ratio_Cout_avant_livr]]+Tab_Calculs[[#This Row],[Ratio_Cout_avant_debut]]</f>
        <v>#VALUE!</v>
      </c>
      <c r="S298" t="str">
        <f ca="1">IFERROR(N298*VLOOKUP(Tab_Calculs[[#This Row],[Colonne1]],Controle_des_données!$B$7:$G$14,6,FALSE),"")</f>
        <v/>
      </c>
      <c r="T298" t="str">
        <f ca="1">IF(Tab_Calculs[[#This Row],[Combustible ]]="Electricité (kWh)",Tab_Calculs[[#This Row],[Conso_mois_kWh]]*2.3,Tab_Calculs[[#This Row],[Conso_mois_kWh]])</f>
        <v/>
      </c>
      <c r="U298" t="str">
        <f ca="1">IFERROR(N298*VLOOKUP(Tab_Calculs[[#This Row],[Colonne1]],Controle_des_données!$B$7:$H$14,7,FALSE),"")</f>
        <v/>
      </c>
      <c r="V298">
        <f ca="1">IFERROR(Tab_Calculs[[#This Row],[Cout_mois]]/Tab_Calculs[[#This Row],[Conso_mois_kWh]],0)</f>
        <v>0</v>
      </c>
      <c r="W298" t="str">
        <f>T(VLOOKUP(Tab_Calculs[[#This Row],[Compteur]],Site!$B$33:$G$40,3,FALSE))</f>
        <v/>
      </c>
      <c r="X298" t="str">
        <f>T(VLOOKUP(Tab_Calculs[[#This Row],[Compteur]],Site!$B$33:$G$40,4,FALSE))</f>
        <v/>
      </c>
      <c r="Y298" t="str">
        <f>T(VLOOKUP(Tab_Calculs[[#This Row],[Compteur]],Site!$B$33:$G$40,5,FALSE))</f>
        <v/>
      </c>
      <c r="Z298" t="str">
        <f>T(VLOOKUP(Tab_Calculs[[#This Row],[Compteur]],Site!$B$33:$G$40,6,FALSE))</f>
        <v/>
      </c>
      <c r="AA298">
        <f>IFERROR(GETPIVOTDATA("DJU(chauffagiste)",BDD_DJU!$P$13,"annee",Tab_Calculs[[#This Row],[ANNEE]],"mois_numero",Tab_Calculs[[#This Row],[MOIS]]),0)</f>
        <v>415.2</v>
      </c>
    </row>
    <row r="299" spans="1:27" x14ac:dyDescent="0.25">
      <c r="A299" s="3">
        <f>DATE(Tab_Calculs[[#This Row],[ANNEE]],Tab_Calculs[[#This Row],[MOIS]],1)</f>
        <v>43160</v>
      </c>
      <c r="B299" s="3">
        <f>EDATE(Tab_Calculs[[#This Row],[Début mois]],1)-1</f>
        <v>43190</v>
      </c>
      <c r="C299">
        <f t="shared" si="8"/>
        <v>3</v>
      </c>
      <c r="D299">
        <f t="shared" si="7"/>
        <v>2018</v>
      </c>
      <c r="E299" t="s">
        <v>81</v>
      </c>
      <c r="F299" t="str">
        <f>SUBSTITUTE(Tab_Calculs[[#This Row],[Compteur]]," ","_")</f>
        <v>Compteur_2</v>
      </c>
      <c r="G299" t="str">
        <f>T(INDEX(Site!$B$33:$G$40, MATCH(Tab_Calculs[[#This Row],[Compteur]], Site!$B$33:$B$40,0),2))</f>
        <v/>
      </c>
      <c r="H299" s="3">
        <f t="array" aca="1" ref="H299" ca="1">MIN(IF(INDIRECT(CONCATENATE(Tab_Calculs[[#This Row],[Colonne1]],"!$B$2:$B$243"))&gt;=Calculs_Consos!$A299,INDIRECT(CONCATENATE(Tab_Calculs[[#This Row],[Colonne1]],"!$B$2:$B$243"))))</f>
        <v>0</v>
      </c>
      <c r="I299" s="3" t="e">
        <f ca="1">INDEX(INDIRECT(CONCATENATE("Tab_",Tab_Calculs[[#This Row],[Colonne1]])),Tab_Calculs[[#This Row],[index_date_livraison]],1)</f>
        <v>#NUM!</v>
      </c>
      <c r="J299">
        <f ca="1">MATCH(Tab_Calculs[[#This Row],[Date_livraison]],INDIRECT(CONCATENATE("Tab_",Tab_Calculs[[#This Row],[Colonne1]],"[Fin de période]")),0)</f>
        <v>1</v>
      </c>
      <c r="K299" t="e">
        <f ca="1">INDEX(INDIRECT(CONCATENATE("Tab_",Tab_Calculs[[#This Row],[Colonne1]])),Tab_Calculs[[#This Row],[index_date_livraison]]-1,6)*(MAX(Tab_Calculs[[#This Row],[Début periode livraison]],Tab_Calculs[[#This Row],[Début mois]])-Tab_Calculs[[#This Row],[Début mois]])</f>
        <v>#VALUE!</v>
      </c>
      <c r="L299" s="94" t="e">
        <f ca="1">INDEX(INDIRECT(CONCATENATE("Tab_",Tab_Calculs[[#This Row],[Colonne1]])),Tab_Calculs[[#This Row],[index_date_livraison]],6)*(1+MIN(Tab_Calculs[[#This Row],[Date_livraison]],Tab_Calculs[[#This Row],[fin mois]])-MAX(Tab_Calculs[[#This Row],[Début mois]],Tab_Calculs[[#This Row],[Début periode livraison]]))</f>
        <v>#NUM!</v>
      </c>
      <c r="M299" s="94" t="e">
        <f ca="1">INDEX(INDIRECT(CONCATENATE("Tab_",Tab_Calculs[[#This Row],[Colonne1]])),Tab_Calculs[[#This Row],[index_date_livraison]]+1,6)*(Tab_Calculs[[#This Row],[fin mois]]-MIN(Tab_Calculs[[#This Row],[fin mois]],Tab_Calculs[[#This Row],[Date_livraison]]))</f>
        <v>#VALUE!</v>
      </c>
      <c r="N299" s="231" t="str">
        <f ca="1">IFERROR(Tab_Calculs[[#This Row],[Ratio_jour_après_livr]]+Tab_Calculs[[#This Row],[Ratio_jour_avant_livr]]+Tab_Calculs[[#This Row],[ratio_avant_debut]],"")</f>
        <v/>
      </c>
      <c r="O299" t="e">
        <f ca="1">INDEX(INDIRECT(CONCATENATE("Tab_",Tab_Calculs[[#This Row],[Colonne1]])),Tab_Calculs[[#This Row],[index_date_livraison]]-1,7)*(MAX(Tab_Calculs[[#This Row],[Début periode livraison]],Tab_Calculs[[#This Row],[Début mois]])-Tab_Calculs[[#This Row],[Début mois]])</f>
        <v>#VALUE!</v>
      </c>
      <c r="P299" t="e">
        <f ca="1">INDEX(INDIRECT(CONCATENATE("Tab_",Tab_Calculs[[#This Row],[Colonne1]])),Tab_Calculs[[#This Row],[index_date_livraison]],7)*(1+MIN(Tab_Calculs[[#This Row],[Date_livraison]],Tab_Calculs[[#This Row],[fin mois]])-MAX(Tab_Calculs[[#This Row],[Début mois]],Tab_Calculs[[#This Row],[Début periode livraison]]))</f>
        <v>#NUM!</v>
      </c>
      <c r="Q299" t="e">
        <f ca="1">INDEX(INDIRECT(CONCATENATE("Tab_",Tab_Calculs[[#This Row],[Colonne1]])),Tab_Calculs[[#This Row],[index_date_livraison]]+1,7)*(Tab_Calculs[[#This Row],[fin mois]]-MIN(Tab_Calculs[[#This Row],[fin mois]],Tab_Calculs[[#This Row],[Date_livraison]]))</f>
        <v>#VALUE!</v>
      </c>
      <c r="R299" t="e">
        <f ca="1">Tab_Calculs[[#This Row],[Ratio_Cout_après_livr]]+Tab_Calculs[[#This Row],[Ratio_Cout_avant_livr]]+Tab_Calculs[[#This Row],[Ratio_Cout_avant_debut]]</f>
        <v>#VALUE!</v>
      </c>
      <c r="S299" t="str">
        <f ca="1">IFERROR(N299*VLOOKUP(Tab_Calculs[[#This Row],[Colonne1]],Controle_des_données!$B$7:$G$14,6,FALSE),"")</f>
        <v/>
      </c>
      <c r="T299" t="str">
        <f ca="1">IF(Tab_Calculs[[#This Row],[Combustible ]]="Electricité (kWh)",Tab_Calculs[[#This Row],[Conso_mois_kWh]]*2.3,Tab_Calculs[[#This Row],[Conso_mois_kWh]])</f>
        <v/>
      </c>
      <c r="U299" t="str">
        <f ca="1">IFERROR(N299*VLOOKUP(Tab_Calculs[[#This Row],[Colonne1]],Controle_des_données!$B$7:$H$14,7,FALSE),"")</f>
        <v/>
      </c>
      <c r="V299">
        <f ca="1">IFERROR(Tab_Calculs[[#This Row],[Cout_mois]]/Tab_Calculs[[#This Row],[Conso_mois_kWh]],0)</f>
        <v>0</v>
      </c>
      <c r="W299" t="str">
        <f>T(VLOOKUP(Tab_Calculs[[#This Row],[Compteur]],Site!$B$33:$G$40,3,FALSE))</f>
        <v/>
      </c>
      <c r="X299" t="str">
        <f>T(VLOOKUP(Tab_Calculs[[#This Row],[Compteur]],Site!$B$33:$G$40,4,FALSE))</f>
        <v/>
      </c>
      <c r="Y299" t="str">
        <f>T(VLOOKUP(Tab_Calculs[[#This Row],[Compteur]],Site!$B$33:$G$40,5,FALSE))</f>
        <v/>
      </c>
      <c r="Z299" t="str">
        <f>T(VLOOKUP(Tab_Calculs[[#This Row],[Compteur]],Site!$B$33:$G$40,6,FALSE))</f>
        <v/>
      </c>
      <c r="AA299">
        <f>IFERROR(GETPIVOTDATA("DJU(chauffagiste)",BDD_DJU!$P$13,"annee",Tab_Calculs[[#This Row],[ANNEE]],"mois_numero",Tab_Calculs[[#This Row],[MOIS]]),0)</f>
        <v>305.39999999999998</v>
      </c>
    </row>
    <row r="300" spans="1:27" x14ac:dyDescent="0.25">
      <c r="A300" s="3">
        <f>DATE(Tab_Calculs[[#This Row],[ANNEE]],Tab_Calculs[[#This Row],[MOIS]],1)</f>
        <v>43191</v>
      </c>
      <c r="B300" s="3">
        <f>EDATE(Tab_Calculs[[#This Row],[Début mois]],1)-1</f>
        <v>43220</v>
      </c>
      <c r="C300">
        <f t="shared" si="8"/>
        <v>4</v>
      </c>
      <c r="D300">
        <f t="shared" si="7"/>
        <v>2018</v>
      </c>
      <c r="E300" t="s">
        <v>81</v>
      </c>
      <c r="F300" t="str">
        <f>SUBSTITUTE(Tab_Calculs[[#This Row],[Compteur]]," ","_")</f>
        <v>Compteur_2</v>
      </c>
      <c r="G300" t="str">
        <f>T(INDEX(Site!$B$33:$G$40, MATCH(Tab_Calculs[[#This Row],[Compteur]], Site!$B$33:$B$40,0),2))</f>
        <v/>
      </c>
      <c r="H300" s="3">
        <f t="array" aca="1" ref="H300" ca="1">MIN(IF(INDIRECT(CONCATENATE(Tab_Calculs[[#This Row],[Colonne1]],"!$B$2:$B$243"))&gt;=Calculs_Consos!$A300,INDIRECT(CONCATENATE(Tab_Calculs[[#This Row],[Colonne1]],"!$B$2:$B$243"))))</f>
        <v>0</v>
      </c>
      <c r="I300" s="3" t="e">
        <f ca="1">INDEX(INDIRECT(CONCATENATE("Tab_",Tab_Calculs[[#This Row],[Colonne1]])),Tab_Calculs[[#This Row],[index_date_livraison]],1)</f>
        <v>#NUM!</v>
      </c>
      <c r="J300">
        <f ca="1">MATCH(Tab_Calculs[[#This Row],[Date_livraison]],INDIRECT(CONCATENATE("Tab_",Tab_Calculs[[#This Row],[Colonne1]],"[Fin de période]")),0)</f>
        <v>1</v>
      </c>
      <c r="K300" t="e">
        <f ca="1">INDEX(INDIRECT(CONCATENATE("Tab_",Tab_Calculs[[#This Row],[Colonne1]])),Tab_Calculs[[#This Row],[index_date_livraison]]-1,6)*(MAX(Tab_Calculs[[#This Row],[Début periode livraison]],Tab_Calculs[[#This Row],[Début mois]])-Tab_Calculs[[#This Row],[Début mois]])</f>
        <v>#VALUE!</v>
      </c>
      <c r="L300" s="94" t="e">
        <f ca="1">INDEX(INDIRECT(CONCATENATE("Tab_",Tab_Calculs[[#This Row],[Colonne1]])),Tab_Calculs[[#This Row],[index_date_livraison]],6)*(1+MIN(Tab_Calculs[[#This Row],[Date_livraison]],Tab_Calculs[[#This Row],[fin mois]])-MAX(Tab_Calculs[[#This Row],[Début mois]],Tab_Calculs[[#This Row],[Début periode livraison]]))</f>
        <v>#NUM!</v>
      </c>
      <c r="M300" s="94" t="e">
        <f ca="1">INDEX(INDIRECT(CONCATENATE("Tab_",Tab_Calculs[[#This Row],[Colonne1]])),Tab_Calculs[[#This Row],[index_date_livraison]]+1,6)*(Tab_Calculs[[#This Row],[fin mois]]-MIN(Tab_Calculs[[#This Row],[fin mois]],Tab_Calculs[[#This Row],[Date_livraison]]))</f>
        <v>#VALUE!</v>
      </c>
      <c r="N300" s="231" t="str">
        <f ca="1">IFERROR(Tab_Calculs[[#This Row],[Ratio_jour_après_livr]]+Tab_Calculs[[#This Row],[Ratio_jour_avant_livr]]+Tab_Calculs[[#This Row],[ratio_avant_debut]],"")</f>
        <v/>
      </c>
      <c r="O300" t="e">
        <f ca="1">INDEX(INDIRECT(CONCATENATE("Tab_",Tab_Calculs[[#This Row],[Colonne1]])),Tab_Calculs[[#This Row],[index_date_livraison]]-1,7)*(MAX(Tab_Calculs[[#This Row],[Début periode livraison]],Tab_Calculs[[#This Row],[Début mois]])-Tab_Calculs[[#This Row],[Début mois]])</f>
        <v>#VALUE!</v>
      </c>
      <c r="P300" t="e">
        <f ca="1">INDEX(INDIRECT(CONCATENATE("Tab_",Tab_Calculs[[#This Row],[Colonne1]])),Tab_Calculs[[#This Row],[index_date_livraison]],7)*(1+MIN(Tab_Calculs[[#This Row],[Date_livraison]],Tab_Calculs[[#This Row],[fin mois]])-MAX(Tab_Calculs[[#This Row],[Début mois]],Tab_Calculs[[#This Row],[Début periode livraison]]))</f>
        <v>#NUM!</v>
      </c>
      <c r="Q300" t="e">
        <f ca="1">INDEX(INDIRECT(CONCATENATE("Tab_",Tab_Calculs[[#This Row],[Colonne1]])),Tab_Calculs[[#This Row],[index_date_livraison]]+1,7)*(Tab_Calculs[[#This Row],[fin mois]]-MIN(Tab_Calculs[[#This Row],[fin mois]],Tab_Calculs[[#This Row],[Date_livraison]]))</f>
        <v>#VALUE!</v>
      </c>
      <c r="R300" t="e">
        <f ca="1">Tab_Calculs[[#This Row],[Ratio_Cout_après_livr]]+Tab_Calculs[[#This Row],[Ratio_Cout_avant_livr]]+Tab_Calculs[[#This Row],[Ratio_Cout_avant_debut]]</f>
        <v>#VALUE!</v>
      </c>
      <c r="S300" t="str">
        <f ca="1">IFERROR(N300*VLOOKUP(Tab_Calculs[[#This Row],[Colonne1]],Controle_des_données!$B$7:$G$14,6,FALSE),"")</f>
        <v/>
      </c>
      <c r="T300" t="str">
        <f ca="1">IF(Tab_Calculs[[#This Row],[Combustible ]]="Electricité (kWh)",Tab_Calculs[[#This Row],[Conso_mois_kWh]]*2.3,Tab_Calculs[[#This Row],[Conso_mois_kWh]])</f>
        <v/>
      </c>
      <c r="U300" t="str">
        <f ca="1">IFERROR(N300*VLOOKUP(Tab_Calculs[[#This Row],[Colonne1]],Controle_des_données!$B$7:$H$14,7,FALSE),"")</f>
        <v/>
      </c>
      <c r="V300">
        <f ca="1">IFERROR(Tab_Calculs[[#This Row],[Cout_mois]]/Tab_Calculs[[#This Row],[Conso_mois_kWh]],0)</f>
        <v>0</v>
      </c>
      <c r="W300" t="str">
        <f>T(VLOOKUP(Tab_Calculs[[#This Row],[Compteur]],Site!$B$33:$G$40,3,FALSE))</f>
        <v/>
      </c>
      <c r="X300" t="str">
        <f>T(VLOOKUP(Tab_Calculs[[#This Row],[Compteur]],Site!$B$33:$G$40,4,FALSE))</f>
        <v/>
      </c>
      <c r="Y300" t="str">
        <f>T(VLOOKUP(Tab_Calculs[[#This Row],[Compteur]],Site!$B$33:$G$40,5,FALSE))</f>
        <v/>
      </c>
      <c r="Z300" t="str">
        <f>T(VLOOKUP(Tab_Calculs[[#This Row],[Compteur]],Site!$B$33:$G$40,6,FALSE))</f>
        <v/>
      </c>
      <c r="AA300">
        <f>IFERROR(GETPIVOTDATA("DJU(chauffagiste)",BDD_DJU!$P$13,"annee",Tab_Calculs[[#This Row],[ANNEE]],"mois_numero",Tab_Calculs[[#This Row],[MOIS]]),0)</f>
        <v>152.19999999999999</v>
      </c>
    </row>
    <row r="301" spans="1:27" x14ac:dyDescent="0.25">
      <c r="A301" s="3">
        <f>DATE(Tab_Calculs[[#This Row],[ANNEE]],Tab_Calculs[[#This Row],[MOIS]],1)</f>
        <v>43221</v>
      </c>
      <c r="B301" s="3">
        <f>EDATE(Tab_Calculs[[#This Row],[Début mois]],1)-1</f>
        <v>43251</v>
      </c>
      <c r="C301">
        <f t="shared" si="8"/>
        <v>5</v>
      </c>
      <c r="D301">
        <f t="shared" si="7"/>
        <v>2018</v>
      </c>
      <c r="E301" t="s">
        <v>81</v>
      </c>
      <c r="F301" t="str">
        <f>SUBSTITUTE(Tab_Calculs[[#This Row],[Compteur]]," ","_")</f>
        <v>Compteur_2</v>
      </c>
      <c r="G301" t="str">
        <f>T(INDEX(Site!$B$33:$G$40, MATCH(Tab_Calculs[[#This Row],[Compteur]], Site!$B$33:$B$40,0),2))</f>
        <v/>
      </c>
      <c r="H301" s="3">
        <f t="array" aca="1" ref="H301" ca="1">MIN(IF(INDIRECT(CONCATENATE(Tab_Calculs[[#This Row],[Colonne1]],"!$B$2:$B$243"))&gt;=Calculs_Consos!$A301,INDIRECT(CONCATENATE(Tab_Calculs[[#This Row],[Colonne1]],"!$B$2:$B$243"))))</f>
        <v>0</v>
      </c>
      <c r="I301" s="3" t="e">
        <f ca="1">INDEX(INDIRECT(CONCATENATE("Tab_",Tab_Calculs[[#This Row],[Colonne1]])),Tab_Calculs[[#This Row],[index_date_livraison]],1)</f>
        <v>#NUM!</v>
      </c>
      <c r="J301">
        <f ca="1">MATCH(Tab_Calculs[[#This Row],[Date_livraison]],INDIRECT(CONCATENATE("Tab_",Tab_Calculs[[#This Row],[Colonne1]],"[Fin de période]")),0)</f>
        <v>1</v>
      </c>
      <c r="K301" t="e">
        <f ca="1">INDEX(INDIRECT(CONCATENATE("Tab_",Tab_Calculs[[#This Row],[Colonne1]])),Tab_Calculs[[#This Row],[index_date_livraison]]-1,6)*(MAX(Tab_Calculs[[#This Row],[Début periode livraison]],Tab_Calculs[[#This Row],[Début mois]])-Tab_Calculs[[#This Row],[Début mois]])</f>
        <v>#VALUE!</v>
      </c>
      <c r="L301" s="94" t="e">
        <f ca="1">INDEX(INDIRECT(CONCATENATE("Tab_",Tab_Calculs[[#This Row],[Colonne1]])),Tab_Calculs[[#This Row],[index_date_livraison]],6)*(1+MIN(Tab_Calculs[[#This Row],[Date_livraison]],Tab_Calculs[[#This Row],[fin mois]])-MAX(Tab_Calculs[[#This Row],[Début mois]],Tab_Calculs[[#This Row],[Début periode livraison]]))</f>
        <v>#NUM!</v>
      </c>
      <c r="M301" s="94" t="e">
        <f ca="1">INDEX(INDIRECT(CONCATENATE("Tab_",Tab_Calculs[[#This Row],[Colonne1]])),Tab_Calculs[[#This Row],[index_date_livraison]]+1,6)*(Tab_Calculs[[#This Row],[fin mois]]-MIN(Tab_Calculs[[#This Row],[fin mois]],Tab_Calculs[[#This Row],[Date_livraison]]))</f>
        <v>#VALUE!</v>
      </c>
      <c r="N301" s="231" t="str">
        <f ca="1">IFERROR(Tab_Calculs[[#This Row],[Ratio_jour_après_livr]]+Tab_Calculs[[#This Row],[Ratio_jour_avant_livr]]+Tab_Calculs[[#This Row],[ratio_avant_debut]],"")</f>
        <v/>
      </c>
      <c r="O301" t="e">
        <f ca="1">INDEX(INDIRECT(CONCATENATE("Tab_",Tab_Calculs[[#This Row],[Colonne1]])),Tab_Calculs[[#This Row],[index_date_livraison]]-1,7)*(MAX(Tab_Calculs[[#This Row],[Début periode livraison]],Tab_Calculs[[#This Row],[Début mois]])-Tab_Calculs[[#This Row],[Début mois]])</f>
        <v>#VALUE!</v>
      </c>
      <c r="P301" t="e">
        <f ca="1">INDEX(INDIRECT(CONCATENATE("Tab_",Tab_Calculs[[#This Row],[Colonne1]])),Tab_Calculs[[#This Row],[index_date_livraison]],7)*(1+MIN(Tab_Calculs[[#This Row],[Date_livraison]],Tab_Calculs[[#This Row],[fin mois]])-MAX(Tab_Calculs[[#This Row],[Début mois]],Tab_Calculs[[#This Row],[Début periode livraison]]))</f>
        <v>#NUM!</v>
      </c>
      <c r="Q301" t="e">
        <f ca="1">INDEX(INDIRECT(CONCATENATE("Tab_",Tab_Calculs[[#This Row],[Colonne1]])),Tab_Calculs[[#This Row],[index_date_livraison]]+1,7)*(Tab_Calculs[[#This Row],[fin mois]]-MIN(Tab_Calculs[[#This Row],[fin mois]],Tab_Calculs[[#This Row],[Date_livraison]]))</f>
        <v>#VALUE!</v>
      </c>
      <c r="R301" t="e">
        <f ca="1">Tab_Calculs[[#This Row],[Ratio_Cout_après_livr]]+Tab_Calculs[[#This Row],[Ratio_Cout_avant_livr]]+Tab_Calculs[[#This Row],[Ratio_Cout_avant_debut]]</f>
        <v>#VALUE!</v>
      </c>
      <c r="S301" t="str">
        <f ca="1">IFERROR(N301*VLOOKUP(Tab_Calculs[[#This Row],[Colonne1]],Controle_des_données!$B$7:$G$14,6,FALSE),"")</f>
        <v/>
      </c>
      <c r="T301" t="str">
        <f ca="1">IF(Tab_Calculs[[#This Row],[Combustible ]]="Electricité (kWh)",Tab_Calculs[[#This Row],[Conso_mois_kWh]]*2.3,Tab_Calculs[[#This Row],[Conso_mois_kWh]])</f>
        <v/>
      </c>
      <c r="U301" t="str">
        <f ca="1">IFERROR(N301*VLOOKUP(Tab_Calculs[[#This Row],[Colonne1]],Controle_des_données!$B$7:$H$14,7,FALSE),"")</f>
        <v/>
      </c>
      <c r="V301">
        <f ca="1">IFERROR(Tab_Calculs[[#This Row],[Cout_mois]]/Tab_Calculs[[#This Row],[Conso_mois_kWh]],0)</f>
        <v>0</v>
      </c>
      <c r="W301" t="str">
        <f>T(VLOOKUP(Tab_Calculs[[#This Row],[Compteur]],Site!$B$33:$G$40,3,FALSE))</f>
        <v/>
      </c>
      <c r="X301" t="str">
        <f>T(VLOOKUP(Tab_Calculs[[#This Row],[Compteur]],Site!$B$33:$G$40,4,FALSE))</f>
        <v/>
      </c>
      <c r="Y301" t="str">
        <f>T(VLOOKUP(Tab_Calculs[[#This Row],[Compteur]],Site!$B$33:$G$40,5,FALSE))</f>
        <v/>
      </c>
      <c r="Z301" t="str">
        <f>T(VLOOKUP(Tab_Calculs[[#This Row],[Compteur]],Site!$B$33:$G$40,6,FALSE))</f>
        <v/>
      </c>
      <c r="AA301">
        <f>IFERROR(GETPIVOTDATA("DJU(chauffagiste)",BDD_DJU!$P$13,"annee",Tab_Calculs[[#This Row],[ANNEE]],"mois_numero",Tab_Calculs[[#This Row],[MOIS]]),0)</f>
        <v>95.8</v>
      </c>
    </row>
    <row r="302" spans="1:27" x14ac:dyDescent="0.25">
      <c r="A302" s="3">
        <f>DATE(Tab_Calculs[[#This Row],[ANNEE]],Tab_Calculs[[#This Row],[MOIS]],1)</f>
        <v>43252</v>
      </c>
      <c r="B302" s="3">
        <f>EDATE(Tab_Calculs[[#This Row],[Début mois]],1)-1</f>
        <v>43281</v>
      </c>
      <c r="C302">
        <f t="shared" si="8"/>
        <v>6</v>
      </c>
      <c r="D302">
        <f t="shared" si="7"/>
        <v>2018</v>
      </c>
      <c r="E302" t="s">
        <v>81</v>
      </c>
      <c r="F302" t="str">
        <f>SUBSTITUTE(Tab_Calculs[[#This Row],[Compteur]]," ","_")</f>
        <v>Compteur_2</v>
      </c>
      <c r="G302" t="str">
        <f>T(INDEX(Site!$B$33:$G$40, MATCH(Tab_Calculs[[#This Row],[Compteur]], Site!$B$33:$B$40,0),2))</f>
        <v/>
      </c>
      <c r="H302" s="3">
        <f t="array" aca="1" ref="H302" ca="1">MIN(IF(INDIRECT(CONCATENATE(Tab_Calculs[[#This Row],[Colonne1]],"!$B$2:$B$243"))&gt;=Calculs_Consos!$A302,INDIRECT(CONCATENATE(Tab_Calculs[[#This Row],[Colonne1]],"!$B$2:$B$243"))))</f>
        <v>0</v>
      </c>
      <c r="I302" s="3" t="e">
        <f ca="1">INDEX(INDIRECT(CONCATENATE("Tab_",Tab_Calculs[[#This Row],[Colonne1]])),Tab_Calculs[[#This Row],[index_date_livraison]],1)</f>
        <v>#NUM!</v>
      </c>
      <c r="J302">
        <f ca="1">MATCH(Tab_Calculs[[#This Row],[Date_livraison]],INDIRECT(CONCATENATE("Tab_",Tab_Calculs[[#This Row],[Colonne1]],"[Fin de période]")),0)</f>
        <v>1</v>
      </c>
      <c r="K302" t="e">
        <f ca="1">INDEX(INDIRECT(CONCATENATE("Tab_",Tab_Calculs[[#This Row],[Colonne1]])),Tab_Calculs[[#This Row],[index_date_livraison]]-1,6)*(MAX(Tab_Calculs[[#This Row],[Début periode livraison]],Tab_Calculs[[#This Row],[Début mois]])-Tab_Calculs[[#This Row],[Début mois]])</f>
        <v>#VALUE!</v>
      </c>
      <c r="L302" s="94" t="e">
        <f ca="1">INDEX(INDIRECT(CONCATENATE("Tab_",Tab_Calculs[[#This Row],[Colonne1]])),Tab_Calculs[[#This Row],[index_date_livraison]],6)*(1+MIN(Tab_Calculs[[#This Row],[Date_livraison]],Tab_Calculs[[#This Row],[fin mois]])-MAX(Tab_Calculs[[#This Row],[Début mois]],Tab_Calculs[[#This Row],[Début periode livraison]]))</f>
        <v>#NUM!</v>
      </c>
      <c r="M302" s="94" t="e">
        <f ca="1">INDEX(INDIRECT(CONCATENATE("Tab_",Tab_Calculs[[#This Row],[Colonne1]])),Tab_Calculs[[#This Row],[index_date_livraison]]+1,6)*(Tab_Calculs[[#This Row],[fin mois]]-MIN(Tab_Calculs[[#This Row],[fin mois]],Tab_Calculs[[#This Row],[Date_livraison]]))</f>
        <v>#VALUE!</v>
      </c>
      <c r="N302" s="231" t="str">
        <f ca="1">IFERROR(Tab_Calculs[[#This Row],[Ratio_jour_après_livr]]+Tab_Calculs[[#This Row],[Ratio_jour_avant_livr]]+Tab_Calculs[[#This Row],[ratio_avant_debut]],"")</f>
        <v/>
      </c>
      <c r="O302" t="e">
        <f ca="1">INDEX(INDIRECT(CONCATENATE("Tab_",Tab_Calculs[[#This Row],[Colonne1]])),Tab_Calculs[[#This Row],[index_date_livraison]]-1,7)*(MAX(Tab_Calculs[[#This Row],[Début periode livraison]],Tab_Calculs[[#This Row],[Début mois]])-Tab_Calculs[[#This Row],[Début mois]])</f>
        <v>#VALUE!</v>
      </c>
      <c r="P302" t="e">
        <f ca="1">INDEX(INDIRECT(CONCATENATE("Tab_",Tab_Calculs[[#This Row],[Colonne1]])),Tab_Calculs[[#This Row],[index_date_livraison]],7)*(1+MIN(Tab_Calculs[[#This Row],[Date_livraison]],Tab_Calculs[[#This Row],[fin mois]])-MAX(Tab_Calculs[[#This Row],[Début mois]],Tab_Calculs[[#This Row],[Début periode livraison]]))</f>
        <v>#NUM!</v>
      </c>
      <c r="Q302" t="e">
        <f ca="1">INDEX(INDIRECT(CONCATENATE("Tab_",Tab_Calculs[[#This Row],[Colonne1]])),Tab_Calculs[[#This Row],[index_date_livraison]]+1,7)*(Tab_Calculs[[#This Row],[fin mois]]-MIN(Tab_Calculs[[#This Row],[fin mois]],Tab_Calculs[[#This Row],[Date_livraison]]))</f>
        <v>#VALUE!</v>
      </c>
      <c r="R302" t="e">
        <f ca="1">Tab_Calculs[[#This Row],[Ratio_Cout_après_livr]]+Tab_Calculs[[#This Row],[Ratio_Cout_avant_livr]]+Tab_Calculs[[#This Row],[Ratio_Cout_avant_debut]]</f>
        <v>#VALUE!</v>
      </c>
      <c r="S302" t="str">
        <f ca="1">IFERROR(N302*VLOOKUP(Tab_Calculs[[#This Row],[Colonne1]],Controle_des_données!$B$7:$G$14,6,FALSE),"")</f>
        <v/>
      </c>
      <c r="T302" t="str">
        <f ca="1">IF(Tab_Calculs[[#This Row],[Combustible ]]="Electricité (kWh)",Tab_Calculs[[#This Row],[Conso_mois_kWh]]*2.3,Tab_Calculs[[#This Row],[Conso_mois_kWh]])</f>
        <v/>
      </c>
      <c r="U302" t="str">
        <f ca="1">IFERROR(N302*VLOOKUP(Tab_Calculs[[#This Row],[Colonne1]],Controle_des_données!$B$7:$H$14,7,FALSE),"")</f>
        <v/>
      </c>
      <c r="V302">
        <f ca="1">IFERROR(Tab_Calculs[[#This Row],[Cout_mois]]/Tab_Calculs[[#This Row],[Conso_mois_kWh]],0)</f>
        <v>0</v>
      </c>
      <c r="W302" t="str">
        <f>T(VLOOKUP(Tab_Calculs[[#This Row],[Compteur]],Site!$B$33:$G$40,3,FALSE))</f>
        <v/>
      </c>
      <c r="X302" t="str">
        <f>T(VLOOKUP(Tab_Calculs[[#This Row],[Compteur]],Site!$B$33:$G$40,4,FALSE))</f>
        <v/>
      </c>
      <c r="Y302" t="str">
        <f>T(VLOOKUP(Tab_Calculs[[#This Row],[Compteur]],Site!$B$33:$G$40,5,FALSE))</f>
        <v/>
      </c>
      <c r="Z302" t="str">
        <f>T(VLOOKUP(Tab_Calculs[[#This Row],[Compteur]],Site!$B$33:$G$40,6,FALSE))</f>
        <v/>
      </c>
      <c r="AA302">
        <f>IFERROR(GETPIVOTDATA("DJU(chauffagiste)",BDD_DJU!$P$13,"annee",Tab_Calculs[[#This Row],[ANNEE]],"mois_numero",Tab_Calculs[[#This Row],[MOIS]]),0)</f>
        <v>25.4</v>
      </c>
    </row>
    <row r="303" spans="1:27" x14ac:dyDescent="0.25">
      <c r="A303" s="3">
        <f>DATE(Tab_Calculs[[#This Row],[ANNEE]],Tab_Calculs[[#This Row],[MOIS]],1)</f>
        <v>43282</v>
      </c>
      <c r="B303" s="3">
        <f>EDATE(Tab_Calculs[[#This Row],[Début mois]],1)-1</f>
        <v>43312</v>
      </c>
      <c r="C303">
        <f t="shared" si="8"/>
        <v>7</v>
      </c>
      <c r="D303">
        <f t="shared" si="7"/>
        <v>2018</v>
      </c>
      <c r="E303" t="s">
        <v>81</v>
      </c>
      <c r="F303" t="str">
        <f>SUBSTITUTE(Tab_Calculs[[#This Row],[Compteur]]," ","_")</f>
        <v>Compteur_2</v>
      </c>
      <c r="G303" t="str">
        <f>T(INDEX(Site!$B$33:$G$40, MATCH(Tab_Calculs[[#This Row],[Compteur]], Site!$B$33:$B$40,0),2))</f>
        <v/>
      </c>
      <c r="H303" s="3">
        <f t="array" aca="1" ref="H303" ca="1">MIN(IF(INDIRECT(CONCATENATE(Tab_Calculs[[#This Row],[Colonne1]],"!$B$2:$B$243"))&gt;=Calculs_Consos!$A303,INDIRECT(CONCATENATE(Tab_Calculs[[#This Row],[Colonne1]],"!$B$2:$B$243"))))</f>
        <v>0</v>
      </c>
      <c r="I303" s="3" t="e">
        <f ca="1">INDEX(INDIRECT(CONCATENATE("Tab_",Tab_Calculs[[#This Row],[Colonne1]])),Tab_Calculs[[#This Row],[index_date_livraison]],1)</f>
        <v>#NUM!</v>
      </c>
      <c r="J303">
        <f ca="1">MATCH(Tab_Calculs[[#This Row],[Date_livraison]],INDIRECT(CONCATENATE("Tab_",Tab_Calculs[[#This Row],[Colonne1]],"[Fin de période]")),0)</f>
        <v>1</v>
      </c>
      <c r="K303" t="e">
        <f ca="1">INDEX(INDIRECT(CONCATENATE("Tab_",Tab_Calculs[[#This Row],[Colonne1]])),Tab_Calculs[[#This Row],[index_date_livraison]]-1,6)*(MAX(Tab_Calculs[[#This Row],[Début periode livraison]],Tab_Calculs[[#This Row],[Début mois]])-Tab_Calculs[[#This Row],[Début mois]])</f>
        <v>#VALUE!</v>
      </c>
      <c r="L303" s="94" t="e">
        <f ca="1">INDEX(INDIRECT(CONCATENATE("Tab_",Tab_Calculs[[#This Row],[Colonne1]])),Tab_Calculs[[#This Row],[index_date_livraison]],6)*(1+MIN(Tab_Calculs[[#This Row],[Date_livraison]],Tab_Calculs[[#This Row],[fin mois]])-MAX(Tab_Calculs[[#This Row],[Début mois]],Tab_Calculs[[#This Row],[Début periode livraison]]))</f>
        <v>#NUM!</v>
      </c>
      <c r="M303" s="94" t="e">
        <f ca="1">INDEX(INDIRECT(CONCATENATE("Tab_",Tab_Calculs[[#This Row],[Colonne1]])),Tab_Calculs[[#This Row],[index_date_livraison]]+1,6)*(Tab_Calculs[[#This Row],[fin mois]]-MIN(Tab_Calculs[[#This Row],[fin mois]],Tab_Calculs[[#This Row],[Date_livraison]]))</f>
        <v>#VALUE!</v>
      </c>
      <c r="N303" s="231" t="str">
        <f ca="1">IFERROR(Tab_Calculs[[#This Row],[Ratio_jour_après_livr]]+Tab_Calculs[[#This Row],[Ratio_jour_avant_livr]]+Tab_Calculs[[#This Row],[ratio_avant_debut]],"")</f>
        <v/>
      </c>
      <c r="O303" t="e">
        <f ca="1">INDEX(INDIRECT(CONCATENATE("Tab_",Tab_Calculs[[#This Row],[Colonne1]])),Tab_Calculs[[#This Row],[index_date_livraison]]-1,7)*(MAX(Tab_Calculs[[#This Row],[Début periode livraison]],Tab_Calculs[[#This Row],[Début mois]])-Tab_Calculs[[#This Row],[Début mois]])</f>
        <v>#VALUE!</v>
      </c>
      <c r="P303" t="e">
        <f ca="1">INDEX(INDIRECT(CONCATENATE("Tab_",Tab_Calculs[[#This Row],[Colonne1]])),Tab_Calculs[[#This Row],[index_date_livraison]],7)*(1+MIN(Tab_Calculs[[#This Row],[Date_livraison]],Tab_Calculs[[#This Row],[fin mois]])-MAX(Tab_Calculs[[#This Row],[Début mois]],Tab_Calculs[[#This Row],[Début periode livraison]]))</f>
        <v>#NUM!</v>
      </c>
      <c r="Q303" t="e">
        <f ca="1">INDEX(INDIRECT(CONCATENATE("Tab_",Tab_Calculs[[#This Row],[Colonne1]])),Tab_Calculs[[#This Row],[index_date_livraison]]+1,7)*(Tab_Calculs[[#This Row],[fin mois]]-MIN(Tab_Calculs[[#This Row],[fin mois]],Tab_Calculs[[#This Row],[Date_livraison]]))</f>
        <v>#VALUE!</v>
      </c>
      <c r="R303" t="e">
        <f ca="1">Tab_Calculs[[#This Row],[Ratio_Cout_après_livr]]+Tab_Calculs[[#This Row],[Ratio_Cout_avant_livr]]+Tab_Calculs[[#This Row],[Ratio_Cout_avant_debut]]</f>
        <v>#VALUE!</v>
      </c>
      <c r="S303" t="str">
        <f ca="1">IFERROR(N303*VLOOKUP(Tab_Calculs[[#This Row],[Colonne1]],Controle_des_données!$B$7:$G$14,6,FALSE),"")</f>
        <v/>
      </c>
      <c r="T303" t="str">
        <f ca="1">IF(Tab_Calculs[[#This Row],[Combustible ]]="Electricité (kWh)",Tab_Calculs[[#This Row],[Conso_mois_kWh]]*2.3,Tab_Calculs[[#This Row],[Conso_mois_kWh]])</f>
        <v/>
      </c>
      <c r="U303" t="str">
        <f ca="1">IFERROR(N303*VLOOKUP(Tab_Calculs[[#This Row],[Colonne1]],Controle_des_données!$B$7:$H$14,7,FALSE),"")</f>
        <v/>
      </c>
      <c r="V303">
        <f ca="1">IFERROR(Tab_Calculs[[#This Row],[Cout_mois]]/Tab_Calculs[[#This Row],[Conso_mois_kWh]],0)</f>
        <v>0</v>
      </c>
      <c r="W303" t="str">
        <f>T(VLOOKUP(Tab_Calculs[[#This Row],[Compteur]],Site!$B$33:$G$40,3,FALSE))</f>
        <v/>
      </c>
      <c r="X303" t="str">
        <f>T(VLOOKUP(Tab_Calculs[[#This Row],[Compteur]],Site!$B$33:$G$40,4,FALSE))</f>
        <v/>
      </c>
      <c r="Y303" t="str">
        <f>T(VLOOKUP(Tab_Calculs[[#This Row],[Compteur]],Site!$B$33:$G$40,5,FALSE))</f>
        <v/>
      </c>
      <c r="Z303" t="str">
        <f>T(VLOOKUP(Tab_Calculs[[#This Row],[Compteur]],Site!$B$33:$G$40,6,FALSE))</f>
        <v/>
      </c>
      <c r="AA303">
        <f>IFERROR(GETPIVOTDATA("DJU(chauffagiste)",BDD_DJU!$P$13,"annee",Tab_Calculs[[#This Row],[ANNEE]],"mois_numero",Tab_Calculs[[#This Row],[MOIS]]),0)</f>
        <v>5.9</v>
      </c>
    </row>
    <row r="304" spans="1:27" x14ac:dyDescent="0.25">
      <c r="A304" s="3">
        <f>DATE(Tab_Calculs[[#This Row],[ANNEE]],Tab_Calculs[[#This Row],[MOIS]],1)</f>
        <v>43313</v>
      </c>
      <c r="B304" s="3">
        <f>EDATE(Tab_Calculs[[#This Row],[Début mois]],1)-1</f>
        <v>43343</v>
      </c>
      <c r="C304">
        <f t="shared" si="8"/>
        <v>8</v>
      </c>
      <c r="D304">
        <f t="shared" si="7"/>
        <v>2018</v>
      </c>
      <c r="E304" t="s">
        <v>81</v>
      </c>
      <c r="F304" t="str">
        <f>SUBSTITUTE(Tab_Calculs[[#This Row],[Compteur]]," ","_")</f>
        <v>Compteur_2</v>
      </c>
      <c r="G304" t="str">
        <f>T(INDEX(Site!$B$33:$G$40, MATCH(Tab_Calculs[[#This Row],[Compteur]], Site!$B$33:$B$40,0),2))</f>
        <v/>
      </c>
      <c r="H304" s="3">
        <f t="array" aca="1" ref="H304" ca="1">MIN(IF(INDIRECT(CONCATENATE(Tab_Calculs[[#This Row],[Colonne1]],"!$B$2:$B$243"))&gt;=Calculs_Consos!$A304,INDIRECT(CONCATENATE(Tab_Calculs[[#This Row],[Colonne1]],"!$B$2:$B$243"))))</f>
        <v>0</v>
      </c>
      <c r="I304" s="3" t="e">
        <f ca="1">INDEX(INDIRECT(CONCATENATE("Tab_",Tab_Calculs[[#This Row],[Colonne1]])),Tab_Calculs[[#This Row],[index_date_livraison]],1)</f>
        <v>#NUM!</v>
      </c>
      <c r="J304">
        <f ca="1">MATCH(Tab_Calculs[[#This Row],[Date_livraison]],INDIRECT(CONCATENATE("Tab_",Tab_Calculs[[#This Row],[Colonne1]],"[Fin de période]")),0)</f>
        <v>1</v>
      </c>
      <c r="K304" t="e">
        <f ca="1">INDEX(INDIRECT(CONCATENATE("Tab_",Tab_Calculs[[#This Row],[Colonne1]])),Tab_Calculs[[#This Row],[index_date_livraison]]-1,6)*(MAX(Tab_Calculs[[#This Row],[Début periode livraison]],Tab_Calculs[[#This Row],[Début mois]])-Tab_Calculs[[#This Row],[Début mois]])</f>
        <v>#VALUE!</v>
      </c>
      <c r="L304" s="94" t="e">
        <f ca="1">INDEX(INDIRECT(CONCATENATE("Tab_",Tab_Calculs[[#This Row],[Colonne1]])),Tab_Calculs[[#This Row],[index_date_livraison]],6)*(1+MIN(Tab_Calculs[[#This Row],[Date_livraison]],Tab_Calculs[[#This Row],[fin mois]])-MAX(Tab_Calculs[[#This Row],[Début mois]],Tab_Calculs[[#This Row],[Début periode livraison]]))</f>
        <v>#NUM!</v>
      </c>
      <c r="M304" s="94" t="e">
        <f ca="1">INDEX(INDIRECT(CONCATENATE("Tab_",Tab_Calculs[[#This Row],[Colonne1]])),Tab_Calculs[[#This Row],[index_date_livraison]]+1,6)*(Tab_Calculs[[#This Row],[fin mois]]-MIN(Tab_Calculs[[#This Row],[fin mois]],Tab_Calculs[[#This Row],[Date_livraison]]))</f>
        <v>#VALUE!</v>
      </c>
      <c r="N304" s="231" t="str">
        <f ca="1">IFERROR(Tab_Calculs[[#This Row],[Ratio_jour_après_livr]]+Tab_Calculs[[#This Row],[Ratio_jour_avant_livr]]+Tab_Calculs[[#This Row],[ratio_avant_debut]],"")</f>
        <v/>
      </c>
      <c r="O304" t="e">
        <f ca="1">INDEX(INDIRECT(CONCATENATE("Tab_",Tab_Calculs[[#This Row],[Colonne1]])),Tab_Calculs[[#This Row],[index_date_livraison]]-1,7)*(MAX(Tab_Calculs[[#This Row],[Début periode livraison]],Tab_Calculs[[#This Row],[Début mois]])-Tab_Calculs[[#This Row],[Début mois]])</f>
        <v>#VALUE!</v>
      </c>
      <c r="P304" t="e">
        <f ca="1">INDEX(INDIRECT(CONCATENATE("Tab_",Tab_Calculs[[#This Row],[Colonne1]])),Tab_Calculs[[#This Row],[index_date_livraison]],7)*(1+MIN(Tab_Calculs[[#This Row],[Date_livraison]],Tab_Calculs[[#This Row],[fin mois]])-MAX(Tab_Calculs[[#This Row],[Début mois]],Tab_Calculs[[#This Row],[Début periode livraison]]))</f>
        <v>#NUM!</v>
      </c>
      <c r="Q304" t="e">
        <f ca="1">INDEX(INDIRECT(CONCATENATE("Tab_",Tab_Calculs[[#This Row],[Colonne1]])),Tab_Calculs[[#This Row],[index_date_livraison]]+1,7)*(Tab_Calculs[[#This Row],[fin mois]]-MIN(Tab_Calculs[[#This Row],[fin mois]],Tab_Calculs[[#This Row],[Date_livraison]]))</f>
        <v>#VALUE!</v>
      </c>
      <c r="R304" t="e">
        <f ca="1">Tab_Calculs[[#This Row],[Ratio_Cout_après_livr]]+Tab_Calculs[[#This Row],[Ratio_Cout_avant_livr]]+Tab_Calculs[[#This Row],[Ratio_Cout_avant_debut]]</f>
        <v>#VALUE!</v>
      </c>
      <c r="S304" t="str">
        <f ca="1">IFERROR(N304*VLOOKUP(Tab_Calculs[[#This Row],[Colonne1]],Controle_des_données!$B$7:$G$14,6,FALSE),"")</f>
        <v/>
      </c>
      <c r="T304" t="str">
        <f ca="1">IF(Tab_Calculs[[#This Row],[Combustible ]]="Electricité (kWh)",Tab_Calculs[[#This Row],[Conso_mois_kWh]]*2.3,Tab_Calculs[[#This Row],[Conso_mois_kWh]])</f>
        <v/>
      </c>
      <c r="U304" t="str">
        <f ca="1">IFERROR(N304*VLOOKUP(Tab_Calculs[[#This Row],[Colonne1]],Controle_des_données!$B$7:$H$14,7,FALSE),"")</f>
        <v/>
      </c>
      <c r="V304">
        <f ca="1">IFERROR(Tab_Calculs[[#This Row],[Cout_mois]]/Tab_Calculs[[#This Row],[Conso_mois_kWh]],0)</f>
        <v>0</v>
      </c>
      <c r="W304" t="str">
        <f>T(VLOOKUP(Tab_Calculs[[#This Row],[Compteur]],Site!$B$33:$G$40,3,FALSE))</f>
        <v/>
      </c>
      <c r="X304" t="str">
        <f>T(VLOOKUP(Tab_Calculs[[#This Row],[Compteur]],Site!$B$33:$G$40,4,FALSE))</f>
        <v/>
      </c>
      <c r="Y304" t="str">
        <f>T(VLOOKUP(Tab_Calculs[[#This Row],[Compteur]],Site!$B$33:$G$40,5,FALSE))</f>
        <v/>
      </c>
      <c r="Z304" t="str">
        <f>T(VLOOKUP(Tab_Calculs[[#This Row],[Compteur]],Site!$B$33:$G$40,6,FALSE))</f>
        <v/>
      </c>
      <c r="AA304">
        <f>IFERROR(GETPIVOTDATA("DJU(chauffagiste)",BDD_DJU!$P$13,"annee",Tab_Calculs[[#This Row],[ANNEE]],"mois_numero",Tab_Calculs[[#This Row],[MOIS]]),0)</f>
        <v>26</v>
      </c>
    </row>
    <row r="305" spans="1:27" x14ac:dyDescent="0.25">
      <c r="A305" s="3">
        <f>DATE(Tab_Calculs[[#This Row],[ANNEE]],Tab_Calculs[[#This Row],[MOIS]],1)</f>
        <v>43344</v>
      </c>
      <c r="B305" s="3">
        <f>EDATE(Tab_Calculs[[#This Row],[Début mois]],1)-1</f>
        <v>43373</v>
      </c>
      <c r="C305">
        <f t="shared" si="8"/>
        <v>9</v>
      </c>
      <c r="D305">
        <f>D293+1</f>
        <v>2018</v>
      </c>
      <c r="E305" t="s">
        <v>81</v>
      </c>
      <c r="F305" t="str">
        <f>SUBSTITUTE(Tab_Calculs[[#This Row],[Compteur]]," ","_")</f>
        <v>Compteur_2</v>
      </c>
      <c r="G305" t="str">
        <f>T(INDEX(Site!$B$33:$G$40, MATCH(Tab_Calculs[[#This Row],[Compteur]], Site!$B$33:$B$40,0),2))</f>
        <v/>
      </c>
      <c r="H305" s="3">
        <f t="array" aca="1" ref="H305" ca="1">MIN(IF(INDIRECT(CONCATENATE(Tab_Calculs[[#This Row],[Colonne1]],"!$B$2:$B$243"))&gt;=Calculs_Consos!$A305,INDIRECT(CONCATENATE(Tab_Calculs[[#This Row],[Colonne1]],"!$B$2:$B$243"))))</f>
        <v>0</v>
      </c>
      <c r="I305" s="3" t="e">
        <f ca="1">INDEX(INDIRECT(CONCATENATE("Tab_",Tab_Calculs[[#This Row],[Colonne1]])),Tab_Calculs[[#This Row],[index_date_livraison]],1)</f>
        <v>#NUM!</v>
      </c>
      <c r="J305">
        <f ca="1">MATCH(Tab_Calculs[[#This Row],[Date_livraison]],INDIRECT(CONCATENATE("Tab_",Tab_Calculs[[#This Row],[Colonne1]],"[Fin de période]")),0)</f>
        <v>1</v>
      </c>
      <c r="K305" t="e">
        <f ca="1">INDEX(INDIRECT(CONCATENATE("Tab_",Tab_Calculs[[#This Row],[Colonne1]])),Tab_Calculs[[#This Row],[index_date_livraison]]-1,6)*(MAX(Tab_Calculs[[#This Row],[Début periode livraison]],Tab_Calculs[[#This Row],[Début mois]])-Tab_Calculs[[#This Row],[Début mois]])</f>
        <v>#VALUE!</v>
      </c>
      <c r="L305" s="94" t="e">
        <f ca="1">INDEX(INDIRECT(CONCATENATE("Tab_",Tab_Calculs[[#This Row],[Colonne1]])),Tab_Calculs[[#This Row],[index_date_livraison]],6)*(1+MIN(Tab_Calculs[[#This Row],[Date_livraison]],Tab_Calculs[[#This Row],[fin mois]])-MAX(Tab_Calculs[[#This Row],[Début mois]],Tab_Calculs[[#This Row],[Début periode livraison]]))</f>
        <v>#NUM!</v>
      </c>
      <c r="M305" s="94" t="e">
        <f ca="1">INDEX(INDIRECT(CONCATENATE("Tab_",Tab_Calculs[[#This Row],[Colonne1]])),Tab_Calculs[[#This Row],[index_date_livraison]]+1,6)*(Tab_Calculs[[#This Row],[fin mois]]-MIN(Tab_Calculs[[#This Row],[fin mois]],Tab_Calculs[[#This Row],[Date_livraison]]))</f>
        <v>#VALUE!</v>
      </c>
      <c r="N305" s="231" t="str">
        <f ca="1">IFERROR(Tab_Calculs[[#This Row],[Ratio_jour_après_livr]]+Tab_Calculs[[#This Row],[Ratio_jour_avant_livr]]+Tab_Calculs[[#This Row],[ratio_avant_debut]],"")</f>
        <v/>
      </c>
      <c r="O305" t="e">
        <f ca="1">INDEX(INDIRECT(CONCATENATE("Tab_",Tab_Calculs[[#This Row],[Colonne1]])),Tab_Calculs[[#This Row],[index_date_livraison]]-1,7)*(MAX(Tab_Calculs[[#This Row],[Début periode livraison]],Tab_Calculs[[#This Row],[Début mois]])-Tab_Calculs[[#This Row],[Début mois]])</f>
        <v>#VALUE!</v>
      </c>
      <c r="P305" t="e">
        <f ca="1">INDEX(INDIRECT(CONCATENATE("Tab_",Tab_Calculs[[#This Row],[Colonne1]])),Tab_Calculs[[#This Row],[index_date_livraison]],7)*(1+MIN(Tab_Calculs[[#This Row],[Date_livraison]],Tab_Calculs[[#This Row],[fin mois]])-MAX(Tab_Calculs[[#This Row],[Début mois]],Tab_Calculs[[#This Row],[Début periode livraison]]))</f>
        <v>#NUM!</v>
      </c>
      <c r="Q305" t="e">
        <f ca="1">INDEX(INDIRECT(CONCATENATE("Tab_",Tab_Calculs[[#This Row],[Colonne1]])),Tab_Calculs[[#This Row],[index_date_livraison]]+1,7)*(Tab_Calculs[[#This Row],[fin mois]]-MIN(Tab_Calculs[[#This Row],[fin mois]],Tab_Calculs[[#This Row],[Date_livraison]]))</f>
        <v>#VALUE!</v>
      </c>
      <c r="R305" t="e">
        <f ca="1">Tab_Calculs[[#This Row],[Ratio_Cout_après_livr]]+Tab_Calculs[[#This Row],[Ratio_Cout_avant_livr]]+Tab_Calculs[[#This Row],[Ratio_Cout_avant_debut]]</f>
        <v>#VALUE!</v>
      </c>
      <c r="S305" t="str">
        <f ca="1">IFERROR(N305*VLOOKUP(Tab_Calculs[[#This Row],[Colonne1]],Controle_des_données!$B$7:$G$14,6,FALSE),"")</f>
        <v/>
      </c>
      <c r="T305" t="str">
        <f ca="1">IF(Tab_Calculs[[#This Row],[Combustible ]]="Electricité (kWh)",Tab_Calculs[[#This Row],[Conso_mois_kWh]]*2.3,Tab_Calculs[[#This Row],[Conso_mois_kWh]])</f>
        <v/>
      </c>
      <c r="U305" t="str">
        <f ca="1">IFERROR(N305*VLOOKUP(Tab_Calculs[[#This Row],[Colonne1]],Controle_des_données!$B$7:$H$14,7,FALSE),"")</f>
        <v/>
      </c>
      <c r="V305">
        <f ca="1">IFERROR(Tab_Calculs[[#This Row],[Cout_mois]]/Tab_Calculs[[#This Row],[Conso_mois_kWh]],0)</f>
        <v>0</v>
      </c>
      <c r="W305" t="str">
        <f>T(VLOOKUP(Tab_Calculs[[#This Row],[Compteur]],Site!$B$33:$G$40,3,FALSE))</f>
        <v/>
      </c>
      <c r="X305" t="str">
        <f>T(VLOOKUP(Tab_Calculs[[#This Row],[Compteur]],Site!$B$33:$G$40,4,FALSE))</f>
        <v/>
      </c>
      <c r="Y305" t="str">
        <f>T(VLOOKUP(Tab_Calculs[[#This Row],[Compteur]],Site!$B$33:$G$40,5,FALSE))</f>
        <v/>
      </c>
      <c r="Z305" t="str">
        <f>T(VLOOKUP(Tab_Calculs[[#This Row],[Compteur]],Site!$B$33:$G$40,6,FALSE))</f>
        <v/>
      </c>
      <c r="AA305">
        <f>IFERROR(GETPIVOTDATA("DJU(chauffagiste)",BDD_DJU!$P$13,"annee",Tab_Calculs[[#This Row],[ANNEE]],"mois_numero",Tab_Calculs[[#This Row],[MOIS]]),0)</f>
        <v>73.599999999999994</v>
      </c>
    </row>
    <row r="306" spans="1:27" x14ac:dyDescent="0.25">
      <c r="A306" s="3">
        <f>DATE(Tab_Calculs[[#This Row],[ANNEE]],Tab_Calculs[[#This Row],[MOIS]],1)</f>
        <v>43374</v>
      </c>
      <c r="B306" s="3">
        <f>EDATE(Tab_Calculs[[#This Row],[Début mois]],1)-1</f>
        <v>43404</v>
      </c>
      <c r="C306">
        <f t="shared" si="8"/>
        <v>10</v>
      </c>
      <c r="D306">
        <f t="shared" si="7"/>
        <v>2018</v>
      </c>
      <c r="E306" t="s">
        <v>81</v>
      </c>
      <c r="F306" t="str">
        <f>SUBSTITUTE(Tab_Calculs[[#This Row],[Compteur]]," ","_")</f>
        <v>Compteur_2</v>
      </c>
      <c r="G306" t="str">
        <f>T(INDEX(Site!$B$33:$G$40, MATCH(Tab_Calculs[[#This Row],[Compteur]], Site!$B$33:$B$40,0),2))</f>
        <v/>
      </c>
      <c r="H306" s="3">
        <f t="array" aca="1" ref="H306" ca="1">MIN(IF(INDIRECT(CONCATENATE(Tab_Calculs[[#This Row],[Colonne1]],"!$B$2:$B$243"))&gt;=Calculs_Consos!$A306,INDIRECT(CONCATENATE(Tab_Calculs[[#This Row],[Colonne1]],"!$B$2:$B$243"))))</f>
        <v>0</v>
      </c>
      <c r="I306" s="3" t="e">
        <f ca="1">INDEX(INDIRECT(CONCATENATE("Tab_",Tab_Calculs[[#This Row],[Colonne1]])),Tab_Calculs[[#This Row],[index_date_livraison]],1)</f>
        <v>#NUM!</v>
      </c>
      <c r="J306">
        <f ca="1">MATCH(Tab_Calculs[[#This Row],[Date_livraison]],INDIRECT(CONCATENATE("Tab_",Tab_Calculs[[#This Row],[Colonne1]],"[Fin de période]")),0)</f>
        <v>1</v>
      </c>
      <c r="K306" t="e">
        <f ca="1">INDEX(INDIRECT(CONCATENATE("Tab_",Tab_Calculs[[#This Row],[Colonne1]])),Tab_Calculs[[#This Row],[index_date_livraison]]-1,6)*(MAX(Tab_Calculs[[#This Row],[Début periode livraison]],Tab_Calculs[[#This Row],[Début mois]])-Tab_Calculs[[#This Row],[Début mois]])</f>
        <v>#VALUE!</v>
      </c>
      <c r="L306" s="94" t="e">
        <f ca="1">INDEX(INDIRECT(CONCATENATE("Tab_",Tab_Calculs[[#This Row],[Colonne1]])),Tab_Calculs[[#This Row],[index_date_livraison]],6)*(1+MIN(Tab_Calculs[[#This Row],[Date_livraison]],Tab_Calculs[[#This Row],[fin mois]])-MAX(Tab_Calculs[[#This Row],[Début mois]],Tab_Calculs[[#This Row],[Début periode livraison]]))</f>
        <v>#NUM!</v>
      </c>
      <c r="M306" s="94" t="e">
        <f ca="1">INDEX(INDIRECT(CONCATENATE("Tab_",Tab_Calculs[[#This Row],[Colonne1]])),Tab_Calculs[[#This Row],[index_date_livraison]]+1,6)*(Tab_Calculs[[#This Row],[fin mois]]-MIN(Tab_Calculs[[#This Row],[fin mois]],Tab_Calculs[[#This Row],[Date_livraison]]))</f>
        <v>#VALUE!</v>
      </c>
      <c r="N306" s="231" t="str">
        <f ca="1">IFERROR(Tab_Calculs[[#This Row],[Ratio_jour_après_livr]]+Tab_Calculs[[#This Row],[Ratio_jour_avant_livr]]+Tab_Calculs[[#This Row],[ratio_avant_debut]],"")</f>
        <v/>
      </c>
      <c r="O306" t="e">
        <f ca="1">INDEX(INDIRECT(CONCATENATE("Tab_",Tab_Calculs[[#This Row],[Colonne1]])),Tab_Calculs[[#This Row],[index_date_livraison]]-1,7)*(MAX(Tab_Calculs[[#This Row],[Début periode livraison]],Tab_Calculs[[#This Row],[Début mois]])-Tab_Calculs[[#This Row],[Début mois]])</f>
        <v>#VALUE!</v>
      </c>
      <c r="P306" t="e">
        <f ca="1">INDEX(INDIRECT(CONCATENATE("Tab_",Tab_Calculs[[#This Row],[Colonne1]])),Tab_Calculs[[#This Row],[index_date_livraison]],7)*(1+MIN(Tab_Calculs[[#This Row],[Date_livraison]],Tab_Calculs[[#This Row],[fin mois]])-MAX(Tab_Calculs[[#This Row],[Début mois]],Tab_Calculs[[#This Row],[Début periode livraison]]))</f>
        <v>#NUM!</v>
      </c>
      <c r="Q306" t="e">
        <f ca="1">INDEX(INDIRECT(CONCATENATE("Tab_",Tab_Calculs[[#This Row],[Colonne1]])),Tab_Calculs[[#This Row],[index_date_livraison]]+1,7)*(Tab_Calculs[[#This Row],[fin mois]]-MIN(Tab_Calculs[[#This Row],[fin mois]],Tab_Calculs[[#This Row],[Date_livraison]]))</f>
        <v>#VALUE!</v>
      </c>
      <c r="R306" t="e">
        <f ca="1">Tab_Calculs[[#This Row],[Ratio_Cout_après_livr]]+Tab_Calculs[[#This Row],[Ratio_Cout_avant_livr]]+Tab_Calculs[[#This Row],[Ratio_Cout_avant_debut]]</f>
        <v>#VALUE!</v>
      </c>
      <c r="S306" t="str">
        <f ca="1">IFERROR(N306*VLOOKUP(Tab_Calculs[[#This Row],[Colonne1]],Controle_des_données!$B$7:$G$14,6,FALSE),"")</f>
        <v/>
      </c>
      <c r="T306" t="str">
        <f ca="1">IF(Tab_Calculs[[#This Row],[Combustible ]]="Electricité (kWh)",Tab_Calculs[[#This Row],[Conso_mois_kWh]]*2.3,Tab_Calculs[[#This Row],[Conso_mois_kWh]])</f>
        <v/>
      </c>
      <c r="U306" t="str">
        <f ca="1">IFERROR(N306*VLOOKUP(Tab_Calculs[[#This Row],[Colonne1]],Controle_des_données!$B$7:$H$14,7,FALSE),"")</f>
        <v/>
      </c>
      <c r="V306">
        <f ca="1">IFERROR(Tab_Calculs[[#This Row],[Cout_mois]]/Tab_Calculs[[#This Row],[Conso_mois_kWh]],0)</f>
        <v>0</v>
      </c>
      <c r="W306" t="str">
        <f>T(VLOOKUP(Tab_Calculs[[#This Row],[Compteur]],Site!$B$33:$G$40,3,FALSE))</f>
        <v/>
      </c>
      <c r="X306" t="str">
        <f>T(VLOOKUP(Tab_Calculs[[#This Row],[Compteur]],Site!$B$33:$G$40,4,FALSE))</f>
        <v/>
      </c>
      <c r="Y306" t="str">
        <f>T(VLOOKUP(Tab_Calculs[[#This Row],[Compteur]],Site!$B$33:$G$40,5,FALSE))</f>
        <v/>
      </c>
      <c r="Z306" t="str">
        <f>T(VLOOKUP(Tab_Calculs[[#This Row],[Compteur]],Site!$B$33:$G$40,6,FALSE))</f>
        <v/>
      </c>
      <c r="AA306">
        <f>IFERROR(GETPIVOTDATA("DJU(chauffagiste)",BDD_DJU!$P$13,"annee",Tab_Calculs[[#This Row],[ANNEE]],"mois_numero",Tab_Calculs[[#This Row],[MOIS]]),0)</f>
        <v>157.5</v>
      </c>
    </row>
    <row r="307" spans="1:27" x14ac:dyDescent="0.25">
      <c r="A307" s="3">
        <f>DATE(Tab_Calculs[[#This Row],[ANNEE]],Tab_Calculs[[#This Row],[MOIS]],1)</f>
        <v>43405</v>
      </c>
      <c r="B307" s="3">
        <f>EDATE(Tab_Calculs[[#This Row],[Début mois]],1)-1</f>
        <v>43434</v>
      </c>
      <c r="C307">
        <f t="shared" si="8"/>
        <v>11</v>
      </c>
      <c r="D307">
        <f t="shared" si="7"/>
        <v>2018</v>
      </c>
      <c r="E307" t="s">
        <v>81</v>
      </c>
      <c r="F307" t="str">
        <f>SUBSTITUTE(Tab_Calculs[[#This Row],[Compteur]]," ","_")</f>
        <v>Compteur_2</v>
      </c>
      <c r="G307" t="str">
        <f>T(INDEX(Site!$B$33:$G$40, MATCH(Tab_Calculs[[#This Row],[Compteur]], Site!$B$33:$B$40,0),2))</f>
        <v/>
      </c>
      <c r="H307" s="3">
        <f t="array" aca="1" ref="H307" ca="1">MIN(IF(INDIRECT(CONCATENATE(Tab_Calculs[[#This Row],[Colonne1]],"!$B$2:$B$243"))&gt;=Calculs_Consos!$A307,INDIRECT(CONCATENATE(Tab_Calculs[[#This Row],[Colonne1]],"!$B$2:$B$243"))))</f>
        <v>0</v>
      </c>
      <c r="I307" s="3" t="e">
        <f ca="1">INDEX(INDIRECT(CONCATENATE("Tab_",Tab_Calculs[[#This Row],[Colonne1]])),Tab_Calculs[[#This Row],[index_date_livraison]],1)</f>
        <v>#NUM!</v>
      </c>
      <c r="J307">
        <f ca="1">MATCH(Tab_Calculs[[#This Row],[Date_livraison]],INDIRECT(CONCATENATE("Tab_",Tab_Calculs[[#This Row],[Colonne1]],"[Fin de période]")),0)</f>
        <v>1</v>
      </c>
      <c r="K307" t="e">
        <f ca="1">INDEX(INDIRECT(CONCATENATE("Tab_",Tab_Calculs[[#This Row],[Colonne1]])),Tab_Calculs[[#This Row],[index_date_livraison]]-1,6)*(MAX(Tab_Calculs[[#This Row],[Début periode livraison]],Tab_Calculs[[#This Row],[Début mois]])-Tab_Calculs[[#This Row],[Début mois]])</f>
        <v>#VALUE!</v>
      </c>
      <c r="L307" s="94" t="e">
        <f ca="1">INDEX(INDIRECT(CONCATENATE("Tab_",Tab_Calculs[[#This Row],[Colonne1]])),Tab_Calculs[[#This Row],[index_date_livraison]],6)*(1+MIN(Tab_Calculs[[#This Row],[Date_livraison]],Tab_Calculs[[#This Row],[fin mois]])-MAX(Tab_Calculs[[#This Row],[Début mois]],Tab_Calculs[[#This Row],[Début periode livraison]]))</f>
        <v>#NUM!</v>
      </c>
      <c r="M307" s="94" t="e">
        <f ca="1">INDEX(INDIRECT(CONCATENATE("Tab_",Tab_Calculs[[#This Row],[Colonne1]])),Tab_Calculs[[#This Row],[index_date_livraison]]+1,6)*(Tab_Calculs[[#This Row],[fin mois]]-MIN(Tab_Calculs[[#This Row],[fin mois]],Tab_Calculs[[#This Row],[Date_livraison]]))</f>
        <v>#VALUE!</v>
      </c>
      <c r="N307" s="231" t="str">
        <f ca="1">IFERROR(Tab_Calculs[[#This Row],[Ratio_jour_après_livr]]+Tab_Calculs[[#This Row],[Ratio_jour_avant_livr]]+Tab_Calculs[[#This Row],[ratio_avant_debut]],"")</f>
        <v/>
      </c>
      <c r="O307" t="e">
        <f ca="1">INDEX(INDIRECT(CONCATENATE("Tab_",Tab_Calculs[[#This Row],[Colonne1]])),Tab_Calculs[[#This Row],[index_date_livraison]]-1,7)*(MAX(Tab_Calculs[[#This Row],[Début periode livraison]],Tab_Calculs[[#This Row],[Début mois]])-Tab_Calculs[[#This Row],[Début mois]])</f>
        <v>#VALUE!</v>
      </c>
      <c r="P307" t="e">
        <f ca="1">INDEX(INDIRECT(CONCATENATE("Tab_",Tab_Calculs[[#This Row],[Colonne1]])),Tab_Calculs[[#This Row],[index_date_livraison]],7)*(1+MIN(Tab_Calculs[[#This Row],[Date_livraison]],Tab_Calculs[[#This Row],[fin mois]])-MAX(Tab_Calculs[[#This Row],[Début mois]],Tab_Calculs[[#This Row],[Début periode livraison]]))</f>
        <v>#NUM!</v>
      </c>
      <c r="Q307" t="e">
        <f ca="1">INDEX(INDIRECT(CONCATENATE("Tab_",Tab_Calculs[[#This Row],[Colonne1]])),Tab_Calculs[[#This Row],[index_date_livraison]]+1,7)*(Tab_Calculs[[#This Row],[fin mois]]-MIN(Tab_Calculs[[#This Row],[fin mois]],Tab_Calculs[[#This Row],[Date_livraison]]))</f>
        <v>#VALUE!</v>
      </c>
      <c r="R307" t="e">
        <f ca="1">Tab_Calculs[[#This Row],[Ratio_Cout_après_livr]]+Tab_Calculs[[#This Row],[Ratio_Cout_avant_livr]]+Tab_Calculs[[#This Row],[Ratio_Cout_avant_debut]]</f>
        <v>#VALUE!</v>
      </c>
      <c r="S307" t="str">
        <f ca="1">IFERROR(N307*VLOOKUP(Tab_Calculs[[#This Row],[Colonne1]],Controle_des_données!$B$7:$G$14,6,FALSE),"")</f>
        <v/>
      </c>
      <c r="T307" t="str">
        <f ca="1">IF(Tab_Calculs[[#This Row],[Combustible ]]="Electricité (kWh)",Tab_Calculs[[#This Row],[Conso_mois_kWh]]*2.3,Tab_Calculs[[#This Row],[Conso_mois_kWh]])</f>
        <v/>
      </c>
      <c r="U307" t="str">
        <f ca="1">IFERROR(N307*VLOOKUP(Tab_Calculs[[#This Row],[Colonne1]],Controle_des_données!$B$7:$H$14,7,FALSE),"")</f>
        <v/>
      </c>
      <c r="V307">
        <f ca="1">IFERROR(Tab_Calculs[[#This Row],[Cout_mois]]/Tab_Calculs[[#This Row],[Conso_mois_kWh]],0)</f>
        <v>0</v>
      </c>
      <c r="W307" t="str">
        <f>T(VLOOKUP(Tab_Calculs[[#This Row],[Compteur]],Site!$B$33:$G$40,3,FALSE))</f>
        <v/>
      </c>
      <c r="X307" t="str">
        <f>T(VLOOKUP(Tab_Calculs[[#This Row],[Compteur]],Site!$B$33:$G$40,4,FALSE))</f>
        <v/>
      </c>
      <c r="Y307" t="str">
        <f>T(VLOOKUP(Tab_Calculs[[#This Row],[Compteur]],Site!$B$33:$G$40,5,FALSE))</f>
        <v/>
      </c>
      <c r="Z307" t="str">
        <f>T(VLOOKUP(Tab_Calculs[[#This Row],[Compteur]],Site!$B$33:$G$40,6,FALSE))</f>
        <v/>
      </c>
      <c r="AA307">
        <f>IFERROR(GETPIVOTDATA("DJU(chauffagiste)",BDD_DJU!$P$13,"annee",Tab_Calculs[[#This Row],[ANNEE]],"mois_numero",Tab_Calculs[[#This Row],[MOIS]]),0)</f>
        <v>278</v>
      </c>
    </row>
    <row r="308" spans="1:27" x14ac:dyDescent="0.25">
      <c r="A308" s="3">
        <f>DATE(Tab_Calculs[[#This Row],[ANNEE]],Tab_Calculs[[#This Row],[MOIS]],1)</f>
        <v>43435</v>
      </c>
      <c r="B308" s="3">
        <f>EDATE(Tab_Calculs[[#This Row],[Début mois]],1)-1</f>
        <v>43465</v>
      </c>
      <c r="C308">
        <f t="shared" si="8"/>
        <v>12</v>
      </c>
      <c r="D308">
        <f t="shared" si="7"/>
        <v>2018</v>
      </c>
      <c r="E308" t="s">
        <v>81</v>
      </c>
      <c r="F308" t="str">
        <f>SUBSTITUTE(Tab_Calculs[[#This Row],[Compteur]]," ","_")</f>
        <v>Compteur_2</v>
      </c>
      <c r="G308" t="str">
        <f>T(INDEX(Site!$B$33:$G$40, MATCH(Tab_Calculs[[#This Row],[Compteur]], Site!$B$33:$B$40,0),2))</f>
        <v/>
      </c>
      <c r="H308" s="3">
        <f t="array" aca="1" ref="H308" ca="1">MIN(IF(INDIRECT(CONCATENATE(Tab_Calculs[[#This Row],[Colonne1]],"!$B$2:$B$243"))&gt;=Calculs_Consos!$A308,INDIRECT(CONCATENATE(Tab_Calculs[[#This Row],[Colonne1]],"!$B$2:$B$243"))))</f>
        <v>0</v>
      </c>
      <c r="I308" s="3" t="e">
        <f ca="1">INDEX(INDIRECT(CONCATENATE("Tab_",Tab_Calculs[[#This Row],[Colonne1]])),Tab_Calculs[[#This Row],[index_date_livraison]],1)</f>
        <v>#NUM!</v>
      </c>
      <c r="J308">
        <f ca="1">MATCH(Tab_Calculs[[#This Row],[Date_livraison]],INDIRECT(CONCATENATE("Tab_",Tab_Calculs[[#This Row],[Colonne1]],"[Fin de période]")),0)</f>
        <v>1</v>
      </c>
      <c r="K308" t="e">
        <f ca="1">INDEX(INDIRECT(CONCATENATE("Tab_",Tab_Calculs[[#This Row],[Colonne1]])),Tab_Calculs[[#This Row],[index_date_livraison]]-1,6)*(MAX(Tab_Calculs[[#This Row],[Début periode livraison]],Tab_Calculs[[#This Row],[Début mois]])-Tab_Calculs[[#This Row],[Début mois]])</f>
        <v>#VALUE!</v>
      </c>
      <c r="L308" s="94" t="e">
        <f ca="1">INDEX(INDIRECT(CONCATENATE("Tab_",Tab_Calculs[[#This Row],[Colonne1]])),Tab_Calculs[[#This Row],[index_date_livraison]],6)*(1+MIN(Tab_Calculs[[#This Row],[Date_livraison]],Tab_Calculs[[#This Row],[fin mois]])-MAX(Tab_Calculs[[#This Row],[Début mois]],Tab_Calculs[[#This Row],[Début periode livraison]]))</f>
        <v>#NUM!</v>
      </c>
      <c r="M308" s="94" t="e">
        <f ca="1">INDEX(INDIRECT(CONCATENATE("Tab_",Tab_Calculs[[#This Row],[Colonne1]])),Tab_Calculs[[#This Row],[index_date_livraison]]+1,6)*(Tab_Calculs[[#This Row],[fin mois]]-MIN(Tab_Calculs[[#This Row],[fin mois]],Tab_Calculs[[#This Row],[Date_livraison]]))</f>
        <v>#VALUE!</v>
      </c>
      <c r="N308" s="231" t="str">
        <f ca="1">IFERROR(Tab_Calculs[[#This Row],[Ratio_jour_après_livr]]+Tab_Calculs[[#This Row],[Ratio_jour_avant_livr]]+Tab_Calculs[[#This Row],[ratio_avant_debut]],"")</f>
        <v/>
      </c>
      <c r="O308" t="e">
        <f ca="1">INDEX(INDIRECT(CONCATENATE("Tab_",Tab_Calculs[[#This Row],[Colonne1]])),Tab_Calculs[[#This Row],[index_date_livraison]]-1,7)*(MAX(Tab_Calculs[[#This Row],[Début periode livraison]],Tab_Calculs[[#This Row],[Début mois]])-Tab_Calculs[[#This Row],[Début mois]])</f>
        <v>#VALUE!</v>
      </c>
      <c r="P308" t="e">
        <f ca="1">INDEX(INDIRECT(CONCATENATE("Tab_",Tab_Calculs[[#This Row],[Colonne1]])),Tab_Calculs[[#This Row],[index_date_livraison]],7)*(1+MIN(Tab_Calculs[[#This Row],[Date_livraison]],Tab_Calculs[[#This Row],[fin mois]])-MAX(Tab_Calculs[[#This Row],[Début mois]],Tab_Calculs[[#This Row],[Début periode livraison]]))</f>
        <v>#NUM!</v>
      </c>
      <c r="Q308" t="e">
        <f ca="1">INDEX(INDIRECT(CONCATENATE("Tab_",Tab_Calculs[[#This Row],[Colonne1]])),Tab_Calculs[[#This Row],[index_date_livraison]]+1,7)*(Tab_Calculs[[#This Row],[fin mois]]-MIN(Tab_Calculs[[#This Row],[fin mois]],Tab_Calculs[[#This Row],[Date_livraison]]))</f>
        <v>#VALUE!</v>
      </c>
      <c r="R308" t="e">
        <f ca="1">Tab_Calculs[[#This Row],[Ratio_Cout_après_livr]]+Tab_Calculs[[#This Row],[Ratio_Cout_avant_livr]]+Tab_Calculs[[#This Row],[Ratio_Cout_avant_debut]]</f>
        <v>#VALUE!</v>
      </c>
      <c r="S308" t="str">
        <f ca="1">IFERROR(N308*VLOOKUP(Tab_Calculs[[#This Row],[Colonne1]],Controle_des_données!$B$7:$G$14,6,FALSE),"")</f>
        <v/>
      </c>
      <c r="T308" t="str">
        <f ca="1">IF(Tab_Calculs[[#This Row],[Combustible ]]="Electricité (kWh)",Tab_Calculs[[#This Row],[Conso_mois_kWh]]*2.3,Tab_Calculs[[#This Row],[Conso_mois_kWh]])</f>
        <v/>
      </c>
      <c r="U308" t="str">
        <f ca="1">IFERROR(N308*VLOOKUP(Tab_Calculs[[#This Row],[Colonne1]],Controle_des_données!$B$7:$H$14,7,FALSE),"")</f>
        <v/>
      </c>
      <c r="V308">
        <f ca="1">IFERROR(Tab_Calculs[[#This Row],[Cout_mois]]/Tab_Calculs[[#This Row],[Conso_mois_kWh]],0)</f>
        <v>0</v>
      </c>
      <c r="W308" t="str">
        <f>T(VLOOKUP(Tab_Calculs[[#This Row],[Compteur]],Site!$B$33:$G$40,3,FALSE))</f>
        <v/>
      </c>
      <c r="X308" t="str">
        <f>T(VLOOKUP(Tab_Calculs[[#This Row],[Compteur]],Site!$B$33:$G$40,4,FALSE))</f>
        <v/>
      </c>
      <c r="Y308" t="str">
        <f>T(VLOOKUP(Tab_Calculs[[#This Row],[Compteur]],Site!$B$33:$G$40,5,FALSE))</f>
        <v/>
      </c>
      <c r="Z308" t="str">
        <f>T(VLOOKUP(Tab_Calculs[[#This Row],[Compteur]],Site!$B$33:$G$40,6,FALSE))</f>
        <v/>
      </c>
      <c r="AA308">
        <f>IFERROR(GETPIVOTDATA("DJU(chauffagiste)",BDD_DJU!$P$13,"annee",Tab_Calculs[[#This Row],[ANNEE]],"mois_numero",Tab_Calculs[[#This Row],[MOIS]]),0)</f>
        <v>319.2</v>
      </c>
    </row>
    <row r="309" spans="1:27" x14ac:dyDescent="0.25">
      <c r="A309" s="3">
        <f>DATE(Tab_Calculs[[#This Row],[ANNEE]],Tab_Calculs[[#This Row],[MOIS]],1)</f>
        <v>43466</v>
      </c>
      <c r="B309" s="3">
        <f>EDATE(Tab_Calculs[[#This Row],[Début mois]],1)-1</f>
        <v>43496</v>
      </c>
      <c r="C309">
        <f t="shared" si="8"/>
        <v>1</v>
      </c>
      <c r="D309">
        <f t="shared" si="7"/>
        <v>2019</v>
      </c>
      <c r="E309" t="s">
        <v>81</v>
      </c>
      <c r="F309" t="str">
        <f>SUBSTITUTE(Tab_Calculs[[#This Row],[Compteur]]," ","_")</f>
        <v>Compteur_2</v>
      </c>
      <c r="G309" t="str">
        <f>T(INDEX(Site!$B$33:$G$40, MATCH(Tab_Calculs[[#This Row],[Compteur]], Site!$B$33:$B$40,0),2))</f>
        <v/>
      </c>
      <c r="H309" s="3">
        <f t="array" aca="1" ref="H309" ca="1">MIN(IF(INDIRECT(CONCATENATE(Tab_Calculs[[#This Row],[Colonne1]],"!$B$2:$B$243"))&gt;=Calculs_Consos!$A309,INDIRECT(CONCATENATE(Tab_Calculs[[#This Row],[Colonne1]],"!$B$2:$B$243"))))</f>
        <v>0</v>
      </c>
      <c r="I309" s="3" t="e">
        <f ca="1">INDEX(INDIRECT(CONCATENATE("Tab_",Tab_Calculs[[#This Row],[Colonne1]])),Tab_Calculs[[#This Row],[index_date_livraison]],1)</f>
        <v>#NUM!</v>
      </c>
      <c r="J309">
        <f ca="1">MATCH(Tab_Calculs[[#This Row],[Date_livraison]],INDIRECT(CONCATENATE("Tab_",Tab_Calculs[[#This Row],[Colonne1]],"[Fin de période]")),0)</f>
        <v>1</v>
      </c>
      <c r="K309" t="e">
        <f ca="1">INDEX(INDIRECT(CONCATENATE("Tab_",Tab_Calculs[[#This Row],[Colonne1]])),Tab_Calculs[[#This Row],[index_date_livraison]]-1,6)*(MAX(Tab_Calculs[[#This Row],[Début periode livraison]],Tab_Calculs[[#This Row],[Début mois]])-Tab_Calculs[[#This Row],[Début mois]])</f>
        <v>#VALUE!</v>
      </c>
      <c r="L309" s="94" t="e">
        <f ca="1">INDEX(INDIRECT(CONCATENATE("Tab_",Tab_Calculs[[#This Row],[Colonne1]])),Tab_Calculs[[#This Row],[index_date_livraison]],6)*(1+MIN(Tab_Calculs[[#This Row],[Date_livraison]],Tab_Calculs[[#This Row],[fin mois]])-MAX(Tab_Calculs[[#This Row],[Début mois]],Tab_Calculs[[#This Row],[Début periode livraison]]))</f>
        <v>#NUM!</v>
      </c>
      <c r="M309" s="94" t="e">
        <f ca="1">INDEX(INDIRECT(CONCATENATE("Tab_",Tab_Calculs[[#This Row],[Colonne1]])),Tab_Calculs[[#This Row],[index_date_livraison]]+1,6)*(Tab_Calculs[[#This Row],[fin mois]]-MIN(Tab_Calculs[[#This Row],[fin mois]],Tab_Calculs[[#This Row],[Date_livraison]]))</f>
        <v>#VALUE!</v>
      </c>
      <c r="N309" s="231" t="str">
        <f ca="1">IFERROR(Tab_Calculs[[#This Row],[Ratio_jour_après_livr]]+Tab_Calculs[[#This Row],[Ratio_jour_avant_livr]]+Tab_Calculs[[#This Row],[ratio_avant_debut]],"")</f>
        <v/>
      </c>
      <c r="O309" t="e">
        <f ca="1">INDEX(INDIRECT(CONCATENATE("Tab_",Tab_Calculs[[#This Row],[Colonne1]])),Tab_Calculs[[#This Row],[index_date_livraison]]-1,7)*(MAX(Tab_Calculs[[#This Row],[Début periode livraison]],Tab_Calculs[[#This Row],[Début mois]])-Tab_Calculs[[#This Row],[Début mois]])</f>
        <v>#VALUE!</v>
      </c>
      <c r="P309" t="e">
        <f ca="1">INDEX(INDIRECT(CONCATENATE("Tab_",Tab_Calculs[[#This Row],[Colonne1]])),Tab_Calculs[[#This Row],[index_date_livraison]],7)*(1+MIN(Tab_Calculs[[#This Row],[Date_livraison]],Tab_Calculs[[#This Row],[fin mois]])-MAX(Tab_Calculs[[#This Row],[Début mois]],Tab_Calculs[[#This Row],[Début periode livraison]]))</f>
        <v>#NUM!</v>
      </c>
      <c r="Q309" t="e">
        <f ca="1">INDEX(INDIRECT(CONCATENATE("Tab_",Tab_Calculs[[#This Row],[Colonne1]])),Tab_Calculs[[#This Row],[index_date_livraison]]+1,7)*(Tab_Calculs[[#This Row],[fin mois]]-MIN(Tab_Calculs[[#This Row],[fin mois]],Tab_Calculs[[#This Row],[Date_livraison]]))</f>
        <v>#VALUE!</v>
      </c>
      <c r="R309" t="e">
        <f ca="1">Tab_Calculs[[#This Row],[Ratio_Cout_après_livr]]+Tab_Calculs[[#This Row],[Ratio_Cout_avant_livr]]+Tab_Calculs[[#This Row],[Ratio_Cout_avant_debut]]</f>
        <v>#VALUE!</v>
      </c>
      <c r="S309" t="str">
        <f ca="1">IFERROR(N309*VLOOKUP(Tab_Calculs[[#This Row],[Colonne1]],Controle_des_données!$B$7:$G$14,6,FALSE),"")</f>
        <v/>
      </c>
      <c r="T309" t="str">
        <f ca="1">IF(Tab_Calculs[[#This Row],[Combustible ]]="Electricité (kWh)",Tab_Calculs[[#This Row],[Conso_mois_kWh]]*2.3,Tab_Calculs[[#This Row],[Conso_mois_kWh]])</f>
        <v/>
      </c>
      <c r="U309" t="str">
        <f ca="1">IFERROR(N309*VLOOKUP(Tab_Calculs[[#This Row],[Colonne1]],Controle_des_données!$B$7:$H$14,7,FALSE),"")</f>
        <v/>
      </c>
      <c r="V309">
        <f ca="1">IFERROR(Tab_Calculs[[#This Row],[Cout_mois]]/Tab_Calculs[[#This Row],[Conso_mois_kWh]],0)</f>
        <v>0</v>
      </c>
      <c r="W309" t="str">
        <f>T(VLOOKUP(Tab_Calculs[[#This Row],[Compteur]],Site!$B$33:$G$40,3,FALSE))</f>
        <v/>
      </c>
      <c r="X309" t="str">
        <f>T(VLOOKUP(Tab_Calculs[[#This Row],[Compteur]],Site!$B$33:$G$40,4,FALSE))</f>
        <v/>
      </c>
      <c r="Y309" t="str">
        <f>T(VLOOKUP(Tab_Calculs[[#This Row],[Compteur]],Site!$B$33:$G$40,5,FALSE))</f>
        <v/>
      </c>
      <c r="Z309" t="str">
        <f>T(VLOOKUP(Tab_Calculs[[#This Row],[Compteur]],Site!$B$33:$G$40,6,FALSE))</f>
        <v/>
      </c>
      <c r="AA309">
        <f>IFERROR(GETPIVOTDATA("DJU(chauffagiste)",BDD_DJU!$P$13,"annee",Tab_Calculs[[#This Row],[ANNEE]],"mois_numero",Tab_Calculs[[#This Row],[MOIS]]),0)</f>
        <v>402.2</v>
      </c>
    </row>
    <row r="310" spans="1:27" x14ac:dyDescent="0.25">
      <c r="A310" s="3">
        <f>DATE(Tab_Calculs[[#This Row],[ANNEE]],Tab_Calculs[[#This Row],[MOIS]],1)</f>
        <v>43497</v>
      </c>
      <c r="B310" s="3">
        <f>EDATE(Tab_Calculs[[#This Row],[Début mois]],1)-1</f>
        <v>43524</v>
      </c>
      <c r="C310">
        <f t="shared" si="8"/>
        <v>2</v>
      </c>
      <c r="D310">
        <f t="shared" si="7"/>
        <v>2019</v>
      </c>
      <c r="E310" t="s">
        <v>81</v>
      </c>
      <c r="F310" t="str">
        <f>SUBSTITUTE(Tab_Calculs[[#This Row],[Compteur]]," ","_")</f>
        <v>Compteur_2</v>
      </c>
      <c r="G310" t="str">
        <f>T(INDEX(Site!$B$33:$G$40, MATCH(Tab_Calculs[[#This Row],[Compteur]], Site!$B$33:$B$40,0),2))</f>
        <v/>
      </c>
      <c r="H310" s="3">
        <f t="array" aca="1" ref="H310" ca="1">MIN(IF(INDIRECT(CONCATENATE(Tab_Calculs[[#This Row],[Colonne1]],"!$B$2:$B$243"))&gt;=Calculs_Consos!$A310,INDIRECT(CONCATENATE(Tab_Calculs[[#This Row],[Colonne1]],"!$B$2:$B$243"))))</f>
        <v>0</v>
      </c>
      <c r="I310" s="3" t="e">
        <f ca="1">INDEX(INDIRECT(CONCATENATE("Tab_",Tab_Calculs[[#This Row],[Colonne1]])),Tab_Calculs[[#This Row],[index_date_livraison]],1)</f>
        <v>#NUM!</v>
      </c>
      <c r="J310">
        <f ca="1">MATCH(Tab_Calculs[[#This Row],[Date_livraison]],INDIRECT(CONCATENATE("Tab_",Tab_Calculs[[#This Row],[Colonne1]],"[Fin de période]")),0)</f>
        <v>1</v>
      </c>
      <c r="K310" t="e">
        <f ca="1">INDEX(INDIRECT(CONCATENATE("Tab_",Tab_Calculs[[#This Row],[Colonne1]])),Tab_Calculs[[#This Row],[index_date_livraison]]-1,6)*(MAX(Tab_Calculs[[#This Row],[Début periode livraison]],Tab_Calculs[[#This Row],[Début mois]])-Tab_Calculs[[#This Row],[Début mois]])</f>
        <v>#VALUE!</v>
      </c>
      <c r="L310" s="94" t="e">
        <f ca="1">INDEX(INDIRECT(CONCATENATE("Tab_",Tab_Calculs[[#This Row],[Colonne1]])),Tab_Calculs[[#This Row],[index_date_livraison]],6)*(1+MIN(Tab_Calculs[[#This Row],[Date_livraison]],Tab_Calculs[[#This Row],[fin mois]])-MAX(Tab_Calculs[[#This Row],[Début mois]],Tab_Calculs[[#This Row],[Début periode livraison]]))</f>
        <v>#NUM!</v>
      </c>
      <c r="M310" s="94" t="e">
        <f ca="1">INDEX(INDIRECT(CONCATENATE("Tab_",Tab_Calculs[[#This Row],[Colonne1]])),Tab_Calculs[[#This Row],[index_date_livraison]]+1,6)*(Tab_Calculs[[#This Row],[fin mois]]-MIN(Tab_Calculs[[#This Row],[fin mois]],Tab_Calculs[[#This Row],[Date_livraison]]))</f>
        <v>#VALUE!</v>
      </c>
      <c r="N310" s="231" t="str">
        <f ca="1">IFERROR(Tab_Calculs[[#This Row],[Ratio_jour_après_livr]]+Tab_Calculs[[#This Row],[Ratio_jour_avant_livr]]+Tab_Calculs[[#This Row],[ratio_avant_debut]],"")</f>
        <v/>
      </c>
      <c r="O310" t="e">
        <f ca="1">INDEX(INDIRECT(CONCATENATE("Tab_",Tab_Calculs[[#This Row],[Colonne1]])),Tab_Calculs[[#This Row],[index_date_livraison]]-1,7)*(MAX(Tab_Calculs[[#This Row],[Début periode livraison]],Tab_Calculs[[#This Row],[Début mois]])-Tab_Calculs[[#This Row],[Début mois]])</f>
        <v>#VALUE!</v>
      </c>
      <c r="P310" t="e">
        <f ca="1">INDEX(INDIRECT(CONCATENATE("Tab_",Tab_Calculs[[#This Row],[Colonne1]])),Tab_Calculs[[#This Row],[index_date_livraison]],7)*(1+MIN(Tab_Calculs[[#This Row],[Date_livraison]],Tab_Calculs[[#This Row],[fin mois]])-MAX(Tab_Calculs[[#This Row],[Début mois]],Tab_Calculs[[#This Row],[Début periode livraison]]))</f>
        <v>#NUM!</v>
      </c>
      <c r="Q310" t="e">
        <f ca="1">INDEX(INDIRECT(CONCATENATE("Tab_",Tab_Calculs[[#This Row],[Colonne1]])),Tab_Calculs[[#This Row],[index_date_livraison]]+1,7)*(Tab_Calculs[[#This Row],[fin mois]]-MIN(Tab_Calculs[[#This Row],[fin mois]],Tab_Calculs[[#This Row],[Date_livraison]]))</f>
        <v>#VALUE!</v>
      </c>
      <c r="R310" t="e">
        <f ca="1">Tab_Calculs[[#This Row],[Ratio_Cout_après_livr]]+Tab_Calculs[[#This Row],[Ratio_Cout_avant_livr]]+Tab_Calculs[[#This Row],[Ratio_Cout_avant_debut]]</f>
        <v>#VALUE!</v>
      </c>
      <c r="S310" t="str">
        <f ca="1">IFERROR(N310*VLOOKUP(Tab_Calculs[[#This Row],[Colonne1]],Controle_des_données!$B$7:$G$14,6,FALSE),"")</f>
        <v/>
      </c>
      <c r="T310" t="str">
        <f ca="1">IF(Tab_Calculs[[#This Row],[Combustible ]]="Electricité (kWh)",Tab_Calculs[[#This Row],[Conso_mois_kWh]]*2.3,Tab_Calculs[[#This Row],[Conso_mois_kWh]])</f>
        <v/>
      </c>
      <c r="U310" t="str">
        <f ca="1">IFERROR(N310*VLOOKUP(Tab_Calculs[[#This Row],[Colonne1]],Controle_des_données!$B$7:$H$14,7,FALSE),"")</f>
        <v/>
      </c>
      <c r="V310">
        <f ca="1">IFERROR(Tab_Calculs[[#This Row],[Cout_mois]]/Tab_Calculs[[#This Row],[Conso_mois_kWh]],0)</f>
        <v>0</v>
      </c>
      <c r="W310" t="str">
        <f>T(VLOOKUP(Tab_Calculs[[#This Row],[Compteur]],Site!$B$33:$G$40,3,FALSE))</f>
        <v/>
      </c>
      <c r="X310" t="str">
        <f>T(VLOOKUP(Tab_Calculs[[#This Row],[Compteur]],Site!$B$33:$G$40,4,FALSE))</f>
        <v/>
      </c>
      <c r="Y310" t="str">
        <f>T(VLOOKUP(Tab_Calculs[[#This Row],[Compteur]],Site!$B$33:$G$40,5,FALSE))</f>
        <v/>
      </c>
      <c r="Z310" t="str">
        <f>T(VLOOKUP(Tab_Calculs[[#This Row],[Compteur]],Site!$B$33:$G$40,6,FALSE))</f>
        <v/>
      </c>
      <c r="AA310">
        <f>IFERROR(GETPIVOTDATA("DJU(chauffagiste)",BDD_DJU!$P$13,"annee",Tab_Calculs[[#This Row],[ANNEE]],"mois_numero",Tab_Calculs[[#This Row],[MOIS]]),0)</f>
        <v>297.3</v>
      </c>
    </row>
    <row r="311" spans="1:27" x14ac:dyDescent="0.25">
      <c r="A311" s="3">
        <f>DATE(Tab_Calculs[[#This Row],[ANNEE]],Tab_Calculs[[#This Row],[MOIS]],1)</f>
        <v>43525</v>
      </c>
      <c r="B311" s="3">
        <f>EDATE(Tab_Calculs[[#This Row],[Début mois]],1)-1</f>
        <v>43555</v>
      </c>
      <c r="C311">
        <f t="shared" si="8"/>
        <v>3</v>
      </c>
      <c r="D311">
        <f t="shared" si="7"/>
        <v>2019</v>
      </c>
      <c r="E311" t="s">
        <v>81</v>
      </c>
      <c r="F311" t="str">
        <f>SUBSTITUTE(Tab_Calculs[[#This Row],[Compteur]]," ","_")</f>
        <v>Compteur_2</v>
      </c>
      <c r="G311" t="str">
        <f>T(INDEX(Site!$B$33:$G$40, MATCH(Tab_Calculs[[#This Row],[Compteur]], Site!$B$33:$B$40,0),2))</f>
        <v/>
      </c>
      <c r="H311" s="3">
        <f t="array" aca="1" ref="H311" ca="1">MIN(IF(INDIRECT(CONCATENATE(Tab_Calculs[[#This Row],[Colonne1]],"!$B$2:$B$243"))&gt;=Calculs_Consos!$A311,INDIRECT(CONCATENATE(Tab_Calculs[[#This Row],[Colonne1]],"!$B$2:$B$243"))))</f>
        <v>0</v>
      </c>
      <c r="I311" s="3" t="e">
        <f ca="1">INDEX(INDIRECT(CONCATENATE("Tab_",Tab_Calculs[[#This Row],[Colonne1]])),Tab_Calculs[[#This Row],[index_date_livraison]],1)</f>
        <v>#NUM!</v>
      </c>
      <c r="J311">
        <f ca="1">MATCH(Tab_Calculs[[#This Row],[Date_livraison]],INDIRECT(CONCATENATE("Tab_",Tab_Calculs[[#This Row],[Colonne1]],"[Fin de période]")),0)</f>
        <v>1</v>
      </c>
      <c r="K311" t="e">
        <f ca="1">INDEX(INDIRECT(CONCATENATE("Tab_",Tab_Calculs[[#This Row],[Colonne1]])),Tab_Calculs[[#This Row],[index_date_livraison]]-1,6)*(MAX(Tab_Calculs[[#This Row],[Début periode livraison]],Tab_Calculs[[#This Row],[Début mois]])-Tab_Calculs[[#This Row],[Début mois]])</f>
        <v>#VALUE!</v>
      </c>
      <c r="L311" s="94" t="e">
        <f ca="1">INDEX(INDIRECT(CONCATENATE("Tab_",Tab_Calculs[[#This Row],[Colonne1]])),Tab_Calculs[[#This Row],[index_date_livraison]],6)*(1+MIN(Tab_Calculs[[#This Row],[Date_livraison]],Tab_Calculs[[#This Row],[fin mois]])-MAX(Tab_Calculs[[#This Row],[Début mois]],Tab_Calculs[[#This Row],[Début periode livraison]]))</f>
        <v>#NUM!</v>
      </c>
      <c r="M311" s="94" t="e">
        <f ca="1">INDEX(INDIRECT(CONCATENATE("Tab_",Tab_Calculs[[#This Row],[Colonne1]])),Tab_Calculs[[#This Row],[index_date_livraison]]+1,6)*(Tab_Calculs[[#This Row],[fin mois]]-MIN(Tab_Calculs[[#This Row],[fin mois]],Tab_Calculs[[#This Row],[Date_livraison]]))</f>
        <v>#VALUE!</v>
      </c>
      <c r="N311" s="231" t="str">
        <f ca="1">IFERROR(Tab_Calculs[[#This Row],[Ratio_jour_après_livr]]+Tab_Calculs[[#This Row],[Ratio_jour_avant_livr]]+Tab_Calculs[[#This Row],[ratio_avant_debut]],"")</f>
        <v/>
      </c>
      <c r="O311" t="e">
        <f ca="1">INDEX(INDIRECT(CONCATENATE("Tab_",Tab_Calculs[[#This Row],[Colonne1]])),Tab_Calculs[[#This Row],[index_date_livraison]]-1,7)*(MAX(Tab_Calculs[[#This Row],[Début periode livraison]],Tab_Calculs[[#This Row],[Début mois]])-Tab_Calculs[[#This Row],[Début mois]])</f>
        <v>#VALUE!</v>
      </c>
      <c r="P311" t="e">
        <f ca="1">INDEX(INDIRECT(CONCATENATE("Tab_",Tab_Calculs[[#This Row],[Colonne1]])),Tab_Calculs[[#This Row],[index_date_livraison]],7)*(1+MIN(Tab_Calculs[[#This Row],[Date_livraison]],Tab_Calculs[[#This Row],[fin mois]])-MAX(Tab_Calculs[[#This Row],[Début mois]],Tab_Calculs[[#This Row],[Début periode livraison]]))</f>
        <v>#NUM!</v>
      </c>
      <c r="Q311" t="e">
        <f ca="1">INDEX(INDIRECT(CONCATENATE("Tab_",Tab_Calculs[[#This Row],[Colonne1]])),Tab_Calculs[[#This Row],[index_date_livraison]]+1,7)*(Tab_Calculs[[#This Row],[fin mois]]-MIN(Tab_Calculs[[#This Row],[fin mois]],Tab_Calculs[[#This Row],[Date_livraison]]))</f>
        <v>#VALUE!</v>
      </c>
      <c r="R311" t="e">
        <f ca="1">Tab_Calculs[[#This Row],[Ratio_Cout_après_livr]]+Tab_Calculs[[#This Row],[Ratio_Cout_avant_livr]]+Tab_Calculs[[#This Row],[Ratio_Cout_avant_debut]]</f>
        <v>#VALUE!</v>
      </c>
      <c r="S311" t="str">
        <f ca="1">IFERROR(N311*VLOOKUP(Tab_Calculs[[#This Row],[Colonne1]],Controle_des_données!$B$7:$G$14,6,FALSE),"")</f>
        <v/>
      </c>
      <c r="T311" t="str">
        <f ca="1">IF(Tab_Calculs[[#This Row],[Combustible ]]="Electricité (kWh)",Tab_Calculs[[#This Row],[Conso_mois_kWh]]*2.3,Tab_Calculs[[#This Row],[Conso_mois_kWh]])</f>
        <v/>
      </c>
      <c r="U311" t="str">
        <f ca="1">IFERROR(N311*VLOOKUP(Tab_Calculs[[#This Row],[Colonne1]],Controle_des_données!$B$7:$H$14,7,FALSE),"")</f>
        <v/>
      </c>
      <c r="V311">
        <f ca="1">IFERROR(Tab_Calculs[[#This Row],[Cout_mois]]/Tab_Calculs[[#This Row],[Conso_mois_kWh]],0)</f>
        <v>0</v>
      </c>
      <c r="W311" t="str">
        <f>T(VLOOKUP(Tab_Calculs[[#This Row],[Compteur]],Site!$B$33:$G$40,3,FALSE))</f>
        <v/>
      </c>
      <c r="X311" t="str">
        <f>T(VLOOKUP(Tab_Calculs[[#This Row],[Compteur]],Site!$B$33:$G$40,4,FALSE))</f>
        <v/>
      </c>
      <c r="Y311" t="str">
        <f>T(VLOOKUP(Tab_Calculs[[#This Row],[Compteur]],Site!$B$33:$G$40,5,FALSE))</f>
        <v/>
      </c>
      <c r="Z311" t="str">
        <f>T(VLOOKUP(Tab_Calculs[[#This Row],[Compteur]],Site!$B$33:$G$40,6,FALSE))</f>
        <v/>
      </c>
      <c r="AA311">
        <f>IFERROR(GETPIVOTDATA("DJU(chauffagiste)",BDD_DJU!$P$13,"annee",Tab_Calculs[[#This Row],[ANNEE]],"mois_numero",Tab_Calculs[[#This Row],[MOIS]]),0)</f>
        <v>260.39999999999998</v>
      </c>
    </row>
    <row r="312" spans="1:27" x14ac:dyDescent="0.25">
      <c r="A312" s="3">
        <f>DATE(Tab_Calculs[[#This Row],[ANNEE]],Tab_Calculs[[#This Row],[MOIS]],1)</f>
        <v>43556</v>
      </c>
      <c r="B312" s="3">
        <f>EDATE(Tab_Calculs[[#This Row],[Début mois]],1)-1</f>
        <v>43585</v>
      </c>
      <c r="C312">
        <f t="shared" si="8"/>
        <v>4</v>
      </c>
      <c r="D312">
        <f t="shared" si="7"/>
        <v>2019</v>
      </c>
      <c r="E312" t="s">
        <v>81</v>
      </c>
      <c r="F312" t="str">
        <f>SUBSTITUTE(Tab_Calculs[[#This Row],[Compteur]]," ","_")</f>
        <v>Compteur_2</v>
      </c>
      <c r="G312" t="str">
        <f>T(INDEX(Site!$B$33:$G$40, MATCH(Tab_Calculs[[#This Row],[Compteur]], Site!$B$33:$B$40,0),2))</f>
        <v/>
      </c>
      <c r="H312" s="3">
        <f t="array" aca="1" ref="H312" ca="1">MIN(IF(INDIRECT(CONCATENATE(Tab_Calculs[[#This Row],[Colonne1]],"!$B$2:$B$243"))&gt;=Calculs_Consos!$A312,INDIRECT(CONCATENATE(Tab_Calculs[[#This Row],[Colonne1]],"!$B$2:$B$243"))))</f>
        <v>0</v>
      </c>
      <c r="I312" s="3" t="e">
        <f ca="1">INDEX(INDIRECT(CONCATENATE("Tab_",Tab_Calculs[[#This Row],[Colonne1]])),Tab_Calculs[[#This Row],[index_date_livraison]],1)</f>
        <v>#NUM!</v>
      </c>
      <c r="J312">
        <f ca="1">MATCH(Tab_Calculs[[#This Row],[Date_livraison]],INDIRECT(CONCATENATE("Tab_",Tab_Calculs[[#This Row],[Colonne1]],"[Fin de période]")),0)</f>
        <v>1</v>
      </c>
      <c r="K312" t="e">
        <f ca="1">INDEX(INDIRECT(CONCATENATE("Tab_",Tab_Calculs[[#This Row],[Colonne1]])),Tab_Calculs[[#This Row],[index_date_livraison]]-1,6)*(MAX(Tab_Calculs[[#This Row],[Début periode livraison]],Tab_Calculs[[#This Row],[Début mois]])-Tab_Calculs[[#This Row],[Début mois]])</f>
        <v>#VALUE!</v>
      </c>
      <c r="L312" s="94" t="e">
        <f ca="1">INDEX(INDIRECT(CONCATENATE("Tab_",Tab_Calculs[[#This Row],[Colonne1]])),Tab_Calculs[[#This Row],[index_date_livraison]],6)*(1+MIN(Tab_Calculs[[#This Row],[Date_livraison]],Tab_Calculs[[#This Row],[fin mois]])-MAX(Tab_Calculs[[#This Row],[Début mois]],Tab_Calculs[[#This Row],[Début periode livraison]]))</f>
        <v>#NUM!</v>
      </c>
      <c r="M312" s="94" t="e">
        <f ca="1">INDEX(INDIRECT(CONCATENATE("Tab_",Tab_Calculs[[#This Row],[Colonne1]])),Tab_Calculs[[#This Row],[index_date_livraison]]+1,6)*(Tab_Calculs[[#This Row],[fin mois]]-MIN(Tab_Calculs[[#This Row],[fin mois]],Tab_Calculs[[#This Row],[Date_livraison]]))</f>
        <v>#VALUE!</v>
      </c>
      <c r="N312" s="231" t="str">
        <f ca="1">IFERROR(Tab_Calculs[[#This Row],[Ratio_jour_après_livr]]+Tab_Calculs[[#This Row],[Ratio_jour_avant_livr]]+Tab_Calculs[[#This Row],[ratio_avant_debut]],"")</f>
        <v/>
      </c>
      <c r="O312" t="e">
        <f ca="1">INDEX(INDIRECT(CONCATENATE("Tab_",Tab_Calculs[[#This Row],[Colonne1]])),Tab_Calculs[[#This Row],[index_date_livraison]]-1,7)*(MAX(Tab_Calculs[[#This Row],[Début periode livraison]],Tab_Calculs[[#This Row],[Début mois]])-Tab_Calculs[[#This Row],[Début mois]])</f>
        <v>#VALUE!</v>
      </c>
      <c r="P312" t="e">
        <f ca="1">INDEX(INDIRECT(CONCATENATE("Tab_",Tab_Calculs[[#This Row],[Colonne1]])),Tab_Calculs[[#This Row],[index_date_livraison]],7)*(1+MIN(Tab_Calculs[[#This Row],[Date_livraison]],Tab_Calculs[[#This Row],[fin mois]])-MAX(Tab_Calculs[[#This Row],[Début mois]],Tab_Calculs[[#This Row],[Début periode livraison]]))</f>
        <v>#NUM!</v>
      </c>
      <c r="Q312" t="e">
        <f ca="1">INDEX(INDIRECT(CONCATENATE("Tab_",Tab_Calculs[[#This Row],[Colonne1]])),Tab_Calculs[[#This Row],[index_date_livraison]]+1,7)*(Tab_Calculs[[#This Row],[fin mois]]-MIN(Tab_Calculs[[#This Row],[fin mois]],Tab_Calculs[[#This Row],[Date_livraison]]))</f>
        <v>#VALUE!</v>
      </c>
      <c r="R312" t="e">
        <f ca="1">Tab_Calculs[[#This Row],[Ratio_Cout_après_livr]]+Tab_Calculs[[#This Row],[Ratio_Cout_avant_livr]]+Tab_Calculs[[#This Row],[Ratio_Cout_avant_debut]]</f>
        <v>#VALUE!</v>
      </c>
      <c r="S312" t="str">
        <f ca="1">IFERROR(N312*VLOOKUP(Tab_Calculs[[#This Row],[Colonne1]],Controle_des_données!$B$7:$G$14,6,FALSE),"")</f>
        <v/>
      </c>
      <c r="T312" t="str">
        <f ca="1">IF(Tab_Calculs[[#This Row],[Combustible ]]="Electricité (kWh)",Tab_Calculs[[#This Row],[Conso_mois_kWh]]*2.3,Tab_Calculs[[#This Row],[Conso_mois_kWh]])</f>
        <v/>
      </c>
      <c r="U312" t="str">
        <f ca="1">IFERROR(N312*VLOOKUP(Tab_Calculs[[#This Row],[Colonne1]],Controle_des_données!$B$7:$H$14,7,FALSE),"")</f>
        <v/>
      </c>
      <c r="V312">
        <f ca="1">IFERROR(Tab_Calculs[[#This Row],[Cout_mois]]/Tab_Calculs[[#This Row],[Conso_mois_kWh]],0)</f>
        <v>0</v>
      </c>
      <c r="W312" t="str">
        <f>T(VLOOKUP(Tab_Calculs[[#This Row],[Compteur]],Site!$B$33:$G$40,3,FALSE))</f>
        <v/>
      </c>
      <c r="X312" t="str">
        <f>T(VLOOKUP(Tab_Calculs[[#This Row],[Compteur]],Site!$B$33:$G$40,4,FALSE))</f>
        <v/>
      </c>
      <c r="Y312" t="str">
        <f>T(VLOOKUP(Tab_Calculs[[#This Row],[Compteur]],Site!$B$33:$G$40,5,FALSE))</f>
        <v/>
      </c>
      <c r="Z312" t="str">
        <f>T(VLOOKUP(Tab_Calculs[[#This Row],[Compteur]],Site!$B$33:$G$40,6,FALSE))</f>
        <v/>
      </c>
      <c r="AA312">
        <f>IFERROR(GETPIVOTDATA("DJU(chauffagiste)",BDD_DJU!$P$13,"annee",Tab_Calculs[[#This Row],[ANNEE]],"mois_numero",Tab_Calculs[[#This Row],[MOIS]]),0)</f>
        <v>201.4</v>
      </c>
    </row>
    <row r="313" spans="1:27" x14ac:dyDescent="0.25">
      <c r="A313" s="3">
        <f>DATE(Tab_Calculs[[#This Row],[ANNEE]],Tab_Calculs[[#This Row],[MOIS]],1)</f>
        <v>43586</v>
      </c>
      <c r="B313" s="3">
        <f>EDATE(Tab_Calculs[[#This Row],[Début mois]],1)-1</f>
        <v>43616</v>
      </c>
      <c r="C313">
        <f t="shared" si="8"/>
        <v>5</v>
      </c>
      <c r="D313">
        <f t="shared" si="7"/>
        <v>2019</v>
      </c>
      <c r="E313" t="s">
        <v>81</v>
      </c>
      <c r="F313" t="str">
        <f>SUBSTITUTE(Tab_Calculs[[#This Row],[Compteur]]," ","_")</f>
        <v>Compteur_2</v>
      </c>
      <c r="G313" t="str">
        <f>T(INDEX(Site!$B$33:$G$40, MATCH(Tab_Calculs[[#This Row],[Compteur]], Site!$B$33:$B$40,0),2))</f>
        <v/>
      </c>
      <c r="H313" s="3">
        <f t="array" aca="1" ref="H313" ca="1">MIN(IF(INDIRECT(CONCATENATE(Tab_Calculs[[#This Row],[Colonne1]],"!$B$2:$B$243"))&gt;=Calculs_Consos!$A313,INDIRECT(CONCATENATE(Tab_Calculs[[#This Row],[Colonne1]],"!$B$2:$B$243"))))</f>
        <v>0</v>
      </c>
      <c r="I313" s="3" t="e">
        <f ca="1">INDEX(INDIRECT(CONCATENATE("Tab_",Tab_Calculs[[#This Row],[Colonne1]])),Tab_Calculs[[#This Row],[index_date_livraison]],1)</f>
        <v>#NUM!</v>
      </c>
      <c r="J313">
        <f ca="1">MATCH(Tab_Calculs[[#This Row],[Date_livraison]],INDIRECT(CONCATENATE("Tab_",Tab_Calculs[[#This Row],[Colonne1]],"[Fin de période]")),0)</f>
        <v>1</v>
      </c>
      <c r="K313" t="e">
        <f ca="1">INDEX(INDIRECT(CONCATENATE("Tab_",Tab_Calculs[[#This Row],[Colonne1]])),Tab_Calculs[[#This Row],[index_date_livraison]]-1,6)*(MAX(Tab_Calculs[[#This Row],[Début periode livraison]],Tab_Calculs[[#This Row],[Début mois]])-Tab_Calculs[[#This Row],[Début mois]])</f>
        <v>#VALUE!</v>
      </c>
      <c r="L313" s="94" t="e">
        <f ca="1">INDEX(INDIRECT(CONCATENATE("Tab_",Tab_Calculs[[#This Row],[Colonne1]])),Tab_Calculs[[#This Row],[index_date_livraison]],6)*(1+MIN(Tab_Calculs[[#This Row],[Date_livraison]],Tab_Calculs[[#This Row],[fin mois]])-MAX(Tab_Calculs[[#This Row],[Début mois]],Tab_Calculs[[#This Row],[Début periode livraison]]))</f>
        <v>#NUM!</v>
      </c>
      <c r="M313" s="94" t="e">
        <f ca="1">INDEX(INDIRECT(CONCATENATE("Tab_",Tab_Calculs[[#This Row],[Colonne1]])),Tab_Calculs[[#This Row],[index_date_livraison]]+1,6)*(Tab_Calculs[[#This Row],[fin mois]]-MIN(Tab_Calculs[[#This Row],[fin mois]],Tab_Calculs[[#This Row],[Date_livraison]]))</f>
        <v>#VALUE!</v>
      </c>
      <c r="N313" s="231" t="str">
        <f ca="1">IFERROR(Tab_Calculs[[#This Row],[Ratio_jour_après_livr]]+Tab_Calculs[[#This Row],[Ratio_jour_avant_livr]]+Tab_Calculs[[#This Row],[ratio_avant_debut]],"")</f>
        <v/>
      </c>
      <c r="O313" t="e">
        <f ca="1">INDEX(INDIRECT(CONCATENATE("Tab_",Tab_Calculs[[#This Row],[Colonne1]])),Tab_Calculs[[#This Row],[index_date_livraison]]-1,7)*(MAX(Tab_Calculs[[#This Row],[Début periode livraison]],Tab_Calculs[[#This Row],[Début mois]])-Tab_Calculs[[#This Row],[Début mois]])</f>
        <v>#VALUE!</v>
      </c>
      <c r="P313" t="e">
        <f ca="1">INDEX(INDIRECT(CONCATENATE("Tab_",Tab_Calculs[[#This Row],[Colonne1]])),Tab_Calculs[[#This Row],[index_date_livraison]],7)*(1+MIN(Tab_Calculs[[#This Row],[Date_livraison]],Tab_Calculs[[#This Row],[fin mois]])-MAX(Tab_Calculs[[#This Row],[Début mois]],Tab_Calculs[[#This Row],[Début periode livraison]]))</f>
        <v>#NUM!</v>
      </c>
      <c r="Q313" t="e">
        <f ca="1">INDEX(INDIRECT(CONCATENATE("Tab_",Tab_Calculs[[#This Row],[Colonne1]])),Tab_Calculs[[#This Row],[index_date_livraison]]+1,7)*(Tab_Calculs[[#This Row],[fin mois]]-MIN(Tab_Calculs[[#This Row],[fin mois]],Tab_Calculs[[#This Row],[Date_livraison]]))</f>
        <v>#VALUE!</v>
      </c>
      <c r="R313" t="e">
        <f ca="1">Tab_Calculs[[#This Row],[Ratio_Cout_après_livr]]+Tab_Calculs[[#This Row],[Ratio_Cout_avant_livr]]+Tab_Calculs[[#This Row],[Ratio_Cout_avant_debut]]</f>
        <v>#VALUE!</v>
      </c>
      <c r="S313" t="str">
        <f ca="1">IFERROR(N313*VLOOKUP(Tab_Calculs[[#This Row],[Colonne1]],Controle_des_données!$B$7:$G$14,6,FALSE),"")</f>
        <v/>
      </c>
      <c r="T313" t="str">
        <f ca="1">IF(Tab_Calculs[[#This Row],[Combustible ]]="Electricité (kWh)",Tab_Calculs[[#This Row],[Conso_mois_kWh]]*2.3,Tab_Calculs[[#This Row],[Conso_mois_kWh]])</f>
        <v/>
      </c>
      <c r="U313" t="str">
        <f ca="1">IFERROR(N313*VLOOKUP(Tab_Calculs[[#This Row],[Colonne1]],Controle_des_données!$B$7:$H$14,7,FALSE),"")</f>
        <v/>
      </c>
      <c r="V313">
        <f ca="1">IFERROR(Tab_Calculs[[#This Row],[Cout_mois]]/Tab_Calculs[[#This Row],[Conso_mois_kWh]],0)</f>
        <v>0</v>
      </c>
      <c r="W313" t="str">
        <f>T(VLOOKUP(Tab_Calculs[[#This Row],[Compteur]],Site!$B$33:$G$40,3,FALSE))</f>
        <v/>
      </c>
      <c r="X313" t="str">
        <f>T(VLOOKUP(Tab_Calculs[[#This Row],[Compteur]],Site!$B$33:$G$40,4,FALSE))</f>
        <v/>
      </c>
      <c r="Y313" t="str">
        <f>T(VLOOKUP(Tab_Calculs[[#This Row],[Compteur]],Site!$B$33:$G$40,5,FALSE))</f>
        <v/>
      </c>
      <c r="Z313" t="str">
        <f>T(VLOOKUP(Tab_Calculs[[#This Row],[Compteur]],Site!$B$33:$G$40,6,FALSE))</f>
        <v/>
      </c>
      <c r="AA313">
        <f>IFERROR(GETPIVOTDATA("DJU(chauffagiste)",BDD_DJU!$P$13,"annee",Tab_Calculs[[#This Row],[ANNEE]],"mois_numero",Tab_Calculs[[#This Row],[MOIS]]),0)</f>
        <v>147.9</v>
      </c>
    </row>
    <row r="314" spans="1:27" x14ac:dyDescent="0.25">
      <c r="A314" s="3">
        <f>DATE(Tab_Calculs[[#This Row],[ANNEE]],Tab_Calculs[[#This Row],[MOIS]],1)</f>
        <v>43617</v>
      </c>
      <c r="B314" s="3">
        <f>EDATE(Tab_Calculs[[#This Row],[Début mois]],1)-1</f>
        <v>43646</v>
      </c>
      <c r="C314">
        <f t="shared" si="8"/>
        <v>6</v>
      </c>
      <c r="D314">
        <f t="shared" si="7"/>
        <v>2019</v>
      </c>
      <c r="E314" t="s">
        <v>81</v>
      </c>
      <c r="F314" t="str">
        <f>SUBSTITUTE(Tab_Calculs[[#This Row],[Compteur]]," ","_")</f>
        <v>Compteur_2</v>
      </c>
      <c r="G314" t="str">
        <f>T(INDEX(Site!$B$33:$G$40, MATCH(Tab_Calculs[[#This Row],[Compteur]], Site!$B$33:$B$40,0),2))</f>
        <v/>
      </c>
      <c r="H314" s="3">
        <f t="array" aca="1" ref="H314" ca="1">MIN(IF(INDIRECT(CONCATENATE(Tab_Calculs[[#This Row],[Colonne1]],"!$B$2:$B$243"))&gt;=Calculs_Consos!$A314,INDIRECT(CONCATENATE(Tab_Calculs[[#This Row],[Colonne1]],"!$B$2:$B$243"))))</f>
        <v>0</v>
      </c>
      <c r="I314" s="3" t="e">
        <f ca="1">INDEX(INDIRECT(CONCATENATE("Tab_",Tab_Calculs[[#This Row],[Colonne1]])),Tab_Calculs[[#This Row],[index_date_livraison]],1)</f>
        <v>#NUM!</v>
      </c>
      <c r="J314">
        <f ca="1">MATCH(Tab_Calculs[[#This Row],[Date_livraison]],INDIRECT(CONCATENATE("Tab_",Tab_Calculs[[#This Row],[Colonne1]],"[Fin de période]")),0)</f>
        <v>1</v>
      </c>
      <c r="K314" t="e">
        <f ca="1">INDEX(INDIRECT(CONCATENATE("Tab_",Tab_Calculs[[#This Row],[Colonne1]])),Tab_Calculs[[#This Row],[index_date_livraison]]-1,6)*(MAX(Tab_Calculs[[#This Row],[Début periode livraison]],Tab_Calculs[[#This Row],[Début mois]])-Tab_Calculs[[#This Row],[Début mois]])</f>
        <v>#VALUE!</v>
      </c>
      <c r="L314" s="94" t="e">
        <f ca="1">INDEX(INDIRECT(CONCATENATE("Tab_",Tab_Calculs[[#This Row],[Colonne1]])),Tab_Calculs[[#This Row],[index_date_livraison]],6)*(1+MIN(Tab_Calculs[[#This Row],[Date_livraison]],Tab_Calculs[[#This Row],[fin mois]])-MAX(Tab_Calculs[[#This Row],[Début mois]],Tab_Calculs[[#This Row],[Début periode livraison]]))</f>
        <v>#NUM!</v>
      </c>
      <c r="M314" s="94" t="e">
        <f ca="1">INDEX(INDIRECT(CONCATENATE("Tab_",Tab_Calculs[[#This Row],[Colonne1]])),Tab_Calculs[[#This Row],[index_date_livraison]]+1,6)*(Tab_Calculs[[#This Row],[fin mois]]-MIN(Tab_Calculs[[#This Row],[fin mois]],Tab_Calculs[[#This Row],[Date_livraison]]))</f>
        <v>#VALUE!</v>
      </c>
      <c r="N314" s="231" t="str">
        <f ca="1">IFERROR(Tab_Calculs[[#This Row],[Ratio_jour_après_livr]]+Tab_Calculs[[#This Row],[Ratio_jour_avant_livr]]+Tab_Calculs[[#This Row],[ratio_avant_debut]],"")</f>
        <v/>
      </c>
      <c r="O314" t="e">
        <f ca="1">INDEX(INDIRECT(CONCATENATE("Tab_",Tab_Calculs[[#This Row],[Colonne1]])),Tab_Calculs[[#This Row],[index_date_livraison]]-1,7)*(MAX(Tab_Calculs[[#This Row],[Début periode livraison]],Tab_Calculs[[#This Row],[Début mois]])-Tab_Calculs[[#This Row],[Début mois]])</f>
        <v>#VALUE!</v>
      </c>
      <c r="P314" t="e">
        <f ca="1">INDEX(INDIRECT(CONCATENATE("Tab_",Tab_Calculs[[#This Row],[Colonne1]])),Tab_Calculs[[#This Row],[index_date_livraison]],7)*(1+MIN(Tab_Calculs[[#This Row],[Date_livraison]],Tab_Calculs[[#This Row],[fin mois]])-MAX(Tab_Calculs[[#This Row],[Début mois]],Tab_Calculs[[#This Row],[Début periode livraison]]))</f>
        <v>#NUM!</v>
      </c>
      <c r="Q314" t="e">
        <f ca="1">INDEX(INDIRECT(CONCATENATE("Tab_",Tab_Calculs[[#This Row],[Colonne1]])),Tab_Calculs[[#This Row],[index_date_livraison]]+1,7)*(Tab_Calculs[[#This Row],[fin mois]]-MIN(Tab_Calculs[[#This Row],[fin mois]],Tab_Calculs[[#This Row],[Date_livraison]]))</f>
        <v>#VALUE!</v>
      </c>
      <c r="R314" t="e">
        <f ca="1">Tab_Calculs[[#This Row],[Ratio_Cout_après_livr]]+Tab_Calculs[[#This Row],[Ratio_Cout_avant_livr]]+Tab_Calculs[[#This Row],[Ratio_Cout_avant_debut]]</f>
        <v>#VALUE!</v>
      </c>
      <c r="S314" t="str">
        <f ca="1">IFERROR(N314*VLOOKUP(Tab_Calculs[[#This Row],[Colonne1]],Controle_des_données!$B$7:$G$14,6,FALSE),"")</f>
        <v/>
      </c>
      <c r="T314" t="str">
        <f ca="1">IF(Tab_Calculs[[#This Row],[Combustible ]]="Electricité (kWh)",Tab_Calculs[[#This Row],[Conso_mois_kWh]]*2.3,Tab_Calculs[[#This Row],[Conso_mois_kWh]])</f>
        <v/>
      </c>
      <c r="U314" t="str">
        <f ca="1">IFERROR(N314*VLOOKUP(Tab_Calculs[[#This Row],[Colonne1]],Controle_des_données!$B$7:$H$14,7,FALSE),"")</f>
        <v/>
      </c>
      <c r="V314">
        <f ca="1">IFERROR(Tab_Calculs[[#This Row],[Cout_mois]]/Tab_Calculs[[#This Row],[Conso_mois_kWh]],0)</f>
        <v>0</v>
      </c>
      <c r="W314" t="str">
        <f>T(VLOOKUP(Tab_Calculs[[#This Row],[Compteur]],Site!$B$33:$G$40,3,FALSE))</f>
        <v/>
      </c>
      <c r="X314" t="str">
        <f>T(VLOOKUP(Tab_Calculs[[#This Row],[Compteur]],Site!$B$33:$G$40,4,FALSE))</f>
        <v/>
      </c>
      <c r="Y314" t="str">
        <f>T(VLOOKUP(Tab_Calculs[[#This Row],[Compteur]],Site!$B$33:$G$40,5,FALSE))</f>
        <v/>
      </c>
      <c r="Z314" t="str">
        <f>T(VLOOKUP(Tab_Calculs[[#This Row],[Compteur]],Site!$B$33:$G$40,6,FALSE))</f>
        <v/>
      </c>
      <c r="AA314">
        <f>IFERROR(GETPIVOTDATA("DJU(chauffagiste)",BDD_DJU!$P$13,"annee",Tab_Calculs[[#This Row],[ANNEE]],"mois_numero",Tab_Calculs[[#This Row],[MOIS]]),0)</f>
        <v>54.1</v>
      </c>
    </row>
    <row r="315" spans="1:27" x14ac:dyDescent="0.25">
      <c r="A315" s="3">
        <f>DATE(Tab_Calculs[[#This Row],[ANNEE]],Tab_Calculs[[#This Row],[MOIS]],1)</f>
        <v>43647</v>
      </c>
      <c r="B315" s="3">
        <f>EDATE(Tab_Calculs[[#This Row],[Début mois]],1)-1</f>
        <v>43677</v>
      </c>
      <c r="C315">
        <f t="shared" si="8"/>
        <v>7</v>
      </c>
      <c r="D315">
        <f t="shared" si="7"/>
        <v>2019</v>
      </c>
      <c r="E315" t="s">
        <v>81</v>
      </c>
      <c r="F315" t="str">
        <f>SUBSTITUTE(Tab_Calculs[[#This Row],[Compteur]]," ","_")</f>
        <v>Compteur_2</v>
      </c>
      <c r="G315" t="str">
        <f>T(INDEX(Site!$B$33:$G$40, MATCH(Tab_Calculs[[#This Row],[Compteur]], Site!$B$33:$B$40,0),2))</f>
        <v/>
      </c>
      <c r="H315" s="3">
        <f t="array" aca="1" ref="H315" ca="1">MIN(IF(INDIRECT(CONCATENATE(Tab_Calculs[[#This Row],[Colonne1]],"!$B$2:$B$243"))&gt;=Calculs_Consos!$A315,INDIRECT(CONCATENATE(Tab_Calculs[[#This Row],[Colonne1]],"!$B$2:$B$243"))))</f>
        <v>0</v>
      </c>
      <c r="I315" s="3" t="e">
        <f ca="1">INDEX(INDIRECT(CONCATENATE("Tab_",Tab_Calculs[[#This Row],[Colonne1]])),Tab_Calculs[[#This Row],[index_date_livraison]],1)</f>
        <v>#NUM!</v>
      </c>
      <c r="J315">
        <f ca="1">MATCH(Tab_Calculs[[#This Row],[Date_livraison]],INDIRECT(CONCATENATE("Tab_",Tab_Calculs[[#This Row],[Colonne1]],"[Fin de période]")),0)</f>
        <v>1</v>
      </c>
      <c r="K315" t="e">
        <f ca="1">INDEX(INDIRECT(CONCATENATE("Tab_",Tab_Calculs[[#This Row],[Colonne1]])),Tab_Calculs[[#This Row],[index_date_livraison]]-1,6)*(MAX(Tab_Calculs[[#This Row],[Début periode livraison]],Tab_Calculs[[#This Row],[Début mois]])-Tab_Calculs[[#This Row],[Début mois]])</f>
        <v>#VALUE!</v>
      </c>
      <c r="L315" s="94" t="e">
        <f ca="1">INDEX(INDIRECT(CONCATENATE("Tab_",Tab_Calculs[[#This Row],[Colonne1]])),Tab_Calculs[[#This Row],[index_date_livraison]],6)*(1+MIN(Tab_Calculs[[#This Row],[Date_livraison]],Tab_Calculs[[#This Row],[fin mois]])-MAX(Tab_Calculs[[#This Row],[Début mois]],Tab_Calculs[[#This Row],[Début periode livraison]]))</f>
        <v>#NUM!</v>
      </c>
      <c r="M315" s="94" t="e">
        <f ca="1">INDEX(INDIRECT(CONCATENATE("Tab_",Tab_Calculs[[#This Row],[Colonne1]])),Tab_Calculs[[#This Row],[index_date_livraison]]+1,6)*(Tab_Calculs[[#This Row],[fin mois]]-MIN(Tab_Calculs[[#This Row],[fin mois]],Tab_Calculs[[#This Row],[Date_livraison]]))</f>
        <v>#VALUE!</v>
      </c>
      <c r="N315" s="231" t="str">
        <f ca="1">IFERROR(Tab_Calculs[[#This Row],[Ratio_jour_après_livr]]+Tab_Calculs[[#This Row],[Ratio_jour_avant_livr]]+Tab_Calculs[[#This Row],[ratio_avant_debut]],"")</f>
        <v/>
      </c>
      <c r="O315" t="e">
        <f ca="1">INDEX(INDIRECT(CONCATENATE("Tab_",Tab_Calculs[[#This Row],[Colonne1]])),Tab_Calculs[[#This Row],[index_date_livraison]]-1,7)*(MAX(Tab_Calculs[[#This Row],[Début periode livraison]],Tab_Calculs[[#This Row],[Début mois]])-Tab_Calculs[[#This Row],[Début mois]])</f>
        <v>#VALUE!</v>
      </c>
      <c r="P315" t="e">
        <f ca="1">INDEX(INDIRECT(CONCATENATE("Tab_",Tab_Calculs[[#This Row],[Colonne1]])),Tab_Calculs[[#This Row],[index_date_livraison]],7)*(1+MIN(Tab_Calculs[[#This Row],[Date_livraison]],Tab_Calculs[[#This Row],[fin mois]])-MAX(Tab_Calculs[[#This Row],[Début mois]],Tab_Calculs[[#This Row],[Début periode livraison]]))</f>
        <v>#NUM!</v>
      </c>
      <c r="Q315" t="e">
        <f ca="1">INDEX(INDIRECT(CONCATENATE("Tab_",Tab_Calculs[[#This Row],[Colonne1]])),Tab_Calculs[[#This Row],[index_date_livraison]]+1,7)*(Tab_Calculs[[#This Row],[fin mois]]-MIN(Tab_Calculs[[#This Row],[fin mois]],Tab_Calculs[[#This Row],[Date_livraison]]))</f>
        <v>#VALUE!</v>
      </c>
      <c r="R315" t="e">
        <f ca="1">Tab_Calculs[[#This Row],[Ratio_Cout_après_livr]]+Tab_Calculs[[#This Row],[Ratio_Cout_avant_livr]]+Tab_Calculs[[#This Row],[Ratio_Cout_avant_debut]]</f>
        <v>#VALUE!</v>
      </c>
      <c r="S315" t="str">
        <f ca="1">IFERROR(N315*VLOOKUP(Tab_Calculs[[#This Row],[Colonne1]],Controle_des_données!$B$7:$G$14,6,FALSE),"")</f>
        <v/>
      </c>
      <c r="T315" t="str">
        <f ca="1">IF(Tab_Calculs[[#This Row],[Combustible ]]="Electricité (kWh)",Tab_Calculs[[#This Row],[Conso_mois_kWh]]*2.3,Tab_Calculs[[#This Row],[Conso_mois_kWh]])</f>
        <v/>
      </c>
      <c r="U315" t="str">
        <f ca="1">IFERROR(N315*VLOOKUP(Tab_Calculs[[#This Row],[Colonne1]],Controle_des_données!$B$7:$H$14,7,FALSE),"")</f>
        <v/>
      </c>
      <c r="V315">
        <f ca="1">IFERROR(Tab_Calculs[[#This Row],[Cout_mois]]/Tab_Calculs[[#This Row],[Conso_mois_kWh]],0)</f>
        <v>0</v>
      </c>
      <c r="W315" t="str">
        <f>T(VLOOKUP(Tab_Calculs[[#This Row],[Compteur]],Site!$B$33:$G$40,3,FALSE))</f>
        <v/>
      </c>
      <c r="X315" t="str">
        <f>T(VLOOKUP(Tab_Calculs[[#This Row],[Compteur]],Site!$B$33:$G$40,4,FALSE))</f>
        <v/>
      </c>
      <c r="Y315" t="str">
        <f>T(VLOOKUP(Tab_Calculs[[#This Row],[Compteur]],Site!$B$33:$G$40,5,FALSE))</f>
        <v/>
      </c>
      <c r="Z315" t="str">
        <f>T(VLOOKUP(Tab_Calculs[[#This Row],[Compteur]],Site!$B$33:$G$40,6,FALSE))</f>
        <v/>
      </c>
      <c r="AA315">
        <f>IFERROR(GETPIVOTDATA("DJU(chauffagiste)",BDD_DJU!$P$13,"annee",Tab_Calculs[[#This Row],[ANNEE]],"mois_numero",Tab_Calculs[[#This Row],[MOIS]]),0)</f>
        <v>15.5</v>
      </c>
    </row>
    <row r="316" spans="1:27" x14ac:dyDescent="0.25">
      <c r="A316" s="3">
        <f>DATE(Tab_Calculs[[#This Row],[ANNEE]],Tab_Calculs[[#This Row],[MOIS]],1)</f>
        <v>43678</v>
      </c>
      <c r="B316" s="3">
        <f>EDATE(Tab_Calculs[[#This Row],[Début mois]],1)-1</f>
        <v>43708</v>
      </c>
      <c r="C316">
        <f t="shared" si="8"/>
        <v>8</v>
      </c>
      <c r="D316">
        <f t="shared" si="7"/>
        <v>2019</v>
      </c>
      <c r="E316" t="s">
        <v>81</v>
      </c>
      <c r="F316" t="str">
        <f>SUBSTITUTE(Tab_Calculs[[#This Row],[Compteur]]," ","_")</f>
        <v>Compteur_2</v>
      </c>
      <c r="G316" t="str">
        <f>T(INDEX(Site!$B$33:$G$40, MATCH(Tab_Calculs[[#This Row],[Compteur]], Site!$B$33:$B$40,0),2))</f>
        <v/>
      </c>
      <c r="H316" s="3">
        <f t="array" aca="1" ref="H316" ca="1">MIN(IF(INDIRECT(CONCATENATE(Tab_Calculs[[#This Row],[Colonne1]],"!$B$2:$B$243"))&gt;=Calculs_Consos!$A316,INDIRECT(CONCATENATE(Tab_Calculs[[#This Row],[Colonne1]],"!$B$2:$B$243"))))</f>
        <v>0</v>
      </c>
      <c r="I316" s="3" t="e">
        <f ca="1">INDEX(INDIRECT(CONCATENATE("Tab_",Tab_Calculs[[#This Row],[Colonne1]])),Tab_Calculs[[#This Row],[index_date_livraison]],1)</f>
        <v>#NUM!</v>
      </c>
      <c r="J316">
        <f ca="1">MATCH(Tab_Calculs[[#This Row],[Date_livraison]],INDIRECT(CONCATENATE("Tab_",Tab_Calculs[[#This Row],[Colonne1]],"[Fin de période]")),0)</f>
        <v>1</v>
      </c>
      <c r="K316" t="e">
        <f ca="1">INDEX(INDIRECT(CONCATENATE("Tab_",Tab_Calculs[[#This Row],[Colonne1]])),Tab_Calculs[[#This Row],[index_date_livraison]]-1,6)*(MAX(Tab_Calculs[[#This Row],[Début periode livraison]],Tab_Calculs[[#This Row],[Début mois]])-Tab_Calculs[[#This Row],[Début mois]])</f>
        <v>#VALUE!</v>
      </c>
      <c r="L316" s="94" t="e">
        <f ca="1">INDEX(INDIRECT(CONCATENATE("Tab_",Tab_Calculs[[#This Row],[Colonne1]])),Tab_Calculs[[#This Row],[index_date_livraison]],6)*(1+MIN(Tab_Calculs[[#This Row],[Date_livraison]],Tab_Calculs[[#This Row],[fin mois]])-MAX(Tab_Calculs[[#This Row],[Début mois]],Tab_Calculs[[#This Row],[Début periode livraison]]))</f>
        <v>#NUM!</v>
      </c>
      <c r="M316" s="94" t="e">
        <f ca="1">INDEX(INDIRECT(CONCATENATE("Tab_",Tab_Calculs[[#This Row],[Colonne1]])),Tab_Calculs[[#This Row],[index_date_livraison]]+1,6)*(Tab_Calculs[[#This Row],[fin mois]]-MIN(Tab_Calculs[[#This Row],[fin mois]],Tab_Calculs[[#This Row],[Date_livraison]]))</f>
        <v>#VALUE!</v>
      </c>
      <c r="N316" s="231" t="str">
        <f ca="1">IFERROR(Tab_Calculs[[#This Row],[Ratio_jour_après_livr]]+Tab_Calculs[[#This Row],[Ratio_jour_avant_livr]]+Tab_Calculs[[#This Row],[ratio_avant_debut]],"")</f>
        <v/>
      </c>
      <c r="O316" t="e">
        <f ca="1">INDEX(INDIRECT(CONCATENATE("Tab_",Tab_Calculs[[#This Row],[Colonne1]])),Tab_Calculs[[#This Row],[index_date_livraison]]-1,7)*(MAX(Tab_Calculs[[#This Row],[Début periode livraison]],Tab_Calculs[[#This Row],[Début mois]])-Tab_Calculs[[#This Row],[Début mois]])</f>
        <v>#VALUE!</v>
      </c>
      <c r="P316" t="e">
        <f ca="1">INDEX(INDIRECT(CONCATENATE("Tab_",Tab_Calculs[[#This Row],[Colonne1]])),Tab_Calculs[[#This Row],[index_date_livraison]],7)*(1+MIN(Tab_Calculs[[#This Row],[Date_livraison]],Tab_Calculs[[#This Row],[fin mois]])-MAX(Tab_Calculs[[#This Row],[Début mois]],Tab_Calculs[[#This Row],[Début periode livraison]]))</f>
        <v>#NUM!</v>
      </c>
      <c r="Q316" t="e">
        <f ca="1">INDEX(INDIRECT(CONCATENATE("Tab_",Tab_Calculs[[#This Row],[Colonne1]])),Tab_Calculs[[#This Row],[index_date_livraison]]+1,7)*(Tab_Calculs[[#This Row],[fin mois]]-MIN(Tab_Calculs[[#This Row],[fin mois]],Tab_Calculs[[#This Row],[Date_livraison]]))</f>
        <v>#VALUE!</v>
      </c>
      <c r="R316" t="e">
        <f ca="1">Tab_Calculs[[#This Row],[Ratio_Cout_après_livr]]+Tab_Calculs[[#This Row],[Ratio_Cout_avant_livr]]+Tab_Calculs[[#This Row],[Ratio_Cout_avant_debut]]</f>
        <v>#VALUE!</v>
      </c>
      <c r="S316" t="str">
        <f ca="1">IFERROR(N316*VLOOKUP(Tab_Calculs[[#This Row],[Colonne1]],Controle_des_données!$B$7:$G$14,6,FALSE),"")</f>
        <v/>
      </c>
      <c r="T316" t="str">
        <f ca="1">IF(Tab_Calculs[[#This Row],[Combustible ]]="Electricité (kWh)",Tab_Calculs[[#This Row],[Conso_mois_kWh]]*2.3,Tab_Calculs[[#This Row],[Conso_mois_kWh]])</f>
        <v/>
      </c>
      <c r="U316" t="str">
        <f ca="1">IFERROR(N316*VLOOKUP(Tab_Calculs[[#This Row],[Colonne1]],Controle_des_données!$B$7:$H$14,7,FALSE),"")</f>
        <v/>
      </c>
      <c r="V316">
        <f ca="1">IFERROR(Tab_Calculs[[#This Row],[Cout_mois]]/Tab_Calculs[[#This Row],[Conso_mois_kWh]],0)</f>
        <v>0</v>
      </c>
      <c r="W316" t="str">
        <f>T(VLOOKUP(Tab_Calculs[[#This Row],[Compteur]],Site!$B$33:$G$40,3,FALSE))</f>
        <v/>
      </c>
      <c r="X316" t="str">
        <f>T(VLOOKUP(Tab_Calculs[[#This Row],[Compteur]],Site!$B$33:$G$40,4,FALSE))</f>
        <v/>
      </c>
      <c r="Y316" t="str">
        <f>T(VLOOKUP(Tab_Calculs[[#This Row],[Compteur]],Site!$B$33:$G$40,5,FALSE))</f>
        <v/>
      </c>
      <c r="Z316" t="str">
        <f>T(VLOOKUP(Tab_Calculs[[#This Row],[Compteur]],Site!$B$33:$G$40,6,FALSE))</f>
        <v/>
      </c>
      <c r="AA316">
        <f>IFERROR(GETPIVOTDATA("DJU(chauffagiste)",BDD_DJU!$P$13,"annee",Tab_Calculs[[#This Row],[ANNEE]],"mois_numero",Tab_Calculs[[#This Row],[MOIS]]),0)</f>
        <v>30.2</v>
      </c>
    </row>
    <row r="317" spans="1:27" x14ac:dyDescent="0.25">
      <c r="A317" s="3">
        <f>DATE(Tab_Calculs[[#This Row],[ANNEE]],Tab_Calculs[[#This Row],[MOIS]],1)</f>
        <v>43709</v>
      </c>
      <c r="B317" s="3">
        <f>EDATE(Tab_Calculs[[#This Row],[Début mois]],1)-1</f>
        <v>43738</v>
      </c>
      <c r="C317">
        <f t="shared" si="8"/>
        <v>9</v>
      </c>
      <c r="D317">
        <f t="shared" si="7"/>
        <v>2019</v>
      </c>
      <c r="E317" t="s">
        <v>81</v>
      </c>
      <c r="F317" t="str">
        <f>SUBSTITUTE(Tab_Calculs[[#This Row],[Compteur]]," ","_")</f>
        <v>Compteur_2</v>
      </c>
      <c r="G317" t="str">
        <f>T(INDEX(Site!$B$33:$G$40, MATCH(Tab_Calculs[[#This Row],[Compteur]], Site!$B$33:$B$40,0),2))</f>
        <v/>
      </c>
      <c r="H317" s="3">
        <f t="array" aca="1" ref="H317" ca="1">MIN(IF(INDIRECT(CONCATENATE(Tab_Calculs[[#This Row],[Colonne1]],"!$B$2:$B$243"))&gt;=Calculs_Consos!$A317,INDIRECT(CONCATENATE(Tab_Calculs[[#This Row],[Colonne1]],"!$B$2:$B$243"))))</f>
        <v>0</v>
      </c>
      <c r="I317" s="3" t="e">
        <f ca="1">INDEX(INDIRECT(CONCATENATE("Tab_",Tab_Calculs[[#This Row],[Colonne1]])),Tab_Calculs[[#This Row],[index_date_livraison]],1)</f>
        <v>#NUM!</v>
      </c>
      <c r="J317">
        <f ca="1">MATCH(Tab_Calculs[[#This Row],[Date_livraison]],INDIRECT(CONCATENATE("Tab_",Tab_Calculs[[#This Row],[Colonne1]],"[Fin de période]")),0)</f>
        <v>1</v>
      </c>
      <c r="K317" t="e">
        <f ca="1">INDEX(INDIRECT(CONCATENATE("Tab_",Tab_Calculs[[#This Row],[Colonne1]])),Tab_Calculs[[#This Row],[index_date_livraison]]-1,6)*(MAX(Tab_Calculs[[#This Row],[Début periode livraison]],Tab_Calculs[[#This Row],[Début mois]])-Tab_Calculs[[#This Row],[Début mois]])</f>
        <v>#VALUE!</v>
      </c>
      <c r="L317" s="94" t="e">
        <f ca="1">INDEX(INDIRECT(CONCATENATE("Tab_",Tab_Calculs[[#This Row],[Colonne1]])),Tab_Calculs[[#This Row],[index_date_livraison]],6)*(1+MIN(Tab_Calculs[[#This Row],[Date_livraison]],Tab_Calculs[[#This Row],[fin mois]])-MAX(Tab_Calculs[[#This Row],[Début mois]],Tab_Calculs[[#This Row],[Début periode livraison]]))</f>
        <v>#NUM!</v>
      </c>
      <c r="M317" s="94" t="e">
        <f ca="1">INDEX(INDIRECT(CONCATENATE("Tab_",Tab_Calculs[[#This Row],[Colonne1]])),Tab_Calculs[[#This Row],[index_date_livraison]]+1,6)*(Tab_Calculs[[#This Row],[fin mois]]-MIN(Tab_Calculs[[#This Row],[fin mois]],Tab_Calculs[[#This Row],[Date_livraison]]))</f>
        <v>#VALUE!</v>
      </c>
      <c r="N317" s="231" t="str">
        <f ca="1">IFERROR(Tab_Calculs[[#This Row],[Ratio_jour_après_livr]]+Tab_Calculs[[#This Row],[Ratio_jour_avant_livr]]+Tab_Calculs[[#This Row],[ratio_avant_debut]],"")</f>
        <v/>
      </c>
      <c r="O317" t="e">
        <f ca="1">INDEX(INDIRECT(CONCATENATE("Tab_",Tab_Calculs[[#This Row],[Colonne1]])),Tab_Calculs[[#This Row],[index_date_livraison]]-1,7)*(MAX(Tab_Calculs[[#This Row],[Début periode livraison]],Tab_Calculs[[#This Row],[Début mois]])-Tab_Calculs[[#This Row],[Début mois]])</f>
        <v>#VALUE!</v>
      </c>
      <c r="P317" t="e">
        <f ca="1">INDEX(INDIRECT(CONCATENATE("Tab_",Tab_Calculs[[#This Row],[Colonne1]])),Tab_Calculs[[#This Row],[index_date_livraison]],7)*(1+MIN(Tab_Calculs[[#This Row],[Date_livraison]],Tab_Calculs[[#This Row],[fin mois]])-MAX(Tab_Calculs[[#This Row],[Début mois]],Tab_Calculs[[#This Row],[Début periode livraison]]))</f>
        <v>#NUM!</v>
      </c>
      <c r="Q317" t="e">
        <f ca="1">INDEX(INDIRECT(CONCATENATE("Tab_",Tab_Calculs[[#This Row],[Colonne1]])),Tab_Calculs[[#This Row],[index_date_livraison]]+1,7)*(Tab_Calculs[[#This Row],[fin mois]]-MIN(Tab_Calculs[[#This Row],[fin mois]],Tab_Calculs[[#This Row],[Date_livraison]]))</f>
        <v>#VALUE!</v>
      </c>
      <c r="R317" t="e">
        <f ca="1">Tab_Calculs[[#This Row],[Ratio_Cout_après_livr]]+Tab_Calculs[[#This Row],[Ratio_Cout_avant_livr]]+Tab_Calculs[[#This Row],[Ratio_Cout_avant_debut]]</f>
        <v>#VALUE!</v>
      </c>
      <c r="S317" t="str">
        <f ca="1">IFERROR(N317*VLOOKUP(Tab_Calculs[[#This Row],[Colonne1]],Controle_des_données!$B$7:$G$14,6,FALSE),"")</f>
        <v/>
      </c>
      <c r="T317" t="str">
        <f ca="1">IF(Tab_Calculs[[#This Row],[Combustible ]]="Electricité (kWh)",Tab_Calculs[[#This Row],[Conso_mois_kWh]]*2.3,Tab_Calculs[[#This Row],[Conso_mois_kWh]])</f>
        <v/>
      </c>
      <c r="U317" t="str">
        <f ca="1">IFERROR(N317*VLOOKUP(Tab_Calculs[[#This Row],[Colonne1]],Controle_des_données!$B$7:$H$14,7,FALSE),"")</f>
        <v/>
      </c>
      <c r="V317">
        <f ca="1">IFERROR(Tab_Calculs[[#This Row],[Cout_mois]]/Tab_Calculs[[#This Row],[Conso_mois_kWh]],0)</f>
        <v>0</v>
      </c>
      <c r="W317" t="str">
        <f>T(VLOOKUP(Tab_Calculs[[#This Row],[Compteur]],Site!$B$33:$G$40,3,FALSE))</f>
        <v/>
      </c>
      <c r="X317" t="str">
        <f>T(VLOOKUP(Tab_Calculs[[#This Row],[Compteur]],Site!$B$33:$G$40,4,FALSE))</f>
        <v/>
      </c>
      <c r="Y317" t="str">
        <f>T(VLOOKUP(Tab_Calculs[[#This Row],[Compteur]],Site!$B$33:$G$40,5,FALSE))</f>
        <v/>
      </c>
      <c r="Z317" t="str">
        <f>T(VLOOKUP(Tab_Calculs[[#This Row],[Compteur]],Site!$B$33:$G$40,6,FALSE))</f>
        <v/>
      </c>
      <c r="AA317">
        <f>IFERROR(GETPIVOTDATA("DJU(chauffagiste)",BDD_DJU!$P$13,"annee",Tab_Calculs[[#This Row],[ANNEE]],"mois_numero",Tab_Calculs[[#This Row],[MOIS]]),0)</f>
        <v>64.7</v>
      </c>
    </row>
    <row r="318" spans="1:27" x14ac:dyDescent="0.25">
      <c r="A318" s="3">
        <f>DATE(Tab_Calculs[[#This Row],[ANNEE]],Tab_Calculs[[#This Row],[MOIS]],1)</f>
        <v>43739</v>
      </c>
      <c r="B318" s="3">
        <f>EDATE(Tab_Calculs[[#This Row],[Début mois]],1)-1</f>
        <v>43769</v>
      </c>
      <c r="C318">
        <f t="shared" si="8"/>
        <v>10</v>
      </c>
      <c r="D318">
        <f t="shared" si="7"/>
        <v>2019</v>
      </c>
      <c r="E318" t="s">
        <v>81</v>
      </c>
      <c r="F318" t="str">
        <f>SUBSTITUTE(Tab_Calculs[[#This Row],[Compteur]]," ","_")</f>
        <v>Compteur_2</v>
      </c>
      <c r="G318" t="str">
        <f>T(INDEX(Site!$B$33:$G$40, MATCH(Tab_Calculs[[#This Row],[Compteur]], Site!$B$33:$B$40,0),2))</f>
        <v/>
      </c>
      <c r="H318" s="3">
        <f t="array" aca="1" ref="H318" ca="1">MIN(IF(INDIRECT(CONCATENATE(Tab_Calculs[[#This Row],[Colonne1]],"!$B$2:$B$243"))&gt;=Calculs_Consos!$A318,INDIRECT(CONCATENATE(Tab_Calculs[[#This Row],[Colonne1]],"!$B$2:$B$243"))))</f>
        <v>0</v>
      </c>
      <c r="I318" s="3" t="e">
        <f ca="1">INDEX(INDIRECT(CONCATENATE("Tab_",Tab_Calculs[[#This Row],[Colonne1]])),Tab_Calculs[[#This Row],[index_date_livraison]],1)</f>
        <v>#NUM!</v>
      </c>
      <c r="J318">
        <f ca="1">MATCH(Tab_Calculs[[#This Row],[Date_livraison]],INDIRECT(CONCATENATE("Tab_",Tab_Calculs[[#This Row],[Colonne1]],"[Fin de période]")),0)</f>
        <v>1</v>
      </c>
      <c r="K318" t="e">
        <f ca="1">INDEX(INDIRECT(CONCATENATE("Tab_",Tab_Calculs[[#This Row],[Colonne1]])),Tab_Calculs[[#This Row],[index_date_livraison]]-1,6)*(MAX(Tab_Calculs[[#This Row],[Début periode livraison]],Tab_Calculs[[#This Row],[Début mois]])-Tab_Calculs[[#This Row],[Début mois]])</f>
        <v>#VALUE!</v>
      </c>
      <c r="L318" s="94" t="e">
        <f ca="1">INDEX(INDIRECT(CONCATENATE("Tab_",Tab_Calculs[[#This Row],[Colonne1]])),Tab_Calculs[[#This Row],[index_date_livraison]],6)*(1+MIN(Tab_Calculs[[#This Row],[Date_livraison]],Tab_Calculs[[#This Row],[fin mois]])-MAX(Tab_Calculs[[#This Row],[Début mois]],Tab_Calculs[[#This Row],[Début periode livraison]]))</f>
        <v>#NUM!</v>
      </c>
      <c r="M318" s="94" t="e">
        <f ca="1">INDEX(INDIRECT(CONCATENATE("Tab_",Tab_Calculs[[#This Row],[Colonne1]])),Tab_Calculs[[#This Row],[index_date_livraison]]+1,6)*(Tab_Calculs[[#This Row],[fin mois]]-MIN(Tab_Calculs[[#This Row],[fin mois]],Tab_Calculs[[#This Row],[Date_livraison]]))</f>
        <v>#VALUE!</v>
      </c>
      <c r="N318" s="231" t="str">
        <f ca="1">IFERROR(Tab_Calculs[[#This Row],[Ratio_jour_après_livr]]+Tab_Calculs[[#This Row],[Ratio_jour_avant_livr]]+Tab_Calculs[[#This Row],[ratio_avant_debut]],"")</f>
        <v/>
      </c>
      <c r="O318" t="e">
        <f ca="1">INDEX(INDIRECT(CONCATENATE("Tab_",Tab_Calculs[[#This Row],[Colonne1]])),Tab_Calculs[[#This Row],[index_date_livraison]]-1,7)*(MAX(Tab_Calculs[[#This Row],[Début periode livraison]],Tab_Calculs[[#This Row],[Début mois]])-Tab_Calculs[[#This Row],[Début mois]])</f>
        <v>#VALUE!</v>
      </c>
      <c r="P318" t="e">
        <f ca="1">INDEX(INDIRECT(CONCATENATE("Tab_",Tab_Calculs[[#This Row],[Colonne1]])),Tab_Calculs[[#This Row],[index_date_livraison]],7)*(1+MIN(Tab_Calculs[[#This Row],[Date_livraison]],Tab_Calculs[[#This Row],[fin mois]])-MAX(Tab_Calculs[[#This Row],[Début mois]],Tab_Calculs[[#This Row],[Début periode livraison]]))</f>
        <v>#NUM!</v>
      </c>
      <c r="Q318" t="e">
        <f ca="1">INDEX(INDIRECT(CONCATENATE("Tab_",Tab_Calculs[[#This Row],[Colonne1]])),Tab_Calculs[[#This Row],[index_date_livraison]]+1,7)*(Tab_Calculs[[#This Row],[fin mois]]-MIN(Tab_Calculs[[#This Row],[fin mois]],Tab_Calculs[[#This Row],[Date_livraison]]))</f>
        <v>#VALUE!</v>
      </c>
      <c r="R318" t="e">
        <f ca="1">Tab_Calculs[[#This Row],[Ratio_Cout_après_livr]]+Tab_Calculs[[#This Row],[Ratio_Cout_avant_livr]]+Tab_Calculs[[#This Row],[Ratio_Cout_avant_debut]]</f>
        <v>#VALUE!</v>
      </c>
      <c r="S318" t="str">
        <f ca="1">IFERROR(N318*VLOOKUP(Tab_Calculs[[#This Row],[Colonne1]],Controle_des_données!$B$7:$G$14,6,FALSE),"")</f>
        <v/>
      </c>
      <c r="T318" t="str">
        <f ca="1">IF(Tab_Calculs[[#This Row],[Combustible ]]="Electricité (kWh)",Tab_Calculs[[#This Row],[Conso_mois_kWh]]*2.3,Tab_Calculs[[#This Row],[Conso_mois_kWh]])</f>
        <v/>
      </c>
      <c r="U318" t="str">
        <f ca="1">IFERROR(N318*VLOOKUP(Tab_Calculs[[#This Row],[Colonne1]],Controle_des_données!$B$7:$H$14,7,FALSE),"")</f>
        <v/>
      </c>
      <c r="V318">
        <f ca="1">IFERROR(Tab_Calculs[[#This Row],[Cout_mois]]/Tab_Calculs[[#This Row],[Conso_mois_kWh]],0)</f>
        <v>0</v>
      </c>
      <c r="W318" t="str">
        <f>T(VLOOKUP(Tab_Calculs[[#This Row],[Compteur]],Site!$B$33:$G$40,3,FALSE))</f>
        <v/>
      </c>
      <c r="X318" t="str">
        <f>T(VLOOKUP(Tab_Calculs[[#This Row],[Compteur]],Site!$B$33:$G$40,4,FALSE))</f>
        <v/>
      </c>
      <c r="Y318" t="str">
        <f>T(VLOOKUP(Tab_Calculs[[#This Row],[Compteur]],Site!$B$33:$G$40,5,FALSE))</f>
        <v/>
      </c>
      <c r="Z318" t="str">
        <f>T(VLOOKUP(Tab_Calculs[[#This Row],[Compteur]],Site!$B$33:$G$40,6,FALSE))</f>
        <v/>
      </c>
      <c r="AA318">
        <f>IFERROR(GETPIVOTDATA("DJU(chauffagiste)",BDD_DJU!$P$13,"annee",Tab_Calculs[[#This Row],[ANNEE]],"mois_numero",Tab_Calculs[[#This Row],[MOIS]]),0)</f>
        <v>128.80000000000001</v>
      </c>
    </row>
    <row r="319" spans="1:27" x14ac:dyDescent="0.25">
      <c r="A319" s="3">
        <f>DATE(Tab_Calculs[[#This Row],[ANNEE]],Tab_Calculs[[#This Row],[MOIS]],1)</f>
        <v>43770</v>
      </c>
      <c r="B319" s="3">
        <f>EDATE(Tab_Calculs[[#This Row],[Début mois]],1)-1</f>
        <v>43799</v>
      </c>
      <c r="C319">
        <f t="shared" si="8"/>
        <v>11</v>
      </c>
      <c r="D319">
        <f t="shared" si="7"/>
        <v>2019</v>
      </c>
      <c r="E319" t="s">
        <v>81</v>
      </c>
      <c r="F319" t="str">
        <f>SUBSTITUTE(Tab_Calculs[[#This Row],[Compteur]]," ","_")</f>
        <v>Compteur_2</v>
      </c>
      <c r="G319" t="str">
        <f>T(INDEX(Site!$B$33:$G$40, MATCH(Tab_Calculs[[#This Row],[Compteur]], Site!$B$33:$B$40,0),2))</f>
        <v/>
      </c>
      <c r="H319" s="3">
        <f t="array" aca="1" ref="H319" ca="1">MIN(IF(INDIRECT(CONCATENATE(Tab_Calculs[[#This Row],[Colonne1]],"!$B$2:$B$243"))&gt;=Calculs_Consos!$A319,INDIRECT(CONCATENATE(Tab_Calculs[[#This Row],[Colonne1]],"!$B$2:$B$243"))))</f>
        <v>0</v>
      </c>
      <c r="I319" s="3" t="e">
        <f ca="1">INDEX(INDIRECT(CONCATENATE("Tab_",Tab_Calculs[[#This Row],[Colonne1]])),Tab_Calculs[[#This Row],[index_date_livraison]],1)</f>
        <v>#NUM!</v>
      </c>
      <c r="J319">
        <f ca="1">MATCH(Tab_Calculs[[#This Row],[Date_livraison]],INDIRECT(CONCATENATE("Tab_",Tab_Calculs[[#This Row],[Colonne1]],"[Fin de période]")),0)</f>
        <v>1</v>
      </c>
      <c r="K319" t="e">
        <f ca="1">INDEX(INDIRECT(CONCATENATE("Tab_",Tab_Calculs[[#This Row],[Colonne1]])),Tab_Calculs[[#This Row],[index_date_livraison]]-1,6)*(MAX(Tab_Calculs[[#This Row],[Début periode livraison]],Tab_Calculs[[#This Row],[Début mois]])-Tab_Calculs[[#This Row],[Début mois]])</f>
        <v>#VALUE!</v>
      </c>
      <c r="L319" s="94" t="e">
        <f ca="1">INDEX(INDIRECT(CONCATENATE("Tab_",Tab_Calculs[[#This Row],[Colonne1]])),Tab_Calculs[[#This Row],[index_date_livraison]],6)*(1+MIN(Tab_Calculs[[#This Row],[Date_livraison]],Tab_Calculs[[#This Row],[fin mois]])-MAX(Tab_Calculs[[#This Row],[Début mois]],Tab_Calculs[[#This Row],[Début periode livraison]]))</f>
        <v>#NUM!</v>
      </c>
      <c r="M319" s="94" t="e">
        <f ca="1">INDEX(INDIRECT(CONCATENATE("Tab_",Tab_Calculs[[#This Row],[Colonne1]])),Tab_Calculs[[#This Row],[index_date_livraison]]+1,6)*(Tab_Calculs[[#This Row],[fin mois]]-MIN(Tab_Calculs[[#This Row],[fin mois]],Tab_Calculs[[#This Row],[Date_livraison]]))</f>
        <v>#VALUE!</v>
      </c>
      <c r="N319" s="231" t="str">
        <f ca="1">IFERROR(Tab_Calculs[[#This Row],[Ratio_jour_après_livr]]+Tab_Calculs[[#This Row],[Ratio_jour_avant_livr]]+Tab_Calculs[[#This Row],[ratio_avant_debut]],"")</f>
        <v/>
      </c>
      <c r="O319" t="e">
        <f ca="1">INDEX(INDIRECT(CONCATENATE("Tab_",Tab_Calculs[[#This Row],[Colonne1]])),Tab_Calculs[[#This Row],[index_date_livraison]]-1,7)*(MAX(Tab_Calculs[[#This Row],[Début periode livraison]],Tab_Calculs[[#This Row],[Début mois]])-Tab_Calculs[[#This Row],[Début mois]])</f>
        <v>#VALUE!</v>
      </c>
      <c r="P319" t="e">
        <f ca="1">INDEX(INDIRECT(CONCATENATE("Tab_",Tab_Calculs[[#This Row],[Colonne1]])),Tab_Calculs[[#This Row],[index_date_livraison]],7)*(1+MIN(Tab_Calculs[[#This Row],[Date_livraison]],Tab_Calculs[[#This Row],[fin mois]])-MAX(Tab_Calculs[[#This Row],[Début mois]],Tab_Calculs[[#This Row],[Début periode livraison]]))</f>
        <v>#NUM!</v>
      </c>
      <c r="Q319" t="e">
        <f ca="1">INDEX(INDIRECT(CONCATENATE("Tab_",Tab_Calculs[[#This Row],[Colonne1]])),Tab_Calculs[[#This Row],[index_date_livraison]]+1,7)*(Tab_Calculs[[#This Row],[fin mois]]-MIN(Tab_Calculs[[#This Row],[fin mois]],Tab_Calculs[[#This Row],[Date_livraison]]))</f>
        <v>#VALUE!</v>
      </c>
      <c r="R319" t="e">
        <f ca="1">Tab_Calculs[[#This Row],[Ratio_Cout_après_livr]]+Tab_Calculs[[#This Row],[Ratio_Cout_avant_livr]]+Tab_Calculs[[#This Row],[Ratio_Cout_avant_debut]]</f>
        <v>#VALUE!</v>
      </c>
      <c r="S319" t="str">
        <f ca="1">IFERROR(N319*VLOOKUP(Tab_Calculs[[#This Row],[Colonne1]],Controle_des_données!$B$7:$G$14,6,FALSE),"")</f>
        <v/>
      </c>
      <c r="T319" t="str">
        <f ca="1">IF(Tab_Calculs[[#This Row],[Combustible ]]="Electricité (kWh)",Tab_Calculs[[#This Row],[Conso_mois_kWh]]*2.3,Tab_Calculs[[#This Row],[Conso_mois_kWh]])</f>
        <v/>
      </c>
      <c r="U319" t="str">
        <f ca="1">IFERROR(N319*VLOOKUP(Tab_Calculs[[#This Row],[Colonne1]],Controle_des_données!$B$7:$H$14,7,FALSE),"")</f>
        <v/>
      </c>
      <c r="V319">
        <f ca="1">IFERROR(Tab_Calculs[[#This Row],[Cout_mois]]/Tab_Calculs[[#This Row],[Conso_mois_kWh]],0)</f>
        <v>0</v>
      </c>
      <c r="W319" t="str">
        <f>T(VLOOKUP(Tab_Calculs[[#This Row],[Compteur]],Site!$B$33:$G$40,3,FALSE))</f>
        <v/>
      </c>
      <c r="X319" t="str">
        <f>T(VLOOKUP(Tab_Calculs[[#This Row],[Compteur]],Site!$B$33:$G$40,4,FALSE))</f>
        <v/>
      </c>
      <c r="Y319" t="str">
        <f>T(VLOOKUP(Tab_Calculs[[#This Row],[Compteur]],Site!$B$33:$G$40,5,FALSE))</f>
        <v/>
      </c>
      <c r="Z319" t="str">
        <f>T(VLOOKUP(Tab_Calculs[[#This Row],[Compteur]],Site!$B$33:$G$40,6,FALSE))</f>
        <v/>
      </c>
      <c r="AA319">
        <f>IFERROR(GETPIVOTDATA("DJU(chauffagiste)",BDD_DJU!$P$13,"annee",Tab_Calculs[[#This Row],[ANNEE]],"mois_numero",Tab_Calculs[[#This Row],[MOIS]]),0)</f>
        <v>293.10000000000002</v>
      </c>
    </row>
    <row r="320" spans="1:27" x14ac:dyDescent="0.25">
      <c r="A320" s="3">
        <f>DATE(Tab_Calculs[[#This Row],[ANNEE]],Tab_Calculs[[#This Row],[MOIS]],1)</f>
        <v>43800</v>
      </c>
      <c r="B320" s="3">
        <f>EDATE(Tab_Calculs[[#This Row],[Début mois]],1)-1</f>
        <v>43830</v>
      </c>
      <c r="C320">
        <f t="shared" si="8"/>
        <v>12</v>
      </c>
      <c r="D320">
        <f t="shared" si="7"/>
        <v>2019</v>
      </c>
      <c r="E320" t="s">
        <v>81</v>
      </c>
      <c r="F320" t="str">
        <f>SUBSTITUTE(Tab_Calculs[[#This Row],[Compteur]]," ","_")</f>
        <v>Compteur_2</v>
      </c>
      <c r="G320" t="str">
        <f>T(INDEX(Site!$B$33:$G$40, MATCH(Tab_Calculs[[#This Row],[Compteur]], Site!$B$33:$B$40,0),2))</f>
        <v/>
      </c>
      <c r="H320" s="3">
        <f t="array" aca="1" ref="H320" ca="1">MIN(IF(INDIRECT(CONCATENATE(Tab_Calculs[[#This Row],[Colonne1]],"!$B$2:$B$243"))&gt;=Calculs_Consos!$A320,INDIRECT(CONCATENATE(Tab_Calculs[[#This Row],[Colonne1]],"!$B$2:$B$243"))))</f>
        <v>0</v>
      </c>
      <c r="I320" s="3" t="e">
        <f ca="1">INDEX(INDIRECT(CONCATENATE("Tab_",Tab_Calculs[[#This Row],[Colonne1]])),Tab_Calculs[[#This Row],[index_date_livraison]],1)</f>
        <v>#NUM!</v>
      </c>
      <c r="J320">
        <f ca="1">MATCH(Tab_Calculs[[#This Row],[Date_livraison]],INDIRECT(CONCATENATE("Tab_",Tab_Calculs[[#This Row],[Colonne1]],"[Fin de période]")),0)</f>
        <v>1</v>
      </c>
      <c r="K320" t="e">
        <f ca="1">INDEX(INDIRECT(CONCATENATE("Tab_",Tab_Calculs[[#This Row],[Colonne1]])),Tab_Calculs[[#This Row],[index_date_livraison]]-1,6)*(MAX(Tab_Calculs[[#This Row],[Début periode livraison]],Tab_Calculs[[#This Row],[Début mois]])-Tab_Calculs[[#This Row],[Début mois]])</f>
        <v>#VALUE!</v>
      </c>
      <c r="L320" s="94" t="e">
        <f ca="1">INDEX(INDIRECT(CONCATENATE("Tab_",Tab_Calculs[[#This Row],[Colonne1]])),Tab_Calculs[[#This Row],[index_date_livraison]],6)*(1+MIN(Tab_Calculs[[#This Row],[Date_livraison]],Tab_Calculs[[#This Row],[fin mois]])-MAX(Tab_Calculs[[#This Row],[Début mois]],Tab_Calculs[[#This Row],[Début periode livraison]]))</f>
        <v>#NUM!</v>
      </c>
      <c r="M320" s="94" t="e">
        <f ca="1">INDEX(INDIRECT(CONCATENATE("Tab_",Tab_Calculs[[#This Row],[Colonne1]])),Tab_Calculs[[#This Row],[index_date_livraison]]+1,6)*(Tab_Calculs[[#This Row],[fin mois]]-MIN(Tab_Calculs[[#This Row],[fin mois]],Tab_Calculs[[#This Row],[Date_livraison]]))</f>
        <v>#VALUE!</v>
      </c>
      <c r="N320" s="231" t="str">
        <f ca="1">IFERROR(Tab_Calculs[[#This Row],[Ratio_jour_après_livr]]+Tab_Calculs[[#This Row],[Ratio_jour_avant_livr]]+Tab_Calculs[[#This Row],[ratio_avant_debut]],"")</f>
        <v/>
      </c>
      <c r="O320" t="e">
        <f ca="1">INDEX(INDIRECT(CONCATENATE("Tab_",Tab_Calculs[[#This Row],[Colonne1]])),Tab_Calculs[[#This Row],[index_date_livraison]]-1,7)*(MAX(Tab_Calculs[[#This Row],[Début periode livraison]],Tab_Calculs[[#This Row],[Début mois]])-Tab_Calculs[[#This Row],[Début mois]])</f>
        <v>#VALUE!</v>
      </c>
      <c r="P320" t="e">
        <f ca="1">INDEX(INDIRECT(CONCATENATE("Tab_",Tab_Calculs[[#This Row],[Colonne1]])),Tab_Calculs[[#This Row],[index_date_livraison]],7)*(1+MIN(Tab_Calculs[[#This Row],[Date_livraison]],Tab_Calculs[[#This Row],[fin mois]])-MAX(Tab_Calculs[[#This Row],[Début mois]],Tab_Calculs[[#This Row],[Début periode livraison]]))</f>
        <v>#NUM!</v>
      </c>
      <c r="Q320" t="e">
        <f ca="1">INDEX(INDIRECT(CONCATENATE("Tab_",Tab_Calculs[[#This Row],[Colonne1]])),Tab_Calculs[[#This Row],[index_date_livraison]]+1,7)*(Tab_Calculs[[#This Row],[fin mois]]-MIN(Tab_Calculs[[#This Row],[fin mois]],Tab_Calculs[[#This Row],[Date_livraison]]))</f>
        <v>#VALUE!</v>
      </c>
      <c r="R320" t="e">
        <f ca="1">Tab_Calculs[[#This Row],[Ratio_Cout_après_livr]]+Tab_Calculs[[#This Row],[Ratio_Cout_avant_livr]]+Tab_Calculs[[#This Row],[Ratio_Cout_avant_debut]]</f>
        <v>#VALUE!</v>
      </c>
      <c r="S320" t="str">
        <f ca="1">IFERROR(N320*VLOOKUP(Tab_Calculs[[#This Row],[Colonne1]],Controle_des_données!$B$7:$G$14,6,FALSE),"")</f>
        <v/>
      </c>
      <c r="T320" t="str">
        <f ca="1">IF(Tab_Calculs[[#This Row],[Combustible ]]="Electricité (kWh)",Tab_Calculs[[#This Row],[Conso_mois_kWh]]*2.3,Tab_Calculs[[#This Row],[Conso_mois_kWh]])</f>
        <v/>
      </c>
      <c r="U320" t="str">
        <f ca="1">IFERROR(N320*VLOOKUP(Tab_Calculs[[#This Row],[Colonne1]],Controle_des_données!$B$7:$H$14,7,FALSE),"")</f>
        <v/>
      </c>
      <c r="V320">
        <f ca="1">IFERROR(Tab_Calculs[[#This Row],[Cout_mois]]/Tab_Calculs[[#This Row],[Conso_mois_kWh]],0)</f>
        <v>0</v>
      </c>
      <c r="W320" t="str">
        <f>T(VLOOKUP(Tab_Calculs[[#This Row],[Compteur]],Site!$B$33:$G$40,3,FALSE))</f>
        <v/>
      </c>
      <c r="X320" t="str">
        <f>T(VLOOKUP(Tab_Calculs[[#This Row],[Compteur]],Site!$B$33:$G$40,4,FALSE))</f>
        <v/>
      </c>
      <c r="Y320" t="str">
        <f>T(VLOOKUP(Tab_Calculs[[#This Row],[Compteur]],Site!$B$33:$G$40,5,FALSE))</f>
        <v/>
      </c>
      <c r="Z320" t="str">
        <f>T(VLOOKUP(Tab_Calculs[[#This Row],[Compteur]],Site!$B$33:$G$40,6,FALSE))</f>
        <v/>
      </c>
      <c r="AA320">
        <f>IFERROR(GETPIVOTDATA("DJU(chauffagiste)",BDD_DJU!$P$13,"annee",Tab_Calculs[[#This Row],[ANNEE]],"mois_numero",Tab_Calculs[[#This Row],[MOIS]]),0)</f>
        <v>323</v>
      </c>
    </row>
    <row r="321" spans="1:27" x14ac:dyDescent="0.25">
      <c r="A321" s="3">
        <f>DATE(Tab_Calculs[[#This Row],[ANNEE]],Tab_Calculs[[#This Row],[MOIS]],1)</f>
        <v>43831</v>
      </c>
      <c r="B321" s="3">
        <f>EDATE(Tab_Calculs[[#This Row],[Début mois]],1)-1</f>
        <v>43861</v>
      </c>
      <c r="C321">
        <f t="shared" si="8"/>
        <v>1</v>
      </c>
      <c r="D321">
        <f t="shared" si="7"/>
        <v>2020</v>
      </c>
      <c r="E321" t="s">
        <v>81</v>
      </c>
      <c r="F321" t="str">
        <f>SUBSTITUTE(Tab_Calculs[[#This Row],[Compteur]]," ","_")</f>
        <v>Compteur_2</v>
      </c>
      <c r="G321" t="str">
        <f>T(INDEX(Site!$B$33:$G$40, MATCH(Tab_Calculs[[#This Row],[Compteur]], Site!$B$33:$B$40,0),2))</f>
        <v/>
      </c>
      <c r="H321" s="3">
        <f t="array" aca="1" ref="H321" ca="1">MIN(IF(INDIRECT(CONCATENATE(Tab_Calculs[[#This Row],[Colonne1]],"!$B$2:$B$243"))&gt;=Calculs_Consos!$A321,INDIRECT(CONCATENATE(Tab_Calculs[[#This Row],[Colonne1]],"!$B$2:$B$243"))))</f>
        <v>0</v>
      </c>
      <c r="I321" s="3" t="e">
        <f ca="1">INDEX(INDIRECT(CONCATENATE("Tab_",Tab_Calculs[[#This Row],[Colonne1]])),Tab_Calculs[[#This Row],[index_date_livraison]],1)</f>
        <v>#NUM!</v>
      </c>
      <c r="J321">
        <f ca="1">MATCH(Tab_Calculs[[#This Row],[Date_livraison]],INDIRECT(CONCATENATE("Tab_",Tab_Calculs[[#This Row],[Colonne1]],"[Fin de période]")),0)</f>
        <v>1</v>
      </c>
      <c r="K321" t="e">
        <f ca="1">INDEX(INDIRECT(CONCATENATE("Tab_",Tab_Calculs[[#This Row],[Colonne1]])),Tab_Calculs[[#This Row],[index_date_livraison]]-1,6)*(MAX(Tab_Calculs[[#This Row],[Début periode livraison]],Tab_Calculs[[#This Row],[Début mois]])-Tab_Calculs[[#This Row],[Début mois]])</f>
        <v>#VALUE!</v>
      </c>
      <c r="L321" s="94" t="e">
        <f ca="1">INDEX(INDIRECT(CONCATENATE("Tab_",Tab_Calculs[[#This Row],[Colonne1]])),Tab_Calculs[[#This Row],[index_date_livraison]],6)*(1+MIN(Tab_Calculs[[#This Row],[Date_livraison]],Tab_Calculs[[#This Row],[fin mois]])-MAX(Tab_Calculs[[#This Row],[Début mois]],Tab_Calculs[[#This Row],[Début periode livraison]]))</f>
        <v>#NUM!</v>
      </c>
      <c r="M321" s="94" t="e">
        <f ca="1">INDEX(INDIRECT(CONCATENATE("Tab_",Tab_Calculs[[#This Row],[Colonne1]])),Tab_Calculs[[#This Row],[index_date_livraison]]+1,6)*(Tab_Calculs[[#This Row],[fin mois]]-MIN(Tab_Calculs[[#This Row],[fin mois]],Tab_Calculs[[#This Row],[Date_livraison]]))</f>
        <v>#VALUE!</v>
      </c>
      <c r="N321" s="231" t="str">
        <f ca="1">IFERROR(Tab_Calculs[[#This Row],[Ratio_jour_après_livr]]+Tab_Calculs[[#This Row],[Ratio_jour_avant_livr]]+Tab_Calculs[[#This Row],[ratio_avant_debut]],"")</f>
        <v/>
      </c>
      <c r="O321" t="e">
        <f ca="1">INDEX(INDIRECT(CONCATENATE("Tab_",Tab_Calculs[[#This Row],[Colonne1]])),Tab_Calculs[[#This Row],[index_date_livraison]]-1,7)*(MAX(Tab_Calculs[[#This Row],[Début periode livraison]],Tab_Calculs[[#This Row],[Début mois]])-Tab_Calculs[[#This Row],[Début mois]])</f>
        <v>#VALUE!</v>
      </c>
      <c r="P321" t="e">
        <f ca="1">INDEX(INDIRECT(CONCATENATE("Tab_",Tab_Calculs[[#This Row],[Colonne1]])),Tab_Calculs[[#This Row],[index_date_livraison]],7)*(1+MIN(Tab_Calculs[[#This Row],[Date_livraison]],Tab_Calculs[[#This Row],[fin mois]])-MAX(Tab_Calculs[[#This Row],[Début mois]],Tab_Calculs[[#This Row],[Début periode livraison]]))</f>
        <v>#NUM!</v>
      </c>
      <c r="Q321" t="e">
        <f ca="1">INDEX(INDIRECT(CONCATENATE("Tab_",Tab_Calculs[[#This Row],[Colonne1]])),Tab_Calculs[[#This Row],[index_date_livraison]]+1,7)*(Tab_Calculs[[#This Row],[fin mois]]-MIN(Tab_Calculs[[#This Row],[fin mois]],Tab_Calculs[[#This Row],[Date_livraison]]))</f>
        <v>#VALUE!</v>
      </c>
      <c r="R321" t="e">
        <f ca="1">Tab_Calculs[[#This Row],[Ratio_Cout_après_livr]]+Tab_Calculs[[#This Row],[Ratio_Cout_avant_livr]]+Tab_Calculs[[#This Row],[Ratio_Cout_avant_debut]]</f>
        <v>#VALUE!</v>
      </c>
      <c r="S321" t="str">
        <f ca="1">IFERROR(N321*VLOOKUP(Tab_Calculs[[#This Row],[Colonne1]],Controle_des_données!$B$7:$G$14,6,FALSE),"")</f>
        <v/>
      </c>
      <c r="T321" t="str">
        <f ca="1">IF(Tab_Calculs[[#This Row],[Combustible ]]="Electricité (kWh)",Tab_Calculs[[#This Row],[Conso_mois_kWh]]*2.3,Tab_Calculs[[#This Row],[Conso_mois_kWh]])</f>
        <v/>
      </c>
      <c r="U321" t="str">
        <f ca="1">IFERROR(N321*VLOOKUP(Tab_Calculs[[#This Row],[Colonne1]],Controle_des_données!$B$7:$H$14,7,FALSE),"")</f>
        <v/>
      </c>
      <c r="V321">
        <f ca="1">IFERROR(Tab_Calculs[[#This Row],[Cout_mois]]/Tab_Calculs[[#This Row],[Conso_mois_kWh]],0)</f>
        <v>0</v>
      </c>
      <c r="W321" t="str">
        <f>T(VLOOKUP(Tab_Calculs[[#This Row],[Compteur]],Site!$B$33:$G$40,3,FALSE))</f>
        <v/>
      </c>
      <c r="X321" t="str">
        <f>T(VLOOKUP(Tab_Calculs[[#This Row],[Compteur]],Site!$B$33:$G$40,4,FALSE))</f>
        <v/>
      </c>
      <c r="Y321" t="str">
        <f>T(VLOOKUP(Tab_Calculs[[#This Row],[Compteur]],Site!$B$33:$G$40,5,FALSE))</f>
        <v/>
      </c>
      <c r="Z321" t="str">
        <f>T(VLOOKUP(Tab_Calculs[[#This Row],[Compteur]],Site!$B$33:$G$40,6,FALSE))</f>
        <v/>
      </c>
      <c r="AA321">
        <f>IFERROR(GETPIVOTDATA("DJU(chauffagiste)",BDD_DJU!$P$13,"annee",Tab_Calculs[[#This Row],[ANNEE]],"mois_numero",Tab_Calculs[[#This Row],[MOIS]]),0)</f>
        <v>331.5</v>
      </c>
    </row>
    <row r="322" spans="1:27" x14ac:dyDescent="0.25">
      <c r="A322" s="3">
        <f>DATE(Tab_Calculs[[#This Row],[ANNEE]],Tab_Calculs[[#This Row],[MOIS]],1)</f>
        <v>43862</v>
      </c>
      <c r="B322" s="3">
        <f>EDATE(Tab_Calculs[[#This Row],[Début mois]],1)-1</f>
        <v>43890</v>
      </c>
      <c r="C322">
        <f t="shared" si="8"/>
        <v>2</v>
      </c>
      <c r="D322">
        <f t="shared" si="7"/>
        <v>2020</v>
      </c>
      <c r="E322" t="s">
        <v>81</v>
      </c>
      <c r="F322" t="str">
        <f>SUBSTITUTE(Tab_Calculs[[#This Row],[Compteur]]," ","_")</f>
        <v>Compteur_2</v>
      </c>
      <c r="G322" t="str">
        <f>T(INDEX(Site!$B$33:$G$40, MATCH(Tab_Calculs[[#This Row],[Compteur]], Site!$B$33:$B$40,0),2))</f>
        <v/>
      </c>
      <c r="H322" s="3">
        <f t="array" aca="1" ref="H322" ca="1">MIN(IF(INDIRECT(CONCATENATE(Tab_Calculs[[#This Row],[Colonne1]],"!$B$2:$B$243"))&gt;=Calculs_Consos!$A322,INDIRECT(CONCATENATE(Tab_Calculs[[#This Row],[Colonne1]],"!$B$2:$B$243"))))</f>
        <v>0</v>
      </c>
      <c r="I322" s="3" t="e">
        <f ca="1">INDEX(INDIRECT(CONCATENATE("Tab_",Tab_Calculs[[#This Row],[Colonne1]])),Tab_Calculs[[#This Row],[index_date_livraison]],1)</f>
        <v>#NUM!</v>
      </c>
      <c r="J322">
        <f ca="1">MATCH(Tab_Calculs[[#This Row],[Date_livraison]],INDIRECT(CONCATENATE("Tab_",Tab_Calculs[[#This Row],[Colonne1]],"[Fin de période]")),0)</f>
        <v>1</v>
      </c>
      <c r="K322" t="e">
        <f ca="1">INDEX(INDIRECT(CONCATENATE("Tab_",Tab_Calculs[[#This Row],[Colonne1]])),Tab_Calculs[[#This Row],[index_date_livraison]]-1,6)*(MAX(Tab_Calculs[[#This Row],[Début periode livraison]],Tab_Calculs[[#This Row],[Début mois]])-Tab_Calculs[[#This Row],[Début mois]])</f>
        <v>#VALUE!</v>
      </c>
      <c r="L322" s="94" t="e">
        <f ca="1">INDEX(INDIRECT(CONCATENATE("Tab_",Tab_Calculs[[#This Row],[Colonne1]])),Tab_Calculs[[#This Row],[index_date_livraison]],6)*(1+MIN(Tab_Calculs[[#This Row],[Date_livraison]],Tab_Calculs[[#This Row],[fin mois]])-MAX(Tab_Calculs[[#This Row],[Début mois]],Tab_Calculs[[#This Row],[Début periode livraison]]))</f>
        <v>#NUM!</v>
      </c>
      <c r="M322" s="94" t="e">
        <f ca="1">INDEX(INDIRECT(CONCATENATE("Tab_",Tab_Calculs[[#This Row],[Colonne1]])),Tab_Calculs[[#This Row],[index_date_livraison]]+1,6)*(Tab_Calculs[[#This Row],[fin mois]]-MIN(Tab_Calculs[[#This Row],[fin mois]],Tab_Calculs[[#This Row],[Date_livraison]]))</f>
        <v>#VALUE!</v>
      </c>
      <c r="N322" s="231" t="str">
        <f ca="1">IFERROR(Tab_Calculs[[#This Row],[Ratio_jour_après_livr]]+Tab_Calculs[[#This Row],[Ratio_jour_avant_livr]]+Tab_Calculs[[#This Row],[ratio_avant_debut]],"")</f>
        <v/>
      </c>
      <c r="O322" t="e">
        <f ca="1">INDEX(INDIRECT(CONCATENATE("Tab_",Tab_Calculs[[#This Row],[Colonne1]])),Tab_Calculs[[#This Row],[index_date_livraison]]-1,7)*(MAX(Tab_Calculs[[#This Row],[Début periode livraison]],Tab_Calculs[[#This Row],[Début mois]])-Tab_Calculs[[#This Row],[Début mois]])</f>
        <v>#VALUE!</v>
      </c>
      <c r="P322" t="e">
        <f ca="1">INDEX(INDIRECT(CONCATENATE("Tab_",Tab_Calculs[[#This Row],[Colonne1]])),Tab_Calculs[[#This Row],[index_date_livraison]],7)*(1+MIN(Tab_Calculs[[#This Row],[Date_livraison]],Tab_Calculs[[#This Row],[fin mois]])-MAX(Tab_Calculs[[#This Row],[Début mois]],Tab_Calculs[[#This Row],[Début periode livraison]]))</f>
        <v>#NUM!</v>
      </c>
      <c r="Q322" t="e">
        <f ca="1">INDEX(INDIRECT(CONCATENATE("Tab_",Tab_Calculs[[#This Row],[Colonne1]])),Tab_Calculs[[#This Row],[index_date_livraison]]+1,7)*(Tab_Calculs[[#This Row],[fin mois]]-MIN(Tab_Calculs[[#This Row],[fin mois]],Tab_Calculs[[#This Row],[Date_livraison]]))</f>
        <v>#VALUE!</v>
      </c>
      <c r="R322" t="e">
        <f ca="1">Tab_Calculs[[#This Row],[Ratio_Cout_après_livr]]+Tab_Calculs[[#This Row],[Ratio_Cout_avant_livr]]+Tab_Calculs[[#This Row],[Ratio_Cout_avant_debut]]</f>
        <v>#VALUE!</v>
      </c>
      <c r="S322" t="str">
        <f ca="1">IFERROR(N322*VLOOKUP(Tab_Calculs[[#This Row],[Colonne1]],Controle_des_données!$B$7:$G$14,6,FALSE),"")</f>
        <v/>
      </c>
      <c r="T322" t="str">
        <f ca="1">IF(Tab_Calculs[[#This Row],[Combustible ]]="Electricité (kWh)",Tab_Calculs[[#This Row],[Conso_mois_kWh]]*2.3,Tab_Calculs[[#This Row],[Conso_mois_kWh]])</f>
        <v/>
      </c>
      <c r="U322" t="str">
        <f ca="1">IFERROR(N322*VLOOKUP(Tab_Calculs[[#This Row],[Colonne1]],Controle_des_données!$B$7:$H$14,7,FALSE),"")</f>
        <v/>
      </c>
      <c r="V322">
        <f ca="1">IFERROR(Tab_Calculs[[#This Row],[Cout_mois]]/Tab_Calculs[[#This Row],[Conso_mois_kWh]],0)</f>
        <v>0</v>
      </c>
      <c r="W322" t="str">
        <f>T(VLOOKUP(Tab_Calculs[[#This Row],[Compteur]],Site!$B$33:$G$40,3,FALSE))</f>
        <v/>
      </c>
      <c r="X322" t="str">
        <f>T(VLOOKUP(Tab_Calculs[[#This Row],[Compteur]],Site!$B$33:$G$40,4,FALSE))</f>
        <v/>
      </c>
      <c r="Y322" t="str">
        <f>T(VLOOKUP(Tab_Calculs[[#This Row],[Compteur]],Site!$B$33:$G$40,5,FALSE))</f>
        <v/>
      </c>
      <c r="Z322" t="str">
        <f>T(VLOOKUP(Tab_Calculs[[#This Row],[Compteur]],Site!$B$33:$G$40,6,FALSE))</f>
        <v/>
      </c>
      <c r="AA322">
        <f>IFERROR(GETPIVOTDATA("DJU(chauffagiste)",BDD_DJU!$P$13,"annee",Tab_Calculs[[#This Row],[ANNEE]],"mois_numero",Tab_Calculs[[#This Row],[MOIS]]),0)</f>
        <v>251.6</v>
      </c>
    </row>
    <row r="323" spans="1:27" x14ac:dyDescent="0.25">
      <c r="A323" s="3">
        <f>DATE(Tab_Calculs[[#This Row],[ANNEE]],Tab_Calculs[[#This Row],[MOIS]],1)</f>
        <v>43891</v>
      </c>
      <c r="B323" s="3">
        <f>EDATE(Tab_Calculs[[#This Row],[Début mois]],1)-1</f>
        <v>43921</v>
      </c>
      <c r="C323">
        <f t="shared" si="8"/>
        <v>3</v>
      </c>
      <c r="D323">
        <f>D311+1</f>
        <v>2020</v>
      </c>
      <c r="E323" t="s">
        <v>81</v>
      </c>
      <c r="F323" t="str">
        <f>SUBSTITUTE(Tab_Calculs[[#This Row],[Compteur]]," ","_")</f>
        <v>Compteur_2</v>
      </c>
      <c r="G323" t="str">
        <f>T(INDEX(Site!$B$33:$G$40, MATCH(Tab_Calculs[[#This Row],[Compteur]], Site!$B$33:$B$40,0),2))</f>
        <v/>
      </c>
      <c r="H323" s="3">
        <f t="array" aca="1" ref="H323" ca="1">MIN(IF(INDIRECT(CONCATENATE(Tab_Calculs[[#This Row],[Colonne1]],"!$B$2:$B$243"))&gt;=Calculs_Consos!$A323,INDIRECT(CONCATENATE(Tab_Calculs[[#This Row],[Colonne1]],"!$B$2:$B$243"))))</f>
        <v>0</v>
      </c>
      <c r="I323" s="3" t="e">
        <f ca="1">INDEX(INDIRECT(CONCATENATE("Tab_",Tab_Calculs[[#This Row],[Colonne1]])),Tab_Calculs[[#This Row],[index_date_livraison]],1)</f>
        <v>#NUM!</v>
      </c>
      <c r="J323">
        <f ca="1">MATCH(Tab_Calculs[[#This Row],[Date_livraison]],INDIRECT(CONCATENATE("Tab_",Tab_Calculs[[#This Row],[Colonne1]],"[Fin de période]")),0)</f>
        <v>1</v>
      </c>
      <c r="K323" t="e">
        <f ca="1">INDEX(INDIRECT(CONCATENATE("Tab_",Tab_Calculs[[#This Row],[Colonne1]])),Tab_Calculs[[#This Row],[index_date_livraison]]-1,6)*(MAX(Tab_Calculs[[#This Row],[Début periode livraison]],Tab_Calculs[[#This Row],[Début mois]])-Tab_Calculs[[#This Row],[Début mois]])</f>
        <v>#VALUE!</v>
      </c>
      <c r="L323" s="94" t="e">
        <f ca="1">INDEX(INDIRECT(CONCATENATE("Tab_",Tab_Calculs[[#This Row],[Colonne1]])),Tab_Calculs[[#This Row],[index_date_livraison]],6)*(1+MIN(Tab_Calculs[[#This Row],[Date_livraison]],Tab_Calculs[[#This Row],[fin mois]])-MAX(Tab_Calculs[[#This Row],[Début mois]],Tab_Calculs[[#This Row],[Début periode livraison]]))</f>
        <v>#NUM!</v>
      </c>
      <c r="M323" s="94" t="e">
        <f ca="1">INDEX(INDIRECT(CONCATENATE("Tab_",Tab_Calculs[[#This Row],[Colonne1]])),Tab_Calculs[[#This Row],[index_date_livraison]]+1,6)*(Tab_Calculs[[#This Row],[fin mois]]-MIN(Tab_Calculs[[#This Row],[fin mois]],Tab_Calculs[[#This Row],[Date_livraison]]))</f>
        <v>#VALUE!</v>
      </c>
      <c r="N323" s="231" t="str">
        <f ca="1">IFERROR(Tab_Calculs[[#This Row],[Ratio_jour_après_livr]]+Tab_Calculs[[#This Row],[Ratio_jour_avant_livr]]+Tab_Calculs[[#This Row],[ratio_avant_debut]],"")</f>
        <v/>
      </c>
      <c r="O323" t="e">
        <f ca="1">INDEX(INDIRECT(CONCATENATE("Tab_",Tab_Calculs[[#This Row],[Colonne1]])),Tab_Calculs[[#This Row],[index_date_livraison]]-1,7)*(MAX(Tab_Calculs[[#This Row],[Début periode livraison]],Tab_Calculs[[#This Row],[Début mois]])-Tab_Calculs[[#This Row],[Début mois]])</f>
        <v>#VALUE!</v>
      </c>
      <c r="P323" t="e">
        <f ca="1">INDEX(INDIRECT(CONCATENATE("Tab_",Tab_Calculs[[#This Row],[Colonne1]])),Tab_Calculs[[#This Row],[index_date_livraison]],7)*(1+MIN(Tab_Calculs[[#This Row],[Date_livraison]],Tab_Calculs[[#This Row],[fin mois]])-MAX(Tab_Calculs[[#This Row],[Début mois]],Tab_Calculs[[#This Row],[Début periode livraison]]))</f>
        <v>#NUM!</v>
      </c>
      <c r="Q323" t="e">
        <f ca="1">INDEX(INDIRECT(CONCATENATE("Tab_",Tab_Calculs[[#This Row],[Colonne1]])),Tab_Calculs[[#This Row],[index_date_livraison]]+1,7)*(Tab_Calculs[[#This Row],[fin mois]]-MIN(Tab_Calculs[[#This Row],[fin mois]],Tab_Calculs[[#This Row],[Date_livraison]]))</f>
        <v>#VALUE!</v>
      </c>
      <c r="R323" t="e">
        <f ca="1">Tab_Calculs[[#This Row],[Ratio_Cout_après_livr]]+Tab_Calculs[[#This Row],[Ratio_Cout_avant_livr]]+Tab_Calculs[[#This Row],[Ratio_Cout_avant_debut]]</f>
        <v>#VALUE!</v>
      </c>
      <c r="S323" t="str">
        <f ca="1">IFERROR(N323*VLOOKUP(Tab_Calculs[[#This Row],[Colonne1]],Controle_des_données!$B$7:$G$14,6,FALSE),"")</f>
        <v/>
      </c>
      <c r="T323" t="str">
        <f ca="1">IF(Tab_Calculs[[#This Row],[Combustible ]]="Electricité (kWh)",Tab_Calculs[[#This Row],[Conso_mois_kWh]]*2.3,Tab_Calculs[[#This Row],[Conso_mois_kWh]])</f>
        <v/>
      </c>
      <c r="U323" t="str">
        <f ca="1">IFERROR(N323*VLOOKUP(Tab_Calculs[[#This Row],[Colonne1]],Controle_des_données!$B$7:$H$14,7,FALSE),"")</f>
        <v/>
      </c>
      <c r="V323">
        <f ca="1">IFERROR(Tab_Calculs[[#This Row],[Cout_mois]]/Tab_Calculs[[#This Row],[Conso_mois_kWh]],0)</f>
        <v>0</v>
      </c>
      <c r="W323" t="str">
        <f>T(VLOOKUP(Tab_Calculs[[#This Row],[Compteur]],Site!$B$33:$G$40,3,FALSE))</f>
        <v/>
      </c>
      <c r="X323" t="str">
        <f>T(VLOOKUP(Tab_Calculs[[#This Row],[Compteur]],Site!$B$33:$G$40,4,FALSE))</f>
        <v/>
      </c>
      <c r="Y323" t="str">
        <f>T(VLOOKUP(Tab_Calculs[[#This Row],[Compteur]],Site!$B$33:$G$40,5,FALSE))</f>
        <v/>
      </c>
      <c r="Z323" t="str">
        <f>T(VLOOKUP(Tab_Calculs[[#This Row],[Compteur]],Site!$B$33:$G$40,6,FALSE))</f>
        <v/>
      </c>
      <c r="AA323">
        <f>IFERROR(GETPIVOTDATA("DJU(chauffagiste)",BDD_DJU!$P$13,"annee",Tab_Calculs[[#This Row],[ANNEE]],"mois_numero",Tab_Calculs[[#This Row],[MOIS]]),0)</f>
        <v>272.60000000000002</v>
      </c>
    </row>
    <row r="324" spans="1:27" x14ac:dyDescent="0.25">
      <c r="A324" s="3">
        <f>DATE(Tab_Calculs[[#This Row],[ANNEE]],Tab_Calculs[[#This Row],[MOIS]],1)</f>
        <v>43922</v>
      </c>
      <c r="B324" s="3">
        <f>EDATE(Tab_Calculs[[#This Row],[Début mois]],1)-1</f>
        <v>43951</v>
      </c>
      <c r="C324">
        <f t="shared" si="8"/>
        <v>4</v>
      </c>
      <c r="D324">
        <f t="shared" si="7"/>
        <v>2020</v>
      </c>
      <c r="E324" t="s">
        <v>81</v>
      </c>
      <c r="F324" t="str">
        <f>SUBSTITUTE(Tab_Calculs[[#This Row],[Compteur]]," ","_")</f>
        <v>Compteur_2</v>
      </c>
      <c r="G324" t="str">
        <f>T(INDEX(Site!$B$33:$G$40, MATCH(Tab_Calculs[[#This Row],[Compteur]], Site!$B$33:$B$40,0),2))</f>
        <v/>
      </c>
      <c r="H324" s="3">
        <f t="array" aca="1" ref="H324" ca="1">MIN(IF(INDIRECT(CONCATENATE(Tab_Calculs[[#This Row],[Colonne1]],"!$B$2:$B$243"))&gt;=Calculs_Consos!$A324,INDIRECT(CONCATENATE(Tab_Calculs[[#This Row],[Colonne1]],"!$B$2:$B$243"))))</f>
        <v>0</v>
      </c>
      <c r="I324" s="3" t="e">
        <f ca="1">INDEX(INDIRECT(CONCATENATE("Tab_",Tab_Calculs[[#This Row],[Colonne1]])),Tab_Calculs[[#This Row],[index_date_livraison]],1)</f>
        <v>#NUM!</v>
      </c>
      <c r="J324">
        <f ca="1">MATCH(Tab_Calculs[[#This Row],[Date_livraison]],INDIRECT(CONCATENATE("Tab_",Tab_Calculs[[#This Row],[Colonne1]],"[Fin de période]")),0)</f>
        <v>1</v>
      </c>
      <c r="K324" t="e">
        <f ca="1">INDEX(INDIRECT(CONCATENATE("Tab_",Tab_Calculs[[#This Row],[Colonne1]])),Tab_Calculs[[#This Row],[index_date_livraison]]-1,6)*(MAX(Tab_Calculs[[#This Row],[Début periode livraison]],Tab_Calculs[[#This Row],[Début mois]])-Tab_Calculs[[#This Row],[Début mois]])</f>
        <v>#VALUE!</v>
      </c>
      <c r="L324" s="94" t="e">
        <f ca="1">INDEX(INDIRECT(CONCATENATE("Tab_",Tab_Calculs[[#This Row],[Colonne1]])),Tab_Calculs[[#This Row],[index_date_livraison]],6)*(1+MIN(Tab_Calculs[[#This Row],[Date_livraison]],Tab_Calculs[[#This Row],[fin mois]])-MAX(Tab_Calculs[[#This Row],[Début mois]],Tab_Calculs[[#This Row],[Début periode livraison]]))</f>
        <v>#NUM!</v>
      </c>
      <c r="M324" s="94" t="e">
        <f ca="1">INDEX(INDIRECT(CONCATENATE("Tab_",Tab_Calculs[[#This Row],[Colonne1]])),Tab_Calculs[[#This Row],[index_date_livraison]]+1,6)*(Tab_Calculs[[#This Row],[fin mois]]-MIN(Tab_Calculs[[#This Row],[fin mois]],Tab_Calculs[[#This Row],[Date_livraison]]))</f>
        <v>#VALUE!</v>
      </c>
      <c r="N324" s="231" t="str">
        <f ca="1">IFERROR(Tab_Calculs[[#This Row],[Ratio_jour_après_livr]]+Tab_Calculs[[#This Row],[Ratio_jour_avant_livr]]+Tab_Calculs[[#This Row],[ratio_avant_debut]],"")</f>
        <v/>
      </c>
      <c r="O324" t="e">
        <f ca="1">INDEX(INDIRECT(CONCATENATE("Tab_",Tab_Calculs[[#This Row],[Colonne1]])),Tab_Calculs[[#This Row],[index_date_livraison]]-1,7)*(MAX(Tab_Calculs[[#This Row],[Début periode livraison]],Tab_Calculs[[#This Row],[Début mois]])-Tab_Calculs[[#This Row],[Début mois]])</f>
        <v>#VALUE!</v>
      </c>
      <c r="P324" t="e">
        <f ca="1">INDEX(INDIRECT(CONCATENATE("Tab_",Tab_Calculs[[#This Row],[Colonne1]])),Tab_Calculs[[#This Row],[index_date_livraison]],7)*(1+MIN(Tab_Calculs[[#This Row],[Date_livraison]],Tab_Calculs[[#This Row],[fin mois]])-MAX(Tab_Calculs[[#This Row],[Début mois]],Tab_Calculs[[#This Row],[Début periode livraison]]))</f>
        <v>#NUM!</v>
      </c>
      <c r="Q324" t="e">
        <f ca="1">INDEX(INDIRECT(CONCATENATE("Tab_",Tab_Calculs[[#This Row],[Colonne1]])),Tab_Calculs[[#This Row],[index_date_livraison]]+1,7)*(Tab_Calculs[[#This Row],[fin mois]]-MIN(Tab_Calculs[[#This Row],[fin mois]],Tab_Calculs[[#This Row],[Date_livraison]]))</f>
        <v>#VALUE!</v>
      </c>
      <c r="R324" t="e">
        <f ca="1">Tab_Calculs[[#This Row],[Ratio_Cout_après_livr]]+Tab_Calculs[[#This Row],[Ratio_Cout_avant_livr]]+Tab_Calculs[[#This Row],[Ratio_Cout_avant_debut]]</f>
        <v>#VALUE!</v>
      </c>
      <c r="S324" t="str">
        <f ca="1">IFERROR(N324*VLOOKUP(Tab_Calculs[[#This Row],[Colonne1]],Controle_des_données!$B$7:$G$14,6,FALSE),"")</f>
        <v/>
      </c>
      <c r="T324" t="str">
        <f ca="1">IF(Tab_Calculs[[#This Row],[Combustible ]]="Electricité (kWh)",Tab_Calculs[[#This Row],[Conso_mois_kWh]]*2.3,Tab_Calculs[[#This Row],[Conso_mois_kWh]])</f>
        <v/>
      </c>
      <c r="U324" t="str">
        <f ca="1">IFERROR(N324*VLOOKUP(Tab_Calculs[[#This Row],[Colonne1]],Controle_des_données!$B$7:$H$14,7,FALSE),"")</f>
        <v/>
      </c>
      <c r="V324">
        <f ca="1">IFERROR(Tab_Calculs[[#This Row],[Cout_mois]]/Tab_Calculs[[#This Row],[Conso_mois_kWh]],0)</f>
        <v>0</v>
      </c>
      <c r="W324" t="str">
        <f>T(VLOOKUP(Tab_Calculs[[#This Row],[Compteur]],Site!$B$33:$G$40,3,FALSE))</f>
        <v/>
      </c>
      <c r="X324" t="str">
        <f>T(VLOOKUP(Tab_Calculs[[#This Row],[Compteur]],Site!$B$33:$G$40,4,FALSE))</f>
        <v/>
      </c>
      <c r="Y324" t="str">
        <f>T(VLOOKUP(Tab_Calculs[[#This Row],[Compteur]],Site!$B$33:$G$40,5,FALSE))</f>
        <v/>
      </c>
      <c r="Z324" t="str">
        <f>T(VLOOKUP(Tab_Calculs[[#This Row],[Compteur]],Site!$B$33:$G$40,6,FALSE))</f>
        <v/>
      </c>
      <c r="AA324">
        <f>IFERROR(GETPIVOTDATA("DJU(chauffagiste)",BDD_DJU!$P$13,"annee",Tab_Calculs[[#This Row],[ANNEE]],"mois_numero",Tab_Calculs[[#This Row],[MOIS]]),0)</f>
        <v>126.3</v>
      </c>
    </row>
    <row r="325" spans="1:27" x14ac:dyDescent="0.25">
      <c r="A325" s="3">
        <f>DATE(Tab_Calculs[[#This Row],[ANNEE]],Tab_Calculs[[#This Row],[MOIS]],1)</f>
        <v>43952</v>
      </c>
      <c r="B325" s="3">
        <f>EDATE(Tab_Calculs[[#This Row],[Début mois]],1)-1</f>
        <v>43982</v>
      </c>
      <c r="C325">
        <f t="shared" si="8"/>
        <v>5</v>
      </c>
      <c r="D325">
        <f t="shared" si="7"/>
        <v>2020</v>
      </c>
      <c r="E325" t="s">
        <v>81</v>
      </c>
      <c r="F325" t="str">
        <f>SUBSTITUTE(Tab_Calculs[[#This Row],[Compteur]]," ","_")</f>
        <v>Compteur_2</v>
      </c>
      <c r="G325" t="str">
        <f>T(INDEX(Site!$B$33:$G$40, MATCH(Tab_Calculs[[#This Row],[Compteur]], Site!$B$33:$B$40,0),2))</f>
        <v/>
      </c>
      <c r="H325" s="3">
        <f t="array" aca="1" ref="H325" ca="1">MIN(IF(INDIRECT(CONCATENATE(Tab_Calculs[[#This Row],[Colonne1]],"!$B$2:$B$243"))&gt;=Calculs_Consos!$A325,INDIRECT(CONCATENATE(Tab_Calculs[[#This Row],[Colonne1]],"!$B$2:$B$243"))))</f>
        <v>0</v>
      </c>
      <c r="I325" s="3" t="e">
        <f ca="1">INDEX(INDIRECT(CONCATENATE("Tab_",Tab_Calculs[[#This Row],[Colonne1]])),Tab_Calculs[[#This Row],[index_date_livraison]],1)</f>
        <v>#NUM!</v>
      </c>
      <c r="J325">
        <f ca="1">MATCH(Tab_Calculs[[#This Row],[Date_livraison]],INDIRECT(CONCATENATE("Tab_",Tab_Calculs[[#This Row],[Colonne1]],"[Fin de période]")),0)</f>
        <v>1</v>
      </c>
      <c r="K325" t="e">
        <f ca="1">INDEX(INDIRECT(CONCATENATE("Tab_",Tab_Calculs[[#This Row],[Colonne1]])),Tab_Calculs[[#This Row],[index_date_livraison]]-1,6)*(MAX(Tab_Calculs[[#This Row],[Début periode livraison]],Tab_Calculs[[#This Row],[Début mois]])-Tab_Calculs[[#This Row],[Début mois]])</f>
        <v>#VALUE!</v>
      </c>
      <c r="L325" s="94" t="e">
        <f ca="1">INDEX(INDIRECT(CONCATENATE("Tab_",Tab_Calculs[[#This Row],[Colonne1]])),Tab_Calculs[[#This Row],[index_date_livraison]],6)*(1+MIN(Tab_Calculs[[#This Row],[Date_livraison]],Tab_Calculs[[#This Row],[fin mois]])-MAX(Tab_Calculs[[#This Row],[Début mois]],Tab_Calculs[[#This Row],[Début periode livraison]]))</f>
        <v>#NUM!</v>
      </c>
      <c r="M325" s="94" t="e">
        <f ca="1">INDEX(INDIRECT(CONCATENATE("Tab_",Tab_Calculs[[#This Row],[Colonne1]])),Tab_Calculs[[#This Row],[index_date_livraison]]+1,6)*(Tab_Calculs[[#This Row],[fin mois]]-MIN(Tab_Calculs[[#This Row],[fin mois]],Tab_Calculs[[#This Row],[Date_livraison]]))</f>
        <v>#VALUE!</v>
      </c>
      <c r="N325" s="231" t="str">
        <f ca="1">IFERROR(Tab_Calculs[[#This Row],[Ratio_jour_après_livr]]+Tab_Calculs[[#This Row],[Ratio_jour_avant_livr]]+Tab_Calculs[[#This Row],[ratio_avant_debut]],"")</f>
        <v/>
      </c>
      <c r="O325" t="e">
        <f ca="1">INDEX(INDIRECT(CONCATENATE("Tab_",Tab_Calculs[[#This Row],[Colonne1]])),Tab_Calculs[[#This Row],[index_date_livraison]]-1,7)*(MAX(Tab_Calculs[[#This Row],[Début periode livraison]],Tab_Calculs[[#This Row],[Début mois]])-Tab_Calculs[[#This Row],[Début mois]])</f>
        <v>#VALUE!</v>
      </c>
      <c r="P325" t="e">
        <f ca="1">INDEX(INDIRECT(CONCATENATE("Tab_",Tab_Calculs[[#This Row],[Colonne1]])),Tab_Calculs[[#This Row],[index_date_livraison]],7)*(1+MIN(Tab_Calculs[[#This Row],[Date_livraison]],Tab_Calculs[[#This Row],[fin mois]])-MAX(Tab_Calculs[[#This Row],[Début mois]],Tab_Calculs[[#This Row],[Début periode livraison]]))</f>
        <v>#NUM!</v>
      </c>
      <c r="Q325" t="e">
        <f ca="1">INDEX(INDIRECT(CONCATENATE("Tab_",Tab_Calculs[[#This Row],[Colonne1]])),Tab_Calculs[[#This Row],[index_date_livraison]]+1,7)*(Tab_Calculs[[#This Row],[fin mois]]-MIN(Tab_Calculs[[#This Row],[fin mois]],Tab_Calculs[[#This Row],[Date_livraison]]))</f>
        <v>#VALUE!</v>
      </c>
      <c r="R325" t="e">
        <f ca="1">Tab_Calculs[[#This Row],[Ratio_Cout_après_livr]]+Tab_Calculs[[#This Row],[Ratio_Cout_avant_livr]]+Tab_Calculs[[#This Row],[Ratio_Cout_avant_debut]]</f>
        <v>#VALUE!</v>
      </c>
      <c r="S325" t="str">
        <f ca="1">IFERROR(N325*VLOOKUP(Tab_Calculs[[#This Row],[Colonne1]],Controle_des_données!$B$7:$G$14,6,FALSE),"")</f>
        <v/>
      </c>
      <c r="T325" t="str">
        <f ca="1">IF(Tab_Calculs[[#This Row],[Combustible ]]="Electricité (kWh)",Tab_Calculs[[#This Row],[Conso_mois_kWh]]*2.3,Tab_Calculs[[#This Row],[Conso_mois_kWh]])</f>
        <v/>
      </c>
      <c r="U325" t="str">
        <f ca="1">IFERROR(N325*VLOOKUP(Tab_Calculs[[#This Row],[Colonne1]],Controle_des_données!$B$7:$H$14,7,FALSE),"")</f>
        <v/>
      </c>
      <c r="V325">
        <f ca="1">IFERROR(Tab_Calculs[[#This Row],[Cout_mois]]/Tab_Calculs[[#This Row],[Conso_mois_kWh]],0)</f>
        <v>0</v>
      </c>
      <c r="W325" t="str">
        <f>T(VLOOKUP(Tab_Calculs[[#This Row],[Compteur]],Site!$B$33:$G$40,3,FALSE))</f>
        <v/>
      </c>
      <c r="X325" t="str">
        <f>T(VLOOKUP(Tab_Calculs[[#This Row],[Compteur]],Site!$B$33:$G$40,4,FALSE))</f>
        <v/>
      </c>
      <c r="Y325" t="str">
        <f>T(VLOOKUP(Tab_Calculs[[#This Row],[Compteur]],Site!$B$33:$G$40,5,FALSE))</f>
        <v/>
      </c>
      <c r="Z325" t="str">
        <f>T(VLOOKUP(Tab_Calculs[[#This Row],[Compteur]],Site!$B$33:$G$40,6,FALSE))</f>
        <v/>
      </c>
      <c r="AA325">
        <f>IFERROR(GETPIVOTDATA("DJU(chauffagiste)",BDD_DJU!$P$13,"annee",Tab_Calculs[[#This Row],[ANNEE]],"mois_numero",Tab_Calculs[[#This Row],[MOIS]]),0)</f>
        <v>91.8</v>
      </c>
    </row>
    <row r="326" spans="1:27" x14ac:dyDescent="0.25">
      <c r="A326" s="3">
        <f>DATE(Tab_Calculs[[#This Row],[ANNEE]],Tab_Calculs[[#This Row],[MOIS]],1)</f>
        <v>43983</v>
      </c>
      <c r="B326" s="3">
        <f>EDATE(Tab_Calculs[[#This Row],[Début mois]],1)-1</f>
        <v>44012</v>
      </c>
      <c r="C326">
        <f t="shared" si="8"/>
        <v>6</v>
      </c>
      <c r="D326">
        <f t="shared" ref="D326:D343" si="9">D314+1</f>
        <v>2020</v>
      </c>
      <c r="E326" t="s">
        <v>81</v>
      </c>
      <c r="F326" t="str">
        <f>SUBSTITUTE(Tab_Calculs[[#This Row],[Compteur]]," ","_")</f>
        <v>Compteur_2</v>
      </c>
      <c r="G326" t="str">
        <f>T(INDEX(Site!$B$33:$G$40, MATCH(Tab_Calculs[[#This Row],[Compteur]], Site!$B$33:$B$40,0),2))</f>
        <v/>
      </c>
      <c r="H326" s="3">
        <f t="array" aca="1" ref="H326" ca="1">MIN(IF(INDIRECT(CONCATENATE(Tab_Calculs[[#This Row],[Colonne1]],"!$B$2:$B$243"))&gt;=Calculs_Consos!$A326,INDIRECT(CONCATENATE(Tab_Calculs[[#This Row],[Colonne1]],"!$B$2:$B$243"))))</f>
        <v>0</v>
      </c>
      <c r="I326" s="3" t="e">
        <f ca="1">INDEX(INDIRECT(CONCATENATE("Tab_",Tab_Calculs[[#This Row],[Colonne1]])),Tab_Calculs[[#This Row],[index_date_livraison]],1)</f>
        <v>#NUM!</v>
      </c>
      <c r="J326">
        <f ca="1">MATCH(Tab_Calculs[[#This Row],[Date_livraison]],INDIRECT(CONCATENATE("Tab_",Tab_Calculs[[#This Row],[Colonne1]],"[Fin de période]")),0)</f>
        <v>1</v>
      </c>
      <c r="K326" t="e">
        <f ca="1">INDEX(INDIRECT(CONCATENATE("Tab_",Tab_Calculs[[#This Row],[Colonne1]])),Tab_Calculs[[#This Row],[index_date_livraison]]-1,6)*(MAX(Tab_Calculs[[#This Row],[Début periode livraison]],Tab_Calculs[[#This Row],[Début mois]])-Tab_Calculs[[#This Row],[Début mois]])</f>
        <v>#VALUE!</v>
      </c>
      <c r="L326" s="94" t="e">
        <f ca="1">INDEX(INDIRECT(CONCATENATE("Tab_",Tab_Calculs[[#This Row],[Colonne1]])),Tab_Calculs[[#This Row],[index_date_livraison]],6)*(1+MIN(Tab_Calculs[[#This Row],[Date_livraison]],Tab_Calculs[[#This Row],[fin mois]])-MAX(Tab_Calculs[[#This Row],[Début mois]],Tab_Calculs[[#This Row],[Début periode livraison]]))</f>
        <v>#NUM!</v>
      </c>
      <c r="M326" s="94" t="e">
        <f ca="1">INDEX(INDIRECT(CONCATENATE("Tab_",Tab_Calculs[[#This Row],[Colonne1]])),Tab_Calculs[[#This Row],[index_date_livraison]]+1,6)*(Tab_Calculs[[#This Row],[fin mois]]-MIN(Tab_Calculs[[#This Row],[fin mois]],Tab_Calculs[[#This Row],[Date_livraison]]))</f>
        <v>#VALUE!</v>
      </c>
      <c r="N326" s="231" t="str">
        <f ca="1">IFERROR(Tab_Calculs[[#This Row],[Ratio_jour_après_livr]]+Tab_Calculs[[#This Row],[Ratio_jour_avant_livr]]+Tab_Calculs[[#This Row],[ratio_avant_debut]],"")</f>
        <v/>
      </c>
      <c r="O326" t="e">
        <f ca="1">INDEX(INDIRECT(CONCATENATE("Tab_",Tab_Calculs[[#This Row],[Colonne1]])),Tab_Calculs[[#This Row],[index_date_livraison]]-1,7)*(MAX(Tab_Calculs[[#This Row],[Début periode livraison]],Tab_Calculs[[#This Row],[Début mois]])-Tab_Calculs[[#This Row],[Début mois]])</f>
        <v>#VALUE!</v>
      </c>
      <c r="P326" t="e">
        <f ca="1">INDEX(INDIRECT(CONCATENATE("Tab_",Tab_Calculs[[#This Row],[Colonne1]])),Tab_Calculs[[#This Row],[index_date_livraison]],7)*(1+MIN(Tab_Calculs[[#This Row],[Date_livraison]],Tab_Calculs[[#This Row],[fin mois]])-MAX(Tab_Calculs[[#This Row],[Début mois]],Tab_Calculs[[#This Row],[Début periode livraison]]))</f>
        <v>#NUM!</v>
      </c>
      <c r="Q326" t="e">
        <f ca="1">INDEX(INDIRECT(CONCATENATE("Tab_",Tab_Calculs[[#This Row],[Colonne1]])),Tab_Calculs[[#This Row],[index_date_livraison]]+1,7)*(Tab_Calculs[[#This Row],[fin mois]]-MIN(Tab_Calculs[[#This Row],[fin mois]],Tab_Calculs[[#This Row],[Date_livraison]]))</f>
        <v>#VALUE!</v>
      </c>
      <c r="R326" t="e">
        <f ca="1">Tab_Calculs[[#This Row],[Ratio_Cout_après_livr]]+Tab_Calculs[[#This Row],[Ratio_Cout_avant_livr]]+Tab_Calculs[[#This Row],[Ratio_Cout_avant_debut]]</f>
        <v>#VALUE!</v>
      </c>
      <c r="S326" t="str">
        <f ca="1">IFERROR(N326*VLOOKUP(Tab_Calculs[[#This Row],[Colonne1]],Controle_des_données!$B$7:$G$14,6,FALSE),"")</f>
        <v/>
      </c>
      <c r="T326" t="str">
        <f ca="1">IF(Tab_Calculs[[#This Row],[Combustible ]]="Electricité (kWh)",Tab_Calculs[[#This Row],[Conso_mois_kWh]]*2.3,Tab_Calculs[[#This Row],[Conso_mois_kWh]])</f>
        <v/>
      </c>
      <c r="U326" t="str">
        <f ca="1">IFERROR(N326*VLOOKUP(Tab_Calculs[[#This Row],[Colonne1]],Controle_des_données!$B$7:$H$14,7,FALSE),"")</f>
        <v/>
      </c>
      <c r="V326">
        <f ca="1">IFERROR(Tab_Calculs[[#This Row],[Cout_mois]]/Tab_Calculs[[#This Row],[Conso_mois_kWh]],0)</f>
        <v>0</v>
      </c>
      <c r="W326" t="str">
        <f>T(VLOOKUP(Tab_Calculs[[#This Row],[Compteur]],Site!$B$33:$G$40,3,FALSE))</f>
        <v/>
      </c>
      <c r="X326" t="str">
        <f>T(VLOOKUP(Tab_Calculs[[#This Row],[Compteur]],Site!$B$33:$G$40,4,FALSE))</f>
        <v/>
      </c>
      <c r="Y326" t="str">
        <f>T(VLOOKUP(Tab_Calculs[[#This Row],[Compteur]],Site!$B$33:$G$40,5,FALSE))</f>
        <v/>
      </c>
      <c r="Z326" t="str">
        <f>T(VLOOKUP(Tab_Calculs[[#This Row],[Compteur]],Site!$B$33:$G$40,6,FALSE))</f>
        <v/>
      </c>
      <c r="AA326">
        <f>IFERROR(GETPIVOTDATA("DJU(chauffagiste)",BDD_DJU!$P$13,"annee",Tab_Calculs[[#This Row],[ANNEE]],"mois_numero",Tab_Calculs[[#This Row],[MOIS]]),0)</f>
        <v>55.6</v>
      </c>
    </row>
    <row r="327" spans="1:27" x14ac:dyDescent="0.25">
      <c r="A327" s="3">
        <f>DATE(Tab_Calculs[[#This Row],[ANNEE]],Tab_Calculs[[#This Row],[MOIS]],1)</f>
        <v>44013</v>
      </c>
      <c r="B327" s="3">
        <f>EDATE(Tab_Calculs[[#This Row],[Début mois]],1)-1</f>
        <v>44043</v>
      </c>
      <c r="C327">
        <f t="shared" si="8"/>
        <v>7</v>
      </c>
      <c r="D327">
        <f t="shared" si="9"/>
        <v>2020</v>
      </c>
      <c r="E327" t="s">
        <v>81</v>
      </c>
      <c r="F327" t="str">
        <f>SUBSTITUTE(Tab_Calculs[[#This Row],[Compteur]]," ","_")</f>
        <v>Compteur_2</v>
      </c>
      <c r="G327" t="str">
        <f>T(INDEX(Site!$B$33:$G$40, MATCH(Tab_Calculs[[#This Row],[Compteur]], Site!$B$33:$B$40,0),2))</f>
        <v/>
      </c>
      <c r="H327" s="3">
        <f t="array" aca="1" ref="H327" ca="1">MIN(IF(INDIRECT(CONCATENATE(Tab_Calculs[[#This Row],[Colonne1]],"!$B$2:$B$243"))&gt;=Calculs_Consos!$A327,INDIRECT(CONCATENATE(Tab_Calculs[[#This Row],[Colonne1]],"!$B$2:$B$243"))))</f>
        <v>0</v>
      </c>
      <c r="I327" s="3" t="e">
        <f ca="1">INDEX(INDIRECT(CONCATENATE("Tab_",Tab_Calculs[[#This Row],[Colonne1]])),Tab_Calculs[[#This Row],[index_date_livraison]],1)</f>
        <v>#NUM!</v>
      </c>
      <c r="J327">
        <f ca="1">MATCH(Tab_Calculs[[#This Row],[Date_livraison]],INDIRECT(CONCATENATE("Tab_",Tab_Calculs[[#This Row],[Colonne1]],"[Fin de période]")),0)</f>
        <v>1</v>
      </c>
      <c r="K327" t="e">
        <f ca="1">INDEX(INDIRECT(CONCATENATE("Tab_",Tab_Calculs[[#This Row],[Colonne1]])),Tab_Calculs[[#This Row],[index_date_livraison]]-1,6)*(MAX(Tab_Calculs[[#This Row],[Début periode livraison]],Tab_Calculs[[#This Row],[Début mois]])-Tab_Calculs[[#This Row],[Début mois]])</f>
        <v>#VALUE!</v>
      </c>
      <c r="L327" s="94" t="e">
        <f ca="1">INDEX(INDIRECT(CONCATENATE("Tab_",Tab_Calculs[[#This Row],[Colonne1]])),Tab_Calculs[[#This Row],[index_date_livraison]],6)*(1+MIN(Tab_Calculs[[#This Row],[Date_livraison]],Tab_Calculs[[#This Row],[fin mois]])-MAX(Tab_Calculs[[#This Row],[Début mois]],Tab_Calculs[[#This Row],[Début periode livraison]]))</f>
        <v>#NUM!</v>
      </c>
      <c r="M327" s="94" t="e">
        <f ca="1">INDEX(INDIRECT(CONCATENATE("Tab_",Tab_Calculs[[#This Row],[Colonne1]])),Tab_Calculs[[#This Row],[index_date_livraison]]+1,6)*(Tab_Calculs[[#This Row],[fin mois]]-MIN(Tab_Calculs[[#This Row],[fin mois]],Tab_Calculs[[#This Row],[Date_livraison]]))</f>
        <v>#VALUE!</v>
      </c>
      <c r="N327" s="231" t="str">
        <f ca="1">IFERROR(Tab_Calculs[[#This Row],[Ratio_jour_après_livr]]+Tab_Calculs[[#This Row],[Ratio_jour_avant_livr]]+Tab_Calculs[[#This Row],[ratio_avant_debut]],"")</f>
        <v/>
      </c>
      <c r="O327" t="e">
        <f ca="1">INDEX(INDIRECT(CONCATENATE("Tab_",Tab_Calculs[[#This Row],[Colonne1]])),Tab_Calculs[[#This Row],[index_date_livraison]]-1,7)*(MAX(Tab_Calculs[[#This Row],[Début periode livraison]],Tab_Calculs[[#This Row],[Début mois]])-Tab_Calculs[[#This Row],[Début mois]])</f>
        <v>#VALUE!</v>
      </c>
      <c r="P327" t="e">
        <f ca="1">INDEX(INDIRECT(CONCATENATE("Tab_",Tab_Calculs[[#This Row],[Colonne1]])),Tab_Calculs[[#This Row],[index_date_livraison]],7)*(1+MIN(Tab_Calculs[[#This Row],[Date_livraison]],Tab_Calculs[[#This Row],[fin mois]])-MAX(Tab_Calculs[[#This Row],[Début mois]],Tab_Calculs[[#This Row],[Début periode livraison]]))</f>
        <v>#NUM!</v>
      </c>
      <c r="Q327" t="e">
        <f ca="1">INDEX(INDIRECT(CONCATENATE("Tab_",Tab_Calculs[[#This Row],[Colonne1]])),Tab_Calculs[[#This Row],[index_date_livraison]]+1,7)*(Tab_Calculs[[#This Row],[fin mois]]-MIN(Tab_Calculs[[#This Row],[fin mois]],Tab_Calculs[[#This Row],[Date_livraison]]))</f>
        <v>#VALUE!</v>
      </c>
      <c r="R327" t="e">
        <f ca="1">Tab_Calculs[[#This Row],[Ratio_Cout_après_livr]]+Tab_Calculs[[#This Row],[Ratio_Cout_avant_livr]]+Tab_Calculs[[#This Row],[Ratio_Cout_avant_debut]]</f>
        <v>#VALUE!</v>
      </c>
      <c r="S327" t="str">
        <f ca="1">IFERROR(N327*VLOOKUP(Tab_Calculs[[#This Row],[Colonne1]],Controle_des_données!$B$7:$G$14,6,FALSE),"")</f>
        <v/>
      </c>
      <c r="T327" t="str">
        <f ca="1">IF(Tab_Calculs[[#This Row],[Combustible ]]="Electricité (kWh)",Tab_Calculs[[#This Row],[Conso_mois_kWh]]*2.3,Tab_Calculs[[#This Row],[Conso_mois_kWh]])</f>
        <v/>
      </c>
      <c r="U327" t="str">
        <f ca="1">IFERROR(N327*VLOOKUP(Tab_Calculs[[#This Row],[Colonne1]],Controle_des_données!$B$7:$H$14,7,FALSE),"")</f>
        <v/>
      </c>
      <c r="V327">
        <f ca="1">IFERROR(Tab_Calculs[[#This Row],[Cout_mois]]/Tab_Calculs[[#This Row],[Conso_mois_kWh]],0)</f>
        <v>0</v>
      </c>
      <c r="W327" t="str">
        <f>T(VLOOKUP(Tab_Calculs[[#This Row],[Compteur]],Site!$B$33:$G$40,3,FALSE))</f>
        <v/>
      </c>
      <c r="X327" t="str">
        <f>T(VLOOKUP(Tab_Calculs[[#This Row],[Compteur]],Site!$B$33:$G$40,4,FALSE))</f>
        <v/>
      </c>
      <c r="Y327" t="str">
        <f>T(VLOOKUP(Tab_Calculs[[#This Row],[Compteur]],Site!$B$33:$G$40,5,FALSE))</f>
        <v/>
      </c>
      <c r="Z327" t="str">
        <f>T(VLOOKUP(Tab_Calculs[[#This Row],[Compteur]],Site!$B$33:$G$40,6,FALSE))</f>
        <v/>
      </c>
      <c r="AA327">
        <f>IFERROR(GETPIVOTDATA("DJU(chauffagiste)",BDD_DJU!$P$13,"annee",Tab_Calculs[[#This Row],[ANNEE]],"mois_numero",Tab_Calculs[[#This Row],[MOIS]]),0)</f>
        <v>32.299999999999997</v>
      </c>
    </row>
    <row r="328" spans="1:27" x14ac:dyDescent="0.25">
      <c r="A328" s="3">
        <f>DATE(Tab_Calculs[[#This Row],[ANNEE]],Tab_Calculs[[#This Row],[MOIS]],1)</f>
        <v>44044</v>
      </c>
      <c r="B328" s="3">
        <f>EDATE(Tab_Calculs[[#This Row],[Début mois]],1)-1</f>
        <v>44074</v>
      </c>
      <c r="C328">
        <f t="shared" si="8"/>
        <v>8</v>
      </c>
      <c r="D328">
        <f t="shared" si="9"/>
        <v>2020</v>
      </c>
      <c r="E328" t="s">
        <v>81</v>
      </c>
      <c r="F328" t="str">
        <f>SUBSTITUTE(Tab_Calculs[[#This Row],[Compteur]]," ","_")</f>
        <v>Compteur_2</v>
      </c>
      <c r="G328" t="str">
        <f>T(INDEX(Site!$B$33:$G$40, MATCH(Tab_Calculs[[#This Row],[Compteur]], Site!$B$33:$B$40,0),2))</f>
        <v/>
      </c>
      <c r="H328" s="3">
        <f t="array" aca="1" ref="H328" ca="1">MIN(IF(INDIRECT(CONCATENATE(Tab_Calculs[[#This Row],[Colonne1]],"!$B$2:$B$243"))&gt;=Calculs_Consos!$A328,INDIRECT(CONCATENATE(Tab_Calculs[[#This Row],[Colonne1]],"!$B$2:$B$243"))))</f>
        <v>0</v>
      </c>
      <c r="I328" s="3" t="e">
        <f ca="1">INDEX(INDIRECT(CONCATENATE("Tab_",Tab_Calculs[[#This Row],[Colonne1]])),Tab_Calculs[[#This Row],[index_date_livraison]],1)</f>
        <v>#NUM!</v>
      </c>
      <c r="J328">
        <f ca="1">MATCH(Tab_Calculs[[#This Row],[Date_livraison]],INDIRECT(CONCATENATE("Tab_",Tab_Calculs[[#This Row],[Colonne1]],"[Fin de période]")),0)</f>
        <v>1</v>
      </c>
      <c r="K328" t="e">
        <f ca="1">INDEX(INDIRECT(CONCATENATE("Tab_",Tab_Calculs[[#This Row],[Colonne1]])),Tab_Calculs[[#This Row],[index_date_livraison]]-1,6)*(MAX(Tab_Calculs[[#This Row],[Début periode livraison]],Tab_Calculs[[#This Row],[Début mois]])-Tab_Calculs[[#This Row],[Début mois]])</f>
        <v>#VALUE!</v>
      </c>
      <c r="L328" s="94" t="e">
        <f ca="1">INDEX(INDIRECT(CONCATENATE("Tab_",Tab_Calculs[[#This Row],[Colonne1]])),Tab_Calculs[[#This Row],[index_date_livraison]],6)*(1+MIN(Tab_Calculs[[#This Row],[Date_livraison]],Tab_Calculs[[#This Row],[fin mois]])-MAX(Tab_Calculs[[#This Row],[Début mois]],Tab_Calculs[[#This Row],[Début periode livraison]]))</f>
        <v>#NUM!</v>
      </c>
      <c r="M328" s="94" t="e">
        <f ca="1">INDEX(INDIRECT(CONCATENATE("Tab_",Tab_Calculs[[#This Row],[Colonne1]])),Tab_Calculs[[#This Row],[index_date_livraison]]+1,6)*(Tab_Calculs[[#This Row],[fin mois]]-MIN(Tab_Calculs[[#This Row],[fin mois]],Tab_Calculs[[#This Row],[Date_livraison]]))</f>
        <v>#VALUE!</v>
      </c>
      <c r="N328" s="231" t="str">
        <f ca="1">IFERROR(Tab_Calculs[[#This Row],[Ratio_jour_après_livr]]+Tab_Calculs[[#This Row],[Ratio_jour_avant_livr]]+Tab_Calculs[[#This Row],[ratio_avant_debut]],"")</f>
        <v/>
      </c>
      <c r="O328" t="e">
        <f ca="1">INDEX(INDIRECT(CONCATENATE("Tab_",Tab_Calculs[[#This Row],[Colonne1]])),Tab_Calculs[[#This Row],[index_date_livraison]]-1,7)*(MAX(Tab_Calculs[[#This Row],[Début periode livraison]],Tab_Calculs[[#This Row],[Début mois]])-Tab_Calculs[[#This Row],[Début mois]])</f>
        <v>#VALUE!</v>
      </c>
      <c r="P328" t="e">
        <f ca="1">INDEX(INDIRECT(CONCATENATE("Tab_",Tab_Calculs[[#This Row],[Colonne1]])),Tab_Calculs[[#This Row],[index_date_livraison]],7)*(1+MIN(Tab_Calculs[[#This Row],[Date_livraison]],Tab_Calculs[[#This Row],[fin mois]])-MAX(Tab_Calculs[[#This Row],[Début mois]],Tab_Calculs[[#This Row],[Début periode livraison]]))</f>
        <v>#NUM!</v>
      </c>
      <c r="Q328" t="e">
        <f ca="1">INDEX(INDIRECT(CONCATENATE("Tab_",Tab_Calculs[[#This Row],[Colonne1]])),Tab_Calculs[[#This Row],[index_date_livraison]]+1,7)*(Tab_Calculs[[#This Row],[fin mois]]-MIN(Tab_Calculs[[#This Row],[fin mois]],Tab_Calculs[[#This Row],[Date_livraison]]))</f>
        <v>#VALUE!</v>
      </c>
      <c r="R328" t="e">
        <f ca="1">Tab_Calculs[[#This Row],[Ratio_Cout_après_livr]]+Tab_Calculs[[#This Row],[Ratio_Cout_avant_livr]]+Tab_Calculs[[#This Row],[Ratio_Cout_avant_debut]]</f>
        <v>#VALUE!</v>
      </c>
      <c r="S328" t="str">
        <f ca="1">IFERROR(N328*VLOOKUP(Tab_Calculs[[#This Row],[Colonne1]],Controle_des_données!$B$7:$G$14,6,FALSE),"")</f>
        <v/>
      </c>
      <c r="T328" t="str">
        <f ca="1">IF(Tab_Calculs[[#This Row],[Combustible ]]="Electricité (kWh)",Tab_Calculs[[#This Row],[Conso_mois_kWh]]*2.3,Tab_Calculs[[#This Row],[Conso_mois_kWh]])</f>
        <v/>
      </c>
      <c r="U328" t="str">
        <f ca="1">IFERROR(N328*VLOOKUP(Tab_Calculs[[#This Row],[Colonne1]],Controle_des_données!$B$7:$H$14,7,FALSE),"")</f>
        <v/>
      </c>
      <c r="V328">
        <f ca="1">IFERROR(Tab_Calculs[[#This Row],[Cout_mois]]/Tab_Calculs[[#This Row],[Conso_mois_kWh]],0)</f>
        <v>0</v>
      </c>
      <c r="W328" t="str">
        <f>T(VLOOKUP(Tab_Calculs[[#This Row],[Compteur]],Site!$B$33:$G$40,3,FALSE))</f>
        <v/>
      </c>
      <c r="X328" t="str">
        <f>T(VLOOKUP(Tab_Calculs[[#This Row],[Compteur]],Site!$B$33:$G$40,4,FALSE))</f>
        <v/>
      </c>
      <c r="Y328" t="str">
        <f>T(VLOOKUP(Tab_Calculs[[#This Row],[Compteur]],Site!$B$33:$G$40,5,FALSE))</f>
        <v/>
      </c>
      <c r="Z328" t="str">
        <f>T(VLOOKUP(Tab_Calculs[[#This Row],[Compteur]],Site!$B$33:$G$40,6,FALSE))</f>
        <v/>
      </c>
      <c r="AA328">
        <f>IFERROR(GETPIVOTDATA("DJU(chauffagiste)",BDD_DJU!$P$13,"annee",Tab_Calculs[[#This Row],[ANNEE]],"mois_numero",Tab_Calculs[[#This Row],[MOIS]]),0)</f>
        <v>27.8</v>
      </c>
    </row>
    <row r="329" spans="1:27" x14ac:dyDescent="0.25">
      <c r="A329" s="3">
        <f>DATE(Tab_Calculs[[#This Row],[ANNEE]],Tab_Calculs[[#This Row],[MOIS]],1)</f>
        <v>44075</v>
      </c>
      <c r="B329" s="3">
        <f>EDATE(Tab_Calculs[[#This Row],[Début mois]],1)-1</f>
        <v>44104</v>
      </c>
      <c r="C329">
        <f t="shared" si="8"/>
        <v>9</v>
      </c>
      <c r="D329">
        <f t="shared" si="9"/>
        <v>2020</v>
      </c>
      <c r="E329" t="s">
        <v>81</v>
      </c>
      <c r="F329" t="str">
        <f>SUBSTITUTE(Tab_Calculs[[#This Row],[Compteur]]," ","_")</f>
        <v>Compteur_2</v>
      </c>
      <c r="G329" t="str">
        <f>T(INDEX(Site!$B$33:$G$40, MATCH(Tab_Calculs[[#This Row],[Compteur]], Site!$B$33:$B$40,0),2))</f>
        <v/>
      </c>
      <c r="H329" s="3">
        <f t="array" aca="1" ref="H329" ca="1">MIN(IF(INDIRECT(CONCATENATE(Tab_Calculs[[#This Row],[Colonne1]],"!$B$2:$B$243"))&gt;=Calculs_Consos!$A329,INDIRECT(CONCATENATE(Tab_Calculs[[#This Row],[Colonne1]],"!$B$2:$B$243"))))</f>
        <v>0</v>
      </c>
      <c r="I329" s="3" t="e">
        <f ca="1">INDEX(INDIRECT(CONCATENATE("Tab_",Tab_Calculs[[#This Row],[Colonne1]])),Tab_Calculs[[#This Row],[index_date_livraison]],1)</f>
        <v>#NUM!</v>
      </c>
      <c r="J329">
        <f ca="1">MATCH(Tab_Calculs[[#This Row],[Date_livraison]],INDIRECT(CONCATENATE("Tab_",Tab_Calculs[[#This Row],[Colonne1]],"[Fin de période]")),0)</f>
        <v>1</v>
      </c>
      <c r="K329" t="e">
        <f ca="1">INDEX(INDIRECT(CONCATENATE("Tab_",Tab_Calculs[[#This Row],[Colonne1]])),Tab_Calculs[[#This Row],[index_date_livraison]]-1,6)*(MAX(Tab_Calculs[[#This Row],[Début periode livraison]],Tab_Calculs[[#This Row],[Début mois]])-Tab_Calculs[[#This Row],[Début mois]])</f>
        <v>#VALUE!</v>
      </c>
      <c r="L329" s="94" t="e">
        <f ca="1">INDEX(INDIRECT(CONCATENATE("Tab_",Tab_Calculs[[#This Row],[Colonne1]])),Tab_Calculs[[#This Row],[index_date_livraison]],6)*(1+MIN(Tab_Calculs[[#This Row],[Date_livraison]],Tab_Calculs[[#This Row],[fin mois]])-MAX(Tab_Calculs[[#This Row],[Début mois]],Tab_Calculs[[#This Row],[Début periode livraison]]))</f>
        <v>#NUM!</v>
      </c>
      <c r="M329" s="94" t="e">
        <f ca="1">INDEX(INDIRECT(CONCATENATE("Tab_",Tab_Calculs[[#This Row],[Colonne1]])),Tab_Calculs[[#This Row],[index_date_livraison]]+1,6)*(Tab_Calculs[[#This Row],[fin mois]]-MIN(Tab_Calculs[[#This Row],[fin mois]],Tab_Calculs[[#This Row],[Date_livraison]]))</f>
        <v>#VALUE!</v>
      </c>
      <c r="N329" s="231" t="str">
        <f ca="1">IFERROR(Tab_Calculs[[#This Row],[Ratio_jour_après_livr]]+Tab_Calculs[[#This Row],[Ratio_jour_avant_livr]]+Tab_Calculs[[#This Row],[ratio_avant_debut]],"")</f>
        <v/>
      </c>
      <c r="O329" t="e">
        <f ca="1">INDEX(INDIRECT(CONCATENATE("Tab_",Tab_Calculs[[#This Row],[Colonne1]])),Tab_Calculs[[#This Row],[index_date_livraison]]-1,7)*(MAX(Tab_Calculs[[#This Row],[Début periode livraison]],Tab_Calculs[[#This Row],[Début mois]])-Tab_Calculs[[#This Row],[Début mois]])</f>
        <v>#VALUE!</v>
      </c>
      <c r="P329" t="e">
        <f ca="1">INDEX(INDIRECT(CONCATENATE("Tab_",Tab_Calculs[[#This Row],[Colonne1]])),Tab_Calculs[[#This Row],[index_date_livraison]],7)*(1+MIN(Tab_Calculs[[#This Row],[Date_livraison]],Tab_Calculs[[#This Row],[fin mois]])-MAX(Tab_Calculs[[#This Row],[Début mois]],Tab_Calculs[[#This Row],[Début periode livraison]]))</f>
        <v>#NUM!</v>
      </c>
      <c r="Q329" t="e">
        <f ca="1">INDEX(INDIRECT(CONCATENATE("Tab_",Tab_Calculs[[#This Row],[Colonne1]])),Tab_Calculs[[#This Row],[index_date_livraison]]+1,7)*(Tab_Calculs[[#This Row],[fin mois]]-MIN(Tab_Calculs[[#This Row],[fin mois]],Tab_Calculs[[#This Row],[Date_livraison]]))</f>
        <v>#VALUE!</v>
      </c>
      <c r="R329" t="e">
        <f ca="1">Tab_Calculs[[#This Row],[Ratio_Cout_après_livr]]+Tab_Calculs[[#This Row],[Ratio_Cout_avant_livr]]+Tab_Calculs[[#This Row],[Ratio_Cout_avant_debut]]</f>
        <v>#VALUE!</v>
      </c>
      <c r="S329" t="str">
        <f ca="1">IFERROR(N329*VLOOKUP(Tab_Calculs[[#This Row],[Colonne1]],Controle_des_données!$B$7:$G$14,6,FALSE),"")</f>
        <v/>
      </c>
      <c r="T329" t="str">
        <f ca="1">IF(Tab_Calculs[[#This Row],[Combustible ]]="Electricité (kWh)",Tab_Calculs[[#This Row],[Conso_mois_kWh]]*2.3,Tab_Calculs[[#This Row],[Conso_mois_kWh]])</f>
        <v/>
      </c>
      <c r="U329" t="str">
        <f ca="1">IFERROR(N329*VLOOKUP(Tab_Calculs[[#This Row],[Colonne1]],Controle_des_données!$B$7:$H$14,7,FALSE),"")</f>
        <v/>
      </c>
      <c r="V329">
        <f ca="1">IFERROR(Tab_Calculs[[#This Row],[Cout_mois]]/Tab_Calculs[[#This Row],[Conso_mois_kWh]],0)</f>
        <v>0</v>
      </c>
      <c r="W329" t="str">
        <f>T(VLOOKUP(Tab_Calculs[[#This Row],[Compteur]],Site!$B$33:$G$40,3,FALSE))</f>
        <v/>
      </c>
      <c r="X329" t="str">
        <f>T(VLOOKUP(Tab_Calculs[[#This Row],[Compteur]],Site!$B$33:$G$40,4,FALSE))</f>
        <v/>
      </c>
      <c r="Y329" t="str">
        <f>T(VLOOKUP(Tab_Calculs[[#This Row],[Compteur]],Site!$B$33:$G$40,5,FALSE))</f>
        <v/>
      </c>
      <c r="Z329" t="str">
        <f>T(VLOOKUP(Tab_Calculs[[#This Row],[Compteur]],Site!$B$33:$G$40,6,FALSE))</f>
        <v/>
      </c>
      <c r="AA329">
        <f>IFERROR(GETPIVOTDATA("DJU(chauffagiste)",BDD_DJU!$P$13,"annee",Tab_Calculs[[#This Row],[ANNEE]],"mois_numero",Tab_Calculs[[#This Row],[MOIS]]),0)</f>
        <v>56.6</v>
      </c>
    </row>
    <row r="330" spans="1:27" x14ac:dyDescent="0.25">
      <c r="A330" s="3">
        <f>DATE(Tab_Calculs[[#This Row],[ANNEE]],Tab_Calculs[[#This Row],[MOIS]],1)</f>
        <v>44105</v>
      </c>
      <c r="B330" s="3">
        <f>EDATE(Tab_Calculs[[#This Row],[Début mois]],1)-1</f>
        <v>44135</v>
      </c>
      <c r="C330">
        <f t="shared" si="8"/>
        <v>10</v>
      </c>
      <c r="D330">
        <f t="shared" si="9"/>
        <v>2020</v>
      </c>
      <c r="E330" t="s">
        <v>81</v>
      </c>
      <c r="F330" t="str">
        <f>SUBSTITUTE(Tab_Calculs[[#This Row],[Compteur]]," ","_")</f>
        <v>Compteur_2</v>
      </c>
      <c r="G330" t="str">
        <f>T(INDEX(Site!$B$33:$G$40, MATCH(Tab_Calculs[[#This Row],[Compteur]], Site!$B$33:$B$40,0),2))</f>
        <v/>
      </c>
      <c r="H330" s="3">
        <f t="array" aca="1" ref="H330" ca="1">MIN(IF(INDIRECT(CONCATENATE(Tab_Calculs[[#This Row],[Colonne1]],"!$B$2:$B$243"))&gt;=Calculs_Consos!$A330,INDIRECT(CONCATENATE(Tab_Calculs[[#This Row],[Colonne1]],"!$B$2:$B$243"))))</f>
        <v>0</v>
      </c>
      <c r="I330" s="3" t="e">
        <f ca="1">INDEX(INDIRECT(CONCATENATE("Tab_",Tab_Calculs[[#This Row],[Colonne1]])),Tab_Calculs[[#This Row],[index_date_livraison]],1)</f>
        <v>#NUM!</v>
      </c>
      <c r="J330">
        <f ca="1">MATCH(Tab_Calculs[[#This Row],[Date_livraison]],INDIRECT(CONCATENATE("Tab_",Tab_Calculs[[#This Row],[Colonne1]],"[Fin de période]")),0)</f>
        <v>1</v>
      </c>
      <c r="K330" t="e">
        <f ca="1">INDEX(INDIRECT(CONCATENATE("Tab_",Tab_Calculs[[#This Row],[Colonne1]])),Tab_Calculs[[#This Row],[index_date_livraison]]-1,6)*(MAX(Tab_Calculs[[#This Row],[Début periode livraison]],Tab_Calculs[[#This Row],[Début mois]])-Tab_Calculs[[#This Row],[Début mois]])</f>
        <v>#VALUE!</v>
      </c>
      <c r="L330" s="94" t="e">
        <f ca="1">INDEX(INDIRECT(CONCATENATE("Tab_",Tab_Calculs[[#This Row],[Colonne1]])),Tab_Calculs[[#This Row],[index_date_livraison]],6)*(1+MIN(Tab_Calculs[[#This Row],[Date_livraison]],Tab_Calculs[[#This Row],[fin mois]])-MAX(Tab_Calculs[[#This Row],[Début mois]],Tab_Calculs[[#This Row],[Début periode livraison]]))</f>
        <v>#NUM!</v>
      </c>
      <c r="M330" s="94" t="e">
        <f ca="1">INDEX(INDIRECT(CONCATENATE("Tab_",Tab_Calculs[[#This Row],[Colonne1]])),Tab_Calculs[[#This Row],[index_date_livraison]]+1,6)*(Tab_Calculs[[#This Row],[fin mois]]-MIN(Tab_Calculs[[#This Row],[fin mois]],Tab_Calculs[[#This Row],[Date_livraison]]))</f>
        <v>#VALUE!</v>
      </c>
      <c r="N330" s="231" t="str">
        <f ca="1">IFERROR(Tab_Calculs[[#This Row],[Ratio_jour_après_livr]]+Tab_Calculs[[#This Row],[Ratio_jour_avant_livr]]+Tab_Calculs[[#This Row],[ratio_avant_debut]],"")</f>
        <v/>
      </c>
      <c r="O330" t="e">
        <f ca="1">INDEX(INDIRECT(CONCATENATE("Tab_",Tab_Calculs[[#This Row],[Colonne1]])),Tab_Calculs[[#This Row],[index_date_livraison]]-1,7)*(MAX(Tab_Calculs[[#This Row],[Début periode livraison]],Tab_Calculs[[#This Row],[Début mois]])-Tab_Calculs[[#This Row],[Début mois]])</f>
        <v>#VALUE!</v>
      </c>
      <c r="P330" t="e">
        <f ca="1">INDEX(INDIRECT(CONCATENATE("Tab_",Tab_Calculs[[#This Row],[Colonne1]])),Tab_Calculs[[#This Row],[index_date_livraison]],7)*(1+MIN(Tab_Calculs[[#This Row],[Date_livraison]],Tab_Calculs[[#This Row],[fin mois]])-MAX(Tab_Calculs[[#This Row],[Début mois]],Tab_Calculs[[#This Row],[Début periode livraison]]))</f>
        <v>#NUM!</v>
      </c>
      <c r="Q330" t="e">
        <f ca="1">INDEX(INDIRECT(CONCATENATE("Tab_",Tab_Calculs[[#This Row],[Colonne1]])),Tab_Calculs[[#This Row],[index_date_livraison]]+1,7)*(Tab_Calculs[[#This Row],[fin mois]]-MIN(Tab_Calculs[[#This Row],[fin mois]],Tab_Calculs[[#This Row],[Date_livraison]]))</f>
        <v>#VALUE!</v>
      </c>
      <c r="R330" t="e">
        <f ca="1">Tab_Calculs[[#This Row],[Ratio_Cout_après_livr]]+Tab_Calculs[[#This Row],[Ratio_Cout_avant_livr]]+Tab_Calculs[[#This Row],[Ratio_Cout_avant_debut]]</f>
        <v>#VALUE!</v>
      </c>
      <c r="S330" t="str">
        <f ca="1">IFERROR(N330*VLOOKUP(Tab_Calculs[[#This Row],[Colonne1]],Controle_des_données!$B$7:$G$14,6,FALSE),"")</f>
        <v/>
      </c>
      <c r="T330" t="str">
        <f ca="1">IF(Tab_Calculs[[#This Row],[Combustible ]]="Electricité (kWh)",Tab_Calculs[[#This Row],[Conso_mois_kWh]]*2.3,Tab_Calculs[[#This Row],[Conso_mois_kWh]])</f>
        <v/>
      </c>
      <c r="U330" t="str">
        <f ca="1">IFERROR(N330*VLOOKUP(Tab_Calculs[[#This Row],[Colonne1]],Controle_des_données!$B$7:$H$14,7,FALSE),"")</f>
        <v/>
      </c>
      <c r="V330">
        <f ca="1">IFERROR(Tab_Calculs[[#This Row],[Cout_mois]]/Tab_Calculs[[#This Row],[Conso_mois_kWh]],0)</f>
        <v>0</v>
      </c>
      <c r="W330" t="str">
        <f>T(VLOOKUP(Tab_Calculs[[#This Row],[Compteur]],Site!$B$33:$G$40,3,FALSE))</f>
        <v/>
      </c>
      <c r="X330" t="str">
        <f>T(VLOOKUP(Tab_Calculs[[#This Row],[Compteur]],Site!$B$33:$G$40,4,FALSE))</f>
        <v/>
      </c>
      <c r="Y330" t="str">
        <f>T(VLOOKUP(Tab_Calculs[[#This Row],[Compteur]],Site!$B$33:$G$40,5,FALSE))</f>
        <v/>
      </c>
      <c r="Z330" t="str">
        <f>T(VLOOKUP(Tab_Calculs[[#This Row],[Compteur]],Site!$B$33:$G$40,6,FALSE))</f>
        <v/>
      </c>
      <c r="AA330">
        <f>IFERROR(GETPIVOTDATA("DJU(chauffagiste)",BDD_DJU!$P$13,"annee",Tab_Calculs[[#This Row],[ANNEE]],"mois_numero",Tab_Calculs[[#This Row],[MOIS]]),0)</f>
        <v>159.30000000000001</v>
      </c>
    </row>
    <row r="331" spans="1:27" x14ac:dyDescent="0.25">
      <c r="A331" s="3">
        <f>DATE(Tab_Calculs[[#This Row],[ANNEE]],Tab_Calculs[[#This Row],[MOIS]],1)</f>
        <v>44136</v>
      </c>
      <c r="B331" s="3">
        <f>EDATE(Tab_Calculs[[#This Row],[Début mois]],1)-1</f>
        <v>44165</v>
      </c>
      <c r="C331">
        <f t="shared" si="8"/>
        <v>11</v>
      </c>
      <c r="D331">
        <f t="shared" si="9"/>
        <v>2020</v>
      </c>
      <c r="E331" t="s">
        <v>81</v>
      </c>
      <c r="F331" t="str">
        <f>SUBSTITUTE(Tab_Calculs[[#This Row],[Compteur]]," ","_")</f>
        <v>Compteur_2</v>
      </c>
      <c r="G331" t="str">
        <f>T(INDEX(Site!$B$33:$G$40, MATCH(Tab_Calculs[[#This Row],[Compteur]], Site!$B$33:$B$40,0),2))</f>
        <v/>
      </c>
      <c r="H331" s="3">
        <f t="array" aca="1" ref="H331" ca="1">MIN(IF(INDIRECT(CONCATENATE(Tab_Calculs[[#This Row],[Colonne1]],"!$B$2:$B$243"))&gt;=Calculs_Consos!$A331,INDIRECT(CONCATENATE(Tab_Calculs[[#This Row],[Colonne1]],"!$B$2:$B$243"))))</f>
        <v>0</v>
      </c>
      <c r="I331" s="3" t="e">
        <f ca="1">INDEX(INDIRECT(CONCATENATE("Tab_",Tab_Calculs[[#This Row],[Colonne1]])),Tab_Calculs[[#This Row],[index_date_livraison]],1)</f>
        <v>#NUM!</v>
      </c>
      <c r="J331">
        <f ca="1">MATCH(Tab_Calculs[[#This Row],[Date_livraison]],INDIRECT(CONCATENATE("Tab_",Tab_Calculs[[#This Row],[Colonne1]],"[Fin de période]")),0)</f>
        <v>1</v>
      </c>
      <c r="K331" t="e">
        <f ca="1">INDEX(INDIRECT(CONCATENATE("Tab_",Tab_Calculs[[#This Row],[Colonne1]])),Tab_Calculs[[#This Row],[index_date_livraison]]-1,6)*(MAX(Tab_Calculs[[#This Row],[Début periode livraison]],Tab_Calculs[[#This Row],[Début mois]])-Tab_Calculs[[#This Row],[Début mois]])</f>
        <v>#VALUE!</v>
      </c>
      <c r="L331" s="94" t="e">
        <f ca="1">INDEX(INDIRECT(CONCATENATE("Tab_",Tab_Calculs[[#This Row],[Colonne1]])),Tab_Calculs[[#This Row],[index_date_livraison]],6)*(1+MIN(Tab_Calculs[[#This Row],[Date_livraison]],Tab_Calculs[[#This Row],[fin mois]])-MAX(Tab_Calculs[[#This Row],[Début mois]],Tab_Calculs[[#This Row],[Début periode livraison]]))</f>
        <v>#NUM!</v>
      </c>
      <c r="M331" s="94" t="e">
        <f ca="1">INDEX(INDIRECT(CONCATENATE("Tab_",Tab_Calculs[[#This Row],[Colonne1]])),Tab_Calculs[[#This Row],[index_date_livraison]]+1,6)*(Tab_Calculs[[#This Row],[fin mois]]-MIN(Tab_Calculs[[#This Row],[fin mois]],Tab_Calculs[[#This Row],[Date_livraison]]))</f>
        <v>#VALUE!</v>
      </c>
      <c r="N331" s="231" t="str">
        <f ca="1">IFERROR(Tab_Calculs[[#This Row],[Ratio_jour_après_livr]]+Tab_Calculs[[#This Row],[Ratio_jour_avant_livr]]+Tab_Calculs[[#This Row],[ratio_avant_debut]],"")</f>
        <v/>
      </c>
      <c r="O331" t="e">
        <f ca="1">INDEX(INDIRECT(CONCATENATE("Tab_",Tab_Calculs[[#This Row],[Colonne1]])),Tab_Calculs[[#This Row],[index_date_livraison]]-1,7)*(MAX(Tab_Calculs[[#This Row],[Début periode livraison]],Tab_Calculs[[#This Row],[Début mois]])-Tab_Calculs[[#This Row],[Début mois]])</f>
        <v>#VALUE!</v>
      </c>
      <c r="P331" t="e">
        <f ca="1">INDEX(INDIRECT(CONCATENATE("Tab_",Tab_Calculs[[#This Row],[Colonne1]])),Tab_Calculs[[#This Row],[index_date_livraison]],7)*(1+MIN(Tab_Calculs[[#This Row],[Date_livraison]],Tab_Calculs[[#This Row],[fin mois]])-MAX(Tab_Calculs[[#This Row],[Début mois]],Tab_Calculs[[#This Row],[Début periode livraison]]))</f>
        <v>#NUM!</v>
      </c>
      <c r="Q331" t="e">
        <f ca="1">INDEX(INDIRECT(CONCATENATE("Tab_",Tab_Calculs[[#This Row],[Colonne1]])),Tab_Calculs[[#This Row],[index_date_livraison]]+1,7)*(Tab_Calculs[[#This Row],[fin mois]]-MIN(Tab_Calculs[[#This Row],[fin mois]],Tab_Calculs[[#This Row],[Date_livraison]]))</f>
        <v>#VALUE!</v>
      </c>
      <c r="R331" t="e">
        <f ca="1">Tab_Calculs[[#This Row],[Ratio_Cout_après_livr]]+Tab_Calculs[[#This Row],[Ratio_Cout_avant_livr]]+Tab_Calculs[[#This Row],[Ratio_Cout_avant_debut]]</f>
        <v>#VALUE!</v>
      </c>
      <c r="S331" t="str">
        <f ca="1">IFERROR(N331*VLOOKUP(Tab_Calculs[[#This Row],[Colonne1]],Controle_des_données!$B$7:$G$14,6,FALSE),"")</f>
        <v/>
      </c>
      <c r="T331" t="str">
        <f ca="1">IF(Tab_Calculs[[#This Row],[Combustible ]]="Electricité (kWh)",Tab_Calculs[[#This Row],[Conso_mois_kWh]]*2.3,Tab_Calculs[[#This Row],[Conso_mois_kWh]])</f>
        <v/>
      </c>
      <c r="U331" t="str">
        <f ca="1">IFERROR(N331*VLOOKUP(Tab_Calculs[[#This Row],[Colonne1]],Controle_des_données!$B$7:$H$14,7,FALSE),"")</f>
        <v/>
      </c>
      <c r="V331">
        <f ca="1">IFERROR(Tab_Calculs[[#This Row],[Cout_mois]]/Tab_Calculs[[#This Row],[Conso_mois_kWh]],0)</f>
        <v>0</v>
      </c>
      <c r="W331" t="str">
        <f>T(VLOOKUP(Tab_Calculs[[#This Row],[Compteur]],Site!$B$33:$G$40,3,FALSE))</f>
        <v/>
      </c>
      <c r="X331" t="str">
        <f>T(VLOOKUP(Tab_Calculs[[#This Row],[Compteur]],Site!$B$33:$G$40,4,FALSE))</f>
        <v/>
      </c>
      <c r="Y331" t="str">
        <f>T(VLOOKUP(Tab_Calculs[[#This Row],[Compteur]],Site!$B$33:$G$40,5,FALSE))</f>
        <v/>
      </c>
      <c r="Z331" t="str">
        <f>T(VLOOKUP(Tab_Calculs[[#This Row],[Compteur]],Site!$B$33:$G$40,6,FALSE))</f>
        <v/>
      </c>
      <c r="AA331">
        <f>IFERROR(GETPIVOTDATA("DJU(chauffagiste)",BDD_DJU!$P$13,"annee",Tab_Calculs[[#This Row],[ANNEE]],"mois_numero",Tab_Calculs[[#This Row],[MOIS]]),0)</f>
        <v>237.3</v>
      </c>
    </row>
    <row r="332" spans="1:27" x14ac:dyDescent="0.25">
      <c r="A332" s="3">
        <f>DATE(Tab_Calculs[[#This Row],[ANNEE]],Tab_Calculs[[#This Row],[MOIS]],1)</f>
        <v>44166</v>
      </c>
      <c r="B332" s="3">
        <f>EDATE(Tab_Calculs[[#This Row],[Début mois]],1)-1</f>
        <v>44196</v>
      </c>
      <c r="C332">
        <f t="shared" si="8"/>
        <v>12</v>
      </c>
      <c r="D332">
        <f t="shared" si="9"/>
        <v>2020</v>
      </c>
      <c r="E332" t="s">
        <v>81</v>
      </c>
      <c r="F332" t="str">
        <f>SUBSTITUTE(Tab_Calculs[[#This Row],[Compteur]]," ","_")</f>
        <v>Compteur_2</v>
      </c>
      <c r="G332" t="str">
        <f>T(INDEX(Site!$B$33:$G$40, MATCH(Tab_Calculs[[#This Row],[Compteur]], Site!$B$33:$B$40,0),2))</f>
        <v/>
      </c>
      <c r="H332" s="3">
        <f t="array" aca="1" ref="H332" ca="1">MIN(IF(INDIRECT(CONCATENATE(Tab_Calculs[[#This Row],[Colonne1]],"!$B$2:$B$243"))&gt;=Calculs_Consos!$A332,INDIRECT(CONCATENATE(Tab_Calculs[[#This Row],[Colonne1]],"!$B$2:$B$243"))))</f>
        <v>0</v>
      </c>
      <c r="I332" s="3" t="e">
        <f ca="1">INDEX(INDIRECT(CONCATENATE("Tab_",Tab_Calculs[[#This Row],[Colonne1]])),Tab_Calculs[[#This Row],[index_date_livraison]],1)</f>
        <v>#NUM!</v>
      </c>
      <c r="J332">
        <f ca="1">MATCH(Tab_Calculs[[#This Row],[Date_livraison]],INDIRECT(CONCATENATE("Tab_",Tab_Calculs[[#This Row],[Colonne1]],"[Fin de période]")),0)</f>
        <v>1</v>
      </c>
      <c r="K332" t="e">
        <f ca="1">INDEX(INDIRECT(CONCATENATE("Tab_",Tab_Calculs[[#This Row],[Colonne1]])),Tab_Calculs[[#This Row],[index_date_livraison]]-1,6)*(MAX(Tab_Calculs[[#This Row],[Début periode livraison]],Tab_Calculs[[#This Row],[Début mois]])-Tab_Calculs[[#This Row],[Début mois]])</f>
        <v>#VALUE!</v>
      </c>
      <c r="L332" s="94" t="e">
        <f ca="1">INDEX(INDIRECT(CONCATENATE("Tab_",Tab_Calculs[[#This Row],[Colonne1]])),Tab_Calculs[[#This Row],[index_date_livraison]],6)*(1+MIN(Tab_Calculs[[#This Row],[Date_livraison]],Tab_Calculs[[#This Row],[fin mois]])-MAX(Tab_Calculs[[#This Row],[Début mois]],Tab_Calculs[[#This Row],[Début periode livraison]]))</f>
        <v>#NUM!</v>
      </c>
      <c r="M332" s="94" t="e">
        <f ca="1">INDEX(INDIRECT(CONCATENATE("Tab_",Tab_Calculs[[#This Row],[Colonne1]])),Tab_Calculs[[#This Row],[index_date_livraison]]+1,6)*(Tab_Calculs[[#This Row],[fin mois]]-MIN(Tab_Calculs[[#This Row],[fin mois]],Tab_Calculs[[#This Row],[Date_livraison]]))</f>
        <v>#VALUE!</v>
      </c>
      <c r="N332" s="231" t="str">
        <f ca="1">IFERROR(Tab_Calculs[[#This Row],[Ratio_jour_après_livr]]+Tab_Calculs[[#This Row],[Ratio_jour_avant_livr]]+Tab_Calculs[[#This Row],[ratio_avant_debut]],"")</f>
        <v/>
      </c>
      <c r="O332" t="e">
        <f ca="1">INDEX(INDIRECT(CONCATENATE("Tab_",Tab_Calculs[[#This Row],[Colonne1]])),Tab_Calculs[[#This Row],[index_date_livraison]]-1,7)*(MAX(Tab_Calculs[[#This Row],[Début periode livraison]],Tab_Calculs[[#This Row],[Début mois]])-Tab_Calculs[[#This Row],[Début mois]])</f>
        <v>#VALUE!</v>
      </c>
      <c r="P332" t="e">
        <f ca="1">INDEX(INDIRECT(CONCATENATE("Tab_",Tab_Calculs[[#This Row],[Colonne1]])),Tab_Calculs[[#This Row],[index_date_livraison]],7)*(1+MIN(Tab_Calculs[[#This Row],[Date_livraison]],Tab_Calculs[[#This Row],[fin mois]])-MAX(Tab_Calculs[[#This Row],[Début mois]],Tab_Calculs[[#This Row],[Début periode livraison]]))</f>
        <v>#NUM!</v>
      </c>
      <c r="Q332" t="e">
        <f ca="1">INDEX(INDIRECT(CONCATENATE("Tab_",Tab_Calculs[[#This Row],[Colonne1]])),Tab_Calculs[[#This Row],[index_date_livraison]]+1,7)*(Tab_Calculs[[#This Row],[fin mois]]-MIN(Tab_Calculs[[#This Row],[fin mois]],Tab_Calculs[[#This Row],[Date_livraison]]))</f>
        <v>#VALUE!</v>
      </c>
      <c r="R332" t="e">
        <f ca="1">Tab_Calculs[[#This Row],[Ratio_Cout_après_livr]]+Tab_Calculs[[#This Row],[Ratio_Cout_avant_livr]]+Tab_Calculs[[#This Row],[Ratio_Cout_avant_debut]]</f>
        <v>#VALUE!</v>
      </c>
      <c r="S332" t="str">
        <f ca="1">IFERROR(N332*VLOOKUP(Tab_Calculs[[#This Row],[Colonne1]],Controle_des_données!$B$7:$G$14,6,FALSE),"")</f>
        <v/>
      </c>
      <c r="T332" t="str">
        <f ca="1">IF(Tab_Calculs[[#This Row],[Combustible ]]="Electricité (kWh)",Tab_Calculs[[#This Row],[Conso_mois_kWh]]*2.3,Tab_Calculs[[#This Row],[Conso_mois_kWh]])</f>
        <v/>
      </c>
      <c r="U332" t="str">
        <f ca="1">IFERROR(N332*VLOOKUP(Tab_Calculs[[#This Row],[Colonne1]],Controle_des_données!$B$7:$H$14,7,FALSE),"")</f>
        <v/>
      </c>
      <c r="V332">
        <f ca="1">IFERROR(Tab_Calculs[[#This Row],[Cout_mois]]/Tab_Calculs[[#This Row],[Conso_mois_kWh]],0)</f>
        <v>0</v>
      </c>
      <c r="W332" t="str">
        <f>T(VLOOKUP(Tab_Calculs[[#This Row],[Compteur]],Site!$B$33:$G$40,3,FALSE))</f>
        <v/>
      </c>
      <c r="X332" t="str">
        <f>T(VLOOKUP(Tab_Calculs[[#This Row],[Compteur]],Site!$B$33:$G$40,4,FALSE))</f>
        <v/>
      </c>
      <c r="Y332" t="str">
        <f>T(VLOOKUP(Tab_Calculs[[#This Row],[Compteur]],Site!$B$33:$G$40,5,FALSE))</f>
        <v/>
      </c>
      <c r="Z332" t="str">
        <f>T(VLOOKUP(Tab_Calculs[[#This Row],[Compteur]],Site!$B$33:$G$40,6,FALSE))</f>
        <v/>
      </c>
      <c r="AA332">
        <f>IFERROR(GETPIVOTDATA("DJU(chauffagiste)",BDD_DJU!$P$13,"annee",Tab_Calculs[[#This Row],[ANNEE]],"mois_numero",Tab_Calculs[[#This Row],[MOIS]]),0)</f>
        <v>334.4</v>
      </c>
    </row>
    <row r="333" spans="1:27" x14ac:dyDescent="0.25">
      <c r="A333" s="3">
        <f>DATE(Tab_Calculs[[#This Row],[ANNEE]],Tab_Calculs[[#This Row],[MOIS]],1)</f>
        <v>44197</v>
      </c>
      <c r="B333" s="3">
        <f>EDATE(Tab_Calculs[[#This Row],[Début mois]],1)-1</f>
        <v>44227</v>
      </c>
      <c r="C333">
        <f t="shared" si="8"/>
        <v>1</v>
      </c>
      <c r="D333">
        <f t="shared" si="9"/>
        <v>2021</v>
      </c>
      <c r="E333" t="s">
        <v>81</v>
      </c>
      <c r="F333" t="str">
        <f>SUBSTITUTE(Tab_Calculs[[#This Row],[Compteur]]," ","_")</f>
        <v>Compteur_2</v>
      </c>
      <c r="G333" t="str">
        <f>T(INDEX(Site!$B$33:$G$40, MATCH(Tab_Calculs[[#This Row],[Compteur]], Site!$B$33:$B$40,0),2))</f>
        <v/>
      </c>
      <c r="H333" s="3">
        <f t="array" aca="1" ref="H333" ca="1">MIN(IF(INDIRECT(CONCATENATE(Tab_Calculs[[#This Row],[Colonne1]],"!$B$2:$B$243"))&gt;=Calculs_Consos!$A333,INDIRECT(CONCATENATE(Tab_Calculs[[#This Row],[Colonne1]],"!$B$2:$B$243"))))</f>
        <v>0</v>
      </c>
      <c r="I333" s="3" t="e">
        <f ca="1">INDEX(INDIRECT(CONCATENATE("Tab_",Tab_Calculs[[#This Row],[Colonne1]])),Tab_Calculs[[#This Row],[index_date_livraison]],1)</f>
        <v>#NUM!</v>
      </c>
      <c r="J333">
        <f ca="1">MATCH(Tab_Calculs[[#This Row],[Date_livraison]],INDIRECT(CONCATENATE("Tab_",Tab_Calculs[[#This Row],[Colonne1]],"[Fin de période]")),0)</f>
        <v>1</v>
      </c>
      <c r="K333" t="e">
        <f ca="1">INDEX(INDIRECT(CONCATENATE("Tab_",Tab_Calculs[[#This Row],[Colonne1]])),Tab_Calculs[[#This Row],[index_date_livraison]]-1,6)*(MAX(Tab_Calculs[[#This Row],[Début periode livraison]],Tab_Calculs[[#This Row],[Début mois]])-Tab_Calculs[[#This Row],[Début mois]])</f>
        <v>#VALUE!</v>
      </c>
      <c r="L333" s="94" t="e">
        <f ca="1">INDEX(INDIRECT(CONCATENATE("Tab_",Tab_Calculs[[#This Row],[Colonne1]])),Tab_Calculs[[#This Row],[index_date_livraison]],6)*(1+MIN(Tab_Calculs[[#This Row],[Date_livraison]],Tab_Calculs[[#This Row],[fin mois]])-MAX(Tab_Calculs[[#This Row],[Début mois]],Tab_Calculs[[#This Row],[Début periode livraison]]))</f>
        <v>#NUM!</v>
      </c>
      <c r="M333" s="94" t="e">
        <f ca="1">INDEX(INDIRECT(CONCATENATE("Tab_",Tab_Calculs[[#This Row],[Colonne1]])),Tab_Calculs[[#This Row],[index_date_livraison]]+1,6)*(Tab_Calculs[[#This Row],[fin mois]]-MIN(Tab_Calculs[[#This Row],[fin mois]],Tab_Calculs[[#This Row],[Date_livraison]]))</f>
        <v>#VALUE!</v>
      </c>
      <c r="N333" s="231" t="str">
        <f ca="1">IFERROR(Tab_Calculs[[#This Row],[Ratio_jour_après_livr]]+Tab_Calculs[[#This Row],[Ratio_jour_avant_livr]]+Tab_Calculs[[#This Row],[ratio_avant_debut]],"")</f>
        <v/>
      </c>
      <c r="O333" t="e">
        <f ca="1">INDEX(INDIRECT(CONCATENATE("Tab_",Tab_Calculs[[#This Row],[Colonne1]])),Tab_Calculs[[#This Row],[index_date_livraison]]-1,7)*(MAX(Tab_Calculs[[#This Row],[Début periode livraison]],Tab_Calculs[[#This Row],[Début mois]])-Tab_Calculs[[#This Row],[Début mois]])</f>
        <v>#VALUE!</v>
      </c>
      <c r="P333" t="e">
        <f ca="1">INDEX(INDIRECT(CONCATENATE("Tab_",Tab_Calculs[[#This Row],[Colonne1]])),Tab_Calculs[[#This Row],[index_date_livraison]],7)*(1+MIN(Tab_Calculs[[#This Row],[Date_livraison]],Tab_Calculs[[#This Row],[fin mois]])-MAX(Tab_Calculs[[#This Row],[Début mois]],Tab_Calculs[[#This Row],[Début periode livraison]]))</f>
        <v>#NUM!</v>
      </c>
      <c r="Q333" t="e">
        <f ca="1">INDEX(INDIRECT(CONCATENATE("Tab_",Tab_Calculs[[#This Row],[Colonne1]])),Tab_Calculs[[#This Row],[index_date_livraison]]+1,7)*(Tab_Calculs[[#This Row],[fin mois]]-MIN(Tab_Calculs[[#This Row],[fin mois]],Tab_Calculs[[#This Row],[Date_livraison]]))</f>
        <v>#VALUE!</v>
      </c>
      <c r="R333" t="e">
        <f ca="1">Tab_Calculs[[#This Row],[Ratio_Cout_après_livr]]+Tab_Calculs[[#This Row],[Ratio_Cout_avant_livr]]+Tab_Calculs[[#This Row],[Ratio_Cout_avant_debut]]</f>
        <v>#VALUE!</v>
      </c>
      <c r="S333" t="str">
        <f ca="1">IFERROR(N333*VLOOKUP(Tab_Calculs[[#This Row],[Colonne1]],Controle_des_données!$B$7:$G$14,6,FALSE),"")</f>
        <v/>
      </c>
      <c r="T333" t="str">
        <f ca="1">IF(Tab_Calculs[[#This Row],[Combustible ]]="Electricité (kWh)",Tab_Calculs[[#This Row],[Conso_mois_kWh]]*2.3,Tab_Calculs[[#This Row],[Conso_mois_kWh]])</f>
        <v/>
      </c>
      <c r="U333" t="str">
        <f ca="1">IFERROR(N333*VLOOKUP(Tab_Calculs[[#This Row],[Colonne1]],Controle_des_données!$B$7:$H$14,7,FALSE),"")</f>
        <v/>
      </c>
      <c r="V333">
        <f ca="1">IFERROR(Tab_Calculs[[#This Row],[Cout_mois]]/Tab_Calculs[[#This Row],[Conso_mois_kWh]],0)</f>
        <v>0</v>
      </c>
      <c r="W333" t="str">
        <f>T(VLOOKUP(Tab_Calculs[[#This Row],[Compteur]],Site!$B$33:$G$40,3,FALSE))</f>
        <v/>
      </c>
      <c r="X333" t="str">
        <f>T(VLOOKUP(Tab_Calculs[[#This Row],[Compteur]],Site!$B$33:$G$40,4,FALSE))</f>
        <v/>
      </c>
      <c r="Y333" t="str">
        <f>T(VLOOKUP(Tab_Calculs[[#This Row],[Compteur]],Site!$B$33:$G$40,5,FALSE))</f>
        <v/>
      </c>
      <c r="Z333" t="str">
        <f>T(VLOOKUP(Tab_Calculs[[#This Row],[Compteur]],Site!$B$33:$G$40,6,FALSE))</f>
        <v/>
      </c>
      <c r="AA333">
        <f>IFERROR(GETPIVOTDATA("DJU(chauffagiste)",BDD_DJU!$P$13,"annee",Tab_Calculs[[#This Row],[ANNEE]],"mois_numero",Tab_Calculs[[#This Row],[MOIS]]),0)</f>
        <v>380.1</v>
      </c>
    </row>
    <row r="334" spans="1:27" x14ac:dyDescent="0.25">
      <c r="A334" s="3">
        <f>DATE(Tab_Calculs[[#This Row],[ANNEE]],Tab_Calculs[[#This Row],[MOIS]],1)</f>
        <v>44228</v>
      </c>
      <c r="B334" s="3">
        <f>EDATE(Tab_Calculs[[#This Row],[Début mois]],1)-1</f>
        <v>44255</v>
      </c>
      <c r="C334">
        <f t="shared" si="8"/>
        <v>2</v>
      </c>
      <c r="D334">
        <f t="shared" si="9"/>
        <v>2021</v>
      </c>
      <c r="E334" t="s">
        <v>81</v>
      </c>
      <c r="F334" t="str">
        <f>SUBSTITUTE(Tab_Calculs[[#This Row],[Compteur]]," ","_")</f>
        <v>Compteur_2</v>
      </c>
      <c r="G334" t="str">
        <f>T(INDEX(Site!$B$33:$G$40, MATCH(Tab_Calculs[[#This Row],[Compteur]], Site!$B$33:$B$40,0),2))</f>
        <v/>
      </c>
      <c r="H334" s="3">
        <f t="array" aca="1" ref="H334" ca="1">MIN(IF(INDIRECT(CONCATENATE(Tab_Calculs[[#This Row],[Colonne1]],"!$B$2:$B$243"))&gt;=Calculs_Consos!$A334,INDIRECT(CONCATENATE(Tab_Calculs[[#This Row],[Colonne1]],"!$B$2:$B$243"))))</f>
        <v>0</v>
      </c>
      <c r="I334" s="3" t="e">
        <f ca="1">INDEX(INDIRECT(CONCATENATE("Tab_",Tab_Calculs[[#This Row],[Colonne1]])),Tab_Calculs[[#This Row],[index_date_livraison]],1)</f>
        <v>#NUM!</v>
      </c>
      <c r="J334">
        <f ca="1">MATCH(Tab_Calculs[[#This Row],[Date_livraison]],INDIRECT(CONCATENATE("Tab_",Tab_Calculs[[#This Row],[Colonne1]],"[Fin de période]")),0)</f>
        <v>1</v>
      </c>
      <c r="K334" t="e">
        <f ca="1">INDEX(INDIRECT(CONCATENATE("Tab_",Tab_Calculs[[#This Row],[Colonne1]])),Tab_Calculs[[#This Row],[index_date_livraison]]-1,6)*(MAX(Tab_Calculs[[#This Row],[Début periode livraison]],Tab_Calculs[[#This Row],[Début mois]])-Tab_Calculs[[#This Row],[Début mois]])</f>
        <v>#VALUE!</v>
      </c>
      <c r="L334" s="94" t="e">
        <f ca="1">INDEX(INDIRECT(CONCATENATE("Tab_",Tab_Calculs[[#This Row],[Colonne1]])),Tab_Calculs[[#This Row],[index_date_livraison]],6)*(1+MIN(Tab_Calculs[[#This Row],[Date_livraison]],Tab_Calculs[[#This Row],[fin mois]])-MAX(Tab_Calculs[[#This Row],[Début mois]],Tab_Calculs[[#This Row],[Début periode livraison]]))</f>
        <v>#NUM!</v>
      </c>
      <c r="M334" s="94" t="e">
        <f ca="1">INDEX(INDIRECT(CONCATENATE("Tab_",Tab_Calculs[[#This Row],[Colonne1]])),Tab_Calculs[[#This Row],[index_date_livraison]]+1,6)*(Tab_Calculs[[#This Row],[fin mois]]-MIN(Tab_Calculs[[#This Row],[fin mois]],Tab_Calculs[[#This Row],[Date_livraison]]))</f>
        <v>#VALUE!</v>
      </c>
      <c r="N334" s="231" t="str">
        <f ca="1">IFERROR(Tab_Calculs[[#This Row],[Ratio_jour_après_livr]]+Tab_Calculs[[#This Row],[Ratio_jour_avant_livr]]+Tab_Calculs[[#This Row],[ratio_avant_debut]],"")</f>
        <v/>
      </c>
      <c r="O334" t="e">
        <f ca="1">INDEX(INDIRECT(CONCATENATE("Tab_",Tab_Calculs[[#This Row],[Colonne1]])),Tab_Calculs[[#This Row],[index_date_livraison]]-1,7)*(MAX(Tab_Calculs[[#This Row],[Début periode livraison]],Tab_Calculs[[#This Row],[Début mois]])-Tab_Calculs[[#This Row],[Début mois]])</f>
        <v>#VALUE!</v>
      </c>
      <c r="P334" t="e">
        <f ca="1">INDEX(INDIRECT(CONCATENATE("Tab_",Tab_Calculs[[#This Row],[Colonne1]])),Tab_Calculs[[#This Row],[index_date_livraison]],7)*(1+MIN(Tab_Calculs[[#This Row],[Date_livraison]],Tab_Calculs[[#This Row],[fin mois]])-MAX(Tab_Calculs[[#This Row],[Début mois]],Tab_Calculs[[#This Row],[Début periode livraison]]))</f>
        <v>#NUM!</v>
      </c>
      <c r="Q334" t="e">
        <f ca="1">INDEX(INDIRECT(CONCATENATE("Tab_",Tab_Calculs[[#This Row],[Colonne1]])),Tab_Calculs[[#This Row],[index_date_livraison]]+1,7)*(Tab_Calculs[[#This Row],[fin mois]]-MIN(Tab_Calculs[[#This Row],[fin mois]],Tab_Calculs[[#This Row],[Date_livraison]]))</f>
        <v>#VALUE!</v>
      </c>
      <c r="R334" t="e">
        <f ca="1">Tab_Calculs[[#This Row],[Ratio_Cout_après_livr]]+Tab_Calculs[[#This Row],[Ratio_Cout_avant_livr]]+Tab_Calculs[[#This Row],[Ratio_Cout_avant_debut]]</f>
        <v>#VALUE!</v>
      </c>
      <c r="S334" t="str">
        <f ca="1">IFERROR(N334*VLOOKUP(Tab_Calculs[[#This Row],[Colonne1]],Controle_des_données!$B$7:$G$14,6,FALSE),"")</f>
        <v/>
      </c>
      <c r="T334" t="str">
        <f ca="1">IF(Tab_Calculs[[#This Row],[Combustible ]]="Electricité (kWh)",Tab_Calculs[[#This Row],[Conso_mois_kWh]]*2.3,Tab_Calculs[[#This Row],[Conso_mois_kWh]])</f>
        <v/>
      </c>
      <c r="U334" t="str">
        <f ca="1">IFERROR(N334*VLOOKUP(Tab_Calculs[[#This Row],[Colonne1]],Controle_des_données!$B$7:$H$14,7,FALSE),"")</f>
        <v/>
      </c>
      <c r="V334">
        <f ca="1">IFERROR(Tab_Calculs[[#This Row],[Cout_mois]]/Tab_Calculs[[#This Row],[Conso_mois_kWh]],0)</f>
        <v>0</v>
      </c>
      <c r="W334" t="str">
        <f>T(VLOOKUP(Tab_Calculs[[#This Row],[Compteur]],Site!$B$33:$G$40,3,FALSE))</f>
        <v/>
      </c>
      <c r="X334" t="str">
        <f>T(VLOOKUP(Tab_Calculs[[#This Row],[Compteur]],Site!$B$33:$G$40,4,FALSE))</f>
        <v/>
      </c>
      <c r="Y334" t="str">
        <f>T(VLOOKUP(Tab_Calculs[[#This Row],[Compteur]],Site!$B$33:$G$40,5,FALSE))</f>
        <v/>
      </c>
      <c r="Z334" t="str">
        <f>T(VLOOKUP(Tab_Calculs[[#This Row],[Compteur]],Site!$B$33:$G$40,6,FALSE))</f>
        <v/>
      </c>
      <c r="AA334">
        <f>IFERROR(GETPIVOTDATA("DJU(chauffagiste)",BDD_DJU!$P$13,"annee",Tab_Calculs[[#This Row],[ANNEE]],"mois_numero",Tab_Calculs[[#This Row],[MOIS]]),0)</f>
        <v>299.5</v>
      </c>
    </row>
    <row r="335" spans="1:27" x14ac:dyDescent="0.25">
      <c r="A335" s="3">
        <f>DATE(Tab_Calculs[[#This Row],[ANNEE]],Tab_Calculs[[#This Row],[MOIS]],1)</f>
        <v>44256</v>
      </c>
      <c r="B335" s="3">
        <f>EDATE(Tab_Calculs[[#This Row],[Début mois]],1)-1</f>
        <v>44286</v>
      </c>
      <c r="C335">
        <f t="shared" si="8"/>
        <v>3</v>
      </c>
      <c r="D335">
        <f t="shared" si="9"/>
        <v>2021</v>
      </c>
      <c r="E335" t="s">
        <v>81</v>
      </c>
      <c r="F335" t="str">
        <f>SUBSTITUTE(Tab_Calculs[[#This Row],[Compteur]]," ","_")</f>
        <v>Compteur_2</v>
      </c>
      <c r="G335" t="str">
        <f>T(INDEX(Site!$B$33:$G$40, MATCH(Tab_Calculs[[#This Row],[Compteur]], Site!$B$33:$B$40,0),2))</f>
        <v/>
      </c>
      <c r="H335" s="3">
        <f t="array" aca="1" ref="H335" ca="1">MIN(IF(INDIRECT(CONCATENATE(Tab_Calculs[[#This Row],[Colonne1]],"!$B$2:$B$243"))&gt;=Calculs_Consos!$A335,INDIRECT(CONCATENATE(Tab_Calculs[[#This Row],[Colonne1]],"!$B$2:$B$243"))))</f>
        <v>0</v>
      </c>
      <c r="I335" s="3" t="e">
        <f ca="1">INDEX(INDIRECT(CONCATENATE("Tab_",Tab_Calculs[[#This Row],[Colonne1]])),Tab_Calculs[[#This Row],[index_date_livraison]],1)</f>
        <v>#NUM!</v>
      </c>
      <c r="J335">
        <f ca="1">MATCH(Tab_Calculs[[#This Row],[Date_livraison]],INDIRECT(CONCATENATE("Tab_",Tab_Calculs[[#This Row],[Colonne1]],"[Fin de période]")),0)</f>
        <v>1</v>
      </c>
      <c r="K335" t="e">
        <f ca="1">INDEX(INDIRECT(CONCATENATE("Tab_",Tab_Calculs[[#This Row],[Colonne1]])),Tab_Calculs[[#This Row],[index_date_livraison]]-1,6)*(MAX(Tab_Calculs[[#This Row],[Début periode livraison]],Tab_Calculs[[#This Row],[Début mois]])-Tab_Calculs[[#This Row],[Début mois]])</f>
        <v>#VALUE!</v>
      </c>
      <c r="L335" s="94" t="e">
        <f ca="1">INDEX(INDIRECT(CONCATENATE("Tab_",Tab_Calculs[[#This Row],[Colonne1]])),Tab_Calculs[[#This Row],[index_date_livraison]],6)*(1+MIN(Tab_Calculs[[#This Row],[Date_livraison]],Tab_Calculs[[#This Row],[fin mois]])-MAX(Tab_Calculs[[#This Row],[Début mois]],Tab_Calculs[[#This Row],[Début periode livraison]]))</f>
        <v>#NUM!</v>
      </c>
      <c r="M335" s="94" t="e">
        <f ca="1">INDEX(INDIRECT(CONCATENATE("Tab_",Tab_Calculs[[#This Row],[Colonne1]])),Tab_Calculs[[#This Row],[index_date_livraison]]+1,6)*(Tab_Calculs[[#This Row],[fin mois]]-MIN(Tab_Calculs[[#This Row],[fin mois]],Tab_Calculs[[#This Row],[Date_livraison]]))</f>
        <v>#VALUE!</v>
      </c>
      <c r="N335" s="231" t="str">
        <f ca="1">IFERROR(Tab_Calculs[[#This Row],[Ratio_jour_après_livr]]+Tab_Calculs[[#This Row],[Ratio_jour_avant_livr]]+Tab_Calculs[[#This Row],[ratio_avant_debut]],"")</f>
        <v/>
      </c>
      <c r="O335" t="e">
        <f ca="1">INDEX(INDIRECT(CONCATENATE("Tab_",Tab_Calculs[[#This Row],[Colonne1]])),Tab_Calculs[[#This Row],[index_date_livraison]]-1,7)*(MAX(Tab_Calculs[[#This Row],[Début periode livraison]],Tab_Calculs[[#This Row],[Début mois]])-Tab_Calculs[[#This Row],[Début mois]])</f>
        <v>#VALUE!</v>
      </c>
      <c r="P335" t="e">
        <f ca="1">INDEX(INDIRECT(CONCATENATE("Tab_",Tab_Calculs[[#This Row],[Colonne1]])),Tab_Calculs[[#This Row],[index_date_livraison]],7)*(1+MIN(Tab_Calculs[[#This Row],[Date_livraison]],Tab_Calculs[[#This Row],[fin mois]])-MAX(Tab_Calculs[[#This Row],[Début mois]],Tab_Calculs[[#This Row],[Début periode livraison]]))</f>
        <v>#NUM!</v>
      </c>
      <c r="Q335" t="e">
        <f ca="1">INDEX(INDIRECT(CONCATENATE("Tab_",Tab_Calculs[[#This Row],[Colonne1]])),Tab_Calculs[[#This Row],[index_date_livraison]]+1,7)*(Tab_Calculs[[#This Row],[fin mois]]-MIN(Tab_Calculs[[#This Row],[fin mois]],Tab_Calculs[[#This Row],[Date_livraison]]))</f>
        <v>#VALUE!</v>
      </c>
      <c r="R335" t="e">
        <f ca="1">Tab_Calculs[[#This Row],[Ratio_Cout_après_livr]]+Tab_Calculs[[#This Row],[Ratio_Cout_avant_livr]]+Tab_Calculs[[#This Row],[Ratio_Cout_avant_debut]]</f>
        <v>#VALUE!</v>
      </c>
      <c r="S335" t="str">
        <f ca="1">IFERROR(N335*VLOOKUP(Tab_Calculs[[#This Row],[Colonne1]],Controle_des_données!$B$7:$G$14,6,FALSE),"")</f>
        <v/>
      </c>
      <c r="T335" t="str">
        <f ca="1">IF(Tab_Calculs[[#This Row],[Combustible ]]="Electricité (kWh)",Tab_Calculs[[#This Row],[Conso_mois_kWh]]*2.3,Tab_Calculs[[#This Row],[Conso_mois_kWh]])</f>
        <v/>
      </c>
      <c r="U335" t="str">
        <f ca="1">IFERROR(N335*VLOOKUP(Tab_Calculs[[#This Row],[Colonne1]],Controle_des_données!$B$7:$H$14,7,FALSE),"")</f>
        <v/>
      </c>
      <c r="V335">
        <f ca="1">IFERROR(Tab_Calculs[[#This Row],[Cout_mois]]/Tab_Calculs[[#This Row],[Conso_mois_kWh]],0)</f>
        <v>0</v>
      </c>
      <c r="W335" t="str">
        <f>T(VLOOKUP(Tab_Calculs[[#This Row],[Compteur]],Site!$B$33:$G$40,3,FALSE))</f>
        <v/>
      </c>
      <c r="X335" t="str">
        <f>T(VLOOKUP(Tab_Calculs[[#This Row],[Compteur]],Site!$B$33:$G$40,4,FALSE))</f>
        <v/>
      </c>
      <c r="Y335" t="str">
        <f>T(VLOOKUP(Tab_Calculs[[#This Row],[Compteur]],Site!$B$33:$G$40,5,FALSE))</f>
        <v/>
      </c>
      <c r="Z335" t="str">
        <f>T(VLOOKUP(Tab_Calculs[[#This Row],[Compteur]],Site!$B$33:$G$40,6,FALSE))</f>
        <v/>
      </c>
      <c r="AA335">
        <f>IFERROR(GETPIVOTDATA("DJU(chauffagiste)",BDD_DJU!$P$13,"annee",Tab_Calculs[[#This Row],[ANNEE]],"mois_numero",Tab_Calculs[[#This Row],[MOIS]]),0)</f>
        <v>303.89999999999998</v>
      </c>
    </row>
    <row r="336" spans="1:27" x14ac:dyDescent="0.25">
      <c r="A336" s="3">
        <f>DATE(Tab_Calculs[[#This Row],[ANNEE]],Tab_Calculs[[#This Row],[MOIS]],1)</f>
        <v>44287</v>
      </c>
      <c r="B336" s="3">
        <f>EDATE(Tab_Calculs[[#This Row],[Début mois]],1)-1</f>
        <v>44316</v>
      </c>
      <c r="C336">
        <f t="shared" si="8"/>
        <v>4</v>
      </c>
      <c r="D336">
        <f t="shared" si="9"/>
        <v>2021</v>
      </c>
      <c r="E336" t="s">
        <v>81</v>
      </c>
      <c r="F336" t="str">
        <f>SUBSTITUTE(Tab_Calculs[[#This Row],[Compteur]]," ","_")</f>
        <v>Compteur_2</v>
      </c>
      <c r="G336" t="str">
        <f>T(INDEX(Site!$B$33:$G$40, MATCH(Tab_Calculs[[#This Row],[Compteur]], Site!$B$33:$B$40,0),2))</f>
        <v/>
      </c>
      <c r="H336" s="3">
        <f t="array" aca="1" ref="H336" ca="1">MIN(IF(INDIRECT(CONCATENATE(Tab_Calculs[[#This Row],[Colonne1]],"!$B$2:$B$243"))&gt;=Calculs_Consos!$A336,INDIRECT(CONCATENATE(Tab_Calculs[[#This Row],[Colonne1]],"!$B$2:$B$243"))))</f>
        <v>0</v>
      </c>
      <c r="I336" s="3" t="e">
        <f ca="1">INDEX(INDIRECT(CONCATENATE("Tab_",Tab_Calculs[[#This Row],[Colonne1]])),Tab_Calculs[[#This Row],[index_date_livraison]],1)</f>
        <v>#NUM!</v>
      </c>
      <c r="J336">
        <f ca="1">MATCH(Tab_Calculs[[#This Row],[Date_livraison]],INDIRECT(CONCATENATE("Tab_",Tab_Calculs[[#This Row],[Colonne1]],"[Fin de période]")),0)</f>
        <v>1</v>
      </c>
      <c r="K336" t="e">
        <f ca="1">INDEX(INDIRECT(CONCATENATE("Tab_",Tab_Calculs[[#This Row],[Colonne1]])),Tab_Calculs[[#This Row],[index_date_livraison]]-1,6)*(MAX(Tab_Calculs[[#This Row],[Début periode livraison]],Tab_Calculs[[#This Row],[Début mois]])-Tab_Calculs[[#This Row],[Début mois]])</f>
        <v>#VALUE!</v>
      </c>
      <c r="L336" s="94" t="e">
        <f ca="1">INDEX(INDIRECT(CONCATENATE("Tab_",Tab_Calculs[[#This Row],[Colonne1]])),Tab_Calculs[[#This Row],[index_date_livraison]],6)*(1+MIN(Tab_Calculs[[#This Row],[Date_livraison]],Tab_Calculs[[#This Row],[fin mois]])-MAX(Tab_Calculs[[#This Row],[Début mois]],Tab_Calculs[[#This Row],[Début periode livraison]]))</f>
        <v>#NUM!</v>
      </c>
      <c r="M336" s="94" t="e">
        <f ca="1">INDEX(INDIRECT(CONCATENATE("Tab_",Tab_Calculs[[#This Row],[Colonne1]])),Tab_Calculs[[#This Row],[index_date_livraison]]+1,6)*(Tab_Calculs[[#This Row],[fin mois]]-MIN(Tab_Calculs[[#This Row],[fin mois]],Tab_Calculs[[#This Row],[Date_livraison]]))</f>
        <v>#VALUE!</v>
      </c>
      <c r="N336" s="231" t="str">
        <f ca="1">IFERROR(Tab_Calculs[[#This Row],[Ratio_jour_après_livr]]+Tab_Calculs[[#This Row],[Ratio_jour_avant_livr]]+Tab_Calculs[[#This Row],[ratio_avant_debut]],"")</f>
        <v/>
      </c>
      <c r="O336" t="e">
        <f ca="1">INDEX(INDIRECT(CONCATENATE("Tab_",Tab_Calculs[[#This Row],[Colonne1]])),Tab_Calculs[[#This Row],[index_date_livraison]]-1,7)*(MAX(Tab_Calculs[[#This Row],[Début periode livraison]],Tab_Calculs[[#This Row],[Début mois]])-Tab_Calculs[[#This Row],[Début mois]])</f>
        <v>#VALUE!</v>
      </c>
      <c r="P336" t="e">
        <f ca="1">INDEX(INDIRECT(CONCATENATE("Tab_",Tab_Calculs[[#This Row],[Colonne1]])),Tab_Calculs[[#This Row],[index_date_livraison]],7)*(1+MIN(Tab_Calculs[[#This Row],[Date_livraison]],Tab_Calculs[[#This Row],[fin mois]])-MAX(Tab_Calculs[[#This Row],[Début mois]],Tab_Calculs[[#This Row],[Début periode livraison]]))</f>
        <v>#NUM!</v>
      </c>
      <c r="Q336" t="e">
        <f ca="1">INDEX(INDIRECT(CONCATENATE("Tab_",Tab_Calculs[[#This Row],[Colonne1]])),Tab_Calculs[[#This Row],[index_date_livraison]]+1,7)*(Tab_Calculs[[#This Row],[fin mois]]-MIN(Tab_Calculs[[#This Row],[fin mois]],Tab_Calculs[[#This Row],[Date_livraison]]))</f>
        <v>#VALUE!</v>
      </c>
      <c r="R336" t="e">
        <f ca="1">Tab_Calculs[[#This Row],[Ratio_Cout_après_livr]]+Tab_Calculs[[#This Row],[Ratio_Cout_avant_livr]]+Tab_Calculs[[#This Row],[Ratio_Cout_avant_debut]]</f>
        <v>#VALUE!</v>
      </c>
      <c r="S336" t="str">
        <f ca="1">IFERROR(N336*VLOOKUP(Tab_Calculs[[#This Row],[Colonne1]],Controle_des_données!$B$7:$G$14,6,FALSE),"")</f>
        <v/>
      </c>
      <c r="T336" t="str">
        <f ca="1">IF(Tab_Calculs[[#This Row],[Combustible ]]="Electricité (kWh)",Tab_Calculs[[#This Row],[Conso_mois_kWh]]*2.3,Tab_Calculs[[#This Row],[Conso_mois_kWh]])</f>
        <v/>
      </c>
      <c r="U336" t="str">
        <f ca="1">IFERROR(N336*VLOOKUP(Tab_Calculs[[#This Row],[Colonne1]],Controle_des_données!$B$7:$H$14,7,FALSE),"")</f>
        <v/>
      </c>
      <c r="V336">
        <f ca="1">IFERROR(Tab_Calculs[[#This Row],[Cout_mois]]/Tab_Calculs[[#This Row],[Conso_mois_kWh]],0)</f>
        <v>0</v>
      </c>
      <c r="W336" t="str">
        <f>T(VLOOKUP(Tab_Calculs[[#This Row],[Compteur]],Site!$B$33:$G$40,3,FALSE))</f>
        <v/>
      </c>
      <c r="X336" t="str">
        <f>T(VLOOKUP(Tab_Calculs[[#This Row],[Compteur]],Site!$B$33:$G$40,4,FALSE))</f>
        <v/>
      </c>
      <c r="Y336" t="str">
        <f>T(VLOOKUP(Tab_Calculs[[#This Row],[Compteur]],Site!$B$33:$G$40,5,FALSE))</f>
        <v/>
      </c>
      <c r="Z336" t="str">
        <f>T(VLOOKUP(Tab_Calculs[[#This Row],[Compteur]],Site!$B$33:$G$40,6,FALSE))</f>
        <v/>
      </c>
      <c r="AA336">
        <f>IFERROR(GETPIVOTDATA("DJU(chauffagiste)",BDD_DJU!$P$13,"annee",Tab_Calculs[[#This Row],[ANNEE]],"mois_numero",Tab_Calculs[[#This Row],[MOIS]]),0)</f>
        <v>242.8</v>
      </c>
    </row>
    <row r="337" spans="1:27" x14ac:dyDescent="0.25">
      <c r="A337" s="3">
        <f>DATE(Tab_Calculs[[#This Row],[ANNEE]],Tab_Calculs[[#This Row],[MOIS]],1)</f>
        <v>44317</v>
      </c>
      <c r="B337" s="3">
        <f>EDATE(Tab_Calculs[[#This Row],[Début mois]],1)-1</f>
        <v>44347</v>
      </c>
      <c r="C337">
        <f t="shared" si="8"/>
        <v>5</v>
      </c>
      <c r="D337">
        <f t="shared" si="9"/>
        <v>2021</v>
      </c>
      <c r="E337" t="s">
        <v>81</v>
      </c>
      <c r="F337" t="str">
        <f>SUBSTITUTE(Tab_Calculs[[#This Row],[Compteur]]," ","_")</f>
        <v>Compteur_2</v>
      </c>
      <c r="G337" t="str">
        <f>T(INDEX(Site!$B$33:$G$40, MATCH(Tab_Calculs[[#This Row],[Compteur]], Site!$B$33:$B$40,0),2))</f>
        <v/>
      </c>
      <c r="H337" s="3">
        <f t="array" aca="1" ref="H337" ca="1">MIN(IF(INDIRECT(CONCATENATE(Tab_Calculs[[#This Row],[Colonne1]],"!$B$2:$B$243"))&gt;=Calculs_Consos!$A337,INDIRECT(CONCATENATE(Tab_Calculs[[#This Row],[Colonne1]],"!$B$2:$B$243"))))</f>
        <v>0</v>
      </c>
      <c r="I337" s="3" t="e">
        <f ca="1">INDEX(INDIRECT(CONCATENATE("Tab_",Tab_Calculs[[#This Row],[Colonne1]])),Tab_Calculs[[#This Row],[index_date_livraison]],1)</f>
        <v>#NUM!</v>
      </c>
      <c r="J337">
        <f ca="1">MATCH(Tab_Calculs[[#This Row],[Date_livraison]],INDIRECT(CONCATENATE("Tab_",Tab_Calculs[[#This Row],[Colonne1]],"[Fin de période]")),0)</f>
        <v>1</v>
      </c>
      <c r="K337" t="e">
        <f ca="1">INDEX(INDIRECT(CONCATENATE("Tab_",Tab_Calculs[[#This Row],[Colonne1]])),Tab_Calculs[[#This Row],[index_date_livraison]]-1,6)*(MAX(Tab_Calculs[[#This Row],[Début periode livraison]],Tab_Calculs[[#This Row],[Début mois]])-Tab_Calculs[[#This Row],[Début mois]])</f>
        <v>#VALUE!</v>
      </c>
      <c r="L337" s="94" t="e">
        <f ca="1">INDEX(INDIRECT(CONCATENATE("Tab_",Tab_Calculs[[#This Row],[Colonne1]])),Tab_Calculs[[#This Row],[index_date_livraison]],6)*(1+MIN(Tab_Calculs[[#This Row],[Date_livraison]],Tab_Calculs[[#This Row],[fin mois]])-MAX(Tab_Calculs[[#This Row],[Début mois]],Tab_Calculs[[#This Row],[Début periode livraison]]))</f>
        <v>#NUM!</v>
      </c>
      <c r="M337" s="94" t="e">
        <f ca="1">INDEX(INDIRECT(CONCATENATE("Tab_",Tab_Calculs[[#This Row],[Colonne1]])),Tab_Calculs[[#This Row],[index_date_livraison]]+1,6)*(Tab_Calculs[[#This Row],[fin mois]]-MIN(Tab_Calculs[[#This Row],[fin mois]],Tab_Calculs[[#This Row],[Date_livraison]]))</f>
        <v>#VALUE!</v>
      </c>
      <c r="N337" s="231" t="str">
        <f ca="1">IFERROR(Tab_Calculs[[#This Row],[Ratio_jour_après_livr]]+Tab_Calculs[[#This Row],[Ratio_jour_avant_livr]]+Tab_Calculs[[#This Row],[ratio_avant_debut]],"")</f>
        <v/>
      </c>
      <c r="O337" t="e">
        <f ca="1">INDEX(INDIRECT(CONCATENATE("Tab_",Tab_Calculs[[#This Row],[Colonne1]])),Tab_Calculs[[#This Row],[index_date_livraison]]-1,7)*(MAX(Tab_Calculs[[#This Row],[Début periode livraison]],Tab_Calculs[[#This Row],[Début mois]])-Tab_Calculs[[#This Row],[Début mois]])</f>
        <v>#VALUE!</v>
      </c>
      <c r="P337" t="e">
        <f ca="1">INDEX(INDIRECT(CONCATENATE("Tab_",Tab_Calculs[[#This Row],[Colonne1]])),Tab_Calculs[[#This Row],[index_date_livraison]],7)*(1+MIN(Tab_Calculs[[#This Row],[Date_livraison]],Tab_Calculs[[#This Row],[fin mois]])-MAX(Tab_Calculs[[#This Row],[Début mois]],Tab_Calculs[[#This Row],[Début periode livraison]]))</f>
        <v>#NUM!</v>
      </c>
      <c r="Q337" t="e">
        <f ca="1">INDEX(INDIRECT(CONCATENATE("Tab_",Tab_Calculs[[#This Row],[Colonne1]])),Tab_Calculs[[#This Row],[index_date_livraison]]+1,7)*(Tab_Calculs[[#This Row],[fin mois]]-MIN(Tab_Calculs[[#This Row],[fin mois]],Tab_Calculs[[#This Row],[Date_livraison]]))</f>
        <v>#VALUE!</v>
      </c>
      <c r="R337" t="e">
        <f ca="1">Tab_Calculs[[#This Row],[Ratio_Cout_après_livr]]+Tab_Calculs[[#This Row],[Ratio_Cout_avant_livr]]+Tab_Calculs[[#This Row],[Ratio_Cout_avant_debut]]</f>
        <v>#VALUE!</v>
      </c>
      <c r="S337" t="str">
        <f ca="1">IFERROR(N337*VLOOKUP(Tab_Calculs[[#This Row],[Colonne1]],Controle_des_données!$B$7:$G$14,6,FALSE),"")</f>
        <v/>
      </c>
      <c r="T337" t="str">
        <f ca="1">IF(Tab_Calculs[[#This Row],[Combustible ]]="Electricité (kWh)",Tab_Calculs[[#This Row],[Conso_mois_kWh]]*2.3,Tab_Calculs[[#This Row],[Conso_mois_kWh]])</f>
        <v/>
      </c>
      <c r="U337" t="str">
        <f ca="1">IFERROR(N337*VLOOKUP(Tab_Calculs[[#This Row],[Colonne1]],Controle_des_données!$B$7:$H$14,7,FALSE),"")</f>
        <v/>
      </c>
      <c r="V337">
        <f ca="1">IFERROR(Tab_Calculs[[#This Row],[Cout_mois]]/Tab_Calculs[[#This Row],[Conso_mois_kWh]],0)</f>
        <v>0</v>
      </c>
      <c r="W337" t="str">
        <f>T(VLOOKUP(Tab_Calculs[[#This Row],[Compteur]],Site!$B$33:$G$40,3,FALSE))</f>
        <v/>
      </c>
      <c r="X337" t="str">
        <f>T(VLOOKUP(Tab_Calculs[[#This Row],[Compteur]],Site!$B$33:$G$40,4,FALSE))</f>
        <v/>
      </c>
      <c r="Y337" t="str">
        <f>T(VLOOKUP(Tab_Calculs[[#This Row],[Compteur]],Site!$B$33:$G$40,5,FALSE))</f>
        <v/>
      </c>
      <c r="Z337" t="str">
        <f>T(VLOOKUP(Tab_Calculs[[#This Row],[Compteur]],Site!$B$33:$G$40,6,FALSE))</f>
        <v/>
      </c>
      <c r="AA337">
        <f>IFERROR(GETPIVOTDATA("DJU(chauffagiste)",BDD_DJU!$P$13,"annee",Tab_Calculs[[#This Row],[ANNEE]],"mois_numero",Tab_Calculs[[#This Row],[MOIS]]),0)</f>
        <v>159.4</v>
      </c>
    </row>
    <row r="338" spans="1:27" x14ac:dyDescent="0.25">
      <c r="A338" s="3">
        <f>DATE(Tab_Calculs[[#This Row],[ANNEE]],Tab_Calculs[[#This Row],[MOIS]],1)</f>
        <v>44348</v>
      </c>
      <c r="B338" s="3">
        <f>EDATE(Tab_Calculs[[#This Row],[Début mois]],1)-1</f>
        <v>44377</v>
      </c>
      <c r="C338">
        <f t="shared" ref="C338:C392" si="10">C326</f>
        <v>6</v>
      </c>
      <c r="D338">
        <f t="shared" si="9"/>
        <v>2021</v>
      </c>
      <c r="E338" t="s">
        <v>81</v>
      </c>
      <c r="F338" t="str">
        <f>SUBSTITUTE(Tab_Calculs[[#This Row],[Compteur]]," ","_")</f>
        <v>Compteur_2</v>
      </c>
      <c r="G338" t="str">
        <f>T(INDEX(Site!$B$33:$G$40, MATCH(Tab_Calculs[[#This Row],[Compteur]], Site!$B$33:$B$40,0),2))</f>
        <v/>
      </c>
      <c r="H338" s="3">
        <f t="array" aca="1" ref="H338" ca="1">MIN(IF(INDIRECT(CONCATENATE(Tab_Calculs[[#This Row],[Colonne1]],"!$B$2:$B$243"))&gt;=Calculs_Consos!$A338,INDIRECT(CONCATENATE(Tab_Calculs[[#This Row],[Colonne1]],"!$B$2:$B$243"))))</f>
        <v>0</v>
      </c>
      <c r="I338" s="3" t="e">
        <f ca="1">INDEX(INDIRECT(CONCATENATE("Tab_",Tab_Calculs[[#This Row],[Colonne1]])),Tab_Calculs[[#This Row],[index_date_livraison]],1)</f>
        <v>#NUM!</v>
      </c>
      <c r="J338">
        <f ca="1">MATCH(Tab_Calculs[[#This Row],[Date_livraison]],INDIRECT(CONCATENATE("Tab_",Tab_Calculs[[#This Row],[Colonne1]],"[Fin de période]")),0)</f>
        <v>1</v>
      </c>
      <c r="K338" t="e">
        <f ca="1">INDEX(INDIRECT(CONCATENATE("Tab_",Tab_Calculs[[#This Row],[Colonne1]])),Tab_Calculs[[#This Row],[index_date_livraison]]-1,6)*(MAX(Tab_Calculs[[#This Row],[Début periode livraison]],Tab_Calculs[[#This Row],[Début mois]])-Tab_Calculs[[#This Row],[Début mois]])</f>
        <v>#VALUE!</v>
      </c>
      <c r="L338" s="94" t="e">
        <f ca="1">INDEX(INDIRECT(CONCATENATE("Tab_",Tab_Calculs[[#This Row],[Colonne1]])),Tab_Calculs[[#This Row],[index_date_livraison]],6)*(1+MIN(Tab_Calculs[[#This Row],[Date_livraison]],Tab_Calculs[[#This Row],[fin mois]])-MAX(Tab_Calculs[[#This Row],[Début mois]],Tab_Calculs[[#This Row],[Début periode livraison]]))</f>
        <v>#NUM!</v>
      </c>
      <c r="M338" s="94" t="e">
        <f ca="1">INDEX(INDIRECT(CONCATENATE("Tab_",Tab_Calculs[[#This Row],[Colonne1]])),Tab_Calculs[[#This Row],[index_date_livraison]]+1,6)*(Tab_Calculs[[#This Row],[fin mois]]-MIN(Tab_Calculs[[#This Row],[fin mois]],Tab_Calculs[[#This Row],[Date_livraison]]))</f>
        <v>#VALUE!</v>
      </c>
      <c r="N338" s="231" t="str">
        <f ca="1">IFERROR(Tab_Calculs[[#This Row],[Ratio_jour_après_livr]]+Tab_Calculs[[#This Row],[Ratio_jour_avant_livr]]+Tab_Calculs[[#This Row],[ratio_avant_debut]],"")</f>
        <v/>
      </c>
      <c r="O338" t="e">
        <f ca="1">INDEX(INDIRECT(CONCATENATE("Tab_",Tab_Calculs[[#This Row],[Colonne1]])),Tab_Calculs[[#This Row],[index_date_livraison]]-1,7)*(MAX(Tab_Calculs[[#This Row],[Début periode livraison]],Tab_Calculs[[#This Row],[Début mois]])-Tab_Calculs[[#This Row],[Début mois]])</f>
        <v>#VALUE!</v>
      </c>
      <c r="P338" t="e">
        <f ca="1">INDEX(INDIRECT(CONCATENATE("Tab_",Tab_Calculs[[#This Row],[Colonne1]])),Tab_Calculs[[#This Row],[index_date_livraison]],7)*(1+MIN(Tab_Calculs[[#This Row],[Date_livraison]],Tab_Calculs[[#This Row],[fin mois]])-MAX(Tab_Calculs[[#This Row],[Début mois]],Tab_Calculs[[#This Row],[Début periode livraison]]))</f>
        <v>#NUM!</v>
      </c>
      <c r="Q338" t="e">
        <f ca="1">INDEX(INDIRECT(CONCATENATE("Tab_",Tab_Calculs[[#This Row],[Colonne1]])),Tab_Calculs[[#This Row],[index_date_livraison]]+1,7)*(Tab_Calculs[[#This Row],[fin mois]]-MIN(Tab_Calculs[[#This Row],[fin mois]],Tab_Calculs[[#This Row],[Date_livraison]]))</f>
        <v>#VALUE!</v>
      </c>
      <c r="R338" t="e">
        <f ca="1">Tab_Calculs[[#This Row],[Ratio_Cout_après_livr]]+Tab_Calculs[[#This Row],[Ratio_Cout_avant_livr]]+Tab_Calculs[[#This Row],[Ratio_Cout_avant_debut]]</f>
        <v>#VALUE!</v>
      </c>
      <c r="S338" t="str">
        <f ca="1">IFERROR(N338*VLOOKUP(Tab_Calculs[[#This Row],[Colonne1]],Controle_des_données!$B$7:$G$14,6,FALSE),"")</f>
        <v/>
      </c>
      <c r="T338" t="str">
        <f ca="1">IF(Tab_Calculs[[#This Row],[Combustible ]]="Electricité (kWh)",Tab_Calculs[[#This Row],[Conso_mois_kWh]]*2.3,Tab_Calculs[[#This Row],[Conso_mois_kWh]])</f>
        <v/>
      </c>
      <c r="U338" t="str">
        <f ca="1">IFERROR(N338*VLOOKUP(Tab_Calculs[[#This Row],[Colonne1]],Controle_des_données!$B$7:$H$14,7,FALSE),"")</f>
        <v/>
      </c>
      <c r="V338">
        <f ca="1">IFERROR(Tab_Calculs[[#This Row],[Cout_mois]]/Tab_Calculs[[#This Row],[Conso_mois_kWh]],0)</f>
        <v>0</v>
      </c>
      <c r="W338" t="str">
        <f>T(VLOOKUP(Tab_Calculs[[#This Row],[Compteur]],Site!$B$33:$G$40,3,FALSE))</f>
        <v/>
      </c>
      <c r="X338" t="str">
        <f>T(VLOOKUP(Tab_Calculs[[#This Row],[Compteur]],Site!$B$33:$G$40,4,FALSE))</f>
        <v/>
      </c>
      <c r="Y338" t="str">
        <f>T(VLOOKUP(Tab_Calculs[[#This Row],[Compteur]],Site!$B$33:$G$40,5,FALSE))</f>
        <v/>
      </c>
      <c r="Z338" t="str">
        <f>T(VLOOKUP(Tab_Calculs[[#This Row],[Compteur]],Site!$B$33:$G$40,6,FALSE))</f>
        <v/>
      </c>
      <c r="AA338">
        <f>IFERROR(GETPIVOTDATA("DJU(chauffagiste)",BDD_DJU!$P$13,"annee",Tab_Calculs[[#This Row],[ANNEE]],"mois_numero",Tab_Calculs[[#This Row],[MOIS]]),0)</f>
        <v>29.9</v>
      </c>
    </row>
    <row r="339" spans="1:27" x14ac:dyDescent="0.25">
      <c r="A339" s="3">
        <f>DATE(Tab_Calculs[[#This Row],[ANNEE]],Tab_Calculs[[#This Row],[MOIS]],1)</f>
        <v>44378</v>
      </c>
      <c r="B339" s="3">
        <f>EDATE(Tab_Calculs[[#This Row],[Début mois]],1)-1</f>
        <v>44408</v>
      </c>
      <c r="C339">
        <f t="shared" si="10"/>
        <v>7</v>
      </c>
      <c r="D339">
        <f t="shared" si="9"/>
        <v>2021</v>
      </c>
      <c r="E339" t="s">
        <v>81</v>
      </c>
      <c r="F339" t="str">
        <f>SUBSTITUTE(Tab_Calculs[[#This Row],[Compteur]]," ","_")</f>
        <v>Compteur_2</v>
      </c>
      <c r="G339" t="str">
        <f>T(INDEX(Site!$B$33:$G$40, MATCH(Tab_Calculs[[#This Row],[Compteur]], Site!$B$33:$B$40,0),2))</f>
        <v/>
      </c>
      <c r="H339" s="3">
        <f t="array" aca="1" ref="H339" ca="1">MIN(IF(INDIRECT(CONCATENATE(Tab_Calculs[[#This Row],[Colonne1]],"!$B$2:$B$243"))&gt;=Calculs_Consos!$A339,INDIRECT(CONCATENATE(Tab_Calculs[[#This Row],[Colonne1]],"!$B$2:$B$243"))))</f>
        <v>0</v>
      </c>
      <c r="I339" s="3" t="e">
        <f ca="1">INDEX(INDIRECT(CONCATENATE("Tab_",Tab_Calculs[[#This Row],[Colonne1]])),Tab_Calculs[[#This Row],[index_date_livraison]],1)</f>
        <v>#NUM!</v>
      </c>
      <c r="J339">
        <f ca="1">MATCH(Tab_Calculs[[#This Row],[Date_livraison]],INDIRECT(CONCATENATE("Tab_",Tab_Calculs[[#This Row],[Colonne1]],"[Fin de période]")),0)</f>
        <v>1</v>
      </c>
      <c r="K339" t="e">
        <f ca="1">INDEX(INDIRECT(CONCATENATE("Tab_",Tab_Calculs[[#This Row],[Colonne1]])),Tab_Calculs[[#This Row],[index_date_livraison]]-1,6)*(MAX(Tab_Calculs[[#This Row],[Début periode livraison]],Tab_Calculs[[#This Row],[Début mois]])-Tab_Calculs[[#This Row],[Début mois]])</f>
        <v>#VALUE!</v>
      </c>
      <c r="L339" s="94" t="e">
        <f ca="1">INDEX(INDIRECT(CONCATENATE("Tab_",Tab_Calculs[[#This Row],[Colonne1]])),Tab_Calculs[[#This Row],[index_date_livraison]],6)*(1+MIN(Tab_Calculs[[#This Row],[Date_livraison]],Tab_Calculs[[#This Row],[fin mois]])-MAX(Tab_Calculs[[#This Row],[Début mois]],Tab_Calculs[[#This Row],[Début periode livraison]]))</f>
        <v>#NUM!</v>
      </c>
      <c r="M339" s="94" t="e">
        <f ca="1">INDEX(INDIRECT(CONCATENATE("Tab_",Tab_Calculs[[#This Row],[Colonne1]])),Tab_Calculs[[#This Row],[index_date_livraison]]+1,6)*(Tab_Calculs[[#This Row],[fin mois]]-MIN(Tab_Calculs[[#This Row],[fin mois]],Tab_Calculs[[#This Row],[Date_livraison]]))</f>
        <v>#VALUE!</v>
      </c>
      <c r="N339" s="231" t="str">
        <f ca="1">IFERROR(Tab_Calculs[[#This Row],[Ratio_jour_après_livr]]+Tab_Calculs[[#This Row],[Ratio_jour_avant_livr]]+Tab_Calculs[[#This Row],[ratio_avant_debut]],"")</f>
        <v/>
      </c>
      <c r="O339" t="e">
        <f ca="1">INDEX(INDIRECT(CONCATENATE("Tab_",Tab_Calculs[[#This Row],[Colonne1]])),Tab_Calculs[[#This Row],[index_date_livraison]]-1,7)*(MAX(Tab_Calculs[[#This Row],[Début periode livraison]],Tab_Calculs[[#This Row],[Début mois]])-Tab_Calculs[[#This Row],[Début mois]])</f>
        <v>#VALUE!</v>
      </c>
      <c r="P339" t="e">
        <f ca="1">INDEX(INDIRECT(CONCATENATE("Tab_",Tab_Calculs[[#This Row],[Colonne1]])),Tab_Calculs[[#This Row],[index_date_livraison]],7)*(1+MIN(Tab_Calculs[[#This Row],[Date_livraison]],Tab_Calculs[[#This Row],[fin mois]])-MAX(Tab_Calculs[[#This Row],[Début mois]],Tab_Calculs[[#This Row],[Début periode livraison]]))</f>
        <v>#NUM!</v>
      </c>
      <c r="Q339" t="e">
        <f ca="1">INDEX(INDIRECT(CONCATENATE("Tab_",Tab_Calculs[[#This Row],[Colonne1]])),Tab_Calculs[[#This Row],[index_date_livraison]]+1,7)*(Tab_Calculs[[#This Row],[fin mois]]-MIN(Tab_Calculs[[#This Row],[fin mois]],Tab_Calculs[[#This Row],[Date_livraison]]))</f>
        <v>#VALUE!</v>
      </c>
      <c r="R339" t="e">
        <f ca="1">Tab_Calculs[[#This Row],[Ratio_Cout_après_livr]]+Tab_Calculs[[#This Row],[Ratio_Cout_avant_livr]]+Tab_Calculs[[#This Row],[Ratio_Cout_avant_debut]]</f>
        <v>#VALUE!</v>
      </c>
      <c r="S339" t="str">
        <f ca="1">IFERROR(N339*VLOOKUP(Tab_Calculs[[#This Row],[Colonne1]],Controle_des_données!$B$7:$G$14,6,FALSE),"")</f>
        <v/>
      </c>
      <c r="T339" t="str">
        <f ca="1">IF(Tab_Calculs[[#This Row],[Combustible ]]="Electricité (kWh)",Tab_Calculs[[#This Row],[Conso_mois_kWh]]*2.3,Tab_Calculs[[#This Row],[Conso_mois_kWh]])</f>
        <v/>
      </c>
      <c r="U339" t="str">
        <f ca="1">IFERROR(N339*VLOOKUP(Tab_Calculs[[#This Row],[Colonne1]],Controle_des_données!$B$7:$H$14,7,FALSE),"")</f>
        <v/>
      </c>
      <c r="V339">
        <f ca="1">IFERROR(Tab_Calculs[[#This Row],[Cout_mois]]/Tab_Calculs[[#This Row],[Conso_mois_kWh]],0)</f>
        <v>0</v>
      </c>
      <c r="W339" t="str">
        <f>T(VLOOKUP(Tab_Calculs[[#This Row],[Compteur]],Site!$B$33:$G$40,3,FALSE))</f>
        <v/>
      </c>
      <c r="X339" t="str">
        <f>T(VLOOKUP(Tab_Calculs[[#This Row],[Compteur]],Site!$B$33:$G$40,4,FALSE))</f>
        <v/>
      </c>
      <c r="Y339" t="str">
        <f>T(VLOOKUP(Tab_Calculs[[#This Row],[Compteur]],Site!$B$33:$G$40,5,FALSE))</f>
        <v/>
      </c>
      <c r="Z339" t="str">
        <f>T(VLOOKUP(Tab_Calculs[[#This Row],[Compteur]],Site!$B$33:$G$40,6,FALSE))</f>
        <v/>
      </c>
      <c r="AA339">
        <f>IFERROR(GETPIVOTDATA("DJU(chauffagiste)",BDD_DJU!$P$13,"annee",Tab_Calculs[[#This Row],[ANNEE]],"mois_numero",Tab_Calculs[[#This Row],[MOIS]]),0)</f>
        <v>22.4</v>
      </c>
    </row>
    <row r="340" spans="1:27" x14ac:dyDescent="0.25">
      <c r="A340" s="3">
        <f>DATE(Tab_Calculs[[#This Row],[ANNEE]],Tab_Calculs[[#This Row],[MOIS]],1)</f>
        <v>44409</v>
      </c>
      <c r="B340" s="3">
        <f>EDATE(Tab_Calculs[[#This Row],[Début mois]],1)-1</f>
        <v>44439</v>
      </c>
      <c r="C340">
        <f t="shared" si="10"/>
        <v>8</v>
      </c>
      <c r="D340">
        <f t="shared" si="9"/>
        <v>2021</v>
      </c>
      <c r="E340" t="s">
        <v>81</v>
      </c>
      <c r="F340" t="str">
        <f>SUBSTITUTE(Tab_Calculs[[#This Row],[Compteur]]," ","_")</f>
        <v>Compteur_2</v>
      </c>
      <c r="G340" t="str">
        <f>T(INDEX(Site!$B$33:$G$40, MATCH(Tab_Calculs[[#This Row],[Compteur]], Site!$B$33:$B$40,0),2))</f>
        <v/>
      </c>
      <c r="H340" s="3">
        <f t="array" aca="1" ref="H340" ca="1">MIN(IF(INDIRECT(CONCATENATE(Tab_Calculs[[#This Row],[Colonne1]],"!$B$2:$B$243"))&gt;=Calculs_Consos!$A340,INDIRECT(CONCATENATE(Tab_Calculs[[#This Row],[Colonne1]],"!$B$2:$B$243"))))</f>
        <v>0</v>
      </c>
      <c r="I340" s="3" t="e">
        <f ca="1">INDEX(INDIRECT(CONCATENATE("Tab_",Tab_Calculs[[#This Row],[Colonne1]])),Tab_Calculs[[#This Row],[index_date_livraison]],1)</f>
        <v>#NUM!</v>
      </c>
      <c r="J340">
        <f ca="1">MATCH(Tab_Calculs[[#This Row],[Date_livraison]],INDIRECT(CONCATENATE("Tab_",Tab_Calculs[[#This Row],[Colonne1]],"[Fin de période]")),0)</f>
        <v>1</v>
      </c>
      <c r="K340" t="e">
        <f ca="1">INDEX(INDIRECT(CONCATENATE("Tab_",Tab_Calculs[[#This Row],[Colonne1]])),Tab_Calculs[[#This Row],[index_date_livraison]]-1,6)*(MAX(Tab_Calculs[[#This Row],[Début periode livraison]],Tab_Calculs[[#This Row],[Début mois]])-Tab_Calculs[[#This Row],[Début mois]])</f>
        <v>#VALUE!</v>
      </c>
      <c r="L340" s="94" t="e">
        <f ca="1">INDEX(INDIRECT(CONCATENATE("Tab_",Tab_Calculs[[#This Row],[Colonne1]])),Tab_Calculs[[#This Row],[index_date_livraison]],6)*(1+MIN(Tab_Calculs[[#This Row],[Date_livraison]],Tab_Calculs[[#This Row],[fin mois]])-MAX(Tab_Calculs[[#This Row],[Début mois]],Tab_Calculs[[#This Row],[Début periode livraison]]))</f>
        <v>#NUM!</v>
      </c>
      <c r="M340" s="94" t="e">
        <f ca="1">INDEX(INDIRECT(CONCATENATE("Tab_",Tab_Calculs[[#This Row],[Colonne1]])),Tab_Calculs[[#This Row],[index_date_livraison]]+1,6)*(Tab_Calculs[[#This Row],[fin mois]]-MIN(Tab_Calculs[[#This Row],[fin mois]],Tab_Calculs[[#This Row],[Date_livraison]]))</f>
        <v>#VALUE!</v>
      </c>
      <c r="N340" s="231" t="str">
        <f ca="1">IFERROR(Tab_Calculs[[#This Row],[Ratio_jour_après_livr]]+Tab_Calculs[[#This Row],[Ratio_jour_avant_livr]]+Tab_Calculs[[#This Row],[ratio_avant_debut]],"")</f>
        <v/>
      </c>
      <c r="O340" t="e">
        <f ca="1">INDEX(INDIRECT(CONCATENATE("Tab_",Tab_Calculs[[#This Row],[Colonne1]])),Tab_Calculs[[#This Row],[index_date_livraison]]-1,7)*(MAX(Tab_Calculs[[#This Row],[Début periode livraison]],Tab_Calculs[[#This Row],[Début mois]])-Tab_Calculs[[#This Row],[Début mois]])</f>
        <v>#VALUE!</v>
      </c>
      <c r="P340" t="e">
        <f ca="1">INDEX(INDIRECT(CONCATENATE("Tab_",Tab_Calculs[[#This Row],[Colonne1]])),Tab_Calculs[[#This Row],[index_date_livraison]],7)*(1+MIN(Tab_Calculs[[#This Row],[Date_livraison]],Tab_Calculs[[#This Row],[fin mois]])-MAX(Tab_Calculs[[#This Row],[Début mois]],Tab_Calculs[[#This Row],[Début periode livraison]]))</f>
        <v>#NUM!</v>
      </c>
      <c r="Q340" t="e">
        <f ca="1">INDEX(INDIRECT(CONCATENATE("Tab_",Tab_Calculs[[#This Row],[Colonne1]])),Tab_Calculs[[#This Row],[index_date_livraison]]+1,7)*(Tab_Calculs[[#This Row],[fin mois]]-MIN(Tab_Calculs[[#This Row],[fin mois]],Tab_Calculs[[#This Row],[Date_livraison]]))</f>
        <v>#VALUE!</v>
      </c>
      <c r="R340" t="e">
        <f ca="1">Tab_Calculs[[#This Row],[Ratio_Cout_après_livr]]+Tab_Calculs[[#This Row],[Ratio_Cout_avant_livr]]+Tab_Calculs[[#This Row],[Ratio_Cout_avant_debut]]</f>
        <v>#VALUE!</v>
      </c>
      <c r="S340" t="str">
        <f ca="1">IFERROR(N340*VLOOKUP(Tab_Calculs[[#This Row],[Colonne1]],Controle_des_données!$B$7:$G$14,6,FALSE),"")</f>
        <v/>
      </c>
      <c r="T340" t="str">
        <f ca="1">IF(Tab_Calculs[[#This Row],[Combustible ]]="Electricité (kWh)",Tab_Calculs[[#This Row],[Conso_mois_kWh]]*2.3,Tab_Calculs[[#This Row],[Conso_mois_kWh]])</f>
        <v/>
      </c>
      <c r="U340" t="str">
        <f ca="1">IFERROR(N340*VLOOKUP(Tab_Calculs[[#This Row],[Colonne1]],Controle_des_données!$B$7:$H$14,7,FALSE),"")</f>
        <v/>
      </c>
      <c r="V340">
        <f ca="1">IFERROR(Tab_Calculs[[#This Row],[Cout_mois]]/Tab_Calculs[[#This Row],[Conso_mois_kWh]],0)</f>
        <v>0</v>
      </c>
      <c r="W340" t="str">
        <f>T(VLOOKUP(Tab_Calculs[[#This Row],[Compteur]],Site!$B$33:$G$40,3,FALSE))</f>
        <v/>
      </c>
      <c r="X340" t="str">
        <f>T(VLOOKUP(Tab_Calculs[[#This Row],[Compteur]],Site!$B$33:$G$40,4,FALSE))</f>
        <v/>
      </c>
      <c r="Y340" t="str">
        <f>T(VLOOKUP(Tab_Calculs[[#This Row],[Compteur]],Site!$B$33:$G$40,5,FALSE))</f>
        <v/>
      </c>
      <c r="Z340" t="str">
        <f>T(VLOOKUP(Tab_Calculs[[#This Row],[Compteur]],Site!$B$33:$G$40,6,FALSE))</f>
        <v/>
      </c>
      <c r="AA340">
        <f>IFERROR(GETPIVOTDATA("DJU(chauffagiste)",BDD_DJU!$P$13,"annee",Tab_Calculs[[#This Row],[ANNEE]],"mois_numero",Tab_Calculs[[#This Row],[MOIS]]),0)</f>
        <v>35.9</v>
      </c>
    </row>
    <row r="341" spans="1:27" x14ac:dyDescent="0.25">
      <c r="A341" s="3">
        <f>DATE(Tab_Calculs[[#This Row],[ANNEE]],Tab_Calculs[[#This Row],[MOIS]],1)</f>
        <v>44440</v>
      </c>
      <c r="B341" s="3">
        <f>EDATE(Tab_Calculs[[#This Row],[Début mois]],1)-1</f>
        <v>44469</v>
      </c>
      <c r="C341">
        <f t="shared" si="10"/>
        <v>9</v>
      </c>
      <c r="D341">
        <f t="shared" si="9"/>
        <v>2021</v>
      </c>
      <c r="E341" t="s">
        <v>81</v>
      </c>
      <c r="F341" t="str">
        <f>SUBSTITUTE(Tab_Calculs[[#This Row],[Compteur]]," ","_")</f>
        <v>Compteur_2</v>
      </c>
      <c r="G341" t="str">
        <f>T(INDEX(Site!$B$33:$G$40, MATCH(Tab_Calculs[[#This Row],[Compteur]], Site!$B$33:$B$40,0),2))</f>
        <v/>
      </c>
      <c r="H341" s="3">
        <f t="array" aca="1" ref="H341" ca="1">MIN(IF(INDIRECT(CONCATENATE(Tab_Calculs[[#This Row],[Colonne1]],"!$B$2:$B$243"))&gt;=Calculs_Consos!$A341,INDIRECT(CONCATENATE(Tab_Calculs[[#This Row],[Colonne1]],"!$B$2:$B$243"))))</f>
        <v>0</v>
      </c>
      <c r="I341" s="3" t="e">
        <f ca="1">INDEX(INDIRECT(CONCATENATE("Tab_",Tab_Calculs[[#This Row],[Colonne1]])),Tab_Calculs[[#This Row],[index_date_livraison]],1)</f>
        <v>#NUM!</v>
      </c>
      <c r="J341">
        <f ca="1">MATCH(Tab_Calculs[[#This Row],[Date_livraison]],INDIRECT(CONCATENATE("Tab_",Tab_Calculs[[#This Row],[Colonne1]],"[Fin de période]")),0)</f>
        <v>1</v>
      </c>
      <c r="K341" t="e">
        <f ca="1">INDEX(INDIRECT(CONCATENATE("Tab_",Tab_Calculs[[#This Row],[Colonne1]])),Tab_Calculs[[#This Row],[index_date_livraison]]-1,6)*(MAX(Tab_Calculs[[#This Row],[Début periode livraison]],Tab_Calculs[[#This Row],[Début mois]])-Tab_Calculs[[#This Row],[Début mois]])</f>
        <v>#VALUE!</v>
      </c>
      <c r="L341" s="94" t="e">
        <f ca="1">INDEX(INDIRECT(CONCATENATE("Tab_",Tab_Calculs[[#This Row],[Colonne1]])),Tab_Calculs[[#This Row],[index_date_livraison]],6)*(1+MIN(Tab_Calculs[[#This Row],[Date_livraison]],Tab_Calculs[[#This Row],[fin mois]])-MAX(Tab_Calculs[[#This Row],[Début mois]],Tab_Calculs[[#This Row],[Début periode livraison]]))</f>
        <v>#NUM!</v>
      </c>
      <c r="M341" s="94" t="e">
        <f ca="1">INDEX(INDIRECT(CONCATENATE("Tab_",Tab_Calculs[[#This Row],[Colonne1]])),Tab_Calculs[[#This Row],[index_date_livraison]]+1,6)*(Tab_Calculs[[#This Row],[fin mois]]-MIN(Tab_Calculs[[#This Row],[fin mois]],Tab_Calculs[[#This Row],[Date_livraison]]))</f>
        <v>#VALUE!</v>
      </c>
      <c r="N341" s="231" t="str">
        <f ca="1">IFERROR(Tab_Calculs[[#This Row],[Ratio_jour_après_livr]]+Tab_Calculs[[#This Row],[Ratio_jour_avant_livr]]+Tab_Calculs[[#This Row],[ratio_avant_debut]],"")</f>
        <v/>
      </c>
      <c r="O341" t="e">
        <f ca="1">INDEX(INDIRECT(CONCATENATE("Tab_",Tab_Calculs[[#This Row],[Colonne1]])),Tab_Calculs[[#This Row],[index_date_livraison]]-1,7)*(MAX(Tab_Calculs[[#This Row],[Début periode livraison]],Tab_Calculs[[#This Row],[Début mois]])-Tab_Calculs[[#This Row],[Début mois]])</f>
        <v>#VALUE!</v>
      </c>
      <c r="P341" t="e">
        <f ca="1">INDEX(INDIRECT(CONCATENATE("Tab_",Tab_Calculs[[#This Row],[Colonne1]])),Tab_Calculs[[#This Row],[index_date_livraison]],7)*(1+MIN(Tab_Calculs[[#This Row],[Date_livraison]],Tab_Calculs[[#This Row],[fin mois]])-MAX(Tab_Calculs[[#This Row],[Début mois]],Tab_Calculs[[#This Row],[Début periode livraison]]))</f>
        <v>#NUM!</v>
      </c>
      <c r="Q341" t="e">
        <f ca="1">INDEX(INDIRECT(CONCATENATE("Tab_",Tab_Calculs[[#This Row],[Colonne1]])),Tab_Calculs[[#This Row],[index_date_livraison]]+1,7)*(Tab_Calculs[[#This Row],[fin mois]]-MIN(Tab_Calculs[[#This Row],[fin mois]],Tab_Calculs[[#This Row],[Date_livraison]]))</f>
        <v>#VALUE!</v>
      </c>
      <c r="R341" t="e">
        <f ca="1">Tab_Calculs[[#This Row],[Ratio_Cout_après_livr]]+Tab_Calculs[[#This Row],[Ratio_Cout_avant_livr]]+Tab_Calculs[[#This Row],[Ratio_Cout_avant_debut]]</f>
        <v>#VALUE!</v>
      </c>
      <c r="S341" t="str">
        <f ca="1">IFERROR(N341*VLOOKUP(Tab_Calculs[[#This Row],[Colonne1]],Controle_des_données!$B$7:$G$14,6,FALSE),"")</f>
        <v/>
      </c>
      <c r="T341" t="str">
        <f ca="1">IF(Tab_Calculs[[#This Row],[Combustible ]]="Electricité (kWh)",Tab_Calculs[[#This Row],[Conso_mois_kWh]]*2.3,Tab_Calculs[[#This Row],[Conso_mois_kWh]])</f>
        <v/>
      </c>
      <c r="U341" t="str">
        <f ca="1">IFERROR(N341*VLOOKUP(Tab_Calculs[[#This Row],[Colonne1]],Controle_des_données!$B$7:$H$14,7,FALSE),"")</f>
        <v/>
      </c>
      <c r="V341">
        <f ca="1">IFERROR(Tab_Calculs[[#This Row],[Cout_mois]]/Tab_Calculs[[#This Row],[Conso_mois_kWh]],0)</f>
        <v>0</v>
      </c>
      <c r="W341" t="str">
        <f>T(VLOOKUP(Tab_Calculs[[#This Row],[Compteur]],Site!$B$33:$G$40,3,FALSE))</f>
        <v/>
      </c>
      <c r="X341" t="str">
        <f>T(VLOOKUP(Tab_Calculs[[#This Row],[Compteur]],Site!$B$33:$G$40,4,FALSE))</f>
        <v/>
      </c>
      <c r="Y341" t="str">
        <f>T(VLOOKUP(Tab_Calculs[[#This Row],[Compteur]],Site!$B$33:$G$40,5,FALSE))</f>
        <v/>
      </c>
      <c r="Z341" t="str">
        <f>T(VLOOKUP(Tab_Calculs[[#This Row],[Compteur]],Site!$B$33:$G$40,6,FALSE))</f>
        <v/>
      </c>
      <c r="AA341">
        <f>IFERROR(GETPIVOTDATA("DJU(chauffagiste)",BDD_DJU!$P$13,"annee",Tab_Calculs[[#This Row],[ANNEE]],"mois_numero",Tab_Calculs[[#This Row],[MOIS]]),0)</f>
        <v>47.8</v>
      </c>
    </row>
    <row r="342" spans="1:27" x14ac:dyDescent="0.25">
      <c r="A342" s="3">
        <f>DATE(Tab_Calculs[[#This Row],[ANNEE]],Tab_Calculs[[#This Row],[MOIS]],1)</f>
        <v>44470</v>
      </c>
      <c r="B342" s="3">
        <f>EDATE(Tab_Calculs[[#This Row],[Début mois]],1)-1</f>
        <v>44500</v>
      </c>
      <c r="C342">
        <f t="shared" si="10"/>
        <v>10</v>
      </c>
      <c r="D342">
        <f t="shared" si="9"/>
        <v>2021</v>
      </c>
      <c r="E342" t="s">
        <v>81</v>
      </c>
      <c r="F342" t="str">
        <f>SUBSTITUTE(Tab_Calculs[[#This Row],[Compteur]]," ","_")</f>
        <v>Compteur_2</v>
      </c>
      <c r="G342" t="str">
        <f>T(INDEX(Site!$B$33:$G$40, MATCH(Tab_Calculs[[#This Row],[Compteur]], Site!$B$33:$B$40,0),2))</f>
        <v/>
      </c>
      <c r="H342" s="3">
        <f t="array" aca="1" ref="H342" ca="1">MIN(IF(INDIRECT(CONCATENATE(Tab_Calculs[[#This Row],[Colonne1]],"!$B$2:$B$243"))&gt;=Calculs_Consos!$A342,INDIRECT(CONCATENATE(Tab_Calculs[[#This Row],[Colonne1]],"!$B$2:$B$243"))))</f>
        <v>0</v>
      </c>
      <c r="I342" s="3" t="e">
        <f ca="1">INDEX(INDIRECT(CONCATENATE("Tab_",Tab_Calculs[[#This Row],[Colonne1]])),Tab_Calculs[[#This Row],[index_date_livraison]],1)</f>
        <v>#NUM!</v>
      </c>
      <c r="J342">
        <f ca="1">MATCH(Tab_Calculs[[#This Row],[Date_livraison]],INDIRECT(CONCATENATE("Tab_",Tab_Calculs[[#This Row],[Colonne1]],"[Fin de période]")),0)</f>
        <v>1</v>
      </c>
      <c r="K342" t="e">
        <f ca="1">INDEX(INDIRECT(CONCATENATE("Tab_",Tab_Calculs[[#This Row],[Colonne1]])),Tab_Calculs[[#This Row],[index_date_livraison]]-1,6)*(MAX(Tab_Calculs[[#This Row],[Début periode livraison]],Tab_Calculs[[#This Row],[Début mois]])-Tab_Calculs[[#This Row],[Début mois]])</f>
        <v>#VALUE!</v>
      </c>
      <c r="L342" s="94" t="e">
        <f ca="1">INDEX(INDIRECT(CONCATENATE("Tab_",Tab_Calculs[[#This Row],[Colonne1]])),Tab_Calculs[[#This Row],[index_date_livraison]],6)*(1+MIN(Tab_Calculs[[#This Row],[Date_livraison]],Tab_Calculs[[#This Row],[fin mois]])-MAX(Tab_Calculs[[#This Row],[Début mois]],Tab_Calculs[[#This Row],[Début periode livraison]]))</f>
        <v>#NUM!</v>
      </c>
      <c r="M342" s="94" t="e">
        <f ca="1">INDEX(INDIRECT(CONCATENATE("Tab_",Tab_Calculs[[#This Row],[Colonne1]])),Tab_Calculs[[#This Row],[index_date_livraison]]+1,6)*(Tab_Calculs[[#This Row],[fin mois]]-MIN(Tab_Calculs[[#This Row],[fin mois]],Tab_Calculs[[#This Row],[Date_livraison]]))</f>
        <v>#VALUE!</v>
      </c>
      <c r="N342" s="231" t="str">
        <f ca="1">IFERROR(Tab_Calculs[[#This Row],[Ratio_jour_après_livr]]+Tab_Calculs[[#This Row],[Ratio_jour_avant_livr]]+Tab_Calculs[[#This Row],[ratio_avant_debut]],"")</f>
        <v/>
      </c>
      <c r="O342" t="e">
        <f ca="1">INDEX(INDIRECT(CONCATENATE("Tab_",Tab_Calculs[[#This Row],[Colonne1]])),Tab_Calculs[[#This Row],[index_date_livraison]]-1,7)*(MAX(Tab_Calculs[[#This Row],[Début periode livraison]],Tab_Calculs[[#This Row],[Début mois]])-Tab_Calculs[[#This Row],[Début mois]])</f>
        <v>#VALUE!</v>
      </c>
      <c r="P342" t="e">
        <f ca="1">INDEX(INDIRECT(CONCATENATE("Tab_",Tab_Calculs[[#This Row],[Colonne1]])),Tab_Calculs[[#This Row],[index_date_livraison]],7)*(1+MIN(Tab_Calculs[[#This Row],[Date_livraison]],Tab_Calculs[[#This Row],[fin mois]])-MAX(Tab_Calculs[[#This Row],[Début mois]],Tab_Calculs[[#This Row],[Début periode livraison]]))</f>
        <v>#NUM!</v>
      </c>
      <c r="Q342" t="e">
        <f ca="1">INDEX(INDIRECT(CONCATENATE("Tab_",Tab_Calculs[[#This Row],[Colonne1]])),Tab_Calculs[[#This Row],[index_date_livraison]]+1,7)*(Tab_Calculs[[#This Row],[fin mois]]-MIN(Tab_Calculs[[#This Row],[fin mois]],Tab_Calculs[[#This Row],[Date_livraison]]))</f>
        <v>#VALUE!</v>
      </c>
      <c r="R342" t="e">
        <f ca="1">Tab_Calculs[[#This Row],[Ratio_Cout_après_livr]]+Tab_Calculs[[#This Row],[Ratio_Cout_avant_livr]]+Tab_Calculs[[#This Row],[Ratio_Cout_avant_debut]]</f>
        <v>#VALUE!</v>
      </c>
      <c r="S342" t="str">
        <f ca="1">IFERROR(N342*VLOOKUP(Tab_Calculs[[#This Row],[Colonne1]],Controle_des_données!$B$7:$G$14,6,FALSE),"")</f>
        <v/>
      </c>
      <c r="T342" t="str">
        <f ca="1">IF(Tab_Calculs[[#This Row],[Combustible ]]="Electricité (kWh)",Tab_Calculs[[#This Row],[Conso_mois_kWh]]*2.3,Tab_Calculs[[#This Row],[Conso_mois_kWh]])</f>
        <v/>
      </c>
      <c r="U342" t="str">
        <f ca="1">IFERROR(N342*VLOOKUP(Tab_Calculs[[#This Row],[Colonne1]],Controle_des_données!$B$7:$H$14,7,FALSE),"")</f>
        <v/>
      </c>
      <c r="V342">
        <f ca="1">IFERROR(Tab_Calculs[[#This Row],[Cout_mois]]/Tab_Calculs[[#This Row],[Conso_mois_kWh]],0)</f>
        <v>0</v>
      </c>
      <c r="W342" t="str">
        <f>T(VLOOKUP(Tab_Calculs[[#This Row],[Compteur]],Site!$B$33:$G$40,3,FALSE))</f>
        <v/>
      </c>
      <c r="X342" t="str">
        <f>T(VLOOKUP(Tab_Calculs[[#This Row],[Compteur]],Site!$B$33:$G$40,4,FALSE))</f>
        <v/>
      </c>
      <c r="Y342" t="str">
        <f>T(VLOOKUP(Tab_Calculs[[#This Row],[Compteur]],Site!$B$33:$G$40,5,FALSE))</f>
        <v/>
      </c>
      <c r="Z342" t="str">
        <f>T(VLOOKUP(Tab_Calculs[[#This Row],[Compteur]],Site!$B$33:$G$40,6,FALSE))</f>
        <v/>
      </c>
      <c r="AA342">
        <f>IFERROR(GETPIVOTDATA("DJU(chauffagiste)",BDD_DJU!$P$13,"annee",Tab_Calculs[[#This Row],[ANNEE]],"mois_numero",Tab_Calculs[[#This Row],[MOIS]]),0)</f>
        <v>170.5</v>
      </c>
    </row>
    <row r="343" spans="1:27" x14ac:dyDescent="0.25">
      <c r="A343" s="3">
        <f>DATE(Tab_Calculs[[#This Row],[ANNEE]],Tab_Calculs[[#This Row],[MOIS]],1)</f>
        <v>44501</v>
      </c>
      <c r="B343" s="3">
        <f>EDATE(Tab_Calculs[[#This Row],[Début mois]],1)-1</f>
        <v>44530</v>
      </c>
      <c r="C343">
        <f t="shared" si="10"/>
        <v>11</v>
      </c>
      <c r="D343">
        <f t="shared" si="9"/>
        <v>2021</v>
      </c>
      <c r="E343" t="s">
        <v>81</v>
      </c>
      <c r="F343" t="str">
        <f>SUBSTITUTE(Tab_Calculs[[#This Row],[Compteur]]," ","_")</f>
        <v>Compteur_2</v>
      </c>
      <c r="G343" t="str">
        <f>T(INDEX(Site!$B$33:$G$40, MATCH(Tab_Calculs[[#This Row],[Compteur]], Site!$B$33:$B$40,0),2))</f>
        <v/>
      </c>
      <c r="H343" s="3">
        <f t="array" aca="1" ref="H343" ca="1">MIN(IF(INDIRECT(CONCATENATE(Tab_Calculs[[#This Row],[Colonne1]],"!$B$2:$B$243"))&gt;=Calculs_Consos!$A343,INDIRECT(CONCATENATE(Tab_Calculs[[#This Row],[Colonne1]],"!$B$2:$B$243"))))</f>
        <v>0</v>
      </c>
      <c r="I343" s="3" t="e">
        <f ca="1">INDEX(INDIRECT(CONCATENATE("Tab_",Tab_Calculs[[#This Row],[Colonne1]])),Tab_Calculs[[#This Row],[index_date_livraison]],1)</f>
        <v>#NUM!</v>
      </c>
      <c r="J343">
        <f ca="1">MATCH(Tab_Calculs[[#This Row],[Date_livraison]],INDIRECT(CONCATENATE("Tab_",Tab_Calculs[[#This Row],[Colonne1]],"[Fin de période]")),0)</f>
        <v>1</v>
      </c>
      <c r="K343" t="e">
        <f ca="1">INDEX(INDIRECT(CONCATENATE("Tab_",Tab_Calculs[[#This Row],[Colonne1]])),Tab_Calculs[[#This Row],[index_date_livraison]]-1,6)*(MAX(Tab_Calculs[[#This Row],[Début periode livraison]],Tab_Calculs[[#This Row],[Début mois]])-Tab_Calculs[[#This Row],[Début mois]])</f>
        <v>#VALUE!</v>
      </c>
      <c r="L343" s="94" t="e">
        <f ca="1">INDEX(INDIRECT(CONCATENATE("Tab_",Tab_Calculs[[#This Row],[Colonne1]])),Tab_Calculs[[#This Row],[index_date_livraison]],6)*(1+MIN(Tab_Calculs[[#This Row],[Date_livraison]],Tab_Calculs[[#This Row],[fin mois]])-MAX(Tab_Calculs[[#This Row],[Début mois]],Tab_Calculs[[#This Row],[Début periode livraison]]))</f>
        <v>#NUM!</v>
      </c>
      <c r="M343" s="94" t="e">
        <f ca="1">INDEX(INDIRECT(CONCATENATE("Tab_",Tab_Calculs[[#This Row],[Colonne1]])),Tab_Calculs[[#This Row],[index_date_livraison]]+1,6)*(Tab_Calculs[[#This Row],[fin mois]]-MIN(Tab_Calculs[[#This Row],[fin mois]],Tab_Calculs[[#This Row],[Date_livraison]]))</f>
        <v>#VALUE!</v>
      </c>
      <c r="N343" s="231" t="str">
        <f ca="1">IFERROR(Tab_Calculs[[#This Row],[Ratio_jour_après_livr]]+Tab_Calculs[[#This Row],[Ratio_jour_avant_livr]]+Tab_Calculs[[#This Row],[ratio_avant_debut]],"")</f>
        <v/>
      </c>
      <c r="O343" t="e">
        <f ca="1">INDEX(INDIRECT(CONCATENATE("Tab_",Tab_Calculs[[#This Row],[Colonne1]])),Tab_Calculs[[#This Row],[index_date_livraison]]-1,7)*(MAX(Tab_Calculs[[#This Row],[Début periode livraison]],Tab_Calculs[[#This Row],[Début mois]])-Tab_Calculs[[#This Row],[Début mois]])</f>
        <v>#VALUE!</v>
      </c>
      <c r="P343" t="e">
        <f ca="1">INDEX(INDIRECT(CONCATENATE("Tab_",Tab_Calculs[[#This Row],[Colonne1]])),Tab_Calculs[[#This Row],[index_date_livraison]],7)*(1+MIN(Tab_Calculs[[#This Row],[Date_livraison]],Tab_Calculs[[#This Row],[fin mois]])-MAX(Tab_Calculs[[#This Row],[Début mois]],Tab_Calculs[[#This Row],[Début periode livraison]]))</f>
        <v>#NUM!</v>
      </c>
      <c r="Q343" t="e">
        <f ca="1">INDEX(INDIRECT(CONCATENATE("Tab_",Tab_Calculs[[#This Row],[Colonne1]])),Tab_Calculs[[#This Row],[index_date_livraison]]+1,7)*(Tab_Calculs[[#This Row],[fin mois]]-MIN(Tab_Calculs[[#This Row],[fin mois]],Tab_Calculs[[#This Row],[Date_livraison]]))</f>
        <v>#VALUE!</v>
      </c>
      <c r="R343" t="e">
        <f ca="1">Tab_Calculs[[#This Row],[Ratio_Cout_après_livr]]+Tab_Calculs[[#This Row],[Ratio_Cout_avant_livr]]+Tab_Calculs[[#This Row],[Ratio_Cout_avant_debut]]</f>
        <v>#VALUE!</v>
      </c>
      <c r="S343" t="str">
        <f ca="1">IFERROR(N343*VLOOKUP(Tab_Calculs[[#This Row],[Colonne1]],Controle_des_données!$B$7:$G$14,6,FALSE),"")</f>
        <v/>
      </c>
      <c r="T343" t="str">
        <f ca="1">IF(Tab_Calculs[[#This Row],[Combustible ]]="Electricité (kWh)",Tab_Calculs[[#This Row],[Conso_mois_kWh]]*2.3,Tab_Calculs[[#This Row],[Conso_mois_kWh]])</f>
        <v/>
      </c>
      <c r="U343" t="str">
        <f ca="1">IFERROR(N343*VLOOKUP(Tab_Calculs[[#This Row],[Colonne1]],Controle_des_données!$B$7:$H$14,7,FALSE),"")</f>
        <v/>
      </c>
      <c r="V343">
        <f ca="1">IFERROR(Tab_Calculs[[#This Row],[Cout_mois]]/Tab_Calculs[[#This Row],[Conso_mois_kWh]],0)</f>
        <v>0</v>
      </c>
      <c r="W343" t="str">
        <f>T(VLOOKUP(Tab_Calculs[[#This Row],[Compteur]],Site!$B$33:$G$40,3,FALSE))</f>
        <v/>
      </c>
      <c r="X343" t="str">
        <f>T(VLOOKUP(Tab_Calculs[[#This Row],[Compteur]],Site!$B$33:$G$40,4,FALSE))</f>
        <v/>
      </c>
      <c r="Y343" t="str">
        <f>T(VLOOKUP(Tab_Calculs[[#This Row],[Compteur]],Site!$B$33:$G$40,5,FALSE))</f>
        <v/>
      </c>
      <c r="Z343" t="str">
        <f>T(VLOOKUP(Tab_Calculs[[#This Row],[Compteur]],Site!$B$33:$G$40,6,FALSE))</f>
        <v/>
      </c>
      <c r="AA343">
        <f>IFERROR(GETPIVOTDATA("DJU(chauffagiste)",BDD_DJU!$P$13,"annee",Tab_Calculs[[#This Row],[ANNEE]],"mois_numero",Tab_Calculs[[#This Row],[MOIS]]),0)</f>
        <v>326.8</v>
      </c>
    </row>
    <row r="344" spans="1:27" x14ac:dyDescent="0.25">
      <c r="A344" s="3">
        <f>DATE(Tab_Calculs[[#This Row],[ANNEE]],Tab_Calculs[[#This Row],[MOIS]],1)</f>
        <v>44531</v>
      </c>
      <c r="B344" s="3">
        <f>EDATE(Tab_Calculs[[#This Row],[Début mois]],1)-1</f>
        <v>44561</v>
      </c>
      <c r="C344">
        <f t="shared" si="10"/>
        <v>12</v>
      </c>
      <c r="D344">
        <f>D332+1</f>
        <v>2021</v>
      </c>
      <c r="E344" t="s">
        <v>81</v>
      </c>
      <c r="F344" t="str">
        <f>SUBSTITUTE(Tab_Calculs[[#This Row],[Compteur]]," ","_")</f>
        <v>Compteur_2</v>
      </c>
      <c r="G344" t="str">
        <f>T(INDEX(Site!$B$33:$G$40, MATCH(Tab_Calculs[[#This Row],[Compteur]], Site!$B$33:$B$40,0),2))</f>
        <v/>
      </c>
      <c r="H344" s="3">
        <f t="array" aca="1" ref="H344" ca="1">MIN(IF(INDIRECT(CONCATENATE(Tab_Calculs[[#This Row],[Colonne1]],"!$B$2:$B$243"))&gt;=Calculs_Consos!$A344,INDIRECT(CONCATENATE(Tab_Calculs[[#This Row],[Colonne1]],"!$B$2:$B$243"))))</f>
        <v>0</v>
      </c>
      <c r="I344" s="3" t="e">
        <f ca="1">INDEX(INDIRECT(CONCATENATE("Tab_",Tab_Calculs[[#This Row],[Colonne1]])),Tab_Calculs[[#This Row],[index_date_livraison]],1)</f>
        <v>#NUM!</v>
      </c>
      <c r="J344">
        <f ca="1">MATCH(Tab_Calculs[[#This Row],[Date_livraison]],INDIRECT(CONCATENATE("Tab_",Tab_Calculs[[#This Row],[Colonne1]],"[Fin de période]")),0)</f>
        <v>1</v>
      </c>
      <c r="K344" t="e">
        <f ca="1">INDEX(INDIRECT(CONCATENATE("Tab_",Tab_Calculs[[#This Row],[Colonne1]])),Tab_Calculs[[#This Row],[index_date_livraison]]-1,6)*(MAX(Tab_Calculs[[#This Row],[Début periode livraison]],Tab_Calculs[[#This Row],[Début mois]])-Tab_Calculs[[#This Row],[Début mois]])</f>
        <v>#VALUE!</v>
      </c>
      <c r="L344" s="94" t="e">
        <f ca="1">INDEX(INDIRECT(CONCATENATE("Tab_",Tab_Calculs[[#This Row],[Colonne1]])),Tab_Calculs[[#This Row],[index_date_livraison]],6)*(1+MIN(Tab_Calculs[[#This Row],[Date_livraison]],Tab_Calculs[[#This Row],[fin mois]])-MAX(Tab_Calculs[[#This Row],[Début mois]],Tab_Calculs[[#This Row],[Début periode livraison]]))</f>
        <v>#NUM!</v>
      </c>
      <c r="M344" s="94" t="e">
        <f ca="1">INDEX(INDIRECT(CONCATENATE("Tab_",Tab_Calculs[[#This Row],[Colonne1]])),Tab_Calculs[[#This Row],[index_date_livraison]]+1,6)*(Tab_Calculs[[#This Row],[fin mois]]-MIN(Tab_Calculs[[#This Row],[fin mois]],Tab_Calculs[[#This Row],[Date_livraison]]))</f>
        <v>#VALUE!</v>
      </c>
      <c r="N344" s="231" t="str">
        <f ca="1">IFERROR(Tab_Calculs[[#This Row],[Ratio_jour_après_livr]]+Tab_Calculs[[#This Row],[Ratio_jour_avant_livr]]+Tab_Calculs[[#This Row],[ratio_avant_debut]],"")</f>
        <v/>
      </c>
      <c r="O344" t="e">
        <f ca="1">INDEX(INDIRECT(CONCATENATE("Tab_",Tab_Calculs[[#This Row],[Colonne1]])),Tab_Calculs[[#This Row],[index_date_livraison]]-1,7)*(MAX(Tab_Calculs[[#This Row],[Début periode livraison]],Tab_Calculs[[#This Row],[Début mois]])-Tab_Calculs[[#This Row],[Début mois]])</f>
        <v>#VALUE!</v>
      </c>
      <c r="P344" t="e">
        <f ca="1">INDEX(INDIRECT(CONCATENATE("Tab_",Tab_Calculs[[#This Row],[Colonne1]])),Tab_Calculs[[#This Row],[index_date_livraison]],7)*(1+MIN(Tab_Calculs[[#This Row],[Date_livraison]],Tab_Calculs[[#This Row],[fin mois]])-MAX(Tab_Calculs[[#This Row],[Début mois]],Tab_Calculs[[#This Row],[Début periode livraison]]))</f>
        <v>#NUM!</v>
      </c>
      <c r="Q344" t="e">
        <f ca="1">INDEX(INDIRECT(CONCATENATE("Tab_",Tab_Calculs[[#This Row],[Colonne1]])),Tab_Calculs[[#This Row],[index_date_livraison]]+1,7)*(Tab_Calculs[[#This Row],[fin mois]]-MIN(Tab_Calculs[[#This Row],[fin mois]],Tab_Calculs[[#This Row],[Date_livraison]]))</f>
        <v>#VALUE!</v>
      </c>
      <c r="R344" t="e">
        <f ca="1">Tab_Calculs[[#This Row],[Ratio_Cout_après_livr]]+Tab_Calculs[[#This Row],[Ratio_Cout_avant_livr]]+Tab_Calculs[[#This Row],[Ratio_Cout_avant_debut]]</f>
        <v>#VALUE!</v>
      </c>
      <c r="S344" t="str">
        <f ca="1">IFERROR(N344*VLOOKUP(Tab_Calculs[[#This Row],[Colonne1]],Controle_des_données!$B$7:$G$14,6,FALSE),"")</f>
        <v/>
      </c>
      <c r="T344" t="str">
        <f ca="1">IF(Tab_Calculs[[#This Row],[Combustible ]]="Electricité (kWh)",Tab_Calculs[[#This Row],[Conso_mois_kWh]]*2.3,Tab_Calculs[[#This Row],[Conso_mois_kWh]])</f>
        <v/>
      </c>
      <c r="U344" t="str">
        <f ca="1">IFERROR(N344*VLOOKUP(Tab_Calculs[[#This Row],[Colonne1]],Controle_des_données!$B$7:$H$14,7,FALSE),"")</f>
        <v/>
      </c>
      <c r="V344">
        <f ca="1">IFERROR(Tab_Calculs[[#This Row],[Cout_mois]]/Tab_Calculs[[#This Row],[Conso_mois_kWh]],0)</f>
        <v>0</v>
      </c>
      <c r="W344" t="str">
        <f>T(VLOOKUP(Tab_Calculs[[#This Row],[Compteur]],Site!$B$33:$G$40,3,FALSE))</f>
        <v/>
      </c>
      <c r="X344" t="str">
        <f>T(VLOOKUP(Tab_Calculs[[#This Row],[Compteur]],Site!$B$33:$G$40,4,FALSE))</f>
        <v/>
      </c>
      <c r="Y344" t="str">
        <f>T(VLOOKUP(Tab_Calculs[[#This Row],[Compteur]],Site!$B$33:$G$40,5,FALSE))</f>
        <v/>
      </c>
      <c r="Z344" t="str">
        <f>T(VLOOKUP(Tab_Calculs[[#This Row],[Compteur]],Site!$B$33:$G$40,6,FALSE))</f>
        <v/>
      </c>
      <c r="AA344">
        <f>IFERROR(GETPIVOTDATA("DJU(chauffagiste)",BDD_DJU!$P$13,"annee",Tab_Calculs[[#This Row],[ANNEE]],"mois_numero",Tab_Calculs[[#This Row],[MOIS]]),0)</f>
        <v>336.7</v>
      </c>
    </row>
    <row r="345" spans="1:27" x14ac:dyDescent="0.25">
      <c r="A345" s="3">
        <f>DATE(Tab_Calculs[[#This Row],[ANNEE]],Tab_Calculs[[#This Row],[MOIS]],1)</f>
        <v>44562</v>
      </c>
      <c r="B345" s="3">
        <f>EDATE(Tab_Calculs[[#This Row],[Début mois]],1)-1</f>
        <v>44592</v>
      </c>
      <c r="C345">
        <f t="shared" si="10"/>
        <v>1</v>
      </c>
      <c r="D345">
        <f t="shared" ref="D345:D357" si="11">D333+1</f>
        <v>2022</v>
      </c>
      <c r="E345" t="s">
        <v>81</v>
      </c>
      <c r="F345" t="str">
        <f>SUBSTITUTE(Tab_Calculs[[#This Row],[Compteur]]," ","_")</f>
        <v>Compteur_2</v>
      </c>
      <c r="G345" t="str">
        <f>T(INDEX(Site!$B$33:$G$40, MATCH(Tab_Calculs[[#This Row],[Compteur]], Site!$B$33:$B$40,0),2))</f>
        <v/>
      </c>
      <c r="H345" s="3">
        <f t="array" aca="1" ref="H345" ca="1">MIN(IF(INDIRECT(CONCATENATE(Tab_Calculs[[#This Row],[Colonne1]],"!$B$2:$B$243"))&gt;=Calculs_Consos!$A345,INDIRECT(CONCATENATE(Tab_Calculs[[#This Row],[Colonne1]],"!$B$2:$B$243"))))</f>
        <v>0</v>
      </c>
      <c r="I345" s="3" t="e">
        <f ca="1">INDEX(INDIRECT(CONCATENATE("Tab_",Tab_Calculs[[#This Row],[Colonne1]])),Tab_Calculs[[#This Row],[index_date_livraison]],1)</f>
        <v>#NUM!</v>
      </c>
      <c r="J345">
        <f ca="1">MATCH(Tab_Calculs[[#This Row],[Date_livraison]],INDIRECT(CONCATENATE("Tab_",Tab_Calculs[[#This Row],[Colonne1]],"[Fin de période]")),0)</f>
        <v>1</v>
      </c>
      <c r="K345" t="e">
        <f ca="1">INDEX(INDIRECT(CONCATENATE("Tab_",Tab_Calculs[[#This Row],[Colonne1]])),Tab_Calculs[[#This Row],[index_date_livraison]]-1,6)*(MAX(Tab_Calculs[[#This Row],[Début periode livraison]],Tab_Calculs[[#This Row],[Début mois]])-Tab_Calculs[[#This Row],[Début mois]])</f>
        <v>#VALUE!</v>
      </c>
      <c r="L345" s="94" t="e">
        <f ca="1">INDEX(INDIRECT(CONCATENATE("Tab_",Tab_Calculs[[#This Row],[Colonne1]])),Tab_Calculs[[#This Row],[index_date_livraison]],6)*(1+MIN(Tab_Calculs[[#This Row],[Date_livraison]],Tab_Calculs[[#This Row],[fin mois]])-MAX(Tab_Calculs[[#This Row],[Début mois]],Tab_Calculs[[#This Row],[Début periode livraison]]))</f>
        <v>#NUM!</v>
      </c>
      <c r="M345" s="94" t="e">
        <f ca="1">INDEX(INDIRECT(CONCATENATE("Tab_",Tab_Calculs[[#This Row],[Colonne1]])),Tab_Calculs[[#This Row],[index_date_livraison]]+1,6)*(Tab_Calculs[[#This Row],[fin mois]]-MIN(Tab_Calculs[[#This Row],[fin mois]],Tab_Calculs[[#This Row],[Date_livraison]]))</f>
        <v>#VALUE!</v>
      </c>
      <c r="N345" s="231" t="str">
        <f ca="1">IFERROR(Tab_Calculs[[#This Row],[Ratio_jour_après_livr]]+Tab_Calculs[[#This Row],[Ratio_jour_avant_livr]]+Tab_Calculs[[#This Row],[ratio_avant_debut]],"")</f>
        <v/>
      </c>
      <c r="O345" t="e">
        <f ca="1">INDEX(INDIRECT(CONCATENATE("Tab_",Tab_Calculs[[#This Row],[Colonne1]])),Tab_Calculs[[#This Row],[index_date_livraison]]-1,7)*(MAX(Tab_Calculs[[#This Row],[Début periode livraison]],Tab_Calculs[[#This Row],[Début mois]])-Tab_Calculs[[#This Row],[Début mois]])</f>
        <v>#VALUE!</v>
      </c>
      <c r="P345" t="e">
        <f ca="1">INDEX(INDIRECT(CONCATENATE("Tab_",Tab_Calculs[[#This Row],[Colonne1]])),Tab_Calculs[[#This Row],[index_date_livraison]],7)*(1+MIN(Tab_Calculs[[#This Row],[Date_livraison]],Tab_Calculs[[#This Row],[fin mois]])-MAX(Tab_Calculs[[#This Row],[Début mois]],Tab_Calculs[[#This Row],[Début periode livraison]]))</f>
        <v>#NUM!</v>
      </c>
      <c r="Q345" t="e">
        <f ca="1">INDEX(INDIRECT(CONCATENATE("Tab_",Tab_Calculs[[#This Row],[Colonne1]])),Tab_Calculs[[#This Row],[index_date_livraison]]+1,7)*(Tab_Calculs[[#This Row],[fin mois]]-MIN(Tab_Calculs[[#This Row],[fin mois]],Tab_Calculs[[#This Row],[Date_livraison]]))</f>
        <v>#VALUE!</v>
      </c>
      <c r="R345" t="e">
        <f ca="1">Tab_Calculs[[#This Row],[Ratio_Cout_après_livr]]+Tab_Calculs[[#This Row],[Ratio_Cout_avant_livr]]+Tab_Calculs[[#This Row],[Ratio_Cout_avant_debut]]</f>
        <v>#VALUE!</v>
      </c>
      <c r="S345" t="str">
        <f ca="1">IFERROR(N345*VLOOKUP(Tab_Calculs[[#This Row],[Colonne1]],Controle_des_données!$B$7:$G$14,6,FALSE),"")</f>
        <v/>
      </c>
      <c r="T345" t="str">
        <f ca="1">IF(Tab_Calculs[[#This Row],[Combustible ]]="Electricité (kWh)",Tab_Calculs[[#This Row],[Conso_mois_kWh]]*2.3,Tab_Calculs[[#This Row],[Conso_mois_kWh]])</f>
        <v/>
      </c>
      <c r="U345" t="str">
        <f ca="1">IFERROR(N345*VLOOKUP(Tab_Calculs[[#This Row],[Colonne1]],Controle_des_données!$B$7:$H$14,7,FALSE),"")</f>
        <v/>
      </c>
      <c r="V345">
        <f ca="1">IFERROR(Tab_Calculs[[#This Row],[Cout_mois]]/Tab_Calculs[[#This Row],[Conso_mois_kWh]],0)</f>
        <v>0</v>
      </c>
      <c r="W345" t="str">
        <f>T(VLOOKUP(Tab_Calculs[[#This Row],[Compteur]],Site!$B$33:$G$40,3,FALSE))</f>
        <v/>
      </c>
      <c r="X345" t="str">
        <f>T(VLOOKUP(Tab_Calculs[[#This Row],[Compteur]],Site!$B$33:$G$40,4,FALSE))</f>
        <v/>
      </c>
      <c r="Y345" t="str">
        <f>T(VLOOKUP(Tab_Calculs[[#This Row],[Compteur]],Site!$B$33:$G$40,5,FALSE))</f>
        <v/>
      </c>
      <c r="Z345" t="str">
        <f>T(VLOOKUP(Tab_Calculs[[#This Row],[Compteur]],Site!$B$33:$G$40,6,FALSE))</f>
        <v/>
      </c>
      <c r="AA345">
        <f>IFERROR(GETPIVOTDATA("DJU(chauffagiste)",BDD_DJU!$P$13,"annee",Tab_Calculs[[#This Row],[ANNEE]],"mois_numero",Tab_Calculs[[#This Row],[MOIS]]),0)</f>
        <v>396.3</v>
      </c>
    </row>
    <row r="346" spans="1:27" x14ac:dyDescent="0.25">
      <c r="A346" s="3">
        <f>DATE(Tab_Calculs[[#This Row],[ANNEE]],Tab_Calculs[[#This Row],[MOIS]],1)</f>
        <v>44593</v>
      </c>
      <c r="B346" s="3">
        <f>EDATE(Tab_Calculs[[#This Row],[Début mois]],1)-1</f>
        <v>44620</v>
      </c>
      <c r="C346">
        <f t="shared" si="10"/>
        <v>2</v>
      </c>
      <c r="D346">
        <f t="shared" si="11"/>
        <v>2022</v>
      </c>
      <c r="E346" t="s">
        <v>81</v>
      </c>
      <c r="F346" t="str">
        <f>SUBSTITUTE(Tab_Calculs[[#This Row],[Compteur]]," ","_")</f>
        <v>Compteur_2</v>
      </c>
      <c r="G346" t="str">
        <f>T(INDEX(Site!$B$33:$G$40, MATCH(Tab_Calculs[[#This Row],[Compteur]], Site!$B$33:$B$40,0),2))</f>
        <v/>
      </c>
      <c r="H346" s="3">
        <f t="array" aca="1" ref="H346" ca="1">MIN(IF(INDIRECT(CONCATENATE(Tab_Calculs[[#This Row],[Colonne1]],"!$B$2:$B$243"))&gt;=Calculs_Consos!$A346,INDIRECT(CONCATENATE(Tab_Calculs[[#This Row],[Colonne1]],"!$B$2:$B$243"))))</f>
        <v>0</v>
      </c>
      <c r="I346" s="3" t="e">
        <f ca="1">INDEX(INDIRECT(CONCATENATE("Tab_",Tab_Calculs[[#This Row],[Colonne1]])),Tab_Calculs[[#This Row],[index_date_livraison]],1)</f>
        <v>#NUM!</v>
      </c>
      <c r="J346">
        <f ca="1">MATCH(Tab_Calculs[[#This Row],[Date_livraison]],INDIRECT(CONCATENATE("Tab_",Tab_Calculs[[#This Row],[Colonne1]],"[Fin de période]")),0)</f>
        <v>1</v>
      </c>
      <c r="K346" t="e">
        <f ca="1">INDEX(INDIRECT(CONCATENATE("Tab_",Tab_Calculs[[#This Row],[Colonne1]])),Tab_Calculs[[#This Row],[index_date_livraison]]-1,6)*(MAX(Tab_Calculs[[#This Row],[Début periode livraison]],Tab_Calculs[[#This Row],[Début mois]])-Tab_Calculs[[#This Row],[Début mois]])</f>
        <v>#VALUE!</v>
      </c>
      <c r="L346" s="94" t="e">
        <f ca="1">INDEX(INDIRECT(CONCATENATE("Tab_",Tab_Calculs[[#This Row],[Colonne1]])),Tab_Calculs[[#This Row],[index_date_livraison]],6)*(1+MIN(Tab_Calculs[[#This Row],[Date_livraison]],Tab_Calculs[[#This Row],[fin mois]])-MAX(Tab_Calculs[[#This Row],[Début mois]],Tab_Calculs[[#This Row],[Début periode livraison]]))</f>
        <v>#NUM!</v>
      </c>
      <c r="M346" s="94" t="e">
        <f ca="1">INDEX(INDIRECT(CONCATENATE("Tab_",Tab_Calculs[[#This Row],[Colonne1]])),Tab_Calculs[[#This Row],[index_date_livraison]]+1,6)*(Tab_Calculs[[#This Row],[fin mois]]-MIN(Tab_Calculs[[#This Row],[fin mois]],Tab_Calculs[[#This Row],[Date_livraison]]))</f>
        <v>#VALUE!</v>
      </c>
      <c r="N346" s="231" t="str">
        <f ca="1">IFERROR(Tab_Calculs[[#This Row],[Ratio_jour_après_livr]]+Tab_Calculs[[#This Row],[Ratio_jour_avant_livr]]+Tab_Calculs[[#This Row],[ratio_avant_debut]],"")</f>
        <v/>
      </c>
      <c r="O346" t="e">
        <f ca="1">INDEX(INDIRECT(CONCATENATE("Tab_",Tab_Calculs[[#This Row],[Colonne1]])),Tab_Calculs[[#This Row],[index_date_livraison]]-1,7)*(MAX(Tab_Calculs[[#This Row],[Début periode livraison]],Tab_Calculs[[#This Row],[Début mois]])-Tab_Calculs[[#This Row],[Début mois]])</f>
        <v>#VALUE!</v>
      </c>
      <c r="P346" t="e">
        <f ca="1">INDEX(INDIRECT(CONCATENATE("Tab_",Tab_Calculs[[#This Row],[Colonne1]])),Tab_Calculs[[#This Row],[index_date_livraison]],7)*(1+MIN(Tab_Calculs[[#This Row],[Date_livraison]],Tab_Calculs[[#This Row],[fin mois]])-MAX(Tab_Calculs[[#This Row],[Début mois]],Tab_Calculs[[#This Row],[Début periode livraison]]))</f>
        <v>#NUM!</v>
      </c>
      <c r="Q346" t="e">
        <f ca="1">INDEX(INDIRECT(CONCATENATE("Tab_",Tab_Calculs[[#This Row],[Colonne1]])),Tab_Calculs[[#This Row],[index_date_livraison]]+1,7)*(Tab_Calculs[[#This Row],[fin mois]]-MIN(Tab_Calculs[[#This Row],[fin mois]],Tab_Calculs[[#This Row],[Date_livraison]]))</f>
        <v>#VALUE!</v>
      </c>
      <c r="R346" t="e">
        <f ca="1">Tab_Calculs[[#This Row],[Ratio_Cout_après_livr]]+Tab_Calculs[[#This Row],[Ratio_Cout_avant_livr]]+Tab_Calculs[[#This Row],[Ratio_Cout_avant_debut]]</f>
        <v>#VALUE!</v>
      </c>
      <c r="S346" t="str">
        <f ca="1">IFERROR(N346*VLOOKUP(Tab_Calculs[[#This Row],[Colonne1]],Controle_des_données!$B$7:$G$14,6,FALSE),"")</f>
        <v/>
      </c>
      <c r="T346" t="str">
        <f ca="1">IF(Tab_Calculs[[#This Row],[Combustible ]]="Electricité (kWh)",Tab_Calculs[[#This Row],[Conso_mois_kWh]]*2.3,Tab_Calculs[[#This Row],[Conso_mois_kWh]])</f>
        <v/>
      </c>
      <c r="U346" t="str">
        <f ca="1">IFERROR(N346*VLOOKUP(Tab_Calculs[[#This Row],[Colonne1]],Controle_des_données!$B$7:$H$14,7,FALSE),"")</f>
        <v/>
      </c>
      <c r="V346">
        <f ca="1">IFERROR(Tab_Calculs[[#This Row],[Cout_mois]]/Tab_Calculs[[#This Row],[Conso_mois_kWh]],0)</f>
        <v>0</v>
      </c>
      <c r="W346" t="str">
        <f>T(VLOOKUP(Tab_Calculs[[#This Row],[Compteur]],Site!$B$33:$G$40,3,FALSE))</f>
        <v/>
      </c>
      <c r="X346" t="str">
        <f>T(VLOOKUP(Tab_Calculs[[#This Row],[Compteur]],Site!$B$33:$G$40,4,FALSE))</f>
        <v/>
      </c>
      <c r="Y346" t="str">
        <f>T(VLOOKUP(Tab_Calculs[[#This Row],[Compteur]],Site!$B$33:$G$40,5,FALSE))</f>
        <v/>
      </c>
      <c r="Z346" t="str">
        <f>T(VLOOKUP(Tab_Calculs[[#This Row],[Compteur]],Site!$B$33:$G$40,6,FALSE))</f>
        <v/>
      </c>
      <c r="AA346">
        <f>IFERROR(GETPIVOTDATA("DJU(chauffagiste)",BDD_DJU!$P$13,"annee",Tab_Calculs[[#This Row],[ANNEE]],"mois_numero",Tab_Calculs[[#This Row],[MOIS]]),0)</f>
        <v>286.10000000000002</v>
      </c>
    </row>
    <row r="347" spans="1:27" x14ac:dyDescent="0.25">
      <c r="A347" s="3">
        <f>DATE(Tab_Calculs[[#This Row],[ANNEE]],Tab_Calculs[[#This Row],[MOIS]],1)</f>
        <v>44621</v>
      </c>
      <c r="B347" s="3">
        <f>EDATE(Tab_Calculs[[#This Row],[Début mois]],1)-1</f>
        <v>44651</v>
      </c>
      <c r="C347">
        <f t="shared" si="10"/>
        <v>3</v>
      </c>
      <c r="D347">
        <f t="shared" si="11"/>
        <v>2022</v>
      </c>
      <c r="E347" t="s">
        <v>81</v>
      </c>
      <c r="F347" t="str">
        <f>SUBSTITUTE(Tab_Calculs[[#This Row],[Compteur]]," ","_")</f>
        <v>Compteur_2</v>
      </c>
      <c r="G347" t="str">
        <f>T(INDEX(Site!$B$33:$G$40, MATCH(Tab_Calculs[[#This Row],[Compteur]], Site!$B$33:$B$40,0),2))</f>
        <v/>
      </c>
      <c r="H347" s="3">
        <f t="array" aca="1" ref="H347" ca="1">MIN(IF(INDIRECT(CONCATENATE(Tab_Calculs[[#This Row],[Colonne1]],"!$B$2:$B$243"))&gt;=Calculs_Consos!$A347,INDIRECT(CONCATENATE(Tab_Calculs[[#This Row],[Colonne1]],"!$B$2:$B$243"))))</f>
        <v>0</v>
      </c>
      <c r="I347" s="3" t="e">
        <f ca="1">INDEX(INDIRECT(CONCATENATE("Tab_",Tab_Calculs[[#This Row],[Colonne1]])),Tab_Calculs[[#This Row],[index_date_livraison]],1)</f>
        <v>#NUM!</v>
      </c>
      <c r="J347">
        <f ca="1">MATCH(Tab_Calculs[[#This Row],[Date_livraison]],INDIRECT(CONCATENATE("Tab_",Tab_Calculs[[#This Row],[Colonne1]],"[Fin de période]")),0)</f>
        <v>1</v>
      </c>
      <c r="K347" t="e">
        <f ca="1">INDEX(INDIRECT(CONCATENATE("Tab_",Tab_Calculs[[#This Row],[Colonne1]])),Tab_Calculs[[#This Row],[index_date_livraison]]-1,6)*(MAX(Tab_Calculs[[#This Row],[Début periode livraison]],Tab_Calculs[[#This Row],[Début mois]])-Tab_Calculs[[#This Row],[Début mois]])</f>
        <v>#VALUE!</v>
      </c>
      <c r="L347" s="94" t="e">
        <f ca="1">INDEX(INDIRECT(CONCATENATE("Tab_",Tab_Calculs[[#This Row],[Colonne1]])),Tab_Calculs[[#This Row],[index_date_livraison]],6)*(1+MIN(Tab_Calculs[[#This Row],[Date_livraison]],Tab_Calculs[[#This Row],[fin mois]])-MAX(Tab_Calculs[[#This Row],[Début mois]],Tab_Calculs[[#This Row],[Début periode livraison]]))</f>
        <v>#NUM!</v>
      </c>
      <c r="M347" s="94" t="e">
        <f ca="1">INDEX(INDIRECT(CONCATENATE("Tab_",Tab_Calculs[[#This Row],[Colonne1]])),Tab_Calculs[[#This Row],[index_date_livraison]]+1,6)*(Tab_Calculs[[#This Row],[fin mois]]-MIN(Tab_Calculs[[#This Row],[fin mois]],Tab_Calculs[[#This Row],[Date_livraison]]))</f>
        <v>#VALUE!</v>
      </c>
      <c r="N347" s="231" t="str">
        <f ca="1">IFERROR(Tab_Calculs[[#This Row],[Ratio_jour_après_livr]]+Tab_Calculs[[#This Row],[Ratio_jour_avant_livr]]+Tab_Calculs[[#This Row],[ratio_avant_debut]],"")</f>
        <v/>
      </c>
      <c r="O347" t="e">
        <f ca="1">INDEX(INDIRECT(CONCATENATE("Tab_",Tab_Calculs[[#This Row],[Colonne1]])),Tab_Calculs[[#This Row],[index_date_livraison]]-1,7)*(MAX(Tab_Calculs[[#This Row],[Début periode livraison]],Tab_Calculs[[#This Row],[Début mois]])-Tab_Calculs[[#This Row],[Début mois]])</f>
        <v>#VALUE!</v>
      </c>
      <c r="P347" t="e">
        <f ca="1">INDEX(INDIRECT(CONCATENATE("Tab_",Tab_Calculs[[#This Row],[Colonne1]])),Tab_Calculs[[#This Row],[index_date_livraison]],7)*(1+MIN(Tab_Calculs[[#This Row],[Date_livraison]],Tab_Calculs[[#This Row],[fin mois]])-MAX(Tab_Calculs[[#This Row],[Début mois]],Tab_Calculs[[#This Row],[Début periode livraison]]))</f>
        <v>#NUM!</v>
      </c>
      <c r="Q347" t="e">
        <f ca="1">INDEX(INDIRECT(CONCATENATE("Tab_",Tab_Calculs[[#This Row],[Colonne1]])),Tab_Calculs[[#This Row],[index_date_livraison]]+1,7)*(Tab_Calculs[[#This Row],[fin mois]]-MIN(Tab_Calculs[[#This Row],[fin mois]],Tab_Calculs[[#This Row],[Date_livraison]]))</f>
        <v>#VALUE!</v>
      </c>
      <c r="R347" t="e">
        <f ca="1">Tab_Calculs[[#This Row],[Ratio_Cout_après_livr]]+Tab_Calculs[[#This Row],[Ratio_Cout_avant_livr]]+Tab_Calculs[[#This Row],[Ratio_Cout_avant_debut]]</f>
        <v>#VALUE!</v>
      </c>
      <c r="S347" t="str">
        <f ca="1">IFERROR(N347*VLOOKUP(Tab_Calculs[[#This Row],[Colonne1]],Controle_des_données!$B$7:$G$14,6,FALSE),"")</f>
        <v/>
      </c>
      <c r="T347" t="str">
        <f ca="1">IF(Tab_Calculs[[#This Row],[Combustible ]]="Electricité (kWh)",Tab_Calculs[[#This Row],[Conso_mois_kWh]]*2.3,Tab_Calculs[[#This Row],[Conso_mois_kWh]])</f>
        <v/>
      </c>
      <c r="U347" t="str">
        <f ca="1">IFERROR(N347*VLOOKUP(Tab_Calculs[[#This Row],[Colonne1]],Controle_des_données!$B$7:$H$14,7,FALSE),"")</f>
        <v/>
      </c>
      <c r="V347">
        <f ca="1">IFERROR(Tab_Calculs[[#This Row],[Cout_mois]]/Tab_Calculs[[#This Row],[Conso_mois_kWh]],0)</f>
        <v>0</v>
      </c>
      <c r="W347" t="str">
        <f>T(VLOOKUP(Tab_Calculs[[#This Row],[Compteur]],Site!$B$33:$G$40,3,FALSE))</f>
        <v/>
      </c>
      <c r="X347" t="str">
        <f>T(VLOOKUP(Tab_Calculs[[#This Row],[Compteur]],Site!$B$33:$G$40,4,FALSE))</f>
        <v/>
      </c>
      <c r="Y347" t="str">
        <f>T(VLOOKUP(Tab_Calculs[[#This Row],[Compteur]],Site!$B$33:$G$40,5,FALSE))</f>
        <v/>
      </c>
      <c r="Z347" t="str">
        <f>T(VLOOKUP(Tab_Calculs[[#This Row],[Compteur]],Site!$B$33:$G$40,6,FALSE))</f>
        <v/>
      </c>
      <c r="AA347">
        <f>IFERROR(GETPIVOTDATA("DJU(chauffagiste)",BDD_DJU!$P$13,"annee",Tab_Calculs[[#This Row],[ANNEE]],"mois_numero",Tab_Calculs[[#This Row],[MOIS]]),0)</f>
        <v>239.8</v>
      </c>
    </row>
    <row r="348" spans="1:27" x14ac:dyDescent="0.25">
      <c r="A348" s="3">
        <f>DATE(Tab_Calculs[[#This Row],[ANNEE]],Tab_Calculs[[#This Row],[MOIS]],1)</f>
        <v>44652</v>
      </c>
      <c r="B348" s="3">
        <f>EDATE(Tab_Calculs[[#This Row],[Début mois]],1)-1</f>
        <v>44681</v>
      </c>
      <c r="C348">
        <f t="shared" si="10"/>
        <v>4</v>
      </c>
      <c r="D348">
        <f t="shared" si="11"/>
        <v>2022</v>
      </c>
      <c r="E348" t="s">
        <v>81</v>
      </c>
      <c r="F348" t="str">
        <f>SUBSTITUTE(Tab_Calculs[[#This Row],[Compteur]]," ","_")</f>
        <v>Compteur_2</v>
      </c>
      <c r="G348" t="str">
        <f>T(INDEX(Site!$B$33:$G$40, MATCH(Tab_Calculs[[#This Row],[Compteur]], Site!$B$33:$B$40,0),2))</f>
        <v/>
      </c>
      <c r="H348" s="3">
        <f t="array" aca="1" ref="H348" ca="1">MIN(IF(INDIRECT(CONCATENATE(Tab_Calculs[[#This Row],[Colonne1]],"!$B$2:$B$243"))&gt;=Calculs_Consos!$A348,INDIRECT(CONCATENATE(Tab_Calculs[[#This Row],[Colonne1]],"!$B$2:$B$243"))))</f>
        <v>0</v>
      </c>
      <c r="I348" s="3" t="e">
        <f ca="1">INDEX(INDIRECT(CONCATENATE("Tab_",Tab_Calculs[[#This Row],[Colonne1]])),Tab_Calculs[[#This Row],[index_date_livraison]],1)</f>
        <v>#NUM!</v>
      </c>
      <c r="J348">
        <f ca="1">MATCH(Tab_Calculs[[#This Row],[Date_livraison]],INDIRECT(CONCATENATE("Tab_",Tab_Calculs[[#This Row],[Colonne1]],"[Fin de période]")),0)</f>
        <v>1</v>
      </c>
      <c r="K348" t="e">
        <f ca="1">INDEX(INDIRECT(CONCATENATE("Tab_",Tab_Calculs[[#This Row],[Colonne1]])),Tab_Calculs[[#This Row],[index_date_livraison]]-1,6)*(MAX(Tab_Calculs[[#This Row],[Début periode livraison]],Tab_Calculs[[#This Row],[Début mois]])-Tab_Calculs[[#This Row],[Début mois]])</f>
        <v>#VALUE!</v>
      </c>
      <c r="L348" s="94" t="e">
        <f ca="1">INDEX(INDIRECT(CONCATENATE("Tab_",Tab_Calculs[[#This Row],[Colonne1]])),Tab_Calculs[[#This Row],[index_date_livraison]],6)*(1+MIN(Tab_Calculs[[#This Row],[Date_livraison]],Tab_Calculs[[#This Row],[fin mois]])-MAX(Tab_Calculs[[#This Row],[Début mois]],Tab_Calculs[[#This Row],[Début periode livraison]]))</f>
        <v>#NUM!</v>
      </c>
      <c r="M348" s="94" t="e">
        <f ca="1">INDEX(INDIRECT(CONCATENATE("Tab_",Tab_Calculs[[#This Row],[Colonne1]])),Tab_Calculs[[#This Row],[index_date_livraison]]+1,6)*(Tab_Calculs[[#This Row],[fin mois]]-MIN(Tab_Calculs[[#This Row],[fin mois]],Tab_Calculs[[#This Row],[Date_livraison]]))</f>
        <v>#VALUE!</v>
      </c>
      <c r="N348" s="231" t="str">
        <f ca="1">IFERROR(Tab_Calculs[[#This Row],[Ratio_jour_après_livr]]+Tab_Calculs[[#This Row],[Ratio_jour_avant_livr]]+Tab_Calculs[[#This Row],[ratio_avant_debut]],"")</f>
        <v/>
      </c>
      <c r="O348" t="e">
        <f ca="1">INDEX(INDIRECT(CONCATENATE("Tab_",Tab_Calculs[[#This Row],[Colonne1]])),Tab_Calculs[[#This Row],[index_date_livraison]]-1,7)*(MAX(Tab_Calculs[[#This Row],[Début periode livraison]],Tab_Calculs[[#This Row],[Début mois]])-Tab_Calculs[[#This Row],[Début mois]])</f>
        <v>#VALUE!</v>
      </c>
      <c r="P348" t="e">
        <f ca="1">INDEX(INDIRECT(CONCATENATE("Tab_",Tab_Calculs[[#This Row],[Colonne1]])),Tab_Calculs[[#This Row],[index_date_livraison]],7)*(1+MIN(Tab_Calculs[[#This Row],[Date_livraison]],Tab_Calculs[[#This Row],[fin mois]])-MAX(Tab_Calculs[[#This Row],[Début mois]],Tab_Calculs[[#This Row],[Début periode livraison]]))</f>
        <v>#NUM!</v>
      </c>
      <c r="Q348" t="e">
        <f ca="1">INDEX(INDIRECT(CONCATENATE("Tab_",Tab_Calculs[[#This Row],[Colonne1]])),Tab_Calculs[[#This Row],[index_date_livraison]]+1,7)*(Tab_Calculs[[#This Row],[fin mois]]-MIN(Tab_Calculs[[#This Row],[fin mois]],Tab_Calculs[[#This Row],[Date_livraison]]))</f>
        <v>#VALUE!</v>
      </c>
      <c r="R348" t="e">
        <f ca="1">Tab_Calculs[[#This Row],[Ratio_Cout_après_livr]]+Tab_Calculs[[#This Row],[Ratio_Cout_avant_livr]]+Tab_Calculs[[#This Row],[Ratio_Cout_avant_debut]]</f>
        <v>#VALUE!</v>
      </c>
      <c r="S348" t="str">
        <f ca="1">IFERROR(N348*VLOOKUP(Tab_Calculs[[#This Row],[Colonne1]],Controle_des_données!$B$7:$G$14,6,FALSE),"")</f>
        <v/>
      </c>
      <c r="T348" t="str">
        <f ca="1">IF(Tab_Calculs[[#This Row],[Combustible ]]="Electricité (kWh)",Tab_Calculs[[#This Row],[Conso_mois_kWh]]*2.3,Tab_Calculs[[#This Row],[Conso_mois_kWh]])</f>
        <v/>
      </c>
      <c r="U348" t="str">
        <f ca="1">IFERROR(N348*VLOOKUP(Tab_Calculs[[#This Row],[Colonne1]],Controle_des_données!$B$7:$H$14,7,FALSE),"")</f>
        <v/>
      </c>
      <c r="V348">
        <f ca="1">IFERROR(Tab_Calculs[[#This Row],[Cout_mois]]/Tab_Calculs[[#This Row],[Conso_mois_kWh]],0)</f>
        <v>0</v>
      </c>
      <c r="W348" t="str">
        <f>T(VLOOKUP(Tab_Calculs[[#This Row],[Compteur]],Site!$B$33:$G$40,3,FALSE))</f>
        <v/>
      </c>
      <c r="X348" t="str">
        <f>T(VLOOKUP(Tab_Calculs[[#This Row],[Compteur]],Site!$B$33:$G$40,4,FALSE))</f>
        <v/>
      </c>
      <c r="Y348" t="str">
        <f>T(VLOOKUP(Tab_Calculs[[#This Row],[Compteur]],Site!$B$33:$G$40,5,FALSE))</f>
        <v/>
      </c>
      <c r="Z348" t="str">
        <f>T(VLOOKUP(Tab_Calculs[[#This Row],[Compteur]],Site!$B$33:$G$40,6,FALSE))</f>
        <v/>
      </c>
      <c r="AA348">
        <f>IFERROR(GETPIVOTDATA("DJU(chauffagiste)",BDD_DJU!$P$13,"annee",Tab_Calculs[[#This Row],[ANNEE]],"mois_numero",Tab_Calculs[[#This Row],[MOIS]]),0)</f>
        <v>192.3</v>
      </c>
    </row>
    <row r="349" spans="1:27" x14ac:dyDescent="0.25">
      <c r="A349" s="3">
        <f>DATE(Tab_Calculs[[#This Row],[ANNEE]],Tab_Calculs[[#This Row],[MOIS]],1)</f>
        <v>44682</v>
      </c>
      <c r="B349" s="3">
        <f>EDATE(Tab_Calculs[[#This Row],[Début mois]],1)-1</f>
        <v>44712</v>
      </c>
      <c r="C349">
        <f t="shared" si="10"/>
        <v>5</v>
      </c>
      <c r="D349">
        <f t="shared" si="11"/>
        <v>2022</v>
      </c>
      <c r="E349" t="s">
        <v>81</v>
      </c>
      <c r="F349" t="str">
        <f>SUBSTITUTE(Tab_Calculs[[#This Row],[Compteur]]," ","_")</f>
        <v>Compteur_2</v>
      </c>
      <c r="G349" t="str">
        <f>T(INDEX(Site!$B$33:$G$40, MATCH(Tab_Calculs[[#This Row],[Compteur]], Site!$B$33:$B$40,0),2))</f>
        <v/>
      </c>
      <c r="H349" s="3">
        <f t="array" aca="1" ref="H349" ca="1">MIN(IF(INDIRECT(CONCATENATE(Tab_Calculs[[#This Row],[Colonne1]],"!$B$2:$B$243"))&gt;=Calculs_Consos!$A349,INDIRECT(CONCATENATE(Tab_Calculs[[#This Row],[Colonne1]],"!$B$2:$B$243"))))</f>
        <v>0</v>
      </c>
      <c r="I349" s="3" t="e">
        <f ca="1">INDEX(INDIRECT(CONCATENATE("Tab_",Tab_Calculs[[#This Row],[Colonne1]])),Tab_Calculs[[#This Row],[index_date_livraison]],1)</f>
        <v>#NUM!</v>
      </c>
      <c r="J349">
        <f ca="1">MATCH(Tab_Calculs[[#This Row],[Date_livraison]],INDIRECT(CONCATENATE("Tab_",Tab_Calculs[[#This Row],[Colonne1]],"[Fin de période]")),0)</f>
        <v>1</v>
      </c>
      <c r="K349" t="e">
        <f ca="1">INDEX(INDIRECT(CONCATENATE("Tab_",Tab_Calculs[[#This Row],[Colonne1]])),Tab_Calculs[[#This Row],[index_date_livraison]]-1,6)*(MAX(Tab_Calculs[[#This Row],[Début periode livraison]],Tab_Calculs[[#This Row],[Début mois]])-Tab_Calculs[[#This Row],[Début mois]])</f>
        <v>#VALUE!</v>
      </c>
      <c r="L349" s="94" t="e">
        <f ca="1">INDEX(INDIRECT(CONCATENATE("Tab_",Tab_Calculs[[#This Row],[Colonne1]])),Tab_Calculs[[#This Row],[index_date_livraison]],6)*(1+MIN(Tab_Calculs[[#This Row],[Date_livraison]],Tab_Calculs[[#This Row],[fin mois]])-MAX(Tab_Calculs[[#This Row],[Début mois]],Tab_Calculs[[#This Row],[Début periode livraison]]))</f>
        <v>#NUM!</v>
      </c>
      <c r="M349" s="94" t="e">
        <f ca="1">INDEX(INDIRECT(CONCATENATE("Tab_",Tab_Calculs[[#This Row],[Colonne1]])),Tab_Calculs[[#This Row],[index_date_livraison]]+1,6)*(Tab_Calculs[[#This Row],[fin mois]]-MIN(Tab_Calculs[[#This Row],[fin mois]],Tab_Calculs[[#This Row],[Date_livraison]]))</f>
        <v>#VALUE!</v>
      </c>
      <c r="N349" s="231" t="str">
        <f ca="1">IFERROR(Tab_Calculs[[#This Row],[Ratio_jour_après_livr]]+Tab_Calculs[[#This Row],[Ratio_jour_avant_livr]]+Tab_Calculs[[#This Row],[ratio_avant_debut]],"")</f>
        <v/>
      </c>
      <c r="O349" t="e">
        <f ca="1">INDEX(INDIRECT(CONCATENATE("Tab_",Tab_Calculs[[#This Row],[Colonne1]])),Tab_Calculs[[#This Row],[index_date_livraison]]-1,7)*(MAX(Tab_Calculs[[#This Row],[Début periode livraison]],Tab_Calculs[[#This Row],[Début mois]])-Tab_Calculs[[#This Row],[Début mois]])</f>
        <v>#VALUE!</v>
      </c>
      <c r="P349" t="e">
        <f ca="1">INDEX(INDIRECT(CONCATENATE("Tab_",Tab_Calculs[[#This Row],[Colonne1]])),Tab_Calculs[[#This Row],[index_date_livraison]],7)*(1+MIN(Tab_Calculs[[#This Row],[Date_livraison]],Tab_Calculs[[#This Row],[fin mois]])-MAX(Tab_Calculs[[#This Row],[Début mois]],Tab_Calculs[[#This Row],[Début periode livraison]]))</f>
        <v>#NUM!</v>
      </c>
      <c r="Q349" t="e">
        <f ca="1">INDEX(INDIRECT(CONCATENATE("Tab_",Tab_Calculs[[#This Row],[Colonne1]])),Tab_Calculs[[#This Row],[index_date_livraison]]+1,7)*(Tab_Calculs[[#This Row],[fin mois]]-MIN(Tab_Calculs[[#This Row],[fin mois]],Tab_Calculs[[#This Row],[Date_livraison]]))</f>
        <v>#VALUE!</v>
      </c>
      <c r="R349" t="e">
        <f ca="1">Tab_Calculs[[#This Row],[Ratio_Cout_après_livr]]+Tab_Calculs[[#This Row],[Ratio_Cout_avant_livr]]+Tab_Calculs[[#This Row],[Ratio_Cout_avant_debut]]</f>
        <v>#VALUE!</v>
      </c>
      <c r="S349" t="str">
        <f ca="1">IFERROR(N349*VLOOKUP(Tab_Calculs[[#This Row],[Colonne1]],Controle_des_données!$B$7:$G$14,6,FALSE),"")</f>
        <v/>
      </c>
      <c r="T349" t="str">
        <f ca="1">IF(Tab_Calculs[[#This Row],[Combustible ]]="Electricité (kWh)",Tab_Calculs[[#This Row],[Conso_mois_kWh]]*2.3,Tab_Calculs[[#This Row],[Conso_mois_kWh]])</f>
        <v/>
      </c>
      <c r="U349" t="str">
        <f ca="1">IFERROR(N349*VLOOKUP(Tab_Calculs[[#This Row],[Colonne1]],Controle_des_données!$B$7:$H$14,7,FALSE),"")</f>
        <v/>
      </c>
      <c r="V349">
        <f ca="1">IFERROR(Tab_Calculs[[#This Row],[Cout_mois]]/Tab_Calculs[[#This Row],[Conso_mois_kWh]],0)</f>
        <v>0</v>
      </c>
      <c r="W349" t="str">
        <f>T(VLOOKUP(Tab_Calculs[[#This Row],[Compteur]],Site!$B$33:$G$40,3,FALSE))</f>
        <v/>
      </c>
      <c r="X349" t="str">
        <f>T(VLOOKUP(Tab_Calculs[[#This Row],[Compteur]],Site!$B$33:$G$40,4,FALSE))</f>
        <v/>
      </c>
      <c r="Y349" t="str">
        <f>T(VLOOKUP(Tab_Calculs[[#This Row],[Compteur]],Site!$B$33:$G$40,5,FALSE))</f>
        <v/>
      </c>
      <c r="Z349" t="str">
        <f>T(VLOOKUP(Tab_Calculs[[#This Row],[Compteur]],Site!$B$33:$G$40,6,FALSE))</f>
        <v/>
      </c>
      <c r="AA349">
        <f>IFERROR(GETPIVOTDATA("DJU(chauffagiste)",BDD_DJU!$P$13,"annee",Tab_Calculs[[#This Row],[ANNEE]],"mois_numero",Tab_Calculs[[#This Row],[MOIS]]),0)</f>
        <v>81.8</v>
      </c>
    </row>
    <row r="350" spans="1:27" x14ac:dyDescent="0.25">
      <c r="A350" s="3">
        <f>DATE(Tab_Calculs[[#This Row],[ANNEE]],Tab_Calculs[[#This Row],[MOIS]],1)</f>
        <v>44713</v>
      </c>
      <c r="B350" s="3">
        <f>EDATE(Tab_Calculs[[#This Row],[Début mois]],1)-1</f>
        <v>44742</v>
      </c>
      <c r="C350">
        <f t="shared" si="10"/>
        <v>6</v>
      </c>
      <c r="D350">
        <f t="shared" si="11"/>
        <v>2022</v>
      </c>
      <c r="E350" t="s">
        <v>81</v>
      </c>
      <c r="F350" t="str">
        <f>SUBSTITUTE(Tab_Calculs[[#This Row],[Compteur]]," ","_")</f>
        <v>Compteur_2</v>
      </c>
      <c r="G350" t="str">
        <f>T(INDEX(Site!$B$33:$G$40, MATCH(Tab_Calculs[[#This Row],[Compteur]], Site!$B$33:$B$40,0),2))</f>
        <v/>
      </c>
      <c r="H350" s="3">
        <f t="array" aca="1" ref="H350" ca="1">MIN(IF(INDIRECT(CONCATENATE(Tab_Calculs[[#This Row],[Colonne1]],"!$B$2:$B$243"))&gt;=Calculs_Consos!$A350,INDIRECT(CONCATENATE(Tab_Calculs[[#This Row],[Colonne1]],"!$B$2:$B$243"))))</f>
        <v>0</v>
      </c>
      <c r="I350" s="3" t="e">
        <f ca="1">INDEX(INDIRECT(CONCATENATE("Tab_",Tab_Calculs[[#This Row],[Colonne1]])),Tab_Calculs[[#This Row],[index_date_livraison]],1)</f>
        <v>#NUM!</v>
      </c>
      <c r="J350">
        <f ca="1">MATCH(Tab_Calculs[[#This Row],[Date_livraison]],INDIRECT(CONCATENATE("Tab_",Tab_Calculs[[#This Row],[Colonne1]],"[Fin de période]")),0)</f>
        <v>1</v>
      </c>
      <c r="K350" t="e">
        <f ca="1">INDEX(INDIRECT(CONCATENATE("Tab_",Tab_Calculs[[#This Row],[Colonne1]])),Tab_Calculs[[#This Row],[index_date_livraison]]-1,6)*(MAX(Tab_Calculs[[#This Row],[Début periode livraison]],Tab_Calculs[[#This Row],[Début mois]])-Tab_Calculs[[#This Row],[Début mois]])</f>
        <v>#VALUE!</v>
      </c>
      <c r="L350" s="94" t="e">
        <f ca="1">INDEX(INDIRECT(CONCATENATE("Tab_",Tab_Calculs[[#This Row],[Colonne1]])),Tab_Calculs[[#This Row],[index_date_livraison]],6)*(1+MIN(Tab_Calculs[[#This Row],[Date_livraison]],Tab_Calculs[[#This Row],[fin mois]])-MAX(Tab_Calculs[[#This Row],[Début mois]],Tab_Calculs[[#This Row],[Début periode livraison]]))</f>
        <v>#NUM!</v>
      </c>
      <c r="M350" s="94" t="e">
        <f ca="1">INDEX(INDIRECT(CONCATENATE("Tab_",Tab_Calculs[[#This Row],[Colonne1]])),Tab_Calculs[[#This Row],[index_date_livraison]]+1,6)*(Tab_Calculs[[#This Row],[fin mois]]-MIN(Tab_Calculs[[#This Row],[fin mois]],Tab_Calculs[[#This Row],[Date_livraison]]))</f>
        <v>#VALUE!</v>
      </c>
      <c r="N350" s="231" t="str">
        <f ca="1">IFERROR(Tab_Calculs[[#This Row],[Ratio_jour_après_livr]]+Tab_Calculs[[#This Row],[Ratio_jour_avant_livr]]+Tab_Calculs[[#This Row],[ratio_avant_debut]],"")</f>
        <v/>
      </c>
      <c r="O350" t="e">
        <f ca="1">INDEX(INDIRECT(CONCATENATE("Tab_",Tab_Calculs[[#This Row],[Colonne1]])),Tab_Calculs[[#This Row],[index_date_livraison]]-1,7)*(MAX(Tab_Calculs[[#This Row],[Début periode livraison]],Tab_Calculs[[#This Row],[Début mois]])-Tab_Calculs[[#This Row],[Début mois]])</f>
        <v>#VALUE!</v>
      </c>
      <c r="P350" t="e">
        <f ca="1">INDEX(INDIRECT(CONCATENATE("Tab_",Tab_Calculs[[#This Row],[Colonne1]])),Tab_Calculs[[#This Row],[index_date_livraison]],7)*(1+MIN(Tab_Calculs[[#This Row],[Date_livraison]],Tab_Calculs[[#This Row],[fin mois]])-MAX(Tab_Calculs[[#This Row],[Début mois]],Tab_Calculs[[#This Row],[Début periode livraison]]))</f>
        <v>#NUM!</v>
      </c>
      <c r="Q350" t="e">
        <f ca="1">INDEX(INDIRECT(CONCATENATE("Tab_",Tab_Calculs[[#This Row],[Colonne1]])),Tab_Calculs[[#This Row],[index_date_livraison]]+1,7)*(Tab_Calculs[[#This Row],[fin mois]]-MIN(Tab_Calculs[[#This Row],[fin mois]],Tab_Calculs[[#This Row],[Date_livraison]]))</f>
        <v>#VALUE!</v>
      </c>
      <c r="R350" t="e">
        <f ca="1">Tab_Calculs[[#This Row],[Ratio_Cout_après_livr]]+Tab_Calculs[[#This Row],[Ratio_Cout_avant_livr]]+Tab_Calculs[[#This Row],[Ratio_Cout_avant_debut]]</f>
        <v>#VALUE!</v>
      </c>
      <c r="S350" t="str">
        <f ca="1">IFERROR(N350*VLOOKUP(Tab_Calculs[[#This Row],[Colonne1]],Controle_des_données!$B$7:$G$14,6,FALSE),"")</f>
        <v/>
      </c>
      <c r="T350" t="str">
        <f ca="1">IF(Tab_Calculs[[#This Row],[Combustible ]]="Electricité (kWh)",Tab_Calculs[[#This Row],[Conso_mois_kWh]]*2.3,Tab_Calculs[[#This Row],[Conso_mois_kWh]])</f>
        <v/>
      </c>
      <c r="U350" t="str">
        <f ca="1">IFERROR(N350*VLOOKUP(Tab_Calculs[[#This Row],[Colonne1]],Controle_des_données!$B$7:$H$14,7,FALSE),"")</f>
        <v/>
      </c>
      <c r="V350">
        <f ca="1">IFERROR(Tab_Calculs[[#This Row],[Cout_mois]]/Tab_Calculs[[#This Row],[Conso_mois_kWh]],0)</f>
        <v>0</v>
      </c>
      <c r="W350" t="str">
        <f>T(VLOOKUP(Tab_Calculs[[#This Row],[Compteur]],Site!$B$33:$G$40,3,FALSE))</f>
        <v/>
      </c>
      <c r="X350" t="str">
        <f>T(VLOOKUP(Tab_Calculs[[#This Row],[Compteur]],Site!$B$33:$G$40,4,FALSE))</f>
        <v/>
      </c>
      <c r="Y350" t="str">
        <f>T(VLOOKUP(Tab_Calculs[[#This Row],[Compteur]],Site!$B$33:$G$40,5,FALSE))</f>
        <v/>
      </c>
      <c r="Z350" t="str">
        <f>T(VLOOKUP(Tab_Calculs[[#This Row],[Compteur]],Site!$B$33:$G$40,6,FALSE))</f>
        <v/>
      </c>
      <c r="AA350">
        <f>IFERROR(GETPIVOTDATA("DJU(chauffagiste)",BDD_DJU!$P$13,"annee",Tab_Calculs[[#This Row],[ANNEE]],"mois_numero",Tab_Calculs[[#This Row],[MOIS]]),0)</f>
        <v>35.5</v>
      </c>
    </row>
    <row r="351" spans="1:27" x14ac:dyDescent="0.25">
      <c r="A351" s="3">
        <f>DATE(Tab_Calculs[[#This Row],[ANNEE]],Tab_Calculs[[#This Row],[MOIS]],1)</f>
        <v>44743</v>
      </c>
      <c r="B351" s="3">
        <f>EDATE(Tab_Calculs[[#This Row],[Début mois]],1)-1</f>
        <v>44773</v>
      </c>
      <c r="C351">
        <f t="shared" si="10"/>
        <v>7</v>
      </c>
      <c r="D351">
        <f t="shared" si="11"/>
        <v>2022</v>
      </c>
      <c r="E351" t="s">
        <v>81</v>
      </c>
      <c r="F351" t="str">
        <f>SUBSTITUTE(Tab_Calculs[[#This Row],[Compteur]]," ","_")</f>
        <v>Compteur_2</v>
      </c>
      <c r="G351" t="str">
        <f>T(INDEX(Site!$B$33:$G$40, MATCH(Tab_Calculs[[#This Row],[Compteur]], Site!$B$33:$B$40,0),2))</f>
        <v/>
      </c>
      <c r="H351" s="3">
        <f t="array" aca="1" ref="H351" ca="1">MIN(IF(INDIRECT(CONCATENATE(Tab_Calculs[[#This Row],[Colonne1]],"!$B$2:$B$243"))&gt;=Calculs_Consos!$A351,INDIRECT(CONCATENATE(Tab_Calculs[[#This Row],[Colonne1]],"!$B$2:$B$243"))))</f>
        <v>0</v>
      </c>
      <c r="I351" s="3" t="e">
        <f ca="1">INDEX(INDIRECT(CONCATENATE("Tab_",Tab_Calculs[[#This Row],[Colonne1]])),Tab_Calculs[[#This Row],[index_date_livraison]],1)</f>
        <v>#NUM!</v>
      </c>
      <c r="J351">
        <f ca="1">MATCH(Tab_Calculs[[#This Row],[Date_livraison]],INDIRECT(CONCATENATE("Tab_",Tab_Calculs[[#This Row],[Colonne1]],"[Fin de période]")),0)</f>
        <v>1</v>
      </c>
      <c r="K351" t="e">
        <f ca="1">INDEX(INDIRECT(CONCATENATE("Tab_",Tab_Calculs[[#This Row],[Colonne1]])),Tab_Calculs[[#This Row],[index_date_livraison]]-1,6)*(MAX(Tab_Calculs[[#This Row],[Début periode livraison]],Tab_Calculs[[#This Row],[Début mois]])-Tab_Calculs[[#This Row],[Début mois]])</f>
        <v>#VALUE!</v>
      </c>
      <c r="L351" s="94" t="e">
        <f ca="1">INDEX(INDIRECT(CONCATENATE("Tab_",Tab_Calculs[[#This Row],[Colonne1]])),Tab_Calculs[[#This Row],[index_date_livraison]],6)*(1+MIN(Tab_Calculs[[#This Row],[Date_livraison]],Tab_Calculs[[#This Row],[fin mois]])-MAX(Tab_Calculs[[#This Row],[Début mois]],Tab_Calculs[[#This Row],[Début periode livraison]]))</f>
        <v>#NUM!</v>
      </c>
      <c r="M351" s="94" t="e">
        <f ca="1">INDEX(INDIRECT(CONCATENATE("Tab_",Tab_Calculs[[#This Row],[Colonne1]])),Tab_Calculs[[#This Row],[index_date_livraison]]+1,6)*(Tab_Calculs[[#This Row],[fin mois]]-MIN(Tab_Calculs[[#This Row],[fin mois]],Tab_Calculs[[#This Row],[Date_livraison]]))</f>
        <v>#VALUE!</v>
      </c>
      <c r="N351" s="231" t="str">
        <f ca="1">IFERROR(Tab_Calculs[[#This Row],[Ratio_jour_après_livr]]+Tab_Calculs[[#This Row],[Ratio_jour_avant_livr]]+Tab_Calculs[[#This Row],[ratio_avant_debut]],"")</f>
        <v/>
      </c>
      <c r="O351" t="e">
        <f ca="1">INDEX(INDIRECT(CONCATENATE("Tab_",Tab_Calculs[[#This Row],[Colonne1]])),Tab_Calculs[[#This Row],[index_date_livraison]]-1,7)*(MAX(Tab_Calculs[[#This Row],[Début periode livraison]],Tab_Calculs[[#This Row],[Début mois]])-Tab_Calculs[[#This Row],[Début mois]])</f>
        <v>#VALUE!</v>
      </c>
      <c r="P351" t="e">
        <f ca="1">INDEX(INDIRECT(CONCATENATE("Tab_",Tab_Calculs[[#This Row],[Colonne1]])),Tab_Calculs[[#This Row],[index_date_livraison]],7)*(1+MIN(Tab_Calculs[[#This Row],[Date_livraison]],Tab_Calculs[[#This Row],[fin mois]])-MAX(Tab_Calculs[[#This Row],[Début mois]],Tab_Calculs[[#This Row],[Début periode livraison]]))</f>
        <v>#NUM!</v>
      </c>
      <c r="Q351" t="e">
        <f ca="1">INDEX(INDIRECT(CONCATENATE("Tab_",Tab_Calculs[[#This Row],[Colonne1]])),Tab_Calculs[[#This Row],[index_date_livraison]]+1,7)*(Tab_Calculs[[#This Row],[fin mois]]-MIN(Tab_Calculs[[#This Row],[fin mois]],Tab_Calculs[[#This Row],[Date_livraison]]))</f>
        <v>#VALUE!</v>
      </c>
      <c r="R351" t="e">
        <f ca="1">Tab_Calculs[[#This Row],[Ratio_Cout_après_livr]]+Tab_Calculs[[#This Row],[Ratio_Cout_avant_livr]]+Tab_Calculs[[#This Row],[Ratio_Cout_avant_debut]]</f>
        <v>#VALUE!</v>
      </c>
      <c r="S351" t="str">
        <f ca="1">IFERROR(N351*VLOOKUP(Tab_Calculs[[#This Row],[Colonne1]],Controle_des_données!$B$7:$G$14,6,FALSE),"")</f>
        <v/>
      </c>
      <c r="T351" t="str">
        <f ca="1">IF(Tab_Calculs[[#This Row],[Combustible ]]="Electricité (kWh)",Tab_Calculs[[#This Row],[Conso_mois_kWh]]*2.3,Tab_Calculs[[#This Row],[Conso_mois_kWh]])</f>
        <v/>
      </c>
      <c r="U351" t="str">
        <f ca="1">IFERROR(N351*VLOOKUP(Tab_Calculs[[#This Row],[Colonne1]],Controle_des_données!$B$7:$H$14,7,FALSE),"")</f>
        <v/>
      </c>
      <c r="V351">
        <f ca="1">IFERROR(Tab_Calculs[[#This Row],[Cout_mois]]/Tab_Calculs[[#This Row],[Conso_mois_kWh]],0)</f>
        <v>0</v>
      </c>
      <c r="W351" t="str">
        <f>T(VLOOKUP(Tab_Calculs[[#This Row],[Compteur]],Site!$B$33:$G$40,3,FALSE))</f>
        <v/>
      </c>
      <c r="X351" t="str">
        <f>T(VLOOKUP(Tab_Calculs[[#This Row],[Compteur]],Site!$B$33:$G$40,4,FALSE))</f>
        <v/>
      </c>
      <c r="Y351" t="str">
        <f>T(VLOOKUP(Tab_Calculs[[#This Row],[Compteur]],Site!$B$33:$G$40,5,FALSE))</f>
        <v/>
      </c>
      <c r="Z351" t="str">
        <f>T(VLOOKUP(Tab_Calculs[[#This Row],[Compteur]],Site!$B$33:$G$40,6,FALSE))</f>
        <v/>
      </c>
      <c r="AA351">
        <f>IFERROR(GETPIVOTDATA("DJU(chauffagiste)",BDD_DJU!$P$13,"annee",Tab_Calculs[[#This Row],[ANNEE]],"mois_numero",Tab_Calculs[[#This Row],[MOIS]]),0)</f>
        <v>18.8</v>
      </c>
    </row>
    <row r="352" spans="1:27" x14ac:dyDescent="0.25">
      <c r="A352" s="3">
        <f>DATE(Tab_Calculs[[#This Row],[ANNEE]],Tab_Calculs[[#This Row],[MOIS]],1)</f>
        <v>44774</v>
      </c>
      <c r="B352" s="3">
        <f>EDATE(Tab_Calculs[[#This Row],[Début mois]],1)-1</f>
        <v>44804</v>
      </c>
      <c r="C352">
        <f t="shared" si="10"/>
        <v>8</v>
      </c>
      <c r="D352">
        <f t="shared" si="11"/>
        <v>2022</v>
      </c>
      <c r="E352" t="s">
        <v>81</v>
      </c>
      <c r="F352" t="str">
        <f>SUBSTITUTE(Tab_Calculs[[#This Row],[Compteur]]," ","_")</f>
        <v>Compteur_2</v>
      </c>
      <c r="G352" t="str">
        <f>T(INDEX(Site!$B$33:$G$40, MATCH(Tab_Calculs[[#This Row],[Compteur]], Site!$B$33:$B$40,0),2))</f>
        <v/>
      </c>
      <c r="H352" s="3">
        <f t="array" aca="1" ref="H352" ca="1">MIN(IF(INDIRECT(CONCATENATE(Tab_Calculs[[#This Row],[Colonne1]],"!$B$2:$B$243"))&gt;=Calculs_Consos!$A352,INDIRECT(CONCATENATE(Tab_Calculs[[#This Row],[Colonne1]],"!$B$2:$B$243"))))</f>
        <v>0</v>
      </c>
      <c r="I352" s="3" t="e">
        <f ca="1">INDEX(INDIRECT(CONCATENATE("Tab_",Tab_Calculs[[#This Row],[Colonne1]])),Tab_Calculs[[#This Row],[index_date_livraison]],1)</f>
        <v>#NUM!</v>
      </c>
      <c r="J352">
        <f ca="1">MATCH(Tab_Calculs[[#This Row],[Date_livraison]],INDIRECT(CONCATENATE("Tab_",Tab_Calculs[[#This Row],[Colonne1]],"[Fin de période]")),0)</f>
        <v>1</v>
      </c>
      <c r="K352" t="e">
        <f ca="1">INDEX(INDIRECT(CONCATENATE("Tab_",Tab_Calculs[[#This Row],[Colonne1]])),Tab_Calculs[[#This Row],[index_date_livraison]]-1,6)*(MAX(Tab_Calculs[[#This Row],[Début periode livraison]],Tab_Calculs[[#This Row],[Début mois]])-Tab_Calculs[[#This Row],[Début mois]])</f>
        <v>#VALUE!</v>
      </c>
      <c r="L352" s="94" t="e">
        <f ca="1">INDEX(INDIRECT(CONCATENATE("Tab_",Tab_Calculs[[#This Row],[Colonne1]])),Tab_Calculs[[#This Row],[index_date_livraison]],6)*(1+MIN(Tab_Calculs[[#This Row],[Date_livraison]],Tab_Calculs[[#This Row],[fin mois]])-MAX(Tab_Calculs[[#This Row],[Début mois]],Tab_Calculs[[#This Row],[Début periode livraison]]))</f>
        <v>#NUM!</v>
      </c>
      <c r="M352" s="94" t="e">
        <f ca="1">INDEX(INDIRECT(CONCATENATE("Tab_",Tab_Calculs[[#This Row],[Colonne1]])),Tab_Calculs[[#This Row],[index_date_livraison]]+1,6)*(Tab_Calculs[[#This Row],[fin mois]]-MIN(Tab_Calculs[[#This Row],[fin mois]],Tab_Calculs[[#This Row],[Date_livraison]]))</f>
        <v>#VALUE!</v>
      </c>
      <c r="N352" s="231" t="str">
        <f ca="1">IFERROR(Tab_Calculs[[#This Row],[Ratio_jour_après_livr]]+Tab_Calculs[[#This Row],[Ratio_jour_avant_livr]]+Tab_Calculs[[#This Row],[ratio_avant_debut]],"")</f>
        <v/>
      </c>
      <c r="O352" t="e">
        <f ca="1">INDEX(INDIRECT(CONCATENATE("Tab_",Tab_Calculs[[#This Row],[Colonne1]])),Tab_Calculs[[#This Row],[index_date_livraison]]-1,7)*(MAX(Tab_Calculs[[#This Row],[Début periode livraison]],Tab_Calculs[[#This Row],[Début mois]])-Tab_Calculs[[#This Row],[Début mois]])</f>
        <v>#VALUE!</v>
      </c>
      <c r="P352" t="e">
        <f ca="1">INDEX(INDIRECT(CONCATENATE("Tab_",Tab_Calculs[[#This Row],[Colonne1]])),Tab_Calculs[[#This Row],[index_date_livraison]],7)*(1+MIN(Tab_Calculs[[#This Row],[Date_livraison]],Tab_Calculs[[#This Row],[fin mois]])-MAX(Tab_Calculs[[#This Row],[Début mois]],Tab_Calculs[[#This Row],[Début periode livraison]]))</f>
        <v>#NUM!</v>
      </c>
      <c r="Q352" t="e">
        <f ca="1">INDEX(INDIRECT(CONCATENATE("Tab_",Tab_Calculs[[#This Row],[Colonne1]])),Tab_Calculs[[#This Row],[index_date_livraison]]+1,7)*(Tab_Calculs[[#This Row],[fin mois]]-MIN(Tab_Calculs[[#This Row],[fin mois]],Tab_Calculs[[#This Row],[Date_livraison]]))</f>
        <v>#VALUE!</v>
      </c>
      <c r="R352" t="e">
        <f ca="1">Tab_Calculs[[#This Row],[Ratio_Cout_après_livr]]+Tab_Calculs[[#This Row],[Ratio_Cout_avant_livr]]+Tab_Calculs[[#This Row],[Ratio_Cout_avant_debut]]</f>
        <v>#VALUE!</v>
      </c>
      <c r="S352" t="str">
        <f ca="1">IFERROR(N352*VLOOKUP(Tab_Calculs[[#This Row],[Colonne1]],Controle_des_données!$B$7:$G$14,6,FALSE),"")</f>
        <v/>
      </c>
      <c r="T352" t="str">
        <f ca="1">IF(Tab_Calculs[[#This Row],[Combustible ]]="Electricité (kWh)",Tab_Calculs[[#This Row],[Conso_mois_kWh]]*2.3,Tab_Calculs[[#This Row],[Conso_mois_kWh]])</f>
        <v/>
      </c>
      <c r="U352" t="str">
        <f ca="1">IFERROR(N352*VLOOKUP(Tab_Calculs[[#This Row],[Colonne1]],Controle_des_données!$B$7:$H$14,7,FALSE),"")</f>
        <v/>
      </c>
      <c r="V352">
        <f ca="1">IFERROR(Tab_Calculs[[#This Row],[Cout_mois]]/Tab_Calculs[[#This Row],[Conso_mois_kWh]],0)</f>
        <v>0</v>
      </c>
      <c r="W352" t="str">
        <f>T(VLOOKUP(Tab_Calculs[[#This Row],[Compteur]],Site!$B$33:$G$40,3,FALSE))</f>
        <v/>
      </c>
      <c r="X352" t="str">
        <f>T(VLOOKUP(Tab_Calculs[[#This Row],[Compteur]],Site!$B$33:$G$40,4,FALSE))</f>
        <v/>
      </c>
      <c r="Y352" t="str">
        <f>T(VLOOKUP(Tab_Calculs[[#This Row],[Compteur]],Site!$B$33:$G$40,5,FALSE))</f>
        <v/>
      </c>
      <c r="Z352" t="str">
        <f>T(VLOOKUP(Tab_Calculs[[#This Row],[Compteur]],Site!$B$33:$G$40,6,FALSE))</f>
        <v/>
      </c>
      <c r="AA352">
        <f>IFERROR(GETPIVOTDATA("DJU(chauffagiste)",BDD_DJU!$P$13,"annee",Tab_Calculs[[#This Row],[ANNEE]],"mois_numero",Tab_Calculs[[#This Row],[MOIS]]),0)</f>
        <v>10.7</v>
      </c>
    </row>
    <row r="353" spans="1:27" x14ac:dyDescent="0.25">
      <c r="A353" s="3">
        <f>DATE(Tab_Calculs[[#This Row],[ANNEE]],Tab_Calculs[[#This Row],[MOIS]],1)</f>
        <v>44805</v>
      </c>
      <c r="B353" s="3">
        <f>EDATE(Tab_Calculs[[#This Row],[Début mois]],1)-1</f>
        <v>44834</v>
      </c>
      <c r="C353">
        <f t="shared" si="10"/>
        <v>9</v>
      </c>
      <c r="D353">
        <f t="shared" si="11"/>
        <v>2022</v>
      </c>
      <c r="E353" t="s">
        <v>81</v>
      </c>
      <c r="F353" t="str">
        <f>SUBSTITUTE(Tab_Calculs[[#This Row],[Compteur]]," ","_")</f>
        <v>Compteur_2</v>
      </c>
      <c r="G353" t="str">
        <f>T(INDEX(Site!$B$33:$G$40, MATCH(Tab_Calculs[[#This Row],[Compteur]], Site!$B$33:$B$40,0),2))</f>
        <v/>
      </c>
      <c r="H353" s="3">
        <f t="array" aca="1" ref="H353" ca="1">MIN(IF(INDIRECT(CONCATENATE(Tab_Calculs[[#This Row],[Colonne1]],"!$B$2:$B$243"))&gt;=Calculs_Consos!$A353,INDIRECT(CONCATENATE(Tab_Calculs[[#This Row],[Colonne1]],"!$B$2:$B$243"))))</f>
        <v>0</v>
      </c>
      <c r="I353" s="3" t="e">
        <f ca="1">INDEX(INDIRECT(CONCATENATE("Tab_",Tab_Calculs[[#This Row],[Colonne1]])),Tab_Calculs[[#This Row],[index_date_livraison]],1)</f>
        <v>#NUM!</v>
      </c>
      <c r="J353">
        <f ca="1">MATCH(Tab_Calculs[[#This Row],[Date_livraison]],INDIRECT(CONCATENATE("Tab_",Tab_Calculs[[#This Row],[Colonne1]],"[Fin de période]")),0)</f>
        <v>1</v>
      </c>
      <c r="K353" t="e">
        <f ca="1">INDEX(INDIRECT(CONCATENATE("Tab_",Tab_Calculs[[#This Row],[Colonne1]])),Tab_Calculs[[#This Row],[index_date_livraison]]-1,6)*(MAX(Tab_Calculs[[#This Row],[Début periode livraison]],Tab_Calculs[[#This Row],[Début mois]])-Tab_Calculs[[#This Row],[Début mois]])</f>
        <v>#VALUE!</v>
      </c>
      <c r="L353" s="94" t="e">
        <f ca="1">INDEX(INDIRECT(CONCATENATE("Tab_",Tab_Calculs[[#This Row],[Colonne1]])),Tab_Calculs[[#This Row],[index_date_livraison]],6)*(1+MIN(Tab_Calculs[[#This Row],[Date_livraison]],Tab_Calculs[[#This Row],[fin mois]])-MAX(Tab_Calculs[[#This Row],[Début mois]],Tab_Calculs[[#This Row],[Début periode livraison]]))</f>
        <v>#NUM!</v>
      </c>
      <c r="M353" s="94" t="e">
        <f ca="1">INDEX(INDIRECT(CONCATENATE("Tab_",Tab_Calculs[[#This Row],[Colonne1]])),Tab_Calculs[[#This Row],[index_date_livraison]]+1,6)*(Tab_Calculs[[#This Row],[fin mois]]-MIN(Tab_Calculs[[#This Row],[fin mois]],Tab_Calculs[[#This Row],[Date_livraison]]))</f>
        <v>#VALUE!</v>
      </c>
      <c r="N353" s="231" t="str">
        <f ca="1">IFERROR(Tab_Calculs[[#This Row],[Ratio_jour_après_livr]]+Tab_Calculs[[#This Row],[Ratio_jour_avant_livr]]+Tab_Calculs[[#This Row],[ratio_avant_debut]],"")</f>
        <v/>
      </c>
      <c r="O353" t="e">
        <f ca="1">INDEX(INDIRECT(CONCATENATE("Tab_",Tab_Calculs[[#This Row],[Colonne1]])),Tab_Calculs[[#This Row],[index_date_livraison]]-1,7)*(MAX(Tab_Calculs[[#This Row],[Début periode livraison]],Tab_Calculs[[#This Row],[Début mois]])-Tab_Calculs[[#This Row],[Début mois]])</f>
        <v>#VALUE!</v>
      </c>
      <c r="P353" t="e">
        <f ca="1">INDEX(INDIRECT(CONCATENATE("Tab_",Tab_Calculs[[#This Row],[Colonne1]])),Tab_Calculs[[#This Row],[index_date_livraison]],7)*(1+MIN(Tab_Calculs[[#This Row],[Date_livraison]],Tab_Calculs[[#This Row],[fin mois]])-MAX(Tab_Calculs[[#This Row],[Début mois]],Tab_Calculs[[#This Row],[Début periode livraison]]))</f>
        <v>#NUM!</v>
      </c>
      <c r="Q353" t="e">
        <f ca="1">INDEX(INDIRECT(CONCATENATE("Tab_",Tab_Calculs[[#This Row],[Colonne1]])),Tab_Calculs[[#This Row],[index_date_livraison]]+1,7)*(Tab_Calculs[[#This Row],[fin mois]]-MIN(Tab_Calculs[[#This Row],[fin mois]],Tab_Calculs[[#This Row],[Date_livraison]]))</f>
        <v>#VALUE!</v>
      </c>
      <c r="R353" t="e">
        <f ca="1">Tab_Calculs[[#This Row],[Ratio_Cout_après_livr]]+Tab_Calculs[[#This Row],[Ratio_Cout_avant_livr]]+Tab_Calculs[[#This Row],[Ratio_Cout_avant_debut]]</f>
        <v>#VALUE!</v>
      </c>
      <c r="S353" t="str">
        <f ca="1">IFERROR(N353*VLOOKUP(Tab_Calculs[[#This Row],[Colonne1]],Controle_des_données!$B$7:$G$14,6,FALSE),"")</f>
        <v/>
      </c>
      <c r="T353" t="str">
        <f ca="1">IF(Tab_Calculs[[#This Row],[Combustible ]]="Electricité (kWh)",Tab_Calculs[[#This Row],[Conso_mois_kWh]]*2.3,Tab_Calculs[[#This Row],[Conso_mois_kWh]])</f>
        <v/>
      </c>
      <c r="U353" t="str">
        <f ca="1">IFERROR(N353*VLOOKUP(Tab_Calculs[[#This Row],[Colonne1]],Controle_des_données!$B$7:$H$14,7,FALSE),"")</f>
        <v/>
      </c>
      <c r="V353">
        <f ca="1">IFERROR(Tab_Calculs[[#This Row],[Cout_mois]]/Tab_Calculs[[#This Row],[Conso_mois_kWh]],0)</f>
        <v>0</v>
      </c>
      <c r="W353" t="str">
        <f>T(VLOOKUP(Tab_Calculs[[#This Row],[Compteur]],Site!$B$33:$G$40,3,FALSE))</f>
        <v/>
      </c>
      <c r="X353" t="str">
        <f>T(VLOOKUP(Tab_Calculs[[#This Row],[Compteur]],Site!$B$33:$G$40,4,FALSE))</f>
        <v/>
      </c>
      <c r="Y353" t="str">
        <f>T(VLOOKUP(Tab_Calculs[[#This Row],[Compteur]],Site!$B$33:$G$40,5,FALSE))</f>
        <v/>
      </c>
      <c r="Z353" t="str">
        <f>T(VLOOKUP(Tab_Calculs[[#This Row],[Compteur]],Site!$B$33:$G$40,6,FALSE))</f>
        <v/>
      </c>
      <c r="AA353">
        <f>IFERROR(GETPIVOTDATA("DJU(chauffagiste)",BDD_DJU!$P$13,"annee",Tab_Calculs[[#This Row],[ANNEE]],"mois_numero",Tab_Calculs[[#This Row],[MOIS]]),0)</f>
        <v>74.7</v>
      </c>
    </row>
    <row r="354" spans="1:27" x14ac:dyDescent="0.25">
      <c r="A354" s="3">
        <f>DATE(Tab_Calculs[[#This Row],[ANNEE]],Tab_Calculs[[#This Row],[MOIS]],1)</f>
        <v>44835</v>
      </c>
      <c r="B354" s="3">
        <f>EDATE(Tab_Calculs[[#This Row],[Début mois]],1)-1</f>
        <v>44865</v>
      </c>
      <c r="C354">
        <f t="shared" si="10"/>
        <v>10</v>
      </c>
      <c r="D354">
        <f t="shared" si="11"/>
        <v>2022</v>
      </c>
      <c r="E354" t="s">
        <v>81</v>
      </c>
      <c r="F354" t="str">
        <f>SUBSTITUTE(Tab_Calculs[[#This Row],[Compteur]]," ","_")</f>
        <v>Compteur_2</v>
      </c>
      <c r="G354" t="str">
        <f>T(INDEX(Site!$B$33:$G$40, MATCH(Tab_Calculs[[#This Row],[Compteur]], Site!$B$33:$B$40,0),2))</f>
        <v/>
      </c>
      <c r="H354" s="3">
        <f t="array" aca="1" ref="H354" ca="1">MIN(IF(INDIRECT(CONCATENATE(Tab_Calculs[[#This Row],[Colonne1]],"!$B$2:$B$243"))&gt;=Calculs_Consos!$A354,INDIRECT(CONCATENATE(Tab_Calculs[[#This Row],[Colonne1]],"!$B$2:$B$243"))))</f>
        <v>0</v>
      </c>
      <c r="I354" s="3" t="e">
        <f ca="1">INDEX(INDIRECT(CONCATENATE("Tab_",Tab_Calculs[[#This Row],[Colonne1]])),Tab_Calculs[[#This Row],[index_date_livraison]],1)</f>
        <v>#NUM!</v>
      </c>
      <c r="J354">
        <f ca="1">MATCH(Tab_Calculs[[#This Row],[Date_livraison]],INDIRECT(CONCATENATE("Tab_",Tab_Calculs[[#This Row],[Colonne1]],"[Fin de période]")),0)</f>
        <v>1</v>
      </c>
      <c r="K354" t="e">
        <f ca="1">INDEX(INDIRECT(CONCATENATE("Tab_",Tab_Calculs[[#This Row],[Colonne1]])),Tab_Calculs[[#This Row],[index_date_livraison]]-1,6)*(MAX(Tab_Calculs[[#This Row],[Début periode livraison]],Tab_Calculs[[#This Row],[Début mois]])-Tab_Calculs[[#This Row],[Début mois]])</f>
        <v>#VALUE!</v>
      </c>
      <c r="L354" s="94" t="e">
        <f ca="1">INDEX(INDIRECT(CONCATENATE("Tab_",Tab_Calculs[[#This Row],[Colonne1]])),Tab_Calculs[[#This Row],[index_date_livraison]],6)*(1+MIN(Tab_Calculs[[#This Row],[Date_livraison]],Tab_Calculs[[#This Row],[fin mois]])-MAX(Tab_Calculs[[#This Row],[Début mois]],Tab_Calculs[[#This Row],[Début periode livraison]]))</f>
        <v>#NUM!</v>
      </c>
      <c r="M354" s="94" t="e">
        <f ca="1">INDEX(INDIRECT(CONCATENATE("Tab_",Tab_Calculs[[#This Row],[Colonne1]])),Tab_Calculs[[#This Row],[index_date_livraison]]+1,6)*(Tab_Calculs[[#This Row],[fin mois]]-MIN(Tab_Calculs[[#This Row],[fin mois]],Tab_Calculs[[#This Row],[Date_livraison]]))</f>
        <v>#VALUE!</v>
      </c>
      <c r="N354" s="231" t="str">
        <f ca="1">IFERROR(Tab_Calculs[[#This Row],[Ratio_jour_après_livr]]+Tab_Calculs[[#This Row],[Ratio_jour_avant_livr]]+Tab_Calculs[[#This Row],[ratio_avant_debut]],"")</f>
        <v/>
      </c>
      <c r="O354" t="e">
        <f ca="1">INDEX(INDIRECT(CONCATENATE("Tab_",Tab_Calculs[[#This Row],[Colonne1]])),Tab_Calculs[[#This Row],[index_date_livraison]]-1,7)*(MAX(Tab_Calculs[[#This Row],[Début periode livraison]],Tab_Calculs[[#This Row],[Début mois]])-Tab_Calculs[[#This Row],[Début mois]])</f>
        <v>#VALUE!</v>
      </c>
      <c r="P354" t="e">
        <f ca="1">INDEX(INDIRECT(CONCATENATE("Tab_",Tab_Calculs[[#This Row],[Colonne1]])),Tab_Calculs[[#This Row],[index_date_livraison]],7)*(1+MIN(Tab_Calculs[[#This Row],[Date_livraison]],Tab_Calculs[[#This Row],[fin mois]])-MAX(Tab_Calculs[[#This Row],[Début mois]],Tab_Calculs[[#This Row],[Début periode livraison]]))</f>
        <v>#NUM!</v>
      </c>
      <c r="Q354" t="e">
        <f ca="1">INDEX(INDIRECT(CONCATENATE("Tab_",Tab_Calculs[[#This Row],[Colonne1]])),Tab_Calculs[[#This Row],[index_date_livraison]]+1,7)*(Tab_Calculs[[#This Row],[fin mois]]-MIN(Tab_Calculs[[#This Row],[fin mois]],Tab_Calculs[[#This Row],[Date_livraison]]))</f>
        <v>#VALUE!</v>
      </c>
      <c r="R354" t="e">
        <f ca="1">Tab_Calculs[[#This Row],[Ratio_Cout_après_livr]]+Tab_Calculs[[#This Row],[Ratio_Cout_avant_livr]]+Tab_Calculs[[#This Row],[Ratio_Cout_avant_debut]]</f>
        <v>#VALUE!</v>
      </c>
      <c r="S354" t="str">
        <f ca="1">IFERROR(N354*VLOOKUP(Tab_Calculs[[#This Row],[Colonne1]],Controle_des_données!$B$7:$G$14,6,FALSE),"")</f>
        <v/>
      </c>
      <c r="T354" t="str">
        <f ca="1">IF(Tab_Calculs[[#This Row],[Combustible ]]="Electricité (kWh)",Tab_Calculs[[#This Row],[Conso_mois_kWh]]*2.3,Tab_Calculs[[#This Row],[Conso_mois_kWh]])</f>
        <v/>
      </c>
      <c r="U354" t="str">
        <f ca="1">IFERROR(N354*VLOOKUP(Tab_Calculs[[#This Row],[Colonne1]],Controle_des_données!$B$7:$H$14,7,FALSE),"")</f>
        <v/>
      </c>
      <c r="V354">
        <f ca="1">IFERROR(Tab_Calculs[[#This Row],[Cout_mois]]/Tab_Calculs[[#This Row],[Conso_mois_kWh]],0)</f>
        <v>0</v>
      </c>
      <c r="W354" t="str">
        <f>T(VLOOKUP(Tab_Calculs[[#This Row],[Compteur]],Site!$B$33:$G$40,3,FALSE))</f>
        <v/>
      </c>
      <c r="X354" t="str">
        <f>T(VLOOKUP(Tab_Calculs[[#This Row],[Compteur]],Site!$B$33:$G$40,4,FALSE))</f>
        <v/>
      </c>
      <c r="Y354" t="str">
        <f>T(VLOOKUP(Tab_Calculs[[#This Row],[Compteur]],Site!$B$33:$G$40,5,FALSE))</f>
        <v/>
      </c>
      <c r="Z354" t="str">
        <f>T(VLOOKUP(Tab_Calculs[[#This Row],[Compteur]],Site!$B$33:$G$40,6,FALSE))</f>
        <v/>
      </c>
      <c r="AA354">
        <f>IFERROR(GETPIVOTDATA("DJU(chauffagiste)",BDD_DJU!$P$13,"annee",Tab_Calculs[[#This Row],[ANNEE]],"mois_numero",Tab_Calculs[[#This Row],[MOIS]]),0)</f>
        <v>73</v>
      </c>
    </row>
    <row r="355" spans="1:27" x14ac:dyDescent="0.25">
      <c r="A355" s="3">
        <f>DATE(Tab_Calculs[[#This Row],[ANNEE]],Tab_Calculs[[#This Row],[MOIS]],1)</f>
        <v>44866</v>
      </c>
      <c r="B355" s="3">
        <f>EDATE(Tab_Calculs[[#This Row],[Début mois]],1)-1</f>
        <v>44895</v>
      </c>
      <c r="C355">
        <f t="shared" si="10"/>
        <v>11</v>
      </c>
      <c r="D355">
        <f t="shared" si="11"/>
        <v>2022</v>
      </c>
      <c r="E355" t="s">
        <v>81</v>
      </c>
      <c r="F355" t="str">
        <f>SUBSTITUTE(Tab_Calculs[[#This Row],[Compteur]]," ","_")</f>
        <v>Compteur_2</v>
      </c>
      <c r="G355" t="str">
        <f>T(INDEX(Site!$B$33:$G$40, MATCH(Tab_Calculs[[#This Row],[Compteur]], Site!$B$33:$B$40,0),2))</f>
        <v/>
      </c>
      <c r="H355" s="3">
        <f t="array" aca="1" ref="H355" ca="1">MIN(IF(INDIRECT(CONCATENATE(Tab_Calculs[[#This Row],[Colonne1]],"!$B$2:$B$243"))&gt;=Calculs_Consos!$A355,INDIRECT(CONCATENATE(Tab_Calculs[[#This Row],[Colonne1]],"!$B$2:$B$243"))))</f>
        <v>0</v>
      </c>
      <c r="I355" s="3" t="e">
        <f ca="1">INDEX(INDIRECT(CONCATENATE("Tab_",Tab_Calculs[[#This Row],[Colonne1]])),Tab_Calculs[[#This Row],[index_date_livraison]],1)</f>
        <v>#NUM!</v>
      </c>
      <c r="J355">
        <f ca="1">MATCH(Tab_Calculs[[#This Row],[Date_livraison]],INDIRECT(CONCATENATE("Tab_",Tab_Calculs[[#This Row],[Colonne1]],"[Fin de période]")),0)</f>
        <v>1</v>
      </c>
      <c r="K355" t="e">
        <f ca="1">INDEX(INDIRECT(CONCATENATE("Tab_",Tab_Calculs[[#This Row],[Colonne1]])),Tab_Calculs[[#This Row],[index_date_livraison]]-1,6)*(MAX(Tab_Calculs[[#This Row],[Début periode livraison]],Tab_Calculs[[#This Row],[Début mois]])-Tab_Calculs[[#This Row],[Début mois]])</f>
        <v>#VALUE!</v>
      </c>
      <c r="L355" s="94" t="e">
        <f ca="1">INDEX(INDIRECT(CONCATENATE("Tab_",Tab_Calculs[[#This Row],[Colonne1]])),Tab_Calculs[[#This Row],[index_date_livraison]],6)*(1+MIN(Tab_Calculs[[#This Row],[Date_livraison]],Tab_Calculs[[#This Row],[fin mois]])-MAX(Tab_Calculs[[#This Row],[Début mois]],Tab_Calculs[[#This Row],[Début periode livraison]]))</f>
        <v>#NUM!</v>
      </c>
      <c r="M355" s="94" t="e">
        <f ca="1">INDEX(INDIRECT(CONCATENATE("Tab_",Tab_Calculs[[#This Row],[Colonne1]])),Tab_Calculs[[#This Row],[index_date_livraison]]+1,6)*(Tab_Calculs[[#This Row],[fin mois]]-MIN(Tab_Calculs[[#This Row],[fin mois]],Tab_Calculs[[#This Row],[Date_livraison]]))</f>
        <v>#VALUE!</v>
      </c>
      <c r="N355" s="231" t="str">
        <f ca="1">IFERROR(Tab_Calculs[[#This Row],[Ratio_jour_après_livr]]+Tab_Calculs[[#This Row],[Ratio_jour_avant_livr]]+Tab_Calculs[[#This Row],[ratio_avant_debut]],"")</f>
        <v/>
      </c>
      <c r="O355" t="e">
        <f ca="1">INDEX(INDIRECT(CONCATENATE("Tab_",Tab_Calculs[[#This Row],[Colonne1]])),Tab_Calculs[[#This Row],[index_date_livraison]]-1,7)*(MAX(Tab_Calculs[[#This Row],[Début periode livraison]],Tab_Calculs[[#This Row],[Début mois]])-Tab_Calculs[[#This Row],[Début mois]])</f>
        <v>#VALUE!</v>
      </c>
      <c r="P355" t="e">
        <f ca="1">INDEX(INDIRECT(CONCATENATE("Tab_",Tab_Calculs[[#This Row],[Colonne1]])),Tab_Calculs[[#This Row],[index_date_livraison]],7)*(1+MIN(Tab_Calculs[[#This Row],[Date_livraison]],Tab_Calculs[[#This Row],[fin mois]])-MAX(Tab_Calculs[[#This Row],[Début mois]],Tab_Calculs[[#This Row],[Début periode livraison]]))</f>
        <v>#NUM!</v>
      </c>
      <c r="Q355" t="e">
        <f ca="1">INDEX(INDIRECT(CONCATENATE("Tab_",Tab_Calculs[[#This Row],[Colonne1]])),Tab_Calculs[[#This Row],[index_date_livraison]]+1,7)*(Tab_Calculs[[#This Row],[fin mois]]-MIN(Tab_Calculs[[#This Row],[fin mois]],Tab_Calculs[[#This Row],[Date_livraison]]))</f>
        <v>#VALUE!</v>
      </c>
      <c r="R355" t="e">
        <f ca="1">Tab_Calculs[[#This Row],[Ratio_Cout_après_livr]]+Tab_Calculs[[#This Row],[Ratio_Cout_avant_livr]]+Tab_Calculs[[#This Row],[Ratio_Cout_avant_debut]]</f>
        <v>#VALUE!</v>
      </c>
      <c r="S355" t="str">
        <f ca="1">IFERROR(N355*VLOOKUP(Tab_Calculs[[#This Row],[Colonne1]],Controle_des_données!$B$7:$G$14,6,FALSE),"")</f>
        <v/>
      </c>
      <c r="T355" t="str">
        <f ca="1">IF(Tab_Calculs[[#This Row],[Combustible ]]="Electricité (kWh)",Tab_Calculs[[#This Row],[Conso_mois_kWh]]*2.3,Tab_Calculs[[#This Row],[Conso_mois_kWh]])</f>
        <v/>
      </c>
      <c r="U355" t="str">
        <f ca="1">IFERROR(N355*VLOOKUP(Tab_Calculs[[#This Row],[Colonne1]],Controle_des_données!$B$7:$H$14,7,FALSE),"")</f>
        <v/>
      </c>
      <c r="V355">
        <f ca="1">IFERROR(Tab_Calculs[[#This Row],[Cout_mois]]/Tab_Calculs[[#This Row],[Conso_mois_kWh]],0)</f>
        <v>0</v>
      </c>
      <c r="W355" t="str">
        <f>T(VLOOKUP(Tab_Calculs[[#This Row],[Compteur]],Site!$B$33:$G$40,3,FALSE))</f>
        <v/>
      </c>
      <c r="X355" t="str">
        <f>T(VLOOKUP(Tab_Calculs[[#This Row],[Compteur]],Site!$B$33:$G$40,4,FALSE))</f>
        <v/>
      </c>
      <c r="Y355" t="str">
        <f>T(VLOOKUP(Tab_Calculs[[#This Row],[Compteur]],Site!$B$33:$G$40,5,FALSE))</f>
        <v/>
      </c>
      <c r="Z355" t="str">
        <f>T(VLOOKUP(Tab_Calculs[[#This Row],[Compteur]],Site!$B$33:$G$40,6,FALSE))</f>
        <v/>
      </c>
      <c r="AA355">
        <f>IFERROR(GETPIVOTDATA("DJU(chauffagiste)",BDD_DJU!$P$13,"annee",Tab_Calculs[[#This Row],[ANNEE]],"mois_numero",Tab_Calculs[[#This Row],[MOIS]]),0)</f>
        <v>227.5</v>
      </c>
    </row>
    <row r="356" spans="1:27" x14ac:dyDescent="0.25">
      <c r="A356" s="3">
        <f>DATE(Tab_Calculs[[#This Row],[ANNEE]],Tab_Calculs[[#This Row],[MOIS]],1)</f>
        <v>44896</v>
      </c>
      <c r="B356" s="3">
        <f>EDATE(Tab_Calculs[[#This Row],[Début mois]],1)-1</f>
        <v>44926</v>
      </c>
      <c r="C356">
        <f t="shared" si="10"/>
        <v>12</v>
      </c>
      <c r="D356">
        <f t="shared" si="11"/>
        <v>2022</v>
      </c>
      <c r="E356" t="s">
        <v>81</v>
      </c>
      <c r="F356" t="str">
        <f>SUBSTITUTE(Tab_Calculs[[#This Row],[Compteur]]," ","_")</f>
        <v>Compteur_2</v>
      </c>
      <c r="G356" t="str">
        <f>T(INDEX(Site!$B$33:$G$40, MATCH(Tab_Calculs[[#This Row],[Compteur]], Site!$B$33:$B$40,0),2))</f>
        <v/>
      </c>
      <c r="H356" s="3">
        <f t="array" aca="1" ref="H356" ca="1">MIN(IF(INDIRECT(CONCATENATE(Tab_Calculs[[#This Row],[Colonne1]],"!$B$2:$B$243"))&gt;=Calculs_Consos!$A356,INDIRECT(CONCATENATE(Tab_Calculs[[#This Row],[Colonne1]],"!$B$2:$B$243"))))</f>
        <v>0</v>
      </c>
      <c r="I356" s="3" t="e">
        <f ca="1">INDEX(INDIRECT(CONCATENATE("Tab_",Tab_Calculs[[#This Row],[Colonne1]])),Tab_Calculs[[#This Row],[index_date_livraison]],1)</f>
        <v>#NUM!</v>
      </c>
      <c r="J356">
        <f ca="1">MATCH(Tab_Calculs[[#This Row],[Date_livraison]],INDIRECT(CONCATENATE("Tab_",Tab_Calculs[[#This Row],[Colonne1]],"[Fin de période]")),0)</f>
        <v>1</v>
      </c>
      <c r="K356" t="e">
        <f ca="1">INDEX(INDIRECT(CONCATENATE("Tab_",Tab_Calculs[[#This Row],[Colonne1]])),Tab_Calculs[[#This Row],[index_date_livraison]]-1,6)*(MAX(Tab_Calculs[[#This Row],[Début periode livraison]],Tab_Calculs[[#This Row],[Début mois]])-Tab_Calculs[[#This Row],[Début mois]])</f>
        <v>#VALUE!</v>
      </c>
      <c r="L356" s="94" t="e">
        <f ca="1">INDEX(INDIRECT(CONCATENATE("Tab_",Tab_Calculs[[#This Row],[Colonne1]])),Tab_Calculs[[#This Row],[index_date_livraison]],6)*(1+MIN(Tab_Calculs[[#This Row],[Date_livraison]],Tab_Calculs[[#This Row],[fin mois]])-MAX(Tab_Calculs[[#This Row],[Début mois]],Tab_Calculs[[#This Row],[Début periode livraison]]))</f>
        <v>#NUM!</v>
      </c>
      <c r="M356" s="94" t="e">
        <f ca="1">INDEX(INDIRECT(CONCATENATE("Tab_",Tab_Calculs[[#This Row],[Colonne1]])),Tab_Calculs[[#This Row],[index_date_livraison]]+1,6)*(Tab_Calculs[[#This Row],[fin mois]]-MIN(Tab_Calculs[[#This Row],[fin mois]],Tab_Calculs[[#This Row],[Date_livraison]]))</f>
        <v>#VALUE!</v>
      </c>
      <c r="N356" s="231" t="str">
        <f ca="1">IFERROR(Tab_Calculs[[#This Row],[Ratio_jour_après_livr]]+Tab_Calculs[[#This Row],[Ratio_jour_avant_livr]]+Tab_Calculs[[#This Row],[ratio_avant_debut]],"")</f>
        <v/>
      </c>
      <c r="O356" t="e">
        <f ca="1">INDEX(INDIRECT(CONCATENATE("Tab_",Tab_Calculs[[#This Row],[Colonne1]])),Tab_Calculs[[#This Row],[index_date_livraison]]-1,7)*(MAX(Tab_Calculs[[#This Row],[Début periode livraison]],Tab_Calculs[[#This Row],[Début mois]])-Tab_Calculs[[#This Row],[Début mois]])</f>
        <v>#VALUE!</v>
      </c>
      <c r="P356" t="e">
        <f ca="1">INDEX(INDIRECT(CONCATENATE("Tab_",Tab_Calculs[[#This Row],[Colonne1]])),Tab_Calculs[[#This Row],[index_date_livraison]],7)*(1+MIN(Tab_Calculs[[#This Row],[Date_livraison]],Tab_Calculs[[#This Row],[fin mois]])-MAX(Tab_Calculs[[#This Row],[Début mois]],Tab_Calculs[[#This Row],[Début periode livraison]]))</f>
        <v>#NUM!</v>
      </c>
      <c r="Q356" t="e">
        <f ca="1">INDEX(INDIRECT(CONCATENATE("Tab_",Tab_Calculs[[#This Row],[Colonne1]])),Tab_Calculs[[#This Row],[index_date_livraison]]+1,7)*(Tab_Calculs[[#This Row],[fin mois]]-MIN(Tab_Calculs[[#This Row],[fin mois]],Tab_Calculs[[#This Row],[Date_livraison]]))</f>
        <v>#VALUE!</v>
      </c>
      <c r="R356" t="e">
        <f ca="1">Tab_Calculs[[#This Row],[Ratio_Cout_après_livr]]+Tab_Calculs[[#This Row],[Ratio_Cout_avant_livr]]+Tab_Calculs[[#This Row],[Ratio_Cout_avant_debut]]</f>
        <v>#VALUE!</v>
      </c>
      <c r="S356" t="str">
        <f ca="1">IFERROR(N356*VLOOKUP(Tab_Calculs[[#This Row],[Colonne1]],Controle_des_données!$B$7:$G$14,6,FALSE),"")</f>
        <v/>
      </c>
      <c r="T356" t="str">
        <f ca="1">IF(Tab_Calculs[[#This Row],[Combustible ]]="Electricité (kWh)",Tab_Calculs[[#This Row],[Conso_mois_kWh]]*2.3,Tab_Calculs[[#This Row],[Conso_mois_kWh]])</f>
        <v/>
      </c>
      <c r="U356" t="str">
        <f ca="1">IFERROR(N356*VLOOKUP(Tab_Calculs[[#This Row],[Colonne1]],Controle_des_données!$B$7:$H$14,7,FALSE),"")</f>
        <v/>
      </c>
      <c r="V356">
        <f ca="1">IFERROR(Tab_Calculs[[#This Row],[Cout_mois]]/Tab_Calculs[[#This Row],[Conso_mois_kWh]],0)</f>
        <v>0</v>
      </c>
      <c r="W356" t="str">
        <f>T(VLOOKUP(Tab_Calculs[[#This Row],[Compteur]],Site!$B$33:$G$40,3,FALSE))</f>
        <v/>
      </c>
      <c r="X356" t="str">
        <f>T(VLOOKUP(Tab_Calculs[[#This Row],[Compteur]],Site!$B$33:$G$40,4,FALSE))</f>
        <v/>
      </c>
      <c r="Y356" t="str">
        <f>T(VLOOKUP(Tab_Calculs[[#This Row],[Compteur]],Site!$B$33:$G$40,5,FALSE))</f>
        <v/>
      </c>
      <c r="Z356" t="str">
        <f>T(VLOOKUP(Tab_Calculs[[#This Row],[Compteur]],Site!$B$33:$G$40,6,FALSE))</f>
        <v/>
      </c>
      <c r="AA356">
        <f>IFERROR(GETPIVOTDATA("DJU(chauffagiste)",BDD_DJU!$P$13,"annee",Tab_Calculs[[#This Row],[ANNEE]],"mois_numero",Tab_Calculs[[#This Row],[MOIS]]),0)</f>
        <v>380.8</v>
      </c>
    </row>
    <row r="357" spans="1:27" x14ac:dyDescent="0.25">
      <c r="A357" s="3">
        <f>DATE(Tab_Calculs[[#This Row],[ANNEE]],Tab_Calculs[[#This Row],[MOIS]],1)</f>
        <v>44927</v>
      </c>
      <c r="B357" s="3">
        <f>EDATE(Tab_Calculs[[#This Row],[Début mois]],1)-1</f>
        <v>44957</v>
      </c>
      <c r="C357">
        <f t="shared" si="10"/>
        <v>1</v>
      </c>
      <c r="D357">
        <f t="shared" si="11"/>
        <v>2023</v>
      </c>
      <c r="E357" t="s">
        <v>81</v>
      </c>
      <c r="F357" t="str">
        <f>SUBSTITUTE(Tab_Calculs[[#This Row],[Compteur]]," ","_")</f>
        <v>Compteur_2</v>
      </c>
      <c r="G357" t="str">
        <f>T(INDEX(Site!$B$33:$G$40, MATCH(Tab_Calculs[[#This Row],[Compteur]], Site!$B$33:$B$40,0),2))</f>
        <v/>
      </c>
      <c r="H357" s="3">
        <f t="array" aca="1" ref="H357" ca="1">MIN(IF(INDIRECT(CONCATENATE(Tab_Calculs[[#This Row],[Colonne1]],"!$B$2:$B$243"))&gt;=Calculs_Consos!$A357,INDIRECT(CONCATENATE(Tab_Calculs[[#This Row],[Colonne1]],"!$B$2:$B$243"))))</f>
        <v>0</v>
      </c>
      <c r="I357" s="3" t="e">
        <f ca="1">INDEX(INDIRECT(CONCATENATE("Tab_",Tab_Calculs[[#This Row],[Colonne1]])),Tab_Calculs[[#This Row],[index_date_livraison]],1)</f>
        <v>#NUM!</v>
      </c>
      <c r="J357">
        <f ca="1">MATCH(Tab_Calculs[[#This Row],[Date_livraison]],INDIRECT(CONCATENATE("Tab_",Tab_Calculs[[#This Row],[Colonne1]],"[Fin de période]")),0)</f>
        <v>1</v>
      </c>
      <c r="K357" t="e">
        <f ca="1">INDEX(INDIRECT(CONCATENATE("Tab_",Tab_Calculs[[#This Row],[Colonne1]])),Tab_Calculs[[#This Row],[index_date_livraison]]-1,6)*(MAX(Tab_Calculs[[#This Row],[Début periode livraison]],Tab_Calculs[[#This Row],[Début mois]])-Tab_Calculs[[#This Row],[Début mois]])</f>
        <v>#VALUE!</v>
      </c>
      <c r="L357" s="94" t="e">
        <f ca="1">INDEX(INDIRECT(CONCATENATE("Tab_",Tab_Calculs[[#This Row],[Colonne1]])),Tab_Calculs[[#This Row],[index_date_livraison]],6)*(1+MIN(Tab_Calculs[[#This Row],[Date_livraison]],Tab_Calculs[[#This Row],[fin mois]])-MAX(Tab_Calculs[[#This Row],[Début mois]],Tab_Calculs[[#This Row],[Début periode livraison]]))</f>
        <v>#NUM!</v>
      </c>
      <c r="M357" s="94" t="e">
        <f ca="1">INDEX(INDIRECT(CONCATENATE("Tab_",Tab_Calculs[[#This Row],[Colonne1]])),Tab_Calculs[[#This Row],[index_date_livraison]]+1,6)*(Tab_Calculs[[#This Row],[fin mois]]-MIN(Tab_Calculs[[#This Row],[fin mois]],Tab_Calculs[[#This Row],[Date_livraison]]))</f>
        <v>#VALUE!</v>
      </c>
      <c r="N357" s="231" t="str">
        <f ca="1">IFERROR(Tab_Calculs[[#This Row],[Ratio_jour_après_livr]]+Tab_Calculs[[#This Row],[Ratio_jour_avant_livr]]+Tab_Calculs[[#This Row],[ratio_avant_debut]],"")</f>
        <v/>
      </c>
      <c r="O357" t="e">
        <f ca="1">INDEX(INDIRECT(CONCATENATE("Tab_",Tab_Calculs[[#This Row],[Colonne1]])),Tab_Calculs[[#This Row],[index_date_livraison]]-1,7)*(MAX(Tab_Calculs[[#This Row],[Début periode livraison]],Tab_Calculs[[#This Row],[Début mois]])-Tab_Calculs[[#This Row],[Début mois]])</f>
        <v>#VALUE!</v>
      </c>
      <c r="P357" t="e">
        <f ca="1">INDEX(INDIRECT(CONCATENATE("Tab_",Tab_Calculs[[#This Row],[Colonne1]])),Tab_Calculs[[#This Row],[index_date_livraison]],7)*(1+MIN(Tab_Calculs[[#This Row],[Date_livraison]],Tab_Calculs[[#This Row],[fin mois]])-MAX(Tab_Calculs[[#This Row],[Début mois]],Tab_Calculs[[#This Row],[Début periode livraison]]))</f>
        <v>#NUM!</v>
      </c>
      <c r="Q357" t="e">
        <f ca="1">INDEX(INDIRECT(CONCATENATE("Tab_",Tab_Calculs[[#This Row],[Colonne1]])),Tab_Calculs[[#This Row],[index_date_livraison]]+1,7)*(Tab_Calculs[[#This Row],[fin mois]]-MIN(Tab_Calculs[[#This Row],[fin mois]],Tab_Calculs[[#This Row],[Date_livraison]]))</f>
        <v>#VALUE!</v>
      </c>
      <c r="R357" t="e">
        <f ca="1">Tab_Calculs[[#This Row],[Ratio_Cout_après_livr]]+Tab_Calculs[[#This Row],[Ratio_Cout_avant_livr]]+Tab_Calculs[[#This Row],[Ratio_Cout_avant_debut]]</f>
        <v>#VALUE!</v>
      </c>
      <c r="S357" t="str">
        <f ca="1">IFERROR(N357*VLOOKUP(Tab_Calculs[[#This Row],[Colonne1]],Controle_des_données!$B$7:$G$14,6,FALSE),"")</f>
        <v/>
      </c>
      <c r="T357" t="str">
        <f ca="1">IF(Tab_Calculs[[#This Row],[Combustible ]]="Electricité (kWh)",Tab_Calculs[[#This Row],[Conso_mois_kWh]]*2.3,Tab_Calculs[[#This Row],[Conso_mois_kWh]])</f>
        <v/>
      </c>
      <c r="U357" t="str">
        <f ca="1">IFERROR(N357*VLOOKUP(Tab_Calculs[[#This Row],[Colonne1]],Controle_des_données!$B$7:$H$14,7,FALSE),"")</f>
        <v/>
      </c>
      <c r="V357">
        <f ca="1">IFERROR(Tab_Calculs[[#This Row],[Cout_mois]]/Tab_Calculs[[#This Row],[Conso_mois_kWh]],0)</f>
        <v>0</v>
      </c>
      <c r="W357" t="str">
        <f>T(VLOOKUP(Tab_Calculs[[#This Row],[Compteur]],Site!$B$33:$G$40,3,FALSE))</f>
        <v/>
      </c>
      <c r="X357" t="str">
        <f>T(VLOOKUP(Tab_Calculs[[#This Row],[Compteur]],Site!$B$33:$G$40,4,FALSE))</f>
        <v/>
      </c>
      <c r="Y357" t="str">
        <f>T(VLOOKUP(Tab_Calculs[[#This Row],[Compteur]],Site!$B$33:$G$40,5,FALSE))</f>
        <v/>
      </c>
      <c r="Z357" t="str">
        <f>T(VLOOKUP(Tab_Calculs[[#This Row],[Compteur]],Site!$B$33:$G$40,6,FALSE))</f>
        <v/>
      </c>
      <c r="AA357">
        <f>IFERROR(GETPIVOTDATA("DJU(chauffagiste)",BDD_DJU!$P$13,"annee",Tab_Calculs[[#This Row],[ANNEE]],"mois_numero",Tab_Calculs[[#This Row],[MOIS]]),0)</f>
        <v>356.1</v>
      </c>
    </row>
    <row r="358" spans="1:27" x14ac:dyDescent="0.25">
      <c r="A358" s="3">
        <f>DATE(Tab_Calculs[[#This Row],[ANNEE]],Tab_Calculs[[#This Row],[MOIS]],1)</f>
        <v>44958</v>
      </c>
      <c r="B358" s="3">
        <f>EDATE(Tab_Calculs[[#This Row],[Début mois]],1)-1</f>
        <v>44985</v>
      </c>
      <c r="C358">
        <f t="shared" si="10"/>
        <v>2</v>
      </c>
      <c r="D358">
        <f>D346+1</f>
        <v>2023</v>
      </c>
      <c r="E358" t="s">
        <v>81</v>
      </c>
      <c r="F358" t="str">
        <f>SUBSTITUTE(Tab_Calculs[[#This Row],[Compteur]]," ","_")</f>
        <v>Compteur_2</v>
      </c>
      <c r="G358" t="str">
        <f>T(INDEX(Site!$B$33:$G$40, MATCH(Tab_Calculs[[#This Row],[Compteur]], Site!$B$33:$B$40,0),2))</f>
        <v/>
      </c>
      <c r="H358" s="3">
        <f t="array" aca="1" ref="H358" ca="1">MIN(IF(INDIRECT(CONCATENATE(Tab_Calculs[[#This Row],[Colonne1]],"!$B$2:$B$243"))&gt;=Calculs_Consos!$A358,INDIRECT(CONCATENATE(Tab_Calculs[[#This Row],[Colonne1]],"!$B$2:$B$243"))))</f>
        <v>0</v>
      </c>
      <c r="I358" s="3" t="e">
        <f ca="1">INDEX(INDIRECT(CONCATENATE("Tab_",Tab_Calculs[[#This Row],[Colonne1]])),Tab_Calculs[[#This Row],[index_date_livraison]],1)</f>
        <v>#NUM!</v>
      </c>
      <c r="J358">
        <f ca="1">MATCH(Tab_Calculs[[#This Row],[Date_livraison]],INDIRECT(CONCATENATE("Tab_",Tab_Calculs[[#This Row],[Colonne1]],"[Fin de période]")),0)</f>
        <v>1</v>
      </c>
      <c r="K358" t="e">
        <f ca="1">INDEX(INDIRECT(CONCATENATE("Tab_",Tab_Calculs[[#This Row],[Colonne1]])),Tab_Calculs[[#This Row],[index_date_livraison]]-1,6)*(MAX(Tab_Calculs[[#This Row],[Début periode livraison]],Tab_Calculs[[#This Row],[Début mois]])-Tab_Calculs[[#This Row],[Début mois]])</f>
        <v>#VALUE!</v>
      </c>
      <c r="L358" s="94" t="e">
        <f ca="1">INDEX(INDIRECT(CONCATENATE("Tab_",Tab_Calculs[[#This Row],[Colonne1]])),Tab_Calculs[[#This Row],[index_date_livraison]],6)*(1+MIN(Tab_Calculs[[#This Row],[Date_livraison]],Tab_Calculs[[#This Row],[fin mois]])-MAX(Tab_Calculs[[#This Row],[Début mois]],Tab_Calculs[[#This Row],[Début periode livraison]]))</f>
        <v>#NUM!</v>
      </c>
      <c r="M358" s="94" t="e">
        <f ca="1">INDEX(INDIRECT(CONCATENATE("Tab_",Tab_Calculs[[#This Row],[Colonne1]])),Tab_Calculs[[#This Row],[index_date_livraison]]+1,6)*(Tab_Calculs[[#This Row],[fin mois]]-MIN(Tab_Calculs[[#This Row],[fin mois]],Tab_Calculs[[#This Row],[Date_livraison]]))</f>
        <v>#VALUE!</v>
      </c>
      <c r="N358" s="231" t="str">
        <f ca="1">IFERROR(Tab_Calculs[[#This Row],[Ratio_jour_après_livr]]+Tab_Calculs[[#This Row],[Ratio_jour_avant_livr]]+Tab_Calculs[[#This Row],[ratio_avant_debut]],"")</f>
        <v/>
      </c>
      <c r="O358" t="e">
        <f ca="1">INDEX(INDIRECT(CONCATENATE("Tab_",Tab_Calculs[[#This Row],[Colonne1]])),Tab_Calculs[[#This Row],[index_date_livraison]]-1,7)*(MAX(Tab_Calculs[[#This Row],[Début periode livraison]],Tab_Calculs[[#This Row],[Début mois]])-Tab_Calculs[[#This Row],[Début mois]])</f>
        <v>#VALUE!</v>
      </c>
      <c r="P358" t="e">
        <f ca="1">INDEX(INDIRECT(CONCATENATE("Tab_",Tab_Calculs[[#This Row],[Colonne1]])),Tab_Calculs[[#This Row],[index_date_livraison]],7)*(1+MIN(Tab_Calculs[[#This Row],[Date_livraison]],Tab_Calculs[[#This Row],[fin mois]])-MAX(Tab_Calculs[[#This Row],[Début mois]],Tab_Calculs[[#This Row],[Début periode livraison]]))</f>
        <v>#NUM!</v>
      </c>
      <c r="Q358" t="e">
        <f ca="1">INDEX(INDIRECT(CONCATENATE("Tab_",Tab_Calculs[[#This Row],[Colonne1]])),Tab_Calculs[[#This Row],[index_date_livraison]]+1,7)*(Tab_Calculs[[#This Row],[fin mois]]-MIN(Tab_Calculs[[#This Row],[fin mois]],Tab_Calculs[[#This Row],[Date_livraison]]))</f>
        <v>#VALUE!</v>
      </c>
      <c r="R358" t="e">
        <f ca="1">Tab_Calculs[[#This Row],[Ratio_Cout_après_livr]]+Tab_Calculs[[#This Row],[Ratio_Cout_avant_livr]]+Tab_Calculs[[#This Row],[Ratio_Cout_avant_debut]]</f>
        <v>#VALUE!</v>
      </c>
      <c r="S358" t="str">
        <f ca="1">IFERROR(N358*VLOOKUP(Tab_Calculs[[#This Row],[Colonne1]],Controle_des_données!$B$7:$G$14,6,FALSE),"")</f>
        <v/>
      </c>
      <c r="T358" t="str">
        <f ca="1">IF(Tab_Calculs[[#This Row],[Combustible ]]="Electricité (kWh)",Tab_Calculs[[#This Row],[Conso_mois_kWh]]*2.3,Tab_Calculs[[#This Row],[Conso_mois_kWh]])</f>
        <v/>
      </c>
      <c r="U358" t="str">
        <f ca="1">IFERROR(N358*VLOOKUP(Tab_Calculs[[#This Row],[Colonne1]],Controle_des_données!$B$7:$H$14,7,FALSE),"")</f>
        <v/>
      </c>
      <c r="V358">
        <f ca="1">IFERROR(Tab_Calculs[[#This Row],[Cout_mois]]/Tab_Calculs[[#This Row],[Conso_mois_kWh]],0)</f>
        <v>0</v>
      </c>
      <c r="W358" t="str">
        <f>T(VLOOKUP(Tab_Calculs[[#This Row],[Compteur]],Site!$B$33:$G$40,3,FALSE))</f>
        <v/>
      </c>
      <c r="X358" t="str">
        <f>T(VLOOKUP(Tab_Calculs[[#This Row],[Compteur]],Site!$B$33:$G$40,4,FALSE))</f>
        <v/>
      </c>
      <c r="Y358" t="str">
        <f>T(VLOOKUP(Tab_Calculs[[#This Row],[Compteur]],Site!$B$33:$G$40,5,FALSE))</f>
        <v/>
      </c>
      <c r="Z358" t="str">
        <f>T(VLOOKUP(Tab_Calculs[[#This Row],[Compteur]],Site!$B$33:$G$40,6,FALSE))</f>
        <v/>
      </c>
      <c r="AA358">
        <f>IFERROR(GETPIVOTDATA("DJU(chauffagiste)",BDD_DJU!$P$13,"annee",Tab_Calculs[[#This Row],[ANNEE]],"mois_numero",Tab_Calculs[[#This Row],[MOIS]]),0)</f>
        <v>314.10000000000002</v>
      </c>
    </row>
    <row r="359" spans="1:27" x14ac:dyDescent="0.25">
      <c r="A359" s="3">
        <f>DATE(Tab_Calculs[[#This Row],[ANNEE]],Tab_Calculs[[#This Row],[MOIS]],1)</f>
        <v>44986</v>
      </c>
      <c r="B359" s="3">
        <f>EDATE(Tab_Calculs[[#This Row],[Début mois]],1)-1</f>
        <v>45016</v>
      </c>
      <c r="C359">
        <f t="shared" si="10"/>
        <v>3</v>
      </c>
      <c r="D359">
        <f t="shared" ref="D359:D379" si="12">D347+1</f>
        <v>2023</v>
      </c>
      <c r="E359" t="s">
        <v>81</v>
      </c>
      <c r="F359" t="str">
        <f>SUBSTITUTE(Tab_Calculs[[#This Row],[Compteur]]," ","_")</f>
        <v>Compteur_2</v>
      </c>
      <c r="G359" t="str">
        <f>T(INDEX(Site!$B$33:$G$40, MATCH(Tab_Calculs[[#This Row],[Compteur]], Site!$B$33:$B$40,0),2))</f>
        <v/>
      </c>
      <c r="H359" s="3">
        <f t="array" aca="1" ref="H359" ca="1">MIN(IF(INDIRECT(CONCATENATE(Tab_Calculs[[#This Row],[Colonne1]],"!$B$2:$B$243"))&gt;=Calculs_Consos!$A359,INDIRECT(CONCATENATE(Tab_Calculs[[#This Row],[Colonne1]],"!$B$2:$B$243"))))</f>
        <v>0</v>
      </c>
      <c r="I359" s="3" t="e">
        <f ca="1">INDEX(INDIRECT(CONCATENATE("Tab_",Tab_Calculs[[#This Row],[Colonne1]])),Tab_Calculs[[#This Row],[index_date_livraison]],1)</f>
        <v>#NUM!</v>
      </c>
      <c r="J359">
        <f ca="1">MATCH(Tab_Calculs[[#This Row],[Date_livraison]],INDIRECT(CONCATENATE("Tab_",Tab_Calculs[[#This Row],[Colonne1]],"[Fin de période]")),0)</f>
        <v>1</v>
      </c>
      <c r="K359" t="e">
        <f ca="1">INDEX(INDIRECT(CONCATENATE("Tab_",Tab_Calculs[[#This Row],[Colonne1]])),Tab_Calculs[[#This Row],[index_date_livraison]]-1,6)*(MAX(Tab_Calculs[[#This Row],[Début periode livraison]],Tab_Calculs[[#This Row],[Début mois]])-Tab_Calculs[[#This Row],[Début mois]])</f>
        <v>#VALUE!</v>
      </c>
      <c r="L359" s="94" t="e">
        <f ca="1">INDEX(INDIRECT(CONCATENATE("Tab_",Tab_Calculs[[#This Row],[Colonne1]])),Tab_Calculs[[#This Row],[index_date_livraison]],6)*(1+MIN(Tab_Calculs[[#This Row],[Date_livraison]],Tab_Calculs[[#This Row],[fin mois]])-MAX(Tab_Calculs[[#This Row],[Début mois]],Tab_Calculs[[#This Row],[Début periode livraison]]))</f>
        <v>#NUM!</v>
      </c>
      <c r="M359" s="94" t="e">
        <f ca="1">INDEX(INDIRECT(CONCATENATE("Tab_",Tab_Calculs[[#This Row],[Colonne1]])),Tab_Calculs[[#This Row],[index_date_livraison]]+1,6)*(Tab_Calculs[[#This Row],[fin mois]]-MIN(Tab_Calculs[[#This Row],[fin mois]],Tab_Calculs[[#This Row],[Date_livraison]]))</f>
        <v>#VALUE!</v>
      </c>
      <c r="N359" s="231" t="str">
        <f ca="1">IFERROR(Tab_Calculs[[#This Row],[Ratio_jour_après_livr]]+Tab_Calculs[[#This Row],[Ratio_jour_avant_livr]]+Tab_Calculs[[#This Row],[ratio_avant_debut]],"")</f>
        <v/>
      </c>
      <c r="O359" t="e">
        <f ca="1">INDEX(INDIRECT(CONCATENATE("Tab_",Tab_Calculs[[#This Row],[Colonne1]])),Tab_Calculs[[#This Row],[index_date_livraison]]-1,7)*(MAX(Tab_Calculs[[#This Row],[Début periode livraison]],Tab_Calculs[[#This Row],[Début mois]])-Tab_Calculs[[#This Row],[Début mois]])</f>
        <v>#VALUE!</v>
      </c>
      <c r="P359" t="e">
        <f ca="1">INDEX(INDIRECT(CONCATENATE("Tab_",Tab_Calculs[[#This Row],[Colonne1]])),Tab_Calculs[[#This Row],[index_date_livraison]],7)*(1+MIN(Tab_Calculs[[#This Row],[Date_livraison]],Tab_Calculs[[#This Row],[fin mois]])-MAX(Tab_Calculs[[#This Row],[Début mois]],Tab_Calculs[[#This Row],[Début periode livraison]]))</f>
        <v>#NUM!</v>
      </c>
      <c r="Q359" t="e">
        <f ca="1">INDEX(INDIRECT(CONCATENATE("Tab_",Tab_Calculs[[#This Row],[Colonne1]])),Tab_Calculs[[#This Row],[index_date_livraison]]+1,7)*(Tab_Calculs[[#This Row],[fin mois]]-MIN(Tab_Calculs[[#This Row],[fin mois]],Tab_Calculs[[#This Row],[Date_livraison]]))</f>
        <v>#VALUE!</v>
      </c>
      <c r="R359" t="e">
        <f ca="1">Tab_Calculs[[#This Row],[Ratio_Cout_après_livr]]+Tab_Calculs[[#This Row],[Ratio_Cout_avant_livr]]+Tab_Calculs[[#This Row],[Ratio_Cout_avant_debut]]</f>
        <v>#VALUE!</v>
      </c>
      <c r="S359" t="str">
        <f ca="1">IFERROR(N359*VLOOKUP(Tab_Calculs[[#This Row],[Colonne1]],Controle_des_données!$B$7:$G$14,6,FALSE),"")</f>
        <v/>
      </c>
      <c r="T359" t="str">
        <f ca="1">IF(Tab_Calculs[[#This Row],[Combustible ]]="Electricité (kWh)",Tab_Calculs[[#This Row],[Conso_mois_kWh]]*2.3,Tab_Calculs[[#This Row],[Conso_mois_kWh]])</f>
        <v/>
      </c>
      <c r="U359" t="str">
        <f ca="1">IFERROR(N359*VLOOKUP(Tab_Calculs[[#This Row],[Colonne1]],Controle_des_données!$B$7:$H$14,7,FALSE),"")</f>
        <v/>
      </c>
      <c r="V359">
        <f ca="1">IFERROR(Tab_Calculs[[#This Row],[Cout_mois]]/Tab_Calculs[[#This Row],[Conso_mois_kWh]],0)</f>
        <v>0</v>
      </c>
      <c r="W359" t="str">
        <f>T(VLOOKUP(Tab_Calculs[[#This Row],[Compteur]],Site!$B$33:$G$40,3,FALSE))</f>
        <v/>
      </c>
      <c r="X359" t="str">
        <f>T(VLOOKUP(Tab_Calculs[[#This Row],[Compteur]],Site!$B$33:$G$40,4,FALSE))</f>
        <v/>
      </c>
      <c r="Y359" t="str">
        <f>T(VLOOKUP(Tab_Calculs[[#This Row],[Compteur]],Site!$B$33:$G$40,5,FALSE))</f>
        <v/>
      </c>
      <c r="Z359" t="str">
        <f>T(VLOOKUP(Tab_Calculs[[#This Row],[Compteur]],Site!$B$33:$G$40,6,FALSE))</f>
        <v/>
      </c>
      <c r="AA359">
        <f>IFERROR(GETPIVOTDATA("DJU(chauffagiste)",BDD_DJU!$P$13,"annee",Tab_Calculs[[#This Row],[ANNEE]],"mois_numero",Tab_Calculs[[#This Row],[MOIS]]),0)</f>
        <v>251.3</v>
      </c>
    </row>
    <row r="360" spans="1:27" x14ac:dyDescent="0.25">
      <c r="A360" s="3">
        <f>DATE(Tab_Calculs[[#This Row],[ANNEE]],Tab_Calculs[[#This Row],[MOIS]],1)</f>
        <v>45017</v>
      </c>
      <c r="B360" s="3">
        <f>EDATE(Tab_Calculs[[#This Row],[Début mois]],1)-1</f>
        <v>45046</v>
      </c>
      <c r="C360">
        <f t="shared" si="10"/>
        <v>4</v>
      </c>
      <c r="D360">
        <f t="shared" si="12"/>
        <v>2023</v>
      </c>
      <c r="E360" t="s">
        <v>81</v>
      </c>
      <c r="F360" t="str">
        <f>SUBSTITUTE(Tab_Calculs[[#This Row],[Compteur]]," ","_")</f>
        <v>Compteur_2</v>
      </c>
      <c r="G360" t="str">
        <f>T(INDEX(Site!$B$33:$G$40, MATCH(Tab_Calculs[[#This Row],[Compteur]], Site!$B$33:$B$40,0),2))</f>
        <v/>
      </c>
      <c r="H360" s="3">
        <f t="array" aca="1" ref="H360" ca="1">MIN(IF(INDIRECT(CONCATENATE(Tab_Calculs[[#This Row],[Colonne1]],"!$B$2:$B$243"))&gt;=Calculs_Consos!$A360,INDIRECT(CONCATENATE(Tab_Calculs[[#This Row],[Colonne1]],"!$B$2:$B$243"))))</f>
        <v>0</v>
      </c>
      <c r="I360" s="3" t="e">
        <f ca="1">INDEX(INDIRECT(CONCATENATE("Tab_",Tab_Calculs[[#This Row],[Colonne1]])),Tab_Calculs[[#This Row],[index_date_livraison]],1)</f>
        <v>#NUM!</v>
      </c>
      <c r="J360">
        <f ca="1">MATCH(Tab_Calculs[[#This Row],[Date_livraison]],INDIRECT(CONCATENATE("Tab_",Tab_Calculs[[#This Row],[Colonne1]],"[Fin de période]")),0)</f>
        <v>1</v>
      </c>
      <c r="K360" t="e">
        <f ca="1">INDEX(INDIRECT(CONCATENATE("Tab_",Tab_Calculs[[#This Row],[Colonne1]])),Tab_Calculs[[#This Row],[index_date_livraison]]-1,6)*(MAX(Tab_Calculs[[#This Row],[Début periode livraison]],Tab_Calculs[[#This Row],[Début mois]])-Tab_Calculs[[#This Row],[Début mois]])</f>
        <v>#VALUE!</v>
      </c>
      <c r="L360" s="94" t="e">
        <f ca="1">INDEX(INDIRECT(CONCATENATE("Tab_",Tab_Calculs[[#This Row],[Colonne1]])),Tab_Calculs[[#This Row],[index_date_livraison]],6)*(1+MIN(Tab_Calculs[[#This Row],[Date_livraison]],Tab_Calculs[[#This Row],[fin mois]])-MAX(Tab_Calculs[[#This Row],[Début mois]],Tab_Calculs[[#This Row],[Début periode livraison]]))</f>
        <v>#NUM!</v>
      </c>
      <c r="M360" s="94" t="e">
        <f ca="1">INDEX(INDIRECT(CONCATENATE("Tab_",Tab_Calculs[[#This Row],[Colonne1]])),Tab_Calculs[[#This Row],[index_date_livraison]]+1,6)*(Tab_Calculs[[#This Row],[fin mois]]-MIN(Tab_Calculs[[#This Row],[fin mois]],Tab_Calculs[[#This Row],[Date_livraison]]))</f>
        <v>#VALUE!</v>
      </c>
      <c r="N360" s="231" t="str">
        <f ca="1">IFERROR(Tab_Calculs[[#This Row],[Ratio_jour_après_livr]]+Tab_Calculs[[#This Row],[Ratio_jour_avant_livr]]+Tab_Calculs[[#This Row],[ratio_avant_debut]],"")</f>
        <v/>
      </c>
      <c r="O360" t="e">
        <f ca="1">INDEX(INDIRECT(CONCATENATE("Tab_",Tab_Calculs[[#This Row],[Colonne1]])),Tab_Calculs[[#This Row],[index_date_livraison]]-1,7)*(MAX(Tab_Calculs[[#This Row],[Début periode livraison]],Tab_Calculs[[#This Row],[Début mois]])-Tab_Calculs[[#This Row],[Début mois]])</f>
        <v>#VALUE!</v>
      </c>
      <c r="P360" t="e">
        <f ca="1">INDEX(INDIRECT(CONCATENATE("Tab_",Tab_Calculs[[#This Row],[Colonne1]])),Tab_Calculs[[#This Row],[index_date_livraison]],7)*(1+MIN(Tab_Calculs[[#This Row],[Date_livraison]],Tab_Calculs[[#This Row],[fin mois]])-MAX(Tab_Calculs[[#This Row],[Début mois]],Tab_Calculs[[#This Row],[Début periode livraison]]))</f>
        <v>#NUM!</v>
      </c>
      <c r="Q360" t="e">
        <f ca="1">INDEX(INDIRECT(CONCATENATE("Tab_",Tab_Calculs[[#This Row],[Colonne1]])),Tab_Calculs[[#This Row],[index_date_livraison]]+1,7)*(Tab_Calculs[[#This Row],[fin mois]]-MIN(Tab_Calculs[[#This Row],[fin mois]],Tab_Calculs[[#This Row],[Date_livraison]]))</f>
        <v>#VALUE!</v>
      </c>
      <c r="R360" t="e">
        <f ca="1">Tab_Calculs[[#This Row],[Ratio_Cout_après_livr]]+Tab_Calculs[[#This Row],[Ratio_Cout_avant_livr]]+Tab_Calculs[[#This Row],[Ratio_Cout_avant_debut]]</f>
        <v>#VALUE!</v>
      </c>
      <c r="S360" t="str">
        <f ca="1">IFERROR(N360*VLOOKUP(Tab_Calculs[[#This Row],[Colonne1]],Controle_des_données!$B$7:$G$14,6,FALSE),"")</f>
        <v/>
      </c>
      <c r="T360" t="str">
        <f ca="1">IF(Tab_Calculs[[#This Row],[Combustible ]]="Electricité (kWh)",Tab_Calculs[[#This Row],[Conso_mois_kWh]]*2.3,Tab_Calculs[[#This Row],[Conso_mois_kWh]])</f>
        <v/>
      </c>
      <c r="U360" t="str">
        <f ca="1">IFERROR(N360*VLOOKUP(Tab_Calculs[[#This Row],[Colonne1]],Controle_des_données!$B$7:$H$14,7,FALSE),"")</f>
        <v/>
      </c>
      <c r="V360">
        <f ca="1">IFERROR(Tab_Calculs[[#This Row],[Cout_mois]]/Tab_Calculs[[#This Row],[Conso_mois_kWh]],0)</f>
        <v>0</v>
      </c>
      <c r="W360" t="str">
        <f>T(VLOOKUP(Tab_Calculs[[#This Row],[Compteur]],Site!$B$33:$G$40,3,FALSE))</f>
        <v/>
      </c>
      <c r="X360" t="str">
        <f>T(VLOOKUP(Tab_Calculs[[#This Row],[Compteur]],Site!$B$33:$G$40,4,FALSE))</f>
        <v/>
      </c>
      <c r="Y360" t="str">
        <f>T(VLOOKUP(Tab_Calculs[[#This Row],[Compteur]],Site!$B$33:$G$40,5,FALSE))</f>
        <v/>
      </c>
      <c r="Z360" t="str">
        <f>T(VLOOKUP(Tab_Calculs[[#This Row],[Compteur]],Site!$B$33:$G$40,6,FALSE))</f>
        <v/>
      </c>
      <c r="AA360">
        <f>IFERROR(GETPIVOTDATA("DJU(chauffagiste)",BDD_DJU!$P$13,"annee",Tab_Calculs[[#This Row],[ANNEE]],"mois_numero",Tab_Calculs[[#This Row],[MOIS]]),0)</f>
        <v>198</v>
      </c>
    </row>
    <row r="361" spans="1:27" x14ac:dyDescent="0.25">
      <c r="A361" s="3">
        <f>DATE(Tab_Calculs[[#This Row],[ANNEE]],Tab_Calculs[[#This Row],[MOIS]],1)</f>
        <v>45047</v>
      </c>
      <c r="B361" s="3">
        <f>EDATE(Tab_Calculs[[#This Row],[Début mois]],1)-1</f>
        <v>45077</v>
      </c>
      <c r="C361">
        <f t="shared" si="10"/>
        <v>5</v>
      </c>
      <c r="D361">
        <f t="shared" si="12"/>
        <v>2023</v>
      </c>
      <c r="E361" t="s">
        <v>81</v>
      </c>
      <c r="F361" t="str">
        <f>SUBSTITUTE(Tab_Calculs[[#This Row],[Compteur]]," ","_")</f>
        <v>Compteur_2</v>
      </c>
      <c r="G361" t="str">
        <f>T(INDEX(Site!$B$33:$G$40, MATCH(Tab_Calculs[[#This Row],[Compteur]], Site!$B$33:$B$40,0),2))</f>
        <v/>
      </c>
      <c r="H361" s="3">
        <f t="array" aca="1" ref="H361" ca="1">MIN(IF(INDIRECT(CONCATENATE(Tab_Calculs[[#This Row],[Colonne1]],"!$B$2:$B$243"))&gt;=Calculs_Consos!$A361,INDIRECT(CONCATENATE(Tab_Calculs[[#This Row],[Colonne1]],"!$B$2:$B$243"))))</f>
        <v>0</v>
      </c>
      <c r="I361" s="3" t="e">
        <f ca="1">INDEX(INDIRECT(CONCATENATE("Tab_",Tab_Calculs[[#This Row],[Colonne1]])),Tab_Calculs[[#This Row],[index_date_livraison]],1)</f>
        <v>#NUM!</v>
      </c>
      <c r="J361">
        <f ca="1">MATCH(Tab_Calculs[[#This Row],[Date_livraison]],INDIRECT(CONCATENATE("Tab_",Tab_Calculs[[#This Row],[Colonne1]],"[Fin de période]")),0)</f>
        <v>1</v>
      </c>
      <c r="K361" t="e">
        <f ca="1">INDEX(INDIRECT(CONCATENATE("Tab_",Tab_Calculs[[#This Row],[Colonne1]])),Tab_Calculs[[#This Row],[index_date_livraison]]-1,6)*(MAX(Tab_Calculs[[#This Row],[Début periode livraison]],Tab_Calculs[[#This Row],[Début mois]])-Tab_Calculs[[#This Row],[Début mois]])</f>
        <v>#VALUE!</v>
      </c>
      <c r="L361" s="94" t="e">
        <f ca="1">INDEX(INDIRECT(CONCATENATE("Tab_",Tab_Calculs[[#This Row],[Colonne1]])),Tab_Calculs[[#This Row],[index_date_livraison]],6)*(1+MIN(Tab_Calculs[[#This Row],[Date_livraison]],Tab_Calculs[[#This Row],[fin mois]])-MAX(Tab_Calculs[[#This Row],[Début mois]],Tab_Calculs[[#This Row],[Début periode livraison]]))</f>
        <v>#NUM!</v>
      </c>
      <c r="M361" s="94" t="e">
        <f ca="1">INDEX(INDIRECT(CONCATENATE("Tab_",Tab_Calculs[[#This Row],[Colonne1]])),Tab_Calculs[[#This Row],[index_date_livraison]]+1,6)*(Tab_Calculs[[#This Row],[fin mois]]-MIN(Tab_Calculs[[#This Row],[fin mois]],Tab_Calculs[[#This Row],[Date_livraison]]))</f>
        <v>#VALUE!</v>
      </c>
      <c r="N361" s="231" t="str">
        <f ca="1">IFERROR(Tab_Calculs[[#This Row],[Ratio_jour_après_livr]]+Tab_Calculs[[#This Row],[Ratio_jour_avant_livr]]+Tab_Calculs[[#This Row],[ratio_avant_debut]],"")</f>
        <v/>
      </c>
      <c r="O361" t="e">
        <f ca="1">INDEX(INDIRECT(CONCATENATE("Tab_",Tab_Calculs[[#This Row],[Colonne1]])),Tab_Calculs[[#This Row],[index_date_livraison]]-1,7)*(MAX(Tab_Calculs[[#This Row],[Début periode livraison]],Tab_Calculs[[#This Row],[Début mois]])-Tab_Calculs[[#This Row],[Début mois]])</f>
        <v>#VALUE!</v>
      </c>
      <c r="P361" t="e">
        <f ca="1">INDEX(INDIRECT(CONCATENATE("Tab_",Tab_Calculs[[#This Row],[Colonne1]])),Tab_Calculs[[#This Row],[index_date_livraison]],7)*(1+MIN(Tab_Calculs[[#This Row],[Date_livraison]],Tab_Calculs[[#This Row],[fin mois]])-MAX(Tab_Calculs[[#This Row],[Début mois]],Tab_Calculs[[#This Row],[Début periode livraison]]))</f>
        <v>#NUM!</v>
      </c>
      <c r="Q361" t="e">
        <f ca="1">INDEX(INDIRECT(CONCATENATE("Tab_",Tab_Calculs[[#This Row],[Colonne1]])),Tab_Calculs[[#This Row],[index_date_livraison]]+1,7)*(Tab_Calculs[[#This Row],[fin mois]]-MIN(Tab_Calculs[[#This Row],[fin mois]],Tab_Calculs[[#This Row],[Date_livraison]]))</f>
        <v>#VALUE!</v>
      </c>
      <c r="R361" t="e">
        <f ca="1">Tab_Calculs[[#This Row],[Ratio_Cout_après_livr]]+Tab_Calculs[[#This Row],[Ratio_Cout_avant_livr]]+Tab_Calculs[[#This Row],[Ratio_Cout_avant_debut]]</f>
        <v>#VALUE!</v>
      </c>
      <c r="S361" t="str">
        <f ca="1">IFERROR(N361*VLOOKUP(Tab_Calculs[[#This Row],[Colonne1]],Controle_des_données!$B$7:$G$14,6,FALSE),"")</f>
        <v/>
      </c>
      <c r="T361" t="str">
        <f ca="1">IF(Tab_Calculs[[#This Row],[Combustible ]]="Electricité (kWh)",Tab_Calculs[[#This Row],[Conso_mois_kWh]]*2.3,Tab_Calculs[[#This Row],[Conso_mois_kWh]])</f>
        <v/>
      </c>
      <c r="U361" t="str">
        <f ca="1">IFERROR(N361*VLOOKUP(Tab_Calculs[[#This Row],[Colonne1]],Controle_des_données!$B$7:$H$14,7,FALSE),"")</f>
        <v/>
      </c>
      <c r="V361">
        <f ca="1">IFERROR(Tab_Calculs[[#This Row],[Cout_mois]]/Tab_Calculs[[#This Row],[Conso_mois_kWh]],0)</f>
        <v>0</v>
      </c>
      <c r="W361" t="str">
        <f>T(VLOOKUP(Tab_Calculs[[#This Row],[Compteur]],Site!$B$33:$G$40,3,FALSE))</f>
        <v/>
      </c>
      <c r="X361" t="str">
        <f>T(VLOOKUP(Tab_Calculs[[#This Row],[Compteur]],Site!$B$33:$G$40,4,FALSE))</f>
        <v/>
      </c>
      <c r="Y361" t="str">
        <f>T(VLOOKUP(Tab_Calculs[[#This Row],[Compteur]],Site!$B$33:$G$40,5,FALSE))</f>
        <v/>
      </c>
      <c r="Z361" t="str">
        <f>T(VLOOKUP(Tab_Calculs[[#This Row],[Compteur]],Site!$B$33:$G$40,6,FALSE))</f>
        <v/>
      </c>
      <c r="AA361">
        <f>IFERROR(GETPIVOTDATA("DJU(chauffagiste)",BDD_DJU!$P$13,"annee",Tab_Calculs[[#This Row],[ANNEE]],"mois_numero",Tab_Calculs[[#This Row],[MOIS]]),0)</f>
        <v>86.4</v>
      </c>
    </row>
    <row r="362" spans="1:27" x14ac:dyDescent="0.25">
      <c r="A362" s="3">
        <f>DATE(Tab_Calculs[[#This Row],[ANNEE]],Tab_Calculs[[#This Row],[MOIS]],1)</f>
        <v>45078</v>
      </c>
      <c r="B362" s="3">
        <f>EDATE(Tab_Calculs[[#This Row],[Début mois]],1)-1</f>
        <v>45107</v>
      </c>
      <c r="C362">
        <f t="shared" si="10"/>
        <v>6</v>
      </c>
      <c r="D362">
        <f t="shared" si="12"/>
        <v>2023</v>
      </c>
      <c r="E362" t="s">
        <v>81</v>
      </c>
      <c r="F362" t="str">
        <f>SUBSTITUTE(Tab_Calculs[[#This Row],[Compteur]]," ","_")</f>
        <v>Compteur_2</v>
      </c>
      <c r="G362" t="str">
        <f>T(INDEX(Site!$B$33:$G$40, MATCH(Tab_Calculs[[#This Row],[Compteur]], Site!$B$33:$B$40,0),2))</f>
        <v/>
      </c>
      <c r="H362" s="3">
        <f t="array" aca="1" ref="H362" ca="1">MIN(IF(INDIRECT(CONCATENATE(Tab_Calculs[[#This Row],[Colonne1]],"!$B$2:$B$243"))&gt;=Calculs_Consos!$A362,INDIRECT(CONCATENATE(Tab_Calculs[[#This Row],[Colonne1]],"!$B$2:$B$243"))))</f>
        <v>0</v>
      </c>
      <c r="I362" s="3" t="e">
        <f ca="1">INDEX(INDIRECT(CONCATENATE("Tab_",Tab_Calculs[[#This Row],[Colonne1]])),Tab_Calculs[[#This Row],[index_date_livraison]],1)</f>
        <v>#NUM!</v>
      </c>
      <c r="J362">
        <f ca="1">MATCH(Tab_Calculs[[#This Row],[Date_livraison]],INDIRECT(CONCATENATE("Tab_",Tab_Calculs[[#This Row],[Colonne1]],"[Fin de période]")),0)</f>
        <v>1</v>
      </c>
      <c r="K362" t="e">
        <f ca="1">INDEX(INDIRECT(CONCATENATE("Tab_",Tab_Calculs[[#This Row],[Colonne1]])),Tab_Calculs[[#This Row],[index_date_livraison]]-1,6)*(MAX(Tab_Calculs[[#This Row],[Début periode livraison]],Tab_Calculs[[#This Row],[Début mois]])-Tab_Calculs[[#This Row],[Début mois]])</f>
        <v>#VALUE!</v>
      </c>
      <c r="L362" s="94" t="e">
        <f ca="1">INDEX(INDIRECT(CONCATENATE("Tab_",Tab_Calculs[[#This Row],[Colonne1]])),Tab_Calculs[[#This Row],[index_date_livraison]],6)*(1+MIN(Tab_Calculs[[#This Row],[Date_livraison]],Tab_Calculs[[#This Row],[fin mois]])-MAX(Tab_Calculs[[#This Row],[Début mois]],Tab_Calculs[[#This Row],[Début periode livraison]]))</f>
        <v>#NUM!</v>
      </c>
      <c r="M362" s="94" t="e">
        <f ca="1">INDEX(INDIRECT(CONCATENATE("Tab_",Tab_Calculs[[#This Row],[Colonne1]])),Tab_Calculs[[#This Row],[index_date_livraison]]+1,6)*(Tab_Calculs[[#This Row],[fin mois]]-MIN(Tab_Calculs[[#This Row],[fin mois]],Tab_Calculs[[#This Row],[Date_livraison]]))</f>
        <v>#VALUE!</v>
      </c>
      <c r="N362" s="231" t="str">
        <f ca="1">IFERROR(Tab_Calculs[[#This Row],[Ratio_jour_après_livr]]+Tab_Calculs[[#This Row],[Ratio_jour_avant_livr]]+Tab_Calculs[[#This Row],[ratio_avant_debut]],"")</f>
        <v/>
      </c>
      <c r="O362" t="e">
        <f ca="1">INDEX(INDIRECT(CONCATENATE("Tab_",Tab_Calculs[[#This Row],[Colonne1]])),Tab_Calculs[[#This Row],[index_date_livraison]]-1,7)*(MAX(Tab_Calculs[[#This Row],[Début periode livraison]],Tab_Calculs[[#This Row],[Début mois]])-Tab_Calculs[[#This Row],[Début mois]])</f>
        <v>#VALUE!</v>
      </c>
      <c r="P362" t="e">
        <f ca="1">INDEX(INDIRECT(CONCATENATE("Tab_",Tab_Calculs[[#This Row],[Colonne1]])),Tab_Calculs[[#This Row],[index_date_livraison]],7)*(1+MIN(Tab_Calculs[[#This Row],[Date_livraison]],Tab_Calculs[[#This Row],[fin mois]])-MAX(Tab_Calculs[[#This Row],[Début mois]],Tab_Calculs[[#This Row],[Début periode livraison]]))</f>
        <v>#NUM!</v>
      </c>
      <c r="Q362" t="e">
        <f ca="1">INDEX(INDIRECT(CONCATENATE("Tab_",Tab_Calculs[[#This Row],[Colonne1]])),Tab_Calculs[[#This Row],[index_date_livraison]]+1,7)*(Tab_Calculs[[#This Row],[fin mois]]-MIN(Tab_Calculs[[#This Row],[fin mois]],Tab_Calculs[[#This Row],[Date_livraison]]))</f>
        <v>#VALUE!</v>
      </c>
      <c r="R362" t="e">
        <f ca="1">Tab_Calculs[[#This Row],[Ratio_Cout_après_livr]]+Tab_Calculs[[#This Row],[Ratio_Cout_avant_livr]]+Tab_Calculs[[#This Row],[Ratio_Cout_avant_debut]]</f>
        <v>#VALUE!</v>
      </c>
      <c r="S362" t="str">
        <f ca="1">IFERROR(N362*VLOOKUP(Tab_Calculs[[#This Row],[Colonne1]],Controle_des_données!$B$7:$G$14,6,FALSE),"")</f>
        <v/>
      </c>
      <c r="T362" t="str">
        <f ca="1">IF(Tab_Calculs[[#This Row],[Combustible ]]="Electricité (kWh)",Tab_Calculs[[#This Row],[Conso_mois_kWh]]*2.3,Tab_Calculs[[#This Row],[Conso_mois_kWh]])</f>
        <v/>
      </c>
      <c r="U362" t="str">
        <f ca="1">IFERROR(N362*VLOOKUP(Tab_Calculs[[#This Row],[Colonne1]],Controle_des_données!$B$7:$H$14,7,FALSE),"")</f>
        <v/>
      </c>
      <c r="V362">
        <f ca="1">IFERROR(Tab_Calculs[[#This Row],[Cout_mois]]/Tab_Calculs[[#This Row],[Conso_mois_kWh]],0)</f>
        <v>0</v>
      </c>
      <c r="W362" t="str">
        <f>T(VLOOKUP(Tab_Calculs[[#This Row],[Compteur]],Site!$B$33:$G$40,3,FALSE))</f>
        <v/>
      </c>
      <c r="X362" t="str">
        <f>T(VLOOKUP(Tab_Calculs[[#This Row],[Compteur]],Site!$B$33:$G$40,4,FALSE))</f>
        <v/>
      </c>
      <c r="Y362" t="str">
        <f>T(VLOOKUP(Tab_Calculs[[#This Row],[Compteur]],Site!$B$33:$G$40,5,FALSE))</f>
        <v/>
      </c>
      <c r="Z362" t="str">
        <f>T(VLOOKUP(Tab_Calculs[[#This Row],[Compteur]],Site!$B$33:$G$40,6,FALSE))</f>
        <v/>
      </c>
      <c r="AA362">
        <f>IFERROR(GETPIVOTDATA("DJU(chauffagiste)",BDD_DJU!$P$13,"annee",Tab_Calculs[[#This Row],[ANNEE]],"mois_numero",Tab_Calculs[[#This Row],[MOIS]]),0)</f>
        <v>17.3</v>
      </c>
    </row>
    <row r="363" spans="1:27" x14ac:dyDescent="0.25">
      <c r="A363" s="3">
        <f>DATE(Tab_Calculs[[#This Row],[ANNEE]],Tab_Calculs[[#This Row],[MOIS]],1)</f>
        <v>45108</v>
      </c>
      <c r="B363" s="3">
        <f>EDATE(Tab_Calculs[[#This Row],[Début mois]],1)-1</f>
        <v>45138</v>
      </c>
      <c r="C363">
        <f t="shared" si="10"/>
        <v>7</v>
      </c>
      <c r="D363">
        <f t="shared" si="12"/>
        <v>2023</v>
      </c>
      <c r="E363" t="s">
        <v>81</v>
      </c>
      <c r="F363" t="str">
        <f>SUBSTITUTE(Tab_Calculs[[#This Row],[Compteur]]," ","_")</f>
        <v>Compteur_2</v>
      </c>
      <c r="G363" t="str">
        <f>T(INDEX(Site!$B$33:$G$40, MATCH(Tab_Calculs[[#This Row],[Compteur]], Site!$B$33:$B$40,0),2))</f>
        <v/>
      </c>
      <c r="H363" s="3">
        <f t="array" aca="1" ref="H363" ca="1">MIN(IF(INDIRECT(CONCATENATE(Tab_Calculs[[#This Row],[Colonne1]],"!$B$2:$B$243"))&gt;=Calculs_Consos!$A363,INDIRECT(CONCATENATE(Tab_Calculs[[#This Row],[Colonne1]],"!$B$2:$B$243"))))</f>
        <v>0</v>
      </c>
      <c r="I363" s="3" t="e">
        <f ca="1">INDEX(INDIRECT(CONCATENATE("Tab_",Tab_Calculs[[#This Row],[Colonne1]])),Tab_Calculs[[#This Row],[index_date_livraison]],1)</f>
        <v>#NUM!</v>
      </c>
      <c r="J363">
        <f ca="1">MATCH(Tab_Calculs[[#This Row],[Date_livraison]],INDIRECT(CONCATENATE("Tab_",Tab_Calculs[[#This Row],[Colonne1]],"[Fin de période]")),0)</f>
        <v>1</v>
      </c>
      <c r="K363" t="e">
        <f ca="1">INDEX(INDIRECT(CONCATENATE("Tab_",Tab_Calculs[[#This Row],[Colonne1]])),Tab_Calculs[[#This Row],[index_date_livraison]]-1,6)*(MAX(Tab_Calculs[[#This Row],[Début periode livraison]],Tab_Calculs[[#This Row],[Début mois]])-Tab_Calculs[[#This Row],[Début mois]])</f>
        <v>#VALUE!</v>
      </c>
      <c r="L363" s="94" t="e">
        <f ca="1">INDEX(INDIRECT(CONCATENATE("Tab_",Tab_Calculs[[#This Row],[Colonne1]])),Tab_Calculs[[#This Row],[index_date_livraison]],6)*(1+MIN(Tab_Calculs[[#This Row],[Date_livraison]],Tab_Calculs[[#This Row],[fin mois]])-MAX(Tab_Calculs[[#This Row],[Début mois]],Tab_Calculs[[#This Row],[Début periode livraison]]))</f>
        <v>#NUM!</v>
      </c>
      <c r="M363" s="94" t="e">
        <f ca="1">INDEX(INDIRECT(CONCATENATE("Tab_",Tab_Calculs[[#This Row],[Colonne1]])),Tab_Calculs[[#This Row],[index_date_livraison]]+1,6)*(Tab_Calculs[[#This Row],[fin mois]]-MIN(Tab_Calculs[[#This Row],[fin mois]],Tab_Calculs[[#This Row],[Date_livraison]]))</f>
        <v>#VALUE!</v>
      </c>
      <c r="N363" s="231" t="str">
        <f ca="1">IFERROR(Tab_Calculs[[#This Row],[Ratio_jour_après_livr]]+Tab_Calculs[[#This Row],[Ratio_jour_avant_livr]]+Tab_Calculs[[#This Row],[ratio_avant_debut]],"")</f>
        <v/>
      </c>
      <c r="O363" t="e">
        <f ca="1">INDEX(INDIRECT(CONCATENATE("Tab_",Tab_Calculs[[#This Row],[Colonne1]])),Tab_Calculs[[#This Row],[index_date_livraison]]-1,7)*(MAX(Tab_Calculs[[#This Row],[Début periode livraison]],Tab_Calculs[[#This Row],[Début mois]])-Tab_Calculs[[#This Row],[Début mois]])</f>
        <v>#VALUE!</v>
      </c>
      <c r="P363" t="e">
        <f ca="1">INDEX(INDIRECT(CONCATENATE("Tab_",Tab_Calculs[[#This Row],[Colonne1]])),Tab_Calculs[[#This Row],[index_date_livraison]],7)*(1+MIN(Tab_Calculs[[#This Row],[Date_livraison]],Tab_Calculs[[#This Row],[fin mois]])-MAX(Tab_Calculs[[#This Row],[Début mois]],Tab_Calculs[[#This Row],[Début periode livraison]]))</f>
        <v>#NUM!</v>
      </c>
      <c r="Q363" t="e">
        <f ca="1">INDEX(INDIRECT(CONCATENATE("Tab_",Tab_Calculs[[#This Row],[Colonne1]])),Tab_Calculs[[#This Row],[index_date_livraison]]+1,7)*(Tab_Calculs[[#This Row],[fin mois]]-MIN(Tab_Calculs[[#This Row],[fin mois]],Tab_Calculs[[#This Row],[Date_livraison]]))</f>
        <v>#VALUE!</v>
      </c>
      <c r="R363" t="e">
        <f ca="1">Tab_Calculs[[#This Row],[Ratio_Cout_après_livr]]+Tab_Calculs[[#This Row],[Ratio_Cout_avant_livr]]+Tab_Calculs[[#This Row],[Ratio_Cout_avant_debut]]</f>
        <v>#VALUE!</v>
      </c>
      <c r="S363" t="str">
        <f ca="1">IFERROR(N363*VLOOKUP(Tab_Calculs[[#This Row],[Colonne1]],Controle_des_données!$B$7:$G$14,6,FALSE),"")</f>
        <v/>
      </c>
      <c r="T363" t="str">
        <f ca="1">IF(Tab_Calculs[[#This Row],[Combustible ]]="Electricité (kWh)",Tab_Calculs[[#This Row],[Conso_mois_kWh]]*2.3,Tab_Calculs[[#This Row],[Conso_mois_kWh]])</f>
        <v/>
      </c>
      <c r="U363" t="str">
        <f ca="1">IFERROR(N363*VLOOKUP(Tab_Calculs[[#This Row],[Colonne1]],Controle_des_données!$B$7:$H$14,7,FALSE),"")</f>
        <v/>
      </c>
      <c r="V363">
        <f ca="1">IFERROR(Tab_Calculs[[#This Row],[Cout_mois]]/Tab_Calculs[[#This Row],[Conso_mois_kWh]],0)</f>
        <v>0</v>
      </c>
      <c r="W363" t="str">
        <f>T(VLOOKUP(Tab_Calculs[[#This Row],[Compteur]],Site!$B$33:$G$40,3,FALSE))</f>
        <v/>
      </c>
      <c r="X363" t="str">
        <f>T(VLOOKUP(Tab_Calculs[[#This Row],[Compteur]],Site!$B$33:$G$40,4,FALSE))</f>
        <v/>
      </c>
      <c r="Y363" t="str">
        <f>T(VLOOKUP(Tab_Calculs[[#This Row],[Compteur]],Site!$B$33:$G$40,5,FALSE))</f>
        <v/>
      </c>
      <c r="Z363" t="str">
        <f>T(VLOOKUP(Tab_Calculs[[#This Row],[Compteur]],Site!$B$33:$G$40,6,FALSE))</f>
        <v/>
      </c>
      <c r="AA363">
        <f>IFERROR(GETPIVOTDATA("DJU(chauffagiste)",BDD_DJU!$P$13,"annee",Tab_Calculs[[#This Row],[ANNEE]],"mois_numero",Tab_Calculs[[#This Row],[MOIS]]),0)</f>
        <v>24.1</v>
      </c>
    </row>
    <row r="364" spans="1:27" x14ac:dyDescent="0.25">
      <c r="A364" s="3">
        <f>DATE(Tab_Calculs[[#This Row],[ANNEE]],Tab_Calculs[[#This Row],[MOIS]],1)</f>
        <v>45139</v>
      </c>
      <c r="B364" s="3">
        <f>EDATE(Tab_Calculs[[#This Row],[Début mois]],1)-1</f>
        <v>45169</v>
      </c>
      <c r="C364">
        <f t="shared" si="10"/>
        <v>8</v>
      </c>
      <c r="D364">
        <f t="shared" si="12"/>
        <v>2023</v>
      </c>
      <c r="E364" t="s">
        <v>81</v>
      </c>
      <c r="F364" t="str">
        <f>SUBSTITUTE(Tab_Calculs[[#This Row],[Compteur]]," ","_")</f>
        <v>Compteur_2</v>
      </c>
      <c r="G364" t="str">
        <f>T(INDEX(Site!$B$33:$G$40, MATCH(Tab_Calculs[[#This Row],[Compteur]], Site!$B$33:$B$40,0),2))</f>
        <v/>
      </c>
      <c r="H364" s="3">
        <f t="array" aca="1" ref="H364" ca="1">MIN(IF(INDIRECT(CONCATENATE(Tab_Calculs[[#This Row],[Colonne1]],"!$B$2:$B$243"))&gt;=Calculs_Consos!$A364,INDIRECT(CONCATENATE(Tab_Calculs[[#This Row],[Colonne1]],"!$B$2:$B$243"))))</f>
        <v>0</v>
      </c>
      <c r="I364" s="3" t="e">
        <f ca="1">INDEX(INDIRECT(CONCATENATE("Tab_",Tab_Calculs[[#This Row],[Colonne1]])),Tab_Calculs[[#This Row],[index_date_livraison]],1)</f>
        <v>#NUM!</v>
      </c>
      <c r="J364">
        <f ca="1">MATCH(Tab_Calculs[[#This Row],[Date_livraison]],INDIRECT(CONCATENATE("Tab_",Tab_Calculs[[#This Row],[Colonne1]],"[Fin de période]")),0)</f>
        <v>1</v>
      </c>
      <c r="K364" t="e">
        <f ca="1">INDEX(INDIRECT(CONCATENATE("Tab_",Tab_Calculs[[#This Row],[Colonne1]])),Tab_Calculs[[#This Row],[index_date_livraison]]-1,6)*(MAX(Tab_Calculs[[#This Row],[Début periode livraison]],Tab_Calculs[[#This Row],[Début mois]])-Tab_Calculs[[#This Row],[Début mois]])</f>
        <v>#VALUE!</v>
      </c>
      <c r="L364" s="94" t="e">
        <f ca="1">INDEX(INDIRECT(CONCATENATE("Tab_",Tab_Calculs[[#This Row],[Colonne1]])),Tab_Calculs[[#This Row],[index_date_livraison]],6)*(1+MIN(Tab_Calculs[[#This Row],[Date_livraison]],Tab_Calculs[[#This Row],[fin mois]])-MAX(Tab_Calculs[[#This Row],[Début mois]],Tab_Calculs[[#This Row],[Début periode livraison]]))</f>
        <v>#NUM!</v>
      </c>
      <c r="M364" s="94" t="e">
        <f ca="1">INDEX(INDIRECT(CONCATENATE("Tab_",Tab_Calculs[[#This Row],[Colonne1]])),Tab_Calculs[[#This Row],[index_date_livraison]]+1,6)*(Tab_Calculs[[#This Row],[fin mois]]-MIN(Tab_Calculs[[#This Row],[fin mois]],Tab_Calculs[[#This Row],[Date_livraison]]))</f>
        <v>#VALUE!</v>
      </c>
      <c r="N364" s="231" t="str">
        <f ca="1">IFERROR(Tab_Calculs[[#This Row],[Ratio_jour_après_livr]]+Tab_Calculs[[#This Row],[Ratio_jour_avant_livr]]+Tab_Calculs[[#This Row],[ratio_avant_debut]],"")</f>
        <v/>
      </c>
      <c r="O364" t="e">
        <f ca="1">INDEX(INDIRECT(CONCATENATE("Tab_",Tab_Calculs[[#This Row],[Colonne1]])),Tab_Calculs[[#This Row],[index_date_livraison]]-1,7)*(MAX(Tab_Calculs[[#This Row],[Début periode livraison]],Tab_Calculs[[#This Row],[Début mois]])-Tab_Calculs[[#This Row],[Début mois]])</f>
        <v>#VALUE!</v>
      </c>
      <c r="P364" t="e">
        <f ca="1">INDEX(INDIRECT(CONCATENATE("Tab_",Tab_Calculs[[#This Row],[Colonne1]])),Tab_Calculs[[#This Row],[index_date_livraison]],7)*(1+MIN(Tab_Calculs[[#This Row],[Date_livraison]],Tab_Calculs[[#This Row],[fin mois]])-MAX(Tab_Calculs[[#This Row],[Début mois]],Tab_Calculs[[#This Row],[Début periode livraison]]))</f>
        <v>#NUM!</v>
      </c>
      <c r="Q364" t="e">
        <f ca="1">INDEX(INDIRECT(CONCATENATE("Tab_",Tab_Calculs[[#This Row],[Colonne1]])),Tab_Calculs[[#This Row],[index_date_livraison]]+1,7)*(Tab_Calculs[[#This Row],[fin mois]]-MIN(Tab_Calculs[[#This Row],[fin mois]],Tab_Calculs[[#This Row],[Date_livraison]]))</f>
        <v>#VALUE!</v>
      </c>
      <c r="R364" t="e">
        <f ca="1">Tab_Calculs[[#This Row],[Ratio_Cout_après_livr]]+Tab_Calculs[[#This Row],[Ratio_Cout_avant_livr]]+Tab_Calculs[[#This Row],[Ratio_Cout_avant_debut]]</f>
        <v>#VALUE!</v>
      </c>
      <c r="S364" t="str">
        <f ca="1">IFERROR(N364*VLOOKUP(Tab_Calculs[[#This Row],[Colonne1]],Controle_des_données!$B$7:$G$14,6,FALSE),"")</f>
        <v/>
      </c>
      <c r="T364" t="str">
        <f ca="1">IF(Tab_Calculs[[#This Row],[Combustible ]]="Electricité (kWh)",Tab_Calculs[[#This Row],[Conso_mois_kWh]]*2.3,Tab_Calculs[[#This Row],[Conso_mois_kWh]])</f>
        <v/>
      </c>
      <c r="U364" t="str">
        <f ca="1">IFERROR(N364*VLOOKUP(Tab_Calculs[[#This Row],[Colonne1]],Controle_des_données!$B$7:$H$14,7,FALSE),"")</f>
        <v/>
      </c>
      <c r="V364">
        <f ca="1">IFERROR(Tab_Calculs[[#This Row],[Cout_mois]]/Tab_Calculs[[#This Row],[Conso_mois_kWh]],0)</f>
        <v>0</v>
      </c>
      <c r="W364" t="str">
        <f>T(VLOOKUP(Tab_Calculs[[#This Row],[Compteur]],Site!$B$33:$G$40,3,FALSE))</f>
        <v/>
      </c>
      <c r="X364" t="str">
        <f>T(VLOOKUP(Tab_Calculs[[#This Row],[Compteur]],Site!$B$33:$G$40,4,FALSE))</f>
        <v/>
      </c>
      <c r="Y364" t="str">
        <f>T(VLOOKUP(Tab_Calculs[[#This Row],[Compteur]],Site!$B$33:$G$40,5,FALSE))</f>
        <v/>
      </c>
      <c r="Z364" t="str">
        <f>T(VLOOKUP(Tab_Calculs[[#This Row],[Compteur]],Site!$B$33:$G$40,6,FALSE))</f>
        <v/>
      </c>
      <c r="AA364">
        <f>IFERROR(GETPIVOTDATA("DJU(chauffagiste)",BDD_DJU!$P$13,"annee",Tab_Calculs[[#This Row],[ANNEE]],"mois_numero",Tab_Calculs[[#This Row],[MOIS]]),0)</f>
        <v>27.9</v>
      </c>
    </row>
    <row r="365" spans="1:27" x14ac:dyDescent="0.25">
      <c r="A365" s="3">
        <f>DATE(Tab_Calculs[[#This Row],[ANNEE]],Tab_Calculs[[#This Row],[MOIS]],1)</f>
        <v>45170</v>
      </c>
      <c r="B365" s="3">
        <f>EDATE(Tab_Calculs[[#This Row],[Début mois]],1)-1</f>
        <v>45199</v>
      </c>
      <c r="C365">
        <f t="shared" si="10"/>
        <v>9</v>
      </c>
      <c r="D365">
        <f t="shared" si="12"/>
        <v>2023</v>
      </c>
      <c r="E365" t="s">
        <v>81</v>
      </c>
      <c r="F365" t="str">
        <f>SUBSTITUTE(Tab_Calculs[[#This Row],[Compteur]]," ","_")</f>
        <v>Compteur_2</v>
      </c>
      <c r="G365" t="str">
        <f>T(INDEX(Site!$B$33:$G$40, MATCH(Tab_Calculs[[#This Row],[Compteur]], Site!$B$33:$B$40,0),2))</f>
        <v/>
      </c>
      <c r="H365" s="3">
        <f t="array" aca="1" ref="H365" ca="1">MIN(IF(INDIRECT(CONCATENATE(Tab_Calculs[[#This Row],[Colonne1]],"!$B$2:$B$243"))&gt;=Calculs_Consos!$A365,INDIRECT(CONCATENATE(Tab_Calculs[[#This Row],[Colonne1]],"!$B$2:$B$243"))))</f>
        <v>0</v>
      </c>
      <c r="I365" s="3" t="e">
        <f ca="1">INDEX(INDIRECT(CONCATENATE("Tab_",Tab_Calculs[[#This Row],[Colonne1]])),Tab_Calculs[[#This Row],[index_date_livraison]],1)</f>
        <v>#NUM!</v>
      </c>
      <c r="J365">
        <f ca="1">MATCH(Tab_Calculs[[#This Row],[Date_livraison]],INDIRECT(CONCATENATE("Tab_",Tab_Calculs[[#This Row],[Colonne1]],"[Fin de période]")),0)</f>
        <v>1</v>
      </c>
      <c r="K365" t="e">
        <f ca="1">INDEX(INDIRECT(CONCATENATE("Tab_",Tab_Calculs[[#This Row],[Colonne1]])),Tab_Calculs[[#This Row],[index_date_livraison]]-1,6)*(MAX(Tab_Calculs[[#This Row],[Début periode livraison]],Tab_Calculs[[#This Row],[Début mois]])-Tab_Calculs[[#This Row],[Début mois]])</f>
        <v>#VALUE!</v>
      </c>
      <c r="L365" s="94" t="e">
        <f ca="1">INDEX(INDIRECT(CONCATENATE("Tab_",Tab_Calculs[[#This Row],[Colonne1]])),Tab_Calculs[[#This Row],[index_date_livraison]],6)*(1+MIN(Tab_Calculs[[#This Row],[Date_livraison]],Tab_Calculs[[#This Row],[fin mois]])-MAX(Tab_Calculs[[#This Row],[Début mois]],Tab_Calculs[[#This Row],[Début periode livraison]]))</f>
        <v>#NUM!</v>
      </c>
      <c r="M365" s="94" t="e">
        <f ca="1">INDEX(INDIRECT(CONCATENATE("Tab_",Tab_Calculs[[#This Row],[Colonne1]])),Tab_Calculs[[#This Row],[index_date_livraison]]+1,6)*(Tab_Calculs[[#This Row],[fin mois]]-MIN(Tab_Calculs[[#This Row],[fin mois]],Tab_Calculs[[#This Row],[Date_livraison]]))</f>
        <v>#VALUE!</v>
      </c>
      <c r="N365" s="231" t="str">
        <f ca="1">IFERROR(Tab_Calculs[[#This Row],[Ratio_jour_après_livr]]+Tab_Calculs[[#This Row],[Ratio_jour_avant_livr]]+Tab_Calculs[[#This Row],[ratio_avant_debut]],"")</f>
        <v/>
      </c>
      <c r="O365" t="e">
        <f ca="1">INDEX(INDIRECT(CONCATENATE("Tab_",Tab_Calculs[[#This Row],[Colonne1]])),Tab_Calculs[[#This Row],[index_date_livraison]]-1,7)*(MAX(Tab_Calculs[[#This Row],[Début periode livraison]],Tab_Calculs[[#This Row],[Début mois]])-Tab_Calculs[[#This Row],[Début mois]])</f>
        <v>#VALUE!</v>
      </c>
      <c r="P365" t="e">
        <f ca="1">INDEX(INDIRECT(CONCATENATE("Tab_",Tab_Calculs[[#This Row],[Colonne1]])),Tab_Calculs[[#This Row],[index_date_livraison]],7)*(1+MIN(Tab_Calculs[[#This Row],[Date_livraison]],Tab_Calculs[[#This Row],[fin mois]])-MAX(Tab_Calculs[[#This Row],[Début mois]],Tab_Calculs[[#This Row],[Début periode livraison]]))</f>
        <v>#NUM!</v>
      </c>
      <c r="Q365" t="e">
        <f ca="1">INDEX(INDIRECT(CONCATENATE("Tab_",Tab_Calculs[[#This Row],[Colonne1]])),Tab_Calculs[[#This Row],[index_date_livraison]]+1,7)*(Tab_Calculs[[#This Row],[fin mois]]-MIN(Tab_Calculs[[#This Row],[fin mois]],Tab_Calculs[[#This Row],[Date_livraison]]))</f>
        <v>#VALUE!</v>
      </c>
      <c r="R365" t="e">
        <f ca="1">Tab_Calculs[[#This Row],[Ratio_Cout_après_livr]]+Tab_Calculs[[#This Row],[Ratio_Cout_avant_livr]]+Tab_Calculs[[#This Row],[Ratio_Cout_avant_debut]]</f>
        <v>#VALUE!</v>
      </c>
      <c r="S365" t="str">
        <f ca="1">IFERROR(N365*VLOOKUP(Tab_Calculs[[#This Row],[Colonne1]],Controle_des_données!$B$7:$G$14,6,FALSE),"")</f>
        <v/>
      </c>
      <c r="T365" t="str">
        <f ca="1">IF(Tab_Calculs[[#This Row],[Combustible ]]="Electricité (kWh)",Tab_Calculs[[#This Row],[Conso_mois_kWh]]*2.3,Tab_Calculs[[#This Row],[Conso_mois_kWh]])</f>
        <v/>
      </c>
      <c r="U365" t="str">
        <f ca="1">IFERROR(N365*VLOOKUP(Tab_Calculs[[#This Row],[Colonne1]],Controle_des_données!$B$7:$H$14,7,FALSE),"")</f>
        <v/>
      </c>
      <c r="V365">
        <f ca="1">IFERROR(Tab_Calculs[[#This Row],[Cout_mois]]/Tab_Calculs[[#This Row],[Conso_mois_kWh]],0)</f>
        <v>0</v>
      </c>
      <c r="W365" t="str">
        <f>T(VLOOKUP(Tab_Calculs[[#This Row],[Compteur]],Site!$B$33:$G$40,3,FALSE))</f>
        <v/>
      </c>
      <c r="X365" t="str">
        <f>T(VLOOKUP(Tab_Calculs[[#This Row],[Compteur]],Site!$B$33:$G$40,4,FALSE))</f>
        <v/>
      </c>
      <c r="Y365" t="str">
        <f>T(VLOOKUP(Tab_Calculs[[#This Row],[Compteur]],Site!$B$33:$G$40,5,FALSE))</f>
        <v/>
      </c>
      <c r="Z365" t="str">
        <f>T(VLOOKUP(Tab_Calculs[[#This Row],[Compteur]],Site!$B$33:$G$40,6,FALSE))</f>
        <v/>
      </c>
      <c r="AA365">
        <f>IFERROR(GETPIVOTDATA("DJU(chauffagiste)",BDD_DJU!$P$13,"annee",Tab_Calculs[[#This Row],[ANNEE]],"mois_numero",Tab_Calculs[[#This Row],[MOIS]]),0)</f>
        <v>30.5</v>
      </c>
    </row>
    <row r="366" spans="1:27" x14ac:dyDescent="0.25">
      <c r="A366" s="3">
        <f>DATE(Tab_Calculs[[#This Row],[ANNEE]],Tab_Calculs[[#This Row],[MOIS]],1)</f>
        <v>45200</v>
      </c>
      <c r="B366" s="3">
        <f>EDATE(Tab_Calculs[[#This Row],[Début mois]],1)-1</f>
        <v>45230</v>
      </c>
      <c r="C366">
        <f t="shared" si="10"/>
        <v>10</v>
      </c>
      <c r="D366">
        <f t="shared" si="12"/>
        <v>2023</v>
      </c>
      <c r="E366" t="s">
        <v>81</v>
      </c>
      <c r="F366" t="str">
        <f>SUBSTITUTE(Tab_Calculs[[#This Row],[Compteur]]," ","_")</f>
        <v>Compteur_2</v>
      </c>
      <c r="G366" t="str">
        <f>T(INDEX(Site!$B$33:$G$40, MATCH(Tab_Calculs[[#This Row],[Compteur]], Site!$B$33:$B$40,0),2))</f>
        <v/>
      </c>
      <c r="H366" s="3">
        <f t="array" aca="1" ref="H366" ca="1">MIN(IF(INDIRECT(CONCATENATE(Tab_Calculs[[#This Row],[Colonne1]],"!$B$2:$B$243"))&gt;=Calculs_Consos!$A366,INDIRECT(CONCATENATE(Tab_Calculs[[#This Row],[Colonne1]],"!$B$2:$B$243"))))</f>
        <v>0</v>
      </c>
      <c r="I366" s="3" t="e">
        <f ca="1">INDEX(INDIRECT(CONCATENATE("Tab_",Tab_Calculs[[#This Row],[Colonne1]])),Tab_Calculs[[#This Row],[index_date_livraison]],1)</f>
        <v>#NUM!</v>
      </c>
      <c r="J366">
        <f ca="1">MATCH(Tab_Calculs[[#This Row],[Date_livraison]],INDIRECT(CONCATENATE("Tab_",Tab_Calculs[[#This Row],[Colonne1]],"[Fin de période]")),0)</f>
        <v>1</v>
      </c>
      <c r="K366" t="e">
        <f ca="1">INDEX(INDIRECT(CONCATENATE("Tab_",Tab_Calculs[[#This Row],[Colonne1]])),Tab_Calculs[[#This Row],[index_date_livraison]]-1,6)*(MAX(Tab_Calculs[[#This Row],[Début periode livraison]],Tab_Calculs[[#This Row],[Début mois]])-Tab_Calculs[[#This Row],[Début mois]])</f>
        <v>#VALUE!</v>
      </c>
      <c r="L366" s="94" t="e">
        <f ca="1">INDEX(INDIRECT(CONCATENATE("Tab_",Tab_Calculs[[#This Row],[Colonne1]])),Tab_Calculs[[#This Row],[index_date_livraison]],6)*(1+MIN(Tab_Calculs[[#This Row],[Date_livraison]],Tab_Calculs[[#This Row],[fin mois]])-MAX(Tab_Calculs[[#This Row],[Début mois]],Tab_Calculs[[#This Row],[Début periode livraison]]))</f>
        <v>#NUM!</v>
      </c>
      <c r="M366" s="94" t="e">
        <f ca="1">INDEX(INDIRECT(CONCATENATE("Tab_",Tab_Calculs[[#This Row],[Colonne1]])),Tab_Calculs[[#This Row],[index_date_livraison]]+1,6)*(Tab_Calculs[[#This Row],[fin mois]]-MIN(Tab_Calculs[[#This Row],[fin mois]],Tab_Calculs[[#This Row],[Date_livraison]]))</f>
        <v>#VALUE!</v>
      </c>
      <c r="N366" s="231" t="str">
        <f ca="1">IFERROR(Tab_Calculs[[#This Row],[Ratio_jour_après_livr]]+Tab_Calculs[[#This Row],[Ratio_jour_avant_livr]]+Tab_Calculs[[#This Row],[ratio_avant_debut]],"")</f>
        <v/>
      </c>
      <c r="O366" t="e">
        <f ca="1">INDEX(INDIRECT(CONCATENATE("Tab_",Tab_Calculs[[#This Row],[Colonne1]])),Tab_Calculs[[#This Row],[index_date_livraison]]-1,7)*(MAX(Tab_Calculs[[#This Row],[Début periode livraison]],Tab_Calculs[[#This Row],[Début mois]])-Tab_Calculs[[#This Row],[Début mois]])</f>
        <v>#VALUE!</v>
      </c>
      <c r="P366" t="e">
        <f ca="1">INDEX(INDIRECT(CONCATENATE("Tab_",Tab_Calculs[[#This Row],[Colonne1]])),Tab_Calculs[[#This Row],[index_date_livraison]],7)*(1+MIN(Tab_Calculs[[#This Row],[Date_livraison]],Tab_Calculs[[#This Row],[fin mois]])-MAX(Tab_Calculs[[#This Row],[Début mois]],Tab_Calculs[[#This Row],[Début periode livraison]]))</f>
        <v>#NUM!</v>
      </c>
      <c r="Q366" t="e">
        <f ca="1">INDEX(INDIRECT(CONCATENATE("Tab_",Tab_Calculs[[#This Row],[Colonne1]])),Tab_Calculs[[#This Row],[index_date_livraison]]+1,7)*(Tab_Calculs[[#This Row],[fin mois]]-MIN(Tab_Calculs[[#This Row],[fin mois]],Tab_Calculs[[#This Row],[Date_livraison]]))</f>
        <v>#VALUE!</v>
      </c>
      <c r="R366" t="e">
        <f ca="1">Tab_Calculs[[#This Row],[Ratio_Cout_après_livr]]+Tab_Calculs[[#This Row],[Ratio_Cout_avant_livr]]+Tab_Calculs[[#This Row],[Ratio_Cout_avant_debut]]</f>
        <v>#VALUE!</v>
      </c>
      <c r="S366" t="str">
        <f ca="1">IFERROR(N366*VLOOKUP(Tab_Calculs[[#This Row],[Colonne1]],Controle_des_données!$B$7:$G$14,6,FALSE),"")</f>
        <v/>
      </c>
      <c r="T366" t="str">
        <f ca="1">IF(Tab_Calculs[[#This Row],[Combustible ]]="Electricité (kWh)",Tab_Calculs[[#This Row],[Conso_mois_kWh]]*2.3,Tab_Calculs[[#This Row],[Conso_mois_kWh]])</f>
        <v/>
      </c>
      <c r="U366" t="str">
        <f ca="1">IFERROR(N366*VLOOKUP(Tab_Calculs[[#This Row],[Colonne1]],Controle_des_données!$B$7:$H$14,7,FALSE),"")</f>
        <v/>
      </c>
      <c r="V366">
        <f ca="1">IFERROR(Tab_Calculs[[#This Row],[Cout_mois]]/Tab_Calculs[[#This Row],[Conso_mois_kWh]],0)</f>
        <v>0</v>
      </c>
      <c r="W366" t="str">
        <f>T(VLOOKUP(Tab_Calculs[[#This Row],[Compteur]],Site!$B$33:$G$40,3,FALSE))</f>
        <v/>
      </c>
      <c r="X366" t="str">
        <f>T(VLOOKUP(Tab_Calculs[[#This Row],[Compteur]],Site!$B$33:$G$40,4,FALSE))</f>
        <v/>
      </c>
      <c r="Y366" t="str">
        <f>T(VLOOKUP(Tab_Calculs[[#This Row],[Compteur]],Site!$B$33:$G$40,5,FALSE))</f>
        <v/>
      </c>
      <c r="Z366" t="str">
        <f>T(VLOOKUP(Tab_Calculs[[#This Row],[Compteur]],Site!$B$33:$G$40,6,FALSE))</f>
        <v/>
      </c>
      <c r="AA366">
        <f>IFERROR(GETPIVOTDATA("DJU(chauffagiste)",BDD_DJU!$P$13,"annee",Tab_Calculs[[#This Row],[ANNEE]],"mois_numero",Tab_Calculs[[#This Row],[MOIS]]),0)</f>
        <v>115.8</v>
      </c>
    </row>
    <row r="367" spans="1:27" x14ac:dyDescent="0.25">
      <c r="A367" s="3">
        <f>DATE(Tab_Calculs[[#This Row],[ANNEE]],Tab_Calculs[[#This Row],[MOIS]],1)</f>
        <v>45231</v>
      </c>
      <c r="B367" s="3">
        <f>EDATE(Tab_Calculs[[#This Row],[Début mois]],1)-1</f>
        <v>45260</v>
      </c>
      <c r="C367">
        <f t="shared" si="10"/>
        <v>11</v>
      </c>
      <c r="D367">
        <f t="shared" si="12"/>
        <v>2023</v>
      </c>
      <c r="E367" t="s">
        <v>81</v>
      </c>
      <c r="F367" t="str">
        <f>SUBSTITUTE(Tab_Calculs[[#This Row],[Compteur]]," ","_")</f>
        <v>Compteur_2</v>
      </c>
      <c r="G367" t="str">
        <f>T(INDEX(Site!$B$33:$G$40, MATCH(Tab_Calculs[[#This Row],[Compteur]], Site!$B$33:$B$40,0),2))</f>
        <v/>
      </c>
      <c r="H367" s="3">
        <f t="array" aca="1" ref="H367" ca="1">MIN(IF(INDIRECT(CONCATENATE(Tab_Calculs[[#This Row],[Colonne1]],"!$B$2:$B$243"))&gt;=Calculs_Consos!$A367,INDIRECT(CONCATENATE(Tab_Calculs[[#This Row],[Colonne1]],"!$B$2:$B$243"))))</f>
        <v>0</v>
      </c>
      <c r="I367" s="3" t="e">
        <f ca="1">INDEX(INDIRECT(CONCATENATE("Tab_",Tab_Calculs[[#This Row],[Colonne1]])),Tab_Calculs[[#This Row],[index_date_livraison]],1)</f>
        <v>#NUM!</v>
      </c>
      <c r="J367">
        <f ca="1">MATCH(Tab_Calculs[[#This Row],[Date_livraison]],INDIRECT(CONCATENATE("Tab_",Tab_Calculs[[#This Row],[Colonne1]],"[Fin de période]")),0)</f>
        <v>1</v>
      </c>
      <c r="K367" t="e">
        <f ca="1">INDEX(INDIRECT(CONCATENATE("Tab_",Tab_Calculs[[#This Row],[Colonne1]])),Tab_Calculs[[#This Row],[index_date_livraison]]-1,6)*(MAX(Tab_Calculs[[#This Row],[Début periode livraison]],Tab_Calculs[[#This Row],[Début mois]])-Tab_Calculs[[#This Row],[Début mois]])</f>
        <v>#VALUE!</v>
      </c>
      <c r="L367" s="94" t="e">
        <f ca="1">INDEX(INDIRECT(CONCATENATE("Tab_",Tab_Calculs[[#This Row],[Colonne1]])),Tab_Calculs[[#This Row],[index_date_livraison]],6)*(1+MIN(Tab_Calculs[[#This Row],[Date_livraison]],Tab_Calculs[[#This Row],[fin mois]])-MAX(Tab_Calculs[[#This Row],[Début mois]],Tab_Calculs[[#This Row],[Début periode livraison]]))</f>
        <v>#NUM!</v>
      </c>
      <c r="M367" s="94" t="e">
        <f ca="1">INDEX(INDIRECT(CONCATENATE("Tab_",Tab_Calculs[[#This Row],[Colonne1]])),Tab_Calculs[[#This Row],[index_date_livraison]]+1,6)*(Tab_Calculs[[#This Row],[fin mois]]-MIN(Tab_Calculs[[#This Row],[fin mois]],Tab_Calculs[[#This Row],[Date_livraison]]))</f>
        <v>#VALUE!</v>
      </c>
      <c r="N367" s="231" t="str">
        <f ca="1">IFERROR(Tab_Calculs[[#This Row],[Ratio_jour_après_livr]]+Tab_Calculs[[#This Row],[Ratio_jour_avant_livr]]+Tab_Calculs[[#This Row],[ratio_avant_debut]],"")</f>
        <v/>
      </c>
      <c r="O367" t="e">
        <f ca="1">INDEX(INDIRECT(CONCATENATE("Tab_",Tab_Calculs[[#This Row],[Colonne1]])),Tab_Calculs[[#This Row],[index_date_livraison]]-1,7)*(MAX(Tab_Calculs[[#This Row],[Début periode livraison]],Tab_Calculs[[#This Row],[Début mois]])-Tab_Calculs[[#This Row],[Début mois]])</f>
        <v>#VALUE!</v>
      </c>
      <c r="P367" t="e">
        <f ca="1">INDEX(INDIRECT(CONCATENATE("Tab_",Tab_Calculs[[#This Row],[Colonne1]])),Tab_Calculs[[#This Row],[index_date_livraison]],7)*(1+MIN(Tab_Calculs[[#This Row],[Date_livraison]],Tab_Calculs[[#This Row],[fin mois]])-MAX(Tab_Calculs[[#This Row],[Début mois]],Tab_Calculs[[#This Row],[Début periode livraison]]))</f>
        <v>#NUM!</v>
      </c>
      <c r="Q367" t="e">
        <f ca="1">INDEX(INDIRECT(CONCATENATE("Tab_",Tab_Calculs[[#This Row],[Colonne1]])),Tab_Calculs[[#This Row],[index_date_livraison]]+1,7)*(Tab_Calculs[[#This Row],[fin mois]]-MIN(Tab_Calculs[[#This Row],[fin mois]],Tab_Calculs[[#This Row],[Date_livraison]]))</f>
        <v>#VALUE!</v>
      </c>
      <c r="R367" t="e">
        <f ca="1">Tab_Calculs[[#This Row],[Ratio_Cout_après_livr]]+Tab_Calculs[[#This Row],[Ratio_Cout_avant_livr]]+Tab_Calculs[[#This Row],[Ratio_Cout_avant_debut]]</f>
        <v>#VALUE!</v>
      </c>
      <c r="S367" t="str">
        <f ca="1">IFERROR(N367*VLOOKUP(Tab_Calculs[[#This Row],[Colonne1]],Controle_des_données!$B$7:$G$14,6,FALSE),"")</f>
        <v/>
      </c>
      <c r="T367" t="str">
        <f ca="1">IF(Tab_Calculs[[#This Row],[Combustible ]]="Electricité (kWh)",Tab_Calculs[[#This Row],[Conso_mois_kWh]]*2.3,Tab_Calculs[[#This Row],[Conso_mois_kWh]])</f>
        <v/>
      </c>
      <c r="U367" t="str">
        <f ca="1">IFERROR(N367*VLOOKUP(Tab_Calculs[[#This Row],[Colonne1]],Controle_des_données!$B$7:$H$14,7,FALSE),"")</f>
        <v/>
      </c>
      <c r="V367">
        <f ca="1">IFERROR(Tab_Calculs[[#This Row],[Cout_mois]]/Tab_Calculs[[#This Row],[Conso_mois_kWh]],0)</f>
        <v>0</v>
      </c>
      <c r="W367" t="str">
        <f>T(VLOOKUP(Tab_Calculs[[#This Row],[Compteur]],Site!$B$33:$G$40,3,FALSE))</f>
        <v/>
      </c>
      <c r="X367" t="str">
        <f>T(VLOOKUP(Tab_Calculs[[#This Row],[Compteur]],Site!$B$33:$G$40,4,FALSE))</f>
        <v/>
      </c>
      <c r="Y367" t="str">
        <f>T(VLOOKUP(Tab_Calculs[[#This Row],[Compteur]],Site!$B$33:$G$40,5,FALSE))</f>
        <v/>
      </c>
      <c r="Z367" t="str">
        <f>T(VLOOKUP(Tab_Calculs[[#This Row],[Compteur]],Site!$B$33:$G$40,6,FALSE))</f>
        <v/>
      </c>
      <c r="AA367">
        <f>IFERROR(GETPIVOTDATA("DJU(chauffagiste)",BDD_DJU!$P$13,"annee",Tab_Calculs[[#This Row],[ANNEE]],"mois_numero",Tab_Calculs[[#This Row],[MOIS]]),0)</f>
        <v>239.8</v>
      </c>
    </row>
    <row r="368" spans="1:27" x14ac:dyDescent="0.25">
      <c r="A368" s="3">
        <f>DATE(Tab_Calculs[[#This Row],[ANNEE]],Tab_Calculs[[#This Row],[MOIS]],1)</f>
        <v>45261</v>
      </c>
      <c r="B368" s="3">
        <f>EDATE(Tab_Calculs[[#This Row],[Début mois]],1)-1</f>
        <v>45291</v>
      </c>
      <c r="C368">
        <f t="shared" si="10"/>
        <v>12</v>
      </c>
      <c r="D368">
        <f t="shared" si="12"/>
        <v>2023</v>
      </c>
      <c r="E368" t="s">
        <v>81</v>
      </c>
      <c r="F368" t="str">
        <f>SUBSTITUTE(Tab_Calculs[[#This Row],[Compteur]]," ","_")</f>
        <v>Compteur_2</v>
      </c>
      <c r="G368" t="str">
        <f>T(INDEX(Site!$B$33:$G$40, MATCH(Tab_Calculs[[#This Row],[Compteur]], Site!$B$33:$B$40,0),2))</f>
        <v/>
      </c>
      <c r="H368" s="3">
        <f t="array" aca="1" ref="H368" ca="1">MIN(IF(INDIRECT(CONCATENATE(Tab_Calculs[[#This Row],[Colonne1]],"!$B$2:$B$243"))&gt;=Calculs_Consos!$A368,INDIRECT(CONCATENATE(Tab_Calculs[[#This Row],[Colonne1]],"!$B$2:$B$243"))))</f>
        <v>0</v>
      </c>
      <c r="I368" s="3" t="e">
        <f ca="1">INDEX(INDIRECT(CONCATENATE("Tab_",Tab_Calculs[[#This Row],[Colonne1]])),Tab_Calculs[[#This Row],[index_date_livraison]],1)</f>
        <v>#NUM!</v>
      </c>
      <c r="J368">
        <f ca="1">MATCH(Tab_Calculs[[#This Row],[Date_livraison]],INDIRECT(CONCATENATE("Tab_",Tab_Calculs[[#This Row],[Colonne1]],"[Fin de période]")),0)</f>
        <v>1</v>
      </c>
      <c r="K368" t="e">
        <f ca="1">INDEX(INDIRECT(CONCATENATE("Tab_",Tab_Calculs[[#This Row],[Colonne1]])),Tab_Calculs[[#This Row],[index_date_livraison]]-1,6)*(MAX(Tab_Calculs[[#This Row],[Début periode livraison]],Tab_Calculs[[#This Row],[Début mois]])-Tab_Calculs[[#This Row],[Début mois]])</f>
        <v>#VALUE!</v>
      </c>
      <c r="L368" s="94" t="e">
        <f ca="1">INDEX(INDIRECT(CONCATENATE("Tab_",Tab_Calculs[[#This Row],[Colonne1]])),Tab_Calculs[[#This Row],[index_date_livraison]],6)*(1+MIN(Tab_Calculs[[#This Row],[Date_livraison]],Tab_Calculs[[#This Row],[fin mois]])-MAX(Tab_Calculs[[#This Row],[Début mois]],Tab_Calculs[[#This Row],[Début periode livraison]]))</f>
        <v>#NUM!</v>
      </c>
      <c r="M368" s="94" t="e">
        <f ca="1">INDEX(INDIRECT(CONCATENATE("Tab_",Tab_Calculs[[#This Row],[Colonne1]])),Tab_Calculs[[#This Row],[index_date_livraison]]+1,6)*(Tab_Calculs[[#This Row],[fin mois]]-MIN(Tab_Calculs[[#This Row],[fin mois]],Tab_Calculs[[#This Row],[Date_livraison]]))</f>
        <v>#VALUE!</v>
      </c>
      <c r="N368" s="231" t="str">
        <f ca="1">IFERROR(Tab_Calculs[[#This Row],[Ratio_jour_après_livr]]+Tab_Calculs[[#This Row],[Ratio_jour_avant_livr]]+Tab_Calculs[[#This Row],[ratio_avant_debut]],"")</f>
        <v/>
      </c>
      <c r="O368" t="e">
        <f ca="1">INDEX(INDIRECT(CONCATENATE("Tab_",Tab_Calculs[[#This Row],[Colonne1]])),Tab_Calculs[[#This Row],[index_date_livraison]]-1,7)*(MAX(Tab_Calculs[[#This Row],[Début periode livraison]],Tab_Calculs[[#This Row],[Début mois]])-Tab_Calculs[[#This Row],[Début mois]])</f>
        <v>#VALUE!</v>
      </c>
      <c r="P368" t="e">
        <f ca="1">INDEX(INDIRECT(CONCATENATE("Tab_",Tab_Calculs[[#This Row],[Colonne1]])),Tab_Calculs[[#This Row],[index_date_livraison]],7)*(1+MIN(Tab_Calculs[[#This Row],[Date_livraison]],Tab_Calculs[[#This Row],[fin mois]])-MAX(Tab_Calculs[[#This Row],[Début mois]],Tab_Calculs[[#This Row],[Début periode livraison]]))</f>
        <v>#NUM!</v>
      </c>
      <c r="Q368" t="e">
        <f ca="1">INDEX(INDIRECT(CONCATENATE("Tab_",Tab_Calculs[[#This Row],[Colonne1]])),Tab_Calculs[[#This Row],[index_date_livraison]]+1,7)*(Tab_Calculs[[#This Row],[fin mois]]-MIN(Tab_Calculs[[#This Row],[fin mois]],Tab_Calculs[[#This Row],[Date_livraison]]))</f>
        <v>#VALUE!</v>
      </c>
      <c r="R368" t="e">
        <f ca="1">Tab_Calculs[[#This Row],[Ratio_Cout_après_livr]]+Tab_Calculs[[#This Row],[Ratio_Cout_avant_livr]]+Tab_Calculs[[#This Row],[Ratio_Cout_avant_debut]]</f>
        <v>#VALUE!</v>
      </c>
      <c r="S368" t="str">
        <f ca="1">IFERROR(N368*VLOOKUP(Tab_Calculs[[#This Row],[Colonne1]],Controle_des_données!$B$7:$G$14,6,FALSE),"")</f>
        <v/>
      </c>
      <c r="T368" t="str">
        <f ca="1">IF(Tab_Calculs[[#This Row],[Combustible ]]="Electricité (kWh)",Tab_Calculs[[#This Row],[Conso_mois_kWh]]*2.3,Tab_Calculs[[#This Row],[Conso_mois_kWh]])</f>
        <v/>
      </c>
      <c r="U368" t="str">
        <f ca="1">IFERROR(N368*VLOOKUP(Tab_Calculs[[#This Row],[Colonne1]],Controle_des_données!$B$7:$H$14,7,FALSE),"")</f>
        <v/>
      </c>
      <c r="V368">
        <f ca="1">IFERROR(Tab_Calculs[[#This Row],[Cout_mois]]/Tab_Calculs[[#This Row],[Conso_mois_kWh]],0)</f>
        <v>0</v>
      </c>
      <c r="W368" t="str">
        <f>T(VLOOKUP(Tab_Calculs[[#This Row],[Compteur]],Site!$B$33:$G$40,3,FALSE))</f>
        <v/>
      </c>
      <c r="X368" t="str">
        <f>T(VLOOKUP(Tab_Calculs[[#This Row],[Compteur]],Site!$B$33:$G$40,4,FALSE))</f>
        <v/>
      </c>
      <c r="Y368" t="str">
        <f>T(VLOOKUP(Tab_Calculs[[#This Row],[Compteur]],Site!$B$33:$G$40,5,FALSE))</f>
        <v/>
      </c>
      <c r="Z368" t="str">
        <f>T(VLOOKUP(Tab_Calculs[[#This Row],[Compteur]],Site!$B$33:$G$40,6,FALSE))</f>
        <v/>
      </c>
      <c r="AA368">
        <f>IFERROR(GETPIVOTDATA("DJU(chauffagiste)",BDD_DJU!$P$13,"annee",Tab_Calculs[[#This Row],[ANNEE]],"mois_numero",Tab_Calculs[[#This Row],[MOIS]]),0)</f>
        <v>300.89999999999998</v>
      </c>
    </row>
    <row r="369" spans="1:27" x14ac:dyDescent="0.25">
      <c r="A369" s="3">
        <f>DATE(Tab_Calculs[[#This Row],[ANNEE]],Tab_Calculs[[#This Row],[MOIS]],1)</f>
        <v>45292</v>
      </c>
      <c r="B369" s="3">
        <f>EDATE(Tab_Calculs[[#This Row],[Début mois]],1)-1</f>
        <v>45322</v>
      </c>
      <c r="C369">
        <f t="shared" si="10"/>
        <v>1</v>
      </c>
      <c r="D369">
        <f t="shared" si="12"/>
        <v>2024</v>
      </c>
      <c r="E369" t="s">
        <v>81</v>
      </c>
      <c r="F369" t="str">
        <f>SUBSTITUTE(Tab_Calculs[[#This Row],[Compteur]]," ","_")</f>
        <v>Compteur_2</v>
      </c>
      <c r="G369" t="str">
        <f>T(INDEX(Site!$B$33:$G$40, MATCH(Tab_Calculs[[#This Row],[Compteur]], Site!$B$33:$B$40,0),2))</f>
        <v/>
      </c>
      <c r="H369" s="3">
        <f t="array" aca="1" ref="H369" ca="1">MIN(IF(INDIRECT(CONCATENATE(Tab_Calculs[[#This Row],[Colonne1]],"!$B$2:$B$243"))&gt;=Calculs_Consos!$A369,INDIRECT(CONCATENATE(Tab_Calculs[[#This Row],[Colonne1]],"!$B$2:$B$243"))))</f>
        <v>0</v>
      </c>
      <c r="I369" s="3" t="e">
        <f ca="1">INDEX(INDIRECT(CONCATENATE("Tab_",Tab_Calculs[[#This Row],[Colonne1]])),Tab_Calculs[[#This Row],[index_date_livraison]],1)</f>
        <v>#NUM!</v>
      </c>
      <c r="J369">
        <f ca="1">MATCH(Tab_Calculs[[#This Row],[Date_livraison]],INDIRECT(CONCATENATE("Tab_",Tab_Calculs[[#This Row],[Colonne1]],"[Fin de période]")),0)</f>
        <v>1</v>
      </c>
      <c r="K369" t="e">
        <f ca="1">INDEX(INDIRECT(CONCATENATE("Tab_",Tab_Calculs[[#This Row],[Colonne1]])),Tab_Calculs[[#This Row],[index_date_livraison]]-1,6)*(MAX(Tab_Calculs[[#This Row],[Début periode livraison]],Tab_Calculs[[#This Row],[Début mois]])-Tab_Calculs[[#This Row],[Début mois]])</f>
        <v>#VALUE!</v>
      </c>
      <c r="L369" s="94" t="e">
        <f ca="1">INDEX(INDIRECT(CONCATENATE("Tab_",Tab_Calculs[[#This Row],[Colonne1]])),Tab_Calculs[[#This Row],[index_date_livraison]],6)*(1+MIN(Tab_Calculs[[#This Row],[Date_livraison]],Tab_Calculs[[#This Row],[fin mois]])-MAX(Tab_Calculs[[#This Row],[Début mois]],Tab_Calculs[[#This Row],[Début periode livraison]]))</f>
        <v>#NUM!</v>
      </c>
      <c r="M369" s="94" t="e">
        <f ca="1">INDEX(INDIRECT(CONCATENATE("Tab_",Tab_Calculs[[#This Row],[Colonne1]])),Tab_Calculs[[#This Row],[index_date_livraison]]+1,6)*(Tab_Calculs[[#This Row],[fin mois]]-MIN(Tab_Calculs[[#This Row],[fin mois]],Tab_Calculs[[#This Row],[Date_livraison]]))</f>
        <v>#VALUE!</v>
      </c>
      <c r="N369" s="231" t="str">
        <f ca="1">IFERROR(Tab_Calculs[[#This Row],[Ratio_jour_après_livr]]+Tab_Calculs[[#This Row],[Ratio_jour_avant_livr]]+Tab_Calculs[[#This Row],[ratio_avant_debut]],"")</f>
        <v/>
      </c>
      <c r="O369" t="e">
        <f ca="1">INDEX(INDIRECT(CONCATENATE("Tab_",Tab_Calculs[[#This Row],[Colonne1]])),Tab_Calculs[[#This Row],[index_date_livraison]]-1,7)*(MAX(Tab_Calculs[[#This Row],[Début periode livraison]],Tab_Calculs[[#This Row],[Début mois]])-Tab_Calculs[[#This Row],[Début mois]])</f>
        <v>#VALUE!</v>
      </c>
      <c r="P369" t="e">
        <f ca="1">INDEX(INDIRECT(CONCATENATE("Tab_",Tab_Calculs[[#This Row],[Colonne1]])),Tab_Calculs[[#This Row],[index_date_livraison]],7)*(1+MIN(Tab_Calculs[[#This Row],[Date_livraison]],Tab_Calculs[[#This Row],[fin mois]])-MAX(Tab_Calculs[[#This Row],[Début mois]],Tab_Calculs[[#This Row],[Début periode livraison]]))</f>
        <v>#NUM!</v>
      </c>
      <c r="Q369" t="e">
        <f ca="1">INDEX(INDIRECT(CONCATENATE("Tab_",Tab_Calculs[[#This Row],[Colonne1]])),Tab_Calculs[[#This Row],[index_date_livraison]]+1,7)*(Tab_Calculs[[#This Row],[fin mois]]-MIN(Tab_Calculs[[#This Row],[fin mois]],Tab_Calculs[[#This Row],[Date_livraison]]))</f>
        <v>#VALUE!</v>
      </c>
      <c r="R369" t="e">
        <f ca="1">Tab_Calculs[[#This Row],[Ratio_Cout_après_livr]]+Tab_Calculs[[#This Row],[Ratio_Cout_avant_livr]]+Tab_Calculs[[#This Row],[Ratio_Cout_avant_debut]]</f>
        <v>#VALUE!</v>
      </c>
      <c r="S369" t="str">
        <f ca="1">IFERROR(N369*VLOOKUP(Tab_Calculs[[#This Row],[Colonne1]],Controle_des_données!$B$7:$G$14,6,FALSE),"")</f>
        <v/>
      </c>
      <c r="T369" t="str">
        <f ca="1">IF(Tab_Calculs[[#This Row],[Combustible ]]="Electricité (kWh)",Tab_Calculs[[#This Row],[Conso_mois_kWh]]*2.3,Tab_Calculs[[#This Row],[Conso_mois_kWh]])</f>
        <v/>
      </c>
      <c r="U369" t="str">
        <f ca="1">IFERROR(N369*VLOOKUP(Tab_Calculs[[#This Row],[Colonne1]],Controle_des_données!$B$7:$H$14,7,FALSE),"")</f>
        <v/>
      </c>
      <c r="V369">
        <f ca="1">IFERROR(Tab_Calculs[[#This Row],[Cout_mois]]/Tab_Calculs[[#This Row],[Conso_mois_kWh]],0)</f>
        <v>0</v>
      </c>
      <c r="W369" t="str">
        <f>T(VLOOKUP(Tab_Calculs[[#This Row],[Compteur]],Site!$B$33:$G$40,3,FALSE))</f>
        <v/>
      </c>
      <c r="X369" t="str">
        <f>T(VLOOKUP(Tab_Calculs[[#This Row],[Compteur]],Site!$B$33:$G$40,4,FALSE))</f>
        <v/>
      </c>
      <c r="Y369" t="str">
        <f>T(VLOOKUP(Tab_Calculs[[#This Row],[Compteur]],Site!$B$33:$G$40,5,FALSE))</f>
        <v/>
      </c>
      <c r="Z369" t="str">
        <f>T(VLOOKUP(Tab_Calculs[[#This Row],[Compteur]],Site!$B$33:$G$40,6,FALSE))</f>
        <v/>
      </c>
      <c r="AA369">
        <f>IFERROR(GETPIVOTDATA("DJU(chauffagiste)",BDD_DJU!$P$13,"annee",Tab_Calculs[[#This Row],[ANNEE]],"mois_numero",Tab_Calculs[[#This Row],[MOIS]]),0)</f>
        <v>0</v>
      </c>
    </row>
    <row r="370" spans="1:27" x14ac:dyDescent="0.25">
      <c r="A370" s="3">
        <f>DATE(Tab_Calculs[[#This Row],[ANNEE]],Tab_Calculs[[#This Row],[MOIS]],1)</f>
        <v>45323</v>
      </c>
      <c r="B370" s="3">
        <f>EDATE(Tab_Calculs[[#This Row],[Début mois]],1)-1</f>
        <v>45351</v>
      </c>
      <c r="C370">
        <f t="shared" si="10"/>
        <v>2</v>
      </c>
      <c r="D370">
        <f t="shared" si="12"/>
        <v>2024</v>
      </c>
      <c r="E370" t="s">
        <v>81</v>
      </c>
      <c r="F370" t="str">
        <f>SUBSTITUTE(Tab_Calculs[[#This Row],[Compteur]]," ","_")</f>
        <v>Compteur_2</v>
      </c>
      <c r="G370" t="str">
        <f>T(INDEX(Site!$B$33:$G$40, MATCH(Tab_Calculs[[#This Row],[Compteur]], Site!$B$33:$B$40,0),2))</f>
        <v/>
      </c>
      <c r="H370" s="3">
        <f t="array" aca="1" ref="H370" ca="1">MIN(IF(INDIRECT(CONCATENATE(Tab_Calculs[[#This Row],[Colonne1]],"!$B$2:$B$243"))&gt;=Calculs_Consos!$A370,INDIRECT(CONCATENATE(Tab_Calculs[[#This Row],[Colonne1]],"!$B$2:$B$243"))))</f>
        <v>0</v>
      </c>
      <c r="I370" s="3" t="e">
        <f ca="1">INDEX(INDIRECT(CONCATENATE("Tab_",Tab_Calculs[[#This Row],[Colonne1]])),Tab_Calculs[[#This Row],[index_date_livraison]],1)</f>
        <v>#NUM!</v>
      </c>
      <c r="J370">
        <f ca="1">MATCH(Tab_Calculs[[#This Row],[Date_livraison]],INDIRECT(CONCATENATE("Tab_",Tab_Calculs[[#This Row],[Colonne1]],"[Fin de période]")),0)</f>
        <v>1</v>
      </c>
      <c r="K370" t="e">
        <f ca="1">INDEX(INDIRECT(CONCATENATE("Tab_",Tab_Calculs[[#This Row],[Colonne1]])),Tab_Calculs[[#This Row],[index_date_livraison]]-1,6)*(MAX(Tab_Calculs[[#This Row],[Début periode livraison]],Tab_Calculs[[#This Row],[Début mois]])-Tab_Calculs[[#This Row],[Début mois]])</f>
        <v>#VALUE!</v>
      </c>
      <c r="L370" s="94" t="e">
        <f ca="1">INDEX(INDIRECT(CONCATENATE("Tab_",Tab_Calculs[[#This Row],[Colonne1]])),Tab_Calculs[[#This Row],[index_date_livraison]],6)*(1+MIN(Tab_Calculs[[#This Row],[Date_livraison]],Tab_Calculs[[#This Row],[fin mois]])-MAX(Tab_Calculs[[#This Row],[Début mois]],Tab_Calculs[[#This Row],[Début periode livraison]]))</f>
        <v>#NUM!</v>
      </c>
      <c r="M370" s="94" t="e">
        <f ca="1">INDEX(INDIRECT(CONCATENATE("Tab_",Tab_Calculs[[#This Row],[Colonne1]])),Tab_Calculs[[#This Row],[index_date_livraison]]+1,6)*(Tab_Calculs[[#This Row],[fin mois]]-MIN(Tab_Calculs[[#This Row],[fin mois]],Tab_Calculs[[#This Row],[Date_livraison]]))</f>
        <v>#VALUE!</v>
      </c>
      <c r="N370" s="231" t="str">
        <f ca="1">IFERROR(Tab_Calculs[[#This Row],[Ratio_jour_après_livr]]+Tab_Calculs[[#This Row],[Ratio_jour_avant_livr]]+Tab_Calculs[[#This Row],[ratio_avant_debut]],"")</f>
        <v/>
      </c>
      <c r="O370" t="e">
        <f ca="1">INDEX(INDIRECT(CONCATENATE("Tab_",Tab_Calculs[[#This Row],[Colonne1]])),Tab_Calculs[[#This Row],[index_date_livraison]]-1,7)*(MAX(Tab_Calculs[[#This Row],[Début periode livraison]],Tab_Calculs[[#This Row],[Début mois]])-Tab_Calculs[[#This Row],[Début mois]])</f>
        <v>#VALUE!</v>
      </c>
      <c r="P370" t="e">
        <f ca="1">INDEX(INDIRECT(CONCATENATE("Tab_",Tab_Calculs[[#This Row],[Colonne1]])),Tab_Calculs[[#This Row],[index_date_livraison]],7)*(1+MIN(Tab_Calculs[[#This Row],[Date_livraison]],Tab_Calculs[[#This Row],[fin mois]])-MAX(Tab_Calculs[[#This Row],[Début mois]],Tab_Calculs[[#This Row],[Début periode livraison]]))</f>
        <v>#NUM!</v>
      </c>
      <c r="Q370" t="e">
        <f ca="1">INDEX(INDIRECT(CONCATENATE("Tab_",Tab_Calculs[[#This Row],[Colonne1]])),Tab_Calculs[[#This Row],[index_date_livraison]]+1,7)*(Tab_Calculs[[#This Row],[fin mois]]-MIN(Tab_Calculs[[#This Row],[fin mois]],Tab_Calculs[[#This Row],[Date_livraison]]))</f>
        <v>#VALUE!</v>
      </c>
      <c r="R370" t="e">
        <f ca="1">Tab_Calculs[[#This Row],[Ratio_Cout_après_livr]]+Tab_Calculs[[#This Row],[Ratio_Cout_avant_livr]]+Tab_Calculs[[#This Row],[Ratio_Cout_avant_debut]]</f>
        <v>#VALUE!</v>
      </c>
      <c r="S370" t="str">
        <f ca="1">IFERROR(N370*VLOOKUP(Tab_Calculs[[#This Row],[Colonne1]],Controle_des_données!$B$7:$G$14,6,FALSE),"")</f>
        <v/>
      </c>
      <c r="T370" t="str">
        <f ca="1">IF(Tab_Calculs[[#This Row],[Combustible ]]="Electricité (kWh)",Tab_Calculs[[#This Row],[Conso_mois_kWh]]*2.3,Tab_Calculs[[#This Row],[Conso_mois_kWh]])</f>
        <v/>
      </c>
      <c r="U370" t="str">
        <f ca="1">IFERROR(N370*VLOOKUP(Tab_Calculs[[#This Row],[Colonne1]],Controle_des_données!$B$7:$H$14,7,FALSE),"")</f>
        <v/>
      </c>
      <c r="V370">
        <f ca="1">IFERROR(Tab_Calculs[[#This Row],[Cout_mois]]/Tab_Calculs[[#This Row],[Conso_mois_kWh]],0)</f>
        <v>0</v>
      </c>
      <c r="W370" t="str">
        <f>T(VLOOKUP(Tab_Calculs[[#This Row],[Compteur]],Site!$B$33:$G$40,3,FALSE))</f>
        <v/>
      </c>
      <c r="X370" t="str">
        <f>T(VLOOKUP(Tab_Calculs[[#This Row],[Compteur]],Site!$B$33:$G$40,4,FALSE))</f>
        <v/>
      </c>
      <c r="Y370" t="str">
        <f>T(VLOOKUP(Tab_Calculs[[#This Row],[Compteur]],Site!$B$33:$G$40,5,FALSE))</f>
        <v/>
      </c>
      <c r="Z370" t="str">
        <f>T(VLOOKUP(Tab_Calculs[[#This Row],[Compteur]],Site!$B$33:$G$40,6,FALSE))</f>
        <v/>
      </c>
      <c r="AA370">
        <f>IFERROR(GETPIVOTDATA("DJU(chauffagiste)",BDD_DJU!$P$13,"annee",Tab_Calculs[[#This Row],[ANNEE]],"mois_numero",Tab_Calculs[[#This Row],[MOIS]]),0)</f>
        <v>0</v>
      </c>
    </row>
    <row r="371" spans="1:27" x14ac:dyDescent="0.25">
      <c r="A371" s="3">
        <f>DATE(Tab_Calculs[[#This Row],[ANNEE]],Tab_Calculs[[#This Row],[MOIS]],1)</f>
        <v>45352</v>
      </c>
      <c r="B371" s="3">
        <f>EDATE(Tab_Calculs[[#This Row],[Début mois]],1)-1</f>
        <v>45382</v>
      </c>
      <c r="C371">
        <f t="shared" si="10"/>
        <v>3</v>
      </c>
      <c r="D371">
        <f t="shared" si="12"/>
        <v>2024</v>
      </c>
      <c r="E371" t="s">
        <v>81</v>
      </c>
      <c r="F371" t="str">
        <f>SUBSTITUTE(Tab_Calculs[[#This Row],[Compteur]]," ","_")</f>
        <v>Compteur_2</v>
      </c>
      <c r="G371" t="str">
        <f>T(INDEX(Site!$B$33:$G$40, MATCH(Tab_Calculs[[#This Row],[Compteur]], Site!$B$33:$B$40,0),2))</f>
        <v/>
      </c>
      <c r="H371" s="3">
        <f t="array" aca="1" ref="H371" ca="1">MIN(IF(INDIRECT(CONCATENATE(Tab_Calculs[[#This Row],[Colonne1]],"!$B$2:$B$243"))&gt;=Calculs_Consos!$A371,INDIRECT(CONCATENATE(Tab_Calculs[[#This Row],[Colonne1]],"!$B$2:$B$243"))))</f>
        <v>0</v>
      </c>
      <c r="I371" s="3" t="e">
        <f ca="1">INDEX(INDIRECT(CONCATENATE("Tab_",Tab_Calculs[[#This Row],[Colonne1]])),Tab_Calculs[[#This Row],[index_date_livraison]],1)</f>
        <v>#NUM!</v>
      </c>
      <c r="J371">
        <f ca="1">MATCH(Tab_Calculs[[#This Row],[Date_livraison]],INDIRECT(CONCATENATE("Tab_",Tab_Calculs[[#This Row],[Colonne1]],"[Fin de période]")),0)</f>
        <v>1</v>
      </c>
      <c r="K371" t="e">
        <f ca="1">INDEX(INDIRECT(CONCATENATE("Tab_",Tab_Calculs[[#This Row],[Colonne1]])),Tab_Calculs[[#This Row],[index_date_livraison]]-1,6)*(MAX(Tab_Calculs[[#This Row],[Début periode livraison]],Tab_Calculs[[#This Row],[Début mois]])-Tab_Calculs[[#This Row],[Début mois]])</f>
        <v>#VALUE!</v>
      </c>
      <c r="L371" s="94" t="e">
        <f ca="1">INDEX(INDIRECT(CONCATENATE("Tab_",Tab_Calculs[[#This Row],[Colonne1]])),Tab_Calculs[[#This Row],[index_date_livraison]],6)*(1+MIN(Tab_Calculs[[#This Row],[Date_livraison]],Tab_Calculs[[#This Row],[fin mois]])-MAX(Tab_Calculs[[#This Row],[Début mois]],Tab_Calculs[[#This Row],[Début periode livraison]]))</f>
        <v>#NUM!</v>
      </c>
      <c r="M371" s="94" t="e">
        <f ca="1">INDEX(INDIRECT(CONCATENATE("Tab_",Tab_Calculs[[#This Row],[Colonne1]])),Tab_Calculs[[#This Row],[index_date_livraison]]+1,6)*(Tab_Calculs[[#This Row],[fin mois]]-MIN(Tab_Calculs[[#This Row],[fin mois]],Tab_Calculs[[#This Row],[Date_livraison]]))</f>
        <v>#VALUE!</v>
      </c>
      <c r="N371" s="231" t="str">
        <f ca="1">IFERROR(Tab_Calculs[[#This Row],[Ratio_jour_après_livr]]+Tab_Calculs[[#This Row],[Ratio_jour_avant_livr]]+Tab_Calculs[[#This Row],[ratio_avant_debut]],"")</f>
        <v/>
      </c>
      <c r="O371" t="e">
        <f ca="1">INDEX(INDIRECT(CONCATENATE("Tab_",Tab_Calculs[[#This Row],[Colonne1]])),Tab_Calculs[[#This Row],[index_date_livraison]]-1,7)*(MAX(Tab_Calculs[[#This Row],[Début periode livraison]],Tab_Calculs[[#This Row],[Début mois]])-Tab_Calculs[[#This Row],[Début mois]])</f>
        <v>#VALUE!</v>
      </c>
      <c r="P371" t="e">
        <f ca="1">INDEX(INDIRECT(CONCATENATE("Tab_",Tab_Calculs[[#This Row],[Colonne1]])),Tab_Calculs[[#This Row],[index_date_livraison]],7)*(1+MIN(Tab_Calculs[[#This Row],[Date_livraison]],Tab_Calculs[[#This Row],[fin mois]])-MAX(Tab_Calculs[[#This Row],[Début mois]],Tab_Calculs[[#This Row],[Début periode livraison]]))</f>
        <v>#NUM!</v>
      </c>
      <c r="Q371" t="e">
        <f ca="1">INDEX(INDIRECT(CONCATENATE("Tab_",Tab_Calculs[[#This Row],[Colonne1]])),Tab_Calculs[[#This Row],[index_date_livraison]]+1,7)*(Tab_Calculs[[#This Row],[fin mois]]-MIN(Tab_Calculs[[#This Row],[fin mois]],Tab_Calculs[[#This Row],[Date_livraison]]))</f>
        <v>#VALUE!</v>
      </c>
      <c r="R371" t="e">
        <f ca="1">Tab_Calculs[[#This Row],[Ratio_Cout_après_livr]]+Tab_Calculs[[#This Row],[Ratio_Cout_avant_livr]]+Tab_Calculs[[#This Row],[Ratio_Cout_avant_debut]]</f>
        <v>#VALUE!</v>
      </c>
      <c r="S371" t="str">
        <f ca="1">IFERROR(N371*VLOOKUP(Tab_Calculs[[#This Row],[Colonne1]],Controle_des_données!$B$7:$G$14,6,FALSE),"")</f>
        <v/>
      </c>
      <c r="T371" t="str">
        <f ca="1">IF(Tab_Calculs[[#This Row],[Combustible ]]="Electricité (kWh)",Tab_Calculs[[#This Row],[Conso_mois_kWh]]*2.3,Tab_Calculs[[#This Row],[Conso_mois_kWh]])</f>
        <v/>
      </c>
      <c r="U371" t="str">
        <f ca="1">IFERROR(N371*VLOOKUP(Tab_Calculs[[#This Row],[Colonne1]],Controle_des_données!$B$7:$H$14,7,FALSE),"")</f>
        <v/>
      </c>
      <c r="V371">
        <f ca="1">IFERROR(Tab_Calculs[[#This Row],[Cout_mois]]/Tab_Calculs[[#This Row],[Conso_mois_kWh]],0)</f>
        <v>0</v>
      </c>
      <c r="W371" t="str">
        <f>T(VLOOKUP(Tab_Calculs[[#This Row],[Compteur]],Site!$B$33:$G$40,3,FALSE))</f>
        <v/>
      </c>
      <c r="X371" t="str">
        <f>T(VLOOKUP(Tab_Calculs[[#This Row],[Compteur]],Site!$B$33:$G$40,4,FALSE))</f>
        <v/>
      </c>
      <c r="Y371" t="str">
        <f>T(VLOOKUP(Tab_Calculs[[#This Row],[Compteur]],Site!$B$33:$G$40,5,FALSE))</f>
        <v/>
      </c>
      <c r="Z371" t="str">
        <f>T(VLOOKUP(Tab_Calculs[[#This Row],[Compteur]],Site!$B$33:$G$40,6,FALSE))</f>
        <v/>
      </c>
      <c r="AA371">
        <f>IFERROR(GETPIVOTDATA("DJU(chauffagiste)",BDD_DJU!$P$13,"annee",Tab_Calculs[[#This Row],[ANNEE]],"mois_numero",Tab_Calculs[[#This Row],[MOIS]]),0)</f>
        <v>0</v>
      </c>
    </row>
    <row r="372" spans="1:27" x14ac:dyDescent="0.25">
      <c r="A372" s="3">
        <f>DATE(Tab_Calculs[[#This Row],[ANNEE]],Tab_Calculs[[#This Row],[MOIS]],1)</f>
        <v>45383</v>
      </c>
      <c r="B372" s="3">
        <f>EDATE(Tab_Calculs[[#This Row],[Début mois]],1)-1</f>
        <v>45412</v>
      </c>
      <c r="C372">
        <f t="shared" si="10"/>
        <v>4</v>
      </c>
      <c r="D372">
        <f t="shared" si="12"/>
        <v>2024</v>
      </c>
      <c r="E372" t="s">
        <v>81</v>
      </c>
      <c r="F372" t="str">
        <f>SUBSTITUTE(Tab_Calculs[[#This Row],[Compteur]]," ","_")</f>
        <v>Compteur_2</v>
      </c>
      <c r="G372" t="str">
        <f>T(INDEX(Site!$B$33:$G$40, MATCH(Tab_Calculs[[#This Row],[Compteur]], Site!$B$33:$B$40,0),2))</f>
        <v/>
      </c>
      <c r="H372" s="3">
        <f t="array" aca="1" ref="H372" ca="1">MIN(IF(INDIRECT(CONCATENATE(Tab_Calculs[[#This Row],[Colonne1]],"!$B$2:$B$243"))&gt;=Calculs_Consos!$A372,INDIRECT(CONCATENATE(Tab_Calculs[[#This Row],[Colonne1]],"!$B$2:$B$243"))))</f>
        <v>0</v>
      </c>
      <c r="I372" s="3" t="e">
        <f ca="1">INDEX(INDIRECT(CONCATENATE("Tab_",Tab_Calculs[[#This Row],[Colonne1]])),Tab_Calculs[[#This Row],[index_date_livraison]],1)</f>
        <v>#NUM!</v>
      </c>
      <c r="J372">
        <f ca="1">MATCH(Tab_Calculs[[#This Row],[Date_livraison]],INDIRECT(CONCATENATE("Tab_",Tab_Calculs[[#This Row],[Colonne1]],"[Fin de période]")),0)</f>
        <v>1</v>
      </c>
      <c r="K372" t="e">
        <f ca="1">INDEX(INDIRECT(CONCATENATE("Tab_",Tab_Calculs[[#This Row],[Colonne1]])),Tab_Calculs[[#This Row],[index_date_livraison]]-1,6)*(MAX(Tab_Calculs[[#This Row],[Début periode livraison]],Tab_Calculs[[#This Row],[Début mois]])-Tab_Calculs[[#This Row],[Début mois]])</f>
        <v>#VALUE!</v>
      </c>
      <c r="L372" s="94" t="e">
        <f ca="1">INDEX(INDIRECT(CONCATENATE("Tab_",Tab_Calculs[[#This Row],[Colonne1]])),Tab_Calculs[[#This Row],[index_date_livraison]],6)*(1+MIN(Tab_Calculs[[#This Row],[Date_livraison]],Tab_Calculs[[#This Row],[fin mois]])-MAX(Tab_Calculs[[#This Row],[Début mois]],Tab_Calculs[[#This Row],[Début periode livraison]]))</f>
        <v>#NUM!</v>
      </c>
      <c r="M372" s="94" t="e">
        <f ca="1">INDEX(INDIRECT(CONCATENATE("Tab_",Tab_Calculs[[#This Row],[Colonne1]])),Tab_Calculs[[#This Row],[index_date_livraison]]+1,6)*(Tab_Calculs[[#This Row],[fin mois]]-MIN(Tab_Calculs[[#This Row],[fin mois]],Tab_Calculs[[#This Row],[Date_livraison]]))</f>
        <v>#VALUE!</v>
      </c>
      <c r="N372" s="231" t="str">
        <f ca="1">IFERROR(Tab_Calculs[[#This Row],[Ratio_jour_après_livr]]+Tab_Calculs[[#This Row],[Ratio_jour_avant_livr]]+Tab_Calculs[[#This Row],[ratio_avant_debut]],"")</f>
        <v/>
      </c>
      <c r="O372" t="e">
        <f ca="1">INDEX(INDIRECT(CONCATENATE("Tab_",Tab_Calculs[[#This Row],[Colonne1]])),Tab_Calculs[[#This Row],[index_date_livraison]]-1,7)*(MAX(Tab_Calculs[[#This Row],[Début periode livraison]],Tab_Calculs[[#This Row],[Début mois]])-Tab_Calculs[[#This Row],[Début mois]])</f>
        <v>#VALUE!</v>
      </c>
      <c r="P372" t="e">
        <f ca="1">INDEX(INDIRECT(CONCATENATE("Tab_",Tab_Calculs[[#This Row],[Colonne1]])),Tab_Calculs[[#This Row],[index_date_livraison]],7)*(1+MIN(Tab_Calculs[[#This Row],[Date_livraison]],Tab_Calculs[[#This Row],[fin mois]])-MAX(Tab_Calculs[[#This Row],[Début mois]],Tab_Calculs[[#This Row],[Début periode livraison]]))</f>
        <v>#NUM!</v>
      </c>
      <c r="Q372" t="e">
        <f ca="1">INDEX(INDIRECT(CONCATENATE("Tab_",Tab_Calculs[[#This Row],[Colonne1]])),Tab_Calculs[[#This Row],[index_date_livraison]]+1,7)*(Tab_Calculs[[#This Row],[fin mois]]-MIN(Tab_Calculs[[#This Row],[fin mois]],Tab_Calculs[[#This Row],[Date_livraison]]))</f>
        <v>#VALUE!</v>
      </c>
      <c r="R372" t="e">
        <f ca="1">Tab_Calculs[[#This Row],[Ratio_Cout_après_livr]]+Tab_Calculs[[#This Row],[Ratio_Cout_avant_livr]]+Tab_Calculs[[#This Row],[Ratio_Cout_avant_debut]]</f>
        <v>#VALUE!</v>
      </c>
      <c r="S372" t="str">
        <f ca="1">IFERROR(N372*VLOOKUP(Tab_Calculs[[#This Row],[Colonne1]],Controle_des_données!$B$7:$G$14,6,FALSE),"")</f>
        <v/>
      </c>
      <c r="T372" t="str">
        <f ca="1">IF(Tab_Calculs[[#This Row],[Combustible ]]="Electricité (kWh)",Tab_Calculs[[#This Row],[Conso_mois_kWh]]*2.3,Tab_Calculs[[#This Row],[Conso_mois_kWh]])</f>
        <v/>
      </c>
      <c r="U372" t="str">
        <f ca="1">IFERROR(N372*VLOOKUP(Tab_Calculs[[#This Row],[Colonne1]],Controle_des_données!$B$7:$H$14,7,FALSE),"")</f>
        <v/>
      </c>
      <c r="V372">
        <f ca="1">IFERROR(Tab_Calculs[[#This Row],[Cout_mois]]/Tab_Calculs[[#This Row],[Conso_mois_kWh]],0)</f>
        <v>0</v>
      </c>
      <c r="W372" t="str">
        <f>T(VLOOKUP(Tab_Calculs[[#This Row],[Compteur]],Site!$B$33:$G$40,3,FALSE))</f>
        <v/>
      </c>
      <c r="X372" t="str">
        <f>T(VLOOKUP(Tab_Calculs[[#This Row],[Compteur]],Site!$B$33:$G$40,4,FALSE))</f>
        <v/>
      </c>
      <c r="Y372" t="str">
        <f>T(VLOOKUP(Tab_Calculs[[#This Row],[Compteur]],Site!$B$33:$G$40,5,FALSE))</f>
        <v/>
      </c>
      <c r="Z372" t="str">
        <f>T(VLOOKUP(Tab_Calculs[[#This Row],[Compteur]],Site!$B$33:$G$40,6,FALSE))</f>
        <v/>
      </c>
      <c r="AA372">
        <f>IFERROR(GETPIVOTDATA("DJU(chauffagiste)",BDD_DJU!$P$13,"annee",Tab_Calculs[[#This Row],[ANNEE]],"mois_numero",Tab_Calculs[[#This Row],[MOIS]]),0)</f>
        <v>0</v>
      </c>
    </row>
    <row r="373" spans="1:27" x14ac:dyDescent="0.25">
      <c r="A373" s="3">
        <f>DATE(Tab_Calculs[[#This Row],[ANNEE]],Tab_Calculs[[#This Row],[MOIS]],1)</f>
        <v>45413</v>
      </c>
      <c r="B373" s="3">
        <f>EDATE(Tab_Calculs[[#This Row],[Début mois]],1)-1</f>
        <v>45443</v>
      </c>
      <c r="C373">
        <f t="shared" si="10"/>
        <v>5</v>
      </c>
      <c r="D373">
        <f t="shared" si="12"/>
        <v>2024</v>
      </c>
      <c r="E373" t="s">
        <v>81</v>
      </c>
      <c r="F373" t="str">
        <f>SUBSTITUTE(Tab_Calculs[[#This Row],[Compteur]]," ","_")</f>
        <v>Compteur_2</v>
      </c>
      <c r="G373" t="str">
        <f>T(INDEX(Site!$B$33:$G$40, MATCH(Tab_Calculs[[#This Row],[Compteur]], Site!$B$33:$B$40,0),2))</f>
        <v/>
      </c>
      <c r="H373" s="3">
        <f t="array" aca="1" ref="H373" ca="1">MIN(IF(INDIRECT(CONCATENATE(Tab_Calculs[[#This Row],[Colonne1]],"!$B$2:$B$243"))&gt;=Calculs_Consos!$A373,INDIRECT(CONCATENATE(Tab_Calculs[[#This Row],[Colonne1]],"!$B$2:$B$243"))))</f>
        <v>0</v>
      </c>
      <c r="I373" s="3" t="e">
        <f ca="1">INDEX(INDIRECT(CONCATENATE("Tab_",Tab_Calculs[[#This Row],[Colonne1]])),Tab_Calculs[[#This Row],[index_date_livraison]],1)</f>
        <v>#NUM!</v>
      </c>
      <c r="J373">
        <f ca="1">MATCH(Tab_Calculs[[#This Row],[Date_livraison]],INDIRECT(CONCATENATE("Tab_",Tab_Calculs[[#This Row],[Colonne1]],"[Fin de période]")),0)</f>
        <v>1</v>
      </c>
      <c r="K373" t="e">
        <f ca="1">INDEX(INDIRECT(CONCATENATE("Tab_",Tab_Calculs[[#This Row],[Colonne1]])),Tab_Calculs[[#This Row],[index_date_livraison]]-1,6)*(MAX(Tab_Calculs[[#This Row],[Début periode livraison]],Tab_Calculs[[#This Row],[Début mois]])-Tab_Calculs[[#This Row],[Début mois]])</f>
        <v>#VALUE!</v>
      </c>
      <c r="L373" s="94" t="e">
        <f ca="1">INDEX(INDIRECT(CONCATENATE("Tab_",Tab_Calculs[[#This Row],[Colonne1]])),Tab_Calculs[[#This Row],[index_date_livraison]],6)*(1+MIN(Tab_Calculs[[#This Row],[Date_livraison]],Tab_Calculs[[#This Row],[fin mois]])-MAX(Tab_Calculs[[#This Row],[Début mois]],Tab_Calculs[[#This Row],[Début periode livraison]]))</f>
        <v>#NUM!</v>
      </c>
      <c r="M373" s="94" t="e">
        <f ca="1">INDEX(INDIRECT(CONCATENATE("Tab_",Tab_Calculs[[#This Row],[Colonne1]])),Tab_Calculs[[#This Row],[index_date_livraison]]+1,6)*(Tab_Calculs[[#This Row],[fin mois]]-MIN(Tab_Calculs[[#This Row],[fin mois]],Tab_Calculs[[#This Row],[Date_livraison]]))</f>
        <v>#VALUE!</v>
      </c>
      <c r="N373" s="231" t="str">
        <f ca="1">IFERROR(Tab_Calculs[[#This Row],[Ratio_jour_après_livr]]+Tab_Calculs[[#This Row],[Ratio_jour_avant_livr]]+Tab_Calculs[[#This Row],[ratio_avant_debut]],"")</f>
        <v/>
      </c>
      <c r="O373" t="e">
        <f ca="1">INDEX(INDIRECT(CONCATENATE("Tab_",Tab_Calculs[[#This Row],[Colonne1]])),Tab_Calculs[[#This Row],[index_date_livraison]]-1,7)*(MAX(Tab_Calculs[[#This Row],[Début periode livraison]],Tab_Calculs[[#This Row],[Début mois]])-Tab_Calculs[[#This Row],[Début mois]])</f>
        <v>#VALUE!</v>
      </c>
      <c r="P373" t="e">
        <f ca="1">INDEX(INDIRECT(CONCATENATE("Tab_",Tab_Calculs[[#This Row],[Colonne1]])),Tab_Calculs[[#This Row],[index_date_livraison]],7)*(1+MIN(Tab_Calculs[[#This Row],[Date_livraison]],Tab_Calculs[[#This Row],[fin mois]])-MAX(Tab_Calculs[[#This Row],[Début mois]],Tab_Calculs[[#This Row],[Début periode livraison]]))</f>
        <v>#NUM!</v>
      </c>
      <c r="Q373" t="e">
        <f ca="1">INDEX(INDIRECT(CONCATENATE("Tab_",Tab_Calculs[[#This Row],[Colonne1]])),Tab_Calculs[[#This Row],[index_date_livraison]]+1,7)*(Tab_Calculs[[#This Row],[fin mois]]-MIN(Tab_Calculs[[#This Row],[fin mois]],Tab_Calculs[[#This Row],[Date_livraison]]))</f>
        <v>#VALUE!</v>
      </c>
      <c r="R373" t="e">
        <f ca="1">Tab_Calculs[[#This Row],[Ratio_Cout_après_livr]]+Tab_Calculs[[#This Row],[Ratio_Cout_avant_livr]]+Tab_Calculs[[#This Row],[Ratio_Cout_avant_debut]]</f>
        <v>#VALUE!</v>
      </c>
      <c r="S373" t="str">
        <f ca="1">IFERROR(N373*VLOOKUP(Tab_Calculs[[#This Row],[Colonne1]],Controle_des_données!$B$7:$G$14,6,FALSE),"")</f>
        <v/>
      </c>
      <c r="T373" t="str">
        <f ca="1">IF(Tab_Calculs[[#This Row],[Combustible ]]="Electricité (kWh)",Tab_Calculs[[#This Row],[Conso_mois_kWh]]*2.3,Tab_Calculs[[#This Row],[Conso_mois_kWh]])</f>
        <v/>
      </c>
      <c r="U373" t="str">
        <f ca="1">IFERROR(N373*VLOOKUP(Tab_Calculs[[#This Row],[Colonne1]],Controle_des_données!$B$7:$H$14,7,FALSE),"")</f>
        <v/>
      </c>
      <c r="V373">
        <f ca="1">IFERROR(Tab_Calculs[[#This Row],[Cout_mois]]/Tab_Calculs[[#This Row],[Conso_mois_kWh]],0)</f>
        <v>0</v>
      </c>
      <c r="W373" t="str">
        <f>T(VLOOKUP(Tab_Calculs[[#This Row],[Compteur]],Site!$B$33:$G$40,3,FALSE))</f>
        <v/>
      </c>
      <c r="X373" t="str">
        <f>T(VLOOKUP(Tab_Calculs[[#This Row],[Compteur]],Site!$B$33:$G$40,4,FALSE))</f>
        <v/>
      </c>
      <c r="Y373" t="str">
        <f>T(VLOOKUP(Tab_Calculs[[#This Row],[Compteur]],Site!$B$33:$G$40,5,FALSE))</f>
        <v/>
      </c>
      <c r="Z373" t="str">
        <f>T(VLOOKUP(Tab_Calculs[[#This Row],[Compteur]],Site!$B$33:$G$40,6,FALSE))</f>
        <v/>
      </c>
      <c r="AA373">
        <f>IFERROR(GETPIVOTDATA("DJU(chauffagiste)",BDD_DJU!$P$13,"annee",Tab_Calculs[[#This Row],[ANNEE]],"mois_numero",Tab_Calculs[[#This Row],[MOIS]]),0)</f>
        <v>0</v>
      </c>
    </row>
    <row r="374" spans="1:27" x14ac:dyDescent="0.25">
      <c r="A374" s="3">
        <f>DATE(Tab_Calculs[[#This Row],[ANNEE]],Tab_Calculs[[#This Row],[MOIS]],1)</f>
        <v>45444</v>
      </c>
      <c r="B374" s="3">
        <f>EDATE(Tab_Calculs[[#This Row],[Début mois]],1)-1</f>
        <v>45473</v>
      </c>
      <c r="C374">
        <f t="shared" si="10"/>
        <v>6</v>
      </c>
      <c r="D374">
        <f t="shared" si="12"/>
        <v>2024</v>
      </c>
      <c r="E374" t="s">
        <v>81</v>
      </c>
      <c r="F374" t="str">
        <f>SUBSTITUTE(Tab_Calculs[[#This Row],[Compteur]]," ","_")</f>
        <v>Compteur_2</v>
      </c>
      <c r="G374" t="str">
        <f>T(INDEX(Site!$B$33:$G$40, MATCH(Tab_Calculs[[#This Row],[Compteur]], Site!$B$33:$B$40,0),2))</f>
        <v/>
      </c>
      <c r="H374" s="3">
        <f t="array" aca="1" ref="H374" ca="1">MIN(IF(INDIRECT(CONCATENATE(Tab_Calculs[[#This Row],[Colonne1]],"!$B$2:$B$243"))&gt;=Calculs_Consos!$A374,INDIRECT(CONCATENATE(Tab_Calculs[[#This Row],[Colonne1]],"!$B$2:$B$243"))))</f>
        <v>0</v>
      </c>
      <c r="I374" s="3" t="e">
        <f ca="1">INDEX(INDIRECT(CONCATENATE("Tab_",Tab_Calculs[[#This Row],[Colonne1]])),Tab_Calculs[[#This Row],[index_date_livraison]],1)</f>
        <v>#NUM!</v>
      </c>
      <c r="J374">
        <f ca="1">MATCH(Tab_Calculs[[#This Row],[Date_livraison]],INDIRECT(CONCATENATE("Tab_",Tab_Calculs[[#This Row],[Colonne1]],"[Fin de période]")),0)</f>
        <v>1</v>
      </c>
      <c r="K374" t="e">
        <f ca="1">INDEX(INDIRECT(CONCATENATE("Tab_",Tab_Calculs[[#This Row],[Colonne1]])),Tab_Calculs[[#This Row],[index_date_livraison]]-1,6)*(MAX(Tab_Calculs[[#This Row],[Début periode livraison]],Tab_Calculs[[#This Row],[Début mois]])-Tab_Calculs[[#This Row],[Début mois]])</f>
        <v>#VALUE!</v>
      </c>
      <c r="L374" s="94" t="e">
        <f ca="1">INDEX(INDIRECT(CONCATENATE("Tab_",Tab_Calculs[[#This Row],[Colonne1]])),Tab_Calculs[[#This Row],[index_date_livraison]],6)*(1+MIN(Tab_Calculs[[#This Row],[Date_livraison]],Tab_Calculs[[#This Row],[fin mois]])-MAX(Tab_Calculs[[#This Row],[Début mois]],Tab_Calculs[[#This Row],[Début periode livraison]]))</f>
        <v>#NUM!</v>
      </c>
      <c r="M374" s="94" t="e">
        <f ca="1">INDEX(INDIRECT(CONCATENATE("Tab_",Tab_Calculs[[#This Row],[Colonne1]])),Tab_Calculs[[#This Row],[index_date_livraison]]+1,6)*(Tab_Calculs[[#This Row],[fin mois]]-MIN(Tab_Calculs[[#This Row],[fin mois]],Tab_Calculs[[#This Row],[Date_livraison]]))</f>
        <v>#VALUE!</v>
      </c>
      <c r="N374" s="231" t="str">
        <f ca="1">IFERROR(Tab_Calculs[[#This Row],[Ratio_jour_après_livr]]+Tab_Calculs[[#This Row],[Ratio_jour_avant_livr]]+Tab_Calculs[[#This Row],[ratio_avant_debut]],"")</f>
        <v/>
      </c>
      <c r="O374" t="e">
        <f ca="1">INDEX(INDIRECT(CONCATENATE("Tab_",Tab_Calculs[[#This Row],[Colonne1]])),Tab_Calculs[[#This Row],[index_date_livraison]]-1,7)*(MAX(Tab_Calculs[[#This Row],[Début periode livraison]],Tab_Calculs[[#This Row],[Début mois]])-Tab_Calculs[[#This Row],[Début mois]])</f>
        <v>#VALUE!</v>
      </c>
      <c r="P374" t="e">
        <f ca="1">INDEX(INDIRECT(CONCATENATE("Tab_",Tab_Calculs[[#This Row],[Colonne1]])),Tab_Calculs[[#This Row],[index_date_livraison]],7)*(1+MIN(Tab_Calculs[[#This Row],[Date_livraison]],Tab_Calculs[[#This Row],[fin mois]])-MAX(Tab_Calculs[[#This Row],[Début mois]],Tab_Calculs[[#This Row],[Début periode livraison]]))</f>
        <v>#NUM!</v>
      </c>
      <c r="Q374" t="e">
        <f ca="1">INDEX(INDIRECT(CONCATENATE("Tab_",Tab_Calculs[[#This Row],[Colonne1]])),Tab_Calculs[[#This Row],[index_date_livraison]]+1,7)*(Tab_Calculs[[#This Row],[fin mois]]-MIN(Tab_Calculs[[#This Row],[fin mois]],Tab_Calculs[[#This Row],[Date_livraison]]))</f>
        <v>#VALUE!</v>
      </c>
      <c r="R374" t="e">
        <f ca="1">Tab_Calculs[[#This Row],[Ratio_Cout_après_livr]]+Tab_Calculs[[#This Row],[Ratio_Cout_avant_livr]]+Tab_Calculs[[#This Row],[Ratio_Cout_avant_debut]]</f>
        <v>#VALUE!</v>
      </c>
      <c r="S374" t="str">
        <f ca="1">IFERROR(N374*VLOOKUP(Tab_Calculs[[#This Row],[Colonne1]],Controle_des_données!$B$7:$G$14,6,FALSE),"")</f>
        <v/>
      </c>
      <c r="T374" t="str">
        <f ca="1">IF(Tab_Calculs[[#This Row],[Combustible ]]="Electricité (kWh)",Tab_Calculs[[#This Row],[Conso_mois_kWh]]*2.3,Tab_Calculs[[#This Row],[Conso_mois_kWh]])</f>
        <v/>
      </c>
      <c r="U374" t="str">
        <f ca="1">IFERROR(N374*VLOOKUP(Tab_Calculs[[#This Row],[Colonne1]],Controle_des_données!$B$7:$H$14,7,FALSE),"")</f>
        <v/>
      </c>
      <c r="V374">
        <f ca="1">IFERROR(Tab_Calculs[[#This Row],[Cout_mois]]/Tab_Calculs[[#This Row],[Conso_mois_kWh]],0)</f>
        <v>0</v>
      </c>
      <c r="W374" t="str">
        <f>T(VLOOKUP(Tab_Calculs[[#This Row],[Compteur]],Site!$B$33:$G$40,3,FALSE))</f>
        <v/>
      </c>
      <c r="X374" t="str">
        <f>T(VLOOKUP(Tab_Calculs[[#This Row],[Compteur]],Site!$B$33:$G$40,4,FALSE))</f>
        <v/>
      </c>
      <c r="Y374" t="str">
        <f>T(VLOOKUP(Tab_Calculs[[#This Row],[Compteur]],Site!$B$33:$G$40,5,FALSE))</f>
        <v/>
      </c>
      <c r="Z374" t="str">
        <f>T(VLOOKUP(Tab_Calculs[[#This Row],[Compteur]],Site!$B$33:$G$40,6,FALSE))</f>
        <v/>
      </c>
      <c r="AA374">
        <f>IFERROR(GETPIVOTDATA("DJU(chauffagiste)",BDD_DJU!$P$13,"annee",Tab_Calculs[[#This Row],[ANNEE]],"mois_numero",Tab_Calculs[[#This Row],[MOIS]]),0)</f>
        <v>0</v>
      </c>
    </row>
    <row r="375" spans="1:27" x14ac:dyDescent="0.25">
      <c r="A375" s="3">
        <f>DATE(Tab_Calculs[[#This Row],[ANNEE]],Tab_Calculs[[#This Row],[MOIS]],1)</f>
        <v>45474</v>
      </c>
      <c r="B375" s="3">
        <f>EDATE(Tab_Calculs[[#This Row],[Début mois]],1)-1</f>
        <v>45504</v>
      </c>
      <c r="C375">
        <f t="shared" si="10"/>
        <v>7</v>
      </c>
      <c r="D375">
        <f t="shared" si="12"/>
        <v>2024</v>
      </c>
      <c r="E375" t="s">
        <v>81</v>
      </c>
      <c r="F375" t="str">
        <f>SUBSTITUTE(Tab_Calculs[[#This Row],[Compteur]]," ","_")</f>
        <v>Compteur_2</v>
      </c>
      <c r="G375" t="str">
        <f>T(INDEX(Site!$B$33:$G$40, MATCH(Tab_Calculs[[#This Row],[Compteur]], Site!$B$33:$B$40,0),2))</f>
        <v/>
      </c>
      <c r="H375" s="3">
        <f t="array" aca="1" ref="H375" ca="1">MIN(IF(INDIRECT(CONCATENATE(Tab_Calculs[[#This Row],[Colonne1]],"!$B$2:$B$243"))&gt;=Calculs_Consos!$A375,INDIRECT(CONCATENATE(Tab_Calculs[[#This Row],[Colonne1]],"!$B$2:$B$243"))))</f>
        <v>0</v>
      </c>
      <c r="I375" s="3" t="e">
        <f ca="1">INDEX(INDIRECT(CONCATENATE("Tab_",Tab_Calculs[[#This Row],[Colonne1]])),Tab_Calculs[[#This Row],[index_date_livraison]],1)</f>
        <v>#NUM!</v>
      </c>
      <c r="J375">
        <f ca="1">MATCH(Tab_Calculs[[#This Row],[Date_livraison]],INDIRECT(CONCATENATE("Tab_",Tab_Calculs[[#This Row],[Colonne1]],"[Fin de période]")),0)</f>
        <v>1</v>
      </c>
      <c r="K375" t="e">
        <f ca="1">INDEX(INDIRECT(CONCATENATE("Tab_",Tab_Calculs[[#This Row],[Colonne1]])),Tab_Calculs[[#This Row],[index_date_livraison]]-1,6)*(MAX(Tab_Calculs[[#This Row],[Début periode livraison]],Tab_Calculs[[#This Row],[Début mois]])-Tab_Calculs[[#This Row],[Début mois]])</f>
        <v>#VALUE!</v>
      </c>
      <c r="L375" s="94" t="e">
        <f ca="1">INDEX(INDIRECT(CONCATENATE("Tab_",Tab_Calculs[[#This Row],[Colonne1]])),Tab_Calculs[[#This Row],[index_date_livraison]],6)*(1+MIN(Tab_Calculs[[#This Row],[Date_livraison]],Tab_Calculs[[#This Row],[fin mois]])-MAX(Tab_Calculs[[#This Row],[Début mois]],Tab_Calculs[[#This Row],[Début periode livraison]]))</f>
        <v>#NUM!</v>
      </c>
      <c r="M375" s="94" t="e">
        <f ca="1">INDEX(INDIRECT(CONCATENATE("Tab_",Tab_Calculs[[#This Row],[Colonne1]])),Tab_Calculs[[#This Row],[index_date_livraison]]+1,6)*(Tab_Calculs[[#This Row],[fin mois]]-MIN(Tab_Calculs[[#This Row],[fin mois]],Tab_Calculs[[#This Row],[Date_livraison]]))</f>
        <v>#VALUE!</v>
      </c>
      <c r="N375" s="231" t="str">
        <f ca="1">IFERROR(Tab_Calculs[[#This Row],[Ratio_jour_après_livr]]+Tab_Calculs[[#This Row],[Ratio_jour_avant_livr]]+Tab_Calculs[[#This Row],[ratio_avant_debut]],"")</f>
        <v/>
      </c>
      <c r="O375" t="e">
        <f ca="1">INDEX(INDIRECT(CONCATENATE("Tab_",Tab_Calculs[[#This Row],[Colonne1]])),Tab_Calculs[[#This Row],[index_date_livraison]]-1,7)*(MAX(Tab_Calculs[[#This Row],[Début periode livraison]],Tab_Calculs[[#This Row],[Début mois]])-Tab_Calculs[[#This Row],[Début mois]])</f>
        <v>#VALUE!</v>
      </c>
      <c r="P375" t="e">
        <f ca="1">INDEX(INDIRECT(CONCATENATE("Tab_",Tab_Calculs[[#This Row],[Colonne1]])),Tab_Calculs[[#This Row],[index_date_livraison]],7)*(1+MIN(Tab_Calculs[[#This Row],[Date_livraison]],Tab_Calculs[[#This Row],[fin mois]])-MAX(Tab_Calculs[[#This Row],[Début mois]],Tab_Calculs[[#This Row],[Début periode livraison]]))</f>
        <v>#NUM!</v>
      </c>
      <c r="Q375" t="e">
        <f ca="1">INDEX(INDIRECT(CONCATENATE("Tab_",Tab_Calculs[[#This Row],[Colonne1]])),Tab_Calculs[[#This Row],[index_date_livraison]]+1,7)*(Tab_Calculs[[#This Row],[fin mois]]-MIN(Tab_Calculs[[#This Row],[fin mois]],Tab_Calculs[[#This Row],[Date_livraison]]))</f>
        <v>#VALUE!</v>
      </c>
      <c r="R375" t="e">
        <f ca="1">Tab_Calculs[[#This Row],[Ratio_Cout_après_livr]]+Tab_Calculs[[#This Row],[Ratio_Cout_avant_livr]]+Tab_Calculs[[#This Row],[Ratio_Cout_avant_debut]]</f>
        <v>#VALUE!</v>
      </c>
      <c r="S375" t="str">
        <f ca="1">IFERROR(N375*VLOOKUP(Tab_Calculs[[#This Row],[Colonne1]],Controle_des_données!$B$7:$G$14,6,FALSE),"")</f>
        <v/>
      </c>
      <c r="T375" t="str">
        <f ca="1">IF(Tab_Calculs[[#This Row],[Combustible ]]="Electricité (kWh)",Tab_Calculs[[#This Row],[Conso_mois_kWh]]*2.3,Tab_Calculs[[#This Row],[Conso_mois_kWh]])</f>
        <v/>
      </c>
      <c r="U375" t="str">
        <f ca="1">IFERROR(N375*VLOOKUP(Tab_Calculs[[#This Row],[Colonne1]],Controle_des_données!$B$7:$H$14,7,FALSE),"")</f>
        <v/>
      </c>
      <c r="V375">
        <f ca="1">IFERROR(Tab_Calculs[[#This Row],[Cout_mois]]/Tab_Calculs[[#This Row],[Conso_mois_kWh]],0)</f>
        <v>0</v>
      </c>
      <c r="W375" t="str">
        <f>T(VLOOKUP(Tab_Calculs[[#This Row],[Compteur]],Site!$B$33:$G$40,3,FALSE))</f>
        <v/>
      </c>
      <c r="X375" t="str">
        <f>T(VLOOKUP(Tab_Calculs[[#This Row],[Compteur]],Site!$B$33:$G$40,4,FALSE))</f>
        <v/>
      </c>
      <c r="Y375" t="str">
        <f>T(VLOOKUP(Tab_Calculs[[#This Row],[Compteur]],Site!$B$33:$G$40,5,FALSE))</f>
        <v/>
      </c>
      <c r="Z375" t="str">
        <f>T(VLOOKUP(Tab_Calculs[[#This Row],[Compteur]],Site!$B$33:$G$40,6,FALSE))</f>
        <v/>
      </c>
      <c r="AA375">
        <f>IFERROR(GETPIVOTDATA("DJU(chauffagiste)",BDD_DJU!$P$13,"annee",Tab_Calculs[[#This Row],[ANNEE]],"mois_numero",Tab_Calculs[[#This Row],[MOIS]]),0)</f>
        <v>0</v>
      </c>
    </row>
    <row r="376" spans="1:27" x14ac:dyDescent="0.25">
      <c r="A376" s="3">
        <f>DATE(Tab_Calculs[[#This Row],[ANNEE]],Tab_Calculs[[#This Row],[MOIS]],1)</f>
        <v>45505</v>
      </c>
      <c r="B376" s="3">
        <f>EDATE(Tab_Calculs[[#This Row],[Début mois]],1)-1</f>
        <v>45535</v>
      </c>
      <c r="C376">
        <f t="shared" si="10"/>
        <v>8</v>
      </c>
      <c r="D376">
        <f t="shared" si="12"/>
        <v>2024</v>
      </c>
      <c r="E376" t="s">
        <v>81</v>
      </c>
      <c r="F376" t="str">
        <f>SUBSTITUTE(Tab_Calculs[[#This Row],[Compteur]]," ","_")</f>
        <v>Compteur_2</v>
      </c>
      <c r="G376" t="str">
        <f>T(INDEX(Site!$B$33:$G$40, MATCH(Tab_Calculs[[#This Row],[Compteur]], Site!$B$33:$B$40,0),2))</f>
        <v/>
      </c>
      <c r="H376" s="3">
        <f t="array" aca="1" ref="H376" ca="1">MIN(IF(INDIRECT(CONCATENATE(Tab_Calculs[[#This Row],[Colonne1]],"!$B$2:$B$243"))&gt;=Calculs_Consos!$A376,INDIRECT(CONCATENATE(Tab_Calculs[[#This Row],[Colonne1]],"!$B$2:$B$243"))))</f>
        <v>0</v>
      </c>
      <c r="I376" s="3" t="e">
        <f ca="1">INDEX(INDIRECT(CONCATENATE("Tab_",Tab_Calculs[[#This Row],[Colonne1]])),Tab_Calculs[[#This Row],[index_date_livraison]],1)</f>
        <v>#NUM!</v>
      </c>
      <c r="J376">
        <f ca="1">MATCH(Tab_Calculs[[#This Row],[Date_livraison]],INDIRECT(CONCATENATE("Tab_",Tab_Calculs[[#This Row],[Colonne1]],"[Fin de période]")),0)</f>
        <v>1</v>
      </c>
      <c r="K376" t="e">
        <f ca="1">INDEX(INDIRECT(CONCATENATE("Tab_",Tab_Calculs[[#This Row],[Colonne1]])),Tab_Calculs[[#This Row],[index_date_livraison]]-1,6)*(MAX(Tab_Calculs[[#This Row],[Début periode livraison]],Tab_Calculs[[#This Row],[Début mois]])-Tab_Calculs[[#This Row],[Début mois]])</f>
        <v>#VALUE!</v>
      </c>
      <c r="L376" s="94" t="e">
        <f ca="1">INDEX(INDIRECT(CONCATENATE("Tab_",Tab_Calculs[[#This Row],[Colonne1]])),Tab_Calculs[[#This Row],[index_date_livraison]],6)*(1+MIN(Tab_Calculs[[#This Row],[Date_livraison]],Tab_Calculs[[#This Row],[fin mois]])-MAX(Tab_Calculs[[#This Row],[Début mois]],Tab_Calculs[[#This Row],[Début periode livraison]]))</f>
        <v>#NUM!</v>
      </c>
      <c r="M376" s="94" t="e">
        <f ca="1">INDEX(INDIRECT(CONCATENATE("Tab_",Tab_Calculs[[#This Row],[Colonne1]])),Tab_Calculs[[#This Row],[index_date_livraison]]+1,6)*(Tab_Calculs[[#This Row],[fin mois]]-MIN(Tab_Calculs[[#This Row],[fin mois]],Tab_Calculs[[#This Row],[Date_livraison]]))</f>
        <v>#VALUE!</v>
      </c>
      <c r="N376" s="231" t="str">
        <f ca="1">IFERROR(Tab_Calculs[[#This Row],[Ratio_jour_après_livr]]+Tab_Calculs[[#This Row],[Ratio_jour_avant_livr]]+Tab_Calculs[[#This Row],[ratio_avant_debut]],"")</f>
        <v/>
      </c>
      <c r="O376" t="e">
        <f ca="1">INDEX(INDIRECT(CONCATENATE("Tab_",Tab_Calculs[[#This Row],[Colonne1]])),Tab_Calculs[[#This Row],[index_date_livraison]]-1,7)*(MAX(Tab_Calculs[[#This Row],[Début periode livraison]],Tab_Calculs[[#This Row],[Début mois]])-Tab_Calculs[[#This Row],[Début mois]])</f>
        <v>#VALUE!</v>
      </c>
      <c r="P376" t="e">
        <f ca="1">INDEX(INDIRECT(CONCATENATE("Tab_",Tab_Calculs[[#This Row],[Colonne1]])),Tab_Calculs[[#This Row],[index_date_livraison]],7)*(1+MIN(Tab_Calculs[[#This Row],[Date_livraison]],Tab_Calculs[[#This Row],[fin mois]])-MAX(Tab_Calculs[[#This Row],[Début mois]],Tab_Calculs[[#This Row],[Début periode livraison]]))</f>
        <v>#NUM!</v>
      </c>
      <c r="Q376" t="e">
        <f ca="1">INDEX(INDIRECT(CONCATENATE("Tab_",Tab_Calculs[[#This Row],[Colonne1]])),Tab_Calculs[[#This Row],[index_date_livraison]]+1,7)*(Tab_Calculs[[#This Row],[fin mois]]-MIN(Tab_Calculs[[#This Row],[fin mois]],Tab_Calculs[[#This Row],[Date_livraison]]))</f>
        <v>#VALUE!</v>
      </c>
      <c r="R376" t="e">
        <f ca="1">Tab_Calculs[[#This Row],[Ratio_Cout_après_livr]]+Tab_Calculs[[#This Row],[Ratio_Cout_avant_livr]]+Tab_Calculs[[#This Row],[Ratio_Cout_avant_debut]]</f>
        <v>#VALUE!</v>
      </c>
      <c r="S376" t="str">
        <f ca="1">IFERROR(N376*VLOOKUP(Tab_Calculs[[#This Row],[Colonne1]],Controle_des_données!$B$7:$G$14,6,FALSE),"")</f>
        <v/>
      </c>
      <c r="T376" t="str">
        <f ca="1">IF(Tab_Calculs[[#This Row],[Combustible ]]="Electricité (kWh)",Tab_Calculs[[#This Row],[Conso_mois_kWh]]*2.3,Tab_Calculs[[#This Row],[Conso_mois_kWh]])</f>
        <v/>
      </c>
      <c r="U376" t="str">
        <f ca="1">IFERROR(N376*VLOOKUP(Tab_Calculs[[#This Row],[Colonne1]],Controle_des_données!$B$7:$H$14,7,FALSE),"")</f>
        <v/>
      </c>
      <c r="V376">
        <f ca="1">IFERROR(Tab_Calculs[[#This Row],[Cout_mois]]/Tab_Calculs[[#This Row],[Conso_mois_kWh]],0)</f>
        <v>0</v>
      </c>
      <c r="W376" t="str">
        <f>T(VLOOKUP(Tab_Calculs[[#This Row],[Compteur]],Site!$B$33:$G$40,3,FALSE))</f>
        <v/>
      </c>
      <c r="X376" t="str">
        <f>T(VLOOKUP(Tab_Calculs[[#This Row],[Compteur]],Site!$B$33:$G$40,4,FALSE))</f>
        <v/>
      </c>
      <c r="Y376" t="str">
        <f>T(VLOOKUP(Tab_Calculs[[#This Row],[Compteur]],Site!$B$33:$G$40,5,FALSE))</f>
        <v/>
      </c>
      <c r="Z376" t="str">
        <f>T(VLOOKUP(Tab_Calculs[[#This Row],[Compteur]],Site!$B$33:$G$40,6,FALSE))</f>
        <v/>
      </c>
      <c r="AA376">
        <f>IFERROR(GETPIVOTDATA("DJU(chauffagiste)",BDD_DJU!$P$13,"annee",Tab_Calculs[[#This Row],[ANNEE]],"mois_numero",Tab_Calculs[[#This Row],[MOIS]]),0)</f>
        <v>0</v>
      </c>
    </row>
    <row r="377" spans="1:27" x14ac:dyDescent="0.25">
      <c r="A377" s="3">
        <f>DATE(Tab_Calculs[[#This Row],[ANNEE]],Tab_Calculs[[#This Row],[MOIS]],1)</f>
        <v>45536</v>
      </c>
      <c r="B377" s="3">
        <f>EDATE(Tab_Calculs[[#This Row],[Début mois]],1)-1</f>
        <v>45565</v>
      </c>
      <c r="C377">
        <f t="shared" si="10"/>
        <v>9</v>
      </c>
      <c r="D377">
        <f t="shared" si="12"/>
        <v>2024</v>
      </c>
      <c r="E377" t="s">
        <v>81</v>
      </c>
      <c r="F377" t="str">
        <f>SUBSTITUTE(Tab_Calculs[[#This Row],[Compteur]]," ","_")</f>
        <v>Compteur_2</v>
      </c>
      <c r="G377" t="str">
        <f>T(INDEX(Site!$B$33:$G$40, MATCH(Tab_Calculs[[#This Row],[Compteur]], Site!$B$33:$B$40,0),2))</f>
        <v/>
      </c>
      <c r="H377" s="3">
        <f t="array" aca="1" ref="H377" ca="1">MIN(IF(INDIRECT(CONCATENATE(Tab_Calculs[[#This Row],[Colonne1]],"!$B$2:$B$243"))&gt;=Calculs_Consos!$A377,INDIRECT(CONCATENATE(Tab_Calculs[[#This Row],[Colonne1]],"!$B$2:$B$243"))))</f>
        <v>0</v>
      </c>
      <c r="I377" s="3" t="e">
        <f ca="1">INDEX(INDIRECT(CONCATENATE("Tab_",Tab_Calculs[[#This Row],[Colonne1]])),Tab_Calculs[[#This Row],[index_date_livraison]],1)</f>
        <v>#NUM!</v>
      </c>
      <c r="J377">
        <f ca="1">MATCH(Tab_Calculs[[#This Row],[Date_livraison]],INDIRECT(CONCATENATE("Tab_",Tab_Calculs[[#This Row],[Colonne1]],"[Fin de période]")),0)</f>
        <v>1</v>
      </c>
      <c r="K377" t="e">
        <f ca="1">INDEX(INDIRECT(CONCATENATE("Tab_",Tab_Calculs[[#This Row],[Colonne1]])),Tab_Calculs[[#This Row],[index_date_livraison]]-1,6)*(MAX(Tab_Calculs[[#This Row],[Début periode livraison]],Tab_Calculs[[#This Row],[Début mois]])-Tab_Calculs[[#This Row],[Début mois]])</f>
        <v>#VALUE!</v>
      </c>
      <c r="L377" s="94" t="e">
        <f ca="1">INDEX(INDIRECT(CONCATENATE("Tab_",Tab_Calculs[[#This Row],[Colonne1]])),Tab_Calculs[[#This Row],[index_date_livraison]],6)*(1+MIN(Tab_Calculs[[#This Row],[Date_livraison]],Tab_Calculs[[#This Row],[fin mois]])-MAX(Tab_Calculs[[#This Row],[Début mois]],Tab_Calculs[[#This Row],[Début periode livraison]]))</f>
        <v>#NUM!</v>
      </c>
      <c r="M377" s="94" t="e">
        <f ca="1">INDEX(INDIRECT(CONCATENATE("Tab_",Tab_Calculs[[#This Row],[Colonne1]])),Tab_Calculs[[#This Row],[index_date_livraison]]+1,6)*(Tab_Calculs[[#This Row],[fin mois]]-MIN(Tab_Calculs[[#This Row],[fin mois]],Tab_Calculs[[#This Row],[Date_livraison]]))</f>
        <v>#VALUE!</v>
      </c>
      <c r="N377" s="231" t="str">
        <f ca="1">IFERROR(Tab_Calculs[[#This Row],[Ratio_jour_après_livr]]+Tab_Calculs[[#This Row],[Ratio_jour_avant_livr]]+Tab_Calculs[[#This Row],[ratio_avant_debut]],"")</f>
        <v/>
      </c>
      <c r="O377" t="e">
        <f ca="1">INDEX(INDIRECT(CONCATENATE("Tab_",Tab_Calculs[[#This Row],[Colonne1]])),Tab_Calculs[[#This Row],[index_date_livraison]]-1,7)*(MAX(Tab_Calculs[[#This Row],[Début periode livraison]],Tab_Calculs[[#This Row],[Début mois]])-Tab_Calculs[[#This Row],[Début mois]])</f>
        <v>#VALUE!</v>
      </c>
      <c r="P377" t="e">
        <f ca="1">INDEX(INDIRECT(CONCATENATE("Tab_",Tab_Calculs[[#This Row],[Colonne1]])),Tab_Calculs[[#This Row],[index_date_livraison]],7)*(1+MIN(Tab_Calculs[[#This Row],[Date_livraison]],Tab_Calculs[[#This Row],[fin mois]])-MAX(Tab_Calculs[[#This Row],[Début mois]],Tab_Calculs[[#This Row],[Début periode livraison]]))</f>
        <v>#NUM!</v>
      </c>
      <c r="Q377" t="e">
        <f ca="1">INDEX(INDIRECT(CONCATENATE("Tab_",Tab_Calculs[[#This Row],[Colonne1]])),Tab_Calculs[[#This Row],[index_date_livraison]]+1,7)*(Tab_Calculs[[#This Row],[fin mois]]-MIN(Tab_Calculs[[#This Row],[fin mois]],Tab_Calculs[[#This Row],[Date_livraison]]))</f>
        <v>#VALUE!</v>
      </c>
      <c r="R377" t="e">
        <f ca="1">Tab_Calculs[[#This Row],[Ratio_Cout_après_livr]]+Tab_Calculs[[#This Row],[Ratio_Cout_avant_livr]]+Tab_Calculs[[#This Row],[Ratio_Cout_avant_debut]]</f>
        <v>#VALUE!</v>
      </c>
      <c r="S377" t="str">
        <f ca="1">IFERROR(N377*VLOOKUP(Tab_Calculs[[#This Row],[Colonne1]],Controle_des_données!$B$7:$G$14,6,FALSE),"")</f>
        <v/>
      </c>
      <c r="T377" t="str">
        <f ca="1">IF(Tab_Calculs[[#This Row],[Combustible ]]="Electricité (kWh)",Tab_Calculs[[#This Row],[Conso_mois_kWh]]*2.3,Tab_Calculs[[#This Row],[Conso_mois_kWh]])</f>
        <v/>
      </c>
      <c r="U377" t="str">
        <f ca="1">IFERROR(N377*VLOOKUP(Tab_Calculs[[#This Row],[Colonne1]],Controle_des_données!$B$7:$H$14,7,FALSE),"")</f>
        <v/>
      </c>
      <c r="V377">
        <f ca="1">IFERROR(Tab_Calculs[[#This Row],[Cout_mois]]/Tab_Calculs[[#This Row],[Conso_mois_kWh]],0)</f>
        <v>0</v>
      </c>
      <c r="W377" t="str">
        <f>T(VLOOKUP(Tab_Calculs[[#This Row],[Compteur]],Site!$B$33:$G$40,3,FALSE))</f>
        <v/>
      </c>
      <c r="X377" t="str">
        <f>T(VLOOKUP(Tab_Calculs[[#This Row],[Compteur]],Site!$B$33:$G$40,4,FALSE))</f>
        <v/>
      </c>
      <c r="Y377" t="str">
        <f>T(VLOOKUP(Tab_Calculs[[#This Row],[Compteur]],Site!$B$33:$G$40,5,FALSE))</f>
        <v/>
      </c>
      <c r="Z377" t="str">
        <f>T(VLOOKUP(Tab_Calculs[[#This Row],[Compteur]],Site!$B$33:$G$40,6,FALSE))</f>
        <v/>
      </c>
      <c r="AA377">
        <f>IFERROR(GETPIVOTDATA("DJU(chauffagiste)",BDD_DJU!$P$13,"annee",Tab_Calculs[[#This Row],[ANNEE]],"mois_numero",Tab_Calculs[[#This Row],[MOIS]]),0)</f>
        <v>0</v>
      </c>
    </row>
    <row r="378" spans="1:27" x14ac:dyDescent="0.25">
      <c r="A378" s="3">
        <f>DATE(Tab_Calculs[[#This Row],[ANNEE]],Tab_Calculs[[#This Row],[MOIS]],1)</f>
        <v>45566</v>
      </c>
      <c r="B378" s="3">
        <f>EDATE(Tab_Calculs[[#This Row],[Début mois]],1)-1</f>
        <v>45596</v>
      </c>
      <c r="C378">
        <f t="shared" si="10"/>
        <v>10</v>
      </c>
      <c r="D378">
        <f t="shared" si="12"/>
        <v>2024</v>
      </c>
      <c r="E378" t="s">
        <v>81</v>
      </c>
      <c r="F378" t="str">
        <f>SUBSTITUTE(Tab_Calculs[[#This Row],[Compteur]]," ","_")</f>
        <v>Compteur_2</v>
      </c>
      <c r="G378" t="str">
        <f>T(INDEX(Site!$B$33:$G$40, MATCH(Tab_Calculs[[#This Row],[Compteur]], Site!$B$33:$B$40,0),2))</f>
        <v/>
      </c>
      <c r="H378" s="3">
        <f t="array" aca="1" ref="H378" ca="1">MIN(IF(INDIRECT(CONCATENATE(Tab_Calculs[[#This Row],[Colonne1]],"!$B$2:$B$243"))&gt;=Calculs_Consos!$A378,INDIRECT(CONCATENATE(Tab_Calculs[[#This Row],[Colonne1]],"!$B$2:$B$243"))))</f>
        <v>0</v>
      </c>
      <c r="I378" s="3" t="e">
        <f ca="1">INDEX(INDIRECT(CONCATENATE("Tab_",Tab_Calculs[[#This Row],[Colonne1]])),Tab_Calculs[[#This Row],[index_date_livraison]],1)</f>
        <v>#NUM!</v>
      </c>
      <c r="J378">
        <f ca="1">MATCH(Tab_Calculs[[#This Row],[Date_livraison]],INDIRECT(CONCATENATE("Tab_",Tab_Calculs[[#This Row],[Colonne1]],"[Fin de période]")),0)</f>
        <v>1</v>
      </c>
      <c r="K378" t="e">
        <f ca="1">INDEX(INDIRECT(CONCATENATE("Tab_",Tab_Calculs[[#This Row],[Colonne1]])),Tab_Calculs[[#This Row],[index_date_livraison]]-1,6)*(MAX(Tab_Calculs[[#This Row],[Début periode livraison]],Tab_Calculs[[#This Row],[Début mois]])-Tab_Calculs[[#This Row],[Début mois]])</f>
        <v>#VALUE!</v>
      </c>
      <c r="L378" s="94" t="e">
        <f ca="1">INDEX(INDIRECT(CONCATENATE("Tab_",Tab_Calculs[[#This Row],[Colonne1]])),Tab_Calculs[[#This Row],[index_date_livraison]],6)*(1+MIN(Tab_Calculs[[#This Row],[Date_livraison]],Tab_Calculs[[#This Row],[fin mois]])-MAX(Tab_Calculs[[#This Row],[Début mois]],Tab_Calculs[[#This Row],[Début periode livraison]]))</f>
        <v>#NUM!</v>
      </c>
      <c r="M378" s="94" t="e">
        <f ca="1">INDEX(INDIRECT(CONCATENATE("Tab_",Tab_Calculs[[#This Row],[Colonne1]])),Tab_Calculs[[#This Row],[index_date_livraison]]+1,6)*(Tab_Calculs[[#This Row],[fin mois]]-MIN(Tab_Calculs[[#This Row],[fin mois]],Tab_Calculs[[#This Row],[Date_livraison]]))</f>
        <v>#VALUE!</v>
      </c>
      <c r="N378" s="231" t="str">
        <f ca="1">IFERROR(Tab_Calculs[[#This Row],[Ratio_jour_après_livr]]+Tab_Calculs[[#This Row],[Ratio_jour_avant_livr]]+Tab_Calculs[[#This Row],[ratio_avant_debut]],"")</f>
        <v/>
      </c>
      <c r="O378" t="e">
        <f ca="1">INDEX(INDIRECT(CONCATENATE("Tab_",Tab_Calculs[[#This Row],[Colonne1]])),Tab_Calculs[[#This Row],[index_date_livraison]]-1,7)*(MAX(Tab_Calculs[[#This Row],[Début periode livraison]],Tab_Calculs[[#This Row],[Début mois]])-Tab_Calculs[[#This Row],[Début mois]])</f>
        <v>#VALUE!</v>
      </c>
      <c r="P378" t="e">
        <f ca="1">INDEX(INDIRECT(CONCATENATE("Tab_",Tab_Calculs[[#This Row],[Colonne1]])),Tab_Calculs[[#This Row],[index_date_livraison]],7)*(1+MIN(Tab_Calculs[[#This Row],[Date_livraison]],Tab_Calculs[[#This Row],[fin mois]])-MAX(Tab_Calculs[[#This Row],[Début mois]],Tab_Calculs[[#This Row],[Début periode livraison]]))</f>
        <v>#NUM!</v>
      </c>
      <c r="Q378" t="e">
        <f ca="1">INDEX(INDIRECT(CONCATENATE("Tab_",Tab_Calculs[[#This Row],[Colonne1]])),Tab_Calculs[[#This Row],[index_date_livraison]]+1,7)*(Tab_Calculs[[#This Row],[fin mois]]-MIN(Tab_Calculs[[#This Row],[fin mois]],Tab_Calculs[[#This Row],[Date_livraison]]))</f>
        <v>#VALUE!</v>
      </c>
      <c r="R378" t="e">
        <f ca="1">Tab_Calculs[[#This Row],[Ratio_Cout_après_livr]]+Tab_Calculs[[#This Row],[Ratio_Cout_avant_livr]]+Tab_Calculs[[#This Row],[Ratio_Cout_avant_debut]]</f>
        <v>#VALUE!</v>
      </c>
      <c r="S378" t="str">
        <f ca="1">IFERROR(N378*VLOOKUP(Tab_Calculs[[#This Row],[Colonne1]],Controle_des_données!$B$7:$G$14,6,FALSE),"")</f>
        <v/>
      </c>
      <c r="T378" t="str">
        <f ca="1">IF(Tab_Calculs[[#This Row],[Combustible ]]="Electricité (kWh)",Tab_Calculs[[#This Row],[Conso_mois_kWh]]*2.3,Tab_Calculs[[#This Row],[Conso_mois_kWh]])</f>
        <v/>
      </c>
      <c r="U378" t="str">
        <f ca="1">IFERROR(N378*VLOOKUP(Tab_Calculs[[#This Row],[Colonne1]],Controle_des_données!$B$7:$H$14,7,FALSE),"")</f>
        <v/>
      </c>
      <c r="V378">
        <f ca="1">IFERROR(Tab_Calculs[[#This Row],[Cout_mois]]/Tab_Calculs[[#This Row],[Conso_mois_kWh]],0)</f>
        <v>0</v>
      </c>
      <c r="W378" t="str">
        <f>T(VLOOKUP(Tab_Calculs[[#This Row],[Compteur]],Site!$B$33:$G$40,3,FALSE))</f>
        <v/>
      </c>
      <c r="X378" t="str">
        <f>T(VLOOKUP(Tab_Calculs[[#This Row],[Compteur]],Site!$B$33:$G$40,4,FALSE))</f>
        <v/>
      </c>
      <c r="Y378" t="str">
        <f>T(VLOOKUP(Tab_Calculs[[#This Row],[Compteur]],Site!$B$33:$G$40,5,FALSE))</f>
        <v/>
      </c>
      <c r="Z378" t="str">
        <f>T(VLOOKUP(Tab_Calculs[[#This Row],[Compteur]],Site!$B$33:$G$40,6,FALSE))</f>
        <v/>
      </c>
      <c r="AA378">
        <f>IFERROR(GETPIVOTDATA("DJU(chauffagiste)",BDD_DJU!$P$13,"annee",Tab_Calculs[[#This Row],[ANNEE]],"mois_numero",Tab_Calculs[[#This Row],[MOIS]]),0)</f>
        <v>0</v>
      </c>
    </row>
    <row r="379" spans="1:27" x14ac:dyDescent="0.25">
      <c r="A379" s="3">
        <f>DATE(Tab_Calculs[[#This Row],[ANNEE]],Tab_Calculs[[#This Row],[MOIS]],1)</f>
        <v>45597</v>
      </c>
      <c r="B379" s="3">
        <f>EDATE(Tab_Calculs[[#This Row],[Début mois]],1)-1</f>
        <v>45626</v>
      </c>
      <c r="C379">
        <f t="shared" si="10"/>
        <v>11</v>
      </c>
      <c r="D379">
        <f t="shared" si="12"/>
        <v>2024</v>
      </c>
      <c r="E379" t="s">
        <v>81</v>
      </c>
      <c r="F379" t="str">
        <f>SUBSTITUTE(Tab_Calculs[[#This Row],[Compteur]]," ","_")</f>
        <v>Compteur_2</v>
      </c>
      <c r="G379" t="str">
        <f>T(INDEX(Site!$B$33:$G$40, MATCH(Tab_Calculs[[#This Row],[Compteur]], Site!$B$33:$B$40,0),2))</f>
        <v/>
      </c>
      <c r="H379" s="3">
        <f t="array" aca="1" ref="H379" ca="1">MIN(IF(INDIRECT(CONCATENATE(Tab_Calculs[[#This Row],[Colonne1]],"!$B$2:$B$243"))&gt;=Calculs_Consos!$A379,INDIRECT(CONCATENATE(Tab_Calculs[[#This Row],[Colonne1]],"!$B$2:$B$243"))))</f>
        <v>0</v>
      </c>
      <c r="I379" s="3" t="e">
        <f ca="1">INDEX(INDIRECT(CONCATENATE("Tab_",Tab_Calculs[[#This Row],[Colonne1]])),Tab_Calculs[[#This Row],[index_date_livraison]],1)</f>
        <v>#NUM!</v>
      </c>
      <c r="J379">
        <f ca="1">MATCH(Tab_Calculs[[#This Row],[Date_livraison]],INDIRECT(CONCATENATE("Tab_",Tab_Calculs[[#This Row],[Colonne1]],"[Fin de période]")),0)</f>
        <v>1</v>
      </c>
      <c r="K379" t="e">
        <f ca="1">INDEX(INDIRECT(CONCATENATE("Tab_",Tab_Calculs[[#This Row],[Colonne1]])),Tab_Calculs[[#This Row],[index_date_livraison]]-1,6)*(MAX(Tab_Calculs[[#This Row],[Début periode livraison]],Tab_Calculs[[#This Row],[Début mois]])-Tab_Calculs[[#This Row],[Début mois]])</f>
        <v>#VALUE!</v>
      </c>
      <c r="L379" s="94" t="e">
        <f ca="1">INDEX(INDIRECT(CONCATENATE("Tab_",Tab_Calculs[[#This Row],[Colonne1]])),Tab_Calculs[[#This Row],[index_date_livraison]],6)*(1+MIN(Tab_Calculs[[#This Row],[Date_livraison]],Tab_Calculs[[#This Row],[fin mois]])-MAX(Tab_Calculs[[#This Row],[Début mois]],Tab_Calculs[[#This Row],[Début periode livraison]]))</f>
        <v>#NUM!</v>
      </c>
      <c r="M379" s="94" t="e">
        <f ca="1">INDEX(INDIRECT(CONCATENATE("Tab_",Tab_Calculs[[#This Row],[Colonne1]])),Tab_Calculs[[#This Row],[index_date_livraison]]+1,6)*(Tab_Calculs[[#This Row],[fin mois]]-MIN(Tab_Calculs[[#This Row],[fin mois]],Tab_Calculs[[#This Row],[Date_livraison]]))</f>
        <v>#VALUE!</v>
      </c>
      <c r="N379" s="231" t="str">
        <f ca="1">IFERROR(Tab_Calculs[[#This Row],[Ratio_jour_après_livr]]+Tab_Calculs[[#This Row],[Ratio_jour_avant_livr]]+Tab_Calculs[[#This Row],[ratio_avant_debut]],"")</f>
        <v/>
      </c>
      <c r="O379" t="e">
        <f ca="1">INDEX(INDIRECT(CONCATENATE("Tab_",Tab_Calculs[[#This Row],[Colonne1]])),Tab_Calculs[[#This Row],[index_date_livraison]]-1,7)*(MAX(Tab_Calculs[[#This Row],[Début periode livraison]],Tab_Calculs[[#This Row],[Début mois]])-Tab_Calculs[[#This Row],[Début mois]])</f>
        <v>#VALUE!</v>
      </c>
      <c r="P379" t="e">
        <f ca="1">INDEX(INDIRECT(CONCATENATE("Tab_",Tab_Calculs[[#This Row],[Colonne1]])),Tab_Calculs[[#This Row],[index_date_livraison]],7)*(1+MIN(Tab_Calculs[[#This Row],[Date_livraison]],Tab_Calculs[[#This Row],[fin mois]])-MAX(Tab_Calculs[[#This Row],[Début mois]],Tab_Calculs[[#This Row],[Début periode livraison]]))</f>
        <v>#NUM!</v>
      </c>
      <c r="Q379" t="e">
        <f ca="1">INDEX(INDIRECT(CONCATENATE("Tab_",Tab_Calculs[[#This Row],[Colonne1]])),Tab_Calculs[[#This Row],[index_date_livraison]]+1,7)*(Tab_Calculs[[#This Row],[fin mois]]-MIN(Tab_Calculs[[#This Row],[fin mois]],Tab_Calculs[[#This Row],[Date_livraison]]))</f>
        <v>#VALUE!</v>
      </c>
      <c r="R379" t="e">
        <f ca="1">Tab_Calculs[[#This Row],[Ratio_Cout_après_livr]]+Tab_Calculs[[#This Row],[Ratio_Cout_avant_livr]]+Tab_Calculs[[#This Row],[Ratio_Cout_avant_debut]]</f>
        <v>#VALUE!</v>
      </c>
      <c r="S379" t="str">
        <f ca="1">IFERROR(N379*VLOOKUP(Tab_Calculs[[#This Row],[Colonne1]],Controle_des_données!$B$7:$G$14,6,FALSE),"")</f>
        <v/>
      </c>
      <c r="T379" t="str">
        <f ca="1">IF(Tab_Calculs[[#This Row],[Combustible ]]="Electricité (kWh)",Tab_Calculs[[#This Row],[Conso_mois_kWh]]*2.3,Tab_Calculs[[#This Row],[Conso_mois_kWh]])</f>
        <v/>
      </c>
      <c r="U379" t="str">
        <f ca="1">IFERROR(N379*VLOOKUP(Tab_Calculs[[#This Row],[Colonne1]],Controle_des_données!$B$7:$H$14,7,FALSE),"")</f>
        <v/>
      </c>
      <c r="V379">
        <f ca="1">IFERROR(Tab_Calculs[[#This Row],[Cout_mois]]/Tab_Calculs[[#This Row],[Conso_mois_kWh]],0)</f>
        <v>0</v>
      </c>
      <c r="W379" t="str">
        <f>T(VLOOKUP(Tab_Calculs[[#This Row],[Compteur]],Site!$B$33:$G$40,3,FALSE))</f>
        <v/>
      </c>
      <c r="X379" t="str">
        <f>T(VLOOKUP(Tab_Calculs[[#This Row],[Compteur]],Site!$B$33:$G$40,4,FALSE))</f>
        <v/>
      </c>
      <c r="Y379" t="str">
        <f>T(VLOOKUP(Tab_Calculs[[#This Row],[Compteur]],Site!$B$33:$G$40,5,FALSE))</f>
        <v/>
      </c>
      <c r="Z379" t="str">
        <f>T(VLOOKUP(Tab_Calculs[[#This Row],[Compteur]],Site!$B$33:$G$40,6,FALSE))</f>
        <v/>
      </c>
      <c r="AA379">
        <f>IFERROR(GETPIVOTDATA("DJU(chauffagiste)",BDD_DJU!$P$13,"annee",Tab_Calculs[[#This Row],[ANNEE]],"mois_numero",Tab_Calculs[[#This Row],[MOIS]]),0)</f>
        <v>0</v>
      </c>
    </row>
    <row r="380" spans="1:27" x14ac:dyDescent="0.25">
      <c r="A380" s="3">
        <f>DATE(Tab_Calculs[[#This Row],[ANNEE]],Tab_Calculs[[#This Row],[MOIS]],1)</f>
        <v>45627</v>
      </c>
      <c r="B380" s="3">
        <f>EDATE(Tab_Calculs[[#This Row],[Début mois]],1)-1</f>
        <v>45657</v>
      </c>
      <c r="C380">
        <f t="shared" si="10"/>
        <v>12</v>
      </c>
      <c r="D380">
        <f>D368+1</f>
        <v>2024</v>
      </c>
      <c r="E380" t="s">
        <v>81</v>
      </c>
      <c r="F380" t="str">
        <f>SUBSTITUTE(Tab_Calculs[[#This Row],[Compteur]]," ","_")</f>
        <v>Compteur_2</v>
      </c>
      <c r="G380" t="str">
        <f>T(INDEX(Site!$B$33:$G$40, MATCH(Tab_Calculs[[#This Row],[Compteur]], Site!$B$33:$B$40,0),2))</f>
        <v/>
      </c>
      <c r="H380" s="3">
        <f t="array" aca="1" ref="H380" ca="1">MIN(IF(INDIRECT(CONCATENATE(Tab_Calculs[[#This Row],[Colonne1]],"!$B$2:$B$243"))&gt;=Calculs_Consos!$A380,INDIRECT(CONCATENATE(Tab_Calculs[[#This Row],[Colonne1]],"!$B$2:$B$243"))))</f>
        <v>0</v>
      </c>
      <c r="I380" s="3" t="e">
        <f ca="1">INDEX(INDIRECT(CONCATENATE("Tab_",Tab_Calculs[[#This Row],[Colonne1]])),Tab_Calculs[[#This Row],[index_date_livraison]],1)</f>
        <v>#NUM!</v>
      </c>
      <c r="J380">
        <f ca="1">MATCH(Tab_Calculs[[#This Row],[Date_livraison]],INDIRECT(CONCATENATE("Tab_",Tab_Calculs[[#This Row],[Colonne1]],"[Fin de période]")),0)</f>
        <v>1</v>
      </c>
      <c r="K380" t="e">
        <f ca="1">INDEX(INDIRECT(CONCATENATE("Tab_",Tab_Calculs[[#This Row],[Colonne1]])),Tab_Calculs[[#This Row],[index_date_livraison]]-1,6)*(MAX(Tab_Calculs[[#This Row],[Début periode livraison]],Tab_Calculs[[#This Row],[Début mois]])-Tab_Calculs[[#This Row],[Début mois]])</f>
        <v>#VALUE!</v>
      </c>
      <c r="L380" s="94" t="e">
        <f ca="1">INDEX(INDIRECT(CONCATENATE("Tab_",Tab_Calculs[[#This Row],[Colonne1]])),Tab_Calculs[[#This Row],[index_date_livraison]],6)*(1+MIN(Tab_Calculs[[#This Row],[Date_livraison]],Tab_Calculs[[#This Row],[fin mois]])-MAX(Tab_Calculs[[#This Row],[Début mois]],Tab_Calculs[[#This Row],[Début periode livraison]]))</f>
        <v>#NUM!</v>
      </c>
      <c r="M380" s="94" t="e">
        <f ca="1">INDEX(INDIRECT(CONCATENATE("Tab_",Tab_Calculs[[#This Row],[Colonne1]])),Tab_Calculs[[#This Row],[index_date_livraison]]+1,6)*(Tab_Calculs[[#This Row],[fin mois]]-MIN(Tab_Calculs[[#This Row],[fin mois]],Tab_Calculs[[#This Row],[Date_livraison]]))</f>
        <v>#VALUE!</v>
      </c>
      <c r="N380" s="231" t="str">
        <f ca="1">IFERROR(Tab_Calculs[[#This Row],[Ratio_jour_après_livr]]+Tab_Calculs[[#This Row],[Ratio_jour_avant_livr]]+Tab_Calculs[[#This Row],[ratio_avant_debut]],"")</f>
        <v/>
      </c>
      <c r="O380" t="e">
        <f ca="1">INDEX(INDIRECT(CONCATENATE("Tab_",Tab_Calculs[[#This Row],[Colonne1]])),Tab_Calculs[[#This Row],[index_date_livraison]]-1,7)*(MAX(Tab_Calculs[[#This Row],[Début periode livraison]],Tab_Calculs[[#This Row],[Début mois]])-Tab_Calculs[[#This Row],[Début mois]])</f>
        <v>#VALUE!</v>
      </c>
      <c r="P380" t="e">
        <f ca="1">INDEX(INDIRECT(CONCATENATE("Tab_",Tab_Calculs[[#This Row],[Colonne1]])),Tab_Calculs[[#This Row],[index_date_livraison]],7)*(1+MIN(Tab_Calculs[[#This Row],[Date_livraison]],Tab_Calculs[[#This Row],[fin mois]])-MAX(Tab_Calculs[[#This Row],[Début mois]],Tab_Calculs[[#This Row],[Début periode livraison]]))</f>
        <v>#NUM!</v>
      </c>
      <c r="Q380" t="e">
        <f ca="1">INDEX(INDIRECT(CONCATENATE("Tab_",Tab_Calculs[[#This Row],[Colonne1]])),Tab_Calculs[[#This Row],[index_date_livraison]]+1,7)*(Tab_Calculs[[#This Row],[fin mois]]-MIN(Tab_Calculs[[#This Row],[fin mois]],Tab_Calculs[[#This Row],[Date_livraison]]))</f>
        <v>#VALUE!</v>
      </c>
      <c r="R380" t="e">
        <f ca="1">Tab_Calculs[[#This Row],[Ratio_Cout_après_livr]]+Tab_Calculs[[#This Row],[Ratio_Cout_avant_livr]]+Tab_Calculs[[#This Row],[Ratio_Cout_avant_debut]]</f>
        <v>#VALUE!</v>
      </c>
      <c r="S380" t="str">
        <f ca="1">IFERROR(N380*VLOOKUP(Tab_Calculs[[#This Row],[Colonne1]],Controle_des_données!$B$7:$G$14,6,FALSE),"")</f>
        <v/>
      </c>
      <c r="T380" t="str">
        <f ca="1">IF(Tab_Calculs[[#This Row],[Combustible ]]="Electricité (kWh)",Tab_Calculs[[#This Row],[Conso_mois_kWh]]*2.3,Tab_Calculs[[#This Row],[Conso_mois_kWh]])</f>
        <v/>
      </c>
      <c r="U380" t="str">
        <f ca="1">IFERROR(N380*VLOOKUP(Tab_Calculs[[#This Row],[Colonne1]],Controle_des_données!$B$7:$H$14,7,FALSE),"")</f>
        <v/>
      </c>
      <c r="V380">
        <f ca="1">IFERROR(Tab_Calculs[[#This Row],[Cout_mois]]/Tab_Calculs[[#This Row],[Conso_mois_kWh]],0)</f>
        <v>0</v>
      </c>
      <c r="W380" t="str">
        <f>T(VLOOKUP(Tab_Calculs[[#This Row],[Compteur]],Site!$B$33:$G$40,3,FALSE))</f>
        <v/>
      </c>
      <c r="X380" t="str">
        <f>T(VLOOKUP(Tab_Calculs[[#This Row],[Compteur]],Site!$B$33:$G$40,4,FALSE))</f>
        <v/>
      </c>
      <c r="Y380" t="str">
        <f>T(VLOOKUP(Tab_Calculs[[#This Row],[Compteur]],Site!$B$33:$G$40,5,FALSE))</f>
        <v/>
      </c>
      <c r="Z380" t="str">
        <f>T(VLOOKUP(Tab_Calculs[[#This Row],[Compteur]],Site!$B$33:$G$40,6,FALSE))</f>
        <v/>
      </c>
      <c r="AA380">
        <f>IFERROR(GETPIVOTDATA("DJU(chauffagiste)",BDD_DJU!$P$13,"annee",Tab_Calculs[[#This Row],[ANNEE]],"mois_numero",Tab_Calculs[[#This Row],[MOIS]]),0)</f>
        <v>0</v>
      </c>
    </row>
    <row r="381" spans="1:27" x14ac:dyDescent="0.25">
      <c r="A381" s="3">
        <f>DATE(Tab_Calculs[[#This Row],[ANNEE]],Tab_Calculs[[#This Row],[MOIS]],1)</f>
        <v>45658</v>
      </c>
      <c r="B381" s="3">
        <f>EDATE(Tab_Calculs[[#This Row],[Début mois]],1)-1</f>
        <v>45688</v>
      </c>
      <c r="C381">
        <f t="shared" si="10"/>
        <v>1</v>
      </c>
      <c r="D381">
        <f t="shared" ref="D381:D392" si="13">D369+1</f>
        <v>2025</v>
      </c>
      <c r="E381" t="s">
        <v>81</v>
      </c>
      <c r="F381" t="str">
        <f>SUBSTITUTE(Tab_Calculs[[#This Row],[Compteur]]," ","_")</f>
        <v>Compteur_2</v>
      </c>
      <c r="G381" t="str">
        <f>T(INDEX(Site!$B$33:$G$40, MATCH(Tab_Calculs[[#This Row],[Compteur]], Site!$B$33:$B$40,0),2))</f>
        <v/>
      </c>
      <c r="H381" s="3">
        <f t="array" aca="1" ref="H381" ca="1">MIN(IF(INDIRECT(CONCATENATE(Tab_Calculs[[#This Row],[Colonne1]],"!$B$2:$B$243"))&gt;=Calculs_Consos!$A381,INDIRECT(CONCATENATE(Tab_Calculs[[#This Row],[Colonne1]],"!$B$2:$B$243"))))</f>
        <v>0</v>
      </c>
      <c r="I381" s="3" t="e">
        <f ca="1">INDEX(INDIRECT(CONCATENATE("Tab_",Tab_Calculs[[#This Row],[Colonne1]])),Tab_Calculs[[#This Row],[index_date_livraison]],1)</f>
        <v>#NUM!</v>
      </c>
      <c r="J381">
        <f ca="1">MATCH(Tab_Calculs[[#This Row],[Date_livraison]],INDIRECT(CONCATENATE("Tab_",Tab_Calculs[[#This Row],[Colonne1]],"[Fin de période]")),0)</f>
        <v>1</v>
      </c>
      <c r="K381" t="e">
        <f ca="1">INDEX(INDIRECT(CONCATENATE("Tab_",Tab_Calculs[[#This Row],[Colonne1]])),Tab_Calculs[[#This Row],[index_date_livraison]]-1,6)*(MAX(Tab_Calculs[[#This Row],[Début periode livraison]],Tab_Calculs[[#This Row],[Début mois]])-Tab_Calculs[[#This Row],[Début mois]])</f>
        <v>#VALUE!</v>
      </c>
      <c r="L381" s="94" t="e">
        <f ca="1">INDEX(INDIRECT(CONCATENATE("Tab_",Tab_Calculs[[#This Row],[Colonne1]])),Tab_Calculs[[#This Row],[index_date_livraison]],6)*(1+MIN(Tab_Calculs[[#This Row],[Date_livraison]],Tab_Calculs[[#This Row],[fin mois]])-MAX(Tab_Calculs[[#This Row],[Début mois]],Tab_Calculs[[#This Row],[Début periode livraison]]))</f>
        <v>#NUM!</v>
      </c>
      <c r="M381" s="94" t="e">
        <f ca="1">INDEX(INDIRECT(CONCATENATE("Tab_",Tab_Calculs[[#This Row],[Colonne1]])),Tab_Calculs[[#This Row],[index_date_livraison]]+1,6)*(Tab_Calculs[[#This Row],[fin mois]]-MIN(Tab_Calculs[[#This Row],[fin mois]],Tab_Calculs[[#This Row],[Date_livraison]]))</f>
        <v>#VALUE!</v>
      </c>
      <c r="N381" s="231" t="str">
        <f ca="1">IFERROR(Tab_Calculs[[#This Row],[Ratio_jour_après_livr]]+Tab_Calculs[[#This Row],[Ratio_jour_avant_livr]]+Tab_Calculs[[#This Row],[ratio_avant_debut]],"")</f>
        <v/>
      </c>
      <c r="O381" t="e">
        <f ca="1">INDEX(INDIRECT(CONCATENATE("Tab_",Tab_Calculs[[#This Row],[Colonne1]])),Tab_Calculs[[#This Row],[index_date_livraison]]-1,7)*(MAX(Tab_Calculs[[#This Row],[Début periode livraison]],Tab_Calculs[[#This Row],[Début mois]])-Tab_Calculs[[#This Row],[Début mois]])</f>
        <v>#VALUE!</v>
      </c>
      <c r="P381" t="e">
        <f ca="1">INDEX(INDIRECT(CONCATENATE("Tab_",Tab_Calculs[[#This Row],[Colonne1]])),Tab_Calculs[[#This Row],[index_date_livraison]],7)*(1+MIN(Tab_Calculs[[#This Row],[Date_livraison]],Tab_Calculs[[#This Row],[fin mois]])-MAX(Tab_Calculs[[#This Row],[Début mois]],Tab_Calculs[[#This Row],[Début periode livraison]]))</f>
        <v>#NUM!</v>
      </c>
      <c r="Q381" t="e">
        <f ca="1">INDEX(INDIRECT(CONCATENATE("Tab_",Tab_Calculs[[#This Row],[Colonne1]])),Tab_Calculs[[#This Row],[index_date_livraison]]+1,7)*(Tab_Calculs[[#This Row],[fin mois]]-MIN(Tab_Calculs[[#This Row],[fin mois]],Tab_Calculs[[#This Row],[Date_livraison]]))</f>
        <v>#VALUE!</v>
      </c>
      <c r="R381" t="e">
        <f ca="1">Tab_Calculs[[#This Row],[Ratio_Cout_après_livr]]+Tab_Calculs[[#This Row],[Ratio_Cout_avant_livr]]+Tab_Calculs[[#This Row],[Ratio_Cout_avant_debut]]</f>
        <v>#VALUE!</v>
      </c>
      <c r="S381" t="str">
        <f ca="1">IFERROR(N381*VLOOKUP(Tab_Calculs[[#This Row],[Colonne1]],Controle_des_données!$B$7:$G$14,6,FALSE),"")</f>
        <v/>
      </c>
      <c r="T381" t="str">
        <f ca="1">IF(Tab_Calculs[[#This Row],[Combustible ]]="Electricité (kWh)",Tab_Calculs[[#This Row],[Conso_mois_kWh]]*2.3,Tab_Calculs[[#This Row],[Conso_mois_kWh]])</f>
        <v/>
      </c>
      <c r="U381" t="str">
        <f ca="1">IFERROR(N381*VLOOKUP(Tab_Calculs[[#This Row],[Colonne1]],Controle_des_données!$B$7:$H$14,7,FALSE),"")</f>
        <v/>
      </c>
      <c r="V381">
        <f ca="1">IFERROR(Tab_Calculs[[#This Row],[Cout_mois]]/Tab_Calculs[[#This Row],[Conso_mois_kWh]],0)</f>
        <v>0</v>
      </c>
      <c r="W381" t="str">
        <f>T(VLOOKUP(Tab_Calculs[[#This Row],[Compteur]],Site!$B$33:$G$40,3,FALSE))</f>
        <v/>
      </c>
      <c r="X381" t="str">
        <f>T(VLOOKUP(Tab_Calculs[[#This Row],[Compteur]],Site!$B$33:$G$40,4,FALSE))</f>
        <v/>
      </c>
      <c r="Y381" t="str">
        <f>T(VLOOKUP(Tab_Calculs[[#This Row],[Compteur]],Site!$B$33:$G$40,5,FALSE))</f>
        <v/>
      </c>
      <c r="Z381" t="str">
        <f>T(VLOOKUP(Tab_Calculs[[#This Row],[Compteur]],Site!$B$33:$G$40,6,FALSE))</f>
        <v/>
      </c>
      <c r="AA381">
        <f>IFERROR(GETPIVOTDATA("DJU(chauffagiste)",BDD_DJU!$P$13,"annee",Tab_Calculs[[#This Row],[ANNEE]],"mois_numero",Tab_Calculs[[#This Row],[MOIS]]),0)</f>
        <v>0</v>
      </c>
    </row>
    <row r="382" spans="1:27" x14ac:dyDescent="0.25">
      <c r="A382" s="3">
        <f>DATE(Tab_Calculs[[#This Row],[ANNEE]],Tab_Calculs[[#This Row],[MOIS]],1)</f>
        <v>45689</v>
      </c>
      <c r="B382" s="3">
        <f>EDATE(Tab_Calculs[[#This Row],[Début mois]],1)-1</f>
        <v>45716</v>
      </c>
      <c r="C382">
        <f t="shared" si="10"/>
        <v>2</v>
      </c>
      <c r="D382">
        <f t="shared" si="13"/>
        <v>2025</v>
      </c>
      <c r="E382" t="s">
        <v>81</v>
      </c>
      <c r="F382" t="str">
        <f>SUBSTITUTE(Tab_Calculs[[#This Row],[Compteur]]," ","_")</f>
        <v>Compteur_2</v>
      </c>
      <c r="G382" t="str">
        <f>T(INDEX(Site!$B$33:$G$40, MATCH(Tab_Calculs[[#This Row],[Compteur]], Site!$B$33:$B$40,0),2))</f>
        <v/>
      </c>
      <c r="H382" s="3">
        <f t="array" aca="1" ref="H382" ca="1">MIN(IF(INDIRECT(CONCATENATE(Tab_Calculs[[#This Row],[Colonne1]],"!$B$2:$B$243"))&gt;=Calculs_Consos!$A382,INDIRECT(CONCATENATE(Tab_Calculs[[#This Row],[Colonne1]],"!$B$2:$B$243"))))</f>
        <v>0</v>
      </c>
      <c r="I382" s="3" t="e">
        <f ca="1">INDEX(INDIRECT(CONCATENATE("Tab_",Tab_Calculs[[#This Row],[Colonne1]])),Tab_Calculs[[#This Row],[index_date_livraison]],1)</f>
        <v>#NUM!</v>
      </c>
      <c r="J382">
        <f ca="1">MATCH(Tab_Calculs[[#This Row],[Date_livraison]],INDIRECT(CONCATENATE("Tab_",Tab_Calculs[[#This Row],[Colonne1]],"[Fin de période]")),0)</f>
        <v>1</v>
      </c>
      <c r="K382" t="e">
        <f ca="1">INDEX(INDIRECT(CONCATENATE("Tab_",Tab_Calculs[[#This Row],[Colonne1]])),Tab_Calculs[[#This Row],[index_date_livraison]]-1,6)*(MAX(Tab_Calculs[[#This Row],[Début periode livraison]],Tab_Calculs[[#This Row],[Début mois]])-Tab_Calculs[[#This Row],[Début mois]])</f>
        <v>#VALUE!</v>
      </c>
      <c r="L382" s="94" t="e">
        <f ca="1">INDEX(INDIRECT(CONCATENATE("Tab_",Tab_Calculs[[#This Row],[Colonne1]])),Tab_Calculs[[#This Row],[index_date_livraison]],6)*(1+MIN(Tab_Calculs[[#This Row],[Date_livraison]],Tab_Calculs[[#This Row],[fin mois]])-MAX(Tab_Calculs[[#This Row],[Début mois]],Tab_Calculs[[#This Row],[Début periode livraison]]))</f>
        <v>#NUM!</v>
      </c>
      <c r="M382" s="94" t="e">
        <f ca="1">INDEX(INDIRECT(CONCATENATE("Tab_",Tab_Calculs[[#This Row],[Colonne1]])),Tab_Calculs[[#This Row],[index_date_livraison]]+1,6)*(Tab_Calculs[[#This Row],[fin mois]]-MIN(Tab_Calculs[[#This Row],[fin mois]],Tab_Calculs[[#This Row],[Date_livraison]]))</f>
        <v>#VALUE!</v>
      </c>
      <c r="N382" s="231" t="str">
        <f ca="1">IFERROR(Tab_Calculs[[#This Row],[Ratio_jour_après_livr]]+Tab_Calculs[[#This Row],[Ratio_jour_avant_livr]]+Tab_Calculs[[#This Row],[ratio_avant_debut]],"")</f>
        <v/>
      </c>
      <c r="O382" t="e">
        <f ca="1">INDEX(INDIRECT(CONCATENATE("Tab_",Tab_Calculs[[#This Row],[Colonne1]])),Tab_Calculs[[#This Row],[index_date_livraison]]-1,7)*(MAX(Tab_Calculs[[#This Row],[Début periode livraison]],Tab_Calculs[[#This Row],[Début mois]])-Tab_Calculs[[#This Row],[Début mois]])</f>
        <v>#VALUE!</v>
      </c>
      <c r="P382" t="e">
        <f ca="1">INDEX(INDIRECT(CONCATENATE("Tab_",Tab_Calculs[[#This Row],[Colonne1]])),Tab_Calculs[[#This Row],[index_date_livraison]],7)*(1+MIN(Tab_Calculs[[#This Row],[Date_livraison]],Tab_Calculs[[#This Row],[fin mois]])-MAX(Tab_Calculs[[#This Row],[Début mois]],Tab_Calculs[[#This Row],[Début periode livraison]]))</f>
        <v>#NUM!</v>
      </c>
      <c r="Q382" t="e">
        <f ca="1">INDEX(INDIRECT(CONCATENATE("Tab_",Tab_Calculs[[#This Row],[Colonne1]])),Tab_Calculs[[#This Row],[index_date_livraison]]+1,7)*(Tab_Calculs[[#This Row],[fin mois]]-MIN(Tab_Calculs[[#This Row],[fin mois]],Tab_Calculs[[#This Row],[Date_livraison]]))</f>
        <v>#VALUE!</v>
      </c>
      <c r="R382" t="e">
        <f ca="1">Tab_Calculs[[#This Row],[Ratio_Cout_après_livr]]+Tab_Calculs[[#This Row],[Ratio_Cout_avant_livr]]+Tab_Calculs[[#This Row],[Ratio_Cout_avant_debut]]</f>
        <v>#VALUE!</v>
      </c>
      <c r="S382" t="str">
        <f ca="1">IFERROR(N382*VLOOKUP(Tab_Calculs[[#This Row],[Colonne1]],Controle_des_données!$B$7:$G$14,6,FALSE),"")</f>
        <v/>
      </c>
      <c r="T382" t="str">
        <f ca="1">IF(Tab_Calculs[[#This Row],[Combustible ]]="Electricité (kWh)",Tab_Calculs[[#This Row],[Conso_mois_kWh]]*2.3,Tab_Calculs[[#This Row],[Conso_mois_kWh]])</f>
        <v/>
      </c>
      <c r="U382" t="str">
        <f ca="1">IFERROR(N382*VLOOKUP(Tab_Calculs[[#This Row],[Colonne1]],Controle_des_données!$B$7:$H$14,7,FALSE),"")</f>
        <v/>
      </c>
      <c r="V382">
        <f ca="1">IFERROR(Tab_Calculs[[#This Row],[Cout_mois]]/Tab_Calculs[[#This Row],[Conso_mois_kWh]],0)</f>
        <v>0</v>
      </c>
      <c r="W382" t="str">
        <f>T(VLOOKUP(Tab_Calculs[[#This Row],[Compteur]],Site!$B$33:$G$40,3,FALSE))</f>
        <v/>
      </c>
      <c r="X382" t="str">
        <f>T(VLOOKUP(Tab_Calculs[[#This Row],[Compteur]],Site!$B$33:$G$40,4,FALSE))</f>
        <v/>
      </c>
      <c r="Y382" t="str">
        <f>T(VLOOKUP(Tab_Calculs[[#This Row],[Compteur]],Site!$B$33:$G$40,5,FALSE))</f>
        <v/>
      </c>
      <c r="Z382" t="str">
        <f>T(VLOOKUP(Tab_Calculs[[#This Row],[Compteur]],Site!$B$33:$G$40,6,FALSE))</f>
        <v/>
      </c>
      <c r="AA382">
        <f>IFERROR(GETPIVOTDATA("DJU(chauffagiste)",BDD_DJU!$P$13,"annee",Tab_Calculs[[#This Row],[ANNEE]],"mois_numero",Tab_Calculs[[#This Row],[MOIS]]),0)</f>
        <v>0</v>
      </c>
    </row>
    <row r="383" spans="1:27" x14ac:dyDescent="0.25">
      <c r="A383" s="3">
        <f>DATE(Tab_Calculs[[#This Row],[ANNEE]],Tab_Calculs[[#This Row],[MOIS]],1)</f>
        <v>45717</v>
      </c>
      <c r="B383" s="3">
        <f>EDATE(Tab_Calculs[[#This Row],[Début mois]],1)-1</f>
        <v>45747</v>
      </c>
      <c r="C383">
        <f t="shared" si="10"/>
        <v>3</v>
      </c>
      <c r="D383">
        <f t="shared" si="13"/>
        <v>2025</v>
      </c>
      <c r="E383" t="s">
        <v>81</v>
      </c>
      <c r="F383" t="str">
        <f>SUBSTITUTE(Tab_Calculs[[#This Row],[Compteur]]," ","_")</f>
        <v>Compteur_2</v>
      </c>
      <c r="G383" t="str">
        <f>T(INDEX(Site!$B$33:$G$40, MATCH(Tab_Calculs[[#This Row],[Compteur]], Site!$B$33:$B$40,0),2))</f>
        <v/>
      </c>
      <c r="H383" s="3">
        <f t="array" aca="1" ref="H383" ca="1">MIN(IF(INDIRECT(CONCATENATE(Tab_Calculs[[#This Row],[Colonne1]],"!$B$2:$B$243"))&gt;=Calculs_Consos!$A383,INDIRECT(CONCATENATE(Tab_Calculs[[#This Row],[Colonne1]],"!$B$2:$B$243"))))</f>
        <v>0</v>
      </c>
      <c r="I383" s="3" t="e">
        <f ca="1">INDEX(INDIRECT(CONCATENATE("Tab_",Tab_Calculs[[#This Row],[Colonne1]])),Tab_Calculs[[#This Row],[index_date_livraison]],1)</f>
        <v>#NUM!</v>
      </c>
      <c r="J383">
        <f ca="1">MATCH(Tab_Calculs[[#This Row],[Date_livraison]],INDIRECT(CONCATENATE("Tab_",Tab_Calculs[[#This Row],[Colonne1]],"[Fin de période]")),0)</f>
        <v>1</v>
      </c>
      <c r="K383" t="e">
        <f ca="1">INDEX(INDIRECT(CONCATENATE("Tab_",Tab_Calculs[[#This Row],[Colonne1]])),Tab_Calculs[[#This Row],[index_date_livraison]]-1,6)*(MAX(Tab_Calculs[[#This Row],[Début periode livraison]],Tab_Calculs[[#This Row],[Début mois]])-Tab_Calculs[[#This Row],[Début mois]])</f>
        <v>#VALUE!</v>
      </c>
      <c r="L383" s="94" t="e">
        <f ca="1">INDEX(INDIRECT(CONCATENATE("Tab_",Tab_Calculs[[#This Row],[Colonne1]])),Tab_Calculs[[#This Row],[index_date_livraison]],6)*(1+MIN(Tab_Calculs[[#This Row],[Date_livraison]],Tab_Calculs[[#This Row],[fin mois]])-MAX(Tab_Calculs[[#This Row],[Début mois]],Tab_Calculs[[#This Row],[Début periode livraison]]))</f>
        <v>#NUM!</v>
      </c>
      <c r="M383" s="94" t="e">
        <f ca="1">INDEX(INDIRECT(CONCATENATE("Tab_",Tab_Calculs[[#This Row],[Colonne1]])),Tab_Calculs[[#This Row],[index_date_livraison]]+1,6)*(Tab_Calculs[[#This Row],[fin mois]]-MIN(Tab_Calculs[[#This Row],[fin mois]],Tab_Calculs[[#This Row],[Date_livraison]]))</f>
        <v>#VALUE!</v>
      </c>
      <c r="N383" s="231" t="str">
        <f ca="1">IFERROR(Tab_Calculs[[#This Row],[Ratio_jour_après_livr]]+Tab_Calculs[[#This Row],[Ratio_jour_avant_livr]]+Tab_Calculs[[#This Row],[ratio_avant_debut]],"")</f>
        <v/>
      </c>
      <c r="O383" t="e">
        <f ca="1">INDEX(INDIRECT(CONCATENATE("Tab_",Tab_Calculs[[#This Row],[Colonne1]])),Tab_Calculs[[#This Row],[index_date_livraison]]-1,7)*(MAX(Tab_Calculs[[#This Row],[Début periode livraison]],Tab_Calculs[[#This Row],[Début mois]])-Tab_Calculs[[#This Row],[Début mois]])</f>
        <v>#VALUE!</v>
      </c>
      <c r="P383" t="e">
        <f ca="1">INDEX(INDIRECT(CONCATENATE("Tab_",Tab_Calculs[[#This Row],[Colonne1]])),Tab_Calculs[[#This Row],[index_date_livraison]],7)*(1+MIN(Tab_Calculs[[#This Row],[Date_livraison]],Tab_Calculs[[#This Row],[fin mois]])-MAX(Tab_Calculs[[#This Row],[Début mois]],Tab_Calculs[[#This Row],[Début periode livraison]]))</f>
        <v>#NUM!</v>
      </c>
      <c r="Q383" t="e">
        <f ca="1">INDEX(INDIRECT(CONCATENATE("Tab_",Tab_Calculs[[#This Row],[Colonne1]])),Tab_Calculs[[#This Row],[index_date_livraison]]+1,7)*(Tab_Calculs[[#This Row],[fin mois]]-MIN(Tab_Calculs[[#This Row],[fin mois]],Tab_Calculs[[#This Row],[Date_livraison]]))</f>
        <v>#VALUE!</v>
      </c>
      <c r="R383" t="e">
        <f ca="1">Tab_Calculs[[#This Row],[Ratio_Cout_après_livr]]+Tab_Calculs[[#This Row],[Ratio_Cout_avant_livr]]+Tab_Calculs[[#This Row],[Ratio_Cout_avant_debut]]</f>
        <v>#VALUE!</v>
      </c>
      <c r="S383" t="str">
        <f ca="1">IFERROR(N383*VLOOKUP(Tab_Calculs[[#This Row],[Colonne1]],Controle_des_données!$B$7:$G$14,6,FALSE),"")</f>
        <v/>
      </c>
      <c r="T383" t="str">
        <f ca="1">IF(Tab_Calculs[[#This Row],[Combustible ]]="Electricité (kWh)",Tab_Calculs[[#This Row],[Conso_mois_kWh]]*2.3,Tab_Calculs[[#This Row],[Conso_mois_kWh]])</f>
        <v/>
      </c>
      <c r="U383" t="str">
        <f ca="1">IFERROR(N383*VLOOKUP(Tab_Calculs[[#This Row],[Colonne1]],Controle_des_données!$B$7:$H$14,7,FALSE),"")</f>
        <v/>
      </c>
      <c r="V383">
        <f ca="1">IFERROR(Tab_Calculs[[#This Row],[Cout_mois]]/Tab_Calculs[[#This Row],[Conso_mois_kWh]],0)</f>
        <v>0</v>
      </c>
      <c r="W383" t="str">
        <f>T(VLOOKUP(Tab_Calculs[[#This Row],[Compteur]],Site!$B$33:$G$40,3,FALSE))</f>
        <v/>
      </c>
      <c r="X383" t="str">
        <f>T(VLOOKUP(Tab_Calculs[[#This Row],[Compteur]],Site!$B$33:$G$40,4,FALSE))</f>
        <v/>
      </c>
      <c r="Y383" t="str">
        <f>T(VLOOKUP(Tab_Calculs[[#This Row],[Compteur]],Site!$B$33:$G$40,5,FALSE))</f>
        <v/>
      </c>
      <c r="Z383" t="str">
        <f>T(VLOOKUP(Tab_Calculs[[#This Row],[Compteur]],Site!$B$33:$G$40,6,FALSE))</f>
        <v/>
      </c>
      <c r="AA383">
        <f>IFERROR(GETPIVOTDATA("DJU(chauffagiste)",BDD_DJU!$P$13,"annee",Tab_Calculs[[#This Row],[ANNEE]],"mois_numero",Tab_Calculs[[#This Row],[MOIS]]),0)</f>
        <v>0</v>
      </c>
    </row>
    <row r="384" spans="1:27" x14ac:dyDescent="0.25">
      <c r="A384" s="3">
        <f>DATE(Tab_Calculs[[#This Row],[ANNEE]],Tab_Calculs[[#This Row],[MOIS]],1)</f>
        <v>45748</v>
      </c>
      <c r="B384" s="3">
        <f>EDATE(Tab_Calculs[[#This Row],[Début mois]],1)-1</f>
        <v>45777</v>
      </c>
      <c r="C384">
        <f t="shared" si="10"/>
        <v>4</v>
      </c>
      <c r="D384">
        <f t="shared" si="13"/>
        <v>2025</v>
      </c>
      <c r="E384" t="s">
        <v>81</v>
      </c>
      <c r="F384" t="str">
        <f>SUBSTITUTE(Tab_Calculs[[#This Row],[Compteur]]," ","_")</f>
        <v>Compteur_2</v>
      </c>
      <c r="G384" t="str">
        <f>T(INDEX(Site!$B$33:$G$40, MATCH(Tab_Calculs[[#This Row],[Compteur]], Site!$B$33:$B$40,0),2))</f>
        <v/>
      </c>
      <c r="H384" s="3">
        <f t="array" aca="1" ref="H384" ca="1">MIN(IF(INDIRECT(CONCATENATE(Tab_Calculs[[#This Row],[Colonne1]],"!$B$2:$B$243"))&gt;=Calculs_Consos!$A384,INDIRECT(CONCATENATE(Tab_Calculs[[#This Row],[Colonne1]],"!$B$2:$B$243"))))</f>
        <v>0</v>
      </c>
      <c r="I384" s="3" t="e">
        <f ca="1">INDEX(INDIRECT(CONCATENATE("Tab_",Tab_Calculs[[#This Row],[Colonne1]])),Tab_Calculs[[#This Row],[index_date_livraison]],1)</f>
        <v>#NUM!</v>
      </c>
      <c r="J384">
        <f ca="1">MATCH(Tab_Calculs[[#This Row],[Date_livraison]],INDIRECT(CONCATENATE("Tab_",Tab_Calculs[[#This Row],[Colonne1]],"[Fin de période]")),0)</f>
        <v>1</v>
      </c>
      <c r="K384" t="e">
        <f ca="1">INDEX(INDIRECT(CONCATENATE("Tab_",Tab_Calculs[[#This Row],[Colonne1]])),Tab_Calculs[[#This Row],[index_date_livraison]]-1,6)*(MAX(Tab_Calculs[[#This Row],[Début periode livraison]],Tab_Calculs[[#This Row],[Début mois]])-Tab_Calculs[[#This Row],[Début mois]])</f>
        <v>#VALUE!</v>
      </c>
      <c r="L384" s="94" t="e">
        <f ca="1">INDEX(INDIRECT(CONCATENATE("Tab_",Tab_Calculs[[#This Row],[Colonne1]])),Tab_Calculs[[#This Row],[index_date_livraison]],6)*(1+MIN(Tab_Calculs[[#This Row],[Date_livraison]],Tab_Calculs[[#This Row],[fin mois]])-MAX(Tab_Calculs[[#This Row],[Début mois]],Tab_Calculs[[#This Row],[Début periode livraison]]))</f>
        <v>#NUM!</v>
      </c>
      <c r="M384" s="94" t="e">
        <f ca="1">INDEX(INDIRECT(CONCATENATE("Tab_",Tab_Calculs[[#This Row],[Colonne1]])),Tab_Calculs[[#This Row],[index_date_livraison]]+1,6)*(Tab_Calculs[[#This Row],[fin mois]]-MIN(Tab_Calculs[[#This Row],[fin mois]],Tab_Calculs[[#This Row],[Date_livraison]]))</f>
        <v>#VALUE!</v>
      </c>
      <c r="N384" s="231" t="str">
        <f ca="1">IFERROR(Tab_Calculs[[#This Row],[Ratio_jour_après_livr]]+Tab_Calculs[[#This Row],[Ratio_jour_avant_livr]]+Tab_Calculs[[#This Row],[ratio_avant_debut]],"")</f>
        <v/>
      </c>
      <c r="O384" t="e">
        <f ca="1">INDEX(INDIRECT(CONCATENATE("Tab_",Tab_Calculs[[#This Row],[Colonne1]])),Tab_Calculs[[#This Row],[index_date_livraison]]-1,7)*(MAX(Tab_Calculs[[#This Row],[Début periode livraison]],Tab_Calculs[[#This Row],[Début mois]])-Tab_Calculs[[#This Row],[Début mois]])</f>
        <v>#VALUE!</v>
      </c>
      <c r="P384" t="e">
        <f ca="1">INDEX(INDIRECT(CONCATENATE("Tab_",Tab_Calculs[[#This Row],[Colonne1]])),Tab_Calculs[[#This Row],[index_date_livraison]],7)*(1+MIN(Tab_Calculs[[#This Row],[Date_livraison]],Tab_Calculs[[#This Row],[fin mois]])-MAX(Tab_Calculs[[#This Row],[Début mois]],Tab_Calculs[[#This Row],[Début periode livraison]]))</f>
        <v>#NUM!</v>
      </c>
      <c r="Q384" t="e">
        <f ca="1">INDEX(INDIRECT(CONCATENATE("Tab_",Tab_Calculs[[#This Row],[Colonne1]])),Tab_Calculs[[#This Row],[index_date_livraison]]+1,7)*(Tab_Calculs[[#This Row],[fin mois]]-MIN(Tab_Calculs[[#This Row],[fin mois]],Tab_Calculs[[#This Row],[Date_livraison]]))</f>
        <v>#VALUE!</v>
      </c>
      <c r="R384" t="e">
        <f ca="1">Tab_Calculs[[#This Row],[Ratio_Cout_après_livr]]+Tab_Calculs[[#This Row],[Ratio_Cout_avant_livr]]+Tab_Calculs[[#This Row],[Ratio_Cout_avant_debut]]</f>
        <v>#VALUE!</v>
      </c>
      <c r="S384" t="str">
        <f ca="1">IFERROR(N384*VLOOKUP(Tab_Calculs[[#This Row],[Colonne1]],Controle_des_données!$B$7:$G$14,6,FALSE),"")</f>
        <v/>
      </c>
      <c r="T384" t="str">
        <f ca="1">IF(Tab_Calculs[[#This Row],[Combustible ]]="Electricité (kWh)",Tab_Calculs[[#This Row],[Conso_mois_kWh]]*2.3,Tab_Calculs[[#This Row],[Conso_mois_kWh]])</f>
        <v/>
      </c>
      <c r="U384" t="str">
        <f ca="1">IFERROR(N384*VLOOKUP(Tab_Calculs[[#This Row],[Colonne1]],Controle_des_données!$B$7:$H$14,7,FALSE),"")</f>
        <v/>
      </c>
      <c r="V384">
        <f ca="1">IFERROR(Tab_Calculs[[#This Row],[Cout_mois]]/Tab_Calculs[[#This Row],[Conso_mois_kWh]],0)</f>
        <v>0</v>
      </c>
      <c r="W384" t="str">
        <f>T(VLOOKUP(Tab_Calculs[[#This Row],[Compteur]],Site!$B$33:$G$40,3,FALSE))</f>
        <v/>
      </c>
      <c r="X384" t="str">
        <f>T(VLOOKUP(Tab_Calculs[[#This Row],[Compteur]],Site!$B$33:$G$40,4,FALSE))</f>
        <v/>
      </c>
      <c r="Y384" t="str">
        <f>T(VLOOKUP(Tab_Calculs[[#This Row],[Compteur]],Site!$B$33:$G$40,5,FALSE))</f>
        <v/>
      </c>
      <c r="Z384" t="str">
        <f>T(VLOOKUP(Tab_Calculs[[#This Row],[Compteur]],Site!$B$33:$G$40,6,FALSE))</f>
        <v/>
      </c>
      <c r="AA384">
        <f>IFERROR(GETPIVOTDATA("DJU(chauffagiste)",BDD_DJU!$P$13,"annee",Tab_Calculs[[#This Row],[ANNEE]],"mois_numero",Tab_Calculs[[#This Row],[MOIS]]),0)</f>
        <v>0</v>
      </c>
    </row>
    <row r="385" spans="1:27" x14ac:dyDescent="0.25">
      <c r="A385" s="3">
        <f>DATE(Tab_Calculs[[#This Row],[ANNEE]],Tab_Calculs[[#This Row],[MOIS]],1)</f>
        <v>45778</v>
      </c>
      <c r="B385" s="3">
        <f>EDATE(Tab_Calculs[[#This Row],[Début mois]],1)-1</f>
        <v>45808</v>
      </c>
      <c r="C385">
        <f t="shared" si="10"/>
        <v>5</v>
      </c>
      <c r="D385">
        <f t="shared" si="13"/>
        <v>2025</v>
      </c>
      <c r="E385" t="s">
        <v>81</v>
      </c>
      <c r="F385" t="str">
        <f>SUBSTITUTE(Tab_Calculs[[#This Row],[Compteur]]," ","_")</f>
        <v>Compteur_2</v>
      </c>
      <c r="G385" t="str">
        <f>T(INDEX(Site!$B$33:$G$40, MATCH(Tab_Calculs[[#This Row],[Compteur]], Site!$B$33:$B$40,0),2))</f>
        <v/>
      </c>
      <c r="H385" s="3">
        <f t="array" aca="1" ref="H385" ca="1">MIN(IF(INDIRECT(CONCATENATE(Tab_Calculs[[#This Row],[Colonne1]],"!$B$2:$B$243"))&gt;=Calculs_Consos!$A385,INDIRECT(CONCATENATE(Tab_Calculs[[#This Row],[Colonne1]],"!$B$2:$B$243"))))</f>
        <v>0</v>
      </c>
      <c r="I385" s="3" t="e">
        <f ca="1">INDEX(INDIRECT(CONCATENATE("Tab_",Tab_Calculs[[#This Row],[Colonne1]])),Tab_Calculs[[#This Row],[index_date_livraison]],1)</f>
        <v>#NUM!</v>
      </c>
      <c r="J385">
        <f ca="1">MATCH(Tab_Calculs[[#This Row],[Date_livraison]],INDIRECT(CONCATENATE("Tab_",Tab_Calculs[[#This Row],[Colonne1]],"[Fin de période]")),0)</f>
        <v>1</v>
      </c>
      <c r="K385" t="e">
        <f ca="1">INDEX(INDIRECT(CONCATENATE("Tab_",Tab_Calculs[[#This Row],[Colonne1]])),Tab_Calculs[[#This Row],[index_date_livraison]]-1,6)*(MAX(Tab_Calculs[[#This Row],[Début periode livraison]],Tab_Calculs[[#This Row],[Début mois]])-Tab_Calculs[[#This Row],[Début mois]])</f>
        <v>#VALUE!</v>
      </c>
      <c r="L385" s="94" t="e">
        <f ca="1">INDEX(INDIRECT(CONCATENATE("Tab_",Tab_Calculs[[#This Row],[Colonne1]])),Tab_Calculs[[#This Row],[index_date_livraison]],6)*(1+MIN(Tab_Calculs[[#This Row],[Date_livraison]],Tab_Calculs[[#This Row],[fin mois]])-MAX(Tab_Calculs[[#This Row],[Début mois]],Tab_Calculs[[#This Row],[Début periode livraison]]))</f>
        <v>#NUM!</v>
      </c>
      <c r="M385" s="94" t="e">
        <f ca="1">INDEX(INDIRECT(CONCATENATE("Tab_",Tab_Calculs[[#This Row],[Colonne1]])),Tab_Calculs[[#This Row],[index_date_livraison]]+1,6)*(Tab_Calculs[[#This Row],[fin mois]]-MIN(Tab_Calculs[[#This Row],[fin mois]],Tab_Calculs[[#This Row],[Date_livraison]]))</f>
        <v>#VALUE!</v>
      </c>
      <c r="N385" s="231" t="str">
        <f ca="1">IFERROR(Tab_Calculs[[#This Row],[Ratio_jour_après_livr]]+Tab_Calculs[[#This Row],[Ratio_jour_avant_livr]]+Tab_Calculs[[#This Row],[ratio_avant_debut]],"")</f>
        <v/>
      </c>
      <c r="O385" t="e">
        <f ca="1">INDEX(INDIRECT(CONCATENATE("Tab_",Tab_Calculs[[#This Row],[Colonne1]])),Tab_Calculs[[#This Row],[index_date_livraison]]-1,7)*(MAX(Tab_Calculs[[#This Row],[Début periode livraison]],Tab_Calculs[[#This Row],[Début mois]])-Tab_Calculs[[#This Row],[Début mois]])</f>
        <v>#VALUE!</v>
      </c>
      <c r="P385" t="e">
        <f ca="1">INDEX(INDIRECT(CONCATENATE("Tab_",Tab_Calculs[[#This Row],[Colonne1]])),Tab_Calculs[[#This Row],[index_date_livraison]],7)*(1+MIN(Tab_Calculs[[#This Row],[Date_livraison]],Tab_Calculs[[#This Row],[fin mois]])-MAX(Tab_Calculs[[#This Row],[Début mois]],Tab_Calculs[[#This Row],[Début periode livraison]]))</f>
        <v>#NUM!</v>
      </c>
      <c r="Q385" t="e">
        <f ca="1">INDEX(INDIRECT(CONCATENATE("Tab_",Tab_Calculs[[#This Row],[Colonne1]])),Tab_Calculs[[#This Row],[index_date_livraison]]+1,7)*(Tab_Calculs[[#This Row],[fin mois]]-MIN(Tab_Calculs[[#This Row],[fin mois]],Tab_Calculs[[#This Row],[Date_livraison]]))</f>
        <v>#VALUE!</v>
      </c>
      <c r="R385" t="e">
        <f ca="1">Tab_Calculs[[#This Row],[Ratio_Cout_après_livr]]+Tab_Calculs[[#This Row],[Ratio_Cout_avant_livr]]+Tab_Calculs[[#This Row],[Ratio_Cout_avant_debut]]</f>
        <v>#VALUE!</v>
      </c>
      <c r="S385" t="str">
        <f ca="1">IFERROR(N385*VLOOKUP(Tab_Calculs[[#This Row],[Colonne1]],Controle_des_données!$B$7:$G$14,6,FALSE),"")</f>
        <v/>
      </c>
      <c r="T385" t="str">
        <f ca="1">IF(Tab_Calculs[[#This Row],[Combustible ]]="Electricité (kWh)",Tab_Calculs[[#This Row],[Conso_mois_kWh]]*2.3,Tab_Calculs[[#This Row],[Conso_mois_kWh]])</f>
        <v/>
      </c>
      <c r="U385" t="str">
        <f ca="1">IFERROR(N385*VLOOKUP(Tab_Calculs[[#This Row],[Colonne1]],Controle_des_données!$B$7:$H$14,7,FALSE),"")</f>
        <v/>
      </c>
      <c r="V385">
        <f ca="1">IFERROR(Tab_Calculs[[#This Row],[Cout_mois]]/Tab_Calculs[[#This Row],[Conso_mois_kWh]],0)</f>
        <v>0</v>
      </c>
      <c r="W385" t="str">
        <f>T(VLOOKUP(Tab_Calculs[[#This Row],[Compteur]],Site!$B$33:$G$40,3,FALSE))</f>
        <v/>
      </c>
      <c r="X385" t="str">
        <f>T(VLOOKUP(Tab_Calculs[[#This Row],[Compteur]],Site!$B$33:$G$40,4,FALSE))</f>
        <v/>
      </c>
      <c r="Y385" t="str">
        <f>T(VLOOKUP(Tab_Calculs[[#This Row],[Compteur]],Site!$B$33:$G$40,5,FALSE))</f>
        <v/>
      </c>
      <c r="Z385" t="str">
        <f>T(VLOOKUP(Tab_Calculs[[#This Row],[Compteur]],Site!$B$33:$G$40,6,FALSE))</f>
        <v/>
      </c>
      <c r="AA385">
        <f>IFERROR(GETPIVOTDATA("DJU(chauffagiste)",BDD_DJU!$P$13,"annee",Tab_Calculs[[#This Row],[ANNEE]],"mois_numero",Tab_Calculs[[#This Row],[MOIS]]),0)</f>
        <v>0</v>
      </c>
    </row>
    <row r="386" spans="1:27" x14ac:dyDescent="0.25">
      <c r="A386" s="3">
        <f>DATE(Tab_Calculs[[#This Row],[ANNEE]],Tab_Calculs[[#This Row],[MOIS]],1)</f>
        <v>45809</v>
      </c>
      <c r="B386" s="3">
        <f>EDATE(Tab_Calculs[[#This Row],[Début mois]],1)-1</f>
        <v>45838</v>
      </c>
      <c r="C386">
        <f t="shared" si="10"/>
        <v>6</v>
      </c>
      <c r="D386">
        <f t="shared" si="13"/>
        <v>2025</v>
      </c>
      <c r="E386" t="s">
        <v>81</v>
      </c>
      <c r="F386" t="str">
        <f>SUBSTITUTE(Tab_Calculs[[#This Row],[Compteur]]," ","_")</f>
        <v>Compteur_2</v>
      </c>
      <c r="G386" t="str">
        <f>T(INDEX(Site!$B$33:$G$40, MATCH(Tab_Calculs[[#This Row],[Compteur]], Site!$B$33:$B$40,0),2))</f>
        <v/>
      </c>
      <c r="H386" s="3">
        <f t="array" aca="1" ref="H386" ca="1">MIN(IF(INDIRECT(CONCATENATE(Tab_Calculs[[#This Row],[Colonne1]],"!$B$2:$B$243"))&gt;=Calculs_Consos!$A386,INDIRECT(CONCATENATE(Tab_Calculs[[#This Row],[Colonne1]],"!$B$2:$B$243"))))</f>
        <v>0</v>
      </c>
      <c r="I386" s="3" t="e">
        <f ca="1">INDEX(INDIRECT(CONCATENATE("Tab_",Tab_Calculs[[#This Row],[Colonne1]])),Tab_Calculs[[#This Row],[index_date_livraison]],1)</f>
        <v>#NUM!</v>
      </c>
      <c r="J386">
        <f ca="1">MATCH(Tab_Calculs[[#This Row],[Date_livraison]],INDIRECT(CONCATENATE("Tab_",Tab_Calculs[[#This Row],[Colonne1]],"[Fin de période]")),0)</f>
        <v>1</v>
      </c>
      <c r="K386" t="e">
        <f ca="1">INDEX(INDIRECT(CONCATENATE("Tab_",Tab_Calculs[[#This Row],[Colonne1]])),Tab_Calculs[[#This Row],[index_date_livraison]]-1,6)*(MAX(Tab_Calculs[[#This Row],[Début periode livraison]],Tab_Calculs[[#This Row],[Début mois]])-Tab_Calculs[[#This Row],[Début mois]])</f>
        <v>#VALUE!</v>
      </c>
      <c r="L386" s="94" t="e">
        <f ca="1">INDEX(INDIRECT(CONCATENATE("Tab_",Tab_Calculs[[#This Row],[Colonne1]])),Tab_Calculs[[#This Row],[index_date_livraison]],6)*(1+MIN(Tab_Calculs[[#This Row],[Date_livraison]],Tab_Calculs[[#This Row],[fin mois]])-MAX(Tab_Calculs[[#This Row],[Début mois]],Tab_Calculs[[#This Row],[Début periode livraison]]))</f>
        <v>#NUM!</v>
      </c>
      <c r="M386" s="94" t="e">
        <f ca="1">INDEX(INDIRECT(CONCATENATE("Tab_",Tab_Calculs[[#This Row],[Colonne1]])),Tab_Calculs[[#This Row],[index_date_livraison]]+1,6)*(Tab_Calculs[[#This Row],[fin mois]]-MIN(Tab_Calculs[[#This Row],[fin mois]],Tab_Calculs[[#This Row],[Date_livraison]]))</f>
        <v>#VALUE!</v>
      </c>
      <c r="N386" s="231" t="str">
        <f ca="1">IFERROR(Tab_Calculs[[#This Row],[Ratio_jour_après_livr]]+Tab_Calculs[[#This Row],[Ratio_jour_avant_livr]]+Tab_Calculs[[#This Row],[ratio_avant_debut]],"")</f>
        <v/>
      </c>
      <c r="O386" t="e">
        <f ca="1">INDEX(INDIRECT(CONCATENATE("Tab_",Tab_Calculs[[#This Row],[Colonne1]])),Tab_Calculs[[#This Row],[index_date_livraison]]-1,7)*(MAX(Tab_Calculs[[#This Row],[Début periode livraison]],Tab_Calculs[[#This Row],[Début mois]])-Tab_Calculs[[#This Row],[Début mois]])</f>
        <v>#VALUE!</v>
      </c>
      <c r="P386" t="e">
        <f ca="1">INDEX(INDIRECT(CONCATENATE("Tab_",Tab_Calculs[[#This Row],[Colonne1]])),Tab_Calculs[[#This Row],[index_date_livraison]],7)*(1+MIN(Tab_Calculs[[#This Row],[Date_livraison]],Tab_Calculs[[#This Row],[fin mois]])-MAX(Tab_Calculs[[#This Row],[Début mois]],Tab_Calculs[[#This Row],[Début periode livraison]]))</f>
        <v>#NUM!</v>
      </c>
      <c r="Q386" t="e">
        <f ca="1">INDEX(INDIRECT(CONCATENATE("Tab_",Tab_Calculs[[#This Row],[Colonne1]])),Tab_Calculs[[#This Row],[index_date_livraison]]+1,7)*(Tab_Calculs[[#This Row],[fin mois]]-MIN(Tab_Calculs[[#This Row],[fin mois]],Tab_Calculs[[#This Row],[Date_livraison]]))</f>
        <v>#VALUE!</v>
      </c>
      <c r="R386" t="e">
        <f ca="1">Tab_Calculs[[#This Row],[Ratio_Cout_après_livr]]+Tab_Calculs[[#This Row],[Ratio_Cout_avant_livr]]+Tab_Calculs[[#This Row],[Ratio_Cout_avant_debut]]</f>
        <v>#VALUE!</v>
      </c>
      <c r="S386" t="str">
        <f ca="1">IFERROR(N386*VLOOKUP(Tab_Calculs[[#This Row],[Colonne1]],Controle_des_données!$B$7:$G$14,6,FALSE),"")</f>
        <v/>
      </c>
      <c r="T386" t="str">
        <f ca="1">IF(Tab_Calculs[[#This Row],[Combustible ]]="Electricité (kWh)",Tab_Calculs[[#This Row],[Conso_mois_kWh]]*2.3,Tab_Calculs[[#This Row],[Conso_mois_kWh]])</f>
        <v/>
      </c>
      <c r="U386" t="str">
        <f ca="1">IFERROR(N386*VLOOKUP(Tab_Calculs[[#This Row],[Colonne1]],Controle_des_données!$B$7:$H$14,7,FALSE),"")</f>
        <v/>
      </c>
      <c r="V386">
        <f ca="1">IFERROR(Tab_Calculs[[#This Row],[Cout_mois]]/Tab_Calculs[[#This Row],[Conso_mois_kWh]],0)</f>
        <v>0</v>
      </c>
      <c r="W386" t="str">
        <f>T(VLOOKUP(Tab_Calculs[[#This Row],[Compteur]],Site!$B$33:$G$40,3,FALSE))</f>
        <v/>
      </c>
      <c r="X386" t="str">
        <f>T(VLOOKUP(Tab_Calculs[[#This Row],[Compteur]],Site!$B$33:$G$40,4,FALSE))</f>
        <v/>
      </c>
      <c r="Y386" t="str">
        <f>T(VLOOKUP(Tab_Calculs[[#This Row],[Compteur]],Site!$B$33:$G$40,5,FALSE))</f>
        <v/>
      </c>
      <c r="Z386" t="str">
        <f>T(VLOOKUP(Tab_Calculs[[#This Row],[Compteur]],Site!$B$33:$G$40,6,FALSE))</f>
        <v/>
      </c>
      <c r="AA386">
        <f>IFERROR(GETPIVOTDATA("DJU(chauffagiste)",BDD_DJU!$P$13,"annee",Tab_Calculs[[#This Row],[ANNEE]],"mois_numero",Tab_Calculs[[#This Row],[MOIS]]),0)</f>
        <v>0</v>
      </c>
    </row>
    <row r="387" spans="1:27" x14ac:dyDescent="0.25">
      <c r="A387" s="3">
        <f>DATE(Tab_Calculs[[#This Row],[ANNEE]],Tab_Calculs[[#This Row],[MOIS]],1)</f>
        <v>45839</v>
      </c>
      <c r="B387" s="3">
        <f>EDATE(Tab_Calculs[[#This Row],[Début mois]],1)-1</f>
        <v>45869</v>
      </c>
      <c r="C387">
        <f t="shared" si="10"/>
        <v>7</v>
      </c>
      <c r="D387">
        <f t="shared" si="13"/>
        <v>2025</v>
      </c>
      <c r="E387" t="s">
        <v>81</v>
      </c>
      <c r="F387" t="str">
        <f>SUBSTITUTE(Tab_Calculs[[#This Row],[Compteur]]," ","_")</f>
        <v>Compteur_2</v>
      </c>
      <c r="G387" t="str">
        <f>T(INDEX(Site!$B$33:$G$40, MATCH(Tab_Calculs[[#This Row],[Compteur]], Site!$B$33:$B$40,0),2))</f>
        <v/>
      </c>
      <c r="H387" s="3">
        <f t="array" aca="1" ref="H387" ca="1">MIN(IF(INDIRECT(CONCATENATE(Tab_Calculs[[#This Row],[Colonne1]],"!$B$2:$B$243"))&gt;=Calculs_Consos!$A387,INDIRECT(CONCATENATE(Tab_Calculs[[#This Row],[Colonne1]],"!$B$2:$B$243"))))</f>
        <v>0</v>
      </c>
      <c r="I387" s="3" t="e">
        <f ca="1">INDEX(INDIRECT(CONCATENATE("Tab_",Tab_Calculs[[#This Row],[Colonne1]])),Tab_Calculs[[#This Row],[index_date_livraison]],1)</f>
        <v>#NUM!</v>
      </c>
      <c r="J387">
        <f ca="1">MATCH(Tab_Calculs[[#This Row],[Date_livraison]],INDIRECT(CONCATENATE("Tab_",Tab_Calculs[[#This Row],[Colonne1]],"[Fin de période]")),0)</f>
        <v>1</v>
      </c>
      <c r="K387" t="e">
        <f ca="1">INDEX(INDIRECT(CONCATENATE("Tab_",Tab_Calculs[[#This Row],[Colonne1]])),Tab_Calculs[[#This Row],[index_date_livraison]]-1,6)*(MAX(Tab_Calculs[[#This Row],[Début periode livraison]],Tab_Calculs[[#This Row],[Début mois]])-Tab_Calculs[[#This Row],[Début mois]])</f>
        <v>#VALUE!</v>
      </c>
      <c r="L387" s="94" t="e">
        <f ca="1">INDEX(INDIRECT(CONCATENATE("Tab_",Tab_Calculs[[#This Row],[Colonne1]])),Tab_Calculs[[#This Row],[index_date_livraison]],6)*(1+MIN(Tab_Calculs[[#This Row],[Date_livraison]],Tab_Calculs[[#This Row],[fin mois]])-MAX(Tab_Calculs[[#This Row],[Début mois]],Tab_Calculs[[#This Row],[Début periode livraison]]))</f>
        <v>#NUM!</v>
      </c>
      <c r="M387" s="94" t="e">
        <f ca="1">INDEX(INDIRECT(CONCATENATE("Tab_",Tab_Calculs[[#This Row],[Colonne1]])),Tab_Calculs[[#This Row],[index_date_livraison]]+1,6)*(Tab_Calculs[[#This Row],[fin mois]]-MIN(Tab_Calculs[[#This Row],[fin mois]],Tab_Calculs[[#This Row],[Date_livraison]]))</f>
        <v>#VALUE!</v>
      </c>
      <c r="N387" s="231" t="str">
        <f ca="1">IFERROR(Tab_Calculs[[#This Row],[Ratio_jour_après_livr]]+Tab_Calculs[[#This Row],[Ratio_jour_avant_livr]]+Tab_Calculs[[#This Row],[ratio_avant_debut]],"")</f>
        <v/>
      </c>
      <c r="O387" t="e">
        <f ca="1">INDEX(INDIRECT(CONCATENATE("Tab_",Tab_Calculs[[#This Row],[Colonne1]])),Tab_Calculs[[#This Row],[index_date_livraison]]-1,7)*(MAX(Tab_Calculs[[#This Row],[Début periode livraison]],Tab_Calculs[[#This Row],[Début mois]])-Tab_Calculs[[#This Row],[Début mois]])</f>
        <v>#VALUE!</v>
      </c>
      <c r="P387" t="e">
        <f ca="1">INDEX(INDIRECT(CONCATENATE("Tab_",Tab_Calculs[[#This Row],[Colonne1]])),Tab_Calculs[[#This Row],[index_date_livraison]],7)*(1+MIN(Tab_Calculs[[#This Row],[Date_livraison]],Tab_Calculs[[#This Row],[fin mois]])-MAX(Tab_Calculs[[#This Row],[Début mois]],Tab_Calculs[[#This Row],[Début periode livraison]]))</f>
        <v>#NUM!</v>
      </c>
      <c r="Q387" t="e">
        <f ca="1">INDEX(INDIRECT(CONCATENATE("Tab_",Tab_Calculs[[#This Row],[Colonne1]])),Tab_Calculs[[#This Row],[index_date_livraison]]+1,7)*(Tab_Calculs[[#This Row],[fin mois]]-MIN(Tab_Calculs[[#This Row],[fin mois]],Tab_Calculs[[#This Row],[Date_livraison]]))</f>
        <v>#VALUE!</v>
      </c>
      <c r="R387" t="e">
        <f ca="1">Tab_Calculs[[#This Row],[Ratio_Cout_après_livr]]+Tab_Calculs[[#This Row],[Ratio_Cout_avant_livr]]+Tab_Calculs[[#This Row],[Ratio_Cout_avant_debut]]</f>
        <v>#VALUE!</v>
      </c>
      <c r="S387" t="str">
        <f ca="1">IFERROR(N387*VLOOKUP(Tab_Calculs[[#This Row],[Colonne1]],Controle_des_données!$B$7:$G$14,6,FALSE),"")</f>
        <v/>
      </c>
      <c r="T387" t="str">
        <f ca="1">IF(Tab_Calculs[[#This Row],[Combustible ]]="Electricité (kWh)",Tab_Calculs[[#This Row],[Conso_mois_kWh]]*2.3,Tab_Calculs[[#This Row],[Conso_mois_kWh]])</f>
        <v/>
      </c>
      <c r="U387" t="str">
        <f ca="1">IFERROR(N387*VLOOKUP(Tab_Calculs[[#This Row],[Colonne1]],Controle_des_données!$B$7:$H$14,7,FALSE),"")</f>
        <v/>
      </c>
      <c r="V387">
        <f ca="1">IFERROR(Tab_Calculs[[#This Row],[Cout_mois]]/Tab_Calculs[[#This Row],[Conso_mois_kWh]],0)</f>
        <v>0</v>
      </c>
      <c r="W387" t="str">
        <f>T(VLOOKUP(Tab_Calculs[[#This Row],[Compteur]],Site!$B$33:$G$40,3,FALSE))</f>
        <v/>
      </c>
      <c r="X387" t="str">
        <f>T(VLOOKUP(Tab_Calculs[[#This Row],[Compteur]],Site!$B$33:$G$40,4,FALSE))</f>
        <v/>
      </c>
      <c r="Y387" t="str">
        <f>T(VLOOKUP(Tab_Calculs[[#This Row],[Compteur]],Site!$B$33:$G$40,5,FALSE))</f>
        <v/>
      </c>
      <c r="Z387" t="str">
        <f>T(VLOOKUP(Tab_Calculs[[#This Row],[Compteur]],Site!$B$33:$G$40,6,FALSE))</f>
        <v/>
      </c>
      <c r="AA387">
        <f>IFERROR(GETPIVOTDATA("DJU(chauffagiste)",BDD_DJU!$P$13,"annee",Tab_Calculs[[#This Row],[ANNEE]],"mois_numero",Tab_Calculs[[#This Row],[MOIS]]),0)</f>
        <v>0</v>
      </c>
    </row>
    <row r="388" spans="1:27" x14ac:dyDescent="0.25">
      <c r="A388" s="3">
        <f>DATE(Tab_Calculs[[#This Row],[ANNEE]],Tab_Calculs[[#This Row],[MOIS]],1)</f>
        <v>45870</v>
      </c>
      <c r="B388" s="3">
        <f>EDATE(Tab_Calculs[[#This Row],[Début mois]],1)-1</f>
        <v>45900</v>
      </c>
      <c r="C388">
        <f t="shared" si="10"/>
        <v>8</v>
      </c>
      <c r="D388">
        <f t="shared" si="13"/>
        <v>2025</v>
      </c>
      <c r="E388" t="s">
        <v>81</v>
      </c>
      <c r="F388" t="str">
        <f>SUBSTITUTE(Tab_Calculs[[#This Row],[Compteur]]," ","_")</f>
        <v>Compteur_2</v>
      </c>
      <c r="G388" t="str">
        <f>T(INDEX(Site!$B$33:$G$40, MATCH(Tab_Calculs[[#This Row],[Compteur]], Site!$B$33:$B$40,0),2))</f>
        <v/>
      </c>
      <c r="H388" s="3">
        <f t="array" aca="1" ref="H388" ca="1">MIN(IF(INDIRECT(CONCATENATE(Tab_Calculs[[#This Row],[Colonne1]],"!$B$2:$B$243"))&gt;=Calculs_Consos!$A388,INDIRECT(CONCATENATE(Tab_Calculs[[#This Row],[Colonne1]],"!$B$2:$B$243"))))</f>
        <v>0</v>
      </c>
      <c r="I388" s="3" t="e">
        <f ca="1">INDEX(INDIRECT(CONCATENATE("Tab_",Tab_Calculs[[#This Row],[Colonne1]])),Tab_Calculs[[#This Row],[index_date_livraison]],1)</f>
        <v>#NUM!</v>
      </c>
      <c r="J388">
        <f ca="1">MATCH(Tab_Calculs[[#This Row],[Date_livraison]],INDIRECT(CONCATENATE("Tab_",Tab_Calculs[[#This Row],[Colonne1]],"[Fin de période]")),0)</f>
        <v>1</v>
      </c>
      <c r="K388" t="e">
        <f ca="1">INDEX(INDIRECT(CONCATENATE("Tab_",Tab_Calculs[[#This Row],[Colonne1]])),Tab_Calculs[[#This Row],[index_date_livraison]]-1,6)*(MAX(Tab_Calculs[[#This Row],[Début periode livraison]],Tab_Calculs[[#This Row],[Début mois]])-Tab_Calculs[[#This Row],[Début mois]])</f>
        <v>#VALUE!</v>
      </c>
      <c r="L388" s="94" t="e">
        <f ca="1">INDEX(INDIRECT(CONCATENATE("Tab_",Tab_Calculs[[#This Row],[Colonne1]])),Tab_Calculs[[#This Row],[index_date_livraison]],6)*(1+MIN(Tab_Calculs[[#This Row],[Date_livraison]],Tab_Calculs[[#This Row],[fin mois]])-MAX(Tab_Calculs[[#This Row],[Début mois]],Tab_Calculs[[#This Row],[Début periode livraison]]))</f>
        <v>#NUM!</v>
      </c>
      <c r="M388" s="94" t="e">
        <f ca="1">INDEX(INDIRECT(CONCATENATE("Tab_",Tab_Calculs[[#This Row],[Colonne1]])),Tab_Calculs[[#This Row],[index_date_livraison]]+1,6)*(Tab_Calculs[[#This Row],[fin mois]]-MIN(Tab_Calculs[[#This Row],[fin mois]],Tab_Calculs[[#This Row],[Date_livraison]]))</f>
        <v>#VALUE!</v>
      </c>
      <c r="N388" s="231" t="str">
        <f ca="1">IFERROR(Tab_Calculs[[#This Row],[Ratio_jour_après_livr]]+Tab_Calculs[[#This Row],[Ratio_jour_avant_livr]]+Tab_Calculs[[#This Row],[ratio_avant_debut]],"")</f>
        <v/>
      </c>
      <c r="O388" t="e">
        <f ca="1">INDEX(INDIRECT(CONCATENATE("Tab_",Tab_Calculs[[#This Row],[Colonne1]])),Tab_Calculs[[#This Row],[index_date_livraison]]-1,7)*(MAX(Tab_Calculs[[#This Row],[Début periode livraison]],Tab_Calculs[[#This Row],[Début mois]])-Tab_Calculs[[#This Row],[Début mois]])</f>
        <v>#VALUE!</v>
      </c>
      <c r="P388" t="e">
        <f ca="1">INDEX(INDIRECT(CONCATENATE("Tab_",Tab_Calculs[[#This Row],[Colonne1]])),Tab_Calculs[[#This Row],[index_date_livraison]],7)*(1+MIN(Tab_Calculs[[#This Row],[Date_livraison]],Tab_Calculs[[#This Row],[fin mois]])-MAX(Tab_Calculs[[#This Row],[Début mois]],Tab_Calculs[[#This Row],[Début periode livraison]]))</f>
        <v>#NUM!</v>
      </c>
      <c r="Q388" t="e">
        <f ca="1">INDEX(INDIRECT(CONCATENATE("Tab_",Tab_Calculs[[#This Row],[Colonne1]])),Tab_Calculs[[#This Row],[index_date_livraison]]+1,7)*(Tab_Calculs[[#This Row],[fin mois]]-MIN(Tab_Calculs[[#This Row],[fin mois]],Tab_Calculs[[#This Row],[Date_livraison]]))</f>
        <v>#VALUE!</v>
      </c>
      <c r="R388" t="e">
        <f ca="1">Tab_Calculs[[#This Row],[Ratio_Cout_après_livr]]+Tab_Calculs[[#This Row],[Ratio_Cout_avant_livr]]+Tab_Calculs[[#This Row],[Ratio_Cout_avant_debut]]</f>
        <v>#VALUE!</v>
      </c>
      <c r="S388" t="str">
        <f ca="1">IFERROR(N388*VLOOKUP(Tab_Calculs[[#This Row],[Colonne1]],Controle_des_données!$B$7:$G$14,6,FALSE),"")</f>
        <v/>
      </c>
      <c r="T388" t="str">
        <f ca="1">IF(Tab_Calculs[[#This Row],[Combustible ]]="Electricité (kWh)",Tab_Calculs[[#This Row],[Conso_mois_kWh]]*2.3,Tab_Calculs[[#This Row],[Conso_mois_kWh]])</f>
        <v/>
      </c>
      <c r="U388" t="str">
        <f ca="1">IFERROR(N388*VLOOKUP(Tab_Calculs[[#This Row],[Colonne1]],Controle_des_données!$B$7:$H$14,7,FALSE),"")</f>
        <v/>
      </c>
      <c r="V388">
        <f ca="1">IFERROR(Tab_Calculs[[#This Row],[Cout_mois]]/Tab_Calculs[[#This Row],[Conso_mois_kWh]],0)</f>
        <v>0</v>
      </c>
      <c r="W388" t="str">
        <f>T(VLOOKUP(Tab_Calculs[[#This Row],[Compteur]],Site!$B$33:$G$40,3,FALSE))</f>
        <v/>
      </c>
      <c r="X388" t="str">
        <f>T(VLOOKUP(Tab_Calculs[[#This Row],[Compteur]],Site!$B$33:$G$40,4,FALSE))</f>
        <v/>
      </c>
      <c r="Y388" t="str">
        <f>T(VLOOKUP(Tab_Calculs[[#This Row],[Compteur]],Site!$B$33:$G$40,5,FALSE))</f>
        <v/>
      </c>
      <c r="Z388" t="str">
        <f>T(VLOOKUP(Tab_Calculs[[#This Row],[Compteur]],Site!$B$33:$G$40,6,FALSE))</f>
        <v/>
      </c>
      <c r="AA388">
        <f>IFERROR(GETPIVOTDATA("DJU(chauffagiste)",BDD_DJU!$P$13,"annee",Tab_Calculs[[#This Row],[ANNEE]],"mois_numero",Tab_Calculs[[#This Row],[MOIS]]),0)</f>
        <v>0</v>
      </c>
    </row>
    <row r="389" spans="1:27" x14ac:dyDescent="0.25">
      <c r="A389" s="3">
        <f>DATE(Tab_Calculs[[#This Row],[ANNEE]],Tab_Calculs[[#This Row],[MOIS]],1)</f>
        <v>45901</v>
      </c>
      <c r="B389" s="3">
        <f>EDATE(Tab_Calculs[[#This Row],[Début mois]],1)-1</f>
        <v>45930</v>
      </c>
      <c r="C389">
        <f t="shared" si="10"/>
        <v>9</v>
      </c>
      <c r="D389">
        <f t="shared" si="13"/>
        <v>2025</v>
      </c>
      <c r="E389" t="s">
        <v>81</v>
      </c>
      <c r="F389" t="str">
        <f>SUBSTITUTE(Tab_Calculs[[#This Row],[Compteur]]," ","_")</f>
        <v>Compteur_2</v>
      </c>
      <c r="G389" t="str">
        <f>T(INDEX(Site!$B$33:$G$40, MATCH(Tab_Calculs[[#This Row],[Compteur]], Site!$B$33:$B$40,0),2))</f>
        <v/>
      </c>
      <c r="H389" s="3">
        <f t="array" aca="1" ref="H389" ca="1">MIN(IF(INDIRECT(CONCATENATE(Tab_Calculs[[#This Row],[Colonne1]],"!$B$2:$B$243"))&gt;=Calculs_Consos!$A389,INDIRECT(CONCATENATE(Tab_Calculs[[#This Row],[Colonne1]],"!$B$2:$B$243"))))</f>
        <v>0</v>
      </c>
      <c r="I389" s="3" t="e">
        <f ca="1">INDEX(INDIRECT(CONCATENATE("Tab_",Tab_Calculs[[#This Row],[Colonne1]])),Tab_Calculs[[#This Row],[index_date_livraison]],1)</f>
        <v>#NUM!</v>
      </c>
      <c r="J389">
        <f ca="1">MATCH(Tab_Calculs[[#This Row],[Date_livraison]],INDIRECT(CONCATENATE("Tab_",Tab_Calculs[[#This Row],[Colonne1]],"[Fin de période]")),0)</f>
        <v>1</v>
      </c>
      <c r="K389" t="e">
        <f ca="1">INDEX(INDIRECT(CONCATENATE("Tab_",Tab_Calculs[[#This Row],[Colonne1]])),Tab_Calculs[[#This Row],[index_date_livraison]]-1,6)*(MAX(Tab_Calculs[[#This Row],[Début periode livraison]],Tab_Calculs[[#This Row],[Début mois]])-Tab_Calculs[[#This Row],[Début mois]])</f>
        <v>#VALUE!</v>
      </c>
      <c r="L389" s="94" t="e">
        <f ca="1">INDEX(INDIRECT(CONCATENATE("Tab_",Tab_Calculs[[#This Row],[Colonne1]])),Tab_Calculs[[#This Row],[index_date_livraison]],6)*(1+MIN(Tab_Calculs[[#This Row],[Date_livraison]],Tab_Calculs[[#This Row],[fin mois]])-MAX(Tab_Calculs[[#This Row],[Début mois]],Tab_Calculs[[#This Row],[Début periode livraison]]))</f>
        <v>#NUM!</v>
      </c>
      <c r="M389" s="94" t="e">
        <f ca="1">INDEX(INDIRECT(CONCATENATE("Tab_",Tab_Calculs[[#This Row],[Colonne1]])),Tab_Calculs[[#This Row],[index_date_livraison]]+1,6)*(Tab_Calculs[[#This Row],[fin mois]]-MIN(Tab_Calculs[[#This Row],[fin mois]],Tab_Calculs[[#This Row],[Date_livraison]]))</f>
        <v>#VALUE!</v>
      </c>
      <c r="N389" s="231" t="str">
        <f ca="1">IFERROR(Tab_Calculs[[#This Row],[Ratio_jour_après_livr]]+Tab_Calculs[[#This Row],[Ratio_jour_avant_livr]]+Tab_Calculs[[#This Row],[ratio_avant_debut]],"")</f>
        <v/>
      </c>
      <c r="O389" t="e">
        <f ca="1">INDEX(INDIRECT(CONCATENATE("Tab_",Tab_Calculs[[#This Row],[Colonne1]])),Tab_Calculs[[#This Row],[index_date_livraison]]-1,7)*(MAX(Tab_Calculs[[#This Row],[Début periode livraison]],Tab_Calculs[[#This Row],[Début mois]])-Tab_Calculs[[#This Row],[Début mois]])</f>
        <v>#VALUE!</v>
      </c>
      <c r="P389" t="e">
        <f ca="1">INDEX(INDIRECT(CONCATENATE("Tab_",Tab_Calculs[[#This Row],[Colonne1]])),Tab_Calculs[[#This Row],[index_date_livraison]],7)*(1+MIN(Tab_Calculs[[#This Row],[Date_livraison]],Tab_Calculs[[#This Row],[fin mois]])-MAX(Tab_Calculs[[#This Row],[Début mois]],Tab_Calculs[[#This Row],[Début periode livraison]]))</f>
        <v>#NUM!</v>
      </c>
      <c r="Q389" t="e">
        <f ca="1">INDEX(INDIRECT(CONCATENATE("Tab_",Tab_Calculs[[#This Row],[Colonne1]])),Tab_Calculs[[#This Row],[index_date_livraison]]+1,7)*(Tab_Calculs[[#This Row],[fin mois]]-MIN(Tab_Calculs[[#This Row],[fin mois]],Tab_Calculs[[#This Row],[Date_livraison]]))</f>
        <v>#VALUE!</v>
      </c>
      <c r="R389" t="e">
        <f ca="1">Tab_Calculs[[#This Row],[Ratio_Cout_après_livr]]+Tab_Calculs[[#This Row],[Ratio_Cout_avant_livr]]+Tab_Calculs[[#This Row],[Ratio_Cout_avant_debut]]</f>
        <v>#VALUE!</v>
      </c>
      <c r="S389" t="str">
        <f ca="1">IFERROR(N389*VLOOKUP(Tab_Calculs[[#This Row],[Colonne1]],Controle_des_données!$B$7:$G$14,6,FALSE),"")</f>
        <v/>
      </c>
      <c r="T389" t="str">
        <f ca="1">IF(Tab_Calculs[[#This Row],[Combustible ]]="Electricité (kWh)",Tab_Calculs[[#This Row],[Conso_mois_kWh]]*2.3,Tab_Calculs[[#This Row],[Conso_mois_kWh]])</f>
        <v/>
      </c>
      <c r="U389" t="str">
        <f ca="1">IFERROR(N389*VLOOKUP(Tab_Calculs[[#This Row],[Colonne1]],Controle_des_données!$B$7:$H$14,7,FALSE),"")</f>
        <v/>
      </c>
      <c r="V389">
        <f ca="1">IFERROR(Tab_Calculs[[#This Row],[Cout_mois]]/Tab_Calculs[[#This Row],[Conso_mois_kWh]],0)</f>
        <v>0</v>
      </c>
      <c r="W389" t="str">
        <f>T(VLOOKUP(Tab_Calculs[[#This Row],[Compteur]],Site!$B$33:$G$40,3,FALSE))</f>
        <v/>
      </c>
      <c r="X389" t="str">
        <f>T(VLOOKUP(Tab_Calculs[[#This Row],[Compteur]],Site!$B$33:$G$40,4,FALSE))</f>
        <v/>
      </c>
      <c r="Y389" t="str">
        <f>T(VLOOKUP(Tab_Calculs[[#This Row],[Compteur]],Site!$B$33:$G$40,5,FALSE))</f>
        <v/>
      </c>
      <c r="Z389" t="str">
        <f>T(VLOOKUP(Tab_Calculs[[#This Row],[Compteur]],Site!$B$33:$G$40,6,FALSE))</f>
        <v/>
      </c>
      <c r="AA389">
        <f>IFERROR(GETPIVOTDATA("DJU(chauffagiste)",BDD_DJU!$P$13,"annee",Tab_Calculs[[#This Row],[ANNEE]],"mois_numero",Tab_Calculs[[#This Row],[MOIS]]),0)</f>
        <v>0</v>
      </c>
    </row>
    <row r="390" spans="1:27" x14ac:dyDescent="0.25">
      <c r="A390" s="3">
        <f>DATE(Tab_Calculs[[#This Row],[ANNEE]],Tab_Calculs[[#This Row],[MOIS]],1)</f>
        <v>45931</v>
      </c>
      <c r="B390" s="3">
        <f>EDATE(Tab_Calculs[[#This Row],[Début mois]],1)-1</f>
        <v>45961</v>
      </c>
      <c r="C390">
        <f t="shared" si="10"/>
        <v>10</v>
      </c>
      <c r="D390">
        <f t="shared" si="13"/>
        <v>2025</v>
      </c>
      <c r="E390" t="s">
        <v>81</v>
      </c>
      <c r="F390" t="str">
        <f>SUBSTITUTE(Tab_Calculs[[#This Row],[Compteur]]," ","_")</f>
        <v>Compteur_2</v>
      </c>
      <c r="G390" t="str">
        <f>T(INDEX(Site!$B$33:$G$40, MATCH(Tab_Calculs[[#This Row],[Compteur]], Site!$B$33:$B$40,0),2))</f>
        <v/>
      </c>
      <c r="H390" s="3">
        <f t="array" aca="1" ref="H390" ca="1">MIN(IF(INDIRECT(CONCATENATE(Tab_Calculs[[#This Row],[Colonne1]],"!$B$2:$B$243"))&gt;=Calculs_Consos!$A390,INDIRECT(CONCATENATE(Tab_Calculs[[#This Row],[Colonne1]],"!$B$2:$B$243"))))</f>
        <v>0</v>
      </c>
      <c r="I390" s="3" t="e">
        <f ca="1">INDEX(INDIRECT(CONCATENATE("Tab_",Tab_Calculs[[#This Row],[Colonne1]])),Tab_Calculs[[#This Row],[index_date_livraison]],1)</f>
        <v>#NUM!</v>
      </c>
      <c r="J390">
        <f ca="1">MATCH(Tab_Calculs[[#This Row],[Date_livraison]],INDIRECT(CONCATENATE("Tab_",Tab_Calculs[[#This Row],[Colonne1]],"[Fin de période]")),0)</f>
        <v>1</v>
      </c>
      <c r="K390" t="e">
        <f ca="1">INDEX(INDIRECT(CONCATENATE("Tab_",Tab_Calculs[[#This Row],[Colonne1]])),Tab_Calculs[[#This Row],[index_date_livraison]]-1,6)*(MAX(Tab_Calculs[[#This Row],[Début periode livraison]],Tab_Calculs[[#This Row],[Début mois]])-Tab_Calculs[[#This Row],[Début mois]])</f>
        <v>#VALUE!</v>
      </c>
      <c r="L390" s="94" t="e">
        <f ca="1">INDEX(INDIRECT(CONCATENATE("Tab_",Tab_Calculs[[#This Row],[Colonne1]])),Tab_Calculs[[#This Row],[index_date_livraison]],6)*(1+MIN(Tab_Calculs[[#This Row],[Date_livraison]],Tab_Calculs[[#This Row],[fin mois]])-MAX(Tab_Calculs[[#This Row],[Début mois]],Tab_Calculs[[#This Row],[Début periode livraison]]))</f>
        <v>#NUM!</v>
      </c>
      <c r="M390" s="94" t="e">
        <f ca="1">INDEX(INDIRECT(CONCATENATE("Tab_",Tab_Calculs[[#This Row],[Colonne1]])),Tab_Calculs[[#This Row],[index_date_livraison]]+1,6)*(Tab_Calculs[[#This Row],[fin mois]]-MIN(Tab_Calculs[[#This Row],[fin mois]],Tab_Calculs[[#This Row],[Date_livraison]]))</f>
        <v>#VALUE!</v>
      </c>
      <c r="N390" s="231" t="str">
        <f ca="1">IFERROR(Tab_Calculs[[#This Row],[Ratio_jour_après_livr]]+Tab_Calculs[[#This Row],[Ratio_jour_avant_livr]]+Tab_Calculs[[#This Row],[ratio_avant_debut]],"")</f>
        <v/>
      </c>
      <c r="O390" t="e">
        <f ca="1">INDEX(INDIRECT(CONCATENATE("Tab_",Tab_Calculs[[#This Row],[Colonne1]])),Tab_Calculs[[#This Row],[index_date_livraison]]-1,7)*(MAX(Tab_Calculs[[#This Row],[Début periode livraison]],Tab_Calculs[[#This Row],[Début mois]])-Tab_Calculs[[#This Row],[Début mois]])</f>
        <v>#VALUE!</v>
      </c>
      <c r="P390" t="e">
        <f ca="1">INDEX(INDIRECT(CONCATENATE("Tab_",Tab_Calculs[[#This Row],[Colonne1]])),Tab_Calculs[[#This Row],[index_date_livraison]],7)*(1+MIN(Tab_Calculs[[#This Row],[Date_livraison]],Tab_Calculs[[#This Row],[fin mois]])-MAX(Tab_Calculs[[#This Row],[Début mois]],Tab_Calculs[[#This Row],[Début periode livraison]]))</f>
        <v>#NUM!</v>
      </c>
      <c r="Q390" t="e">
        <f ca="1">INDEX(INDIRECT(CONCATENATE("Tab_",Tab_Calculs[[#This Row],[Colonne1]])),Tab_Calculs[[#This Row],[index_date_livraison]]+1,7)*(Tab_Calculs[[#This Row],[fin mois]]-MIN(Tab_Calculs[[#This Row],[fin mois]],Tab_Calculs[[#This Row],[Date_livraison]]))</f>
        <v>#VALUE!</v>
      </c>
      <c r="R390" t="e">
        <f ca="1">Tab_Calculs[[#This Row],[Ratio_Cout_après_livr]]+Tab_Calculs[[#This Row],[Ratio_Cout_avant_livr]]+Tab_Calculs[[#This Row],[Ratio_Cout_avant_debut]]</f>
        <v>#VALUE!</v>
      </c>
      <c r="S390" t="str">
        <f ca="1">IFERROR(N390*VLOOKUP(Tab_Calculs[[#This Row],[Colonne1]],Controle_des_données!$B$7:$G$14,6,FALSE),"")</f>
        <v/>
      </c>
      <c r="T390" t="str">
        <f ca="1">IF(Tab_Calculs[[#This Row],[Combustible ]]="Electricité (kWh)",Tab_Calculs[[#This Row],[Conso_mois_kWh]]*2.3,Tab_Calculs[[#This Row],[Conso_mois_kWh]])</f>
        <v/>
      </c>
      <c r="U390" t="str">
        <f ca="1">IFERROR(N390*VLOOKUP(Tab_Calculs[[#This Row],[Colonne1]],Controle_des_données!$B$7:$H$14,7,FALSE),"")</f>
        <v/>
      </c>
      <c r="V390">
        <f ca="1">IFERROR(Tab_Calculs[[#This Row],[Cout_mois]]/Tab_Calculs[[#This Row],[Conso_mois_kWh]],0)</f>
        <v>0</v>
      </c>
      <c r="W390" t="str">
        <f>T(VLOOKUP(Tab_Calculs[[#This Row],[Compteur]],Site!$B$33:$G$40,3,FALSE))</f>
        <v/>
      </c>
      <c r="X390" t="str">
        <f>T(VLOOKUP(Tab_Calculs[[#This Row],[Compteur]],Site!$B$33:$G$40,4,FALSE))</f>
        <v/>
      </c>
      <c r="Y390" t="str">
        <f>T(VLOOKUP(Tab_Calculs[[#This Row],[Compteur]],Site!$B$33:$G$40,5,FALSE))</f>
        <v/>
      </c>
      <c r="Z390" t="str">
        <f>T(VLOOKUP(Tab_Calculs[[#This Row],[Compteur]],Site!$B$33:$G$40,6,FALSE))</f>
        <v/>
      </c>
      <c r="AA390">
        <f>IFERROR(GETPIVOTDATA("DJU(chauffagiste)",BDD_DJU!$P$13,"annee",Tab_Calculs[[#This Row],[ANNEE]],"mois_numero",Tab_Calculs[[#This Row],[MOIS]]),0)</f>
        <v>0</v>
      </c>
    </row>
    <row r="391" spans="1:27" x14ac:dyDescent="0.25">
      <c r="A391" s="3">
        <f>DATE(Tab_Calculs[[#This Row],[ANNEE]],Tab_Calculs[[#This Row],[MOIS]],1)</f>
        <v>45962</v>
      </c>
      <c r="B391" s="3">
        <f>EDATE(Tab_Calculs[[#This Row],[Début mois]],1)-1</f>
        <v>45991</v>
      </c>
      <c r="C391">
        <f t="shared" si="10"/>
        <v>11</v>
      </c>
      <c r="D391">
        <f t="shared" si="13"/>
        <v>2025</v>
      </c>
      <c r="E391" t="s">
        <v>81</v>
      </c>
      <c r="F391" t="str">
        <f>SUBSTITUTE(Tab_Calculs[[#This Row],[Compteur]]," ","_")</f>
        <v>Compteur_2</v>
      </c>
      <c r="G391" t="str">
        <f>T(INDEX(Site!$B$33:$G$40, MATCH(Tab_Calculs[[#This Row],[Compteur]], Site!$B$33:$B$40,0),2))</f>
        <v/>
      </c>
      <c r="H391" s="3">
        <f t="array" aca="1" ref="H391" ca="1">MIN(IF(INDIRECT(CONCATENATE(Tab_Calculs[[#This Row],[Colonne1]],"!$B$2:$B$243"))&gt;=Calculs_Consos!$A391,INDIRECT(CONCATENATE(Tab_Calculs[[#This Row],[Colonne1]],"!$B$2:$B$243"))))</f>
        <v>0</v>
      </c>
      <c r="I391" s="3" t="e">
        <f ca="1">INDEX(INDIRECT(CONCATENATE("Tab_",Tab_Calculs[[#This Row],[Colonne1]])),Tab_Calculs[[#This Row],[index_date_livraison]],1)</f>
        <v>#NUM!</v>
      </c>
      <c r="J391">
        <f ca="1">MATCH(Tab_Calculs[[#This Row],[Date_livraison]],INDIRECT(CONCATENATE("Tab_",Tab_Calculs[[#This Row],[Colonne1]],"[Fin de période]")),0)</f>
        <v>1</v>
      </c>
      <c r="K391" t="e">
        <f ca="1">INDEX(INDIRECT(CONCATENATE("Tab_",Tab_Calculs[[#This Row],[Colonne1]])),Tab_Calculs[[#This Row],[index_date_livraison]]-1,6)*(MAX(Tab_Calculs[[#This Row],[Début periode livraison]],Tab_Calculs[[#This Row],[Début mois]])-Tab_Calculs[[#This Row],[Début mois]])</f>
        <v>#VALUE!</v>
      </c>
      <c r="L391" s="94" t="e">
        <f ca="1">INDEX(INDIRECT(CONCATENATE("Tab_",Tab_Calculs[[#This Row],[Colonne1]])),Tab_Calculs[[#This Row],[index_date_livraison]],6)*(1+MIN(Tab_Calculs[[#This Row],[Date_livraison]],Tab_Calculs[[#This Row],[fin mois]])-MAX(Tab_Calculs[[#This Row],[Début mois]],Tab_Calculs[[#This Row],[Début periode livraison]]))</f>
        <v>#NUM!</v>
      </c>
      <c r="M391" s="94" t="e">
        <f ca="1">INDEX(INDIRECT(CONCATENATE("Tab_",Tab_Calculs[[#This Row],[Colonne1]])),Tab_Calculs[[#This Row],[index_date_livraison]]+1,6)*(Tab_Calculs[[#This Row],[fin mois]]-MIN(Tab_Calculs[[#This Row],[fin mois]],Tab_Calculs[[#This Row],[Date_livraison]]))</f>
        <v>#VALUE!</v>
      </c>
      <c r="N391" s="231" t="str">
        <f ca="1">IFERROR(Tab_Calculs[[#This Row],[Ratio_jour_après_livr]]+Tab_Calculs[[#This Row],[Ratio_jour_avant_livr]]+Tab_Calculs[[#This Row],[ratio_avant_debut]],"")</f>
        <v/>
      </c>
      <c r="O391" t="e">
        <f ca="1">INDEX(INDIRECT(CONCATENATE("Tab_",Tab_Calculs[[#This Row],[Colonne1]])),Tab_Calculs[[#This Row],[index_date_livraison]]-1,7)*(MAX(Tab_Calculs[[#This Row],[Début periode livraison]],Tab_Calculs[[#This Row],[Début mois]])-Tab_Calculs[[#This Row],[Début mois]])</f>
        <v>#VALUE!</v>
      </c>
      <c r="P391" t="e">
        <f ca="1">INDEX(INDIRECT(CONCATENATE("Tab_",Tab_Calculs[[#This Row],[Colonne1]])),Tab_Calculs[[#This Row],[index_date_livraison]],7)*(1+MIN(Tab_Calculs[[#This Row],[Date_livraison]],Tab_Calculs[[#This Row],[fin mois]])-MAX(Tab_Calculs[[#This Row],[Début mois]],Tab_Calculs[[#This Row],[Début periode livraison]]))</f>
        <v>#NUM!</v>
      </c>
      <c r="Q391" t="e">
        <f ca="1">INDEX(INDIRECT(CONCATENATE("Tab_",Tab_Calculs[[#This Row],[Colonne1]])),Tab_Calculs[[#This Row],[index_date_livraison]]+1,7)*(Tab_Calculs[[#This Row],[fin mois]]-MIN(Tab_Calculs[[#This Row],[fin mois]],Tab_Calculs[[#This Row],[Date_livraison]]))</f>
        <v>#VALUE!</v>
      </c>
      <c r="R391" t="e">
        <f ca="1">Tab_Calculs[[#This Row],[Ratio_Cout_après_livr]]+Tab_Calculs[[#This Row],[Ratio_Cout_avant_livr]]+Tab_Calculs[[#This Row],[Ratio_Cout_avant_debut]]</f>
        <v>#VALUE!</v>
      </c>
      <c r="S391" t="str">
        <f ca="1">IFERROR(N391*VLOOKUP(Tab_Calculs[[#This Row],[Colonne1]],Controle_des_données!$B$7:$G$14,6,FALSE),"")</f>
        <v/>
      </c>
      <c r="T391" t="str">
        <f ca="1">IF(Tab_Calculs[[#This Row],[Combustible ]]="Electricité (kWh)",Tab_Calculs[[#This Row],[Conso_mois_kWh]]*2.3,Tab_Calculs[[#This Row],[Conso_mois_kWh]])</f>
        <v/>
      </c>
      <c r="U391" t="str">
        <f ca="1">IFERROR(N391*VLOOKUP(Tab_Calculs[[#This Row],[Colonne1]],Controle_des_données!$B$7:$H$14,7,FALSE),"")</f>
        <v/>
      </c>
      <c r="V391">
        <f ca="1">IFERROR(Tab_Calculs[[#This Row],[Cout_mois]]/Tab_Calculs[[#This Row],[Conso_mois_kWh]],0)</f>
        <v>0</v>
      </c>
      <c r="W391" t="str">
        <f>T(VLOOKUP(Tab_Calculs[[#This Row],[Compteur]],Site!$B$33:$G$40,3,FALSE))</f>
        <v/>
      </c>
      <c r="X391" t="str">
        <f>T(VLOOKUP(Tab_Calculs[[#This Row],[Compteur]],Site!$B$33:$G$40,4,FALSE))</f>
        <v/>
      </c>
      <c r="Y391" t="str">
        <f>T(VLOOKUP(Tab_Calculs[[#This Row],[Compteur]],Site!$B$33:$G$40,5,FALSE))</f>
        <v/>
      </c>
      <c r="Z391" t="str">
        <f>T(VLOOKUP(Tab_Calculs[[#This Row],[Compteur]],Site!$B$33:$G$40,6,FALSE))</f>
        <v/>
      </c>
      <c r="AA391">
        <f>IFERROR(GETPIVOTDATA("DJU(chauffagiste)",BDD_DJU!$P$13,"annee",Tab_Calculs[[#This Row],[ANNEE]],"mois_numero",Tab_Calculs[[#This Row],[MOIS]]),0)</f>
        <v>0</v>
      </c>
    </row>
    <row r="392" spans="1:27" x14ac:dyDescent="0.25">
      <c r="A392" s="3">
        <f>DATE(Tab_Calculs[[#This Row],[ANNEE]],Tab_Calculs[[#This Row],[MOIS]],1)</f>
        <v>45992</v>
      </c>
      <c r="B392" s="3">
        <f>EDATE(Tab_Calculs[[#This Row],[Début mois]],1)-1</f>
        <v>46022</v>
      </c>
      <c r="C392">
        <f t="shared" si="10"/>
        <v>12</v>
      </c>
      <c r="D392">
        <f t="shared" si="13"/>
        <v>2025</v>
      </c>
      <c r="E392" t="s">
        <v>81</v>
      </c>
      <c r="F392" t="str">
        <f>SUBSTITUTE(Tab_Calculs[[#This Row],[Compteur]]," ","_")</f>
        <v>Compteur_2</v>
      </c>
      <c r="G392" t="str">
        <f>T(INDEX(Site!$B$33:$G$40, MATCH(Tab_Calculs[[#This Row],[Compteur]], Site!$B$33:$B$40,0),2))</f>
        <v/>
      </c>
      <c r="H392" s="3">
        <f t="array" aca="1" ref="H392" ca="1">MIN(IF(INDIRECT(CONCATENATE(Tab_Calculs[[#This Row],[Colonne1]],"!$B$2:$B$243"))&gt;=Calculs_Consos!$A392,INDIRECT(CONCATENATE(Tab_Calculs[[#This Row],[Colonne1]],"!$B$2:$B$243"))))</f>
        <v>0</v>
      </c>
      <c r="I392" s="3" t="e">
        <f ca="1">INDEX(INDIRECT(CONCATENATE("Tab_",Tab_Calculs[[#This Row],[Colonne1]])),Tab_Calculs[[#This Row],[index_date_livraison]],1)</f>
        <v>#NUM!</v>
      </c>
      <c r="J392">
        <f ca="1">MATCH(Tab_Calculs[[#This Row],[Date_livraison]],INDIRECT(CONCATENATE("Tab_",Tab_Calculs[[#This Row],[Colonne1]],"[Fin de période]")),0)</f>
        <v>1</v>
      </c>
      <c r="K392" t="e">
        <f ca="1">INDEX(INDIRECT(CONCATENATE("Tab_",Tab_Calculs[[#This Row],[Colonne1]])),Tab_Calculs[[#This Row],[index_date_livraison]]-1,6)*(MAX(Tab_Calculs[[#This Row],[Début periode livraison]],Tab_Calculs[[#This Row],[Début mois]])-Tab_Calculs[[#This Row],[Début mois]])</f>
        <v>#VALUE!</v>
      </c>
      <c r="L392" s="94" t="e">
        <f ca="1">INDEX(INDIRECT(CONCATENATE("Tab_",Tab_Calculs[[#This Row],[Colonne1]])),Tab_Calculs[[#This Row],[index_date_livraison]],6)*(1+MIN(Tab_Calculs[[#This Row],[Date_livraison]],Tab_Calculs[[#This Row],[fin mois]])-MAX(Tab_Calculs[[#This Row],[Début mois]],Tab_Calculs[[#This Row],[Début periode livraison]]))</f>
        <v>#NUM!</v>
      </c>
      <c r="M392" s="94" t="e">
        <f ca="1">INDEX(INDIRECT(CONCATENATE("Tab_",Tab_Calculs[[#This Row],[Colonne1]])),Tab_Calculs[[#This Row],[index_date_livraison]]+1,6)*(Tab_Calculs[[#This Row],[fin mois]]-MIN(Tab_Calculs[[#This Row],[fin mois]],Tab_Calculs[[#This Row],[Date_livraison]]))</f>
        <v>#VALUE!</v>
      </c>
      <c r="N392" s="231" t="str">
        <f ca="1">IFERROR(Tab_Calculs[[#This Row],[Ratio_jour_après_livr]]+Tab_Calculs[[#This Row],[Ratio_jour_avant_livr]]+Tab_Calculs[[#This Row],[ratio_avant_debut]],"")</f>
        <v/>
      </c>
      <c r="O392" t="e">
        <f ca="1">INDEX(INDIRECT(CONCATENATE("Tab_",Tab_Calculs[[#This Row],[Colonne1]])),Tab_Calculs[[#This Row],[index_date_livraison]]-1,7)*(MAX(Tab_Calculs[[#This Row],[Début periode livraison]],Tab_Calculs[[#This Row],[Début mois]])-Tab_Calculs[[#This Row],[Début mois]])</f>
        <v>#VALUE!</v>
      </c>
      <c r="P392" t="e">
        <f ca="1">INDEX(INDIRECT(CONCATENATE("Tab_",Tab_Calculs[[#This Row],[Colonne1]])),Tab_Calculs[[#This Row],[index_date_livraison]],7)*(1+MIN(Tab_Calculs[[#This Row],[Date_livraison]],Tab_Calculs[[#This Row],[fin mois]])-MAX(Tab_Calculs[[#This Row],[Début mois]],Tab_Calculs[[#This Row],[Début periode livraison]]))</f>
        <v>#NUM!</v>
      </c>
      <c r="Q392" t="e">
        <f ca="1">INDEX(INDIRECT(CONCATENATE("Tab_",Tab_Calculs[[#This Row],[Colonne1]])),Tab_Calculs[[#This Row],[index_date_livraison]]+1,7)*(Tab_Calculs[[#This Row],[fin mois]]-MIN(Tab_Calculs[[#This Row],[fin mois]],Tab_Calculs[[#This Row],[Date_livraison]]))</f>
        <v>#VALUE!</v>
      </c>
      <c r="R392" t="e">
        <f ca="1">Tab_Calculs[[#This Row],[Ratio_Cout_après_livr]]+Tab_Calculs[[#This Row],[Ratio_Cout_avant_livr]]+Tab_Calculs[[#This Row],[Ratio_Cout_avant_debut]]</f>
        <v>#VALUE!</v>
      </c>
      <c r="S392" t="str">
        <f ca="1">IFERROR(N392*VLOOKUP(Tab_Calculs[[#This Row],[Colonne1]],Controle_des_données!$B$7:$G$14,6,FALSE),"")</f>
        <v/>
      </c>
      <c r="T392" t="str">
        <f ca="1">IF(Tab_Calculs[[#This Row],[Combustible ]]="Electricité (kWh)",Tab_Calculs[[#This Row],[Conso_mois_kWh]]*2.3,Tab_Calculs[[#This Row],[Conso_mois_kWh]])</f>
        <v/>
      </c>
      <c r="U392" t="str">
        <f ca="1">IFERROR(N392*VLOOKUP(Tab_Calculs[[#This Row],[Colonne1]],Controle_des_données!$B$7:$H$14,7,FALSE),"")</f>
        <v/>
      </c>
      <c r="V392">
        <f ca="1">IFERROR(Tab_Calculs[[#This Row],[Cout_mois]]/Tab_Calculs[[#This Row],[Conso_mois_kWh]],0)</f>
        <v>0</v>
      </c>
      <c r="W392" t="str">
        <f>T(VLOOKUP(Tab_Calculs[[#This Row],[Compteur]],Site!$B$33:$G$40,3,FALSE))</f>
        <v/>
      </c>
      <c r="X392" t="str">
        <f>T(VLOOKUP(Tab_Calculs[[#This Row],[Compteur]],Site!$B$33:$G$40,4,FALSE))</f>
        <v/>
      </c>
      <c r="Y392" t="str">
        <f>T(VLOOKUP(Tab_Calculs[[#This Row],[Compteur]],Site!$B$33:$G$40,5,FALSE))</f>
        <v/>
      </c>
      <c r="Z392" t="str">
        <f>T(VLOOKUP(Tab_Calculs[[#This Row],[Compteur]],Site!$B$33:$G$40,6,FALSE))</f>
        <v/>
      </c>
      <c r="AA392">
        <f>IFERROR(GETPIVOTDATA("DJU(chauffagiste)",BDD_DJU!$P$13,"annee",Tab_Calculs[[#This Row],[ANNEE]],"mois_numero",Tab_Calculs[[#This Row],[MOIS]]),0)</f>
        <v>0</v>
      </c>
    </row>
    <row r="393" spans="1:27" x14ac:dyDescent="0.25">
      <c r="A393" s="3">
        <f>DATE(Tab_Calculs[[#This Row],[ANNEE]],Tab_Calculs[[#This Row],[MOIS]],1)</f>
        <v>40179</v>
      </c>
      <c r="B393" s="3">
        <f>EDATE(Tab_Calculs[[#This Row],[Début mois]],1)-1</f>
        <v>40209</v>
      </c>
      <c r="C393">
        <v>1</v>
      </c>
      <c r="D393">
        <v>2010</v>
      </c>
      <c r="E393" t="s">
        <v>82</v>
      </c>
      <c r="F393" t="str">
        <f>SUBSTITUTE(Tab_Calculs[[#This Row],[Compteur]]," ","_")</f>
        <v>Compteur_3</v>
      </c>
      <c r="G393" t="str">
        <f>T(INDEX(Site!$B$33:$G$40, MATCH(Tab_Calculs[[#This Row],[Compteur]], Site!$B$33:$B$40,0),2))</f>
        <v/>
      </c>
      <c r="H393" s="3">
        <f t="array" aca="1" ref="H393" ca="1">MIN(IF(INDIRECT(CONCATENATE(Tab_Calculs[[#This Row],[Colonne1]],"!$B$2:$B$243"))&gt;=Calculs_Consos!$A393,INDIRECT(CONCATENATE(Tab_Calculs[[#This Row],[Colonne1]],"!$B$2:$B$243"))))</f>
        <v>0</v>
      </c>
      <c r="I393" s="3">
        <f ca="1">INDEX(INDIRECT(CONCATENATE("Tab_",Tab_Calculs[[#This Row],[Colonne1]])),Tab_Calculs[[#This Row],[index_date_livraison]],1)</f>
        <v>0</v>
      </c>
      <c r="J393">
        <f ca="1">MATCH(Tab_Calculs[[#This Row],[Date_livraison]],INDIRECT(CONCATENATE("Tab_",Tab_Calculs[[#This Row],[Colonne1]],"[Fin de période]")),0)</f>
        <v>1</v>
      </c>
      <c r="K393" t="e">
        <f ca="1">INDEX(INDIRECT(CONCATENATE("Tab_",Tab_Calculs[[#This Row],[Colonne1]])),Tab_Calculs[[#This Row],[index_date_livraison]]-1,6)*(MAX(Tab_Calculs[[#This Row],[Début periode livraison]],Tab_Calculs[[#This Row],[Début mois]])-Tab_Calculs[[#This Row],[Début mois]])</f>
        <v>#VALUE!</v>
      </c>
      <c r="L393" s="94">
        <f ca="1">INDEX(INDIRECT(CONCATENATE("Tab_",Tab_Calculs[[#This Row],[Colonne1]])),Tab_Calculs[[#This Row],[index_date_livraison]],6)*(1+MIN(Tab_Calculs[[#This Row],[Date_livraison]],Tab_Calculs[[#This Row],[fin mois]])-MAX(Tab_Calculs[[#This Row],[Début mois]],Tab_Calculs[[#This Row],[Début periode livraison]]))</f>
        <v>0</v>
      </c>
      <c r="M393" s="94" t="e">
        <f ca="1">INDEX(INDIRECT(CONCATENATE("Tab_",Tab_Calculs[[#This Row],[Colonne1]])),Tab_Calculs[[#This Row],[index_date_livraison]]+1,6)*(Tab_Calculs[[#This Row],[fin mois]]-MIN(Tab_Calculs[[#This Row],[fin mois]],Tab_Calculs[[#This Row],[Date_livraison]]))</f>
        <v>#VALUE!</v>
      </c>
      <c r="N393" s="231" t="str">
        <f ca="1">IFERROR(Tab_Calculs[[#This Row],[Ratio_jour_après_livr]]+Tab_Calculs[[#This Row],[Ratio_jour_avant_livr]]+Tab_Calculs[[#This Row],[ratio_avant_debut]],"")</f>
        <v/>
      </c>
      <c r="O393" t="e">
        <f ca="1">INDEX(INDIRECT(CONCATENATE("Tab_",Tab_Calculs[[#This Row],[Colonne1]])),Tab_Calculs[[#This Row],[index_date_livraison]]-1,7)*(MAX(Tab_Calculs[[#This Row],[Début periode livraison]],Tab_Calculs[[#This Row],[Début mois]])-Tab_Calculs[[#This Row],[Début mois]])</f>
        <v>#VALUE!</v>
      </c>
      <c r="P393">
        <f ca="1">INDEX(INDIRECT(CONCATENATE("Tab_",Tab_Calculs[[#This Row],[Colonne1]])),Tab_Calculs[[#This Row],[index_date_livraison]],7)*(1+MIN(Tab_Calculs[[#This Row],[Date_livraison]],Tab_Calculs[[#This Row],[fin mois]])-MAX(Tab_Calculs[[#This Row],[Début mois]],Tab_Calculs[[#This Row],[Début periode livraison]]))</f>
        <v>0</v>
      </c>
      <c r="Q393" t="e">
        <f ca="1">INDEX(INDIRECT(CONCATENATE("Tab_",Tab_Calculs[[#This Row],[Colonne1]])),Tab_Calculs[[#This Row],[index_date_livraison]]+1,7)*(Tab_Calculs[[#This Row],[fin mois]]-MIN(Tab_Calculs[[#This Row],[fin mois]],Tab_Calculs[[#This Row],[Date_livraison]]))</f>
        <v>#VALUE!</v>
      </c>
      <c r="R393" t="e">
        <f ca="1">Tab_Calculs[[#This Row],[Ratio_Cout_après_livr]]+Tab_Calculs[[#This Row],[Ratio_Cout_avant_livr]]+Tab_Calculs[[#This Row],[Ratio_Cout_avant_debut]]</f>
        <v>#VALUE!</v>
      </c>
      <c r="S393" t="str">
        <f ca="1">IFERROR(N393*VLOOKUP(Tab_Calculs[[#This Row],[Colonne1]],Controle_des_données!$B$7:$G$14,6,FALSE),"")</f>
        <v/>
      </c>
      <c r="T393" t="str">
        <f ca="1">IF(Tab_Calculs[[#This Row],[Combustible ]]="Electricité (kWh)",Tab_Calculs[[#This Row],[Conso_mois_kWh]]*2.3,Tab_Calculs[[#This Row],[Conso_mois_kWh]])</f>
        <v/>
      </c>
      <c r="U393" t="str">
        <f ca="1">IFERROR(N393*VLOOKUP(Tab_Calculs[[#This Row],[Colonne1]],Controle_des_données!$B$7:$H$14,7,FALSE),"")</f>
        <v/>
      </c>
      <c r="V393">
        <f ca="1">IFERROR(Tab_Calculs[[#This Row],[Cout_mois]]/Tab_Calculs[[#This Row],[Conso_mois_kWh]],0)</f>
        <v>0</v>
      </c>
      <c r="W393" t="str">
        <f>T(VLOOKUP(Tab_Calculs[[#This Row],[Compteur]],Site!$B$33:$G$40,3,FALSE))</f>
        <v/>
      </c>
      <c r="X393" t="str">
        <f>T(VLOOKUP(Tab_Calculs[[#This Row],[Compteur]],Site!$B$33:$G$40,4,FALSE))</f>
        <v/>
      </c>
      <c r="Y393" t="str">
        <f>T(VLOOKUP(Tab_Calculs[[#This Row],[Compteur]],Site!$B$33:$G$40,5,FALSE))</f>
        <v/>
      </c>
      <c r="Z393" t="str">
        <f>T(VLOOKUP(Tab_Calculs[[#This Row],[Compteur]],Site!$B$33:$G$40,6,FALSE))</f>
        <v/>
      </c>
      <c r="AA393">
        <f>IFERROR(GETPIVOTDATA("DJU(chauffagiste)",BDD_DJU!$P$13,"annee",Tab_Calculs[[#This Row],[ANNEE]],"mois_numero",Tab_Calculs[[#This Row],[MOIS]]),0)</f>
        <v>487.6</v>
      </c>
    </row>
    <row r="394" spans="1:27" x14ac:dyDescent="0.25">
      <c r="A394" s="3">
        <f>DATE(Tab_Calculs[[#This Row],[ANNEE]],Tab_Calculs[[#This Row],[MOIS]],1)</f>
        <v>40210</v>
      </c>
      <c r="B394" s="3">
        <f>EDATE(Tab_Calculs[[#This Row],[Début mois]],1)-1</f>
        <v>40237</v>
      </c>
      <c r="C394">
        <v>2</v>
      </c>
      <c r="D394">
        <v>2010</v>
      </c>
      <c r="E394" t="s">
        <v>82</v>
      </c>
      <c r="F394" t="str">
        <f>SUBSTITUTE(Tab_Calculs[[#This Row],[Compteur]]," ","_")</f>
        <v>Compteur_3</v>
      </c>
      <c r="G394" t="str">
        <f>T(INDEX(Site!$B$33:$G$40, MATCH(Tab_Calculs[[#This Row],[Compteur]], Site!$B$33:$B$40,0),2))</f>
        <v/>
      </c>
      <c r="H394" s="3">
        <f t="array" aca="1" ref="H394" ca="1">MIN(IF(INDIRECT(CONCATENATE(Tab_Calculs[[#This Row],[Colonne1]],"!$B$2:$B$243"))&gt;=Calculs_Consos!$A394,INDIRECT(CONCATENATE(Tab_Calculs[[#This Row],[Colonne1]],"!$B$2:$B$243"))))</f>
        <v>0</v>
      </c>
      <c r="I394" s="3">
        <f ca="1">INDEX(INDIRECT(CONCATENATE("Tab_",Tab_Calculs[[#This Row],[Colonne1]])),Tab_Calculs[[#This Row],[index_date_livraison]],1)</f>
        <v>0</v>
      </c>
      <c r="J394">
        <f ca="1">MATCH(Tab_Calculs[[#This Row],[Date_livraison]],INDIRECT(CONCATENATE("Tab_",Tab_Calculs[[#This Row],[Colonne1]],"[Fin de période]")),0)</f>
        <v>1</v>
      </c>
      <c r="K394" t="e">
        <f ca="1">INDEX(INDIRECT(CONCATENATE("Tab_",Tab_Calculs[[#This Row],[Colonne1]])),Tab_Calculs[[#This Row],[index_date_livraison]]-1,6)*(MAX(Tab_Calculs[[#This Row],[Début periode livraison]],Tab_Calculs[[#This Row],[Début mois]])-Tab_Calculs[[#This Row],[Début mois]])</f>
        <v>#VALUE!</v>
      </c>
      <c r="L394" s="94">
        <f ca="1">INDEX(INDIRECT(CONCATENATE("Tab_",Tab_Calculs[[#This Row],[Colonne1]])),Tab_Calculs[[#This Row],[index_date_livraison]],6)*(1+MIN(Tab_Calculs[[#This Row],[Date_livraison]],Tab_Calculs[[#This Row],[fin mois]])-MAX(Tab_Calculs[[#This Row],[Début mois]],Tab_Calculs[[#This Row],[Début periode livraison]]))</f>
        <v>0</v>
      </c>
      <c r="M394" s="94" t="e">
        <f ca="1">INDEX(INDIRECT(CONCATENATE("Tab_",Tab_Calculs[[#This Row],[Colonne1]])),Tab_Calculs[[#This Row],[index_date_livraison]]+1,6)*(Tab_Calculs[[#This Row],[fin mois]]-MIN(Tab_Calculs[[#This Row],[fin mois]],Tab_Calculs[[#This Row],[Date_livraison]]))</f>
        <v>#VALUE!</v>
      </c>
      <c r="N394" s="231" t="str">
        <f ca="1">IFERROR(Tab_Calculs[[#This Row],[Ratio_jour_après_livr]]+Tab_Calculs[[#This Row],[Ratio_jour_avant_livr]]+Tab_Calculs[[#This Row],[ratio_avant_debut]],"")</f>
        <v/>
      </c>
      <c r="O394" t="e">
        <f ca="1">INDEX(INDIRECT(CONCATENATE("Tab_",Tab_Calculs[[#This Row],[Colonne1]])),Tab_Calculs[[#This Row],[index_date_livraison]]-1,7)*(MAX(Tab_Calculs[[#This Row],[Début periode livraison]],Tab_Calculs[[#This Row],[Début mois]])-Tab_Calculs[[#This Row],[Début mois]])</f>
        <v>#VALUE!</v>
      </c>
      <c r="P394">
        <f ca="1">INDEX(INDIRECT(CONCATENATE("Tab_",Tab_Calculs[[#This Row],[Colonne1]])),Tab_Calculs[[#This Row],[index_date_livraison]],7)*(1+MIN(Tab_Calculs[[#This Row],[Date_livraison]],Tab_Calculs[[#This Row],[fin mois]])-MAX(Tab_Calculs[[#This Row],[Début mois]],Tab_Calculs[[#This Row],[Début periode livraison]]))</f>
        <v>0</v>
      </c>
      <c r="Q394" t="e">
        <f ca="1">INDEX(INDIRECT(CONCATENATE("Tab_",Tab_Calculs[[#This Row],[Colonne1]])),Tab_Calculs[[#This Row],[index_date_livraison]]+1,7)*(Tab_Calculs[[#This Row],[fin mois]]-MIN(Tab_Calculs[[#This Row],[fin mois]],Tab_Calculs[[#This Row],[Date_livraison]]))</f>
        <v>#VALUE!</v>
      </c>
      <c r="R394" t="e">
        <f ca="1">Tab_Calculs[[#This Row],[Ratio_Cout_après_livr]]+Tab_Calculs[[#This Row],[Ratio_Cout_avant_livr]]+Tab_Calculs[[#This Row],[Ratio_Cout_avant_debut]]</f>
        <v>#VALUE!</v>
      </c>
      <c r="S394" t="str">
        <f ca="1">IFERROR(N394*VLOOKUP(Tab_Calculs[[#This Row],[Colonne1]],Controle_des_données!$B$7:$G$14,6,FALSE),"")</f>
        <v/>
      </c>
      <c r="T394" t="str">
        <f ca="1">IF(Tab_Calculs[[#This Row],[Combustible ]]="Electricité (kWh)",Tab_Calculs[[#This Row],[Conso_mois_kWh]]*2.3,Tab_Calculs[[#This Row],[Conso_mois_kWh]])</f>
        <v/>
      </c>
      <c r="U394" t="str">
        <f ca="1">IFERROR(N394*VLOOKUP(Tab_Calculs[[#This Row],[Colonne1]],Controle_des_données!$B$7:$H$14,7,FALSE),"")</f>
        <v/>
      </c>
      <c r="V394">
        <f ca="1">IFERROR(Tab_Calculs[[#This Row],[Cout_mois]]/Tab_Calculs[[#This Row],[Conso_mois_kWh]],0)</f>
        <v>0</v>
      </c>
      <c r="W394" t="str">
        <f>T(VLOOKUP(Tab_Calculs[[#This Row],[Compteur]],Site!$B$33:$G$40,3,FALSE))</f>
        <v/>
      </c>
      <c r="X394" t="str">
        <f>T(VLOOKUP(Tab_Calculs[[#This Row],[Compteur]],Site!$B$33:$G$40,4,FALSE))</f>
        <v/>
      </c>
      <c r="Y394" t="str">
        <f>T(VLOOKUP(Tab_Calculs[[#This Row],[Compteur]],Site!$B$33:$G$40,5,FALSE))</f>
        <v/>
      </c>
      <c r="Z394" t="str">
        <f>T(VLOOKUP(Tab_Calculs[[#This Row],[Compteur]],Site!$B$33:$G$40,6,FALSE))</f>
        <v/>
      </c>
      <c r="AA394">
        <f>IFERROR(GETPIVOTDATA("DJU(chauffagiste)",BDD_DJU!$P$13,"annee",Tab_Calculs[[#This Row],[ANNEE]],"mois_numero",Tab_Calculs[[#This Row],[MOIS]]),0)</f>
        <v>370.3</v>
      </c>
    </row>
    <row r="395" spans="1:27" x14ac:dyDescent="0.25">
      <c r="A395" s="3">
        <f>DATE(Tab_Calculs[[#This Row],[ANNEE]],Tab_Calculs[[#This Row],[MOIS]],1)</f>
        <v>40238</v>
      </c>
      <c r="B395" s="3">
        <f>EDATE(Tab_Calculs[[#This Row],[Début mois]],1)-1</f>
        <v>40268</v>
      </c>
      <c r="C395">
        <v>3</v>
      </c>
      <c r="D395">
        <v>2010</v>
      </c>
      <c r="E395" t="s">
        <v>82</v>
      </c>
      <c r="F395" t="str">
        <f>SUBSTITUTE(Tab_Calculs[[#This Row],[Compteur]]," ","_")</f>
        <v>Compteur_3</v>
      </c>
      <c r="G395" t="str">
        <f>T(INDEX(Site!$B$33:$G$40, MATCH(Tab_Calculs[[#This Row],[Compteur]], Site!$B$33:$B$40,0),2))</f>
        <v/>
      </c>
      <c r="H395" s="3">
        <f t="array" aca="1" ref="H395" ca="1">MIN(IF(INDIRECT(CONCATENATE(Tab_Calculs[[#This Row],[Colonne1]],"!$B$2:$B$243"))&gt;=Calculs_Consos!$A395,INDIRECT(CONCATENATE(Tab_Calculs[[#This Row],[Colonne1]],"!$B$2:$B$243"))))</f>
        <v>0</v>
      </c>
      <c r="I395" s="3">
        <f ca="1">INDEX(INDIRECT(CONCATENATE("Tab_",Tab_Calculs[[#This Row],[Colonne1]])),Tab_Calculs[[#This Row],[index_date_livraison]],1)</f>
        <v>0</v>
      </c>
      <c r="J395">
        <f ca="1">MATCH(Tab_Calculs[[#This Row],[Date_livraison]],INDIRECT(CONCATENATE("Tab_",Tab_Calculs[[#This Row],[Colonne1]],"[Fin de période]")),0)</f>
        <v>1</v>
      </c>
      <c r="K395" t="e">
        <f ca="1">INDEX(INDIRECT(CONCATENATE("Tab_",Tab_Calculs[[#This Row],[Colonne1]])),Tab_Calculs[[#This Row],[index_date_livraison]]-1,6)*(MAX(Tab_Calculs[[#This Row],[Début periode livraison]],Tab_Calculs[[#This Row],[Début mois]])-Tab_Calculs[[#This Row],[Début mois]])</f>
        <v>#VALUE!</v>
      </c>
      <c r="L395" s="94">
        <f ca="1">INDEX(INDIRECT(CONCATENATE("Tab_",Tab_Calculs[[#This Row],[Colonne1]])),Tab_Calculs[[#This Row],[index_date_livraison]],6)*(1+MIN(Tab_Calculs[[#This Row],[Date_livraison]],Tab_Calculs[[#This Row],[fin mois]])-MAX(Tab_Calculs[[#This Row],[Début mois]],Tab_Calculs[[#This Row],[Début periode livraison]]))</f>
        <v>0</v>
      </c>
      <c r="M395" s="94" t="e">
        <f ca="1">INDEX(INDIRECT(CONCATENATE("Tab_",Tab_Calculs[[#This Row],[Colonne1]])),Tab_Calculs[[#This Row],[index_date_livraison]]+1,6)*(Tab_Calculs[[#This Row],[fin mois]]-MIN(Tab_Calculs[[#This Row],[fin mois]],Tab_Calculs[[#This Row],[Date_livraison]]))</f>
        <v>#VALUE!</v>
      </c>
      <c r="N395" s="231" t="str">
        <f ca="1">IFERROR(Tab_Calculs[[#This Row],[Ratio_jour_après_livr]]+Tab_Calculs[[#This Row],[Ratio_jour_avant_livr]]+Tab_Calculs[[#This Row],[ratio_avant_debut]],"")</f>
        <v/>
      </c>
      <c r="O395" t="e">
        <f ca="1">INDEX(INDIRECT(CONCATENATE("Tab_",Tab_Calculs[[#This Row],[Colonne1]])),Tab_Calculs[[#This Row],[index_date_livraison]]-1,7)*(MAX(Tab_Calculs[[#This Row],[Début periode livraison]],Tab_Calculs[[#This Row],[Début mois]])-Tab_Calculs[[#This Row],[Début mois]])</f>
        <v>#VALUE!</v>
      </c>
      <c r="P395">
        <f ca="1">INDEX(INDIRECT(CONCATENATE("Tab_",Tab_Calculs[[#This Row],[Colonne1]])),Tab_Calculs[[#This Row],[index_date_livraison]],7)*(1+MIN(Tab_Calculs[[#This Row],[Date_livraison]],Tab_Calculs[[#This Row],[fin mois]])-MAX(Tab_Calculs[[#This Row],[Début mois]],Tab_Calculs[[#This Row],[Début periode livraison]]))</f>
        <v>0</v>
      </c>
      <c r="Q395" t="e">
        <f ca="1">INDEX(INDIRECT(CONCATENATE("Tab_",Tab_Calculs[[#This Row],[Colonne1]])),Tab_Calculs[[#This Row],[index_date_livraison]]+1,7)*(Tab_Calculs[[#This Row],[fin mois]]-MIN(Tab_Calculs[[#This Row],[fin mois]],Tab_Calculs[[#This Row],[Date_livraison]]))</f>
        <v>#VALUE!</v>
      </c>
      <c r="R395" t="e">
        <f ca="1">Tab_Calculs[[#This Row],[Ratio_Cout_après_livr]]+Tab_Calculs[[#This Row],[Ratio_Cout_avant_livr]]+Tab_Calculs[[#This Row],[Ratio_Cout_avant_debut]]</f>
        <v>#VALUE!</v>
      </c>
      <c r="S395" t="str">
        <f ca="1">IFERROR(N395*VLOOKUP(Tab_Calculs[[#This Row],[Colonne1]],Controle_des_données!$B$7:$G$14,6,FALSE),"")</f>
        <v/>
      </c>
      <c r="T395" t="str">
        <f ca="1">IF(Tab_Calculs[[#This Row],[Combustible ]]="Electricité (kWh)",Tab_Calculs[[#This Row],[Conso_mois_kWh]]*2.3,Tab_Calculs[[#This Row],[Conso_mois_kWh]])</f>
        <v/>
      </c>
      <c r="U395" t="str">
        <f ca="1">IFERROR(N395*VLOOKUP(Tab_Calculs[[#This Row],[Colonne1]],Controle_des_données!$B$7:$H$14,7,FALSE),"")</f>
        <v/>
      </c>
      <c r="V395">
        <f ca="1">IFERROR(Tab_Calculs[[#This Row],[Cout_mois]]/Tab_Calculs[[#This Row],[Conso_mois_kWh]],0)</f>
        <v>0</v>
      </c>
      <c r="W395" t="str">
        <f>T(VLOOKUP(Tab_Calculs[[#This Row],[Compteur]],Site!$B$33:$G$40,3,FALSE))</f>
        <v/>
      </c>
      <c r="X395" t="str">
        <f>T(VLOOKUP(Tab_Calculs[[#This Row],[Compteur]],Site!$B$33:$G$40,4,FALSE))</f>
        <v/>
      </c>
      <c r="Y395" t="str">
        <f>T(VLOOKUP(Tab_Calculs[[#This Row],[Compteur]],Site!$B$33:$G$40,5,FALSE))</f>
        <v/>
      </c>
      <c r="Z395" t="str">
        <f>T(VLOOKUP(Tab_Calculs[[#This Row],[Compteur]],Site!$B$33:$G$40,6,FALSE))</f>
        <v/>
      </c>
      <c r="AA395">
        <f>IFERROR(GETPIVOTDATA("DJU(chauffagiste)",BDD_DJU!$P$13,"annee",Tab_Calculs[[#This Row],[ANNEE]],"mois_numero",Tab_Calculs[[#This Row],[MOIS]]),0)</f>
        <v>312.8</v>
      </c>
    </row>
    <row r="396" spans="1:27" x14ac:dyDescent="0.25">
      <c r="A396" s="3">
        <f>DATE(Tab_Calculs[[#This Row],[ANNEE]],Tab_Calculs[[#This Row],[MOIS]],1)</f>
        <v>40269</v>
      </c>
      <c r="B396" s="3">
        <f>EDATE(Tab_Calculs[[#This Row],[Début mois]],1)-1</f>
        <v>40298</v>
      </c>
      <c r="C396">
        <v>4</v>
      </c>
      <c r="D396">
        <v>2010</v>
      </c>
      <c r="E396" t="s">
        <v>82</v>
      </c>
      <c r="F396" t="str">
        <f>SUBSTITUTE(Tab_Calculs[[#This Row],[Compteur]]," ","_")</f>
        <v>Compteur_3</v>
      </c>
      <c r="G396" t="str">
        <f>T(INDEX(Site!$B$33:$G$40, MATCH(Tab_Calculs[[#This Row],[Compteur]], Site!$B$33:$B$40,0),2))</f>
        <v/>
      </c>
      <c r="H396" s="3">
        <f t="array" aca="1" ref="H396" ca="1">MIN(IF(INDIRECT(CONCATENATE(Tab_Calculs[[#This Row],[Colonne1]],"!$B$2:$B$243"))&gt;=Calculs_Consos!$A396,INDIRECT(CONCATENATE(Tab_Calculs[[#This Row],[Colonne1]],"!$B$2:$B$243"))))</f>
        <v>0</v>
      </c>
      <c r="I396" s="3">
        <f ca="1">INDEX(INDIRECT(CONCATENATE("Tab_",Tab_Calculs[[#This Row],[Colonne1]])),Tab_Calculs[[#This Row],[index_date_livraison]],1)</f>
        <v>0</v>
      </c>
      <c r="J396">
        <f ca="1">MATCH(Tab_Calculs[[#This Row],[Date_livraison]],INDIRECT(CONCATENATE("Tab_",Tab_Calculs[[#This Row],[Colonne1]],"[Fin de période]")),0)</f>
        <v>1</v>
      </c>
      <c r="K396" t="e">
        <f ca="1">INDEX(INDIRECT(CONCATENATE("Tab_",Tab_Calculs[[#This Row],[Colonne1]])),Tab_Calculs[[#This Row],[index_date_livraison]]-1,6)*(MAX(Tab_Calculs[[#This Row],[Début periode livraison]],Tab_Calculs[[#This Row],[Début mois]])-Tab_Calculs[[#This Row],[Début mois]])</f>
        <v>#VALUE!</v>
      </c>
      <c r="L396" s="94">
        <f ca="1">INDEX(INDIRECT(CONCATENATE("Tab_",Tab_Calculs[[#This Row],[Colonne1]])),Tab_Calculs[[#This Row],[index_date_livraison]],6)*(1+MIN(Tab_Calculs[[#This Row],[Date_livraison]],Tab_Calculs[[#This Row],[fin mois]])-MAX(Tab_Calculs[[#This Row],[Début mois]],Tab_Calculs[[#This Row],[Début periode livraison]]))</f>
        <v>0</v>
      </c>
      <c r="M396" s="94" t="e">
        <f ca="1">INDEX(INDIRECT(CONCATENATE("Tab_",Tab_Calculs[[#This Row],[Colonne1]])),Tab_Calculs[[#This Row],[index_date_livraison]]+1,6)*(Tab_Calculs[[#This Row],[fin mois]]-MIN(Tab_Calculs[[#This Row],[fin mois]],Tab_Calculs[[#This Row],[Date_livraison]]))</f>
        <v>#VALUE!</v>
      </c>
      <c r="N396" s="231" t="str">
        <f ca="1">IFERROR(Tab_Calculs[[#This Row],[Ratio_jour_après_livr]]+Tab_Calculs[[#This Row],[Ratio_jour_avant_livr]]+Tab_Calculs[[#This Row],[ratio_avant_debut]],"")</f>
        <v/>
      </c>
      <c r="O396" t="e">
        <f ca="1">INDEX(INDIRECT(CONCATENATE("Tab_",Tab_Calculs[[#This Row],[Colonne1]])),Tab_Calculs[[#This Row],[index_date_livraison]]-1,7)*(MAX(Tab_Calculs[[#This Row],[Début periode livraison]],Tab_Calculs[[#This Row],[Début mois]])-Tab_Calculs[[#This Row],[Début mois]])</f>
        <v>#VALUE!</v>
      </c>
      <c r="P396">
        <f ca="1">INDEX(INDIRECT(CONCATENATE("Tab_",Tab_Calculs[[#This Row],[Colonne1]])),Tab_Calculs[[#This Row],[index_date_livraison]],7)*(1+MIN(Tab_Calculs[[#This Row],[Date_livraison]],Tab_Calculs[[#This Row],[fin mois]])-MAX(Tab_Calculs[[#This Row],[Début mois]],Tab_Calculs[[#This Row],[Début periode livraison]]))</f>
        <v>0</v>
      </c>
      <c r="Q396" t="e">
        <f ca="1">INDEX(INDIRECT(CONCATENATE("Tab_",Tab_Calculs[[#This Row],[Colonne1]])),Tab_Calculs[[#This Row],[index_date_livraison]]+1,7)*(Tab_Calculs[[#This Row],[fin mois]]-MIN(Tab_Calculs[[#This Row],[fin mois]],Tab_Calculs[[#This Row],[Date_livraison]]))</f>
        <v>#VALUE!</v>
      </c>
      <c r="R396" t="e">
        <f ca="1">Tab_Calculs[[#This Row],[Ratio_Cout_après_livr]]+Tab_Calculs[[#This Row],[Ratio_Cout_avant_livr]]+Tab_Calculs[[#This Row],[Ratio_Cout_avant_debut]]</f>
        <v>#VALUE!</v>
      </c>
      <c r="S396" t="str">
        <f ca="1">IFERROR(N396*VLOOKUP(Tab_Calculs[[#This Row],[Colonne1]],Controle_des_données!$B$7:$G$14,6,FALSE),"")</f>
        <v/>
      </c>
      <c r="T396" t="str">
        <f ca="1">IF(Tab_Calculs[[#This Row],[Combustible ]]="Electricité (kWh)",Tab_Calculs[[#This Row],[Conso_mois_kWh]]*2.3,Tab_Calculs[[#This Row],[Conso_mois_kWh]])</f>
        <v/>
      </c>
      <c r="U396" t="str">
        <f ca="1">IFERROR(N396*VLOOKUP(Tab_Calculs[[#This Row],[Colonne1]],Controle_des_données!$B$7:$H$14,7,FALSE),"")</f>
        <v/>
      </c>
      <c r="V396">
        <f ca="1">IFERROR(Tab_Calculs[[#This Row],[Cout_mois]]/Tab_Calculs[[#This Row],[Conso_mois_kWh]],0)</f>
        <v>0</v>
      </c>
      <c r="W396" t="str">
        <f>T(VLOOKUP(Tab_Calculs[[#This Row],[Compteur]],Site!$B$33:$G$40,3,FALSE))</f>
        <v/>
      </c>
      <c r="X396" t="str">
        <f>T(VLOOKUP(Tab_Calculs[[#This Row],[Compteur]],Site!$B$33:$G$40,4,FALSE))</f>
        <v/>
      </c>
      <c r="Y396" t="str">
        <f>T(VLOOKUP(Tab_Calculs[[#This Row],[Compteur]],Site!$B$33:$G$40,5,FALSE))</f>
        <v/>
      </c>
      <c r="Z396" t="str">
        <f>T(VLOOKUP(Tab_Calculs[[#This Row],[Compteur]],Site!$B$33:$G$40,6,FALSE))</f>
        <v/>
      </c>
      <c r="AA396">
        <f>IFERROR(GETPIVOTDATA("DJU(chauffagiste)",BDD_DJU!$P$13,"annee",Tab_Calculs[[#This Row],[ANNEE]],"mois_numero",Tab_Calculs[[#This Row],[MOIS]]),0)</f>
        <v>199.2</v>
      </c>
    </row>
    <row r="397" spans="1:27" x14ac:dyDescent="0.25">
      <c r="A397" s="3">
        <f>DATE(Tab_Calculs[[#This Row],[ANNEE]],Tab_Calculs[[#This Row],[MOIS]],1)</f>
        <v>40299</v>
      </c>
      <c r="B397" s="3">
        <f>EDATE(Tab_Calculs[[#This Row],[Début mois]],1)-1</f>
        <v>40329</v>
      </c>
      <c r="C397">
        <v>5</v>
      </c>
      <c r="D397">
        <v>2010</v>
      </c>
      <c r="E397" t="s">
        <v>82</v>
      </c>
      <c r="F397" t="str">
        <f>SUBSTITUTE(Tab_Calculs[[#This Row],[Compteur]]," ","_")</f>
        <v>Compteur_3</v>
      </c>
      <c r="G397" t="str">
        <f>T(INDEX(Site!$B$33:$G$40, MATCH(Tab_Calculs[[#This Row],[Compteur]], Site!$B$33:$B$40,0),2))</f>
        <v/>
      </c>
      <c r="H397" s="3">
        <f t="array" aca="1" ref="H397" ca="1">MIN(IF(INDIRECT(CONCATENATE(Tab_Calculs[[#This Row],[Colonne1]],"!$B$2:$B$243"))&gt;=Calculs_Consos!$A397,INDIRECT(CONCATENATE(Tab_Calculs[[#This Row],[Colonne1]],"!$B$2:$B$243"))))</f>
        <v>0</v>
      </c>
      <c r="I397" s="3">
        <f ca="1">INDEX(INDIRECT(CONCATENATE("Tab_",Tab_Calculs[[#This Row],[Colonne1]])),Tab_Calculs[[#This Row],[index_date_livraison]],1)</f>
        <v>0</v>
      </c>
      <c r="J397">
        <f ca="1">MATCH(Tab_Calculs[[#This Row],[Date_livraison]],INDIRECT(CONCATENATE("Tab_",Tab_Calculs[[#This Row],[Colonne1]],"[Fin de période]")),0)</f>
        <v>1</v>
      </c>
      <c r="K397" t="e">
        <f ca="1">INDEX(INDIRECT(CONCATENATE("Tab_",Tab_Calculs[[#This Row],[Colonne1]])),Tab_Calculs[[#This Row],[index_date_livraison]]-1,6)*(MAX(Tab_Calculs[[#This Row],[Début periode livraison]],Tab_Calculs[[#This Row],[Début mois]])-Tab_Calculs[[#This Row],[Début mois]])</f>
        <v>#VALUE!</v>
      </c>
      <c r="L397" s="94">
        <f ca="1">INDEX(INDIRECT(CONCATENATE("Tab_",Tab_Calculs[[#This Row],[Colonne1]])),Tab_Calculs[[#This Row],[index_date_livraison]],6)*(1+MIN(Tab_Calculs[[#This Row],[Date_livraison]],Tab_Calculs[[#This Row],[fin mois]])-MAX(Tab_Calculs[[#This Row],[Début mois]],Tab_Calculs[[#This Row],[Début periode livraison]]))</f>
        <v>0</v>
      </c>
      <c r="M397" s="94" t="e">
        <f ca="1">INDEX(INDIRECT(CONCATENATE("Tab_",Tab_Calculs[[#This Row],[Colonne1]])),Tab_Calculs[[#This Row],[index_date_livraison]]+1,6)*(Tab_Calculs[[#This Row],[fin mois]]-MIN(Tab_Calculs[[#This Row],[fin mois]],Tab_Calculs[[#This Row],[Date_livraison]]))</f>
        <v>#VALUE!</v>
      </c>
      <c r="N397" s="231" t="str">
        <f ca="1">IFERROR(Tab_Calculs[[#This Row],[Ratio_jour_après_livr]]+Tab_Calculs[[#This Row],[Ratio_jour_avant_livr]]+Tab_Calculs[[#This Row],[ratio_avant_debut]],"")</f>
        <v/>
      </c>
      <c r="O397" t="e">
        <f ca="1">INDEX(INDIRECT(CONCATENATE("Tab_",Tab_Calculs[[#This Row],[Colonne1]])),Tab_Calculs[[#This Row],[index_date_livraison]]-1,7)*(MAX(Tab_Calculs[[#This Row],[Début periode livraison]],Tab_Calculs[[#This Row],[Début mois]])-Tab_Calculs[[#This Row],[Début mois]])</f>
        <v>#VALUE!</v>
      </c>
      <c r="P397">
        <f ca="1">INDEX(INDIRECT(CONCATENATE("Tab_",Tab_Calculs[[#This Row],[Colonne1]])),Tab_Calculs[[#This Row],[index_date_livraison]],7)*(1+MIN(Tab_Calculs[[#This Row],[Date_livraison]],Tab_Calculs[[#This Row],[fin mois]])-MAX(Tab_Calculs[[#This Row],[Début mois]],Tab_Calculs[[#This Row],[Début periode livraison]]))</f>
        <v>0</v>
      </c>
      <c r="Q397" t="e">
        <f ca="1">INDEX(INDIRECT(CONCATENATE("Tab_",Tab_Calculs[[#This Row],[Colonne1]])),Tab_Calculs[[#This Row],[index_date_livraison]]+1,7)*(Tab_Calculs[[#This Row],[fin mois]]-MIN(Tab_Calculs[[#This Row],[fin mois]],Tab_Calculs[[#This Row],[Date_livraison]]))</f>
        <v>#VALUE!</v>
      </c>
      <c r="R397" t="e">
        <f ca="1">Tab_Calculs[[#This Row],[Ratio_Cout_après_livr]]+Tab_Calculs[[#This Row],[Ratio_Cout_avant_livr]]+Tab_Calculs[[#This Row],[Ratio_Cout_avant_debut]]</f>
        <v>#VALUE!</v>
      </c>
      <c r="S397" t="str">
        <f ca="1">IFERROR(N397*VLOOKUP(Tab_Calculs[[#This Row],[Colonne1]],Controle_des_données!$B$7:$G$14,6,FALSE),"")</f>
        <v/>
      </c>
      <c r="T397" t="str">
        <f ca="1">IF(Tab_Calculs[[#This Row],[Combustible ]]="Electricité (kWh)",Tab_Calculs[[#This Row],[Conso_mois_kWh]]*2.3,Tab_Calculs[[#This Row],[Conso_mois_kWh]])</f>
        <v/>
      </c>
      <c r="U397" t="str">
        <f ca="1">IFERROR(N397*VLOOKUP(Tab_Calculs[[#This Row],[Colonne1]],Controle_des_données!$B$7:$H$14,7,FALSE),"")</f>
        <v/>
      </c>
      <c r="V397">
        <f ca="1">IFERROR(Tab_Calculs[[#This Row],[Cout_mois]]/Tab_Calculs[[#This Row],[Conso_mois_kWh]],0)</f>
        <v>0</v>
      </c>
      <c r="W397" t="str">
        <f>T(VLOOKUP(Tab_Calculs[[#This Row],[Compteur]],Site!$B$33:$G$40,3,FALSE))</f>
        <v/>
      </c>
      <c r="X397" t="str">
        <f>T(VLOOKUP(Tab_Calculs[[#This Row],[Compteur]],Site!$B$33:$G$40,4,FALSE))</f>
        <v/>
      </c>
      <c r="Y397" t="str">
        <f>T(VLOOKUP(Tab_Calculs[[#This Row],[Compteur]],Site!$B$33:$G$40,5,FALSE))</f>
        <v/>
      </c>
      <c r="Z397" t="str">
        <f>T(VLOOKUP(Tab_Calculs[[#This Row],[Compteur]],Site!$B$33:$G$40,6,FALSE))</f>
        <v/>
      </c>
      <c r="AA397">
        <f>IFERROR(GETPIVOTDATA("DJU(chauffagiste)",BDD_DJU!$P$13,"annee",Tab_Calculs[[#This Row],[ANNEE]],"mois_numero",Tab_Calculs[[#This Row],[MOIS]]),0)</f>
        <v>155.4</v>
      </c>
    </row>
    <row r="398" spans="1:27" x14ac:dyDescent="0.25">
      <c r="A398" s="3">
        <f>DATE(Tab_Calculs[[#This Row],[ANNEE]],Tab_Calculs[[#This Row],[MOIS]],1)</f>
        <v>40330</v>
      </c>
      <c r="B398" s="3">
        <f>EDATE(Tab_Calculs[[#This Row],[Début mois]],1)-1</f>
        <v>40359</v>
      </c>
      <c r="C398">
        <v>6</v>
      </c>
      <c r="D398">
        <v>2010</v>
      </c>
      <c r="E398" t="s">
        <v>82</v>
      </c>
      <c r="F398" t="str">
        <f>SUBSTITUTE(Tab_Calculs[[#This Row],[Compteur]]," ","_")</f>
        <v>Compteur_3</v>
      </c>
      <c r="G398" t="str">
        <f>T(INDEX(Site!$B$33:$G$40, MATCH(Tab_Calculs[[#This Row],[Compteur]], Site!$B$33:$B$40,0),2))</f>
        <v/>
      </c>
      <c r="H398" s="3">
        <f t="array" aca="1" ref="H398" ca="1">MIN(IF(INDIRECT(CONCATENATE(Tab_Calculs[[#This Row],[Colonne1]],"!$B$2:$B$243"))&gt;=Calculs_Consos!$A398,INDIRECT(CONCATENATE(Tab_Calculs[[#This Row],[Colonne1]],"!$B$2:$B$243"))))</f>
        <v>0</v>
      </c>
      <c r="I398" s="3">
        <f ca="1">INDEX(INDIRECT(CONCATENATE("Tab_",Tab_Calculs[[#This Row],[Colonne1]])),Tab_Calculs[[#This Row],[index_date_livraison]],1)</f>
        <v>0</v>
      </c>
      <c r="J398">
        <f ca="1">MATCH(Tab_Calculs[[#This Row],[Date_livraison]],INDIRECT(CONCATENATE("Tab_",Tab_Calculs[[#This Row],[Colonne1]],"[Fin de période]")),0)</f>
        <v>1</v>
      </c>
      <c r="K398" t="e">
        <f ca="1">INDEX(INDIRECT(CONCATENATE("Tab_",Tab_Calculs[[#This Row],[Colonne1]])),Tab_Calculs[[#This Row],[index_date_livraison]]-1,6)*(MAX(Tab_Calculs[[#This Row],[Début periode livraison]],Tab_Calculs[[#This Row],[Début mois]])-Tab_Calculs[[#This Row],[Début mois]])</f>
        <v>#VALUE!</v>
      </c>
      <c r="L398" s="94">
        <f ca="1">INDEX(INDIRECT(CONCATENATE("Tab_",Tab_Calculs[[#This Row],[Colonne1]])),Tab_Calculs[[#This Row],[index_date_livraison]],6)*(1+MIN(Tab_Calculs[[#This Row],[Date_livraison]],Tab_Calculs[[#This Row],[fin mois]])-MAX(Tab_Calculs[[#This Row],[Début mois]],Tab_Calculs[[#This Row],[Début periode livraison]]))</f>
        <v>0</v>
      </c>
      <c r="M398" s="94" t="e">
        <f ca="1">INDEX(INDIRECT(CONCATENATE("Tab_",Tab_Calculs[[#This Row],[Colonne1]])),Tab_Calculs[[#This Row],[index_date_livraison]]+1,6)*(Tab_Calculs[[#This Row],[fin mois]]-MIN(Tab_Calculs[[#This Row],[fin mois]],Tab_Calculs[[#This Row],[Date_livraison]]))</f>
        <v>#VALUE!</v>
      </c>
      <c r="N398" s="231" t="str">
        <f ca="1">IFERROR(Tab_Calculs[[#This Row],[Ratio_jour_après_livr]]+Tab_Calculs[[#This Row],[Ratio_jour_avant_livr]]+Tab_Calculs[[#This Row],[ratio_avant_debut]],"")</f>
        <v/>
      </c>
      <c r="O398" t="e">
        <f ca="1">INDEX(INDIRECT(CONCATENATE("Tab_",Tab_Calculs[[#This Row],[Colonne1]])),Tab_Calculs[[#This Row],[index_date_livraison]]-1,7)*(MAX(Tab_Calculs[[#This Row],[Début periode livraison]],Tab_Calculs[[#This Row],[Début mois]])-Tab_Calculs[[#This Row],[Début mois]])</f>
        <v>#VALUE!</v>
      </c>
      <c r="P398">
        <f ca="1">INDEX(INDIRECT(CONCATENATE("Tab_",Tab_Calculs[[#This Row],[Colonne1]])),Tab_Calculs[[#This Row],[index_date_livraison]],7)*(1+MIN(Tab_Calculs[[#This Row],[Date_livraison]],Tab_Calculs[[#This Row],[fin mois]])-MAX(Tab_Calculs[[#This Row],[Début mois]],Tab_Calculs[[#This Row],[Début periode livraison]]))</f>
        <v>0</v>
      </c>
      <c r="Q398" t="e">
        <f ca="1">INDEX(INDIRECT(CONCATENATE("Tab_",Tab_Calculs[[#This Row],[Colonne1]])),Tab_Calculs[[#This Row],[index_date_livraison]]+1,7)*(Tab_Calculs[[#This Row],[fin mois]]-MIN(Tab_Calculs[[#This Row],[fin mois]],Tab_Calculs[[#This Row],[Date_livraison]]))</f>
        <v>#VALUE!</v>
      </c>
      <c r="R398" t="e">
        <f ca="1">Tab_Calculs[[#This Row],[Ratio_Cout_après_livr]]+Tab_Calculs[[#This Row],[Ratio_Cout_avant_livr]]+Tab_Calculs[[#This Row],[Ratio_Cout_avant_debut]]</f>
        <v>#VALUE!</v>
      </c>
      <c r="S398" t="str">
        <f ca="1">IFERROR(N398*VLOOKUP(Tab_Calculs[[#This Row],[Colonne1]],Controle_des_données!$B$7:$G$14,6,FALSE),"")</f>
        <v/>
      </c>
      <c r="T398" t="str">
        <f ca="1">IF(Tab_Calculs[[#This Row],[Combustible ]]="Electricité (kWh)",Tab_Calculs[[#This Row],[Conso_mois_kWh]]*2.3,Tab_Calculs[[#This Row],[Conso_mois_kWh]])</f>
        <v/>
      </c>
      <c r="U398" t="str">
        <f ca="1">IFERROR(N398*VLOOKUP(Tab_Calculs[[#This Row],[Colonne1]],Controle_des_données!$B$7:$H$14,7,FALSE),"")</f>
        <v/>
      </c>
      <c r="V398">
        <f ca="1">IFERROR(Tab_Calculs[[#This Row],[Cout_mois]]/Tab_Calculs[[#This Row],[Conso_mois_kWh]],0)</f>
        <v>0</v>
      </c>
      <c r="W398" t="str">
        <f>T(VLOOKUP(Tab_Calculs[[#This Row],[Compteur]],Site!$B$33:$G$40,3,FALSE))</f>
        <v/>
      </c>
      <c r="X398" t="str">
        <f>T(VLOOKUP(Tab_Calculs[[#This Row],[Compteur]],Site!$B$33:$G$40,4,FALSE))</f>
        <v/>
      </c>
      <c r="Y398" t="str">
        <f>T(VLOOKUP(Tab_Calculs[[#This Row],[Compteur]],Site!$B$33:$G$40,5,FALSE))</f>
        <v/>
      </c>
      <c r="Z398" t="str">
        <f>T(VLOOKUP(Tab_Calculs[[#This Row],[Compteur]],Site!$B$33:$G$40,6,FALSE))</f>
        <v/>
      </c>
      <c r="AA398">
        <f>IFERROR(GETPIVOTDATA("DJU(chauffagiste)",BDD_DJU!$P$13,"annee",Tab_Calculs[[#This Row],[ANNEE]],"mois_numero",Tab_Calculs[[#This Row],[MOIS]]),0)</f>
        <v>46.7</v>
      </c>
    </row>
    <row r="399" spans="1:27" x14ac:dyDescent="0.25">
      <c r="A399" s="3">
        <f>DATE(Tab_Calculs[[#This Row],[ANNEE]],Tab_Calculs[[#This Row],[MOIS]],1)</f>
        <v>40360</v>
      </c>
      <c r="B399" s="3">
        <f>EDATE(Tab_Calculs[[#This Row],[Début mois]],1)-1</f>
        <v>40390</v>
      </c>
      <c r="C399">
        <v>7</v>
      </c>
      <c r="D399">
        <v>2010</v>
      </c>
      <c r="E399" t="s">
        <v>82</v>
      </c>
      <c r="F399" t="str">
        <f>SUBSTITUTE(Tab_Calculs[[#This Row],[Compteur]]," ","_")</f>
        <v>Compteur_3</v>
      </c>
      <c r="G399" t="str">
        <f>T(INDEX(Site!$B$33:$G$40, MATCH(Tab_Calculs[[#This Row],[Compteur]], Site!$B$33:$B$40,0),2))</f>
        <v/>
      </c>
      <c r="H399" s="3">
        <f t="array" aca="1" ref="H399" ca="1">MIN(IF(INDIRECT(CONCATENATE(Tab_Calculs[[#This Row],[Colonne1]],"!$B$2:$B$243"))&gt;=Calculs_Consos!$A399,INDIRECT(CONCATENATE(Tab_Calculs[[#This Row],[Colonne1]],"!$B$2:$B$243"))))</f>
        <v>0</v>
      </c>
      <c r="I399" s="3">
        <f ca="1">INDEX(INDIRECT(CONCATENATE("Tab_",Tab_Calculs[[#This Row],[Colonne1]])),Tab_Calculs[[#This Row],[index_date_livraison]],1)</f>
        <v>0</v>
      </c>
      <c r="J399">
        <f ca="1">MATCH(Tab_Calculs[[#This Row],[Date_livraison]],INDIRECT(CONCATENATE("Tab_",Tab_Calculs[[#This Row],[Colonne1]],"[Fin de période]")),0)</f>
        <v>1</v>
      </c>
      <c r="K399" t="e">
        <f ca="1">INDEX(INDIRECT(CONCATENATE("Tab_",Tab_Calculs[[#This Row],[Colonne1]])),Tab_Calculs[[#This Row],[index_date_livraison]]-1,6)*(MAX(Tab_Calculs[[#This Row],[Début periode livraison]],Tab_Calculs[[#This Row],[Début mois]])-Tab_Calculs[[#This Row],[Début mois]])</f>
        <v>#VALUE!</v>
      </c>
      <c r="L399" s="94">
        <f ca="1">INDEX(INDIRECT(CONCATENATE("Tab_",Tab_Calculs[[#This Row],[Colonne1]])),Tab_Calculs[[#This Row],[index_date_livraison]],6)*(1+MIN(Tab_Calculs[[#This Row],[Date_livraison]],Tab_Calculs[[#This Row],[fin mois]])-MAX(Tab_Calculs[[#This Row],[Début mois]],Tab_Calculs[[#This Row],[Début periode livraison]]))</f>
        <v>0</v>
      </c>
      <c r="M399" s="94" t="e">
        <f ca="1">INDEX(INDIRECT(CONCATENATE("Tab_",Tab_Calculs[[#This Row],[Colonne1]])),Tab_Calculs[[#This Row],[index_date_livraison]]+1,6)*(Tab_Calculs[[#This Row],[fin mois]]-MIN(Tab_Calculs[[#This Row],[fin mois]],Tab_Calculs[[#This Row],[Date_livraison]]))</f>
        <v>#VALUE!</v>
      </c>
      <c r="N399" s="231" t="str">
        <f ca="1">IFERROR(Tab_Calculs[[#This Row],[Ratio_jour_après_livr]]+Tab_Calculs[[#This Row],[Ratio_jour_avant_livr]]+Tab_Calculs[[#This Row],[ratio_avant_debut]],"")</f>
        <v/>
      </c>
      <c r="O399" t="e">
        <f ca="1">INDEX(INDIRECT(CONCATENATE("Tab_",Tab_Calculs[[#This Row],[Colonne1]])),Tab_Calculs[[#This Row],[index_date_livraison]]-1,7)*(MAX(Tab_Calculs[[#This Row],[Début periode livraison]],Tab_Calculs[[#This Row],[Début mois]])-Tab_Calculs[[#This Row],[Début mois]])</f>
        <v>#VALUE!</v>
      </c>
      <c r="P399">
        <f ca="1">INDEX(INDIRECT(CONCATENATE("Tab_",Tab_Calculs[[#This Row],[Colonne1]])),Tab_Calculs[[#This Row],[index_date_livraison]],7)*(1+MIN(Tab_Calculs[[#This Row],[Date_livraison]],Tab_Calculs[[#This Row],[fin mois]])-MAX(Tab_Calculs[[#This Row],[Début mois]],Tab_Calculs[[#This Row],[Début periode livraison]]))</f>
        <v>0</v>
      </c>
      <c r="Q399" t="e">
        <f ca="1">INDEX(INDIRECT(CONCATENATE("Tab_",Tab_Calculs[[#This Row],[Colonne1]])),Tab_Calculs[[#This Row],[index_date_livraison]]+1,7)*(Tab_Calculs[[#This Row],[fin mois]]-MIN(Tab_Calculs[[#This Row],[fin mois]],Tab_Calculs[[#This Row],[Date_livraison]]))</f>
        <v>#VALUE!</v>
      </c>
      <c r="R399" t="e">
        <f ca="1">Tab_Calculs[[#This Row],[Ratio_Cout_après_livr]]+Tab_Calculs[[#This Row],[Ratio_Cout_avant_livr]]+Tab_Calculs[[#This Row],[Ratio_Cout_avant_debut]]</f>
        <v>#VALUE!</v>
      </c>
      <c r="S399" t="str">
        <f ca="1">IFERROR(N399*VLOOKUP(Tab_Calculs[[#This Row],[Colonne1]],Controle_des_données!$B$7:$G$14,6,FALSE),"")</f>
        <v/>
      </c>
      <c r="T399" t="str">
        <f ca="1">IF(Tab_Calculs[[#This Row],[Combustible ]]="Electricité (kWh)",Tab_Calculs[[#This Row],[Conso_mois_kWh]]*2.3,Tab_Calculs[[#This Row],[Conso_mois_kWh]])</f>
        <v/>
      </c>
      <c r="U399" t="str">
        <f ca="1">IFERROR(N399*VLOOKUP(Tab_Calculs[[#This Row],[Colonne1]],Controle_des_données!$B$7:$H$14,7,FALSE),"")</f>
        <v/>
      </c>
      <c r="V399">
        <f ca="1">IFERROR(Tab_Calculs[[#This Row],[Cout_mois]]/Tab_Calculs[[#This Row],[Conso_mois_kWh]],0)</f>
        <v>0</v>
      </c>
      <c r="W399" t="str">
        <f>T(VLOOKUP(Tab_Calculs[[#This Row],[Compteur]],Site!$B$33:$G$40,3,FALSE))</f>
        <v/>
      </c>
      <c r="X399" t="str">
        <f>T(VLOOKUP(Tab_Calculs[[#This Row],[Compteur]],Site!$B$33:$G$40,4,FALSE))</f>
        <v/>
      </c>
      <c r="Y399" t="str">
        <f>T(VLOOKUP(Tab_Calculs[[#This Row],[Compteur]],Site!$B$33:$G$40,5,FALSE))</f>
        <v/>
      </c>
      <c r="Z399" t="str">
        <f>T(VLOOKUP(Tab_Calculs[[#This Row],[Compteur]],Site!$B$33:$G$40,6,FALSE))</f>
        <v/>
      </c>
      <c r="AA399">
        <f>IFERROR(GETPIVOTDATA("DJU(chauffagiste)",BDD_DJU!$P$13,"annee",Tab_Calculs[[#This Row],[ANNEE]],"mois_numero",Tab_Calculs[[#This Row],[MOIS]]),0)</f>
        <v>22.2</v>
      </c>
    </row>
    <row r="400" spans="1:27" x14ac:dyDescent="0.25">
      <c r="A400" s="3">
        <f>DATE(Tab_Calculs[[#This Row],[ANNEE]],Tab_Calculs[[#This Row],[MOIS]],1)</f>
        <v>40391</v>
      </c>
      <c r="B400" s="3">
        <f>EDATE(Tab_Calculs[[#This Row],[Début mois]],1)-1</f>
        <v>40421</v>
      </c>
      <c r="C400">
        <v>8</v>
      </c>
      <c r="D400">
        <v>2010</v>
      </c>
      <c r="E400" t="s">
        <v>82</v>
      </c>
      <c r="F400" t="str">
        <f>SUBSTITUTE(Tab_Calculs[[#This Row],[Compteur]]," ","_")</f>
        <v>Compteur_3</v>
      </c>
      <c r="G400" t="str">
        <f>T(INDEX(Site!$B$33:$G$40, MATCH(Tab_Calculs[[#This Row],[Compteur]], Site!$B$33:$B$40,0),2))</f>
        <v/>
      </c>
      <c r="H400" s="3">
        <f t="array" aca="1" ref="H400" ca="1">MIN(IF(INDIRECT(CONCATENATE(Tab_Calculs[[#This Row],[Colonne1]],"!$B$2:$B$243"))&gt;=Calculs_Consos!$A400,INDIRECT(CONCATENATE(Tab_Calculs[[#This Row],[Colonne1]],"!$B$2:$B$243"))))</f>
        <v>0</v>
      </c>
      <c r="I400" s="3">
        <f ca="1">INDEX(INDIRECT(CONCATENATE("Tab_",Tab_Calculs[[#This Row],[Colonne1]])),Tab_Calculs[[#This Row],[index_date_livraison]],1)</f>
        <v>0</v>
      </c>
      <c r="J400">
        <f ca="1">MATCH(Tab_Calculs[[#This Row],[Date_livraison]],INDIRECT(CONCATENATE("Tab_",Tab_Calculs[[#This Row],[Colonne1]],"[Fin de période]")),0)</f>
        <v>1</v>
      </c>
      <c r="K400" t="e">
        <f ca="1">INDEX(INDIRECT(CONCATENATE("Tab_",Tab_Calculs[[#This Row],[Colonne1]])),Tab_Calculs[[#This Row],[index_date_livraison]]-1,6)*(MAX(Tab_Calculs[[#This Row],[Début periode livraison]],Tab_Calculs[[#This Row],[Début mois]])-Tab_Calculs[[#This Row],[Début mois]])</f>
        <v>#VALUE!</v>
      </c>
      <c r="L400" s="94">
        <f ca="1">INDEX(INDIRECT(CONCATENATE("Tab_",Tab_Calculs[[#This Row],[Colonne1]])),Tab_Calculs[[#This Row],[index_date_livraison]],6)*(1+MIN(Tab_Calculs[[#This Row],[Date_livraison]],Tab_Calculs[[#This Row],[fin mois]])-MAX(Tab_Calculs[[#This Row],[Début mois]],Tab_Calculs[[#This Row],[Début periode livraison]]))</f>
        <v>0</v>
      </c>
      <c r="M400" s="94" t="e">
        <f ca="1">INDEX(INDIRECT(CONCATENATE("Tab_",Tab_Calculs[[#This Row],[Colonne1]])),Tab_Calculs[[#This Row],[index_date_livraison]]+1,6)*(Tab_Calculs[[#This Row],[fin mois]]-MIN(Tab_Calculs[[#This Row],[fin mois]],Tab_Calculs[[#This Row],[Date_livraison]]))</f>
        <v>#VALUE!</v>
      </c>
      <c r="N400" s="231" t="str">
        <f ca="1">IFERROR(Tab_Calculs[[#This Row],[Ratio_jour_après_livr]]+Tab_Calculs[[#This Row],[Ratio_jour_avant_livr]]+Tab_Calculs[[#This Row],[ratio_avant_debut]],"")</f>
        <v/>
      </c>
      <c r="O400" t="e">
        <f ca="1">INDEX(INDIRECT(CONCATENATE("Tab_",Tab_Calculs[[#This Row],[Colonne1]])),Tab_Calculs[[#This Row],[index_date_livraison]]-1,7)*(MAX(Tab_Calculs[[#This Row],[Début periode livraison]],Tab_Calculs[[#This Row],[Début mois]])-Tab_Calculs[[#This Row],[Début mois]])</f>
        <v>#VALUE!</v>
      </c>
      <c r="P400">
        <f ca="1">INDEX(INDIRECT(CONCATENATE("Tab_",Tab_Calculs[[#This Row],[Colonne1]])),Tab_Calculs[[#This Row],[index_date_livraison]],7)*(1+MIN(Tab_Calculs[[#This Row],[Date_livraison]],Tab_Calculs[[#This Row],[fin mois]])-MAX(Tab_Calculs[[#This Row],[Début mois]],Tab_Calculs[[#This Row],[Début periode livraison]]))</f>
        <v>0</v>
      </c>
      <c r="Q400" t="e">
        <f ca="1">INDEX(INDIRECT(CONCATENATE("Tab_",Tab_Calculs[[#This Row],[Colonne1]])),Tab_Calculs[[#This Row],[index_date_livraison]]+1,7)*(Tab_Calculs[[#This Row],[fin mois]]-MIN(Tab_Calculs[[#This Row],[fin mois]],Tab_Calculs[[#This Row],[Date_livraison]]))</f>
        <v>#VALUE!</v>
      </c>
      <c r="R400" t="e">
        <f ca="1">Tab_Calculs[[#This Row],[Ratio_Cout_après_livr]]+Tab_Calculs[[#This Row],[Ratio_Cout_avant_livr]]+Tab_Calculs[[#This Row],[Ratio_Cout_avant_debut]]</f>
        <v>#VALUE!</v>
      </c>
      <c r="S400" t="str">
        <f ca="1">IFERROR(N400*VLOOKUP(Tab_Calculs[[#This Row],[Colonne1]],Controle_des_données!$B$7:$G$14,6,FALSE),"")</f>
        <v/>
      </c>
      <c r="T400" t="str">
        <f ca="1">IF(Tab_Calculs[[#This Row],[Combustible ]]="Electricité (kWh)",Tab_Calculs[[#This Row],[Conso_mois_kWh]]*2.3,Tab_Calculs[[#This Row],[Conso_mois_kWh]])</f>
        <v/>
      </c>
      <c r="U400" t="str">
        <f ca="1">IFERROR(N400*VLOOKUP(Tab_Calculs[[#This Row],[Colonne1]],Controle_des_données!$B$7:$H$14,7,FALSE),"")</f>
        <v/>
      </c>
      <c r="V400">
        <f ca="1">IFERROR(Tab_Calculs[[#This Row],[Cout_mois]]/Tab_Calculs[[#This Row],[Conso_mois_kWh]],0)</f>
        <v>0</v>
      </c>
      <c r="W400" t="str">
        <f>T(VLOOKUP(Tab_Calculs[[#This Row],[Compteur]],Site!$B$33:$G$40,3,FALSE))</f>
        <v/>
      </c>
      <c r="X400" t="str">
        <f>T(VLOOKUP(Tab_Calculs[[#This Row],[Compteur]],Site!$B$33:$G$40,4,FALSE))</f>
        <v/>
      </c>
      <c r="Y400" t="str">
        <f>T(VLOOKUP(Tab_Calculs[[#This Row],[Compteur]],Site!$B$33:$G$40,5,FALSE))</f>
        <v/>
      </c>
      <c r="Z400" t="str">
        <f>T(VLOOKUP(Tab_Calculs[[#This Row],[Compteur]],Site!$B$33:$G$40,6,FALSE))</f>
        <v/>
      </c>
      <c r="AA400">
        <f>IFERROR(GETPIVOTDATA("DJU(chauffagiste)",BDD_DJU!$P$13,"annee",Tab_Calculs[[#This Row],[ANNEE]],"mois_numero",Tab_Calculs[[#This Row],[MOIS]]),0)</f>
        <v>41.5</v>
      </c>
    </row>
    <row r="401" spans="1:27" x14ac:dyDescent="0.25">
      <c r="A401" s="3">
        <f>DATE(Tab_Calculs[[#This Row],[ANNEE]],Tab_Calculs[[#This Row],[MOIS]],1)</f>
        <v>40422</v>
      </c>
      <c r="B401" s="3">
        <f>EDATE(Tab_Calculs[[#This Row],[Début mois]],1)-1</f>
        <v>40451</v>
      </c>
      <c r="C401">
        <v>9</v>
      </c>
      <c r="D401">
        <v>2010</v>
      </c>
      <c r="E401" t="s">
        <v>82</v>
      </c>
      <c r="F401" t="str">
        <f>SUBSTITUTE(Tab_Calculs[[#This Row],[Compteur]]," ","_")</f>
        <v>Compteur_3</v>
      </c>
      <c r="G401" t="str">
        <f>T(INDEX(Site!$B$33:$G$40, MATCH(Tab_Calculs[[#This Row],[Compteur]], Site!$B$33:$B$40,0),2))</f>
        <v/>
      </c>
      <c r="H401" s="3">
        <f t="array" aca="1" ref="H401" ca="1">MIN(IF(INDIRECT(CONCATENATE(Tab_Calculs[[#This Row],[Colonne1]],"!$B$2:$B$243"))&gt;=Calculs_Consos!$A401,INDIRECT(CONCATENATE(Tab_Calculs[[#This Row],[Colonne1]],"!$B$2:$B$243"))))</f>
        <v>0</v>
      </c>
      <c r="I401" s="3">
        <f ca="1">INDEX(INDIRECT(CONCATENATE("Tab_",Tab_Calculs[[#This Row],[Colonne1]])),Tab_Calculs[[#This Row],[index_date_livraison]],1)</f>
        <v>0</v>
      </c>
      <c r="J401">
        <f ca="1">MATCH(Tab_Calculs[[#This Row],[Date_livraison]],INDIRECT(CONCATENATE("Tab_",Tab_Calculs[[#This Row],[Colonne1]],"[Fin de période]")),0)</f>
        <v>1</v>
      </c>
      <c r="K401" t="e">
        <f ca="1">INDEX(INDIRECT(CONCATENATE("Tab_",Tab_Calculs[[#This Row],[Colonne1]])),Tab_Calculs[[#This Row],[index_date_livraison]]-1,6)*(MAX(Tab_Calculs[[#This Row],[Début periode livraison]],Tab_Calculs[[#This Row],[Début mois]])-Tab_Calculs[[#This Row],[Début mois]])</f>
        <v>#VALUE!</v>
      </c>
      <c r="L401" s="94">
        <f ca="1">INDEX(INDIRECT(CONCATENATE("Tab_",Tab_Calculs[[#This Row],[Colonne1]])),Tab_Calculs[[#This Row],[index_date_livraison]],6)*(1+MIN(Tab_Calculs[[#This Row],[Date_livraison]],Tab_Calculs[[#This Row],[fin mois]])-MAX(Tab_Calculs[[#This Row],[Début mois]],Tab_Calculs[[#This Row],[Début periode livraison]]))</f>
        <v>0</v>
      </c>
      <c r="M401" s="94" t="e">
        <f ca="1">INDEX(INDIRECT(CONCATENATE("Tab_",Tab_Calculs[[#This Row],[Colonne1]])),Tab_Calculs[[#This Row],[index_date_livraison]]+1,6)*(Tab_Calculs[[#This Row],[fin mois]]-MIN(Tab_Calculs[[#This Row],[fin mois]],Tab_Calculs[[#This Row],[Date_livraison]]))</f>
        <v>#VALUE!</v>
      </c>
      <c r="N401" s="231" t="str">
        <f ca="1">IFERROR(Tab_Calculs[[#This Row],[Ratio_jour_après_livr]]+Tab_Calculs[[#This Row],[Ratio_jour_avant_livr]]+Tab_Calculs[[#This Row],[ratio_avant_debut]],"")</f>
        <v/>
      </c>
      <c r="O401" t="e">
        <f ca="1">INDEX(INDIRECT(CONCATENATE("Tab_",Tab_Calculs[[#This Row],[Colonne1]])),Tab_Calculs[[#This Row],[index_date_livraison]]-1,7)*(MAX(Tab_Calculs[[#This Row],[Début periode livraison]],Tab_Calculs[[#This Row],[Début mois]])-Tab_Calculs[[#This Row],[Début mois]])</f>
        <v>#VALUE!</v>
      </c>
      <c r="P401">
        <f ca="1">INDEX(INDIRECT(CONCATENATE("Tab_",Tab_Calculs[[#This Row],[Colonne1]])),Tab_Calculs[[#This Row],[index_date_livraison]],7)*(1+MIN(Tab_Calculs[[#This Row],[Date_livraison]],Tab_Calculs[[#This Row],[fin mois]])-MAX(Tab_Calculs[[#This Row],[Début mois]],Tab_Calculs[[#This Row],[Début periode livraison]]))</f>
        <v>0</v>
      </c>
      <c r="Q401" t="e">
        <f ca="1">INDEX(INDIRECT(CONCATENATE("Tab_",Tab_Calculs[[#This Row],[Colonne1]])),Tab_Calculs[[#This Row],[index_date_livraison]]+1,7)*(Tab_Calculs[[#This Row],[fin mois]]-MIN(Tab_Calculs[[#This Row],[fin mois]],Tab_Calculs[[#This Row],[Date_livraison]]))</f>
        <v>#VALUE!</v>
      </c>
      <c r="R401" t="e">
        <f ca="1">Tab_Calculs[[#This Row],[Ratio_Cout_après_livr]]+Tab_Calculs[[#This Row],[Ratio_Cout_avant_livr]]+Tab_Calculs[[#This Row],[Ratio_Cout_avant_debut]]</f>
        <v>#VALUE!</v>
      </c>
      <c r="S401" t="str">
        <f ca="1">IFERROR(N401*VLOOKUP(Tab_Calculs[[#This Row],[Colonne1]],Controle_des_données!$B$7:$G$14,6,FALSE),"")</f>
        <v/>
      </c>
      <c r="T401" t="str">
        <f ca="1">IF(Tab_Calculs[[#This Row],[Combustible ]]="Electricité (kWh)",Tab_Calculs[[#This Row],[Conso_mois_kWh]]*2.3,Tab_Calculs[[#This Row],[Conso_mois_kWh]])</f>
        <v/>
      </c>
      <c r="U401" t="str">
        <f ca="1">IFERROR(N401*VLOOKUP(Tab_Calculs[[#This Row],[Colonne1]],Controle_des_données!$B$7:$H$14,7,FALSE),"")</f>
        <v/>
      </c>
      <c r="V401">
        <f ca="1">IFERROR(Tab_Calculs[[#This Row],[Cout_mois]]/Tab_Calculs[[#This Row],[Conso_mois_kWh]],0)</f>
        <v>0</v>
      </c>
      <c r="W401" t="str">
        <f>T(VLOOKUP(Tab_Calculs[[#This Row],[Compteur]],Site!$B$33:$G$40,3,FALSE))</f>
        <v/>
      </c>
      <c r="X401" t="str">
        <f>T(VLOOKUP(Tab_Calculs[[#This Row],[Compteur]],Site!$B$33:$G$40,4,FALSE))</f>
        <v/>
      </c>
      <c r="Y401" t="str">
        <f>T(VLOOKUP(Tab_Calculs[[#This Row],[Compteur]],Site!$B$33:$G$40,5,FALSE))</f>
        <v/>
      </c>
      <c r="Z401" t="str">
        <f>T(VLOOKUP(Tab_Calculs[[#This Row],[Compteur]],Site!$B$33:$G$40,6,FALSE))</f>
        <v/>
      </c>
      <c r="AA401">
        <f>IFERROR(GETPIVOTDATA("DJU(chauffagiste)",BDD_DJU!$P$13,"annee",Tab_Calculs[[#This Row],[ANNEE]],"mois_numero",Tab_Calculs[[#This Row],[MOIS]]),0)</f>
        <v>95.4</v>
      </c>
    </row>
    <row r="402" spans="1:27" x14ac:dyDescent="0.25">
      <c r="A402" s="3">
        <f>DATE(Tab_Calculs[[#This Row],[ANNEE]],Tab_Calculs[[#This Row],[MOIS]],1)</f>
        <v>40452</v>
      </c>
      <c r="B402" s="3">
        <f>EDATE(Tab_Calculs[[#This Row],[Début mois]],1)-1</f>
        <v>40482</v>
      </c>
      <c r="C402">
        <v>10</v>
      </c>
      <c r="D402">
        <v>2010</v>
      </c>
      <c r="E402" t="s">
        <v>82</v>
      </c>
      <c r="F402" t="str">
        <f>SUBSTITUTE(Tab_Calculs[[#This Row],[Compteur]]," ","_")</f>
        <v>Compteur_3</v>
      </c>
      <c r="G402" t="str">
        <f>T(INDEX(Site!$B$33:$G$40, MATCH(Tab_Calculs[[#This Row],[Compteur]], Site!$B$33:$B$40,0),2))</f>
        <v/>
      </c>
      <c r="H402" s="3">
        <f t="array" aca="1" ref="H402" ca="1">MIN(IF(INDIRECT(CONCATENATE(Tab_Calculs[[#This Row],[Colonne1]],"!$B$2:$B$243"))&gt;=Calculs_Consos!$A402,INDIRECT(CONCATENATE(Tab_Calculs[[#This Row],[Colonne1]],"!$B$2:$B$243"))))</f>
        <v>0</v>
      </c>
      <c r="I402" s="3">
        <f ca="1">INDEX(INDIRECT(CONCATENATE("Tab_",Tab_Calculs[[#This Row],[Colonne1]])),Tab_Calculs[[#This Row],[index_date_livraison]],1)</f>
        <v>0</v>
      </c>
      <c r="J402">
        <f ca="1">MATCH(Tab_Calculs[[#This Row],[Date_livraison]],INDIRECT(CONCATENATE("Tab_",Tab_Calculs[[#This Row],[Colonne1]],"[Fin de période]")),0)</f>
        <v>1</v>
      </c>
      <c r="K402" t="e">
        <f ca="1">INDEX(INDIRECT(CONCATENATE("Tab_",Tab_Calculs[[#This Row],[Colonne1]])),Tab_Calculs[[#This Row],[index_date_livraison]]-1,6)*(MAX(Tab_Calculs[[#This Row],[Début periode livraison]],Tab_Calculs[[#This Row],[Début mois]])-Tab_Calculs[[#This Row],[Début mois]])</f>
        <v>#VALUE!</v>
      </c>
      <c r="L402" s="94">
        <f ca="1">INDEX(INDIRECT(CONCATENATE("Tab_",Tab_Calculs[[#This Row],[Colonne1]])),Tab_Calculs[[#This Row],[index_date_livraison]],6)*(1+MIN(Tab_Calculs[[#This Row],[Date_livraison]],Tab_Calculs[[#This Row],[fin mois]])-MAX(Tab_Calculs[[#This Row],[Début mois]],Tab_Calculs[[#This Row],[Début periode livraison]]))</f>
        <v>0</v>
      </c>
      <c r="M402" s="94" t="e">
        <f ca="1">INDEX(INDIRECT(CONCATENATE("Tab_",Tab_Calculs[[#This Row],[Colonne1]])),Tab_Calculs[[#This Row],[index_date_livraison]]+1,6)*(Tab_Calculs[[#This Row],[fin mois]]-MIN(Tab_Calculs[[#This Row],[fin mois]],Tab_Calculs[[#This Row],[Date_livraison]]))</f>
        <v>#VALUE!</v>
      </c>
      <c r="N402" s="231" t="str">
        <f ca="1">IFERROR(Tab_Calculs[[#This Row],[Ratio_jour_après_livr]]+Tab_Calculs[[#This Row],[Ratio_jour_avant_livr]]+Tab_Calculs[[#This Row],[ratio_avant_debut]],"")</f>
        <v/>
      </c>
      <c r="O402" t="e">
        <f ca="1">INDEX(INDIRECT(CONCATENATE("Tab_",Tab_Calculs[[#This Row],[Colonne1]])),Tab_Calculs[[#This Row],[index_date_livraison]]-1,7)*(MAX(Tab_Calculs[[#This Row],[Début periode livraison]],Tab_Calculs[[#This Row],[Début mois]])-Tab_Calculs[[#This Row],[Début mois]])</f>
        <v>#VALUE!</v>
      </c>
      <c r="P402">
        <f ca="1">INDEX(INDIRECT(CONCATENATE("Tab_",Tab_Calculs[[#This Row],[Colonne1]])),Tab_Calculs[[#This Row],[index_date_livraison]],7)*(1+MIN(Tab_Calculs[[#This Row],[Date_livraison]],Tab_Calculs[[#This Row],[fin mois]])-MAX(Tab_Calculs[[#This Row],[Début mois]],Tab_Calculs[[#This Row],[Début periode livraison]]))</f>
        <v>0</v>
      </c>
      <c r="Q402" t="e">
        <f ca="1">INDEX(INDIRECT(CONCATENATE("Tab_",Tab_Calculs[[#This Row],[Colonne1]])),Tab_Calculs[[#This Row],[index_date_livraison]]+1,7)*(Tab_Calculs[[#This Row],[fin mois]]-MIN(Tab_Calculs[[#This Row],[fin mois]],Tab_Calculs[[#This Row],[Date_livraison]]))</f>
        <v>#VALUE!</v>
      </c>
      <c r="R402" t="e">
        <f ca="1">Tab_Calculs[[#This Row],[Ratio_Cout_après_livr]]+Tab_Calculs[[#This Row],[Ratio_Cout_avant_livr]]+Tab_Calculs[[#This Row],[Ratio_Cout_avant_debut]]</f>
        <v>#VALUE!</v>
      </c>
      <c r="S402" t="str">
        <f ca="1">IFERROR(N402*VLOOKUP(Tab_Calculs[[#This Row],[Colonne1]],Controle_des_données!$B$7:$G$14,6,FALSE),"")</f>
        <v/>
      </c>
      <c r="T402" t="str">
        <f ca="1">IF(Tab_Calculs[[#This Row],[Combustible ]]="Electricité (kWh)",Tab_Calculs[[#This Row],[Conso_mois_kWh]]*2.3,Tab_Calculs[[#This Row],[Conso_mois_kWh]])</f>
        <v/>
      </c>
      <c r="U402" t="str">
        <f ca="1">IFERROR(N402*VLOOKUP(Tab_Calculs[[#This Row],[Colonne1]],Controle_des_données!$B$7:$H$14,7,FALSE),"")</f>
        <v/>
      </c>
      <c r="V402">
        <f ca="1">IFERROR(Tab_Calculs[[#This Row],[Cout_mois]]/Tab_Calculs[[#This Row],[Conso_mois_kWh]],0)</f>
        <v>0</v>
      </c>
      <c r="W402" t="str">
        <f>T(VLOOKUP(Tab_Calculs[[#This Row],[Compteur]],Site!$B$33:$G$40,3,FALSE))</f>
        <v/>
      </c>
      <c r="X402" t="str">
        <f>T(VLOOKUP(Tab_Calculs[[#This Row],[Compteur]],Site!$B$33:$G$40,4,FALSE))</f>
        <v/>
      </c>
      <c r="Y402" t="str">
        <f>T(VLOOKUP(Tab_Calculs[[#This Row],[Compteur]],Site!$B$33:$G$40,5,FALSE))</f>
        <v/>
      </c>
      <c r="Z402" t="str">
        <f>T(VLOOKUP(Tab_Calculs[[#This Row],[Compteur]],Site!$B$33:$G$40,6,FALSE))</f>
        <v/>
      </c>
      <c r="AA402">
        <f>IFERROR(GETPIVOTDATA("DJU(chauffagiste)",BDD_DJU!$P$13,"annee",Tab_Calculs[[#This Row],[ANNEE]],"mois_numero",Tab_Calculs[[#This Row],[MOIS]]),0)</f>
        <v>190.1</v>
      </c>
    </row>
    <row r="403" spans="1:27" x14ac:dyDescent="0.25">
      <c r="A403" s="3">
        <f>DATE(Tab_Calculs[[#This Row],[ANNEE]],Tab_Calculs[[#This Row],[MOIS]],1)</f>
        <v>40483</v>
      </c>
      <c r="B403" s="3">
        <f>EDATE(Tab_Calculs[[#This Row],[Début mois]],1)-1</f>
        <v>40512</v>
      </c>
      <c r="C403">
        <v>11</v>
      </c>
      <c r="D403">
        <v>2010</v>
      </c>
      <c r="E403" t="s">
        <v>82</v>
      </c>
      <c r="F403" t="str">
        <f>SUBSTITUTE(Tab_Calculs[[#This Row],[Compteur]]," ","_")</f>
        <v>Compteur_3</v>
      </c>
      <c r="G403" t="str">
        <f>T(INDEX(Site!$B$33:$G$40, MATCH(Tab_Calculs[[#This Row],[Compteur]], Site!$B$33:$B$40,0),2))</f>
        <v/>
      </c>
      <c r="H403" s="3">
        <f t="array" aca="1" ref="H403" ca="1">MIN(IF(INDIRECT(CONCATENATE(Tab_Calculs[[#This Row],[Colonne1]],"!$B$2:$B$243"))&gt;=Calculs_Consos!$A403,INDIRECT(CONCATENATE(Tab_Calculs[[#This Row],[Colonne1]],"!$B$2:$B$243"))))</f>
        <v>0</v>
      </c>
      <c r="I403" s="3">
        <f ca="1">INDEX(INDIRECT(CONCATENATE("Tab_",Tab_Calculs[[#This Row],[Colonne1]])),Tab_Calculs[[#This Row],[index_date_livraison]],1)</f>
        <v>0</v>
      </c>
      <c r="J403">
        <f ca="1">MATCH(Tab_Calculs[[#This Row],[Date_livraison]],INDIRECT(CONCATENATE("Tab_",Tab_Calculs[[#This Row],[Colonne1]],"[Fin de période]")),0)</f>
        <v>1</v>
      </c>
      <c r="K403" t="e">
        <f ca="1">INDEX(INDIRECT(CONCATENATE("Tab_",Tab_Calculs[[#This Row],[Colonne1]])),Tab_Calculs[[#This Row],[index_date_livraison]]-1,6)*(MAX(Tab_Calculs[[#This Row],[Début periode livraison]],Tab_Calculs[[#This Row],[Début mois]])-Tab_Calculs[[#This Row],[Début mois]])</f>
        <v>#VALUE!</v>
      </c>
      <c r="L403" s="94">
        <f ca="1">INDEX(INDIRECT(CONCATENATE("Tab_",Tab_Calculs[[#This Row],[Colonne1]])),Tab_Calculs[[#This Row],[index_date_livraison]],6)*(1+MIN(Tab_Calculs[[#This Row],[Date_livraison]],Tab_Calculs[[#This Row],[fin mois]])-MAX(Tab_Calculs[[#This Row],[Début mois]],Tab_Calculs[[#This Row],[Début periode livraison]]))</f>
        <v>0</v>
      </c>
      <c r="M403" s="94" t="e">
        <f ca="1">INDEX(INDIRECT(CONCATENATE("Tab_",Tab_Calculs[[#This Row],[Colonne1]])),Tab_Calculs[[#This Row],[index_date_livraison]]+1,6)*(Tab_Calculs[[#This Row],[fin mois]]-MIN(Tab_Calculs[[#This Row],[fin mois]],Tab_Calculs[[#This Row],[Date_livraison]]))</f>
        <v>#VALUE!</v>
      </c>
      <c r="N403" s="231" t="str">
        <f ca="1">IFERROR(Tab_Calculs[[#This Row],[Ratio_jour_après_livr]]+Tab_Calculs[[#This Row],[Ratio_jour_avant_livr]]+Tab_Calculs[[#This Row],[ratio_avant_debut]],"")</f>
        <v/>
      </c>
      <c r="O403" t="e">
        <f ca="1">INDEX(INDIRECT(CONCATENATE("Tab_",Tab_Calculs[[#This Row],[Colonne1]])),Tab_Calculs[[#This Row],[index_date_livraison]]-1,7)*(MAX(Tab_Calculs[[#This Row],[Début periode livraison]],Tab_Calculs[[#This Row],[Début mois]])-Tab_Calculs[[#This Row],[Début mois]])</f>
        <v>#VALUE!</v>
      </c>
      <c r="P403">
        <f ca="1">INDEX(INDIRECT(CONCATENATE("Tab_",Tab_Calculs[[#This Row],[Colonne1]])),Tab_Calculs[[#This Row],[index_date_livraison]],7)*(1+MIN(Tab_Calculs[[#This Row],[Date_livraison]],Tab_Calculs[[#This Row],[fin mois]])-MAX(Tab_Calculs[[#This Row],[Début mois]],Tab_Calculs[[#This Row],[Début periode livraison]]))</f>
        <v>0</v>
      </c>
      <c r="Q403" t="e">
        <f ca="1">INDEX(INDIRECT(CONCATENATE("Tab_",Tab_Calculs[[#This Row],[Colonne1]])),Tab_Calculs[[#This Row],[index_date_livraison]]+1,7)*(Tab_Calculs[[#This Row],[fin mois]]-MIN(Tab_Calculs[[#This Row],[fin mois]],Tab_Calculs[[#This Row],[Date_livraison]]))</f>
        <v>#VALUE!</v>
      </c>
      <c r="R403" t="e">
        <f ca="1">Tab_Calculs[[#This Row],[Ratio_Cout_après_livr]]+Tab_Calculs[[#This Row],[Ratio_Cout_avant_livr]]+Tab_Calculs[[#This Row],[Ratio_Cout_avant_debut]]</f>
        <v>#VALUE!</v>
      </c>
      <c r="S403" t="str">
        <f ca="1">IFERROR(N403*VLOOKUP(Tab_Calculs[[#This Row],[Colonne1]],Controle_des_données!$B$7:$G$14,6,FALSE),"")</f>
        <v/>
      </c>
      <c r="T403" t="str">
        <f ca="1">IF(Tab_Calculs[[#This Row],[Combustible ]]="Electricité (kWh)",Tab_Calculs[[#This Row],[Conso_mois_kWh]]*2.3,Tab_Calculs[[#This Row],[Conso_mois_kWh]])</f>
        <v/>
      </c>
      <c r="U403" t="str">
        <f ca="1">IFERROR(N403*VLOOKUP(Tab_Calculs[[#This Row],[Colonne1]],Controle_des_données!$B$7:$H$14,7,FALSE),"")</f>
        <v/>
      </c>
      <c r="V403">
        <f ca="1">IFERROR(Tab_Calculs[[#This Row],[Cout_mois]]/Tab_Calculs[[#This Row],[Conso_mois_kWh]],0)</f>
        <v>0</v>
      </c>
      <c r="W403" t="str">
        <f>T(VLOOKUP(Tab_Calculs[[#This Row],[Compteur]],Site!$B$33:$G$40,3,FALSE))</f>
        <v/>
      </c>
      <c r="X403" t="str">
        <f>T(VLOOKUP(Tab_Calculs[[#This Row],[Compteur]],Site!$B$33:$G$40,4,FALSE))</f>
        <v/>
      </c>
      <c r="Y403" t="str">
        <f>T(VLOOKUP(Tab_Calculs[[#This Row],[Compteur]],Site!$B$33:$G$40,5,FALSE))</f>
        <v/>
      </c>
      <c r="Z403" t="str">
        <f>T(VLOOKUP(Tab_Calculs[[#This Row],[Compteur]],Site!$B$33:$G$40,6,FALSE))</f>
        <v/>
      </c>
      <c r="AA403">
        <f>IFERROR(GETPIVOTDATA("DJU(chauffagiste)",BDD_DJU!$P$13,"annee",Tab_Calculs[[#This Row],[ANNEE]],"mois_numero",Tab_Calculs[[#This Row],[MOIS]]),0)</f>
        <v>320.89999999999998</v>
      </c>
    </row>
    <row r="404" spans="1:27" x14ac:dyDescent="0.25">
      <c r="A404" s="3">
        <f>DATE(Tab_Calculs[[#This Row],[ANNEE]],Tab_Calculs[[#This Row],[MOIS]],1)</f>
        <v>40513</v>
      </c>
      <c r="B404" s="3">
        <f>EDATE(Tab_Calculs[[#This Row],[Début mois]],1)-1</f>
        <v>40543</v>
      </c>
      <c r="C404">
        <v>12</v>
      </c>
      <c r="D404">
        <v>2010</v>
      </c>
      <c r="E404" t="s">
        <v>82</v>
      </c>
      <c r="F404" t="str">
        <f>SUBSTITUTE(Tab_Calculs[[#This Row],[Compteur]]," ","_")</f>
        <v>Compteur_3</v>
      </c>
      <c r="G404" t="str">
        <f>T(INDEX(Site!$B$33:$G$40, MATCH(Tab_Calculs[[#This Row],[Compteur]], Site!$B$33:$B$40,0),2))</f>
        <v/>
      </c>
      <c r="H404" s="3">
        <f t="array" aca="1" ref="H404" ca="1">MIN(IF(INDIRECT(CONCATENATE(Tab_Calculs[[#This Row],[Colonne1]],"!$B$2:$B$243"))&gt;=Calculs_Consos!$A404,INDIRECT(CONCATENATE(Tab_Calculs[[#This Row],[Colonne1]],"!$B$2:$B$243"))))</f>
        <v>0</v>
      </c>
      <c r="I404" s="3">
        <f ca="1">INDEX(INDIRECT(CONCATENATE("Tab_",Tab_Calculs[[#This Row],[Colonne1]])),Tab_Calculs[[#This Row],[index_date_livraison]],1)</f>
        <v>0</v>
      </c>
      <c r="J404">
        <f ca="1">MATCH(Tab_Calculs[[#This Row],[Date_livraison]],INDIRECT(CONCATENATE("Tab_",Tab_Calculs[[#This Row],[Colonne1]],"[Fin de période]")),0)</f>
        <v>1</v>
      </c>
      <c r="K404" t="e">
        <f ca="1">INDEX(INDIRECT(CONCATENATE("Tab_",Tab_Calculs[[#This Row],[Colonne1]])),Tab_Calculs[[#This Row],[index_date_livraison]]-1,6)*(MAX(Tab_Calculs[[#This Row],[Début periode livraison]],Tab_Calculs[[#This Row],[Début mois]])-Tab_Calculs[[#This Row],[Début mois]])</f>
        <v>#VALUE!</v>
      </c>
      <c r="L404" s="94">
        <f ca="1">INDEX(INDIRECT(CONCATENATE("Tab_",Tab_Calculs[[#This Row],[Colonne1]])),Tab_Calculs[[#This Row],[index_date_livraison]],6)*(1+MIN(Tab_Calculs[[#This Row],[Date_livraison]],Tab_Calculs[[#This Row],[fin mois]])-MAX(Tab_Calculs[[#This Row],[Début mois]],Tab_Calculs[[#This Row],[Début periode livraison]]))</f>
        <v>0</v>
      </c>
      <c r="M404" s="94" t="e">
        <f ca="1">INDEX(INDIRECT(CONCATENATE("Tab_",Tab_Calculs[[#This Row],[Colonne1]])),Tab_Calculs[[#This Row],[index_date_livraison]]+1,6)*(Tab_Calculs[[#This Row],[fin mois]]-MIN(Tab_Calculs[[#This Row],[fin mois]],Tab_Calculs[[#This Row],[Date_livraison]]))</f>
        <v>#VALUE!</v>
      </c>
      <c r="N404" s="231" t="str">
        <f ca="1">IFERROR(Tab_Calculs[[#This Row],[Ratio_jour_après_livr]]+Tab_Calculs[[#This Row],[Ratio_jour_avant_livr]]+Tab_Calculs[[#This Row],[ratio_avant_debut]],"")</f>
        <v/>
      </c>
      <c r="O404" t="e">
        <f ca="1">INDEX(INDIRECT(CONCATENATE("Tab_",Tab_Calculs[[#This Row],[Colonne1]])),Tab_Calculs[[#This Row],[index_date_livraison]]-1,7)*(MAX(Tab_Calculs[[#This Row],[Début periode livraison]],Tab_Calculs[[#This Row],[Début mois]])-Tab_Calculs[[#This Row],[Début mois]])</f>
        <v>#VALUE!</v>
      </c>
      <c r="P404">
        <f ca="1">INDEX(INDIRECT(CONCATENATE("Tab_",Tab_Calculs[[#This Row],[Colonne1]])),Tab_Calculs[[#This Row],[index_date_livraison]],7)*(1+MIN(Tab_Calculs[[#This Row],[Date_livraison]],Tab_Calculs[[#This Row],[fin mois]])-MAX(Tab_Calculs[[#This Row],[Début mois]],Tab_Calculs[[#This Row],[Début periode livraison]]))</f>
        <v>0</v>
      </c>
      <c r="Q404" t="e">
        <f ca="1">INDEX(INDIRECT(CONCATENATE("Tab_",Tab_Calculs[[#This Row],[Colonne1]])),Tab_Calculs[[#This Row],[index_date_livraison]]+1,7)*(Tab_Calculs[[#This Row],[fin mois]]-MIN(Tab_Calculs[[#This Row],[fin mois]],Tab_Calculs[[#This Row],[Date_livraison]]))</f>
        <v>#VALUE!</v>
      </c>
      <c r="R404" t="e">
        <f ca="1">Tab_Calculs[[#This Row],[Ratio_Cout_après_livr]]+Tab_Calculs[[#This Row],[Ratio_Cout_avant_livr]]+Tab_Calculs[[#This Row],[Ratio_Cout_avant_debut]]</f>
        <v>#VALUE!</v>
      </c>
      <c r="S404" t="str">
        <f ca="1">IFERROR(N404*VLOOKUP(Tab_Calculs[[#This Row],[Colonne1]],Controle_des_données!$B$7:$G$14,6,FALSE),"")</f>
        <v/>
      </c>
      <c r="T404" t="str">
        <f ca="1">IF(Tab_Calculs[[#This Row],[Combustible ]]="Electricité (kWh)",Tab_Calculs[[#This Row],[Conso_mois_kWh]]*2.3,Tab_Calculs[[#This Row],[Conso_mois_kWh]])</f>
        <v/>
      </c>
      <c r="U404" t="str">
        <f ca="1">IFERROR(N404*VLOOKUP(Tab_Calculs[[#This Row],[Colonne1]],Controle_des_données!$B$7:$H$14,7,FALSE),"")</f>
        <v/>
      </c>
      <c r="V404">
        <f ca="1">IFERROR(Tab_Calculs[[#This Row],[Cout_mois]]/Tab_Calculs[[#This Row],[Conso_mois_kWh]],0)</f>
        <v>0</v>
      </c>
      <c r="W404" t="str">
        <f>T(VLOOKUP(Tab_Calculs[[#This Row],[Compteur]],Site!$B$33:$G$40,3,FALSE))</f>
        <v/>
      </c>
      <c r="X404" t="str">
        <f>T(VLOOKUP(Tab_Calculs[[#This Row],[Compteur]],Site!$B$33:$G$40,4,FALSE))</f>
        <v/>
      </c>
      <c r="Y404" t="str">
        <f>T(VLOOKUP(Tab_Calculs[[#This Row],[Compteur]],Site!$B$33:$G$40,5,FALSE))</f>
        <v/>
      </c>
      <c r="Z404" t="str">
        <f>T(VLOOKUP(Tab_Calculs[[#This Row],[Compteur]],Site!$B$33:$G$40,6,FALSE))</f>
        <v/>
      </c>
      <c r="AA404">
        <f>IFERROR(GETPIVOTDATA("DJU(chauffagiste)",BDD_DJU!$P$13,"annee",Tab_Calculs[[#This Row],[ANNEE]],"mois_numero",Tab_Calculs[[#This Row],[MOIS]]),0)</f>
        <v>500.7</v>
      </c>
    </row>
    <row r="405" spans="1:27" x14ac:dyDescent="0.25">
      <c r="A405" s="3">
        <f>DATE(Tab_Calculs[[#This Row],[ANNEE]],Tab_Calculs[[#This Row],[MOIS]],1)</f>
        <v>40544</v>
      </c>
      <c r="B405" s="3">
        <f>EDATE(Tab_Calculs[[#This Row],[Début mois]],1)-1</f>
        <v>40574</v>
      </c>
      <c r="C405">
        <v>1</v>
      </c>
      <c r="D405">
        <v>2011</v>
      </c>
      <c r="E405" t="s">
        <v>82</v>
      </c>
      <c r="F405" t="str">
        <f>SUBSTITUTE(Tab_Calculs[[#This Row],[Compteur]]," ","_")</f>
        <v>Compteur_3</v>
      </c>
      <c r="G405" t="str">
        <f>T(INDEX(Site!$B$33:$G$40, MATCH(Tab_Calculs[[#This Row],[Compteur]], Site!$B$33:$B$40,0),2))</f>
        <v/>
      </c>
      <c r="H405" s="3">
        <f t="array" aca="1" ref="H405" ca="1">MIN(IF(INDIRECT(CONCATENATE(Tab_Calculs[[#This Row],[Colonne1]],"!$B$2:$B$243"))&gt;=Calculs_Consos!$A405,INDIRECT(CONCATENATE(Tab_Calculs[[#This Row],[Colonne1]],"!$B$2:$B$243"))))</f>
        <v>0</v>
      </c>
      <c r="I405" s="3">
        <f ca="1">INDEX(INDIRECT(CONCATENATE("Tab_",Tab_Calculs[[#This Row],[Colonne1]])),Tab_Calculs[[#This Row],[index_date_livraison]],1)</f>
        <v>0</v>
      </c>
      <c r="J405">
        <f ca="1">MATCH(Tab_Calculs[[#This Row],[Date_livraison]],INDIRECT(CONCATENATE("Tab_",Tab_Calculs[[#This Row],[Colonne1]],"[Fin de période]")),0)</f>
        <v>1</v>
      </c>
      <c r="K405" t="e">
        <f ca="1">INDEX(INDIRECT(CONCATENATE("Tab_",Tab_Calculs[[#This Row],[Colonne1]])),Tab_Calculs[[#This Row],[index_date_livraison]]-1,6)*(MAX(Tab_Calculs[[#This Row],[Début periode livraison]],Tab_Calculs[[#This Row],[Début mois]])-Tab_Calculs[[#This Row],[Début mois]])</f>
        <v>#VALUE!</v>
      </c>
      <c r="L405" s="94">
        <f ca="1">INDEX(INDIRECT(CONCATENATE("Tab_",Tab_Calculs[[#This Row],[Colonne1]])),Tab_Calculs[[#This Row],[index_date_livraison]],6)*(1+MIN(Tab_Calculs[[#This Row],[Date_livraison]],Tab_Calculs[[#This Row],[fin mois]])-MAX(Tab_Calculs[[#This Row],[Début mois]],Tab_Calculs[[#This Row],[Début periode livraison]]))</f>
        <v>0</v>
      </c>
      <c r="M405" s="94" t="e">
        <f ca="1">INDEX(INDIRECT(CONCATENATE("Tab_",Tab_Calculs[[#This Row],[Colonne1]])),Tab_Calculs[[#This Row],[index_date_livraison]]+1,6)*(Tab_Calculs[[#This Row],[fin mois]]-MIN(Tab_Calculs[[#This Row],[fin mois]],Tab_Calculs[[#This Row],[Date_livraison]]))</f>
        <v>#VALUE!</v>
      </c>
      <c r="N405" s="231" t="str">
        <f ca="1">IFERROR(Tab_Calculs[[#This Row],[Ratio_jour_après_livr]]+Tab_Calculs[[#This Row],[Ratio_jour_avant_livr]]+Tab_Calculs[[#This Row],[ratio_avant_debut]],"")</f>
        <v/>
      </c>
      <c r="O405" t="e">
        <f ca="1">INDEX(INDIRECT(CONCATENATE("Tab_",Tab_Calculs[[#This Row],[Colonne1]])),Tab_Calculs[[#This Row],[index_date_livraison]]-1,7)*(MAX(Tab_Calculs[[#This Row],[Début periode livraison]],Tab_Calculs[[#This Row],[Début mois]])-Tab_Calculs[[#This Row],[Début mois]])</f>
        <v>#VALUE!</v>
      </c>
      <c r="P405">
        <f ca="1">INDEX(INDIRECT(CONCATENATE("Tab_",Tab_Calculs[[#This Row],[Colonne1]])),Tab_Calculs[[#This Row],[index_date_livraison]],7)*(1+MIN(Tab_Calculs[[#This Row],[Date_livraison]],Tab_Calculs[[#This Row],[fin mois]])-MAX(Tab_Calculs[[#This Row],[Début mois]],Tab_Calculs[[#This Row],[Début periode livraison]]))</f>
        <v>0</v>
      </c>
      <c r="Q405" t="e">
        <f ca="1">INDEX(INDIRECT(CONCATENATE("Tab_",Tab_Calculs[[#This Row],[Colonne1]])),Tab_Calculs[[#This Row],[index_date_livraison]]+1,7)*(Tab_Calculs[[#This Row],[fin mois]]-MIN(Tab_Calculs[[#This Row],[fin mois]],Tab_Calculs[[#This Row],[Date_livraison]]))</f>
        <v>#VALUE!</v>
      </c>
      <c r="R405" t="e">
        <f ca="1">Tab_Calculs[[#This Row],[Ratio_Cout_après_livr]]+Tab_Calculs[[#This Row],[Ratio_Cout_avant_livr]]+Tab_Calculs[[#This Row],[Ratio_Cout_avant_debut]]</f>
        <v>#VALUE!</v>
      </c>
      <c r="S405" t="str">
        <f ca="1">IFERROR(N405*VLOOKUP(Tab_Calculs[[#This Row],[Colonne1]],Controle_des_données!$B$7:$G$14,6,FALSE),"")</f>
        <v/>
      </c>
      <c r="T405" t="str">
        <f ca="1">IF(Tab_Calculs[[#This Row],[Combustible ]]="Electricité (kWh)",Tab_Calculs[[#This Row],[Conso_mois_kWh]]*2.3,Tab_Calculs[[#This Row],[Conso_mois_kWh]])</f>
        <v/>
      </c>
      <c r="U405" t="str">
        <f ca="1">IFERROR(N405*VLOOKUP(Tab_Calculs[[#This Row],[Colonne1]],Controle_des_données!$B$7:$H$14,7,FALSE),"")</f>
        <v/>
      </c>
      <c r="V405">
        <f ca="1">IFERROR(Tab_Calculs[[#This Row],[Cout_mois]]/Tab_Calculs[[#This Row],[Conso_mois_kWh]],0)</f>
        <v>0</v>
      </c>
      <c r="W405" t="str">
        <f>T(VLOOKUP(Tab_Calculs[[#This Row],[Compteur]],Site!$B$33:$G$40,3,FALSE))</f>
        <v/>
      </c>
      <c r="X405" t="str">
        <f>T(VLOOKUP(Tab_Calculs[[#This Row],[Compteur]],Site!$B$33:$G$40,4,FALSE))</f>
        <v/>
      </c>
      <c r="Y405" t="str">
        <f>T(VLOOKUP(Tab_Calculs[[#This Row],[Compteur]],Site!$B$33:$G$40,5,FALSE))</f>
        <v/>
      </c>
      <c r="Z405" t="str">
        <f>T(VLOOKUP(Tab_Calculs[[#This Row],[Compteur]],Site!$B$33:$G$40,6,FALSE))</f>
        <v/>
      </c>
      <c r="AA405">
        <f>IFERROR(GETPIVOTDATA("DJU(chauffagiste)",BDD_DJU!$P$13,"annee",Tab_Calculs[[#This Row],[ANNEE]],"mois_numero",Tab_Calculs[[#This Row],[MOIS]]),0)</f>
        <v>392.2</v>
      </c>
    </row>
    <row r="406" spans="1:27" x14ac:dyDescent="0.25">
      <c r="A406" s="3">
        <f>DATE(Tab_Calculs[[#This Row],[ANNEE]],Tab_Calculs[[#This Row],[MOIS]],1)</f>
        <v>40575</v>
      </c>
      <c r="B406" s="3">
        <f>EDATE(Tab_Calculs[[#This Row],[Début mois]],1)-1</f>
        <v>40602</v>
      </c>
      <c r="C406">
        <v>2</v>
      </c>
      <c r="D406">
        <v>2011</v>
      </c>
      <c r="E406" t="s">
        <v>82</v>
      </c>
      <c r="F406" t="str">
        <f>SUBSTITUTE(Tab_Calculs[[#This Row],[Compteur]]," ","_")</f>
        <v>Compteur_3</v>
      </c>
      <c r="G406" t="str">
        <f>T(INDEX(Site!$B$33:$G$40, MATCH(Tab_Calculs[[#This Row],[Compteur]], Site!$B$33:$B$40,0),2))</f>
        <v/>
      </c>
      <c r="H406" s="3">
        <f t="array" aca="1" ref="H406" ca="1">MIN(IF(INDIRECT(CONCATENATE(Tab_Calculs[[#This Row],[Colonne1]],"!$B$2:$B$243"))&gt;=Calculs_Consos!$A406,INDIRECT(CONCATENATE(Tab_Calculs[[#This Row],[Colonne1]],"!$B$2:$B$243"))))</f>
        <v>0</v>
      </c>
      <c r="I406" s="3">
        <f ca="1">INDEX(INDIRECT(CONCATENATE("Tab_",Tab_Calculs[[#This Row],[Colonne1]])),Tab_Calculs[[#This Row],[index_date_livraison]],1)</f>
        <v>0</v>
      </c>
      <c r="J406">
        <f ca="1">MATCH(Tab_Calculs[[#This Row],[Date_livraison]],INDIRECT(CONCATENATE("Tab_",Tab_Calculs[[#This Row],[Colonne1]],"[Fin de période]")),0)</f>
        <v>1</v>
      </c>
      <c r="K406" t="e">
        <f ca="1">INDEX(INDIRECT(CONCATENATE("Tab_",Tab_Calculs[[#This Row],[Colonne1]])),Tab_Calculs[[#This Row],[index_date_livraison]]-1,6)*(MAX(Tab_Calculs[[#This Row],[Début periode livraison]],Tab_Calculs[[#This Row],[Début mois]])-Tab_Calculs[[#This Row],[Début mois]])</f>
        <v>#VALUE!</v>
      </c>
      <c r="L406" s="94">
        <f ca="1">INDEX(INDIRECT(CONCATENATE("Tab_",Tab_Calculs[[#This Row],[Colonne1]])),Tab_Calculs[[#This Row],[index_date_livraison]],6)*(1+MIN(Tab_Calculs[[#This Row],[Date_livraison]],Tab_Calculs[[#This Row],[fin mois]])-MAX(Tab_Calculs[[#This Row],[Début mois]],Tab_Calculs[[#This Row],[Début periode livraison]]))</f>
        <v>0</v>
      </c>
      <c r="M406" s="94" t="e">
        <f ca="1">INDEX(INDIRECT(CONCATENATE("Tab_",Tab_Calculs[[#This Row],[Colonne1]])),Tab_Calculs[[#This Row],[index_date_livraison]]+1,6)*(Tab_Calculs[[#This Row],[fin mois]]-MIN(Tab_Calculs[[#This Row],[fin mois]],Tab_Calculs[[#This Row],[Date_livraison]]))</f>
        <v>#VALUE!</v>
      </c>
      <c r="N406" s="231" t="str">
        <f ca="1">IFERROR(Tab_Calculs[[#This Row],[Ratio_jour_après_livr]]+Tab_Calculs[[#This Row],[Ratio_jour_avant_livr]]+Tab_Calculs[[#This Row],[ratio_avant_debut]],"")</f>
        <v/>
      </c>
      <c r="O406" t="e">
        <f ca="1">INDEX(INDIRECT(CONCATENATE("Tab_",Tab_Calculs[[#This Row],[Colonne1]])),Tab_Calculs[[#This Row],[index_date_livraison]]-1,7)*(MAX(Tab_Calculs[[#This Row],[Début periode livraison]],Tab_Calculs[[#This Row],[Début mois]])-Tab_Calculs[[#This Row],[Début mois]])</f>
        <v>#VALUE!</v>
      </c>
      <c r="P406">
        <f ca="1">INDEX(INDIRECT(CONCATENATE("Tab_",Tab_Calculs[[#This Row],[Colonne1]])),Tab_Calculs[[#This Row],[index_date_livraison]],7)*(1+MIN(Tab_Calculs[[#This Row],[Date_livraison]],Tab_Calculs[[#This Row],[fin mois]])-MAX(Tab_Calculs[[#This Row],[Début mois]],Tab_Calculs[[#This Row],[Début periode livraison]]))</f>
        <v>0</v>
      </c>
      <c r="Q406" t="e">
        <f ca="1">INDEX(INDIRECT(CONCATENATE("Tab_",Tab_Calculs[[#This Row],[Colonne1]])),Tab_Calculs[[#This Row],[index_date_livraison]]+1,7)*(Tab_Calculs[[#This Row],[fin mois]]-MIN(Tab_Calculs[[#This Row],[fin mois]],Tab_Calculs[[#This Row],[Date_livraison]]))</f>
        <v>#VALUE!</v>
      </c>
      <c r="R406" t="e">
        <f ca="1">Tab_Calculs[[#This Row],[Ratio_Cout_après_livr]]+Tab_Calculs[[#This Row],[Ratio_Cout_avant_livr]]+Tab_Calculs[[#This Row],[Ratio_Cout_avant_debut]]</f>
        <v>#VALUE!</v>
      </c>
      <c r="S406" t="str">
        <f ca="1">IFERROR(N406*VLOOKUP(Tab_Calculs[[#This Row],[Colonne1]],Controle_des_données!$B$7:$G$14,6,FALSE),"")</f>
        <v/>
      </c>
      <c r="T406" t="str">
        <f ca="1">IF(Tab_Calculs[[#This Row],[Combustible ]]="Electricité (kWh)",Tab_Calculs[[#This Row],[Conso_mois_kWh]]*2.3,Tab_Calculs[[#This Row],[Conso_mois_kWh]])</f>
        <v/>
      </c>
      <c r="U406" t="str">
        <f ca="1">IFERROR(N406*VLOOKUP(Tab_Calculs[[#This Row],[Colonne1]],Controle_des_données!$B$7:$H$14,7,FALSE),"")</f>
        <v/>
      </c>
      <c r="V406">
        <f ca="1">IFERROR(Tab_Calculs[[#This Row],[Cout_mois]]/Tab_Calculs[[#This Row],[Conso_mois_kWh]],0)</f>
        <v>0</v>
      </c>
      <c r="W406" t="str">
        <f>T(VLOOKUP(Tab_Calculs[[#This Row],[Compteur]],Site!$B$33:$G$40,3,FALSE))</f>
        <v/>
      </c>
      <c r="X406" t="str">
        <f>T(VLOOKUP(Tab_Calculs[[#This Row],[Compteur]],Site!$B$33:$G$40,4,FALSE))</f>
        <v/>
      </c>
      <c r="Y406" t="str">
        <f>T(VLOOKUP(Tab_Calculs[[#This Row],[Compteur]],Site!$B$33:$G$40,5,FALSE))</f>
        <v/>
      </c>
      <c r="Z406" t="str">
        <f>T(VLOOKUP(Tab_Calculs[[#This Row],[Compteur]],Site!$B$33:$G$40,6,FALSE))</f>
        <v/>
      </c>
      <c r="AA406">
        <f>IFERROR(GETPIVOTDATA("DJU(chauffagiste)",BDD_DJU!$P$13,"annee",Tab_Calculs[[#This Row],[ANNEE]],"mois_numero",Tab_Calculs[[#This Row],[MOIS]]),0)</f>
        <v>299.10000000000002</v>
      </c>
    </row>
    <row r="407" spans="1:27" x14ac:dyDescent="0.25">
      <c r="A407" s="3">
        <f>DATE(Tab_Calculs[[#This Row],[ANNEE]],Tab_Calculs[[#This Row],[MOIS]],1)</f>
        <v>40603</v>
      </c>
      <c r="B407" s="3">
        <f>EDATE(Tab_Calculs[[#This Row],[Début mois]],1)-1</f>
        <v>40633</v>
      </c>
      <c r="C407">
        <v>3</v>
      </c>
      <c r="D407">
        <v>2011</v>
      </c>
      <c r="E407" t="s">
        <v>82</v>
      </c>
      <c r="F407" t="str">
        <f>SUBSTITUTE(Tab_Calculs[[#This Row],[Compteur]]," ","_")</f>
        <v>Compteur_3</v>
      </c>
      <c r="G407" t="str">
        <f>T(INDEX(Site!$B$33:$G$40, MATCH(Tab_Calculs[[#This Row],[Compteur]], Site!$B$33:$B$40,0),2))</f>
        <v/>
      </c>
      <c r="H407" s="3">
        <f t="array" aca="1" ref="H407" ca="1">MIN(IF(INDIRECT(CONCATENATE(Tab_Calculs[[#This Row],[Colonne1]],"!$B$2:$B$243"))&gt;=Calculs_Consos!$A407,INDIRECT(CONCATENATE(Tab_Calculs[[#This Row],[Colonne1]],"!$B$2:$B$243"))))</f>
        <v>0</v>
      </c>
      <c r="I407" s="3">
        <f ca="1">INDEX(INDIRECT(CONCATENATE("Tab_",Tab_Calculs[[#This Row],[Colonne1]])),Tab_Calculs[[#This Row],[index_date_livraison]],1)</f>
        <v>0</v>
      </c>
      <c r="J407">
        <f ca="1">MATCH(Tab_Calculs[[#This Row],[Date_livraison]],INDIRECT(CONCATENATE("Tab_",Tab_Calculs[[#This Row],[Colonne1]],"[Fin de période]")),0)</f>
        <v>1</v>
      </c>
      <c r="K407" t="e">
        <f ca="1">INDEX(INDIRECT(CONCATENATE("Tab_",Tab_Calculs[[#This Row],[Colonne1]])),Tab_Calculs[[#This Row],[index_date_livraison]]-1,6)*(MAX(Tab_Calculs[[#This Row],[Début periode livraison]],Tab_Calculs[[#This Row],[Début mois]])-Tab_Calculs[[#This Row],[Début mois]])</f>
        <v>#VALUE!</v>
      </c>
      <c r="L407" s="94">
        <f ca="1">INDEX(INDIRECT(CONCATENATE("Tab_",Tab_Calculs[[#This Row],[Colonne1]])),Tab_Calculs[[#This Row],[index_date_livraison]],6)*(1+MIN(Tab_Calculs[[#This Row],[Date_livraison]],Tab_Calculs[[#This Row],[fin mois]])-MAX(Tab_Calculs[[#This Row],[Début mois]],Tab_Calculs[[#This Row],[Début periode livraison]]))</f>
        <v>0</v>
      </c>
      <c r="M407" s="94" t="e">
        <f ca="1">INDEX(INDIRECT(CONCATENATE("Tab_",Tab_Calculs[[#This Row],[Colonne1]])),Tab_Calculs[[#This Row],[index_date_livraison]]+1,6)*(Tab_Calculs[[#This Row],[fin mois]]-MIN(Tab_Calculs[[#This Row],[fin mois]],Tab_Calculs[[#This Row],[Date_livraison]]))</f>
        <v>#VALUE!</v>
      </c>
      <c r="N407" s="231" t="str">
        <f ca="1">IFERROR(Tab_Calculs[[#This Row],[Ratio_jour_après_livr]]+Tab_Calculs[[#This Row],[Ratio_jour_avant_livr]]+Tab_Calculs[[#This Row],[ratio_avant_debut]],"")</f>
        <v/>
      </c>
      <c r="O407" t="e">
        <f ca="1">INDEX(INDIRECT(CONCATENATE("Tab_",Tab_Calculs[[#This Row],[Colonne1]])),Tab_Calculs[[#This Row],[index_date_livraison]]-1,7)*(MAX(Tab_Calculs[[#This Row],[Début periode livraison]],Tab_Calculs[[#This Row],[Début mois]])-Tab_Calculs[[#This Row],[Début mois]])</f>
        <v>#VALUE!</v>
      </c>
      <c r="P407">
        <f ca="1">INDEX(INDIRECT(CONCATENATE("Tab_",Tab_Calculs[[#This Row],[Colonne1]])),Tab_Calculs[[#This Row],[index_date_livraison]],7)*(1+MIN(Tab_Calculs[[#This Row],[Date_livraison]],Tab_Calculs[[#This Row],[fin mois]])-MAX(Tab_Calculs[[#This Row],[Début mois]],Tab_Calculs[[#This Row],[Début periode livraison]]))</f>
        <v>0</v>
      </c>
      <c r="Q407" t="e">
        <f ca="1">INDEX(INDIRECT(CONCATENATE("Tab_",Tab_Calculs[[#This Row],[Colonne1]])),Tab_Calculs[[#This Row],[index_date_livraison]]+1,7)*(Tab_Calculs[[#This Row],[fin mois]]-MIN(Tab_Calculs[[#This Row],[fin mois]],Tab_Calculs[[#This Row],[Date_livraison]]))</f>
        <v>#VALUE!</v>
      </c>
      <c r="R407" t="e">
        <f ca="1">Tab_Calculs[[#This Row],[Ratio_Cout_après_livr]]+Tab_Calculs[[#This Row],[Ratio_Cout_avant_livr]]+Tab_Calculs[[#This Row],[Ratio_Cout_avant_debut]]</f>
        <v>#VALUE!</v>
      </c>
      <c r="S407" t="str">
        <f ca="1">IFERROR(N407*VLOOKUP(Tab_Calculs[[#This Row],[Colonne1]],Controle_des_données!$B$7:$G$14,6,FALSE),"")</f>
        <v/>
      </c>
      <c r="T407" t="str">
        <f ca="1">IF(Tab_Calculs[[#This Row],[Combustible ]]="Electricité (kWh)",Tab_Calculs[[#This Row],[Conso_mois_kWh]]*2.3,Tab_Calculs[[#This Row],[Conso_mois_kWh]])</f>
        <v/>
      </c>
      <c r="U407" t="str">
        <f ca="1">IFERROR(N407*VLOOKUP(Tab_Calculs[[#This Row],[Colonne1]],Controle_des_données!$B$7:$H$14,7,FALSE),"")</f>
        <v/>
      </c>
      <c r="V407">
        <f ca="1">IFERROR(Tab_Calculs[[#This Row],[Cout_mois]]/Tab_Calculs[[#This Row],[Conso_mois_kWh]],0)</f>
        <v>0</v>
      </c>
      <c r="W407" t="str">
        <f>T(VLOOKUP(Tab_Calculs[[#This Row],[Compteur]],Site!$B$33:$G$40,3,FALSE))</f>
        <v/>
      </c>
      <c r="X407" t="str">
        <f>T(VLOOKUP(Tab_Calculs[[#This Row],[Compteur]],Site!$B$33:$G$40,4,FALSE))</f>
        <v/>
      </c>
      <c r="Y407" t="str">
        <f>T(VLOOKUP(Tab_Calculs[[#This Row],[Compteur]],Site!$B$33:$G$40,5,FALSE))</f>
        <v/>
      </c>
      <c r="Z407" t="str">
        <f>T(VLOOKUP(Tab_Calculs[[#This Row],[Compteur]],Site!$B$33:$G$40,6,FALSE))</f>
        <v/>
      </c>
      <c r="AA407">
        <f>IFERROR(GETPIVOTDATA("DJU(chauffagiste)",BDD_DJU!$P$13,"annee",Tab_Calculs[[#This Row],[ANNEE]],"mois_numero",Tab_Calculs[[#This Row],[MOIS]]),0)</f>
        <v>266.5</v>
      </c>
    </row>
    <row r="408" spans="1:27" x14ac:dyDescent="0.25">
      <c r="A408" s="3">
        <f>DATE(Tab_Calculs[[#This Row],[ANNEE]],Tab_Calculs[[#This Row],[MOIS]],1)</f>
        <v>40634</v>
      </c>
      <c r="B408" s="3">
        <f>EDATE(Tab_Calculs[[#This Row],[Début mois]],1)-1</f>
        <v>40663</v>
      </c>
      <c r="C408">
        <v>4</v>
      </c>
      <c r="D408">
        <v>2011</v>
      </c>
      <c r="E408" t="s">
        <v>82</v>
      </c>
      <c r="F408" t="str">
        <f>SUBSTITUTE(Tab_Calculs[[#This Row],[Compteur]]," ","_")</f>
        <v>Compteur_3</v>
      </c>
      <c r="G408" t="str">
        <f>T(INDEX(Site!$B$33:$G$40, MATCH(Tab_Calculs[[#This Row],[Compteur]], Site!$B$33:$B$40,0),2))</f>
        <v/>
      </c>
      <c r="H408" s="3">
        <f t="array" aca="1" ref="H408" ca="1">MIN(IF(INDIRECT(CONCATENATE(Tab_Calculs[[#This Row],[Colonne1]],"!$B$2:$B$243"))&gt;=Calculs_Consos!$A408,INDIRECT(CONCATENATE(Tab_Calculs[[#This Row],[Colonne1]],"!$B$2:$B$243"))))</f>
        <v>0</v>
      </c>
      <c r="I408" s="3">
        <f ca="1">INDEX(INDIRECT(CONCATENATE("Tab_",Tab_Calculs[[#This Row],[Colonne1]])),Tab_Calculs[[#This Row],[index_date_livraison]],1)</f>
        <v>0</v>
      </c>
      <c r="J408">
        <f ca="1">MATCH(Tab_Calculs[[#This Row],[Date_livraison]],INDIRECT(CONCATENATE("Tab_",Tab_Calculs[[#This Row],[Colonne1]],"[Fin de période]")),0)</f>
        <v>1</v>
      </c>
      <c r="K408" t="e">
        <f ca="1">INDEX(INDIRECT(CONCATENATE("Tab_",Tab_Calculs[[#This Row],[Colonne1]])),Tab_Calculs[[#This Row],[index_date_livraison]]-1,6)*(MAX(Tab_Calculs[[#This Row],[Début periode livraison]],Tab_Calculs[[#This Row],[Début mois]])-Tab_Calculs[[#This Row],[Début mois]])</f>
        <v>#VALUE!</v>
      </c>
      <c r="L408" s="94">
        <f ca="1">INDEX(INDIRECT(CONCATENATE("Tab_",Tab_Calculs[[#This Row],[Colonne1]])),Tab_Calculs[[#This Row],[index_date_livraison]],6)*(1+MIN(Tab_Calculs[[#This Row],[Date_livraison]],Tab_Calculs[[#This Row],[fin mois]])-MAX(Tab_Calculs[[#This Row],[Début mois]],Tab_Calculs[[#This Row],[Début periode livraison]]))</f>
        <v>0</v>
      </c>
      <c r="M408" s="94" t="e">
        <f ca="1">INDEX(INDIRECT(CONCATENATE("Tab_",Tab_Calculs[[#This Row],[Colonne1]])),Tab_Calculs[[#This Row],[index_date_livraison]]+1,6)*(Tab_Calculs[[#This Row],[fin mois]]-MIN(Tab_Calculs[[#This Row],[fin mois]],Tab_Calculs[[#This Row],[Date_livraison]]))</f>
        <v>#VALUE!</v>
      </c>
      <c r="N408" s="231" t="str">
        <f ca="1">IFERROR(Tab_Calculs[[#This Row],[Ratio_jour_après_livr]]+Tab_Calculs[[#This Row],[Ratio_jour_avant_livr]]+Tab_Calculs[[#This Row],[ratio_avant_debut]],"")</f>
        <v/>
      </c>
      <c r="O408" t="e">
        <f ca="1">INDEX(INDIRECT(CONCATENATE("Tab_",Tab_Calculs[[#This Row],[Colonne1]])),Tab_Calculs[[#This Row],[index_date_livraison]]-1,7)*(MAX(Tab_Calculs[[#This Row],[Début periode livraison]],Tab_Calculs[[#This Row],[Début mois]])-Tab_Calculs[[#This Row],[Début mois]])</f>
        <v>#VALUE!</v>
      </c>
      <c r="P408">
        <f ca="1">INDEX(INDIRECT(CONCATENATE("Tab_",Tab_Calculs[[#This Row],[Colonne1]])),Tab_Calculs[[#This Row],[index_date_livraison]],7)*(1+MIN(Tab_Calculs[[#This Row],[Date_livraison]],Tab_Calculs[[#This Row],[fin mois]])-MAX(Tab_Calculs[[#This Row],[Début mois]],Tab_Calculs[[#This Row],[Début periode livraison]]))</f>
        <v>0</v>
      </c>
      <c r="Q408" t="e">
        <f ca="1">INDEX(INDIRECT(CONCATENATE("Tab_",Tab_Calculs[[#This Row],[Colonne1]])),Tab_Calculs[[#This Row],[index_date_livraison]]+1,7)*(Tab_Calculs[[#This Row],[fin mois]]-MIN(Tab_Calculs[[#This Row],[fin mois]],Tab_Calculs[[#This Row],[Date_livraison]]))</f>
        <v>#VALUE!</v>
      </c>
      <c r="R408" t="e">
        <f ca="1">Tab_Calculs[[#This Row],[Ratio_Cout_après_livr]]+Tab_Calculs[[#This Row],[Ratio_Cout_avant_livr]]+Tab_Calculs[[#This Row],[Ratio_Cout_avant_debut]]</f>
        <v>#VALUE!</v>
      </c>
      <c r="S408" t="str">
        <f ca="1">IFERROR(N408*VLOOKUP(Tab_Calculs[[#This Row],[Colonne1]],Controle_des_données!$B$7:$G$14,6,FALSE),"")</f>
        <v/>
      </c>
      <c r="T408" t="str">
        <f ca="1">IF(Tab_Calculs[[#This Row],[Combustible ]]="Electricité (kWh)",Tab_Calculs[[#This Row],[Conso_mois_kWh]]*2.3,Tab_Calculs[[#This Row],[Conso_mois_kWh]])</f>
        <v/>
      </c>
      <c r="U408" t="str">
        <f ca="1">IFERROR(N408*VLOOKUP(Tab_Calculs[[#This Row],[Colonne1]],Controle_des_données!$B$7:$H$14,7,FALSE),"")</f>
        <v/>
      </c>
      <c r="V408">
        <f ca="1">IFERROR(Tab_Calculs[[#This Row],[Cout_mois]]/Tab_Calculs[[#This Row],[Conso_mois_kWh]],0)</f>
        <v>0</v>
      </c>
      <c r="W408" t="str">
        <f>T(VLOOKUP(Tab_Calculs[[#This Row],[Compteur]],Site!$B$33:$G$40,3,FALSE))</f>
        <v/>
      </c>
      <c r="X408" t="str">
        <f>T(VLOOKUP(Tab_Calculs[[#This Row],[Compteur]],Site!$B$33:$G$40,4,FALSE))</f>
        <v/>
      </c>
      <c r="Y408" t="str">
        <f>T(VLOOKUP(Tab_Calculs[[#This Row],[Compteur]],Site!$B$33:$G$40,5,FALSE))</f>
        <v/>
      </c>
      <c r="Z408" t="str">
        <f>T(VLOOKUP(Tab_Calculs[[#This Row],[Compteur]],Site!$B$33:$G$40,6,FALSE))</f>
        <v/>
      </c>
      <c r="AA408">
        <f>IFERROR(GETPIVOTDATA("DJU(chauffagiste)",BDD_DJU!$P$13,"annee",Tab_Calculs[[#This Row],[ANNEE]],"mois_numero",Tab_Calculs[[#This Row],[MOIS]]),0)</f>
        <v>136.19999999999999</v>
      </c>
    </row>
    <row r="409" spans="1:27" x14ac:dyDescent="0.25">
      <c r="A409" s="3">
        <f>DATE(Tab_Calculs[[#This Row],[ANNEE]],Tab_Calculs[[#This Row],[MOIS]],1)</f>
        <v>40664</v>
      </c>
      <c r="B409" s="3">
        <f>EDATE(Tab_Calculs[[#This Row],[Début mois]],1)-1</f>
        <v>40694</v>
      </c>
      <c r="C409">
        <v>5</v>
      </c>
      <c r="D409">
        <v>2011</v>
      </c>
      <c r="E409" t="s">
        <v>82</v>
      </c>
      <c r="F409" t="str">
        <f>SUBSTITUTE(Tab_Calculs[[#This Row],[Compteur]]," ","_")</f>
        <v>Compteur_3</v>
      </c>
      <c r="G409" t="str">
        <f>T(INDEX(Site!$B$33:$G$40, MATCH(Tab_Calculs[[#This Row],[Compteur]], Site!$B$33:$B$40,0),2))</f>
        <v/>
      </c>
      <c r="H409" s="3">
        <f t="array" aca="1" ref="H409" ca="1">MIN(IF(INDIRECT(CONCATENATE(Tab_Calculs[[#This Row],[Colonne1]],"!$B$2:$B$243"))&gt;=Calculs_Consos!$A409,INDIRECT(CONCATENATE(Tab_Calculs[[#This Row],[Colonne1]],"!$B$2:$B$243"))))</f>
        <v>0</v>
      </c>
      <c r="I409" s="3">
        <f ca="1">INDEX(INDIRECT(CONCATENATE("Tab_",Tab_Calculs[[#This Row],[Colonne1]])),Tab_Calculs[[#This Row],[index_date_livraison]],1)</f>
        <v>0</v>
      </c>
      <c r="J409">
        <f ca="1">MATCH(Tab_Calculs[[#This Row],[Date_livraison]],INDIRECT(CONCATENATE("Tab_",Tab_Calculs[[#This Row],[Colonne1]],"[Fin de période]")),0)</f>
        <v>1</v>
      </c>
      <c r="K409" t="e">
        <f ca="1">INDEX(INDIRECT(CONCATENATE("Tab_",Tab_Calculs[[#This Row],[Colonne1]])),Tab_Calculs[[#This Row],[index_date_livraison]]-1,6)*(MAX(Tab_Calculs[[#This Row],[Début periode livraison]],Tab_Calculs[[#This Row],[Début mois]])-Tab_Calculs[[#This Row],[Début mois]])</f>
        <v>#VALUE!</v>
      </c>
      <c r="L409" s="94">
        <f ca="1">INDEX(INDIRECT(CONCATENATE("Tab_",Tab_Calculs[[#This Row],[Colonne1]])),Tab_Calculs[[#This Row],[index_date_livraison]],6)*(1+MIN(Tab_Calculs[[#This Row],[Date_livraison]],Tab_Calculs[[#This Row],[fin mois]])-MAX(Tab_Calculs[[#This Row],[Début mois]],Tab_Calculs[[#This Row],[Début periode livraison]]))</f>
        <v>0</v>
      </c>
      <c r="M409" s="94" t="e">
        <f ca="1">INDEX(INDIRECT(CONCATENATE("Tab_",Tab_Calculs[[#This Row],[Colonne1]])),Tab_Calculs[[#This Row],[index_date_livraison]]+1,6)*(Tab_Calculs[[#This Row],[fin mois]]-MIN(Tab_Calculs[[#This Row],[fin mois]],Tab_Calculs[[#This Row],[Date_livraison]]))</f>
        <v>#VALUE!</v>
      </c>
      <c r="N409" s="231" t="str">
        <f ca="1">IFERROR(Tab_Calculs[[#This Row],[Ratio_jour_après_livr]]+Tab_Calculs[[#This Row],[Ratio_jour_avant_livr]]+Tab_Calculs[[#This Row],[ratio_avant_debut]],"")</f>
        <v/>
      </c>
      <c r="O409" t="e">
        <f ca="1">INDEX(INDIRECT(CONCATENATE("Tab_",Tab_Calculs[[#This Row],[Colonne1]])),Tab_Calculs[[#This Row],[index_date_livraison]]-1,7)*(MAX(Tab_Calculs[[#This Row],[Début periode livraison]],Tab_Calculs[[#This Row],[Début mois]])-Tab_Calculs[[#This Row],[Début mois]])</f>
        <v>#VALUE!</v>
      </c>
      <c r="P409">
        <f ca="1">INDEX(INDIRECT(CONCATENATE("Tab_",Tab_Calculs[[#This Row],[Colonne1]])),Tab_Calculs[[#This Row],[index_date_livraison]],7)*(1+MIN(Tab_Calculs[[#This Row],[Date_livraison]],Tab_Calculs[[#This Row],[fin mois]])-MAX(Tab_Calculs[[#This Row],[Début mois]],Tab_Calculs[[#This Row],[Début periode livraison]]))</f>
        <v>0</v>
      </c>
      <c r="Q409" t="e">
        <f ca="1">INDEX(INDIRECT(CONCATENATE("Tab_",Tab_Calculs[[#This Row],[Colonne1]])),Tab_Calculs[[#This Row],[index_date_livraison]]+1,7)*(Tab_Calculs[[#This Row],[fin mois]]-MIN(Tab_Calculs[[#This Row],[fin mois]],Tab_Calculs[[#This Row],[Date_livraison]]))</f>
        <v>#VALUE!</v>
      </c>
      <c r="R409" t="e">
        <f ca="1">Tab_Calculs[[#This Row],[Ratio_Cout_après_livr]]+Tab_Calculs[[#This Row],[Ratio_Cout_avant_livr]]+Tab_Calculs[[#This Row],[Ratio_Cout_avant_debut]]</f>
        <v>#VALUE!</v>
      </c>
      <c r="S409" t="str">
        <f ca="1">IFERROR(N409*VLOOKUP(Tab_Calculs[[#This Row],[Colonne1]],Controle_des_données!$B$7:$G$14,6,FALSE),"")</f>
        <v/>
      </c>
      <c r="T409" t="str">
        <f ca="1">IF(Tab_Calculs[[#This Row],[Combustible ]]="Electricité (kWh)",Tab_Calculs[[#This Row],[Conso_mois_kWh]]*2.3,Tab_Calculs[[#This Row],[Conso_mois_kWh]])</f>
        <v/>
      </c>
      <c r="U409" t="str">
        <f ca="1">IFERROR(N409*VLOOKUP(Tab_Calculs[[#This Row],[Colonne1]],Controle_des_données!$B$7:$H$14,7,FALSE),"")</f>
        <v/>
      </c>
      <c r="V409">
        <f ca="1">IFERROR(Tab_Calculs[[#This Row],[Cout_mois]]/Tab_Calculs[[#This Row],[Conso_mois_kWh]],0)</f>
        <v>0</v>
      </c>
      <c r="W409" t="str">
        <f>T(VLOOKUP(Tab_Calculs[[#This Row],[Compteur]],Site!$B$33:$G$40,3,FALSE))</f>
        <v/>
      </c>
      <c r="X409" t="str">
        <f>T(VLOOKUP(Tab_Calculs[[#This Row],[Compteur]],Site!$B$33:$G$40,4,FALSE))</f>
        <v/>
      </c>
      <c r="Y409" t="str">
        <f>T(VLOOKUP(Tab_Calculs[[#This Row],[Compteur]],Site!$B$33:$G$40,5,FALSE))</f>
        <v/>
      </c>
      <c r="Z409" t="str">
        <f>T(VLOOKUP(Tab_Calculs[[#This Row],[Compteur]],Site!$B$33:$G$40,6,FALSE))</f>
        <v/>
      </c>
      <c r="AA409">
        <f>IFERROR(GETPIVOTDATA("DJU(chauffagiste)",BDD_DJU!$P$13,"annee",Tab_Calculs[[#This Row],[ANNEE]],"mois_numero",Tab_Calculs[[#This Row],[MOIS]]),0)</f>
        <v>91.9</v>
      </c>
    </row>
    <row r="410" spans="1:27" x14ac:dyDescent="0.25">
      <c r="A410" s="3">
        <f>DATE(Tab_Calculs[[#This Row],[ANNEE]],Tab_Calculs[[#This Row],[MOIS]],1)</f>
        <v>40695</v>
      </c>
      <c r="B410" s="3">
        <f>EDATE(Tab_Calculs[[#This Row],[Début mois]],1)-1</f>
        <v>40724</v>
      </c>
      <c r="C410">
        <v>6</v>
      </c>
      <c r="D410">
        <v>2011</v>
      </c>
      <c r="E410" t="s">
        <v>82</v>
      </c>
      <c r="F410" t="str">
        <f>SUBSTITUTE(Tab_Calculs[[#This Row],[Compteur]]," ","_")</f>
        <v>Compteur_3</v>
      </c>
      <c r="G410" t="str">
        <f>T(INDEX(Site!$B$33:$G$40, MATCH(Tab_Calculs[[#This Row],[Compteur]], Site!$B$33:$B$40,0),2))</f>
        <v/>
      </c>
      <c r="H410" s="3">
        <f t="array" aca="1" ref="H410" ca="1">MIN(IF(INDIRECT(CONCATENATE(Tab_Calculs[[#This Row],[Colonne1]],"!$B$2:$B$243"))&gt;=Calculs_Consos!$A410,INDIRECT(CONCATENATE(Tab_Calculs[[#This Row],[Colonne1]],"!$B$2:$B$243"))))</f>
        <v>0</v>
      </c>
      <c r="I410" s="3">
        <f ca="1">INDEX(INDIRECT(CONCATENATE("Tab_",Tab_Calculs[[#This Row],[Colonne1]])),Tab_Calculs[[#This Row],[index_date_livraison]],1)</f>
        <v>0</v>
      </c>
      <c r="J410">
        <f ca="1">MATCH(Tab_Calculs[[#This Row],[Date_livraison]],INDIRECT(CONCATENATE("Tab_",Tab_Calculs[[#This Row],[Colonne1]],"[Fin de période]")),0)</f>
        <v>1</v>
      </c>
      <c r="K410" t="e">
        <f ca="1">INDEX(INDIRECT(CONCATENATE("Tab_",Tab_Calculs[[#This Row],[Colonne1]])),Tab_Calculs[[#This Row],[index_date_livraison]]-1,6)*(MAX(Tab_Calculs[[#This Row],[Début periode livraison]],Tab_Calculs[[#This Row],[Début mois]])-Tab_Calculs[[#This Row],[Début mois]])</f>
        <v>#VALUE!</v>
      </c>
      <c r="L410" s="94">
        <f ca="1">INDEX(INDIRECT(CONCATENATE("Tab_",Tab_Calculs[[#This Row],[Colonne1]])),Tab_Calculs[[#This Row],[index_date_livraison]],6)*(1+MIN(Tab_Calculs[[#This Row],[Date_livraison]],Tab_Calculs[[#This Row],[fin mois]])-MAX(Tab_Calculs[[#This Row],[Début mois]],Tab_Calculs[[#This Row],[Début periode livraison]]))</f>
        <v>0</v>
      </c>
      <c r="M410" s="94" t="e">
        <f ca="1">INDEX(INDIRECT(CONCATENATE("Tab_",Tab_Calculs[[#This Row],[Colonne1]])),Tab_Calculs[[#This Row],[index_date_livraison]]+1,6)*(Tab_Calculs[[#This Row],[fin mois]]-MIN(Tab_Calculs[[#This Row],[fin mois]],Tab_Calculs[[#This Row],[Date_livraison]]))</f>
        <v>#VALUE!</v>
      </c>
      <c r="N410" s="231" t="str">
        <f ca="1">IFERROR(Tab_Calculs[[#This Row],[Ratio_jour_après_livr]]+Tab_Calculs[[#This Row],[Ratio_jour_avant_livr]]+Tab_Calculs[[#This Row],[ratio_avant_debut]],"")</f>
        <v/>
      </c>
      <c r="O410" t="e">
        <f ca="1">INDEX(INDIRECT(CONCATENATE("Tab_",Tab_Calculs[[#This Row],[Colonne1]])),Tab_Calculs[[#This Row],[index_date_livraison]]-1,7)*(MAX(Tab_Calculs[[#This Row],[Début periode livraison]],Tab_Calculs[[#This Row],[Début mois]])-Tab_Calculs[[#This Row],[Début mois]])</f>
        <v>#VALUE!</v>
      </c>
      <c r="P410">
        <f ca="1">INDEX(INDIRECT(CONCATENATE("Tab_",Tab_Calculs[[#This Row],[Colonne1]])),Tab_Calculs[[#This Row],[index_date_livraison]],7)*(1+MIN(Tab_Calculs[[#This Row],[Date_livraison]],Tab_Calculs[[#This Row],[fin mois]])-MAX(Tab_Calculs[[#This Row],[Début mois]],Tab_Calculs[[#This Row],[Début periode livraison]]))</f>
        <v>0</v>
      </c>
      <c r="Q410" t="e">
        <f ca="1">INDEX(INDIRECT(CONCATENATE("Tab_",Tab_Calculs[[#This Row],[Colonne1]])),Tab_Calculs[[#This Row],[index_date_livraison]]+1,7)*(Tab_Calculs[[#This Row],[fin mois]]-MIN(Tab_Calculs[[#This Row],[fin mois]],Tab_Calculs[[#This Row],[Date_livraison]]))</f>
        <v>#VALUE!</v>
      </c>
      <c r="R410" t="e">
        <f ca="1">Tab_Calculs[[#This Row],[Ratio_Cout_après_livr]]+Tab_Calculs[[#This Row],[Ratio_Cout_avant_livr]]+Tab_Calculs[[#This Row],[Ratio_Cout_avant_debut]]</f>
        <v>#VALUE!</v>
      </c>
      <c r="S410" t="str">
        <f ca="1">IFERROR(N410*VLOOKUP(Tab_Calculs[[#This Row],[Colonne1]],Controle_des_données!$B$7:$G$14,6,FALSE),"")</f>
        <v/>
      </c>
      <c r="T410" t="str">
        <f ca="1">IF(Tab_Calculs[[#This Row],[Combustible ]]="Electricité (kWh)",Tab_Calculs[[#This Row],[Conso_mois_kWh]]*2.3,Tab_Calculs[[#This Row],[Conso_mois_kWh]])</f>
        <v/>
      </c>
      <c r="U410" t="str">
        <f ca="1">IFERROR(N410*VLOOKUP(Tab_Calculs[[#This Row],[Colonne1]],Controle_des_données!$B$7:$H$14,7,FALSE),"")</f>
        <v/>
      </c>
      <c r="V410">
        <f ca="1">IFERROR(Tab_Calculs[[#This Row],[Cout_mois]]/Tab_Calculs[[#This Row],[Conso_mois_kWh]],0)</f>
        <v>0</v>
      </c>
      <c r="W410" t="str">
        <f>T(VLOOKUP(Tab_Calculs[[#This Row],[Compteur]],Site!$B$33:$G$40,3,FALSE))</f>
        <v/>
      </c>
      <c r="X410" t="str">
        <f>T(VLOOKUP(Tab_Calculs[[#This Row],[Compteur]],Site!$B$33:$G$40,4,FALSE))</f>
        <v/>
      </c>
      <c r="Y410" t="str">
        <f>T(VLOOKUP(Tab_Calculs[[#This Row],[Compteur]],Site!$B$33:$G$40,5,FALSE))</f>
        <v/>
      </c>
      <c r="Z410" t="str">
        <f>T(VLOOKUP(Tab_Calculs[[#This Row],[Compteur]],Site!$B$33:$G$40,6,FALSE))</f>
        <v/>
      </c>
      <c r="AA410">
        <f>IFERROR(GETPIVOTDATA("DJU(chauffagiste)",BDD_DJU!$P$13,"annee",Tab_Calculs[[#This Row],[ANNEE]],"mois_numero",Tab_Calculs[[#This Row],[MOIS]]),0)</f>
        <v>55.8</v>
      </c>
    </row>
    <row r="411" spans="1:27" x14ac:dyDescent="0.25">
      <c r="A411" s="3">
        <f>DATE(Tab_Calculs[[#This Row],[ANNEE]],Tab_Calculs[[#This Row],[MOIS]],1)</f>
        <v>40725</v>
      </c>
      <c r="B411" s="3">
        <f>EDATE(Tab_Calculs[[#This Row],[Début mois]],1)-1</f>
        <v>40755</v>
      </c>
      <c r="C411">
        <v>7</v>
      </c>
      <c r="D411">
        <v>2011</v>
      </c>
      <c r="E411" t="s">
        <v>82</v>
      </c>
      <c r="F411" t="str">
        <f>SUBSTITUTE(Tab_Calculs[[#This Row],[Compteur]]," ","_")</f>
        <v>Compteur_3</v>
      </c>
      <c r="G411" t="str">
        <f>T(INDEX(Site!$B$33:$G$40, MATCH(Tab_Calculs[[#This Row],[Compteur]], Site!$B$33:$B$40,0),2))</f>
        <v/>
      </c>
      <c r="H411" s="3">
        <f t="array" aca="1" ref="H411" ca="1">MIN(IF(INDIRECT(CONCATENATE(Tab_Calculs[[#This Row],[Colonne1]],"!$B$2:$B$243"))&gt;=Calculs_Consos!$A411,INDIRECT(CONCATENATE(Tab_Calculs[[#This Row],[Colonne1]],"!$B$2:$B$243"))))</f>
        <v>0</v>
      </c>
      <c r="I411" s="3">
        <f ca="1">INDEX(INDIRECT(CONCATENATE("Tab_",Tab_Calculs[[#This Row],[Colonne1]])),Tab_Calculs[[#This Row],[index_date_livraison]],1)</f>
        <v>0</v>
      </c>
      <c r="J411">
        <f ca="1">MATCH(Tab_Calculs[[#This Row],[Date_livraison]],INDIRECT(CONCATENATE("Tab_",Tab_Calculs[[#This Row],[Colonne1]],"[Fin de période]")),0)</f>
        <v>1</v>
      </c>
      <c r="K411" t="e">
        <f ca="1">INDEX(INDIRECT(CONCATENATE("Tab_",Tab_Calculs[[#This Row],[Colonne1]])),Tab_Calculs[[#This Row],[index_date_livraison]]-1,6)*(MAX(Tab_Calculs[[#This Row],[Début periode livraison]],Tab_Calculs[[#This Row],[Début mois]])-Tab_Calculs[[#This Row],[Début mois]])</f>
        <v>#VALUE!</v>
      </c>
      <c r="L411" s="94">
        <f ca="1">INDEX(INDIRECT(CONCATENATE("Tab_",Tab_Calculs[[#This Row],[Colonne1]])),Tab_Calculs[[#This Row],[index_date_livraison]],6)*(1+MIN(Tab_Calculs[[#This Row],[Date_livraison]],Tab_Calculs[[#This Row],[fin mois]])-MAX(Tab_Calculs[[#This Row],[Début mois]],Tab_Calculs[[#This Row],[Début periode livraison]]))</f>
        <v>0</v>
      </c>
      <c r="M411" s="94" t="e">
        <f ca="1">INDEX(INDIRECT(CONCATENATE("Tab_",Tab_Calculs[[#This Row],[Colonne1]])),Tab_Calculs[[#This Row],[index_date_livraison]]+1,6)*(Tab_Calculs[[#This Row],[fin mois]]-MIN(Tab_Calculs[[#This Row],[fin mois]],Tab_Calculs[[#This Row],[Date_livraison]]))</f>
        <v>#VALUE!</v>
      </c>
      <c r="N411" s="231" t="str">
        <f ca="1">IFERROR(Tab_Calculs[[#This Row],[Ratio_jour_après_livr]]+Tab_Calculs[[#This Row],[Ratio_jour_avant_livr]]+Tab_Calculs[[#This Row],[ratio_avant_debut]],"")</f>
        <v/>
      </c>
      <c r="O411" t="e">
        <f ca="1">INDEX(INDIRECT(CONCATENATE("Tab_",Tab_Calculs[[#This Row],[Colonne1]])),Tab_Calculs[[#This Row],[index_date_livraison]]-1,7)*(MAX(Tab_Calculs[[#This Row],[Début periode livraison]],Tab_Calculs[[#This Row],[Début mois]])-Tab_Calculs[[#This Row],[Début mois]])</f>
        <v>#VALUE!</v>
      </c>
      <c r="P411">
        <f ca="1">INDEX(INDIRECT(CONCATENATE("Tab_",Tab_Calculs[[#This Row],[Colonne1]])),Tab_Calculs[[#This Row],[index_date_livraison]],7)*(1+MIN(Tab_Calculs[[#This Row],[Date_livraison]],Tab_Calculs[[#This Row],[fin mois]])-MAX(Tab_Calculs[[#This Row],[Début mois]],Tab_Calculs[[#This Row],[Début periode livraison]]))</f>
        <v>0</v>
      </c>
      <c r="Q411" t="e">
        <f ca="1">INDEX(INDIRECT(CONCATENATE("Tab_",Tab_Calculs[[#This Row],[Colonne1]])),Tab_Calculs[[#This Row],[index_date_livraison]]+1,7)*(Tab_Calculs[[#This Row],[fin mois]]-MIN(Tab_Calculs[[#This Row],[fin mois]],Tab_Calculs[[#This Row],[Date_livraison]]))</f>
        <v>#VALUE!</v>
      </c>
      <c r="R411" t="e">
        <f ca="1">Tab_Calculs[[#This Row],[Ratio_Cout_après_livr]]+Tab_Calculs[[#This Row],[Ratio_Cout_avant_livr]]+Tab_Calculs[[#This Row],[Ratio_Cout_avant_debut]]</f>
        <v>#VALUE!</v>
      </c>
      <c r="S411" t="str">
        <f ca="1">IFERROR(N411*VLOOKUP(Tab_Calculs[[#This Row],[Colonne1]],Controle_des_données!$B$7:$G$14,6,FALSE),"")</f>
        <v/>
      </c>
      <c r="T411" t="str">
        <f ca="1">IF(Tab_Calculs[[#This Row],[Combustible ]]="Electricité (kWh)",Tab_Calculs[[#This Row],[Conso_mois_kWh]]*2.3,Tab_Calculs[[#This Row],[Conso_mois_kWh]])</f>
        <v/>
      </c>
      <c r="U411" t="str">
        <f ca="1">IFERROR(N411*VLOOKUP(Tab_Calculs[[#This Row],[Colonne1]],Controle_des_données!$B$7:$H$14,7,FALSE),"")</f>
        <v/>
      </c>
      <c r="V411">
        <f ca="1">IFERROR(Tab_Calculs[[#This Row],[Cout_mois]]/Tab_Calculs[[#This Row],[Conso_mois_kWh]],0)</f>
        <v>0</v>
      </c>
      <c r="W411" t="str">
        <f>T(VLOOKUP(Tab_Calculs[[#This Row],[Compteur]],Site!$B$33:$G$40,3,FALSE))</f>
        <v/>
      </c>
      <c r="X411" t="str">
        <f>T(VLOOKUP(Tab_Calculs[[#This Row],[Compteur]],Site!$B$33:$G$40,4,FALSE))</f>
        <v/>
      </c>
      <c r="Y411" t="str">
        <f>T(VLOOKUP(Tab_Calculs[[#This Row],[Compteur]],Site!$B$33:$G$40,5,FALSE))</f>
        <v/>
      </c>
      <c r="Z411" t="str">
        <f>T(VLOOKUP(Tab_Calculs[[#This Row],[Compteur]],Site!$B$33:$G$40,6,FALSE))</f>
        <v/>
      </c>
      <c r="AA411">
        <f>IFERROR(GETPIVOTDATA("DJU(chauffagiste)",BDD_DJU!$P$13,"annee",Tab_Calculs[[#This Row],[ANNEE]],"mois_numero",Tab_Calculs[[#This Row],[MOIS]]),0)</f>
        <v>50.8</v>
      </c>
    </row>
    <row r="412" spans="1:27" x14ac:dyDescent="0.25">
      <c r="A412" s="3">
        <f>DATE(Tab_Calculs[[#This Row],[ANNEE]],Tab_Calculs[[#This Row],[MOIS]],1)</f>
        <v>40756</v>
      </c>
      <c r="B412" s="3">
        <f>EDATE(Tab_Calculs[[#This Row],[Début mois]],1)-1</f>
        <v>40786</v>
      </c>
      <c r="C412">
        <v>8</v>
      </c>
      <c r="D412">
        <v>2011</v>
      </c>
      <c r="E412" t="s">
        <v>82</v>
      </c>
      <c r="F412" t="str">
        <f>SUBSTITUTE(Tab_Calculs[[#This Row],[Compteur]]," ","_")</f>
        <v>Compteur_3</v>
      </c>
      <c r="G412" t="str">
        <f>T(INDEX(Site!$B$33:$G$40, MATCH(Tab_Calculs[[#This Row],[Compteur]], Site!$B$33:$B$40,0),2))</f>
        <v/>
      </c>
      <c r="H412" s="3">
        <f t="array" aca="1" ref="H412" ca="1">MIN(IF(INDIRECT(CONCATENATE(Tab_Calculs[[#This Row],[Colonne1]],"!$B$2:$B$243"))&gt;=Calculs_Consos!$A412,INDIRECT(CONCATENATE(Tab_Calculs[[#This Row],[Colonne1]],"!$B$2:$B$243"))))</f>
        <v>0</v>
      </c>
      <c r="I412" s="3">
        <f ca="1">INDEX(INDIRECT(CONCATENATE("Tab_",Tab_Calculs[[#This Row],[Colonne1]])),Tab_Calculs[[#This Row],[index_date_livraison]],1)</f>
        <v>0</v>
      </c>
      <c r="J412">
        <f ca="1">MATCH(Tab_Calculs[[#This Row],[Date_livraison]],INDIRECT(CONCATENATE("Tab_",Tab_Calculs[[#This Row],[Colonne1]],"[Fin de période]")),0)</f>
        <v>1</v>
      </c>
      <c r="K412" t="e">
        <f ca="1">INDEX(INDIRECT(CONCATENATE("Tab_",Tab_Calculs[[#This Row],[Colonne1]])),Tab_Calculs[[#This Row],[index_date_livraison]]-1,6)*(MAX(Tab_Calculs[[#This Row],[Début periode livraison]],Tab_Calculs[[#This Row],[Début mois]])-Tab_Calculs[[#This Row],[Début mois]])</f>
        <v>#VALUE!</v>
      </c>
      <c r="L412" s="94">
        <f ca="1">INDEX(INDIRECT(CONCATENATE("Tab_",Tab_Calculs[[#This Row],[Colonne1]])),Tab_Calculs[[#This Row],[index_date_livraison]],6)*(1+MIN(Tab_Calculs[[#This Row],[Date_livraison]],Tab_Calculs[[#This Row],[fin mois]])-MAX(Tab_Calculs[[#This Row],[Début mois]],Tab_Calculs[[#This Row],[Début periode livraison]]))</f>
        <v>0</v>
      </c>
      <c r="M412" s="94" t="e">
        <f ca="1">INDEX(INDIRECT(CONCATENATE("Tab_",Tab_Calculs[[#This Row],[Colonne1]])),Tab_Calculs[[#This Row],[index_date_livraison]]+1,6)*(Tab_Calculs[[#This Row],[fin mois]]-MIN(Tab_Calculs[[#This Row],[fin mois]],Tab_Calculs[[#This Row],[Date_livraison]]))</f>
        <v>#VALUE!</v>
      </c>
      <c r="N412" s="231" t="str">
        <f ca="1">IFERROR(Tab_Calculs[[#This Row],[Ratio_jour_après_livr]]+Tab_Calculs[[#This Row],[Ratio_jour_avant_livr]]+Tab_Calculs[[#This Row],[ratio_avant_debut]],"")</f>
        <v/>
      </c>
      <c r="O412" t="e">
        <f ca="1">INDEX(INDIRECT(CONCATENATE("Tab_",Tab_Calculs[[#This Row],[Colonne1]])),Tab_Calculs[[#This Row],[index_date_livraison]]-1,7)*(MAX(Tab_Calculs[[#This Row],[Début periode livraison]],Tab_Calculs[[#This Row],[Début mois]])-Tab_Calculs[[#This Row],[Début mois]])</f>
        <v>#VALUE!</v>
      </c>
      <c r="P412">
        <f ca="1">INDEX(INDIRECT(CONCATENATE("Tab_",Tab_Calculs[[#This Row],[Colonne1]])),Tab_Calculs[[#This Row],[index_date_livraison]],7)*(1+MIN(Tab_Calculs[[#This Row],[Date_livraison]],Tab_Calculs[[#This Row],[fin mois]])-MAX(Tab_Calculs[[#This Row],[Début mois]],Tab_Calculs[[#This Row],[Début periode livraison]]))</f>
        <v>0</v>
      </c>
      <c r="Q412" t="e">
        <f ca="1">INDEX(INDIRECT(CONCATENATE("Tab_",Tab_Calculs[[#This Row],[Colonne1]])),Tab_Calculs[[#This Row],[index_date_livraison]]+1,7)*(Tab_Calculs[[#This Row],[fin mois]]-MIN(Tab_Calculs[[#This Row],[fin mois]],Tab_Calculs[[#This Row],[Date_livraison]]))</f>
        <v>#VALUE!</v>
      </c>
      <c r="R412" t="e">
        <f ca="1">Tab_Calculs[[#This Row],[Ratio_Cout_après_livr]]+Tab_Calculs[[#This Row],[Ratio_Cout_avant_livr]]+Tab_Calculs[[#This Row],[Ratio_Cout_avant_debut]]</f>
        <v>#VALUE!</v>
      </c>
      <c r="S412" t="str">
        <f ca="1">IFERROR(N412*VLOOKUP(Tab_Calculs[[#This Row],[Colonne1]],Controle_des_données!$B$7:$G$14,6,FALSE),"")</f>
        <v/>
      </c>
      <c r="T412" t="str">
        <f ca="1">IF(Tab_Calculs[[#This Row],[Combustible ]]="Electricité (kWh)",Tab_Calculs[[#This Row],[Conso_mois_kWh]]*2.3,Tab_Calculs[[#This Row],[Conso_mois_kWh]])</f>
        <v/>
      </c>
      <c r="U412" t="str">
        <f ca="1">IFERROR(N412*VLOOKUP(Tab_Calculs[[#This Row],[Colonne1]],Controle_des_données!$B$7:$H$14,7,FALSE),"")</f>
        <v/>
      </c>
      <c r="V412">
        <f ca="1">IFERROR(Tab_Calculs[[#This Row],[Cout_mois]]/Tab_Calculs[[#This Row],[Conso_mois_kWh]],0)</f>
        <v>0</v>
      </c>
      <c r="W412" t="str">
        <f>T(VLOOKUP(Tab_Calculs[[#This Row],[Compteur]],Site!$B$33:$G$40,3,FALSE))</f>
        <v/>
      </c>
      <c r="X412" t="str">
        <f>T(VLOOKUP(Tab_Calculs[[#This Row],[Compteur]],Site!$B$33:$G$40,4,FALSE))</f>
        <v/>
      </c>
      <c r="Y412" t="str">
        <f>T(VLOOKUP(Tab_Calculs[[#This Row],[Compteur]],Site!$B$33:$G$40,5,FALSE))</f>
        <v/>
      </c>
      <c r="Z412" t="str">
        <f>T(VLOOKUP(Tab_Calculs[[#This Row],[Compteur]],Site!$B$33:$G$40,6,FALSE))</f>
        <v/>
      </c>
      <c r="AA412">
        <f>IFERROR(GETPIVOTDATA("DJU(chauffagiste)",BDD_DJU!$P$13,"annee",Tab_Calculs[[#This Row],[ANNEE]],"mois_numero",Tab_Calculs[[#This Row],[MOIS]]),0)</f>
        <v>34.700000000000003</v>
      </c>
    </row>
    <row r="413" spans="1:27" x14ac:dyDescent="0.25">
      <c r="A413" s="3">
        <f>DATE(Tab_Calculs[[#This Row],[ANNEE]],Tab_Calculs[[#This Row],[MOIS]],1)</f>
        <v>40787</v>
      </c>
      <c r="B413" s="3">
        <f>EDATE(Tab_Calculs[[#This Row],[Début mois]],1)-1</f>
        <v>40816</v>
      </c>
      <c r="C413">
        <v>9</v>
      </c>
      <c r="D413">
        <v>2011</v>
      </c>
      <c r="E413" t="s">
        <v>82</v>
      </c>
      <c r="F413" t="str">
        <f>SUBSTITUTE(Tab_Calculs[[#This Row],[Compteur]]," ","_")</f>
        <v>Compteur_3</v>
      </c>
      <c r="G413" t="str">
        <f>T(INDEX(Site!$B$33:$G$40, MATCH(Tab_Calculs[[#This Row],[Compteur]], Site!$B$33:$B$40,0),2))</f>
        <v/>
      </c>
      <c r="H413" s="3">
        <f t="array" aca="1" ref="H413" ca="1">MIN(IF(INDIRECT(CONCATENATE(Tab_Calculs[[#This Row],[Colonne1]],"!$B$2:$B$243"))&gt;=Calculs_Consos!$A413,INDIRECT(CONCATENATE(Tab_Calculs[[#This Row],[Colonne1]],"!$B$2:$B$243"))))</f>
        <v>0</v>
      </c>
      <c r="I413" s="3">
        <f ca="1">INDEX(INDIRECT(CONCATENATE("Tab_",Tab_Calculs[[#This Row],[Colonne1]])),Tab_Calculs[[#This Row],[index_date_livraison]],1)</f>
        <v>0</v>
      </c>
      <c r="J413">
        <f ca="1">MATCH(Tab_Calculs[[#This Row],[Date_livraison]],INDIRECT(CONCATENATE("Tab_",Tab_Calculs[[#This Row],[Colonne1]],"[Fin de période]")),0)</f>
        <v>1</v>
      </c>
      <c r="K413" t="e">
        <f ca="1">INDEX(INDIRECT(CONCATENATE("Tab_",Tab_Calculs[[#This Row],[Colonne1]])),Tab_Calculs[[#This Row],[index_date_livraison]]-1,6)*(MAX(Tab_Calculs[[#This Row],[Début periode livraison]],Tab_Calculs[[#This Row],[Début mois]])-Tab_Calculs[[#This Row],[Début mois]])</f>
        <v>#VALUE!</v>
      </c>
      <c r="L413" s="94">
        <f ca="1">INDEX(INDIRECT(CONCATENATE("Tab_",Tab_Calculs[[#This Row],[Colonne1]])),Tab_Calculs[[#This Row],[index_date_livraison]],6)*(1+MIN(Tab_Calculs[[#This Row],[Date_livraison]],Tab_Calculs[[#This Row],[fin mois]])-MAX(Tab_Calculs[[#This Row],[Début mois]],Tab_Calculs[[#This Row],[Début periode livraison]]))</f>
        <v>0</v>
      </c>
      <c r="M413" s="94" t="e">
        <f ca="1">INDEX(INDIRECT(CONCATENATE("Tab_",Tab_Calculs[[#This Row],[Colonne1]])),Tab_Calculs[[#This Row],[index_date_livraison]]+1,6)*(Tab_Calculs[[#This Row],[fin mois]]-MIN(Tab_Calculs[[#This Row],[fin mois]],Tab_Calculs[[#This Row],[Date_livraison]]))</f>
        <v>#VALUE!</v>
      </c>
      <c r="N413" s="231" t="str">
        <f ca="1">IFERROR(Tab_Calculs[[#This Row],[Ratio_jour_après_livr]]+Tab_Calculs[[#This Row],[Ratio_jour_avant_livr]]+Tab_Calculs[[#This Row],[ratio_avant_debut]],"")</f>
        <v/>
      </c>
      <c r="O413" t="e">
        <f ca="1">INDEX(INDIRECT(CONCATENATE("Tab_",Tab_Calculs[[#This Row],[Colonne1]])),Tab_Calculs[[#This Row],[index_date_livraison]]-1,7)*(MAX(Tab_Calculs[[#This Row],[Début periode livraison]],Tab_Calculs[[#This Row],[Début mois]])-Tab_Calculs[[#This Row],[Début mois]])</f>
        <v>#VALUE!</v>
      </c>
      <c r="P413">
        <f ca="1">INDEX(INDIRECT(CONCATENATE("Tab_",Tab_Calculs[[#This Row],[Colonne1]])),Tab_Calculs[[#This Row],[index_date_livraison]],7)*(1+MIN(Tab_Calculs[[#This Row],[Date_livraison]],Tab_Calculs[[#This Row],[fin mois]])-MAX(Tab_Calculs[[#This Row],[Début mois]],Tab_Calculs[[#This Row],[Début periode livraison]]))</f>
        <v>0</v>
      </c>
      <c r="Q413" t="e">
        <f ca="1">INDEX(INDIRECT(CONCATENATE("Tab_",Tab_Calculs[[#This Row],[Colonne1]])),Tab_Calculs[[#This Row],[index_date_livraison]]+1,7)*(Tab_Calculs[[#This Row],[fin mois]]-MIN(Tab_Calculs[[#This Row],[fin mois]],Tab_Calculs[[#This Row],[Date_livraison]]))</f>
        <v>#VALUE!</v>
      </c>
      <c r="R413" t="e">
        <f ca="1">Tab_Calculs[[#This Row],[Ratio_Cout_après_livr]]+Tab_Calculs[[#This Row],[Ratio_Cout_avant_livr]]+Tab_Calculs[[#This Row],[Ratio_Cout_avant_debut]]</f>
        <v>#VALUE!</v>
      </c>
      <c r="S413" t="str">
        <f ca="1">IFERROR(N413*VLOOKUP(Tab_Calculs[[#This Row],[Colonne1]],Controle_des_données!$B$7:$G$14,6,FALSE),"")</f>
        <v/>
      </c>
      <c r="T413" t="str">
        <f ca="1">IF(Tab_Calculs[[#This Row],[Combustible ]]="Electricité (kWh)",Tab_Calculs[[#This Row],[Conso_mois_kWh]]*2.3,Tab_Calculs[[#This Row],[Conso_mois_kWh]])</f>
        <v/>
      </c>
      <c r="U413" t="str">
        <f ca="1">IFERROR(N413*VLOOKUP(Tab_Calculs[[#This Row],[Colonne1]],Controle_des_données!$B$7:$H$14,7,FALSE),"")</f>
        <v/>
      </c>
      <c r="V413">
        <f ca="1">IFERROR(Tab_Calculs[[#This Row],[Cout_mois]]/Tab_Calculs[[#This Row],[Conso_mois_kWh]],0)</f>
        <v>0</v>
      </c>
      <c r="W413" t="str">
        <f>T(VLOOKUP(Tab_Calculs[[#This Row],[Compteur]],Site!$B$33:$G$40,3,FALSE))</f>
        <v/>
      </c>
      <c r="X413" t="str">
        <f>T(VLOOKUP(Tab_Calculs[[#This Row],[Compteur]],Site!$B$33:$G$40,4,FALSE))</f>
        <v/>
      </c>
      <c r="Y413" t="str">
        <f>T(VLOOKUP(Tab_Calculs[[#This Row],[Compteur]],Site!$B$33:$G$40,5,FALSE))</f>
        <v/>
      </c>
      <c r="Z413" t="str">
        <f>T(VLOOKUP(Tab_Calculs[[#This Row],[Compteur]],Site!$B$33:$G$40,6,FALSE))</f>
        <v/>
      </c>
      <c r="AA413">
        <f>IFERROR(GETPIVOTDATA("DJU(chauffagiste)",BDD_DJU!$P$13,"annee",Tab_Calculs[[#This Row],[ANNEE]],"mois_numero",Tab_Calculs[[#This Row],[MOIS]]),0)</f>
        <v>51.3</v>
      </c>
    </row>
    <row r="414" spans="1:27" x14ac:dyDescent="0.25">
      <c r="A414" s="3">
        <f>DATE(Tab_Calculs[[#This Row],[ANNEE]],Tab_Calculs[[#This Row],[MOIS]],1)</f>
        <v>40817</v>
      </c>
      <c r="B414" s="3">
        <f>EDATE(Tab_Calculs[[#This Row],[Début mois]],1)-1</f>
        <v>40847</v>
      </c>
      <c r="C414">
        <v>10</v>
      </c>
      <c r="D414">
        <v>2011</v>
      </c>
      <c r="E414" t="s">
        <v>82</v>
      </c>
      <c r="F414" t="str">
        <f>SUBSTITUTE(Tab_Calculs[[#This Row],[Compteur]]," ","_")</f>
        <v>Compteur_3</v>
      </c>
      <c r="G414" t="str">
        <f>T(INDEX(Site!$B$33:$G$40, MATCH(Tab_Calculs[[#This Row],[Compteur]], Site!$B$33:$B$40,0),2))</f>
        <v/>
      </c>
      <c r="H414" s="3">
        <f t="array" aca="1" ref="H414" ca="1">MIN(IF(INDIRECT(CONCATENATE(Tab_Calculs[[#This Row],[Colonne1]],"!$B$2:$B$243"))&gt;=Calculs_Consos!$A414,INDIRECT(CONCATENATE(Tab_Calculs[[#This Row],[Colonne1]],"!$B$2:$B$243"))))</f>
        <v>0</v>
      </c>
      <c r="I414" s="3">
        <f ca="1">INDEX(INDIRECT(CONCATENATE("Tab_",Tab_Calculs[[#This Row],[Colonne1]])),Tab_Calculs[[#This Row],[index_date_livraison]],1)</f>
        <v>0</v>
      </c>
      <c r="J414">
        <f ca="1">MATCH(Tab_Calculs[[#This Row],[Date_livraison]],INDIRECT(CONCATENATE("Tab_",Tab_Calculs[[#This Row],[Colonne1]],"[Fin de période]")),0)</f>
        <v>1</v>
      </c>
      <c r="K414" t="e">
        <f ca="1">INDEX(INDIRECT(CONCATENATE("Tab_",Tab_Calculs[[#This Row],[Colonne1]])),Tab_Calculs[[#This Row],[index_date_livraison]]-1,6)*(MAX(Tab_Calculs[[#This Row],[Début periode livraison]],Tab_Calculs[[#This Row],[Début mois]])-Tab_Calculs[[#This Row],[Début mois]])</f>
        <v>#VALUE!</v>
      </c>
      <c r="L414" s="94">
        <f ca="1">INDEX(INDIRECT(CONCATENATE("Tab_",Tab_Calculs[[#This Row],[Colonne1]])),Tab_Calculs[[#This Row],[index_date_livraison]],6)*(1+MIN(Tab_Calculs[[#This Row],[Date_livraison]],Tab_Calculs[[#This Row],[fin mois]])-MAX(Tab_Calculs[[#This Row],[Début mois]],Tab_Calculs[[#This Row],[Début periode livraison]]))</f>
        <v>0</v>
      </c>
      <c r="M414" s="94" t="e">
        <f ca="1">INDEX(INDIRECT(CONCATENATE("Tab_",Tab_Calculs[[#This Row],[Colonne1]])),Tab_Calculs[[#This Row],[index_date_livraison]]+1,6)*(Tab_Calculs[[#This Row],[fin mois]]-MIN(Tab_Calculs[[#This Row],[fin mois]],Tab_Calculs[[#This Row],[Date_livraison]]))</f>
        <v>#VALUE!</v>
      </c>
      <c r="N414" s="231" t="str">
        <f ca="1">IFERROR(Tab_Calculs[[#This Row],[Ratio_jour_après_livr]]+Tab_Calculs[[#This Row],[Ratio_jour_avant_livr]]+Tab_Calculs[[#This Row],[ratio_avant_debut]],"")</f>
        <v/>
      </c>
      <c r="O414" t="e">
        <f ca="1">INDEX(INDIRECT(CONCATENATE("Tab_",Tab_Calculs[[#This Row],[Colonne1]])),Tab_Calculs[[#This Row],[index_date_livraison]]-1,7)*(MAX(Tab_Calculs[[#This Row],[Début periode livraison]],Tab_Calculs[[#This Row],[Début mois]])-Tab_Calculs[[#This Row],[Début mois]])</f>
        <v>#VALUE!</v>
      </c>
      <c r="P414">
        <f ca="1">INDEX(INDIRECT(CONCATENATE("Tab_",Tab_Calculs[[#This Row],[Colonne1]])),Tab_Calculs[[#This Row],[index_date_livraison]],7)*(1+MIN(Tab_Calculs[[#This Row],[Date_livraison]],Tab_Calculs[[#This Row],[fin mois]])-MAX(Tab_Calculs[[#This Row],[Début mois]],Tab_Calculs[[#This Row],[Début periode livraison]]))</f>
        <v>0</v>
      </c>
      <c r="Q414" t="e">
        <f ca="1">INDEX(INDIRECT(CONCATENATE("Tab_",Tab_Calculs[[#This Row],[Colonne1]])),Tab_Calculs[[#This Row],[index_date_livraison]]+1,7)*(Tab_Calculs[[#This Row],[fin mois]]-MIN(Tab_Calculs[[#This Row],[fin mois]],Tab_Calculs[[#This Row],[Date_livraison]]))</f>
        <v>#VALUE!</v>
      </c>
      <c r="R414" t="e">
        <f ca="1">Tab_Calculs[[#This Row],[Ratio_Cout_après_livr]]+Tab_Calculs[[#This Row],[Ratio_Cout_avant_livr]]+Tab_Calculs[[#This Row],[Ratio_Cout_avant_debut]]</f>
        <v>#VALUE!</v>
      </c>
      <c r="S414" t="str">
        <f ca="1">IFERROR(N414*VLOOKUP(Tab_Calculs[[#This Row],[Colonne1]],Controle_des_données!$B$7:$G$14,6,FALSE),"")</f>
        <v/>
      </c>
      <c r="T414" t="str">
        <f ca="1">IF(Tab_Calculs[[#This Row],[Combustible ]]="Electricité (kWh)",Tab_Calculs[[#This Row],[Conso_mois_kWh]]*2.3,Tab_Calculs[[#This Row],[Conso_mois_kWh]])</f>
        <v/>
      </c>
      <c r="U414" t="str">
        <f ca="1">IFERROR(N414*VLOOKUP(Tab_Calculs[[#This Row],[Colonne1]],Controle_des_données!$B$7:$H$14,7,FALSE),"")</f>
        <v/>
      </c>
      <c r="V414">
        <f ca="1">IFERROR(Tab_Calculs[[#This Row],[Cout_mois]]/Tab_Calculs[[#This Row],[Conso_mois_kWh]],0)</f>
        <v>0</v>
      </c>
      <c r="W414" t="str">
        <f>T(VLOOKUP(Tab_Calculs[[#This Row],[Compteur]],Site!$B$33:$G$40,3,FALSE))</f>
        <v/>
      </c>
      <c r="X414" t="str">
        <f>T(VLOOKUP(Tab_Calculs[[#This Row],[Compteur]],Site!$B$33:$G$40,4,FALSE))</f>
        <v/>
      </c>
      <c r="Y414" t="str">
        <f>T(VLOOKUP(Tab_Calculs[[#This Row],[Compteur]],Site!$B$33:$G$40,5,FALSE))</f>
        <v/>
      </c>
      <c r="Z414" t="str">
        <f>T(VLOOKUP(Tab_Calculs[[#This Row],[Compteur]],Site!$B$33:$G$40,6,FALSE))</f>
        <v/>
      </c>
      <c r="AA414">
        <f>IFERROR(GETPIVOTDATA("DJU(chauffagiste)",BDD_DJU!$P$13,"annee",Tab_Calculs[[#This Row],[ANNEE]],"mois_numero",Tab_Calculs[[#This Row],[MOIS]]),0)</f>
        <v>145.6</v>
      </c>
    </row>
    <row r="415" spans="1:27" x14ac:dyDescent="0.25">
      <c r="A415" s="3">
        <f>DATE(Tab_Calculs[[#This Row],[ANNEE]],Tab_Calculs[[#This Row],[MOIS]],1)</f>
        <v>40848</v>
      </c>
      <c r="B415" s="3">
        <f>EDATE(Tab_Calculs[[#This Row],[Début mois]],1)-1</f>
        <v>40877</v>
      </c>
      <c r="C415">
        <v>11</v>
      </c>
      <c r="D415">
        <v>2011</v>
      </c>
      <c r="E415" t="s">
        <v>82</v>
      </c>
      <c r="F415" t="str">
        <f>SUBSTITUTE(Tab_Calculs[[#This Row],[Compteur]]," ","_")</f>
        <v>Compteur_3</v>
      </c>
      <c r="G415" t="str">
        <f>T(INDEX(Site!$B$33:$G$40, MATCH(Tab_Calculs[[#This Row],[Compteur]], Site!$B$33:$B$40,0),2))</f>
        <v/>
      </c>
      <c r="H415" s="3">
        <f t="array" aca="1" ref="H415" ca="1">MIN(IF(INDIRECT(CONCATENATE(Tab_Calculs[[#This Row],[Colonne1]],"!$B$2:$B$243"))&gt;=Calculs_Consos!$A415,INDIRECT(CONCATENATE(Tab_Calculs[[#This Row],[Colonne1]],"!$B$2:$B$243"))))</f>
        <v>0</v>
      </c>
      <c r="I415" s="3">
        <f ca="1">INDEX(INDIRECT(CONCATENATE("Tab_",Tab_Calculs[[#This Row],[Colonne1]])),Tab_Calculs[[#This Row],[index_date_livraison]],1)</f>
        <v>0</v>
      </c>
      <c r="J415">
        <f ca="1">MATCH(Tab_Calculs[[#This Row],[Date_livraison]],INDIRECT(CONCATENATE("Tab_",Tab_Calculs[[#This Row],[Colonne1]],"[Fin de période]")),0)</f>
        <v>1</v>
      </c>
      <c r="K415" t="e">
        <f ca="1">INDEX(INDIRECT(CONCATENATE("Tab_",Tab_Calculs[[#This Row],[Colonne1]])),Tab_Calculs[[#This Row],[index_date_livraison]]-1,6)*(MAX(Tab_Calculs[[#This Row],[Début periode livraison]],Tab_Calculs[[#This Row],[Début mois]])-Tab_Calculs[[#This Row],[Début mois]])</f>
        <v>#VALUE!</v>
      </c>
      <c r="L415" s="94">
        <f ca="1">INDEX(INDIRECT(CONCATENATE("Tab_",Tab_Calculs[[#This Row],[Colonne1]])),Tab_Calculs[[#This Row],[index_date_livraison]],6)*(1+MIN(Tab_Calculs[[#This Row],[Date_livraison]],Tab_Calculs[[#This Row],[fin mois]])-MAX(Tab_Calculs[[#This Row],[Début mois]],Tab_Calculs[[#This Row],[Début periode livraison]]))</f>
        <v>0</v>
      </c>
      <c r="M415" s="94" t="e">
        <f ca="1">INDEX(INDIRECT(CONCATENATE("Tab_",Tab_Calculs[[#This Row],[Colonne1]])),Tab_Calculs[[#This Row],[index_date_livraison]]+1,6)*(Tab_Calculs[[#This Row],[fin mois]]-MIN(Tab_Calculs[[#This Row],[fin mois]],Tab_Calculs[[#This Row],[Date_livraison]]))</f>
        <v>#VALUE!</v>
      </c>
      <c r="N415" s="231" t="str">
        <f ca="1">IFERROR(Tab_Calculs[[#This Row],[Ratio_jour_après_livr]]+Tab_Calculs[[#This Row],[Ratio_jour_avant_livr]]+Tab_Calculs[[#This Row],[ratio_avant_debut]],"")</f>
        <v/>
      </c>
      <c r="O415" t="e">
        <f ca="1">INDEX(INDIRECT(CONCATENATE("Tab_",Tab_Calculs[[#This Row],[Colonne1]])),Tab_Calculs[[#This Row],[index_date_livraison]]-1,7)*(MAX(Tab_Calculs[[#This Row],[Début periode livraison]],Tab_Calculs[[#This Row],[Début mois]])-Tab_Calculs[[#This Row],[Début mois]])</f>
        <v>#VALUE!</v>
      </c>
      <c r="P415">
        <f ca="1">INDEX(INDIRECT(CONCATENATE("Tab_",Tab_Calculs[[#This Row],[Colonne1]])),Tab_Calculs[[#This Row],[index_date_livraison]],7)*(1+MIN(Tab_Calculs[[#This Row],[Date_livraison]],Tab_Calculs[[#This Row],[fin mois]])-MAX(Tab_Calculs[[#This Row],[Début mois]],Tab_Calculs[[#This Row],[Début periode livraison]]))</f>
        <v>0</v>
      </c>
      <c r="Q415" t="e">
        <f ca="1">INDEX(INDIRECT(CONCATENATE("Tab_",Tab_Calculs[[#This Row],[Colonne1]])),Tab_Calculs[[#This Row],[index_date_livraison]]+1,7)*(Tab_Calculs[[#This Row],[fin mois]]-MIN(Tab_Calculs[[#This Row],[fin mois]],Tab_Calculs[[#This Row],[Date_livraison]]))</f>
        <v>#VALUE!</v>
      </c>
      <c r="R415" t="e">
        <f ca="1">Tab_Calculs[[#This Row],[Ratio_Cout_après_livr]]+Tab_Calculs[[#This Row],[Ratio_Cout_avant_livr]]+Tab_Calculs[[#This Row],[Ratio_Cout_avant_debut]]</f>
        <v>#VALUE!</v>
      </c>
      <c r="S415" t="str">
        <f ca="1">IFERROR(N415*VLOOKUP(Tab_Calculs[[#This Row],[Colonne1]],Controle_des_données!$B$7:$G$14,6,FALSE),"")</f>
        <v/>
      </c>
      <c r="T415" t="str">
        <f ca="1">IF(Tab_Calculs[[#This Row],[Combustible ]]="Electricité (kWh)",Tab_Calculs[[#This Row],[Conso_mois_kWh]]*2.3,Tab_Calculs[[#This Row],[Conso_mois_kWh]])</f>
        <v/>
      </c>
      <c r="U415" t="str">
        <f ca="1">IFERROR(N415*VLOOKUP(Tab_Calculs[[#This Row],[Colonne1]],Controle_des_données!$B$7:$H$14,7,FALSE),"")</f>
        <v/>
      </c>
      <c r="V415">
        <f ca="1">IFERROR(Tab_Calculs[[#This Row],[Cout_mois]]/Tab_Calculs[[#This Row],[Conso_mois_kWh]],0)</f>
        <v>0</v>
      </c>
      <c r="W415" t="str">
        <f>T(VLOOKUP(Tab_Calculs[[#This Row],[Compteur]],Site!$B$33:$G$40,3,FALSE))</f>
        <v/>
      </c>
      <c r="X415" t="str">
        <f>T(VLOOKUP(Tab_Calculs[[#This Row],[Compteur]],Site!$B$33:$G$40,4,FALSE))</f>
        <v/>
      </c>
      <c r="Y415" t="str">
        <f>T(VLOOKUP(Tab_Calculs[[#This Row],[Compteur]],Site!$B$33:$G$40,5,FALSE))</f>
        <v/>
      </c>
      <c r="Z415" t="str">
        <f>T(VLOOKUP(Tab_Calculs[[#This Row],[Compteur]],Site!$B$33:$G$40,6,FALSE))</f>
        <v/>
      </c>
      <c r="AA415">
        <f>IFERROR(GETPIVOTDATA("DJU(chauffagiste)",BDD_DJU!$P$13,"annee",Tab_Calculs[[#This Row],[ANNEE]],"mois_numero",Tab_Calculs[[#This Row],[MOIS]]),0)</f>
        <v>205.3</v>
      </c>
    </row>
    <row r="416" spans="1:27" x14ac:dyDescent="0.25">
      <c r="A416" s="3">
        <f>DATE(Tab_Calculs[[#This Row],[ANNEE]],Tab_Calculs[[#This Row],[MOIS]],1)</f>
        <v>40878</v>
      </c>
      <c r="B416" s="3">
        <f>EDATE(Tab_Calculs[[#This Row],[Début mois]],1)-1</f>
        <v>40908</v>
      </c>
      <c r="C416">
        <v>12</v>
      </c>
      <c r="D416">
        <v>2011</v>
      </c>
      <c r="E416" t="s">
        <v>82</v>
      </c>
      <c r="F416" t="str">
        <f>SUBSTITUTE(Tab_Calculs[[#This Row],[Compteur]]," ","_")</f>
        <v>Compteur_3</v>
      </c>
      <c r="G416" t="str">
        <f>T(INDEX(Site!$B$33:$G$40, MATCH(Tab_Calculs[[#This Row],[Compteur]], Site!$B$33:$B$40,0),2))</f>
        <v/>
      </c>
      <c r="H416" s="3">
        <f t="array" aca="1" ref="H416" ca="1">MIN(IF(INDIRECT(CONCATENATE(Tab_Calculs[[#This Row],[Colonne1]],"!$B$2:$B$243"))&gt;=Calculs_Consos!$A416,INDIRECT(CONCATENATE(Tab_Calculs[[#This Row],[Colonne1]],"!$B$2:$B$243"))))</f>
        <v>0</v>
      </c>
      <c r="I416" s="3">
        <f ca="1">INDEX(INDIRECT(CONCATENATE("Tab_",Tab_Calculs[[#This Row],[Colonne1]])),Tab_Calculs[[#This Row],[index_date_livraison]],1)</f>
        <v>0</v>
      </c>
      <c r="J416">
        <f ca="1">MATCH(Tab_Calculs[[#This Row],[Date_livraison]],INDIRECT(CONCATENATE("Tab_",Tab_Calculs[[#This Row],[Colonne1]],"[Fin de période]")),0)</f>
        <v>1</v>
      </c>
      <c r="K416" t="e">
        <f ca="1">INDEX(INDIRECT(CONCATENATE("Tab_",Tab_Calculs[[#This Row],[Colonne1]])),Tab_Calculs[[#This Row],[index_date_livraison]]-1,6)*(MAX(Tab_Calculs[[#This Row],[Début periode livraison]],Tab_Calculs[[#This Row],[Début mois]])-Tab_Calculs[[#This Row],[Début mois]])</f>
        <v>#VALUE!</v>
      </c>
      <c r="L416" s="94">
        <f ca="1">INDEX(INDIRECT(CONCATENATE("Tab_",Tab_Calculs[[#This Row],[Colonne1]])),Tab_Calculs[[#This Row],[index_date_livraison]],6)*(1+MIN(Tab_Calculs[[#This Row],[Date_livraison]],Tab_Calculs[[#This Row],[fin mois]])-MAX(Tab_Calculs[[#This Row],[Début mois]],Tab_Calculs[[#This Row],[Début periode livraison]]))</f>
        <v>0</v>
      </c>
      <c r="M416" s="94" t="e">
        <f ca="1">INDEX(INDIRECT(CONCATENATE("Tab_",Tab_Calculs[[#This Row],[Colonne1]])),Tab_Calculs[[#This Row],[index_date_livraison]]+1,6)*(Tab_Calculs[[#This Row],[fin mois]]-MIN(Tab_Calculs[[#This Row],[fin mois]],Tab_Calculs[[#This Row],[Date_livraison]]))</f>
        <v>#VALUE!</v>
      </c>
      <c r="N416" s="231" t="str">
        <f ca="1">IFERROR(Tab_Calculs[[#This Row],[Ratio_jour_après_livr]]+Tab_Calculs[[#This Row],[Ratio_jour_avant_livr]]+Tab_Calculs[[#This Row],[ratio_avant_debut]],"")</f>
        <v/>
      </c>
      <c r="O416" t="e">
        <f ca="1">INDEX(INDIRECT(CONCATENATE("Tab_",Tab_Calculs[[#This Row],[Colonne1]])),Tab_Calculs[[#This Row],[index_date_livraison]]-1,7)*(MAX(Tab_Calculs[[#This Row],[Début periode livraison]],Tab_Calculs[[#This Row],[Début mois]])-Tab_Calculs[[#This Row],[Début mois]])</f>
        <v>#VALUE!</v>
      </c>
      <c r="P416">
        <f ca="1">INDEX(INDIRECT(CONCATENATE("Tab_",Tab_Calculs[[#This Row],[Colonne1]])),Tab_Calculs[[#This Row],[index_date_livraison]],7)*(1+MIN(Tab_Calculs[[#This Row],[Date_livraison]],Tab_Calculs[[#This Row],[fin mois]])-MAX(Tab_Calculs[[#This Row],[Début mois]],Tab_Calculs[[#This Row],[Début periode livraison]]))</f>
        <v>0</v>
      </c>
      <c r="Q416" t="e">
        <f ca="1">INDEX(INDIRECT(CONCATENATE("Tab_",Tab_Calculs[[#This Row],[Colonne1]])),Tab_Calculs[[#This Row],[index_date_livraison]]+1,7)*(Tab_Calculs[[#This Row],[fin mois]]-MIN(Tab_Calculs[[#This Row],[fin mois]],Tab_Calculs[[#This Row],[Date_livraison]]))</f>
        <v>#VALUE!</v>
      </c>
      <c r="R416" t="e">
        <f ca="1">Tab_Calculs[[#This Row],[Ratio_Cout_après_livr]]+Tab_Calculs[[#This Row],[Ratio_Cout_avant_livr]]+Tab_Calculs[[#This Row],[Ratio_Cout_avant_debut]]</f>
        <v>#VALUE!</v>
      </c>
      <c r="S416" t="str">
        <f ca="1">IFERROR(N416*VLOOKUP(Tab_Calculs[[#This Row],[Colonne1]],Controle_des_données!$B$7:$G$14,6,FALSE),"")</f>
        <v/>
      </c>
      <c r="T416" t="str">
        <f ca="1">IF(Tab_Calculs[[#This Row],[Combustible ]]="Electricité (kWh)",Tab_Calculs[[#This Row],[Conso_mois_kWh]]*2.3,Tab_Calculs[[#This Row],[Conso_mois_kWh]])</f>
        <v/>
      </c>
      <c r="U416" t="str">
        <f ca="1">IFERROR(N416*VLOOKUP(Tab_Calculs[[#This Row],[Colonne1]],Controle_des_données!$B$7:$H$14,7,FALSE),"")</f>
        <v/>
      </c>
      <c r="V416">
        <f ca="1">IFERROR(Tab_Calculs[[#This Row],[Cout_mois]]/Tab_Calculs[[#This Row],[Conso_mois_kWh]],0)</f>
        <v>0</v>
      </c>
      <c r="W416" t="str">
        <f>T(VLOOKUP(Tab_Calculs[[#This Row],[Compteur]],Site!$B$33:$G$40,3,FALSE))</f>
        <v/>
      </c>
      <c r="X416" t="str">
        <f>T(VLOOKUP(Tab_Calculs[[#This Row],[Compteur]],Site!$B$33:$G$40,4,FALSE))</f>
        <v/>
      </c>
      <c r="Y416" t="str">
        <f>T(VLOOKUP(Tab_Calculs[[#This Row],[Compteur]],Site!$B$33:$G$40,5,FALSE))</f>
        <v/>
      </c>
      <c r="Z416" t="str">
        <f>T(VLOOKUP(Tab_Calculs[[#This Row],[Compteur]],Site!$B$33:$G$40,6,FALSE))</f>
        <v/>
      </c>
      <c r="AA416">
        <f>IFERROR(GETPIVOTDATA("DJU(chauffagiste)",BDD_DJU!$P$13,"annee",Tab_Calculs[[#This Row],[ANNEE]],"mois_numero",Tab_Calculs[[#This Row],[MOIS]]),0)</f>
        <v>307.5</v>
      </c>
    </row>
    <row r="417" spans="1:27" x14ac:dyDescent="0.25">
      <c r="A417" s="3">
        <f>DATE(Tab_Calculs[[#This Row],[ANNEE]],Tab_Calculs[[#This Row],[MOIS]],1)</f>
        <v>40909</v>
      </c>
      <c r="B417" s="3">
        <f>EDATE(Tab_Calculs[[#This Row],[Début mois]],1)-1</f>
        <v>40939</v>
      </c>
      <c r="C417">
        <v>1</v>
      </c>
      <c r="D417">
        <v>2012</v>
      </c>
      <c r="E417" t="s">
        <v>82</v>
      </c>
      <c r="F417" t="str">
        <f>SUBSTITUTE(Tab_Calculs[[#This Row],[Compteur]]," ","_")</f>
        <v>Compteur_3</v>
      </c>
      <c r="G417" t="str">
        <f>T(INDEX(Site!$B$33:$G$40, MATCH(Tab_Calculs[[#This Row],[Compteur]], Site!$B$33:$B$40,0),2))</f>
        <v/>
      </c>
      <c r="H417" s="3">
        <f t="array" aca="1" ref="H417" ca="1">MIN(IF(INDIRECT(CONCATENATE(Tab_Calculs[[#This Row],[Colonne1]],"!$B$2:$B$243"))&gt;=Calculs_Consos!$A417,INDIRECT(CONCATENATE(Tab_Calculs[[#This Row],[Colonne1]],"!$B$2:$B$243"))))</f>
        <v>0</v>
      </c>
      <c r="I417" s="3">
        <f ca="1">INDEX(INDIRECT(CONCATENATE("Tab_",Tab_Calculs[[#This Row],[Colonne1]])),Tab_Calculs[[#This Row],[index_date_livraison]],1)</f>
        <v>0</v>
      </c>
      <c r="J417">
        <f ca="1">MATCH(Tab_Calculs[[#This Row],[Date_livraison]],INDIRECT(CONCATENATE("Tab_",Tab_Calculs[[#This Row],[Colonne1]],"[Fin de période]")),0)</f>
        <v>1</v>
      </c>
      <c r="K417" t="e">
        <f ca="1">INDEX(INDIRECT(CONCATENATE("Tab_",Tab_Calculs[[#This Row],[Colonne1]])),Tab_Calculs[[#This Row],[index_date_livraison]]-1,6)*(MAX(Tab_Calculs[[#This Row],[Début periode livraison]],Tab_Calculs[[#This Row],[Début mois]])-Tab_Calculs[[#This Row],[Début mois]])</f>
        <v>#VALUE!</v>
      </c>
      <c r="L417" s="94">
        <f ca="1">INDEX(INDIRECT(CONCATENATE("Tab_",Tab_Calculs[[#This Row],[Colonne1]])),Tab_Calculs[[#This Row],[index_date_livraison]],6)*(1+MIN(Tab_Calculs[[#This Row],[Date_livraison]],Tab_Calculs[[#This Row],[fin mois]])-MAX(Tab_Calculs[[#This Row],[Début mois]],Tab_Calculs[[#This Row],[Début periode livraison]]))</f>
        <v>0</v>
      </c>
      <c r="M417" s="94" t="e">
        <f ca="1">INDEX(INDIRECT(CONCATENATE("Tab_",Tab_Calculs[[#This Row],[Colonne1]])),Tab_Calculs[[#This Row],[index_date_livraison]]+1,6)*(Tab_Calculs[[#This Row],[fin mois]]-MIN(Tab_Calculs[[#This Row],[fin mois]],Tab_Calculs[[#This Row],[Date_livraison]]))</f>
        <v>#VALUE!</v>
      </c>
      <c r="N417" s="231" t="str">
        <f ca="1">IFERROR(Tab_Calculs[[#This Row],[Ratio_jour_après_livr]]+Tab_Calculs[[#This Row],[Ratio_jour_avant_livr]]+Tab_Calculs[[#This Row],[ratio_avant_debut]],"")</f>
        <v/>
      </c>
      <c r="O417" t="e">
        <f ca="1">INDEX(INDIRECT(CONCATENATE("Tab_",Tab_Calculs[[#This Row],[Colonne1]])),Tab_Calculs[[#This Row],[index_date_livraison]]-1,7)*(MAX(Tab_Calculs[[#This Row],[Début periode livraison]],Tab_Calculs[[#This Row],[Début mois]])-Tab_Calculs[[#This Row],[Début mois]])</f>
        <v>#VALUE!</v>
      </c>
      <c r="P417">
        <f ca="1">INDEX(INDIRECT(CONCATENATE("Tab_",Tab_Calculs[[#This Row],[Colonne1]])),Tab_Calculs[[#This Row],[index_date_livraison]],7)*(1+MIN(Tab_Calculs[[#This Row],[Date_livraison]],Tab_Calculs[[#This Row],[fin mois]])-MAX(Tab_Calculs[[#This Row],[Début mois]],Tab_Calculs[[#This Row],[Début periode livraison]]))</f>
        <v>0</v>
      </c>
      <c r="Q417" t="e">
        <f ca="1">INDEX(INDIRECT(CONCATENATE("Tab_",Tab_Calculs[[#This Row],[Colonne1]])),Tab_Calculs[[#This Row],[index_date_livraison]]+1,7)*(Tab_Calculs[[#This Row],[fin mois]]-MIN(Tab_Calculs[[#This Row],[fin mois]],Tab_Calculs[[#This Row],[Date_livraison]]))</f>
        <v>#VALUE!</v>
      </c>
      <c r="R417" t="e">
        <f ca="1">Tab_Calculs[[#This Row],[Ratio_Cout_après_livr]]+Tab_Calculs[[#This Row],[Ratio_Cout_avant_livr]]+Tab_Calculs[[#This Row],[Ratio_Cout_avant_debut]]</f>
        <v>#VALUE!</v>
      </c>
      <c r="S417" t="str">
        <f ca="1">IFERROR(N417*VLOOKUP(Tab_Calculs[[#This Row],[Colonne1]],Controle_des_données!$B$7:$G$14,6,FALSE),"")</f>
        <v/>
      </c>
      <c r="T417" t="str">
        <f ca="1">IF(Tab_Calculs[[#This Row],[Combustible ]]="Electricité (kWh)",Tab_Calculs[[#This Row],[Conso_mois_kWh]]*2.3,Tab_Calculs[[#This Row],[Conso_mois_kWh]])</f>
        <v/>
      </c>
      <c r="U417" t="str">
        <f ca="1">IFERROR(N417*VLOOKUP(Tab_Calculs[[#This Row],[Colonne1]],Controle_des_données!$B$7:$H$14,7,FALSE),"")</f>
        <v/>
      </c>
      <c r="V417">
        <f ca="1">IFERROR(Tab_Calculs[[#This Row],[Cout_mois]]/Tab_Calculs[[#This Row],[Conso_mois_kWh]],0)</f>
        <v>0</v>
      </c>
      <c r="W417" t="str">
        <f>T(VLOOKUP(Tab_Calculs[[#This Row],[Compteur]],Site!$B$33:$G$40,3,FALSE))</f>
        <v/>
      </c>
      <c r="X417" t="str">
        <f>T(VLOOKUP(Tab_Calculs[[#This Row],[Compteur]],Site!$B$33:$G$40,4,FALSE))</f>
        <v/>
      </c>
      <c r="Y417" t="str">
        <f>T(VLOOKUP(Tab_Calculs[[#This Row],[Compteur]],Site!$B$33:$G$40,5,FALSE))</f>
        <v/>
      </c>
      <c r="Z417" t="str">
        <f>T(VLOOKUP(Tab_Calculs[[#This Row],[Compteur]],Site!$B$33:$G$40,6,FALSE))</f>
        <v/>
      </c>
      <c r="AA417">
        <f>IFERROR(GETPIVOTDATA("DJU(chauffagiste)",BDD_DJU!$P$13,"annee",Tab_Calculs[[#This Row],[ANNEE]],"mois_numero",Tab_Calculs[[#This Row],[MOIS]]),0)</f>
        <v>348.8</v>
      </c>
    </row>
    <row r="418" spans="1:27" x14ac:dyDescent="0.25">
      <c r="A418" s="3">
        <f>DATE(Tab_Calculs[[#This Row],[ANNEE]],Tab_Calculs[[#This Row],[MOIS]],1)</f>
        <v>40940</v>
      </c>
      <c r="B418" s="3">
        <f>EDATE(Tab_Calculs[[#This Row],[Début mois]],1)-1</f>
        <v>40968</v>
      </c>
      <c r="C418">
        <v>2</v>
      </c>
      <c r="D418">
        <v>2012</v>
      </c>
      <c r="E418" t="s">
        <v>82</v>
      </c>
      <c r="F418" t="str">
        <f>SUBSTITUTE(Tab_Calculs[[#This Row],[Compteur]]," ","_")</f>
        <v>Compteur_3</v>
      </c>
      <c r="G418" t="str">
        <f>T(INDEX(Site!$B$33:$G$40, MATCH(Tab_Calculs[[#This Row],[Compteur]], Site!$B$33:$B$40,0),2))</f>
        <v/>
      </c>
      <c r="H418" s="3">
        <f t="array" aca="1" ref="H418" ca="1">MIN(IF(INDIRECT(CONCATENATE(Tab_Calculs[[#This Row],[Colonne1]],"!$B$2:$B$243"))&gt;=Calculs_Consos!$A418,INDIRECT(CONCATENATE(Tab_Calculs[[#This Row],[Colonne1]],"!$B$2:$B$243"))))</f>
        <v>0</v>
      </c>
      <c r="I418" s="3">
        <f ca="1">INDEX(INDIRECT(CONCATENATE("Tab_",Tab_Calculs[[#This Row],[Colonne1]])),Tab_Calculs[[#This Row],[index_date_livraison]],1)</f>
        <v>0</v>
      </c>
      <c r="J418">
        <f ca="1">MATCH(Tab_Calculs[[#This Row],[Date_livraison]],INDIRECT(CONCATENATE("Tab_",Tab_Calculs[[#This Row],[Colonne1]],"[Fin de période]")),0)</f>
        <v>1</v>
      </c>
      <c r="K418" t="e">
        <f ca="1">INDEX(INDIRECT(CONCATENATE("Tab_",Tab_Calculs[[#This Row],[Colonne1]])),Tab_Calculs[[#This Row],[index_date_livraison]]-1,6)*(MAX(Tab_Calculs[[#This Row],[Début periode livraison]],Tab_Calculs[[#This Row],[Début mois]])-Tab_Calculs[[#This Row],[Début mois]])</f>
        <v>#VALUE!</v>
      </c>
      <c r="L418" s="94">
        <f ca="1">INDEX(INDIRECT(CONCATENATE("Tab_",Tab_Calculs[[#This Row],[Colonne1]])),Tab_Calculs[[#This Row],[index_date_livraison]],6)*(1+MIN(Tab_Calculs[[#This Row],[Date_livraison]],Tab_Calculs[[#This Row],[fin mois]])-MAX(Tab_Calculs[[#This Row],[Début mois]],Tab_Calculs[[#This Row],[Début periode livraison]]))</f>
        <v>0</v>
      </c>
      <c r="M418" s="94" t="e">
        <f ca="1">INDEX(INDIRECT(CONCATENATE("Tab_",Tab_Calculs[[#This Row],[Colonne1]])),Tab_Calculs[[#This Row],[index_date_livraison]]+1,6)*(Tab_Calculs[[#This Row],[fin mois]]-MIN(Tab_Calculs[[#This Row],[fin mois]],Tab_Calculs[[#This Row],[Date_livraison]]))</f>
        <v>#VALUE!</v>
      </c>
      <c r="N418" s="231" t="str">
        <f ca="1">IFERROR(Tab_Calculs[[#This Row],[Ratio_jour_après_livr]]+Tab_Calculs[[#This Row],[Ratio_jour_avant_livr]]+Tab_Calculs[[#This Row],[ratio_avant_debut]],"")</f>
        <v/>
      </c>
      <c r="O418" t="e">
        <f ca="1">INDEX(INDIRECT(CONCATENATE("Tab_",Tab_Calculs[[#This Row],[Colonne1]])),Tab_Calculs[[#This Row],[index_date_livraison]]-1,7)*(MAX(Tab_Calculs[[#This Row],[Début periode livraison]],Tab_Calculs[[#This Row],[Début mois]])-Tab_Calculs[[#This Row],[Début mois]])</f>
        <v>#VALUE!</v>
      </c>
      <c r="P418">
        <f ca="1">INDEX(INDIRECT(CONCATENATE("Tab_",Tab_Calculs[[#This Row],[Colonne1]])),Tab_Calculs[[#This Row],[index_date_livraison]],7)*(1+MIN(Tab_Calculs[[#This Row],[Date_livraison]],Tab_Calculs[[#This Row],[fin mois]])-MAX(Tab_Calculs[[#This Row],[Début mois]],Tab_Calculs[[#This Row],[Début periode livraison]]))</f>
        <v>0</v>
      </c>
      <c r="Q418" t="e">
        <f ca="1">INDEX(INDIRECT(CONCATENATE("Tab_",Tab_Calculs[[#This Row],[Colonne1]])),Tab_Calculs[[#This Row],[index_date_livraison]]+1,7)*(Tab_Calculs[[#This Row],[fin mois]]-MIN(Tab_Calculs[[#This Row],[fin mois]],Tab_Calculs[[#This Row],[Date_livraison]]))</f>
        <v>#VALUE!</v>
      </c>
      <c r="R418" t="e">
        <f ca="1">Tab_Calculs[[#This Row],[Ratio_Cout_après_livr]]+Tab_Calculs[[#This Row],[Ratio_Cout_avant_livr]]+Tab_Calculs[[#This Row],[Ratio_Cout_avant_debut]]</f>
        <v>#VALUE!</v>
      </c>
      <c r="S418" t="str">
        <f ca="1">IFERROR(N418*VLOOKUP(Tab_Calculs[[#This Row],[Colonne1]],Controle_des_données!$B$7:$G$14,6,FALSE),"")</f>
        <v/>
      </c>
      <c r="T418" t="str">
        <f ca="1">IF(Tab_Calculs[[#This Row],[Combustible ]]="Electricité (kWh)",Tab_Calculs[[#This Row],[Conso_mois_kWh]]*2.3,Tab_Calculs[[#This Row],[Conso_mois_kWh]])</f>
        <v/>
      </c>
      <c r="U418" t="str">
        <f ca="1">IFERROR(N418*VLOOKUP(Tab_Calculs[[#This Row],[Colonne1]],Controle_des_données!$B$7:$H$14,7,FALSE),"")</f>
        <v/>
      </c>
      <c r="V418">
        <f ca="1">IFERROR(Tab_Calculs[[#This Row],[Cout_mois]]/Tab_Calculs[[#This Row],[Conso_mois_kWh]],0)</f>
        <v>0</v>
      </c>
      <c r="W418" t="str">
        <f>T(VLOOKUP(Tab_Calculs[[#This Row],[Compteur]],Site!$B$33:$G$40,3,FALSE))</f>
        <v/>
      </c>
      <c r="X418" t="str">
        <f>T(VLOOKUP(Tab_Calculs[[#This Row],[Compteur]],Site!$B$33:$G$40,4,FALSE))</f>
        <v/>
      </c>
      <c r="Y418" t="str">
        <f>T(VLOOKUP(Tab_Calculs[[#This Row],[Compteur]],Site!$B$33:$G$40,5,FALSE))</f>
        <v/>
      </c>
      <c r="Z418" t="str">
        <f>T(VLOOKUP(Tab_Calculs[[#This Row],[Compteur]],Site!$B$33:$G$40,6,FALSE))</f>
        <v/>
      </c>
      <c r="AA418">
        <f>IFERROR(GETPIVOTDATA("DJU(chauffagiste)",BDD_DJU!$P$13,"annee",Tab_Calculs[[#This Row],[ANNEE]],"mois_numero",Tab_Calculs[[#This Row],[MOIS]]),0)</f>
        <v>469.8</v>
      </c>
    </row>
    <row r="419" spans="1:27" x14ac:dyDescent="0.25">
      <c r="A419" s="3">
        <f>DATE(Tab_Calculs[[#This Row],[ANNEE]],Tab_Calculs[[#This Row],[MOIS]],1)</f>
        <v>40969</v>
      </c>
      <c r="B419" s="3">
        <f>EDATE(Tab_Calculs[[#This Row],[Début mois]],1)-1</f>
        <v>40999</v>
      </c>
      <c r="C419">
        <v>3</v>
      </c>
      <c r="D419">
        <v>2012</v>
      </c>
      <c r="E419" t="s">
        <v>82</v>
      </c>
      <c r="F419" t="str">
        <f>SUBSTITUTE(Tab_Calculs[[#This Row],[Compteur]]," ","_")</f>
        <v>Compteur_3</v>
      </c>
      <c r="G419" t="str">
        <f>T(INDEX(Site!$B$33:$G$40, MATCH(Tab_Calculs[[#This Row],[Compteur]], Site!$B$33:$B$40,0),2))</f>
        <v/>
      </c>
      <c r="H419" s="3">
        <f t="array" aca="1" ref="H419" ca="1">MIN(IF(INDIRECT(CONCATENATE(Tab_Calculs[[#This Row],[Colonne1]],"!$B$2:$B$243"))&gt;=Calculs_Consos!$A419,INDIRECT(CONCATENATE(Tab_Calculs[[#This Row],[Colonne1]],"!$B$2:$B$243"))))</f>
        <v>0</v>
      </c>
      <c r="I419" s="3">
        <f ca="1">INDEX(INDIRECT(CONCATENATE("Tab_",Tab_Calculs[[#This Row],[Colonne1]])),Tab_Calculs[[#This Row],[index_date_livraison]],1)</f>
        <v>0</v>
      </c>
      <c r="J419">
        <f ca="1">MATCH(Tab_Calculs[[#This Row],[Date_livraison]],INDIRECT(CONCATENATE("Tab_",Tab_Calculs[[#This Row],[Colonne1]],"[Fin de période]")),0)</f>
        <v>1</v>
      </c>
      <c r="K419" t="e">
        <f ca="1">INDEX(INDIRECT(CONCATENATE("Tab_",Tab_Calculs[[#This Row],[Colonne1]])),Tab_Calculs[[#This Row],[index_date_livraison]]-1,6)*(MAX(Tab_Calculs[[#This Row],[Début periode livraison]],Tab_Calculs[[#This Row],[Début mois]])-Tab_Calculs[[#This Row],[Début mois]])</f>
        <v>#VALUE!</v>
      </c>
      <c r="L419" s="94">
        <f ca="1">INDEX(INDIRECT(CONCATENATE("Tab_",Tab_Calculs[[#This Row],[Colonne1]])),Tab_Calculs[[#This Row],[index_date_livraison]],6)*(1+MIN(Tab_Calculs[[#This Row],[Date_livraison]],Tab_Calculs[[#This Row],[fin mois]])-MAX(Tab_Calculs[[#This Row],[Début mois]],Tab_Calculs[[#This Row],[Début periode livraison]]))</f>
        <v>0</v>
      </c>
      <c r="M419" s="94" t="e">
        <f ca="1">INDEX(INDIRECT(CONCATENATE("Tab_",Tab_Calculs[[#This Row],[Colonne1]])),Tab_Calculs[[#This Row],[index_date_livraison]]+1,6)*(Tab_Calculs[[#This Row],[fin mois]]-MIN(Tab_Calculs[[#This Row],[fin mois]],Tab_Calculs[[#This Row],[Date_livraison]]))</f>
        <v>#VALUE!</v>
      </c>
      <c r="N419" s="231" t="str">
        <f ca="1">IFERROR(Tab_Calculs[[#This Row],[Ratio_jour_après_livr]]+Tab_Calculs[[#This Row],[Ratio_jour_avant_livr]]+Tab_Calculs[[#This Row],[ratio_avant_debut]],"")</f>
        <v/>
      </c>
      <c r="O419" t="e">
        <f ca="1">INDEX(INDIRECT(CONCATENATE("Tab_",Tab_Calculs[[#This Row],[Colonne1]])),Tab_Calculs[[#This Row],[index_date_livraison]]-1,7)*(MAX(Tab_Calculs[[#This Row],[Début periode livraison]],Tab_Calculs[[#This Row],[Début mois]])-Tab_Calculs[[#This Row],[Début mois]])</f>
        <v>#VALUE!</v>
      </c>
      <c r="P419">
        <f ca="1">INDEX(INDIRECT(CONCATENATE("Tab_",Tab_Calculs[[#This Row],[Colonne1]])),Tab_Calculs[[#This Row],[index_date_livraison]],7)*(1+MIN(Tab_Calculs[[#This Row],[Date_livraison]],Tab_Calculs[[#This Row],[fin mois]])-MAX(Tab_Calculs[[#This Row],[Début mois]],Tab_Calculs[[#This Row],[Début periode livraison]]))</f>
        <v>0</v>
      </c>
      <c r="Q419" t="e">
        <f ca="1">INDEX(INDIRECT(CONCATENATE("Tab_",Tab_Calculs[[#This Row],[Colonne1]])),Tab_Calculs[[#This Row],[index_date_livraison]]+1,7)*(Tab_Calculs[[#This Row],[fin mois]]-MIN(Tab_Calculs[[#This Row],[fin mois]],Tab_Calculs[[#This Row],[Date_livraison]]))</f>
        <v>#VALUE!</v>
      </c>
      <c r="R419" t="e">
        <f ca="1">Tab_Calculs[[#This Row],[Ratio_Cout_après_livr]]+Tab_Calculs[[#This Row],[Ratio_Cout_avant_livr]]+Tab_Calculs[[#This Row],[Ratio_Cout_avant_debut]]</f>
        <v>#VALUE!</v>
      </c>
      <c r="S419" t="str">
        <f ca="1">IFERROR(N419*VLOOKUP(Tab_Calculs[[#This Row],[Colonne1]],Controle_des_données!$B$7:$G$14,6,FALSE),"")</f>
        <v/>
      </c>
      <c r="T419" t="str">
        <f ca="1">IF(Tab_Calculs[[#This Row],[Combustible ]]="Electricité (kWh)",Tab_Calculs[[#This Row],[Conso_mois_kWh]]*2.3,Tab_Calculs[[#This Row],[Conso_mois_kWh]])</f>
        <v/>
      </c>
      <c r="U419" t="str">
        <f ca="1">IFERROR(N419*VLOOKUP(Tab_Calculs[[#This Row],[Colonne1]],Controle_des_données!$B$7:$H$14,7,FALSE),"")</f>
        <v/>
      </c>
      <c r="V419">
        <f ca="1">IFERROR(Tab_Calculs[[#This Row],[Cout_mois]]/Tab_Calculs[[#This Row],[Conso_mois_kWh]],0)</f>
        <v>0</v>
      </c>
      <c r="W419" t="str">
        <f>T(VLOOKUP(Tab_Calculs[[#This Row],[Compteur]],Site!$B$33:$G$40,3,FALSE))</f>
        <v/>
      </c>
      <c r="X419" t="str">
        <f>T(VLOOKUP(Tab_Calculs[[#This Row],[Compteur]],Site!$B$33:$G$40,4,FALSE))</f>
        <v/>
      </c>
      <c r="Y419" t="str">
        <f>T(VLOOKUP(Tab_Calculs[[#This Row],[Compteur]],Site!$B$33:$G$40,5,FALSE))</f>
        <v/>
      </c>
      <c r="Z419" t="str">
        <f>T(VLOOKUP(Tab_Calculs[[#This Row],[Compteur]],Site!$B$33:$G$40,6,FALSE))</f>
        <v/>
      </c>
      <c r="AA419">
        <f>IFERROR(GETPIVOTDATA("DJU(chauffagiste)",BDD_DJU!$P$13,"annee",Tab_Calculs[[#This Row],[ANNEE]],"mois_numero",Tab_Calculs[[#This Row],[MOIS]]),0)</f>
        <v>247.3</v>
      </c>
    </row>
    <row r="420" spans="1:27" x14ac:dyDescent="0.25">
      <c r="A420" s="3">
        <f>DATE(Tab_Calculs[[#This Row],[ANNEE]],Tab_Calculs[[#This Row],[MOIS]],1)</f>
        <v>41000</v>
      </c>
      <c r="B420" s="3">
        <f>EDATE(Tab_Calculs[[#This Row],[Début mois]],1)-1</f>
        <v>41029</v>
      </c>
      <c r="C420">
        <v>4</v>
      </c>
      <c r="D420">
        <v>2012</v>
      </c>
      <c r="E420" t="s">
        <v>82</v>
      </c>
      <c r="F420" t="str">
        <f>SUBSTITUTE(Tab_Calculs[[#This Row],[Compteur]]," ","_")</f>
        <v>Compteur_3</v>
      </c>
      <c r="G420" t="str">
        <f>T(INDEX(Site!$B$33:$G$40, MATCH(Tab_Calculs[[#This Row],[Compteur]], Site!$B$33:$B$40,0),2))</f>
        <v/>
      </c>
      <c r="H420" s="3">
        <f t="array" aca="1" ref="H420" ca="1">MIN(IF(INDIRECT(CONCATENATE(Tab_Calculs[[#This Row],[Colonne1]],"!$B$2:$B$243"))&gt;=Calculs_Consos!$A420,INDIRECT(CONCATENATE(Tab_Calculs[[#This Row],[Colonne1]],"!$B$2:$B$243"))))</f>
        <v>0</v>
      </c>
      <c r="I420" s="3">
        <f ca="1">INDEX(INDIRECT(CONCATENATE("Tab_",Tab_Calculs[[#This Row],[Colonne1]])),Tab_Calculs[[#This Row],[index_date_livraison]],1)</f>
        <v>0</v>
      </c>
      <c r="J420">
        <f ca="1">MATCH(Tab_Calculs[[#This Row],[Date_livraison]],INDIRECT(CONCATENATE("Tab_",Tab_Calculs[[#This Row],[Colonne1]],"[Fin de période]")),0)</f>
        <v>1</v>
      </c>
      <c r="K420" t="e">
        <f ca="1">INDEX(INDIRECT(CONCATENATE("Tab_",Tab_Calculs[[#This Row],[Colonne1]])),Tab_Calculs[[#This Row],[index_date_livraison]]-1,6)*(MAX(Tab_Calculs[[#This Row],[Début periode livraison]],Tab_Calculs[[#This Row],[Début mois]])-Tab_Calculs[[#This Row],[Début mois]])</f>
        <v>#VALUE!</v>
      </c>
      <c r="L420" s="94">
        <f ca="1">INDEX(INDIRECT(CONCATENATE("Tab_",Tab_Calculs[[#This Row],[Colonne1]])),Tab_Calculs[[#This Row],[index_date_livraison]],6)*(1+MIN(Tab_Calculs[[#This Row],[Date_livraison]],Tab_Calculs[[#This Row],[fin mois]])-MAX(Tab_Calculs[[#This Row],[Début mois]],Tab_Calculs[[#This Row],[Début periode livraison]]))</f>
        <v>0</v>
      </c>
      <c r="M420" s="94" t="e">
        <f ca="1">INDEX(INDIRECT(CONCATENATE("Tab_",Tab_Calculs[[#This Row],[Colonne1]])),Tab_Calculs[[#This Row],[index_date_livraison]]+1,6)*(Tab_Calculs[[#This Row],[fin mois]]-MIN(Tab_Calculs[[#This Row],[fin mois]],Tab_Calculs[[#This Row],[Date_livraison]]))</f>
        <v>#VALUE!</v>
      </c>
      <c r="N420" s="231" t="str">
        <f ca="1">IFERROR(Tab_Calculs[[#This Row],[Ratio_jour_après_livr]]+Tab_Calculs[[#This Row],[Ratio_jour_avant_livr]]+Tab_Calculs[[#This Row],[ratio_avant_debut]],"")</f>
        <v/>
      </c>
      <c r="O420" t="e">
        <f ca="1">INDEX(INDIRECT(CONCATENATE("Tab_",Tab_Calculs[[#This Row],[Colonne1]])),Tab_Calculs[[#This Row],[index_date_livraison]]-1,7)*(MAX(Tab_Calculs[[#This Row],[Début periode livraison]],Tab_Calculs[[#This Row],[Début mois]])-Tab_Calculs[[#This Row],[Début mois]])</f>
        <v>#VALUE!</v>
      </c>
      <c r="P420">
        <f ca="1">INDEX(INDIRECT(CONCATENATE("Tab_",Tab_Calculs[[#This Row],[Colonne1]])),Tab_Calculs[[#This Row],[index_date_livraison]],7)*(1+MIN(Tab_Calculs[[#This Row],[Date_livraison]],Tab_Calculs[[#This Row],[fin mois]])-MAX(Tab_Calculs[[#This Row],[Début mois]],Tab_Calculs[[#This Row],[Début periode livraison]]))</f>
        <v>0</v>
      </c>
      <c r="Q420" t="e">
        <f ca="1">INDEX(INDIRECT(CONCATENATE("Tab_",Tab_Calculs[[#This Row],[Colonne1]])),Tab_Calculs[[#This Row],[index_date_livraison]]+1,7)*(Tab_Calculs[[#This Row],[fin mois]]-MIN(Tab_Calculs[[#This Row],[fin mois]],Tab_Calculs[[#This Row],[Date_livraison]]))</f>
        <v>#VALUE!</v>
      </c>
      <c r="R420" t="e">
        <f ca="1">Tab_Calculs[[#This Row],[Ratio_Cout_après_livr]]+Tab_Calculs[[#This Row],[Ratio_Cout_avant_livr]]+Tab_Calculs[[#This Row],[Ratio_Cout_avant_debut]]</f>
        <v>#VALUE!</v>
      </c>
      <c r="S420" t="str">
        <f ca="1">IFERROR(N420*VLOOKUP(Tab_Calculs[[#This Row],[Colonne1]],Controle_des_données!$B$7:$G$14,6,FALSE),"")</f>
        <v/>
      </c>
      <c r="T420" t="str">
        <f ca="1">IF(Tab_Calculs[[#This Row],[Combustible ]]="Electricité (kWh)",Tab_Calculs[[#This Row],[Conso_mois_kWh]]*2.3,Tab_Calculs[[#This Row],[Conso_mois_kWh]])</f>
        <v/>
      </c>
      <c r="U420" t="str">
        <f ca="1">IFERROR(N420*VLOOKUP(Tab_Calculs[[#This Row],[Colonne1]],Controle_des_données!$B$7:$H$14,7,FALSE),"")</f>
        <v/>
      </c>
      <c r="V420">
        <f ca="1">IFERROR(Tab_Calculs[[#This Row],[Cout_mois]]/Tab_Calculs[[#This Row],[Conso_mois_kWh]],0)</f>
        <v>0</v>
      </c>
      <c r="W420" t="str">
        <f>T(VLOOKUP(Tab_Calculs[[#This Row],[Compteur]],Site!$B$33:$G$40,3,FALSE))</f>
        <v/>
      </c>
      <c r="X420" t="str">
        <f>T(VLOOKUP(Tab_Calculs[[#This Row],[Compteur]],Site!$B$33:$G$40,4,FALSE))</f>
        <v/>
      </c>
      <c r="Y420" t="str">
        <f>T(VLOOKUP(Tab_Calculs[[#This Row],[Compteur]],Site!$B$33:$G$40,5,FALSE))</f>
        <v/>
      </c>
      <c r="Z420" t="str">
        <f>T(VLOOKUP(Tab_Calculs[[#This Row],[Compteur]],Site!$B$33:$G$40,6,FALSE))</f>
        <v/>
      </c>
      <c r="AA420">
        <f>IFERROR(GETPIVOTDATA("DJU(chauffagiste)",BDD_DJU!$P$13,"annee",Tab_Calculs[[#This Row],[ANNEE]],"mois_numero",Tab_Calculs[[#This Row],[MOIS]]),0)</f>
        <v>253.8</v>
      </c>
    </row>
    <row r="421" spans="1:27" x14ac:dyDescent="0.25">
      <c r="A421" s="3">
        <f>DATE(Tab_Calculs[[#This Row],[ANNEE]],Tab_Calculs[[#This Row],[MOIS]],1)</f>
        <v>41030</v>
      </c>
      <c r="B421" s="3">
        <f>EDATE(Tab_Calculs[[#This Row],[Début mois]],1)-1</f>
        <v>41060</v>
      </c>
      <c r="C421">
        <v>5</v>
      </c>
      <c r="D421">
        <v>2012</v>
      </c>
      <c r="E421" t="s">
        <v>82</v>
      </c>
      <c r="F421" t="str">
        <f>SUBSTITUTE(Tab_Calculs[[#This Row],[Compteur]]," ","_")</f>
        <v>Compteur_3</v>
      </c>
      <c r="G421" t="str">
        <f>T(INDEX(Site!$B$33:$G$40, MATCH(Tab_Calculs[[#This Row],[Compteur]], Site!$B$33:$B$40,0),2))</f>
        <v/>
      </c>
      <c r="H421" s="3">
        <f t="array" aca="1" ref="H421" ca="1">MIN(IF(INDIRECT(CONCATENATE(Tab_Calculs[[#This Row],[Colonne1]],"!$B$2:$B$243"))&gt;=Calculs_Consos!$A421,INDIRECT(CONCATENATE(Tab_Calculs[[#This Row],[Colonne1]],"!$B$2:$B$243"))))</f>
        <v>0</v>
      </c>
      <c r="I421" s="3">
        <f ca="1">INDEX(INDIRECT(CONCATENATE("Tab_",Tab_Calculs[[#This Row],[Colonne1]])),Tab_Calculs[[#This Row],[index_date_livraison]],1)</f>
        <v>0</v>
      </c>
      <c r="J421">
        <f ca="1">MATCH(Tab_Calculs[[#This Row],[Date_livraison]],INDIRECT(CONCATENATE("Tab_",Tab_Calculs[[#This Row],[Colonne1]],"[Fin de période]")),0)</f>
        <v>1</v>
      </c>
      <c r="K421" t="e">
        <f ca="1">INDEX(INDIRECT(CONCATENATE("Tab_",Tab_Calculs[[#This Row],[Colonne1]])),Tab_Calculs[[#This Row],[index_date_livraison]]-1,6)*(MAX(Tab_Calculs[[#This Row],[Début periode livraison]],Tab_Calculs[[#This Row],[Début mois]])-Tab_Calculs[[#This Row],[Début mois]])</f>
        <v>#VALUE!</v>
      </c>
      <c r="L421" s="94">
        <f ca="1">INDEX(INDIRECT(CONCATENATE("Tab_",Tab_Calculs[[#This Row],[Colonne1]])),Tab_Calculs[[#This Row],[index_date_livraison]],6)*(1+MIN(Tab_Calculs[[#This Row],[Date_livraison]],Tab_Calculs[[#This Row],[fin mois]])-MAX(Tab_Calculs[[#This Row],[Début mois]],Tab_Calculs[[#This Row],[Début periode livraison]]))</f>
        <v>0</v>
      </c>
      <c r="M421" s="94" t="e">
        <f ca="1">INDEX(INDIRECT(CONCATENATE("Tab_",Tab_Calculs[[#This Row],[Colonne1]])),Tab_Calculs[[#This Row],[index_date_livraison]]+1,6)*(Tab_Calculs[[#This Row],[fin mois]]-MIN(Tab_Calculs[[#This Row],[fin mois]],Tab_Calculs[[#This Row],[Date_livraison]]))</f>
        <v>#VALUE!</v>
      </c>
      <c r="N421" s="231" t="str">
        <f ca="1">IFERROR(Tab_Calculs[[#This Row],[Ratio_jour_après_livr]]+Tab_Calculs[[#This Row],[Ratio_jour_avant_livr]]+Tab_Calculs[[#This Row],[ratio_avant_debut]],"")</f>
        <v/>
      </c>
      <c r="O421" t="e">
        <f ca="1">INDEX(INDIRECT(CONCATENATE("Tab_",Tab_Calculs[[#This Row],[Colonne1]])),Tab_Calculs[[#This Row],[index_date_livraison]]-1,7)*(MAX(Tab_Calculs[[#This Row],[Début periode livraison]],Tab_Calculs[[#This Row],[Début mois]])-Tab_Calculs[[#This Row],[Début mois]])</f>
        <v>#VALUE!</v>
      </c>
      <c r="P421">
        <f ca="1">INDEX(INDIRECT(CONCATENATE("Tab_",Tab_Calculs[[#This Row],[Colonne1]])),Tab_Calculs[[#This Row],[index_date_livraison]],7)*(1+MIN(Tab_Calculs[[#This Row],[Date_livraison]],Tab_Calculs[[#This Row],[fin mois]])-MAX(Tab_Calculs[[#This Row],[Début mois]],Tab_Calculs[[#This Row],[Début periode livraison]]))</f>
        <v>0</v>
      </c>
      <c r="Q421" t="e">
        <f ca="1">INDEX(INDIRECT(CONCATENATE("Tab_",Tab_Calculs[[#This Row],[Colonne1]])),Tab_Calculs[[#This Row],[index_date_livraison]]+1,7)*(Tab_Calculs[[#This Row],[fin mois]]-MIN(Tab_Calculs[[#This Row],[fin mois]],Tab_Calculs[[#This Row],[Date_livraison]]))</f>
        <v>#VALUE!</v>
      </c>
      <c r="R421" t="e">
        <f ca="1">Tab_Calculs[[#This Row],[Ratio_Cout_après_livr]]+Tab_Calculs[[#This Row],[Ratio_Cout_avant_livr]]+Tab_Calculs[[#This Row],[Ratio_Cout_avant_debut]]</f>
        <v>#VALUE!</v>
      </c>
      <c r="S421" t="str">
        <f ca="1">IFERROR(N421*VLOOKUP(Tab_Calculs[[#This Row],[Colonne1]],Controle_des_données!$B$7:$G$14,6,FALSE),"")</f>
        <v/>
      </c>
      <c r="T421" t="str">
        <f ca="1">IF(Tab_Calculs[[#This Row],[Combustible ]]="Electricité (kWh)",Tab_Calculs[[#This Row],[Conso_mois_kWh]]*2.3,Tab_Calculs[[#This Row],[Conso_mois_kWh]])</f>
        <v/>
      </c>
      <c r="U421" t="str">
        <f ca="1">IFERROR(N421*VLOOKUP(Tab_Calculs[[#This Row],[Colonne1]],Controle_des_données!$B$7:$H$14,7,FALSE),"")</f>
        <v/>
      </c>
      <c r="V421">
        <f ca="1">IFERROR(Tab_Calculs[[#This Row],[Cout_mois]]/Tab_Calculs[[#This Row],[Conso_mois_kWh]],0)</f>
        <v>0</v>
      </c>
      <c r="W421" t="str">
        <f>T(VLOOKUP(Tab_Calculs[[#This Row],[Compteur]],Site!$B$33:$G$40,3,FALSE))</f>
        <v/>
      </c>
      <c r="X421" t="str">
        <f>T(VLOOKUP(Tab_Calculs[[#This Row],[Compteur]],Site!$B$33:$G$40,4,FALSE))</f>
        <v/>
      </c>
      <c r="Y421" t="str">
        <f>T(VLOOKUP(Tab_Calculs[[#This Row],[Compteur]],Site!$B$33:$G$40,5,FALSE))</f>
        <v/>
      </c>
      <c r="Z421" t="str">
        <f>T(VLOOKUP(Tab_Calculs[[#This Row],[Compteur]],Site!$B$33:$G$40,6,FALSE))</f>
        <v/>
      </c>
      <c r="AA421">
        <f>IFERROR(GETPIVOTDATA("DJU(chauffagiste)",BDD_DJU!$P$13,"annee",Tab_Calculs[[#This Row],[ANNEE]],"mois_numero",Tab_Calculs[[#This Row],[MOIS]]),0)</f>
        <v>113.8</v>
      </c>
    </row>
    <row r="422" spans="1:27" x14ac:dyDescent="0.25">
      <c r="A422" s="3">
        <f>DATE(Tab_Calculs[[#This Row],[ANNEE]],Tab_Calculs[[#This Row],[MOIS]],1)</f>
        <v>41061</v>
      </c>
      <c r="B422" s="3">
        <f>EDATE(Tab_Calculs[[#This Row],[Début mois]],1)-1</f>
        <v>41090</v>
      </c>
      <c r="C422">
        <v>6</v>
      </c>
      <c r="D422">
        <v>2012</v>
      </c>
      <c r="E422" t="s">
        <v>82</v>
      </c>
      <c r="F422" t="str">
        <f>SUBSTITUTE(Tab_Calculs[[#This Row],[Compteur]]," ","_")</f>
        <v>Compteur_3</v>
      </c>
      <c r="G422" t="str">
        <f>T(INDEX(Site!$B$33:$G$40, MATCH(Tab_Calculs[[#This Row],[Compteur]], Site!$B$33:$B$40,0),2))</f>
        <v/>
      </c>
      <c r="H422" s="3">
        <f t="array" aca="1" ref="H422" ca="1">MIN(IF(INDIRECT(CONCATENATE(Tab_Calculs[[#This Row],[Colonne1]],"!$B$2:$B$243"))&gt;=Calculs_Consos!$A422,INDIRECT(CONCATENATE(Tab_Calculs[[#This Row],[Colonne1]],"!$B$2:$B$243"))))</f>
        <v>0</v>
      </c>
      <c r="I422" s="3">
        <f ca="1">INDEX(INDIRECT(CONCATENATE("Tab_",Tab_Calculs[[#This Row],[Colonne1]])),Tab_Calculs[[#This Row],[index_date_livraison]],1)</f>
        <v>0</v>
      </c>
      <c r="J422">
        <f ca="1">MATCH(Tab_Calculs[[#This Row],[Date_livraison]],INDIRECT(CONCATENATE("Tab_",Tab_Calculs[[#This Row],[Colonne1]],"[Fin de période]")),0)</f>
        <v>1</v>
      </c>
      <c r="K422" t="e">
        <f ca="1">INDEX(INDIRECT(CONCATENATE("Tab_",Tab_Calculs[[#This Row],[Colonne1]])),Tab_Calculs[[#This Row],[index_date_livraison]]-1,6)*(MAX(Tab_Calculs[[#This Row],[Début periode livraison]],Tab_Calculs[[#This Row],[Début mois]])-Tab_Calculs[[#This Row],[Début mois]])</f>
        <v>#VALUE!</v>
      </c>
      <c r="L422" s="94">
        <f ca="1">INDEX(INDIRECT(CONCATENATE("Tab_",Tab_Calculs[[#This Row],[Colonne1]])),Tab_Calculs[[#This Row],[index_date_livraison]],6)*(1+MIN(Tab_Calculs[[#This Row],[Date_livraison]],Tab_Calculs[[#This Row],[fin mois]])-MAX(Tab_Calculs[[#This Row],[Début mois]],Tab_Calculs[[#This Row],[Début periode livraison]]))</f>
        <v>0</v>
      </c>
      <c r="M422" s="94" t="e">
        <f ca="1">INDEX(INDIRECT(CONCATENATE("Tab_",Tab_Calculs[[#This Row],[Colonne1]])),Tab_Calculs[[#This Row],[index_date_livraison]]+1,6)*(Tab_Calculs[[#This Row],[fin mois]]-MIN(Tab_Calculs[[#This Row],[fin mois]],Tab_Calculs[[#This Row],[Date_livraison]]))</f>
        <v>#VALUE!</v>
      </c>
      <c r="N422" s="231" t="str">
        <f ca="1">IFERROR(Tab_Calculs[[#This Row],[Ratio_jour_après_livr]]+Tab_Calculs[[#This Row],[Ratio_jour_avant_livr]]+Tab_Calculs[[#This Row],[ratio_avant_debut]],"")</f>
        <v/>
      </c>
      <c r="O422" t="e">
        <f ca="1">INDEX(INDIRECT(CONCATENATE("Tab_",Tab_Calculs[[#This Row],[Colonne1]])),Tab_Calculs[[#This Row],[index_date_livraison]]-1,7)*(MAX(Tab_Calculs[[#This Row],[Début periode livraison]],Tab_Calculs[[#This Row],[Début mois]])-Tab_Calculs[[#This Row],[Début mois]])</f>
        <v>#VALUE!</v>
      </c>
      <c r="P422">
        <f ca="1">INDEX(INDIRECT(CONCATENATE("Tab_",Tab_Calculs[[#This Row],[Colonne1]])),Tab_Calculs[[#This Row],[index_date_livraison]],7)*(1+MIN(Tab_Calculs[[#This Row],[Date_livraison]],Tab_Calculs[[#This Row],[fin mois]])-MAX(Tab_Calculs[[#This Row],[Début mois]],Tab_Calculs[[#This Row],[Début periode livraison]]))</f>
        <v>0</v>
      </c>
      <c r="Q422" t="e">
        <f ca="1">INDEX(INDIRECT(CONCATENATE("Tab_",Tab_Calculs[[#This Row],[Colonne1]])),Tab_Calculs[[#This Row],[index_date_livraison]]+1,7)*(Tab_Calculs[[#This Row],[fin mois]]-MIN(Tab_Calculs[[#This Row],[fin mois]],Tab_Calculs[[#This Row],[Date_livraison]]))</f>
        <v>#VALUE!</v>
      </c>
      <c r="R422" t="e">
        <f ca="1">Tab_Calculs[[#This Row],[Ratio_Cout_après_livr]]+Tab_Calculs[[#This Row],[Ratio_Cout_avant_livr]]+Tab_Calculs[[#This Row],[Ratio_Cout_avant_debut]]</f>
        <v>#VALUE!</v>
      </c>
      <c r="S422" t="str">
        <f ca="1">IFERROR(N422*VLOOKUP(Tab_Calculs[[#This Row],[Colonne1]],Controle_des_données!$B$7:$G$14,6,FALSE),"")</f>
        <v/>
      </c>
      <c r="T422" t="str">
        <f ca="1">IF(Tab_Calculs[[#This Row],[Combustible ]]="Electricité (kWh)",Tab_Calculs[[#This Row],[Conso_mois_kWh]]*2.3,Tab_Calculs[[#This Row],[Conso_mois_kWh]])</f>
        <v/>
      </c>
      <c r="U422" t="str">
        <f ca="1">IFERROR(N422*VLOOKUP(Tab_Calculs[[#This Row],[Colonne1]],Controle_des_données!$B$7:$H$14,7,FALSE),"")</f>
        <v/>
      </c>
      <c r="V422">
        <f ca="1">IFERROR(Tab_Calculs[[#This Row],[Cout_mois]]/Tab_Calculs[[#This Row],[Conso_mois_kWh]],0)</f>
        <v>0</v>
      </c>
      <c r="W422" t="str">
        <f>T(VLOOKUP(Tab_Calculs[[#This Row],[Compteur]],Site!$B$33:$G$40,3,FALSE))</f>
        <v/>
      </c>
      <c r="X422" t="str">
        <f>T(VLOOKUP(Tab_Calculs[[#This Row],[Compteur]],Site!$B$33:$G$40,4,FALSE))</f>
        <v/>
      </c>
      <c r="Y422" t="str">
        <f>T(VLOOKUP(Tab_Calculs[[#This Row],[Compteur]],Site!$B$33:$G$40,5,FALSE))</f>
        <v/>
      </c>
      <c r="Z422" t="str">
        <f>T(VLOOKUP(Tab_Calculs[[#This Row],[Compteur]],Site!$B$33:$G$40,6,FALSE))</f>
        <v/>
      </c>
      <c r="AA422">
        <f>IFERROR(GETPIVOTDATA("DJU(chauffagiste)",BDD_DJU!$P$13,"annee",Tab_Calculs[[#This Row],[ANNEE]],"mois_numero",Tab_Calculs[[#This Row],[MOIS]]),0)</f>
        <v>59.4</v>
      </c>
    </row>
    <row r="423" spans="1:27" x14ac:dyDescent="0.25">
      <c r="A423" s="3">
        <f>DATE(Tab_Calculs[[#This Row],[ANNEE]],Tab_Calculs[[#This Row],[MOIS]],1)</f>
        <v>41091</v>
      </c>
      <c r="B423" s="3">
        <f>EDATE(Tab_Calculs[[#This Row],[Début mois]],1)-1</f>
        <v>41121</v>
      </c>
      <c r="C423">
        <v>7</v>
      </c>
      <c r="D423">
        <v>2012</v>
      </c>
      <c r="E423" t="s">
        <v>82</v>
      </c>
      <c r="F423" t="str">
        <f>SUBSTITUTE(Tab_Calculs[[#This Row],[Compteur]]," ","_")</f>
        <v>Compteur_3</v>
      </c>
      <c r="G423" t="str">
        <f>T(INDEX(Site!$B$33:$G$40, MATCH(Tab_Calculs[[#This Row],[Compteur]], Site!$B$33:$B$40,0),2))</f>
        <v/>
      </c>
      <c r="H423" s="3">
        <f t="array" aca="1" ref="H423" ca="1">MIN(IF(INDIRECT(CONCATENATE(Tab_Calculs[[#This Row],[Colonne1]],"!$B$2:$B$243"))&gt;=Calculs_Consos!$A423,INDIRECT(CONCATENATE(Tab_Calculs[[#This Row],[Colonne1]],"!$B$2:$B$243"))))</f>
        <v>0</v>
      </c>
      <c r="I423" s="3">
        <f ca="1">INDEX(INDIRECT(CONCATENATE("Tab_",Tab_Calculs[[#This Row],[Colonne1]])),Tab_Calculs[[#This Row],[index_date_livraison]],1)</f>
        <v>0</v>
      </c>
      <c r="J423">
        <f ca="1">MATCH(Tab_Calculs[[#This Row],[Date_livraison]],INDIRECT(CONCATENATE("Tab_",Tab_Calculs[[#This Row],[Colonne1]],"[Fin de période]")),0)</f>
        <v>1</v>
      </c>
      <c r="K423" t="e">
        <f ca="1">INDEX(INDIRECT(CONCATENATE("Tab_",Tab_Calculs[[#This Row],[Colonne1]])),Tab_Calculs[[#This Row],[index_date_livraison]]-1,6)*(MAX(Tab_Calculs[[#This Row],[Début periode livraison]],Tab_Calculs[[#This Row],[Début mois]])-Tab_Calculs[[#This Row],[Début mois]])</f>
        <v>#VALUE!</v>
      </c>
      <c r="L423" s="94">
        <f ca="1">INDEX(INDIRECT(CONCATENATE("Tab_",Tab_Calculs[[#This Row],[Colonne1]])),Tab_Calculs[[#This Row],[index_date_livraison]],6)*(1+MIN(Tab_Calculs[[#This Row],[Date_livraison]],Tab_Calculs[[#This Row],[fin mois]])-MAX(Tab_Calculs[[#This Row],[Début mois]],Tab_Calculs[[#This Row],[Début periode livraison]]))</f>
        <v>0</v>
      </c>
      <c r="M423" s="94" t="e">
        <f ca="1">INDEX(INDIRECT(CONCATENATE("Tab_",Tab_Calculs[[#This Row],[Colonne1]])),Tab_Calculs[[#This Row],[index_date_livraison]]+1,6)*(Tab_Calculs[[#This Row],[fin mois]]-MIN(Tab_Calculs[[#This Row],[fin mois]],Tab_Calculs[[#This Row],[Date_livraison]]))</f>
        <v>#VALUE!</v>
      </c>
      <c r="N423" s="231" t="str">
        <f ca="1">IFERROR(Tab_Calculs[[#This Row],[Ratio_jour_après_livr]]+Tab_Calculs[[#This Row],[Ratio_jour_avant_livr]]+Tab_Calculs[[#This Row],[ratio_avant_debut]],"")</f>
        <v/>
      </c>
      <c r="O423" t="e">
        <f ca="1">INDEX(INDIRECT(CONCATENATE("Tab_",Tab_Calculs[[#This Row],[Colonne1]])),Tab_Calculs[[#This Row],[index_date_livraison]]-1,7)*(MAX(Tab_Calculs[[#This Row],[Début periode livraison]],Tab_Calculs[[#This Row],[Début mois]])-Tab_Calculs[[#This Row],[Début mois]])</f>
        <v>#VALUE!</v>
      </c>
      <c r="P423">
        <f ca="1">INDEX(INDIRECT(CONCATENATE("Tab_",Tab_Calculs[[#This Row],[Colonne1]])),Tab_Calculs[[#This Row],[index_date_livraison]],7)*(1+MIN(Tab_Calculs[[#This Row],[Date_livraison]],Tab_Calculs[[#This Row],[fin mois]])-MAX(Tab_Calculs[[#This Row],[Début mois]],Tab_Calculs[[#This Row],[Début periode livraison]]))</f>
        <v>0</v>
      </c>
      <c r="Q423" t="e">
        <f ca="1">INDEX(INDIRECT(CONCATENATE("Tab_",Tab_Calculs[[#This Row],[Colonne1]])),Tab_Calculs[[#This Row],[index_date_livraison]]+1,7)*(Tab_Calculs[[#This Row],[fin mois]]-MIN(Tab_Calculs[[#This Row],[fin mois]],Tab_Calculs[[#This Row],[Date_livraison]]))</f>
        <v>#VALUE!</v>
      </c>
      <c r="R423" t="e">
        <f ca="1">Tab_Calculs[[#This Row],[Ratio_Cout_après_livr]]+Tab_Calculs[[#This Row],[Ratio_Cout_avant_livr]]+Tab_Calculs[[#This Row],[Ratio_Cout_avant_debut]]</f>
        <v>#VALUE!</v>
      </c>
      <c r="S423" t="str">
        <f ca="1">IFERROR(N423*VLOOKUP(Tab_Calculs[[#This Row],[Colonne1]],Controle_des_données!$B$7:$G$14,6,FALSE),"")</f>
        <v/>
      </c>
      <c r="T423" t="str">
        <f ca="1">IF(Tab_Calculs[[#This Row],[Combustible ]]="Electricité (kWh)",Tab_Calculs[[#This Row],[Conso_mois_kWh]]*2.3,Tab_Calculs[[#This Row],[Conso_mois_kWh]])</f>
        <v/>
      </c>
      <c r="U423" t="str">
        <f ca="1">IFERROR(N423*VLOOKUP(Tab_Calculs[[#This Row],[Colonne1]],Controle_des_données!$B$7:$H$14,7,FALSE),"")</f>
        <v/>
      </c>
      <c r="V423">
        <f ca="1">IFERROR(Tab_Calculs[[#This Row],[Cout_mois]]/Tab_Calculs[[#This Row],[Conso_mois_kWh]],0)</f>
        <v>0</v>
      </c>
      <c r="W423" t="str">
        <f>T(VLOOKUP(Tab_Calculs[[#This Row],[Compteur]],Site!$B$33:$G$40,3,FALSE))</f>
        <v/>
      </c>
      <c r="X423" t="str">
        <f>T(VLOOKUP(Tab_Calculs[[#This Row],[Compteur]],Site!$B$33:$G$40,4,FALSE))</f>
        <v/>
      </c>
      <c r="Y423" t="str">
        <f>T(VLOOKUP(Tab_Calculs[[#This Row],[Compteur]],Site!$B$33:$G$40,5,FALSE))</f>
        <v/>
      </c>
      <c r="Z423" t="str">
        <f>T(VLOOKUP(Tab_Calculs[[#This Row],[Compteur]],Site!$B$33:$G$40,6,FALSE))</f>
        <v/>
      </c>
      <c r="AA423">
        <f>IFERROR(GETPIVOTDATA("DJU(chauffagiste)",BDD_DJU!$P$13,"annee",Tab_Calculs[[#This Row],[ANNEE]],"mois_numero",Tab_Calculs[[#This Row],[MOIS]]),0)</f>
        <v>48.9</v>
      </c>
    </row>
    <row r="424" spans="1:27" x14ac:dyDescent="0.25">
      <c r="A424" s="3">
        <f>DATE(Tab_Calculs[[#This Row],[ANNEE]],Tab_Calculs[[#This Row],[MOIS]],1)</f>
        <v>41122</v>
      </c>
      <c r="B424" s="3">
        <f>EDATE(Tab_Calculs[[#This Row],[Début mois]],1)-1</f>
        <v>41152</v>
      </c>
      <c r="C424">
        <v>8</v>
      </c>
      <c r="D424">
        <v>2012</v>
      </c>
      <c r="E424" t="s">
        <v>82</v>
      </c>
      <c r="F424" t="str">
        <f>SUBSTITUTE(Tab_Calculs[[#This Row],[Compteur]]," ","_")</f>
        <v>Compteur_3</v>
      </c>
      <c r="G424" t="str">
        <f>T(INDEX(Site!$B$33:$G$40, MATCH(Tab_Calculs[[#This Row],[Compteur]], Site!$B$33:$B$40,0),2))</f>
        <v/>
      </c>
      <c r="H424" s="3">
        <f t="array" aca="1" ref="H424" ca="1">MIN(IF(INDIRECT(CONCATENATE(Tab_Calculs[[#This Row],[Colonne1]],"!$B$2:$B$243"))&gt;=Calculs_Consos!$A424,INDIRECT(CONCATENATE(Tab_Calculs[[#This Row],[Colonne1]],"!$B$2:$B$243"))))</f>
        <v>0</v>
      </c>
      <c r="I424" s="3">
        <f ca="1">INDEX(INDIRECT(CONCATENATE("Tab_",Tab_Calculs[[#This Row],[Colonne1]])),Tab_Calculs[[#This Row],[index_date_livraison]],1)</f>
        <v>0</v>
      </c>
      <c r="J424">
        <f ca="1">MATCH(Tab_Calculs[[#This Row],[Date_livraison]],INDIRECT(CONCATENATE("Tab_",Tab_Calculs[[#This Row],[Colonne1]],"[Fin de période]")),0)</f>
        <v>1</v>
      </c>
      <c r="K424" t="e">
        <f ca="1">INDEX(INDIRECT(CONCATENATE("Tab_",Tab_Calculs[[#This Row],[Colonne1]])),Tab_Calculs[[#This Row],[index_date_livraison]]-1,6)*(MAX(Tab_Calculs[[#This Row],[Début periode livraison]],Tab_Calculs[[#This Row],[Début mois]])-Tab_Calculs[[#This Row],[Début mois]])</f>
        <v>#VALUE!</v>
      </c>
      <c r="L424" s="94">
        <f ca="1">INDEX(INDIRECT(CONCATENATE("Tab_",Tab_Calculs[[#This Row],[Colonne1]])),Tab_Calculs[[#This Row],[index_date_livraison]],6)*(1+MIN(Tab_Calculs[[#This Row],[Date_livraison]],Tab_Calculs[[#This Row],[fin mois]])-MAX(Tab_Calculs[[#This Row],[Début mois]],Tab_Calculs[[#This Row],[Début periode livraison]]))</f>
        <v>0</v>
      </c>
      <c r="M424" s="94" t="e">
        <f ca="1">INDEX(INDIRECT(CONCATENATE("Tab_",Tab_Calculs[[#This Row],[Colonne1]])),Tab_Calculs[[#This Row],[index_date_livraison]]+1,6)*(Tab_Calculs[[#This Row],[fin mois]]-MIN(Tab_Calculs[[#This Row],[fin mois]],Tab_Calculs[[#This Row],[Date_livraison]]))</f>
        <v>#VALUE!</v>
      </c>
      <c r="N424" s="231" t="str">
        <f ca="1">IFERROR(Tab_Calculs[[#This Row],[Ratio_jour_après_livr]]+Tab_Calculs[[#This Row],[Ratio_jour_avant_livr]]+Tab_Calculs[[#This Row],[ratio_avant_debut]],"")</f>
        <v/>
      </c>
      <c r="O424" t="e">
        <f ca="1">INDEX(INDIRECT(CONCATENATE("Tab_",Tab_Calculs[[#This Row],[Colonne1]])),Tab_Calculs[[#This Row],[index_date_livraison]]-1,7)*(MAX(Tab_Calculs[[#This Row],[Début periode livraison]],Tab_Calculs[[#This Row],[Début mois]])-Tab_Calculs[[#This Row],[Début mois]])</f>
        <v>#VALUE!</v>
      </c>
      <c r="P424">
        <f ca="1">INDEX(INDIRECT(CONCATENATE("Tab_",Tab_Calculs[[#This Row],[Colonne1]])),Tab_Calculs[[#This Row],[index_date_livraison]],7)*(1+MIN(Tab_Calculs[[#This Row],[Date_livraison]],Tab_Calculs[[#This Row],[fin mois]])-MAX(Tab_Calculs[[#This Row],[Début mois]],Tab_Calculs[[#This Row],[Début periode livraison]]))</f>
        <v>0</v>
      </c>
      <c r="Q424" t="e">
        <f ca="1">INDEX(INDIRECT(CONCATENATE("Tab_",Tab_Calculs[[#This Row],[Colonne1]])),Tab_Calculs[[#This Row],[index_date_livraison]]+1,7)*(Tab_Calculs[[#This Row],[fin mois]]-MIN(Tab_Calculs[[#This Row],[fin mois]],Tab_Calculs[[#This Row],[Date_livraison]]))</f>
        <v>#VALUE!</v>
      </c>
      <c r="R424" t="e">
        <f ca="1">Tab_Calculs[[#This Row],[Ratio_Cout_après_livr]]+Tab_Calculs[[#This Row],[Ratio_Cout_avant_livr]]+Tab_Calculs[[#This Row],[Ratio_Cout_avant_debut]]</f>
        <v>#VALUE!</v>
      </c>
      <c r="S424" t="str">
        <f ca="1">IFERROR(N424*VLOOKUP(Tab_Calculs[[#This Row],[Colonne1]],Controle_des_données!$B$7:$G$14,6,FALSE),"")</f>
        <v/>
      </c>
      <c r="T424" t="str">
        <f ca="1">IF(Tab_Calculs[[#This Row],[Combustible ]]="Electricité (kWh)",Tab_Calculs[[#This Row],[Conso_mois_kWh]]*2.3,Tab_Calculs[[#This Row],[Conso_mois_kWh]])</f>
        <v/>
      </c>
      <c r="U424" t="str">
        <f ca="1">IFERROR(N424*VLOOKUP(Tab_Calculs[[#This Row],[Colonne1]],Controle_des_données!$B$7:$H$14,7,FALSE),"")</f>
        <v/>
      </c>
      <c r="V424">
        <f ca="1">IFERROR(Tab_Calculs[[#This Row],[Cout_mois]]/Tab_Calculs[[#This Row],[Conso_mois_kWh]],0)</f>
        <v>0</v>
      </c>
      <c r="W424" t="str">
        <f>T(VLOOKUP(Tab_Calculs[[#This Row],[Compteur]],Site!$B$33:$G$40,3,FALSE))</f>
        <v/>
      </c>
      <c r="X424" t="str">
        <f>T(VLOOKUP(Tab_Calculs[[#This Row],[Compteur]],Site!$B$33:$G$40,4,FALSE))</f>
        <v/>
      </c>
      <c r="Y424" t="str">
        <f>T(VLOOKUP(Tab_Calculs[[#This Row],[Compteur]],Site!$B$33:$G$40,5,FALSE))</f>
        <v/>
      </c>
      <c r="Z424" t="str">
        <f>T(VLOOKUP(Tab_Calculs[[#This Row],[Compteur]],Site!$B$33:$G$40,6,FALSE))</f>
        <v/>
      </c>
      <c r="AA424">
        <f>IFERROR(GETPIVOTDATA("DJU(chauffagiste)",BDD_DJU!$P$13,"annee",Tab_Calculs[[#This Row],[ANNEE]],"mois_numero",Tab_Calculs[[#This Row],[MOIS]]),0)</f>
        <v>28.8</v>
      </c>
    </row>
    <row r="425" spans="1:27" x14ac:dyDescent="0.25">
      <c r="A425" s="3">
        <f>DATE(Tab_Calculs[[#This Row],[ANNEE]],Tab_Calculs[[#This Row],[MOIS]],1)</f>
        <v>41153</v>
      </c>
      <c r="B425" s="3">
        <f>EDATE(Tab_Calculs[[#This Row],[Début mois]],1)-1</f>
        <v>41182</v>
      </c>
      <c r="C425">
        <v>9</v>
      </c>
      <c r="D425">
        <v>2012</v>
      </c>
      <c r="E425" t="s">
        <v>82</v>
      </c>
      <c r="F425" t="str">
        <f>SUBSTITUTE(Tab_Calculs[[#This Row],[Compteur]]," ","_")</f>
        <v>Compteur_3</v>
      </c>
      <c r="G425" t="str">
        <f>T(INDEX(Site!$B$33:$G$40, MATCH(Tab_Calculs[[#This Row],[Compteur]], Site!$B$33:$B$40,0),2))</f>
        <v/>
      </c>
      <c r="H425" s="3">
        <f t="array" aca="1" ref="H425" ca="1">MIN(IF(INDIRECT(CONCATENATE(Tab_Calculs[[#This Row],[Colonne1]],"!$B$2:$B$243"))&gt;=Calculs_Consos!$A425,INDIRECT(CONCATENATE(Tab_Calculs[[#This Row],[Colonne1]],"!$B$2:$B$243"))))</f>
        <v>0</v>
      </c>
      <c r="I425" s="3">
        <f ca="1">INDEX(INDIRECT(CONCATENATE("Tab_",Tab_Calculs[[#This Row],[Colonne1]])),Tab_Calculs[[#This Row],[index_date_livraison]],1)</f>
        <v>0</v>
      </c>
      <c r="J425">
        <f ca="1">MATCH(Tab_Calculs[[#This Row],[Date_livraison]],INDIRECT(CONCATENATE("Tab_",Tab_Calculs[[#This Row],[Colonne1]],"[Fin de période]")),0)</f>
        <v>1</v>
      </c>
      <c r="K425" t="e">
        <f ca="1">INDEX(INDIRECT(CONCATENATE("Tab_",Tab_Calculs[[#This Row],[Colonne1]])),Tab_Calculs[[#This Row],[index_date_livraison]]-1,6)*(MAX(Tab_Calculs[[#This Row],[Début periode livraison]],Tab_Calculs[[#This Row],[Début mois]])-Tab_Calculs[[#This Row],[Début mois]])</f>
        <v>#VALUE!</v>
      </c>
      <c r="L425" s="94">
        <f ca="1">INDEX(INDIRECT(CONCATENATE("Tab_",Tab_Calculs[[#This Row],[Colonne1]])),Tab_Calculs[[#This Row],[index_date_livraison]],6)*(1+MIN(Tab_Calculs[[#This Row],[Date_livraison]],Tab_Calculs[[#This Row],[fin mois]])-MAX(Tab_Calculs[[#This Row],[Début mois]],Tab_Calculs[[#This Row],[Début periode livraison]]))</f>
        <v>0</v>
      </c>
      <c r="M425" s="94" t="e">
        <f ca="1">INDEX(INDIRECT(CONCATENATE("Tab_",Tab_Calculs[[#This Row],[Colonne1]])),Tab_Calculs[[#This Row],[index_date_livraison]]+1,6)*(Tab_Calculs[[#This Row],[fin mois]]-MIN(Tab_Calculs[[#This Row],[fin mois]],Tab_Calculs[[#This Row],[Date_livraison]]))</f>
        <v>#VALUE!</v>
      </c>
      <c r="N425" s="231" t="str">
        <f ca="1">IFERROR(Tab_Calculs[[#This Row],[Ratio_jour_après_livr]]+Tab_Calculs[[#This Row],[Ratio_jour_avant_livr]]+Tab_Calculs[[#This Row],[ratio_avant_debut]],"")</f>
        <v/>
      </c>
      <c r="O425" t="e">
        <f ca="1">INDEX(INDIRECT(CONCATENATE("Tab_",Tab_Calculs[[#This Row],[Colonne1]])),Tab_Calculs[[#This Row],[index_date_livraison]]-1,7)*(MAX(Tab_Calculs[[#This Row],[Début periode livraison]],Tab_Calculs[[#This Row],[Début mois]])-Tab_Calculs[[#This Row],[Début mois]])</f>
        <v>#VALUE!</v>
      </c>
      <c r="P425">
        <f ca="1">INDEX(INDIRECT(CONCATENATE("Tab_",Tab_Calculs[[#This Row],[Colonne1]])),Tab_Calculs[[#This Row],[index_date_livraison]],7)*(1+MIN(Tab_Calculs[[#This Row],[Date_livraison]],Tab_Calculs[[#This Row],[fin mois]])-MAX(Tab_Calculs[[#This Row],[Début mois]],Tab_Calculs[[#This Row],[Début periode livraison]]))</f>
        <v>0</v>
      </c>
      <c r="Q425" t="e">
        <f ca="1">INDEX(INDIRECT(CONCATENATE("Tab_",Tab_Calculs[[#This Row],[Colonne1]])),Tab_Calculs[[#This Row],[index_date_livraison]]+1,7)*(Tab_Calculs[[#This Row],[fin mois]]-MIN(Tab_Calculs[[#This Row],[fin mois]],Tab_Calculs[[#This Row],[Date_livraison]]))</f>
        <v>#VALUE!</v>
      </c>
      <c r="R425" t="e">
        <f ca="1">Tab_Calculs[[#This Row],[Ratio_Cout_après_livr]]+Tab_Calculs[[#This Row],[Ratio_Cout_avant_livr]]+Tab_Calculs[[#This Row],[Ratio_Cout_avant_debut]]</f>
        <v>#VALUE!</v>
      </c>
      <c r="S425" t="str">
        <f ca="1">IFERROR(N425*VLOOKUP(Tab_Calculs[[#This Row],[Colonne1]],Controle_des_données!$B$7:$G$14,6,FALSE),"")</f>
        <v/>
      </c>
      <c r="T425" t="str">
        <f ca="1">IF(Tab_Calculs[[#This Row],[Combustible ]]="Electricité (kWh)",Tab_Calculs[[#This Row],[Conso_mois_kWh]]*2.3,Tab_Calculs[[#This Row],[Conso_mois_kWh]])</f>
        <v/>
      </c>
      <c r="U425" t="str">
        <f ca="1">IFERROR(N425*VLOOKUP(Tab_Calculs[[#This Row],[Colonne1]],Controle_des_données!$B$7:$H$14,7,FALSE),"")</f>
        <v/>
      </c>
      <c r="V425">
        <f ca="1">IFERROR(Tab_Calculs[[#This Row],[Cout_mois]]/Tab_Calculs[[#This Row],[Conso_mois_kWh]],0)</f>
        <v>0</v>
      </c>
      <c r="W425" t="str">
        <f>T(VLOOKUP(Tab_Calculs[[#This Row],[Compteur]],Site!$B$33:$G$40,3,FALSE))</f>
        <v/>
      </c>
      <c r="X425" t="str">
        <f>T(VLOOKUP(Tab_Calculs[[#This Row],[Compteur]],Site!$B$33:$G$40,4,FALSE))</f>
        <v/>
      </c>
      <c r="Y425" t="str">
        <f>T(VLOOKUP(Tab_Calculs[[#This Row],[Compteur]],Site!$B$33:$G$40,5,FALSE))</f>
        <v/>
      </c>
      <c r="Z425" t="str">
        <f>T(VLOOKUP(Tab_Calculs[[#This Row],[Compteur]],Site!$B$33:$G$40,6,FALSE))</f>
        <v/>
      </c>
      <c r="AA425">
        <f>IFERROR(GETPIVOTDATA("DJU(chauffagiste)",BDD_DJU!$P$13,"annee",Tab_Calculs[[#This Row],[ANNEE]],"mois_numero",Tab_Calculs[[#This Row],[MOIS]]),0)</f>
        <v>108.1</v>
      </c>
    </row>
    <row r="426" spans="1:27" x14ac:dyDescent="0.25">
      <c r="A426" s="3">
        <f>DATE(Tab_Calculs[[#This Row],[ANNEE]],Tab_Calculs[[#This Row],[MOIS]],1)</f>
        <v>41183</v>
      </c>
      <c r="B426" s="3">
        <f>EDATE(Tab_Calculs[[#This Row],[Début mois]],1)-1</f>
        <v>41213</v>
      </c>
      <c r="C426">
        <v>10</v>
      </c>
      <c r="D426">
        <v>2012</v>
      </c>
      <c r="E426" t="s">
        <v>82</v>
      </c>
      <c r="F426" t="str">
        <f>SUBSTITUTE(Tab_Calculs[[#This Row],[Compteur]]," ","_")</f>
        <v>Compteur_3</v>
      </c>
      <c r="G426" t="str">
        <f>T(INDEX(Site!$B$33:$G$40, MATCH(Tab_Calculs[[#This Row],[Compteur]], Site!$B$33:$B$40,0),2))</f>
        <v/>
      </c>
      <c r="H426" s="3">
        <f t="array" aca="1" ref="H426" ca="1">MIN(IF(INDIRECT(CONCATENATE(Tab_Calculs[[#This Row],[Colonne1]],"!$B$2:$B$243"))&gt;=Calculs_Consos!$A426,INDIRECT(CONCATENATE(Tab_Calculs[[#This Row],[Colonne1]],"!$B$2:$B$243"))))</f>
        <v>0</v>
      </c>
      <c r="I426" s="3">
        <f ca="1">INDEX(INDIRECT(CONCATENATE("Tab_",Tab_Calculs[[#This Row],[Colonne1]])),Tab_Calculs[[#This Row],[index_date_livraison]],1)</f>
        <v>0</v>
      </c>
      <c r="J426">
        <f ca="1">MATCH(Tab_Calculs[[#This Row],[Date_livraison]],INDIRECT(CONCATENATE("Tab_",Tab_Calculs[[#This Row],[Colonne1]],"[Fin de période]")),0)</f>
        <v>1</v>
      </c>
      <c r="K426" t="e">
        <f ca="1">INDEX(INDIRECT(CONCATENATE("Tab_",Tab_Calculs[[#This Row],[Colonne1]])),Tab_Calculs[[#This Row],[index_date_livraison]]-1,6)*(MAX(Tab_Calculs[[#This Row],[Début periode livraison]],Tab_Calculs[[#This Row],[Début mois]])-Tab_Calculs[[#This Row],[Début mois]])</f>
        <v>#VALUE!</v>
      </c>
      <c r="L426" s="94">
        <f ca="1">INDEX(INDIRECT(CONCATENATE("Tab_",Tab_Calculs[[#This Row],[Colonne1]])),Tab_Calculs[[#This Row],[index_date_livraison]],6)*(1+MIN(Tab_Calculs[[#This Row],[Date_livraison]],Tab_Calculs[[#This Row],[fin mois]])-MAX(Tab_Calculs[[#This Row],[Début mois]],Tab_Calculs[[#This Row],[Début periode livraison]]))</f>
        <v>0</v>
      </c>
      <c r="M426" s="94" t="e">
        <f ca="1">INDEX(INDIRECT(CONCATENATE("Tab_",Tab_Calculs[[#This Row],[Colonne1]])),Tab_Calculs[[#This Row],[index_date_livraison]]+1,6)*(Tab_Calculs[[#This Row],[fin mois]]-MIN(Tab_Calculs[[#This Row],[fin mois]],Tab_Calculs[[#This Row],[Date_livraison]]))</f>
        <v>#VALUE!</v>
      </c>
      <c r="N426" s="231" t="str">
        <f ca="1">IFERROR(Tab_Calculs[[#This Row],[Ratio_jour_après_livr]]+Tab_Calculs[[#This Row],[Ratio_jour_avant_livr]]+Tab_Calculs[[#This Row],[ratio_avant_debut]],"")</f>
        <v/>
      </c>
      <c r="O426" t="e">
        <f ca="1">INDEX(INDIRECT(CONCATENATE("Tab_",Tab_Calculs[[#This Row],[Colonne1]])),Tab_Calculs[[#This Row],[index_date_livraison]]-1,7)*(MAX(Tab_Calculs[[#This Row],[Début periode livraison]],Tab_Calculs[[#This Row],[Début mois]])-Tab_Calculs[[#This Row],[Début mois]])</f>
        <v>#VALUE!</v>
      </c>
      <c r="P426">
        <f ca="1">INDEX(INDIRECT(CONCATENATE("Tab_",Tab_Calculs[[#This Row],[Colonne1]])),Tab_Calculs[[#This Row],[index_date_livraison]],7)*(1+MIN(Tab_Calculs[[#This Row],[Date_livraison]],Tab_Calculs[[#This Row],[fin mois]])-MAX(Tab_Calculs[[#This Row],[Début mois]],Tab_Calculs[[#This Row],[Début periode livraison]]))</f>
        <v>0</v>
      </c>
      <c r="Q426" t="e">
        <f ca="1">INDEX(INDIRECT(CONCATENATE("Tab_",Tab_Calculs[[#This Row],[Colonne1]])),Tab_Calculs[[#This Row],[index_date_livraison]]+1,7)*(Tab_Calculs[[#This Row],[fin mois]]-MIN(Tab_Calculs[[#This Row],[fin mois]],Tab_Calculs[[#This Row],[Date_livraison]]))</f>
        <v>#VALUE!</v>
      </c>
      <c r="R426" t="e">
        <f ca="1">Tab_Calculs[[#This Row],[Ratio_Cout_après_livr]]+Tab_Calculs[[#This Row],[Ratio_Cout_avant_livr]]+Tab_Calculs[[#This Row],[Ratio_Cout_avant_debut]]</f>
        <v>#VALUE!</v>
      </c>
      <c r="S426" t="str">
        <f ca="1">IFERROR(N426*VLOOKUP(Tab_Calculs[[#This Row],[Colonne1]],Controle_des_données!$B$7:$G$14,6,FALSE),"")</f>
        <v/>
      </c>
      <c r="T426" t="str">
        <f ca="1">IF(Tab_Calculs[[#This Row],[Combustible ]]="Electricité (kWh)",Tab_Calculs[[#This Row],[Conso_mois_kWh]]*2.3,Tab_Calculs[[#This Row],[Conso_mois_kWh]])</f>
        <v/>
      </c>
      <c r="U426" t="str">
        <f ca="1">IFERROR(N426*VLOOKUP(Tab_Calculs[[#This Row],[Colonne1]],Controle_des_données!$B$7:$H$14,7,FALSE),"")</f>
        <v/>
      </c>
      <c r="V426">
        <f ca="1">IFERROR(Tab_Calculs[[#This Row],[Cout_mois]]/Tab_Calculs[[#This Row],[Conso_mois_kWh]],0)</f>
        <v>0</v>
      </c>
      <c r="W426" t="str">
        <f>T(VLOOKUP(Tab_Calculs[[#This Row],[Compteur]],Site!$B$33:$G$40,3,FALSE))</f>
        <v/>
      </c>
      <c r="X426" t="str">
        <f>T(VLOOKUP(Tab_Calculs[[#This Row],[Compteur]],Site!$B$33:$G$40,4,FALSE))</f>
        <v/>
      </c>
      <c r="Y426" t="str">
        <f>T(VLOOKUP(Tab_Calculs[[#This Row],[Compteur]],Site!$B$33:$G$40,5,FALSE))</f>
        <v/>
      </c>
      <c r="Z426" t="str">
        <f>T(VLOOKUP(Tab_Calculs[[#This Row],[Compteur]],Site!$B$33:$G$40,6,FALSE))</f>
        <v/>
      </c>
      <c r="AA426">
        <f>IFERROR(GETPIVOTDATA("DJU(chauffagiste)",BDD_DJU!$P$13,"annee",Tab_Calculs[[#This Row],[ANNEE]],"mois_numero",Tab_Calculs[[#This Row],[MOIS]]),0)</f>
        <v>161.69999999999999</v>
      </c>
    </row>
    <row r="427" spans="1:27" x14ac:dyDescent="0.25">
      <c r="A427" s="3">
        <f>DATE(Tab_Calculs[[#This Row],[ANNEE]],Tab_Calculs[[#This Row],[MOIS]],1)</f>
        <v>41214</v>
      </c>
      <c r="B427" s="3">
        <f>EDATE(Tab_Calculs[[#This Row],[Début mois]],1)-1</f>
        <v>41243</v>
      </c>
      <c r="C427">
        <v>11</v>
      </c>
      <c r="D427">
        <v>2012</v>
      </c>
      <c r="E427" t="s">
        <v>82</v>
      </c>
      <c r="F427" t="str">
        <f>SUBSTITUTE(Tab_Calculs[[#This Row],[Compteur]]," ","_")</f>
        <v>Compteur_3</v>
      </c>
      <c r="G427" t="str">
        <f>T(INDEX(Site!$B$33:$G$40, MATCH(Tab_Calculs[[#This Row],[Compteur]], Site!$B$33:$B$40,0),2))</f>
        <v/>
      </c>
      <c r="H427" s="3">
        <f t="array" aca="1" ref="H427" ca="1">MIN(IF(INDIRECT(CONCATENATE(Tab_Calculs[[#This Row],[Colonne1]],"!$B$2:$B$243"))&gt;=Calculs_Consos!$A427,INDIRECT(CONCATENATE(Tab_Calculs[[#This Row],[Colonne1]],"!$B$2:$B$243"))))</f>
        <v>0</v>
      </c>
      <c r="I427" s="3">
        <f ca="1">INDEX(INDIRECT(CONCATENATE("Tab_",Tab_Calculs[[#This Row],[Colonne1]])),Tab_Calculs[[#This Row],[index_date_livraison]],1)</f>
        <v>0</v>
      </c>
      <c r="J427">
        <f ca="1">MATCH(Tab_Calculs[[#This Row],[Date_livraison]],INDIRECT(CONCATENATE("Tab_",Tab_Calculs[[#This Row],[Colonne1]],"[Fin de période]")),0)</f>
        <v>1</v>
      </c>
      <c r="K427" t="e">
        <f ca="1">INDEX(INDIRECT(CONCATENATE("Tab_",Tab_Calculs[[#This Row],[Colonne1]])),Tab_Calculs[[#This Row],[index_date_livraison]]-1,6)*(MAX(Tab_Calculs[[#This Row],[Début periode livraison]],Tab_Calculs[[#This Row],[Début mois]])-Tab_Calculs[[#This Row],[Début mois]])</f>
        <v>#VALUE!</v>
      </c>
      <c r="L427" s="94">
        <f ca="1">INDEX(INDIRECT(CONCATENATE("Tab_",Tab_Calculs[[#This Row],[Colonne1]])),Tab_Calculs[[#This Row],[index_date_livraison]],6)*(1+MIN(Tab_Calculs[[#This Row],[Date_livraison]],Tab_Calculs[[#This Row],[fin mois]])-MAX(Tab_Calculs[[#This Row],[Début mois]],Tab_Calculs[[#This Row],[Début periode livraison]]))</f>
        <v>0</v>
      </c>
      <c r="M427" s="94" t="e">
        <f ca="1">INDEX(INDIRECT(CONCATENATE("Tab_",Tab_Calculs[[#This Row],[Colonne1]])),Tab_Calculs[[#This Row],[index_date_livraison]]+1,6)*(Tab_Calculs[[#This Row],[fin mois]]-MIN(Tab_Calculs[[#This Row],[fin mois]],Tab_Calculs[[#This Row],[Date_livraison]]))</f>
        <v>#VALUE!</v>
      </c>
      <c r="N427" s="231" t="str">
        <f ca="1">IFERROR(Tab_Calculs[[#This Row],[Ratio_jour_après_livr]]+Tab_Calculs[[#This Row],[Ratio_jour_avant_livr]]+Tab_Calculs[[#This Row],[ratio_avant_debut]],"")</f>
        <v/>
      </c>
      <c r="O427" t="e">
        <f ca="1">INDEX(INDIRECT(CONCATENATE("Tab_",Tab_Calculs[[#This Row],[Colonne1]])),Tab_Calculs[[#This Row],[index_date_livraison]]-1,7)*(MAX(Tab_Calculs[[#This Row],[Début periode livraison]],Tab_Calculs[[#This Row],[Début mois]])-Tab_Calculs[[#This Row],[Début mois]])</f>
        <v>#VALUE!</v>
      </c>
      <c r="P427">
        <f ca="1">INDEX(INDIRECT(CONCATENATE("Tab_",Tab_Calculs[[#This Row],[Colonne1]])),Tab_Calculs[[#This Row],[index_date_livraison]],7)*(1+MIN(Tab_Calculs[[#This Row],[Date_livraison]],Tab_Calculs[[#This Row],[fin mois]])-MAX(Tab_Calculs[[#This Row],[Début mois]],Tab_Calculs[[#This Row],[Début periode livraison]]))</f>
        <v>0</v>
      </c>
      <c r="Q427" t="e">
        <f ca="1">INDEX(INDIRECT(CONCATENATE("Tab_",Tab_Calculs[[#This Row],[Colonne1]])),Tab_Calculs[[#This Row],[index_date_livraison]]+1,7)*(Tab_Calculs[[#This Row],[fin mois]]-MIN(Tab_Calculs[[#This Row],[fin mois]],Tab_Calculs[[#This Row],[Date_livraison]]))</f>
        <v>#VALUE!</v>
      </c>
      <c r="R427" t="e">
        <f ca="1">Tab_Calculs[[#This Row],[Ratio_Cout_après_livr]]+Tab_Calculs[[#This Row],[Ratio_Cout_avant_livr]]+Tab_Calculs[[#This Row],[Ratio_Cout_avant_debut]]</f>
        <v>#VALUE!</v>
      </c>
      <c r="S427" t="str">
        <f ca="1">IFERROR(N427*VLOOKUP(Tab_Calculs[[#This Row],[Colonne1]],Controle_des_données!$B$7:$G$14,6,FALSE),"")</f>
        <v/>
      </c>
      <c r="T427" t="str">
        <f ca="1">IF(Tab_Calculs[[#This Row],[Combustible ]]="Electricité (kWh)",Tab_Calculs[[#This Row],[Conso_mois_kWh]]*2.3,Tab_Calculs[[#This Row],[Conso_mois_kWh]])</f>
        <v/>
      </c>
      <c r="U427" t="str">
        <f ca="1">IFERROR(N427*VLOOKUP(Tab_Calculs[[#This Row],[Colonne1]],Controle_des_données!$B$7:$H$14,7,FALSE),"")</f>
        <v/>
      </c>
      <c r="V427">
        <f ca="1">IFERROR(Tab_Calculs[[#This Row],[Cout_mois]]/Tab_Calculs[[#This Row],[Conso_mois_kWh]],0)</f>
        <v>0</v>
      </c>
      <c r="W427" t="str">
        <f>T(VLOOKUP(Tab_Calculs[[#This Row],[Compteur]],Site!$B$33:$G$40,3,FALSE))</f>
        <v/>
      </c>
      <c r="X427" t="str">
        <f>T(VLOOKUP(Tab_Calculs[[#This Row],[Compteur]],Site!$B$33:$G$40,4,FALSE))</f>
        <v/>
      </c>
      <c r="Y427" t="str">
        <f>T(VLOOKUP(Tab_Calculs[[#This Row],[Compteur]],Site!$B$33:$G$40,5,FALSE))</f>
        <v/>
      </c>
      <c r="Z427" t="str">
        <f>T(VLOOKUP(Tab_Calculs[[#This Row],[Compteur]],Site!$B$33:$G$40,6,FALSE))</f>
        <v/>
      </c>
      <c r="AA427">
        <f>IFERROR(GETPIVOTDATA("DJU(chauffagiste)",BDD_DJU!$P$13,"annee",Tab_Calculs[[#This Row],[ANNEE]],"mois_numero",Tab_Calculs[[#This Row],[MOIS]]),0)</f>
        <v>300.39999999999998</v>
      </c>
    </row>
    <row r="428" spans="1:27" x14ac:dyDescent="0.25">
      <c r="A428" s="3">
        <f>DATE(Tab_Calculs[[#This Row],[ANNEE]],Tab_Calculs[[#This Row],[MOIS]],1)</f>
        <v>41244</v>
      </c>
      <c r="B428" s="3">
        <f>EDATE(Tab_Calculs[[#This Row],[Début mois]],1)-1</f>
        <v>41274</v>
      </c>
      <c r="C428">
        <v>12</v>
      </c>
      <c r="D428">
        <v>2012</v>
      </c>
      <c r="E428" t="s">
        <v>82</v>
      </c>
      <c r="F428" t="str">
        <f>SUBSTITUTE(Tab_Calculs[[#This Row],[Compteur]]," ","_")</f>
        <v>Compteur_3</v>
      </c>
      <c r="G428" t="str">
        <f>T(INDEX(Site!$B$33:$G$40, MATCH(Tab_Calculs[[#This Row],[Compteur]], Site!$B$33:$B$40,0),2))</f>
        <v/>
      </c>
      <c r="H428" s="3">
        <f t="array" aca="1" ref="H428" ca="1">MIN(IF(INDIRECT(CONCATENATE(Tab_Calculs[[#This Row],[Colonne1]],"!$B$2:$B$243"))&gt;=Calculs_Consos!$A428,INDIRECT(CONCATENATE(Tab_Calculs[[#This Row],[Colonne1]],"!$B$2:$B$243"))))</f>
        <v>0</v>
      </c>
      <c r="I428" s="3">
        <f ca="1">INDEX(INDIRECT(CONCATENATE("Tab_",Tab_Calculs[[#This Row],[Colonne1]])),Tab_Calculs[[#This Row],[index_date_livraison]],1)</f>
        <v>0</v>
      </c>
      <c r="J428">
        <f ca="1">MATCH(Tab_Calculs[[#This Row],[Date_livraison]],INDIRECT(CONCATENATE("Tab_",Tab_Calculs[[#This Row],[Colonne1]],"[Fin de période]")),0)</f>
        <v>1</v>
      </c>
      <c r="K428" t="e">
        <f ca="1">INDEX(INDIRECT(CONCATENATE("Tab_",Tab_Calculs[[#This Row],[Colonne1]])),Tab_Calculs[[#This Row],[index_date_livraison]]-1,6)*(MAX(Tab_Calculs[[#This Row],[Début periode livraison]],Tab_Calculs[[#This Row],[Début mois]])-Tab_Calculs[[#This Row],[Début mois]])</f>
        <v>#VALUE!</v>
      </c>
      <c r="L428" s="94">
        <f ca="1">INDEX(INDIRECT(CONCATENATE("Tab_",Tab_Calculs[[#This Row],[Colonne1]])),Tab_Calculs[[#This Row],[index_date_livraison]],6)*(1+MIN(Tab_Calculs[[#This Row],[Date_livraison]],Tab_Calculs[[#This Row],[fin mois]])-MAX(Tab_Calculs[[#This Row],[Début mois]],Tab_Calculs[[#This Row],[Début periode livraison]]))</f>
        <v>0</v>
      </c>
      <c r="M428" s="94" t="e">
        <f ca="1">INDEX(INDIRECT(CONCATENATE("Tab_",Tab_Calculs[[#This Row],[Colonne1]])),Tab_Calculs[[#This Row],[index_date_livraison]]+1,6)*(Tab_Calculs[[#This Row],[fin mois]]-MIN(Tab_Calculs[[#This Row],[fin mois]],Tab_Calculs[[#This Row],[Date_livraison]]))</f>
        <v>#VALUE!</v>
      </c>
      <c r="N428" s="231" t="str">
        <f ca="1">IFERROR(Tab_Calculs[[#This Row],[Ratio_jour_après_livr]]+Tab_Calculs[[#This Row],[Ratio_jour_avant_livr]]+Tab_Calculs[[#This Row],[ratio_avant_debut]],"")</f>
        <v/>
      </c>
      <c r="O428" t="e">
        <f ca="1">INDEX(INDIRECT(CONCATENATE("Tab_",Tab_Calculs[[#This Row],[Colonne1]])),Tab_Calculs[[#This Row],[index_date_livraison]]-1,7)*(MAX(Tab_Calculs[[#This Row],[Début periode livraison]],Tab_Calculs[[#This Row],[Début mois]])-Tab_Calculs[[#This Row],[Début mois]])</f>
        <v>#VALUE!</v>
      </c>
      <c r="P428">
        <f ca="1">INDEX(INDIRECT(CONCATENATE("Tab_",Tab_Calculs[[#This Row],[Colonne1]])),Tab_Calculs[[#This Row],[index_date_livraison]],7)*(1+MIN(Tab_Calculs[[#This Row],[Date_livraison]],Tab_Calculs[[#This Row],[fin mois]])-MAX(Tab_Calculs[[#This Row],[Début mois]],Tab_Calculs[[#This Row],[Début periode livraison]]))</f>
        <v>0</v>
      </c>
      <c r="Q428" t="e">
        <f ca="1">INDEX(INDIRECT(CONCATENATE("Tab_",Tab_Calculs[[#This Row],[Colonne1]])),Tab_Calculs[[#This Row],[index_date_livraison]]+1,7)*(Tab_Calculs[[#This Row],[fin mois]]-MIN(Tab_Calculs[[#This Row],[fin mois]],Tab_Calculs[[#This Row],[Date_livraison]]))</f>
        <v>#VALUE!</v>
      </c>
      <c r="R428" t="e">
        <f ca="1">Tab_Calculs[[#This Row],[Ratio_Cout_après_livr]]+Tab_Calculs[[#This Row],[Ratio_Cout_avant_livr]]+Tab_Calculs[[#This Row],[Ratio_Cout_avant_debut]]</f>
        <v>#VALUE!</v>
      </c>
      <c r="S428" t="str">
        <f ca="1">IFERROR(N428*VLOOKUP(Tab_Calculs[[#This Row],[Colonne1]],Controle_des_données!$B$7:$G$14,6,FALSE),"")</f>
        <v/>
      </c>
      <c r="T428" t="str">
        <f ca="1">IF(Tab_Calculs[[#This Row],[Combustible ]]="Electricité (kWh)",Tab_Calculs[[#This Row],[Conso_mois_kWh]]*2.3,Tab_Calculs[[#This Row],[Conso_mois_kWh]])</f>
        <v/>
      </c>
      <c r="U428" t="str">
        <f ca="1">IFERROR(N428*VLOOKUP(Tab_Calculs[[#This Row],[Colonne1]],Controle_des_données!$B$7:$H$14,7,FALSE),"")</f>
        <v/>
      </c>
      <c r="V428">
        <f ca="1">IFERROR(Tab_Calculs[[#This Row],[Cout_mois]]/Tab_Calculs[[#This Row],[Conso_mois_kWh]],0)</f>
        <v>0</v>
      </c>
      <c r="W428" t="str">
        <f>T(VLOOKUP(Tab_Calculs[[#This Row],[Compteur]],Site!$B$33:$G$40,3,FALSE))</f>
        <v/>
      </c>
      <c r="X428" t="str">
        <f>T(VLOOKUP(Tab_Calculs[[#This Row],[Compteur]],Site!$B$33:$G$40,4,FALSE))</f>
        <v/>
      </c>
      <c r="Y428" t="str">
        <f>T(VLOOKUP(Tab_Calculs[[#This Row],[Compteur]],Site!$B$33:$G$40,5,FALSE))</f>
        <v/>
      </c>
      <c r="Z428" t="str">
        <f>T(VLOOKUP(Tab_Calculs[[#This Row],[Compteur]],Site!$B$33:$G$40,6,FALSE))</f>
        <v/>
      </c>
      <c r="AA428">
        <f>IFERROR(GETPIVOTDATA("DJU(chauffagiste)",BDD_DJU!$P$13,"annee",Tab_Calculs[[#This Row],[ANNEE]],"mois_numero",Tab_Calculs[[#This Row],[MOIS]]),0)</f>
        <v>333.7</v>
      </c>
    </row>
    <row r="429" spans="1:27" x14ac:dyDescent="0.25">
      <c r="A429" s="3">
        <f>DATE(Tab_Calculs[[#This Row],[ANNEE]],Tab_Calculs[[#This Row],[MOIS]],1)</f>
        <v>41275</v>
      </c>
      <c r="B429" s="3">
        <f>EDATE(Tab_Calculs[[#This Row],[Début mois]],1)-1</f>
        <v>41305</v>
      </c>
      <c r="C429">
        <v>1</v>
      </c>
      <c r="D429">
        <v>2013</v>
      </c>
      <c r="E429" t="s">
        <v>82</v>
      </c>
      <c r="F429" t="str">
        <f>SUBSTITUTE(Tab_Calculs[[#This Row],[Compteur]]," ","_")</f>
        <v>Compteur_3</v>
      </c>
      <c r="G429" t="str">
        <f>T(INDEX(Site!$B$33:$G$40, MATCH(Tab_Calculs[[#This Row],[Compteur]], Site!$B$33:$B$40,0),2))</f>
        <v/>
      </c>
      <c r="H429" s="3">
        <f t="array" aca="1" ref="H429" ca="1">MIN(IF(INDIRECT(CONCATENATE(Tab_Calculs[[#This Row],[Colonne1]],"!$B$2:$B$243"))&gt;=Calculs_Consos!$A429,INDIRECT(CONCATENATE(Tab_Calculs[[#This Row],[Colonne1]],"!$B$2:$B$243"))))</f>
        <v>0</v>
      </c>
      <c r="I429" s="3">
        <f ca="1">INDEX(INDIRECT(CONCATENATE("Tab_",Tab_Calculs[[#This Row],[Colonne1]])),Tab_Calculs[[#This Row],[index_date_livraison]],1)</f>
        <v>0</v>
      </c>
      <c r="J429">
        <f ca="1">MATCH(Tab_Calculs[[#This Row],[Date_livraison]],INDIRECT(CONCATENATE("Tab_",Tab_Calculs[[#This Row],[Colonne1]],"[Fin de période]")),0)</f>
        <v>1</v>
      </c>
      <c r="K429" t="e">
        <f ca="1">INDEX(INDIRECT(CONCATENATE("Tab_",Tab_Calculs[[#This Row],[Colonne1]])),Tab_Calculs[[#This Row],[index_date_livraison]]-1,6)*(MAX(Tab_Calculs[[#This Row],[Début periode livraison]],Tab_Calculs[[#This Row],[Début mois]])-Tab_Calculs[[#This Row],[Début mois]])</f>
        <v>#VALUE!</v>
      </c>
      <c r="L429" s="94">
        <f ca="1">INDEX(INDIRECT(CONCATENATE("Tab_",Tab_Calculs[[#This Row],[Colonne1]])),Tab_Calculs[[#This Row],[index_date_livraison]],6)*(1+MIN(Tab_Calculs[[#This Row],[Date_livraison]],Tab_Calculs[[#This Row],[fin mois]])-MAX(Tab_Calculs[[#This Row],[Début mois]],Tab_Calculs[[#This Row],[Début periode livraison]]))</f>
        <v>0</v>
      </c>
      <c r="M429" s="94" t="e">
        <f ca="1">INDEX(INDIRECT(CONCATENATE("Tab_",Tab_Calculs[[#This Row],[Colonne1]])),Tab_Calculs[[#This Row],[index_date_livraison]]+1,6)*(Tab_Calculs[[#This Row],[fin mois]]-MIN(Tab_Calculs[[#This Row],[fin mois]],Tab_Calculs[[#This Row],[Date_livraison]]))</f>
        <v>#VALUE!</v>
      </c>
      <c r="N429" s="231" t="str">
        <f ca="1">IFERROR(Tab_Calculs[[#This Row],[Ratio_jour_après_livr]]+Tab_Calculs[[#This Row],[Ratio_jour_avant_livr]]+Tab_Calculs[[#This Row],[ratio_avant_debut]],"")</f>
        <v/>
      </c>
      <c r="O429" t="e">
        <f ca="1">INDEX(INDIRECT(CONCATENATE("Tab_",Tab_Calculs[[#This Row],[Colonne1]])),Tab_Calculs[[#This Row],[index_date_livraison]]-1,7)*(MAX(Tab_Calculs[[#This Row],[Début periode livraison]],Tab_Calculs[[#This Row],[Début mois]])-Tab_Calculs[[#This Row],[Début mois]])</f>
        <v>#VALUE!</v>
      </c>
      <c r="P429">
        <f ca="1">INDEX(INDIRECT(CONCATENATE("Tab_",Tab_Calculs[[#This Row],[Colonne1]])),Tab_Calculs[[#This Row],[index_date_livraison]],7)*(1+MIN(Tab_Calculs[[#This Row],[Date_livraison]],Tab_Calculs[[#This Row],[fin mois]])-MAX(Tab_Calculs[[#This Row],[Début mois]],Tab_Calculs[[#This Row],[Début periode livraison]]))</f>
        <v>0</v>
      </c>
      <c r="Q429" t="e">
        <f ca="1">INDEX(INDIRECT(CONCATENATE("Tab_",Tab_Calculs[[#This Row],[Colonne1]])),Tab_Calculs[[#This Row],[index_date_livraison]]+1,7)*(Tab_Calculs[[#This Row],[fin mois]]-MIN(Tab_Calculs[[#This Row],[fin mois]],Tab_Calculs[[#This Row],[Date_livraison]]))</f>
        <v>#VALUE!</v>
      </c>
      <c r="R429" t="e">
        <f ca="1">Tab_Calculs[[#This Row],[Ratio_Cout_après_livr]]+Tab_Calculs[[#This Row],[Ratio_Cout_avant_livr]]+Tab_Calculs[[#This Row],[Ratio_Cout_avant_debut]]</f>
        <v>#VALUE!</v>
      </c>
      <c r="S429" t="str">
        <f ca="1">IFERROR(N429*VLOOKUP(Tab_Calculs[[#This Row],[Colonne1]],Controle_des_données!$B$7:$G$14,6,FALSE),"")</f>
        <v/>
      </c>
      <c r="T429" t="str">
        <f ca="1">IF(Tab_Calculs[[#This Row],[Combustible ]]="Electricité (kWh)",Tab_Calculs[[#This Row],[Conso_mois_kWh]]*2.3,Tab_Calculs[[#This Row],[Conso_mois_kWh]])</f>
        <v/>
      </c>
      <c r="U429" t="str">
        <f ca="1">IFERROR(N429*VLOOKUP(Tab_Calculs[[#This Row],[Colonne1]],Controle_des_données!$B$7:$H$14,7,FALSE),"")</f>
        <v/>
      </c>
      <c r="V429">
        <f ca="1">IFERROR(Tab_Calculs[[#This Row],[Cout_mois]]/Tab_Calculs[[#This Row],[Conso_mois_kWh]],0)</f>
        <v>0</v>
      </c>
      <c r="W429" t="str">
        <f>T(VLOOKUP(Tab_Calculs[[#This Row],[Compteur]],Site!$B$33:$G$40,3,FALSE))</f>
        <v/>
      </c>
      <c r="X429" t="str">
        <f>T(VLOOKUP(Tab_Calculs[[#This Row],[Compteur]],Site!$B$33:$G$40,4,FALSE))</f>
        <v/>
      </c>
      <c r="Y429" t="str">
        <f>T(VLOOKUP(Tab_Calculs[[#This Row],[Compteur]],Site!$B$33:$G$40,5,FALSE))</f>
        <v/>
      </c>
      <c r="Z429" t="str">
        <f>T(VLOOKUP(Tab_Calculs[[#This Row],[Compteur]],Site!$B$33:$G$40,6,FALSE))</f>
        <v/>
      </c>
      <c r="AA429">
        <f>IFERROR(GETPIVOTDATA("DJU(chauffagiste)",BDD_DJU!$P$13,"annee",Tab_Calculs[[#This Row],[ANNEE]],"mois_numero",Tab_Calculs[[#This Row],[MOIS]]),0)</f>
        <v>409.5</v>
      </c>
    </row>
    <row r="430" spans="1:27" x14ac:dyDescent="0.25">
      <c r="A430" s="3">
        <f>DATE(Tab_Calculs[[#This Row],[ANNEE]],Tab_Calculs[[#This Row],[MOIS]],1)</f>
        <v>41306</v>
      </c>
      <c r="B430" s="3">
        <f>EDATE(Tab_Calculs[[#This Row],[Début mois]],1)-1</f>
        <v>41333</v>
      </c>
      <c r="C430">
        <v>2</v>
      </c>
      <c r="D430">
        <v>2013</v>
      </c>
      <c r="E430" t="s">
        <v>82</v>
      </c>
      <c r="F430" t="str">
        <f>SUBSTITUTE(Tab_Calculs[[#This Row],[Compteur]]," ","_")</f>
        <v>Compteur_3</v>
      </c>
      <c r="G430" t="str">
        <f>T(INDEX(Site!$B$33:$G$40, MATCH(Tab_Calculs[[#This Row],[Compteur]], Site!$B$33:$B$40,0),2))</f>
        <v/>
      </c>
      <c r="H430" s="3">
        <f t="array" aca="1" ref="H430" ca="1">MIN(IF(INDIRECT(CONCATENATE(Tab_Calculs[[#This Row],[Colonne1]],"!$B$2:$B$243"))&gt;=Calculs_Consos!$A430,INDIRECT(CONCATENATE(Tab_Calculs[[#This Row],[Colonne1]],"!$B$2:$B$243"))))</f>
        <v>0</v>
      </c>
      <c r="I430" s="3">
        <f ca="1">INDEX(INDIRECT(CONCATENATE("Tab_",Tab_Calculs[[#This Row],[Colonne1]])),Tab_Calculs[[#This Row],[index_date_livraison]],1)</f>
        <v>0</v>
      </c>
      <c r="J430">
        <f ca="1">MATCH(Tab_Calculs[[#This Row],[Date_livraison]],INDIRECT(CONCATENATE("Tab_",Tab_Calculs[[#This Row],[Colonne1]],"[Fin de période]")),0)</f>
        <v>1</v>
      </c>
      <c r="K430" t="e">
        <f ca="1">INDEX(INDIRECT(CONCATENATE("Tab_",Tab_Calculs[[#This Row],[Colonne1]])),Tab_Calculs[[#This Row],[index_date_livraison]]-1,6)*(MAX(Tab_Calculs[[#This Row],[Début periode livraison]],Tab_Calculs[[#This Row],[Début mois]])-Tab_Calculs[[#This Row],[Début mois]])</f>
        <v>#VALUE!</v>
      </c>
      <c r="L430" s="94">
        <f ca="1">INDEX(INDIRECT(CONCATENATE("Tab_",Tab_Calculs[[#This Row],[Colonne1]])),Tab_Calculs[[#This Row],[index_date_livraison]],6)*(1+MIN(Tab_Calculs[[#This Row],[Date_livraison]],Tab_Calculs[[#This Row],[fin mois]])-MAX(Tab_Calculs[[#This Row],[Début mois]],Tab_Calculs[[#This Row],[Début periode livraison]]))</f>
        <v>0</v>
      </c>
      <c r="M430" s="94" t="e">
        <f ca="1">INDEX(INDIRECT(CONCATENATE("Tab_",Tab_Calculs[[#This Row],[Colonne1]])),Tab_Calculs[[#This Row],[index_date_livraison]]+1,6)*(Tab_Calculs[[#This Row],[fin mois]]-MIN(Tab_Calculs[[#This Row],[fin mois]],Tab_Calculs[[#This Row],[Date_livraison]]))</f>
        <v>#VALUE!</v>
      </c>
      <c r="N430" s="231" t="str">
        <f ca="1">IFERROR(Tab_Calculs[[#This Row],[Ratio_jour_après_livr]]+Tab_Calculs[[#This Row],[Ratio_jour_avant_livr]]+Tab_Calculs[[#This Row],[ratio_avant_debut]],"")</f>
        <v/>
      </c>
      <c r="O430" t="e">
        <f ca="1">INDEX(INDIRECT(CONCATENATE("Tab_",Tab_Calculs[[#This Row],[Colonne1]])),Tab_Calculs[[#This Row],[index_date_livraison]]-1,7)*(MAX(Tab_Calculs[[#This Row],[Début periode livraison]],Tab_Calculs[[#This Row],[Début mois]])-Tab_Calculs[[#This Row],[Début mois]])</f>
        <v>#VALUE!</v>
      </c>
      <c r="P430">
        <f ca="1">INDEX(INDIRECT(CONCATENATE("Tab_",Tab_Calculs[[#This Row],[Colonne1]])),Tab_Calculs[[#This Row],[index_date_livraison]],7)*(1+MIN(Tab_Calculs[[#This Row],[Date_livraison]],Tab_Calculs[[#This Row],[fin mois]])-MAX(Tab_Calculs[[#This Row],[Début mois]],Tab_Calculs[[#This Row],[Début periode livraison]]))</f>
        <v>0</v>
      </c>
      <c r="Q430" t="e">
        <f ca="1">INDEX(INDIRECT(CONCATENATE("Tab_",Tab_Calculs[[#This Row],[Colonne1]])),Tab_Calculs[[#This Row],[index_date_livraison]]+1,7)*(Tab_Calculs[[#This Row],[fin mois]]-MIN(Tab_Calculs[[#This Row],[fin mois]],Tab_Calculs[[#This Row],[Date_livraison]]))</f>
        <v>#VALUE!</v>
      </c>
      <c r="R430" t="e">
        <f ca="1">Tab_Calculs[[#This Row],[Ratio_Cout_après_livr]]+Tab_Calculs[[#This Row],[Ratio_Cout_avant_livr]]+Tab_Calculs[[#This Row],[Ratio_Cout_avant_debut]]</f>
        <v>#VALUE!</v>
      </c>
      <c r="S430" t="str">
        <f ca="1">IFERROR(N430*VLOOKUP(Tab_Calculs[[#This Row],[Colonne1]],Controle_des_données!$B$7:$G$14,6,FALSE),"")</f>
        <v/>
      </c>
      <c r="T430" t="str">
        <f ca="1">IF(Tab_Calculs[[#This Row],[Combustible ]]="Electricité (kWh)",Tab_Calculs[[#This Row],[Conso_mois_kWh]]*2.3,Tab_Calculs[[#This Row],[Conso_mois_kWh]])</f>
        <v/>
      </c>
      <c r="U430" t="str">
        <f ca="1">IFERROR(N430*VLOOKUP(Tab_Calculs[[#This Row],[Colonne1]],Controle_des_données!$B$7:$H$14,7,FALSE),"")</f>
        <v/>
      </c>
      <c r="V430">
        <f ca="1">IFERROR(Tab_Calculs[[#This Row],[Cout_mois]]/Tab_Calculs[[#This Row],[Conso_mois_kWh]],0)</f>
        <v>0</v>
      </c>
      <c r="W430" t="str">
        <f>T(VLOOKUP(Tab_Calculs[[#This Row],[Compteur]],Site!$B$33:$G$40,3,FALSE))</f>
        <v/>
      </c>
      <c r="X430" t="str">
        <f>T(VLOOKUP(Tab_Calculs[[#This Row],[Compteur]],Site!$B$33:$G$40,4,FALSE))</f>
        <v/>
      </c>
      <c r="Y430" t="str">
        <f>T(VLOOKUP(Tab_Calculs[[#This Row],[Compteur]],Site!$B$33:$G$40,5,FALSE))</f>
        <v/>
      </c>
      <c r="Z430" t="str">
        <f>T(VLOOKUP(Tab_Calculs[[#This Row],[Compteur]],Site!$B$33:$G$40,6,FALSE))</f>
        <v/>
      </c>
      <c r="AA430">
        <f>IFERROR(GETPIVOTDATA("DJU(chauffagiste)",BDD_DJU!$P$13,"annee",Tab_Calculs[[#This Row],[ANNEE]],"mois_numero",Tab_Calculs[[#This Row],[MOIS]]),0)</f>
        <v>389.8</v>
      </c>
    </row>
    <row r="431" spans="1:27" x14ac:dyDescent="0.25">
      <c r="A431" s="3">
        <f>DATE(Tab_Calculs[[#This Row],[ANNEE]],Tab_Calculs[[#This Row],[MOIS]],1)</f>
        <v>41334</v>
      </c>
      <c r="B431" s="3">
        <f>EDATE(Tab_Calculs[[#This Row],[Début mois]],1)-1</f>
        <v>41364</v>
      </c>
      <c r="C431">
        <v>3</v>
      </c>
      <c r="D431">
        <v>2013</v>
      </c>
      <c r="E431" t="s">
        <v>82</v>
      </c>
      <c r="F431" t="str">
        <f>SUBSTITUTE(Tab_Calculs[[#This Row],[Compteur]]," ","_")</f>
        <v>Compteur_3</v>
      </c>
      <c r="G431" t="str">
        <f>T(INDEX(Site!$B$33:$G$40, MATCH(Tab_Calculs[[#This Row],[Compteur]], Site!$B$33:$B$40,0),2))</f>
        <v/>
      </c>
      <c r="H431" s="3">
        <f t="array" aca="1" ref="H431" ca="1">MIN(IF(INDIRECT(CONCATENATE(Tab_Calculs[[#This Row],[Colonne1]],"!$B$2:$B$243"))&gt;=Calculs_Consos!$A431,INDIRECT(CONCATENATE(Tab_Calculs[[#This Row],[Colonne1]],"!$B$2:$B$243"))))</f>
        <v>0</v>
      </c>
      <c r="I431" s="3">
        <f ca="1">INDEX(INDIRECT(CONCATENATE("Tab_",Tab_Calculs[[#This Row],[Colonne1]])),Tab_Calculs[[#This Row],[index_date_livraison]],1)</f>
        <v>0</v>
      </c>
      <c r="J431">
        <f ca="1">MATCH(Tab_Calculs[[#This Row],[Date_livraison]],INDIRECT(CONCATENATE("Tab_",Tab_Calculs[[#This Row],[Colonne1]],"[Fin de période]")),0)</f>
        <v>1</v>
      </c>
      <c r="K431" t="e">
        <f ca="1">INDEX(INDIRECT(CONCATENATE("Tab_",Tab_Calculs[[#This Row],[Colonne1]])),Tab_Calculs[[#This Row],[index_date_livraison]]-1,6)*(MAX(Tab_Calculs[[#This Row],[Début periode livraison]],Tab_Calculs[[#This Row],[Début mois]])-Tab_Calculs[[#This Row],[Début mois]])</f>
        <v>#VALUE!</v>
      </c>
      <c r="L431" s="94">
        <f ca="1">INDEX(INDIRECT(CONCATENATE("Tab_",Tab_Calculs[[#This Row],[Colonne1]])),Tab_Calculs[[#This Row],[index_date_livraison]],6)*(1+MIN(Tab_Calculs[[#This Row],[Date_livraison]],Tab_Calculs[[#This Row],[fin mois]])-MAX(Tab_Calculs[[#This Row],[Début mois]],Tab_Calculs[[#This Row],[Début periode livraison]]))</f>
        <v>0</v>
      </c>
      <c r="M431" s="94" t="e">
        <f ca="1">INDEX(INDIRECT(CONCATENATE("Tab_",Tab_Calculs[[#This Row],[Colonne1]])),Tab_Calculs[[#This Row],[index_date_livraison]]+1,6)*(Tab_Calculs[[#This Row],[fin mois]]-MIN(Tab_Calculs[[#This Row],[fin mois]],Tab_Calculs[[#This Row],[Date_livraison]]))</f>
        <v>#VALUE!</v>
      </c>
      <c r="N431" s="231" t="str">
        <f ca="1">IFERROR(Tab_Calculs[[#This Row],[Ratio_jour_après_livr]]+Tab_Calculs[[#This Row],[Ratio_jour_avant_livr]]+Tab_Calculs[[#This Row],[ratio_avant_debut]],"")</f>
        <v/>
      </c>
      <c r="O431" t="e">
        <f ca="1">INDEX(INDIRECT(CONCATENATE("Tab_",Tab_Calculs[[#This Row],[Colonne1]])),Tab_Calculs[[#This Row],[index_date_livraison]]-1,7)*(MAX(Tab_Calculs[[#This Row],[Début periode livraison]],Tab_Calculs[[#This Row],[Début mois]])-Tab_Calculs[[#This Row],[Début mois]])</f>
        <v>#VALUE!</v>
      </c>
      <c r="P431">
        <f ca="1">INDEX(INDIRECT(CONCATENATE("Tab_",Tab_Calculs[[#This Row],[Colonne1]])),Tab_Calculs[[#This Row],[index_date_livraison]],7)*(1+MIN(Tab_Calculs[[#This Row],[Date_livraison]],Tab_Calculs[[#This Row],[fin mois]])-MAX(Tab_Calculs[[#This Row],[Début mois]],Tab_Calculs[[#This Row],[Début periode livraison]]))</f>
        <v>0</v>
      </c>
      <c r="Q431" t="e">
        <f ca="1">INDEX(INDIRECT(CONCATENATE("Tab_",Tab_Calculs[[#This Row],[Colonne1]])),Tab_Calculs[[#This Row],[index_date_livraison]]+1,7)*(Tab_Calculs[[#This Row],[fin mois]]-MIN(Tab_Calculs[[#This Row],[fin mois]],Tab_Calculs[[#This Row],[Date_livraison]]))</f>
        <v>#VALUE!</v>
      </c>
      <c r="R431" t="e">
        <f ca="1">Tab_Calculs[[#This Row],[Ratio_Cout_après_livr]]+Tab_Calculs[[#This Row],[Ratio_Cout_avant_livr]]+Tab_Calculs[[#This Row],[Ratio_Cout_avant_debut]]</f>
        <v>#VALUE!</v>
      </c>
      <c r="S431" t="str">
        <f ca="1">IFERROR(N431*VLOOKUP(Tab_Calculs[[#This Row],[Colonne1]],Controle_des_données!$B$7:$G$14,6,FALSE),"")</f>
        <v/>
      </c>
      <c r="T431" t="str">
        <f ca="1">IF(Tab_Calculs[[#This Row],[Combustible ]]="Electricité (kWh)",Tab_Calculs[[#This Row],[Conso_mois_kWh]]*2.3,Tab_Calculs[[#This Row],[Conso_mois_kWh]])</f>
        <v/>
      </c>
      <c r="U431" t="str">
        <f ca="1">IFERROR(N431*VLOOKUP(Tab_Calculs[[#This Row],[Colonne1]],Controle_des_données!$B$7:$H$14,7,FALSE),"")</f>
        <v/>
      </c>
      <c r="V431">
        <f ca="1">IFERROR(Tab_Calculs[[#This Row],[Cout_mois]]/Tab_Calculs[[#This Row],[Conso_mois_kWh]],0)</f>
        <v>0</v>
      </c>
      <c r="W431" t="str">
        <f>T(VLOOKUP(Tab_Calculs[[#This Row],[Compteur]],Site!$B$33:$G$40,3,FALSE))</f>
        <v/>
      </c>
      <c r="X431" t="str">
        <f>T(VLOOKUP(Tab_Calculs[[#This Row],[Compteur]],Site!$B$33:$G$40,4,FALSE))</f>
        <v/>
      </c>
      <c r="Y431" t="str">
        <f>T(VLOOKUP(Tab_Calculs[[#This Row],[Compteur]],Site!$B$33:$G$40,5,FALSE))</f>
        <v/>
      </c>
      <c r="Z431" t="str">
        <f>T(VLOOKUP(Tab_Calculs[[#This Row],[Compteur]],Site!$B$33:$G$40,6,FALSE))</f>
        <v/>
      </c>
      <c r="AA431">
        <f>IFERROR(GETPIVOTDATA("DJU(chauffagiste)",BDD_DJU!$P$13,"annee",Tab_Calculs[[#This Row],[ANNEE]],"mois_numero",Tab_Calculs[[#This Row],[MOIS]]),0)</f>
        <v>360.4</v>
      </c>
    </row>
    <row r="432" spans="1:27" x14ac:dyDescent="0.25">
      <c r="A432" s="3">
        <f>DATE(Tab_Calculs[[#This Row],[ANNEE]],Tab_Calculs[[#This Row],[MOIS]],1)</f>
        <v>41365</v>
      </c>
      <c r="B432" s="3">
        <f>EDATE(Tab_Calculs[[#This Row],[Début mois]],1)-1</f>
        <v>41394</v>
      </c>
      <c r="C432">
        <v>4</v>
      </c>
      <c r="D432">
        <v>2013</v>
      </c>
      <c r="E432" t="s">
        <v>82</v>
      </c>
      <c r="F432" t="str">
        <f>SUBSTITUTE(Tab_Calculs[[#This Row],[Compteur]]," ","_")</f>
        <v>Compteur_3</v>
      </c>
      <c r="G432" t="str">
        <f>T(INDEX(Site!$B$33:$G$40, MATCH(Tab_Calculs[[#This Row],[Compteur]], Site!$B$33:$B$40,0),2))</f>
        <v/>
      </c>
      <c r="H432" s="3">
        <f t="array" aca="1" ref="H432" ca="1">MIN(IF(INDIRECT(CONCATENATE(Tab_Calculs[[#This Row],[Colonne1]],"!$B$2:$B$243"))&gt;=Calculs_Consos!$A432,INDIRECT(CONCATENATE(Tab_Calculs[[#This Row],[Colonne1]],"!$B$2:$B$243"))))</f>
        <v>0</v>
      </c>
      <c r="I432" s="3">
        <f ca="1">INDEX(INDIRECT(CONCATENATE("Tab_",Tab_Calculs[[#This Row],[Colonne1]])),Tab_Calculs[[#This Row],[index_date_livraison]],1)</f>
        <v>0</v>
      </c>
      <c r="J432">
        <f ca="1">MATCH(Tab_Calculs[[#This Row],[Date_livraison]],INDIRECT(CONCATENATE("Tab_",Tab_Calculs[[#This Row],[Colonne1]],"[Fin de période]")),0)</f>
        <v>1</v>
      </c>
      <c r="K432" t="e">
        <f ca="1">INDEX(INDIRECT(CONCATENATE("Tab_",Tab_Calculs[[#This Row],[Colonne1]])),Tab_Calculs[[#This Row],[index_date_livraison]]-1,6)*(MAX(Tab_Calculs[[#This Row],[Début periode livraison]],Tab_Calculs[[#This Row],[Début mois]])-Tab_Calculs[[#This Row],[Début mois]])</f>
        <v>#VALUE!</v>
      </c>
      <c r="L432" s="94">
        <f ca="1">INDEX(INDIRECT(CONCATENATE("Tab_",Tab_Calculs[[#This Row],[Colonne1]])),Tab_Calculs[[#This Row],[index_date_livraison]],6)*(1+MIN(Tab_Calculs[[#This Row],[Date_livraison]],Tab_Calculs[[#This Row],[fin mois]])-MAX(Tab_Calculs[[#This Row],[Début mois]],Tab_Calculs[[#This Row],[Début periode livraison]]))</f>
        <v>0</v>
      </c>
      <c r="M432" s="94" t="e">
        <f ca="1">INDEX(INDIRECT(CONCATENATE("Tab_",Tab_Calculs[[#This Row],[Colonne1]])),Tab_Calculs[[#This Row],[index_date_livraison]]+1,6)*(Tab_Calculs[[#This Row],[fin mois]]-MIN(Tab_Calculs[[#This Row],[fin mois]],Tab_Calculs[[#This Row],[Date_livraison]]))</f>
        <v>#VALUE!</v>
      </c>
      <c r="N432" s="231" t="str">
        <f ca="1">IFERROR(Tab_Calculs[[#This Row],[Ratio_jour_après_livr]]+Tab_Calculs[[#This Row],[Ratio_jour_avant_livr]]+Tab_Calculs[[#This Row],[ratio_avant_debut]],"")</f>
        <v/>
      </c>
      <c r="O432" t="e">
        <f ca="1">INDEX(INDIRECT(CONCATENATE("Tab_",Tab_Calculs[[#This Row],[Colonne1]])),Tab_Calculs[[#This Row],[index_date_livraison]]-1,7)*(MAX(Tab_Calculs[[#This Row],[Début periode livraison]],Tab_Calculs[[#This Row],[Début mois]])-Tab_Calculs[[#This Row],[Début mois]])</f>
        <v>#VALUE!</v>
      </c>
      <c r="P432">
        <f ca="1">INDEX(INDIRECT(CONCATENATE("Tab_",Tab_Calculs[[#This Row],[Colonne1]])),Tab_Calculs[[#This Row],[index_date_livraison]],7)*(1+MIN(Tab_Calculs[[#This Row],[Date_livraison]],Tab_Calculs[[#This Row],[fin mois]])-MAX(Tab_Calculs[[#This Row],[Début mois]],Tab_Calculs[[#This Row],[Début periode livraison]]))</f>
        <v>0</v>
      </c>
      <c r="Q432" t="e">
        <f ca="1">INDEX(INDIRECT(CONCATENATE("Tab_",Tab_Calculs[[#This Row],[Colonne1]])),Tab_Calculs[[#This Row],[index_date_livraison]]+1,7)*(Tab_Calculs[[#This Row],[fin mois]]-MIN(Tab_Calculs[[#This Row],[fin mois]],Tab_Calculs[[#This Row],[Date_livraison]]))</f>
        <v>#VALUE!</v>
      </c>
      <c r="R432" t="e">
        <f ca="1">Tab_Calculs[[#This Row],[Ratio_Cout_après_livr]]+Tab_Calculs[[#This Row],[Ratio_Cout_avant_livr]]+Tab_Calculs[[#This Row],[Ratio_Cout_avant_debut]]</f>
        <v>#VALUE!</v>
      </c>
      <c r="S432" t="str">
        <f ca="1">IFERROR(N432*VLOOKUP(Tab_Calculs[[#This Row],[Colonne1]],Controle_des_données!$B$7:$G$14,6,FALSE),"")</f>
        <v/>
      </c>
      <c r="T432" t="str">
        <f ca="1">IF(Tab_Calculs[[#This Row],[Combustible ]]="Electricité (kWh)",Tab_Calculs[[#This Row],[Conso_mois_kWh]]*2.3,Tab_Calculs[[#This Row],[Conso_mois_kWh]])</f>
        <v/>
      </c>
      <c r="U432" t="str">
        <f ca="1">IFERROR(N432*VLOOKUP(Tab_Calculs[[#This Row],[Colonne1]],Controle_des_données!$B$7:$H$14,7,FALSE),"")</f>
        <v/>
      </c>
      <c r="V432">
        <f ca="1">IFERROR(Tab_Calculs[[#This Row],[Cout_mois]]/Tab_Calculs[[#This Row],[Conso_mois_kWh]],0)</f>
        <v>0</v>
      </c>
      <c r="W432" t="str">
        <f>T(VLOOKUP(Tab_Calculs[[#This Row],[Compteur]],Site!$B$33:$G$40,3,FALSE))</f>
        <v/>
      </c>
      <c r="X432" t="str">
        <f>T(VLOOKUP(Tab_Calculs[[#This Row],[Compteur]],Site!$B$33:$G$40,4,FALSE))</f>
        <v/>
      </c>
      <c r="Y432" t="str">
        <f>T(VLOOKUP(Tab_Calculs[[#This Row],[Compteur]],Site!$B$33:$G$40,5,FALSE))</f>
        <v/>
      </c>
      <c r="Z432" t="str">
        <f>T(VLOOKUP(Tab_Calculs[[#This Row],[Compteur]],Site!$B$33:$G$40,6,FALSE))</f>
        <v/>
      </c>
      <c r="AA432">
        <f>IFERROR(GETPIVOTDATA("DJU(chauffagiste)",BDD_DJU!$P$13,"annee",Tab_Calculs[[#This Row],[ANNEE]],"mois_numero",Tab_Calculs[[#This Row],[MOIS]]),0)</f>
        <v>247.2</v>
      </c>
    </row>
    <row r="433" spans="1:27" x14ac:dyDescent="0.25">
      <c r="A433" s="3">
        <f>DATE(Tab_Calculs[[#This Row],[ANNEE]],Tab_Calculs[[#This Row],[MOIS]],1)</f>
        <v>41395</v>
      </c>
      <c r="B433" s="3">
        <f>EDATE(Tab_Calculs[[#This Row],[Début mois]],1)-1</f>
        <v>41425</v>
      </c>
      <c r="C433">
        <v>5</v>
      </c>
      <c r="D433">
        <v>2013</v>
      </c>
      <c r="E433" t="s">
        <v>82</v>
      </c>
      <c r="F433" t="str">
        <f>SUBSTITUTE(Tab_Calculs[[#This Row],[Compteur]]," ","_")</f>
        <v>Compteur_3</v>
      </c>
      <c r="G433" t="str">
        <f>T(INDEX(Site!$B$33:$G$40, MATCH(Tab_Calculs[[#This Row],[Compteur]], Site!$B$33:$B$40,0),2))</f>
        <v/>
      </c>
      <c r="H433" s="3">
        <f t="array" aca="1" ref="H433" ca="1">MIN(IF(INDIRECT(CONCATENATE(Tab_Calculs[[#This Row],[Colonne1]],"!$B$2:$B$243"))&gt;=Calculs_Consos!$A433,INDIRECT(CONCATENATE(Tab_Calculs[[#This Row],[Colonne1]],"!$B$2:$B$243"))))</f>
        <v>0</v>
      </c>
      <c r="I433" s="3">
        <f ca="1">INDEX(INDIRECT(CONCATENATE("Tab_",Tab_Calculs[[#This Row],[Colonne1]])),Tab_Calculs[[#This Row],[index_date_livraison]],1)</f>
        <v>0</v>
      </c>
      <c r="J433">
        <f ca="1">MATCH(Tab_Calculs[[#This Row],[Date_livraison]],INDIRECT(CONCATENATE("Tab_",Tab_Calculs[[#This Row],[Colonne1]],"[Fin de période]")),0)</f>
        <v>1</v>
      </c>
      <c r="K433" t="e">
        <f ca="1">INDEX(INDIRECT(CONCATENATE("Tab_",Tab_Calculs[[#This Row],[Colonne1]])),Tab_Calculs[[#This Row],[index_date_livraison]]-1,6)*(MAX(Tab_Calculs[[#This Row],[Début periode livraison]],Tab_Calculs[[#This Row],[Début mois]])-Tab_Calculs[[#This Row],[Début mois]])</f>
        <v>#VALUE!</v>
      </c>
      <c r="L433" s="94">
        <f ca="1">INDEX(INDIRECT(CONCATENATE("Tab_",Tab_Calculs[[#This Row],[Colonne1]])),Tab_Calculs[[#This Row],[index_date_livraison]],6)*(1+MIN(Tab_Calculs[[#This Row],[Date_livraison]],Tab_Calculs[[#This Row],[fin mois]])-MAX(Tab_Calculs[[#This Row],[Début mois]],Tab_Calculs[[#This Row],[Début periode livraison]]))</f>
        <v>0</v>
      </c>
      <c r="M433" s="94" t="e">
        <f ca="1">INDEX(INDIRECT(CONCATENATE("Tab_",Tab_Calculs[[#This Row],[Colonne1]])),Tab_Calculs[[#This Row],[index_date_livraison]]+1,6)*(Tab_Calculs[[#This Row],[fin mois]]-MIN(Tab_Calculs[[#This Row],[fin mois]],Tab_Calculs[[#This Row],[Date_livraison]]))</f>
        <v>#VALUE!</v>
      </c>
      <c r="N433" s="231" t="str">
        <f ca="1">IFERROR(Tab_Calculs[[#This Row],[Ratio_jour_après_livr]]+Tab_Calculs[[#This Row],[Ratio_jour_avant_livr]]+Tab_Calculs[[#This Row],[ratio_avant_debut]],"")</f>
        <v/>
      </c>
      <c r="O433" t="e">
        <f ca="1">INDEX(INDIRECT(CONCATENATE("Tab_",Tab_Calculs[[#This Row],[Colonne1]])),Tab_Calculs[[#This Row],[index_date_livraison]]-1,7)*(MAX(Tab_Calculs[[#This Row],[Début periode livraison]],Tab_Calculs[[#This Row],[Début mois]])-Tab_Calculs[[#This Row],[Début mois]])</f>
        <v>#VALUE!</v>
      </c>
      <c r="P433">
        <f ca="1">INDEX(INDIRECT(CONCATENATE("Tab_",Tab_Calculs[[#This Row],[Colonne1]])),Tab_Calculs[[#This Row],[index_date_livraison]],7)*(1+MIN(Tab_Calculs[[#This Row],[Date_livraison]],Tab_Calculs[[#This Row],[fin mois]])-MAX(Tab_Calculs[[#This Row],[Début mois]],Tab_Calculs[[#This Row],[Début periode livraison]]))</f>
        <v>0</v>
      </c>
      <c r="Q433" t="e">
        <f ca="1">INDEX(INDIRECT(CONCATENATE("Tab_",Tab_Calculs[[#This Row],[Colonne1]])),Tab_Calculs[[#This Row],[index_date_livraison]]+1,7)*(Tab_Calculs[[#This Row],[fin mois]]-MIN(Tab_Calculs[[#This Row],[fin mois]],Tab_Calculs[[#This Row],[Date_livraison]]))</f>
        <v>#VALUE!</v>
      </c>
      <c r="R433" t="e">
        <f ca="1">Tab_Calculs[[#This Row],[Ratio_Cout_après_livr]]+Tab_Calculs[[#This Row],[Ratio_Cout_avant_livr]]+Tab_Calculs[[#This Row],[Ratio_Cout_avant_debut]]</f>
        <v>#VALUE!</v>
      </c>
      <c r="S433" t="str">
        <f ca="1">IFERROR(N433*VLOOKUP(Tab_Calculs[[#This Row],[Colonne1]],Controle_des_données!$B$7:$G$14,6,FALSE),"")</f>
        <v/>
      </c>
      <c r="T433" t="str">
        <f ca="1">IF(Tab_Calculs[[#This Row],[Combustible ]]="Electricité (kWh)",Tab_Calculs[[#This Row],[Conso_mois_kWh]]*2.3,Tab_Calculs[[#This Row],[Conso_mois_kWh]])</f>
        <v/>
      </c>
      <c r="U433" t="str">
        <f ca="1">IFERROR(N433*VLOOKUP(Tab_Calculs[[#This Row],[Colonne1]],Controle_des_données!$B$7:$H$14,7,FALSE),"")</f>
        <v/>
      </c>
      <c r="V433">
        <f ca="1">IFERROR(Tab_Calculs[[#This Row],[Cout_mois]]/Tab_Calculs[[#This Row],[Conso_mois_kWh]],0)</f>
        <v>0</v>
      </c>
      <c r="W433" t="str">
        <f>T(VLOOKUP(Tab_Calculs[[#This Row],[Compteur]],Site!$B$33:$G$40,3,FALSE))</f>
        <v/>
      </c>
      <c r="X433" t="str">
        <f>T(VLOOKUP(Tab_Calculs[[#This Row],[Compteur]],Site!$B$33:$G$40,4,FALSE))</f>
        <v/>
      </c>
      <c r="Y433" t="str">
        <f>T(VLOOKUP(Tab_Calculs[[#This Row],[Compteur]],Site!$B$33:$G$40,5,FALSE))</f>
        <v/>
      </c>
      <c r="Z433" t="str">
        <f>T(VLOOKUP(Tab_Calculs[[#This Row],[Compteur]],Site!$B$33:$G$40,6,FALSE))</f>
        <v/>
      </c>
      <c r="AA433">
        <f>IFERROR(GETPIVOTDATA("DJU(chauffagiste)",BDD_DJU!$P$13,"annee",Tab_Calculs[[#This Row],[ANNEE]],"mois_numero",Tab_Calculs[[#This Row],[MOIS]]),0)</f>
        <v>175.2</v>
      </c>
    </row>
    <row r="434" spans="1:27" x14ac:dyDescent="0.25">
      <c r="A434" s="3">
        <f>DATE(Tab_Calculs[[#This Row],[ANNEE]],Tab_Calculs[[#This Row],[MOIS]],1)</f>
        <v>41426</v>
      </c>
      <c r="B434" s="3">
        <f>EDATE(Tab_Calculs[[#This Row],[Début mois]],1)-1</f>
        <v>41455</v>
      </c>
      <c r="C434">
        <v>6</v>
      </c>
      <c r="D434">
        <v>2013</v>
      </c>
      <c r="E434" t="s">
        <v>82</v>
      </c>
      <c r="F434" t="str">
        <f>SUBSTITUTE(Tab_Calculs[[#This Row],[Compteur]]," ","_")</f>
        <v>Compteur_3</v>
      </c>
      <c r="G434" t="str">
        <f>T(INDEX(Site!$B$33:$G$40, MATCH(Tab_Calculs[[#This Row],[Compteur]], Site!$B$33:$B$40,0),2))</f>
        <v/>
      </c>
      <c r="H434" s="3">
        <f t="array" aca="1" ref="H434" ca="1">MIN(IF(INDIRECT(CONCATENATE(Tab_Calculs[[#This Row],[Colonne1]],"!$B$2:$B$243"))&gt;=Calculs_Consos!$A434,INDIRECT(CONCATENATE(Tab_Calculs[[#This Row],[Colonne1]],"!$B$2:$B$243"))))</f>
        <v>0</v>
      </c>
      <c r="I434" s="3">
        <f ca="1">INDEX(INDIRECT(CONCATENATE("Tab_",Tab_Calculs[[#This Row],[Colonne1]])),Tab_Calculs[[#This Row],[index_date_livraison]],1)</f>
        <v>0</v>
      </c>
      <c r="J434">
        <f ca="1">MATCH(Tab_Calculs[[#This Row],[Date_livraison]],INDIRECT(CONCATENATE("Tab_",Tab_Calculs[[#This Row],[Colonne1]],"[Fin de période]")),0)</f>
        <v>1</v>
      </c>
      <c r="K434" t="e">
        <f ca="1">INDEX(INDIRECT(CONCATENATE("Tab_",Tab_Calculs[[#This Row],[Colonne1]])),Tab_Calculs[[#This Row],[index_date_livraison]]-1,6)*(MAX(Tab_Calculs[[#This Row],[Début periode livraison]],Tab_Calculs[[#This Row],[Début mois]])-Tab_Calculs[[#This Row],[Début mois]])</f>
        <v>#VALUE!</v>
      </c>
      <c r="L434" s="94">
        <f ca="1">INDEX(INDIRECT(CONCATENATE("Tab_",Tab_Calculs[[#This Row],[Colonne1]])),Tab_Calculs[[#This Row],[index_date_livraison]],6)*(1+MIN(Tab_Calculs[[#This Row],[Date_livraison]],Tab_Calculs[[#This Row],[fin mois]])-MAX(Tab_Calculs[[#This Row],[Début mois]],Tab_Calculs[[#This Row],[Début periode livraison]]))</f>
        <v>0</v>
      </c>
      <c r="M434" s="94" t="e">
        <f ca="1">INDEX(INDIRECT(CONCATENATE("Tab_",Tab_Calculs[[#This Row],[Colonne1]])),Tab_Calculs[[#This Row],[index_date_livraison]]+1,6)*(Tab_Calculs[[#This Row],[fin mois]]-MIN(Tab_Calculs[[#This Row],[fin mois]],Tab_Calculs[[#This Row],[Date_livraison]]))</f>
        <v>#VALUE!</v>
      </c>
      <c r="N434" s="231" t="str">
        <f ca="1">IFERROR(Tab_Calculs[[#This Row],[Ratio_jour_après_livr]]+Tab_Calculs[[#This Row],[Ratio_jour_avant_livr]]+Tab_Calculs[[#This Row],[ratio_avant_debut]],"")</f>
        <v/>
      </c>
      <c r="O434" t="e">
        <f ca="1">INDEX(INDIRECT(CONCATENATE("Tab_",Tab_Calculs[[#This Row],[Colonne1]])),Tab_Calculs[[#This Row],[index_date_livraison]]-1,7)*(MAX(Tab_Calculs[[#This Row],[Début periode livraison]],Tab_Calculs[[#This Row],[Début mois]])-Tab_Calculs[[#This Row],[Début mois]])</f>
        <v>#VALUE!</v>
      </c>
      <c r="P434">
        <f ca="1">INDEX(INDIRECT(CONCATENATE("Tab_",Tab_Calculs[[#This Row],[Colonne1]])),Tab_Calculs[[#This Row],[index_date_livraison]],7)*(1+MIN(Tab_Calculs[[#This Row],[Date_livraison]],Tab_Calculs[[#This Row],[fin mois]])-MAX(Tab_Calculs[[#This Row],[Début mois]],Tab_Calculs[[#This Row],[Début periode livraison]]))</f>
        <v>0</v>
      </c>
      <c r="Q434" t="e">
        <f ca="1">INDEX(INDIRECT(CONCATENATE("Tab_",Tab_Calculs[[#This Row],[Colonne1]])),Tab_Calculs[[#This Row],[index_date_livraison]]+1,7)*(Tab_Calculs[[#This Row],[fin mois]]-MIN(Tab_Calculs[[#This Row],[fin mois]],Tab_Calculs[[#This Row],[Date_livraison]]))</f>
        <v>#VALUE!</v>
      </c>
      <c r="R434" t="e">
        <f ca="1">Tab_Calculs[[#This Row],[Ratio_Cout_après_livr]]+Tab_Calculs[[#This Row],[Ratio_Cout_avant_livr]]+Tab_Calculs[[#This Row],[Ratio_Cout_avant_debut]]</f>
        <v>#VALUE!</v>
      </c>
      <c r="S434" t="str">
        <f ca="1">IFERROR(N434*VLOOKUP(Tab_Calculs[[#This Row],[Colonne1]],Controle_des_données!$B$7:$G$14,6,FALSE),"")</f>
        <v/>
      </c>
      <c r="T434" t="str">
        <f ca="1">IF(Tab_Calculs[[#This Row],[Combustible ]]="Electricité (kWh)",Tab_Calculs[[#This Row],[Conso_mois_kWh]]*2.3,Tab_Calculs[[#This Row],[Conso_mois_kWh]])</f>
        <v/>
      </c>
      <c r="U434" t="str">
        <f ca="1">IFERROR(N434*VLOOKUP(Tab_Calculs[[#This Row],[Colonne1]],Controle_des_données!$B$7:$H$14,7,FALSE),"")</f>
        <v/>
      </c>
      <c r="V434">
        <f ca="1">IFERROR(Tab_Calculs[[#This Row],[Cout_mois]]/Tab_Calculs[[#This Row],[Conso_mois_kWh]],0)</f>
        <v>0</v>
      </c>
      <c r="W434" t="str">
        <f>T(VLOOKUP(Tab_Calculs[[#This Row],[Compteur]],Site!$B$33:$G$40,3,FALSE))</f>
        <v/>
      </c>
      <c r="X434" t="str">
        <f>T(VLOOKUP(Tab_Calculs[[#This Row],[Compteur]],Site!$B$33:$G$40,4,FALSE))</f>
        <v/>
      </c>
      <c r="Y434" t="str">
        <f>T(VLOOKUP(Tab_Calculs[[#This Row],[Compteur]],Site!$B$33:$G$40,5,FALSE))</f>
        <v/>
      </c>
      <c r="Z434" t="str">
        <f>T(VLOOKUP(Tab_Calculs[[#This Row],[Compteur]],Site!$B$33:$G$40,6,FALSE))</f>
        <v/>
      </c>
      <c r="AA434">
        <f>IFERROR(GETPIVOTDATA("DJU(chauffagiste)",BDD_DJU!$P$13,"annee",Tab_Calculs[[#This Row],[ANNEE]],"mois_numero",Tab_Calculs[[#This Row],[MOIS]]),0)</f>
        <v>68</v>
      </c>
    </row>
    <row r="435" spans="1:27" x14ac:dyDescent="0.25">
      <c r="A435" s="3">
        <f>DATE(Tab_Calculs[[#This Row],[ANNEE]],Tab_Calculs[[#This Row],[MOIS]],1)</f>
        <v>41456</v>
      </c>
      <c r="B435" s="3">
        <f>EDATE(Tab_Calculs[[#This Row],[Début mois]],1)-1</f>
        <v>41486</v>
      </c>
      <c r="C435">
        <v>7</v>
      </c>
      <c r="D435">
        <v>2013</v>
      </c>
      <c r="E435" t="s">
        <v>82</v>
      </c>
      <c r="F435" t="str">
        <f>SUBSTITUTE(Tab_Calculs[[#This Row],[Compteur]]," ","_")</f>
        <v>Compteur_3</v>
      </c>
      <c r="G435" t="str">
        <f>T(INDEX(Site!$B$33:$G$40, MATCH(Tab_Calculs[[#This Row],[Compteur]], Site!$B$33:$B$40,0),2))</f>
        <v/>
      </c>
      <c r="H435" s="3">
        <f t="array" aca="1" ref="H435" ca="1">MIN(IF(INDIRECT(CONCATENATE(Tab_Calculs[[#This Row],[Colonne1]],"!$B$2:$B$243"))&gt;=Calculs_Consos!$A435,INDIRECT(CONCATENATE(Tab_Calculs[[#This Row],[Colonne1]],"!$B$2:$B$243"))))</f>
        <v>0</v>
      </c>
      <c r="I435" s="3">
        <f ca="1">INDEX(INDIRECT(CONCATENATE("Tab_",Tab_Calculs[[#This Row],[Colonne1]])),Tab_Calculs[[#This Row],[index_date_livraison]],1)</f>
        <v>0</v>
      </c>
      <c r="J435">
        <f ca="1">MATCH(Tab_Calculs[[#This Row],[Date_livraison]],INDIRECT(CONCATENATE("Tab_",Tab_Calculs[[#This Row],[Colonne1]],"[Fin de période]")),0)</f>
        <v>1</v>
      </c>
      <c r="K435" t="e">
        <f ca="1">INDEX(INDIRECT(CONCATENATE("Tab_",Tab_Calculs[[#This Row],[Colonne1]])),Tab_Calculs[[#This Row],[index_date_livraison]]-1,6)*(MAX(Tab_Calculs[[#This Row],[Début periode livraison]],Tab_Calculs[[#This Row],[Début mois]])-Tab_Calculs[[#This Row],[Début mois]])</f>
        <v>#VALUE!</v>
      </c>
      <c r="L435" s="94">
        <f ca="1">INDEX(INDIRECT(CONCATENATE("Tab_",Tab_Calculs[[#This Row],[Colonne1]])),Tab_Calculs[[#This Row],[index_date_livraison]],6)*(1+MIN(Tab_Calculs[[#This Row],[Date_livraison]],Tab_Calculs[[#This Row],[fin mois]])-MAX(Tab_Calculs[[#This Row],[Début mois]],Tab_Calculs[[#This Row],[Début periode livraison]]))</f>
        <v>0</v>
      </c>
      <c r="M435" s="94" t="e">
        <f ca="1">INDEX(INDIRECT(CONCATENATE("Tab_",Tab_Calculs[[#This Row],[Colonne1]])),Tab_Calculs[[#This Row],[index_date_livraison]]+1,6)*(Tab_Calculs[[#This Row],[fin mois]]-MIN(Tab_Calculs[[#This Row],[fin mois]],Tab_Calculs[[#This Row],[Date_livraison]]))</f>
        <v>#VALUE!</v>
      </c>
      <c r="N435" s="231" t="str">
        <f ca="1">IFERROR(Tab_Calculs[[#This Row],[Ratio_jour_après_livr]]+Tab_Calculs[[#This Row],[Ratio_jour_avant_livr]]+Tab_Calculs[[#This Row],[ratio_avant_debut]],"")</f>
        <v/>
      </c>
      <c r="O435" t="e">
        <f ca="1">INDEX(INDIRECT(CONCATENATE("Tab_",Tab_Calculs[[#This Row],[Colonne1]])),Tab_Calculs[[#This Row],[index_date_livraison]]-1,7)*(MAX(Tab_Calculs[[#This Row],[Début periode livraison]],Tab_Calculs[[#This Row],[Début mois]])-Tab_Calculs[[#This Row],[Début mois]])</f>
        <v>#VALUE!</v>
      </c>
      <c r="P435">
        <f ca="1">INDEX(INDIRECT(CONCATENATE("Tab_",Tab_Calculs[[#This Row],[Colonne1]])),Tab_Calculs[[#This Row],[index_date_livraison]],7)*(1+MIN(Tab_Calculs[[#This Row],[Date_livraison]],Tab_Calculs[[#This Row],[fin mois]])-MAX(Tab_Calculs[[#This Row],[Début mois]],Tab_Calculs[[#This Row],[Début periode livraison]]))</f>
        <v>0</v>
      </c>
      <c r="Q435" t="e">
        <f ca="1">INDEX(INDIRECT(CONCATENATE("Tab_",Tab_Calculs[[#This Row],[Colonne1]])),Tab_Calculs[[#This Row],[index_date_livraison]]+1,7)*(Tab_Calculs[[#This Row],[fin mois]]-MIN(Tab_Calculs[[#This Row],[fin mois]],Tab_Calculs[[#This Row],[Date_livraison]]))</f>
        <v>#VALUE!</v>
      </c>
      <c r="R435" t="e">
        <f ca="1">Tab_Calculs[[#This Row],[Ratio_Cout_après_livr]]+Tab_Calculs[[#This Row],[Ratio_Cout_avant_livr]]+Tab_Calculs[[#This Row],[Ratio_Cout_avant_debut]]</f>
        <v>#VALUE!</v>
      </c>
      <c r="S435" t="str">
        <f ca="1">IFERROR(N435*VLOOKUP(Tab_Calculs[[#This Row],[Colonne1]],Controle_des_données!$B$7:$G$14,6,FALSE),"")</f>
        <v/>
      </c>
      <c r="T435" t="str">
        <f ca="1">IF(Tab_Calculs[[#This Row],[Combustible ]]="Electricité (kWh)",Tab_Calculs[[#This Row],[Conso_mois_kWh]]*2.3,Tab_Calculs[[#This Row],[Conso_mois_kWh]])</f>
        <v/>
      </c>
      <c r="U435" t="str">
        <f ca="1">IFERROR(N435*VLOOKUP(Tab_Calculs[[#This Row],[Colonne1]],Controle_des_données!$B$7:$H$14,7,FALSE),"")</f>
        <v/>
      </c>
      <c r="V435">
        <f ca="1">IFERROR(Tab_Calculs[[#This Row],[Cout_mois]]/Tab_Calculs[[#This Row],[Conso_mois_kWh]],0)</f>
        <v>0</v>
      </c>
      <c r="W435" t="str">
        <f>T(VLOOKUP(Tab_Calculs[[#This Row],[Compteur]],Site!$B$33:$G$40,3,FALSE))</f>
        <v/>
      </c>
      <c r="X435" t="str">
        <f>T(VLOOKUP(Tab_Calculs[[#This Row],[Compteur]],Site!$B$33:$G$40,4,FALSE))</f>
        <v/>
      </c>
      <c r="Y435" t="str">
        <f>T(VLOOKUP(Tab_Calculs[[#This Row],[Compteur]],Site!$B$33:$G$40,5,FALSE))</f>
        <v/>
      </c>
      <c r="Z435" t="str">
        <f>T(VLOOKUP(Tab_Calculs[[#This Row],[Compteur]],Site!$B$33:$G$40,6,FALSE))</f>
        <v/>
      </c>
      <c r="AA435">
        <f>IFERROR(GETPIVOTDATA("DJU(chauffagiste)",BDD_DJU!$P$13,"annee",Tab_Calculs[[#This Row],[ANNEE]],"mois_numero",Tab_Calculs[[#This Row],[MOIS]]),0)</f>
        <v>13.3</v>
      </c>
    </row>
    <row r="436" spans="1:27" x14ac:dyDescent="0.25">
      <c r="A436" s="3">
        <f>DATE(Tab_Calculs[[#This Row],[ANNEE]],Tab_Calculs[[#This Row],[MOIS]],1)</f>
        <v>41487</v>
      </c>
      <c r="B436" s="3">
        <f>EDATE(Tab_Calculs[[#This Row],[Début mois]],1)-1</f>
        <v>41517</v>
      </c>
      <c r="C436">
        <v>8</v>
      </c>
      <c r="D436">
        <v>2013</v>
      </c>
      <c r="E436" t="s">
        <v>82</v>
      </c>
      <c r="F436" t="str">
        <f>SUBSTITUTE(Tab_Calculs[[#This Row],[Compteur]]," ","_")</f>
        <v>Compteur_3</v>
      </c>
      <c r="G436" t="str">
        <f>T(INDEX(Site!$B$33:$G$40, MATCH(Tab_Calculs[[#This Row],[Compteur]], Site!$B$33:$B$40,0),2))</f>
        <v/>
      </c>
      <c r="H436" s="3">
        <f t="array" aca="1" ref="H436" ca="1">MIN(IF(INDIRECT(CONCATENATE(Tab_Calculs[[#This Row],[Colonne1]],"!$B$2:$B$243"))&gt;=Calculs_Consos!$A436,INDIRECT(CONCATENATE(Tab_Calculs[[#This Row],[Colonne1]],"!$B$2:$B$243"))))</f>
        <v>0</v>
      </c>
      <c r="I436" s="3">
        <f ca="1">INDEX(INDIRECT(CONCATENATE("Tab_",Tab_Calculs[[#This Row],[Colonne1]])),Tab_Calculs[[#This Row],[index_date_livraison]],1)</f>
        <v>0</v>
      </c>
      <c r="J436">
        <f ca="1">MATCH(Tab_Calculs[[#This Row],[Date_livraison]],INDIRECT(CONCATENATE("Tab_",Tab_Calculs[[#This Row],[Colonne1]],"[Fin de période]")),0)</f>
        <v>1</v>
      </c>
      <c r="K436" t="e">
        <f ca="1">INDEX(INDIRECT(CONCATENATE("Tab_",Tab_Calculs[[#This Row],[Colonne1]])),Tab_Calculs[[#This Row],[index_date_livraison]]-1,6)*(MAX(Tab_Calculs[[#This Row],[Début periode livraison]],Tab_Calculs[[#This Row],[Début mois]])-Tab_Calculs[[#This Row],[Début mois]])</f>
        <v>#VALUE!</v>
      </c>
      <c r="L436" s="94">
        <f ca="1">INDEX(INDIRECT(CONCATENATE("Tab_",Tab_Calculs[[#This Row],[Colonne1]])),Tab_Calculs[[#This Row],[index_date_livraison]],6)*(1+MIN(Tab_Calculs[[#This Row],[Date_livraison]],Tab_Calculs[[#This Row],[fin mois]])-MAX(Tab_Calculs[[#This Row],[Début mois]],Tab_Calculs[[#This Row],[Début periode livraison]]))</f>
        <v>0</v>
      </c>
      <c r="M436" s="94" t="e">
        <f ca="1">INDEX(INDIRECT(CONCATENATE("Tab_",Tab_Calculs[[#This Row],[Colonne1]])),Tab_Calculs[[#This Row],[index_date_livraison]]+1,6)*(Tab_Calculs[[#This Row],[fin mois]]-MIN(Tab_Calculs[[#This Row],[fin mois]],Tab_Calculs[[#This Row],[Date_livraison]]))</f>
        <v>#VALUE!</v>
      </c>
      <c r="N436" s="231" t="str">
        <f ca="1">IFERROR(Tab_Calculs[[#This Row],[Ratio_jour_après_livr]]+Tab_Calculs[[#This Row],[Ratio_jour_avant_livr]]+Tab_Calculs[[#This Row],[ratio_avant_debut]],"")</f>
        <v/>
      </c>
      <c r="O436" t="e">
        <f ca="1">INDEX(INDIRECT(CONCATENATE("Tab_",Tab_Calculs[[#This Row],[Colonne1]])),Tab_Calculs[[#This Row],[index_date_livraison]]-1,7)*(MAX(Tab_Calculs[[#This Row],[Début periode livraison]],Tab_Calculs[[#This Row],[Début mois]])-Tab_Calculs[[#This Row],[Début mois]])</f>
        <v>#VALUE!</v>
      </c>
      <c r="P436">
        <f ca="1">INDEX(INDIRECT(CONCATENATE("Tab_",Tab_Calculs[[#This Row],[Colonne1]])),Tab_Calculs[[#This Row],[index_date_livraison]],7)*(1+MIN(Tab_Calculs[[#This Row],[Date_livraison]],Tab_Calculs[[#This Row],[fin mois]])-MAX(Tab_Calculs[[#This Row],[Début mois]],Tab_Calculs[[#This Row],[Début periode livraison]]))</f>
        <v>0</v>
      </c>
      <c r="Q436" t="e">
        <f ca="1">INDEX(INDIRECT(CONCATENATE("Tab_",Tab_Calculs[[#This Row],[Colonne1]])),Tab_Calculs[[#This Row],[index_date_livraison]]+1,7)*(Tab_Calculs[[#This Row],[fin mois]]-MIN(Tab_Calculs[[#This Row],[fin mois]],Tab_Calculs[[#This Row],[Date_livraison]]))</f>
        <v>#VALUE!</v>
      </c>
      <c r="R436" t="e">
        <f ca="1">Tab_Calculs[[#This Row],[Ratio_Cout_après_livr]]+Tab_Calculs[[#This Row],[Ratio_Cout_avant_livr]]+Tab_Calculs[[#This Row],[Ratio_Cout_avant_debut]]</f>
        <v>#VALUE!</v>
      </c>
      <c r="S436" t="str">
        <f ca="1">IFERROR(N436*VLOOKUP(Tab_Calculs[[#This Row],[Colonne1]],Controle_des_données!$B$7:$G$14,6,FALSE),"")</f>
        <v/>
      </c>
      <c r="T436" t="str">
        <f ca="1">IF(Tab_Calculs[[#This Row],[Combustible ]]="Electricité (kWh)",Tab_Calculs[[#This Row],[Conso_mois_kWh]]*2.3,Tab_Calculs[[#This Row],[Conso_mois_kWh]])</f>
        <v/>
      </c>
      <c r="U436" t="str">
        <f ca="1">IFERROR(N436*VLOOKUP(Tab_Calculs[[#This Row],[Colonne1]],Controle_des_données!$B$7:$H$14,7,FALSE),"")</f>
        <v/>
      </c>
      <c r="V436">
        <f ca="1">IFERROR(Tab_Calculs[[#This Row],[Cout_mois]]/Tab_Calculs[[#This Row],[Conso_mois_kWh]],0)</f>
        <v>0</v>
      </c>
      <c r="W436" t="str">
        <f>T(VLOOKUP(Tab_Calculs[[#This Row],[Compteur]],Site!$B$33:$G$40,3,FALSE))</f>
        <v/>
      </c>
      <c r="X436" t="str">
        <f>T(VLOOKUP(Tab_Calculs[[#This Row],[Compteur]],Site!$B$33:$G$40,4,FALSE))</f>
        <v/>
      </c>
      <c r="Y436" t="str">
        <f>T(VLOOKUP(Tab_Calculs[[#This Row],[Compteur]],Site!$B$33:$G$40,5,FALSE))</f>
        <v/>
      </c>
      <c r="Z436" t="str">
        <f>T(VLOOKUP(Tab_Calculs[[#This Row],[Compteur]],Site!$B$33:$G$40,6,FALSE))</f>
        <v/>
      </c>
      <c r="AA436">
        <f>IFERROR(GETPIVOTDATA("DJU(chauffagiste)",BDD_DJU!$P$13,"annee",Tab_Calculs[[#This Row],[ANNEE]],"mois_numero",Tab_Calculs[[#This Row],[MOIS]]),0)</f>
        <v>38.5</v>
      </c>
    </row>
    <row r="437" spans="1:27" x14ac:dyDescent="0.25">
      <c r="A437" s="3">
        <f>DATE(Tab_Calculs[[#This Row],[ANNEE]],Tab_Calculs[[#This Row],[MOIS]],1)</f>
        <v>41518</v>
      </c>
      <c r="B437" s="3">
        <f>EDATE(Tab_Calculs[[#This Row],[Début mois]],1)-1</f>
        <v>41547</v>
      </c>
      <c r="C437">
        <v>9</v>
      </c>
      <c r="D437">
        <v>2013</v>
      </c>
      <c r="E437" t="s">
        <v>82</v>
      </c>
      <c r="F437" t="str">
        <f>SUBSTITUTE(Tab_Calculs[[#This Row],[Compteur]]," ","_")</f>
        <v>Compteur_3</v>
      </c>
      <c r="G437" t="str">
        <f>T(INDEX(Site!$B$33:$G$40, MATCH(Tab_Calculs[[#This Row],[Compteur]], Site!$B$33:$B$40,0),2))</f>
        <v/>
      </c>
      <c r="H437" s="3">
        <f t="array" aca="1" ref="H437" ca="1">MIN(IF(INDIRECT(CONCATENATE(Tab_Calculs[[#This Row],[Colonne1]],"!$B$2:$B$243"))&gt;=Calculs_Consos!$A437,INDIRECT(CONCATENATE(Tab_Calculs[[#This Row],[Colonne1]],"!$B$2:$B$243"))))</f>
        <v>0</v>
      </c>
      <c r="I437" s="3">
        <f ca="1">INDEX(INDIRECT(CONCATENATE("Tab_",Tab_Calculs[[#This Row],[Colonne1]])),Tab_Calculs[[#This Row],[index_date_livraison]],1)</f>
        <v>0</v>
      </c>
      <c r="J437">
        <f ca="1">MATCH(Tab_Calculs[[#This Row],[Date_livraison]],INDIRECT(CONCATENATE("Tab_",Tab_Calculs[[#This Row],[Colonne1]],"[Fin de période]")),0)</f>
        <v>1</v>
      </c>
      <c r="K437" t="e">
        <f ca="1">INDEX(INDIRECT(CONCATENATE("Tab_",Tab_Calculs[[#This Row],[Colonne1]])),Tab_Calculs[[#This Row],[index_date_livraison]]-1,6)*(MAX(Tab_Calculs[[#This Row],[Début periode livraison]],Tab_Calculs[[#This Row],[Début mois]])-Tab_Calculs[[#This Row],[Début mois]])</f>
        <v>#VALUE!</v>
      </c>
      <c r="L437" s="94">
        <f ca="1">INDEX(INDIRECT(CONCATENATE("Tab_",Tab_Calculs[[#This Row],[Colonne1]])),Tab_Calculs[[#This Row],[index_date_livraison]],6)*(1+MIN(Tab_Calculs[[#This Row],[Date_livraison]],Tab_Calculs[[#This Row],[fin mois]])-MAX(Tab_Calculs[[#This Row],[Début mois]],Tab_Calculs[[#This Row],[Début periode livraison]]))</f>
        <v>0</v>
      </c>
      <c r="M437" s="94" t="e">
        <f ca="1">INDEX(INDIRECT(CONCATENATE("Tab_",Tab_Calculs[[#This Row],[Colonne1]])),Tab_Calculs[[#This Row],[index_date_livraison]]+1,6)*(Tab_Calculs[[#This Row],[fin mois]]-MIN(Tab_Calculs[[#This Row],[fin mois]],Tab_Calculs[[#This Row],[Date_livraison]]))</f>
        <v>#VALUE!</v>
      </c>
      <c r="N437" s="231" t="str">
        <f ca="1">IFERROR(Tab_Calculs[[#This Row],[Ratio_jour_après_livr]]+Tab_Calculs[[#This Row],[Ratio_jour_avant_livr]]+Tab_Calculs[[#This Row],[ratio_avant_debut]],"")</f>
        <v/>
      </c>
      <c r="O437" t="e">
        <f ca="1">INDEX(INDIRECT(CONCATENATE("Tab_",Tab_Calculs[[#This Row],[Colonne1]])),Tab_Calculs[[#This Row],[index_date_livraison]]-1,7)*(MAX(Tab_Calculs[[#This Row],[Début periode livraison]],Tab_Calculs[[#This Row],[Début mois]])-Tab_Calculs[[#This Row],[Début mois]])</f>
        <v>#VALUE!</v>
      </c>
      <c r="P437">
        <f ca="1">INDEX(INDIRECT(CONCATENATE("Tab_",Tab_Calculs[[#This Row],[Colonne1]])),Tab_Calculs[[#This Row],[index_date_livraison]],7)*(1+MIN(Tab_Calculs[[#This Row],[Date_livraison]],Tab_Calculs[[#This Row],[fin mois]])-MAX(Tab_Calculs[[#This Row],[Début mois]],Tab_Calculs[[#This Row],[Début periode livraison]]))</f>
        <v>0</v>
      </c>
      <c r="Q437" t="e">
        <f ca="1">INDEX(INDIRECT(CONCATENATE("Tab_",Tab_Calculs[[#This Row],[Colonne1]])),Tab_Calculs[[#This Row],[index_date_livraison]]+1,7)*(Tab_Calculs[[#This Row],[fin mois]]-MIN(Tab_Calculs[[#This Row],[fin mois]],Tab_Calculs[[#This Row],[Date_livraison]]))</f>
        <v>#VALUE!</v>
      </c>
      <c r="R437" t="e">
        <f ca="1">Tab_Calculs[[#This Row],[Ratio_Cout_après_livr]]+Tab_Calculs[[#This Row],[Ratio_Cout_avant_livr]]+Tab_Calculs[[#This Row],[Ratio_Cout_avant_debut]]</f>
        <v>#VALUE!</v>
      </c>
      <c r="S437" t="str">
        <f ca="1">IFERROR(N437*VLOOKUP(Tab_Calculs[[#This Row],[Colonne1]],Controle_des_données!$B$7:$G$14,6,FALSE),"")</f>
        <v/>
      </c>
      <c r="T437" t="str">
        <f ca="1">IF(Tab_Calculs[[#This Row],[Combustible ]]="Electricité (kWh)",Tab_Calculs[[#This Row],[Conso_mois_kWh]]*2.3,Tab_Calculs[[#This Row],[Conso_mois_kWh]])</f>
        <v/>
      </c>
      <c r="U437" t="str">
        <f ca="1">IFERROR(N437*VLOOKUP(Tab_Calculs[[#This Row],[Colonne1]],Controle_des_données!$B$7:$H$14,7,FALSE),"")</f>
        <v/>
      </c>
      <c r="V437">
        <f ca="1">IFERROR(Tab_Calculs[[#This Row],[Cout_mois]]/Tab_Calculs[[#This Row],[Conso_mois_kWh]],0)</f>
        <v>0</v>
      </c>
      <c r="W437" t="str">
        <f>T(VLOOKUP(Tab_Calculs[[#This Row],[Compteur]],Site!$B$33:$G$40,3,FALSE))</f>
        <v/>
      </c>
      <c r="X437" t="str">
        <f>T(VLOOKUP(Tab_Calculs[[#This Row],[Compteur]],Site!$B$33:$G$40,4,FALSE))</f>
        <v/>
      </c>
      <c r="Y437" t="str">
        <f>T(VLOOKUP(Tab_Calculs[[#This Row],[Compteur]],Site!$B$33:$G$40,5,FALSE))</f>
        <v/>
      </c>
      <c r="Z437" t="str">
        <f>T(VLOOKUP(Tab_Calculs[[#This Row],[Compteur]],Site!$B$33:$G$40,6,FALSE))</f>
        <v/>
      </c>
      <c r="AA437">
        <f>IFERROR(GETPIVOTDATA("DJU(chauffagiste)",BDD_DJU!$P$13,"annee",Tab_Calculs[[#This Row],[ANNEE]],"mois_numero",Tab_Calculs[[#This Row],[MOIS]]),0)</f>
        <v>69.2</v>
      </c>
    </row>
    <row r="438" spans="1:27" x14ac:dyDescent="0.25">
      <c r="A438" s="3">
        <f>DATE(Tab_Calculs[[#This Row],[ANNEE]],Tab_Calculs[[#This Row],[MOIS]],1)</f>
        <v>41548</v>
      </c>
      <c r="B438" s="3">
        <f>EDATE(Tab_Calculs[[#This Row],[Début mois]],1)-1</f>
        <v>41578</v>
      </c>
      <c r="C438">
        <v>10</v>
      </c>
      <c r="D438">
        <v>2013</v>
      </c>
      <c r="E438" t="s">
        <v>82</v>
      </c>
      <c r="F438" t="str">
        <f>SUBSTITUTE(Tab_Calculs[[#This Row],[Compteur]]," ","_")</f>
        <v>Compteur_3</v>
      </c>
      <c r="G438" t="str">
        <f>T(INDEX(Site!$B$33:$G$40, MATCH(Tab_Calculs[[#This Row],[Compteur]], Site!$B$33:$B$40,0),2))</f>
        <v/>
      </c>
      <c r="H438" s="3">
        <f t="array" aca="1" ref="H438" ca="1">MIN(IF(INDIRECT(CONCATENATE(Tab_Calculs[[#This Row],[Colonne1]],"!$B$2:$B$243"))&gt;=Calculs_Consos!$A438,INDIRECT(CONCATENATE(Tab_Calculs[[#This Row],[Colonne1]],"!$B$2:$B$243"))))</f>
        <v>0</v>
      </c>
      <c r="I438" s="3">
        <f ca="1">INDEX(INDIRECT(CONCATENATE("Tab_",Tab_Calculs[[#This Row],[Colonne1]])),Tab_Calculs[[#This Row],[index_date_livraison]],1)</f>
        <v>0</v>
      </c>
      <c r="J438">
        <f ca="1">MATCH(Tab_Calculs[[#This Row],[Date_livraison]],INDIRECT(CONCATENATE("Tab_",Tab_Calculs[[#This Row],[Colonne1]],"[Fin de période]")),0)</f>
        <v>1</v>
      </c>
      <c r="K438" t="e">
        <f ca="1">INDEX(INDIRECT(CONCATENATE("Tab_",Tab_Calculs[[#This Row],[Colonne1]])),Tab_Calculs[[#This Row],[index_date_livraison]]-1,6)*(MAX(Tab_Calculs[[#This Row],[Début periode livraison]],Tab_Calculs[[#This Row],[Début mois]])-Tab_Calculs[[#This Row],[Début mois]])</f>
        <v>#VALUE!</v>
      </c>
      <c r="L438" s="94">
        <f ca="1">INDEX(INDIRECT(CONCATENATE("Tab_",Tab_Calculs[[#This Row],[Colonne1]])),Tab_Calculs[[#This Row],[index_date_livraison]],6)*(1+MIN(Tab_Calculs[[#This Row],[Date_livraison]],Tab_Calculs[[#This Row],[fin mois]])-MAX(Tab_Calculs[[#This Row],[Début mois]],Tab_Calculs[[#This Row],[Début periode livraison]]))</f>
        <v>0</v>
      </c>
      <c r="M438" s="94" t="e">
        <f ca="1">INDEX(INDIRECT(CONCATENATE("Tab_",Tab_Calculs[[#This Row],[Colonne1]])),Tab_Calculs[[#This Row],[index_date_livraison]]+1,6)*(Tab_Calculs[[#This Row],[fin mois]]-MIN(Tab_Calculs[[#This Row],[fin mois]],Tab_Calculs[[#This Row],[Date_livraison]]))</f>
        <v>#VALUE!</v>
      </c>
      <c r="N438" s="231" t="str">
        <f ca="1">IFERROR(Tab_Calculs[[#This Row],[Ratio_jour_après_livr]]+Tab_Calculs[[#This Row],[Ratio_jour_avant_livr]]+Tab_Calculs[[#This Row],[ratio_avant_debut]],"")</f>
        <v/>
      </c>
      <c r="O438" t="e">
        <f ca="1">INDEX(INDIRECT(CONCATENATE("Tab_",Tab_Calculs[[#This Row],[Colonne1]])),Tab_Calculs[[#This Row],[index_date_livraison]]-1,7)*(MAX(Tab_Calculs[[#This Row],[Début periode livraison]],Tab_Calculs[[#This Row],[Début mois]])-Tab_Calculs[[#This Row],[Début mois]])</f>
        <v>#VALUE!</v>
      </c>
      <c r="P438">
        <f ca="1">INDEX(INDIRECT(CONCATENATE("Tab_",Tab_Calculs[[#This Row],[Colonne1]])),Tab_Calculs[[#This Row],[index_date_livraison]],7)*(1+MIN(Tab_Calculs[[#This Row],[Date_livraison]],Tab_Calculs[[#This Row],[fin mois]])-MAX(Tab_Calculs[[#This Row],[Début mois]],Tab_Calculs[[#This Row],[Début periode livraison]]))</f>
        <v>0</v>
      </c>
      <c r="Q438" t="e">
        <f ca="1">INDEX(INDIRECT(CONCATENATE("Tab_",Tab_Calculs[[#This Row],[Colonne1]])),Tab_Calculs[[#This Row],[index_date_livraison]]+1,7)*(Tab_Calculs[[#This Row],[fin mois]]-MIN(Tab_Calculs[[#This Row],[fin mois]],Tab_Calculs[[#This Row],[Date_livraison]]))</f>
        <v>#VALUE!</v>
      </c>
      <c r="R438" t="e">
        <f ca="1">Tab_Calculs[[#This Row],[Ratio_Cout_après_livr]]+Tab_Calculs[[#This Row],[Ratio_Cout_avant_livr]]+Tab_Calculs[[#This Row],[Ratio_Cout_avant_debut]]</f>
        <v>#VALUE!</v>
      </c>
      <c r="S438" t="str">
        <f ca="1">IFERROR(N438*VLOOKUP(Tab_Calculs[[#This Row],[Colonne1]],Controle_des_données!$B$7:$G$14,6,FALSE),"")</f>
        <v/>
      </c>
      <c r="T438" t="str">
        <f ca="1">IF(Tab_Calculs[[#This Row],[Combustible ]]="Electricité (kWh)",Tab_Calculs[[#This Row],[Conso_mois_kWh]]*2.3,Tab_Calculs[[#This Row],[Conso_mois_kWh]])</f>
        <v/>
      </c>
      <c r="U438" t="str">
        <f ca="1">IFERROR(N438*VLOOKUP(Tab_Calculs[[#This Row],[Colonne1]],Controle_des_données!$B$7:$H$14,7,FALSE),"")</f>
        <v/>
      </c>
      <c r="V438">
        <f ca="1">IFERROR(Tab_Calculs[[#This Row],[Cout_mois]]/Tab_Calculs[[#This Row],[Conso_mois_kWh]],0)</f>
        <v>0</v>
      </c>
      <c r="W438" t="str">
        <f>T(VLOOKUP(Tab_Calculs[[#This Row],[Compteur]],Site!$B$33:$G$40,3,FALSE))</f>
        <v/>
      </c>
      <c r="X438" t="str">
        <f>T(VLOOKUP(Tab_Calculs[[#This Row],[Compteur]],Site!$B$33:$G$40,4,FALSE))</f>
        <v/>
      </c>
      <c r="Y438" t="str">
        <f>T(VLOOKUP(Tab_Calculs[[#This Row],[Compteur]],Site!$B$33:$G$40,5,FALSE))</f>
        <v/>
      </c>
      <c r="Z438" t="str">
        <f>T(VLOOKUP(Tab_Calculs[[#This Row],[Compteur]],Site!$B$33:$G$40,6,FALSE))</f>
        <v/>
      </c>
      <c r="AA438">
        <f>IFERROR(GETPIVOTDATA("DJU(chauffagiste)",BDD_DJU!$P$13,"annee",Tab_Calculs[[#This Row],[ANNEE]],"mois_numero",Tab_Calculs[[#This Row],[MOIS]]),0)</f>
        <v>122.6</v>
      </c>
    </row>
    <row r="439" spans="1:27" x14ac:dyDescent="0.25">
      <c r="A439" s="3">
        <f>DATE(Tab_Calculs[[#This Row],[ANNEE]],Tab_Calculs[[#This Row],[MOIS]],1)</f>
        <v>41579</v>
      </c>
      <c r="B439" s="3">
        <f>EDATE(Tab_Calculs[[#This Row],[Début mois]],1)-1</f>
        <v>41608</v>
      </c>
      <c r="C439">
        <v>11</v>
      </c>
      <c r="D439">
        <v>2013</v>
      </c>
      <c r="E439" t="s">
        <v>82</v>
      </c>
      <c r="F439" t="str">
        <f>SUBSTITUTE(Tab_Calculs[[#This Row],[Compteur]]," ","_")</f>
        <v>Compteur_3</v>
      </c>
      <c r="G439" t="str">
        <f>T(INDEX(Site!$B$33:$G$40, MATCH(Tab_Calculs[[#This Row],[Compteur]], Site!$B$33:$B$40,0),2))</f>
        <v/>
      </c>
      <c r="H439" s="3">
        <f t="array" aca="1" ref="H439" ca="1">MIN(IF(INDIRECT(CONCATENATE(Tab_Calculs[[#This Row],[Colonne1]],"!$B$2:$B$243"))&gt;=Calculs_Consos!$A439,INDIRECT(CONCATENATE(Tab_Calculs[[#This Row],[Colonne1]],"!$B$2:$B$243"))))</f>
        <v>0</v>
      </c>
      <c r="I439" s="3">
        <f ca="1">INDEX(INDIRECT(CONCATENATE("Tab_",Tab_Calculs[[#This Row],[Colonne1]])),Tab_Calculs[[#This Row],[index_date_livraison]],1)</f>
        <v>0</v>
      </c>
      <c r="J439">
        <f ca="1">MATCH(Tab_Calculs[[#This Row],[Date_livraison]],INDIRECT(CONCATENATE("Tab_",Tab_Calculs[[#This Row],[Colonne1]],"[Fin de période]")),0)</f>
        <v>1</v>
      </c>
      <c r="K439" t="e">
        <f ca="1">INDEX(INDIRECT(CONCATENATE("Tab_",Tab_Calculs[[#This Row],[Colonne1]])),Tab_Calculs[[#This Row],[index_date_livraison]]-1,6)*(MAX(Tab_Calculs[[#This Row],[Début periode livraison]],Tab_Calculs[[#This Row],[Début mois]])-Tab_Calculs[[#This Row],[Début mois]])</f>
        <v>#VALUE!</v>
      </c>
      <c r="L439" s="94">
        <f ca="1">INDEX(INDIRECT(CONCATENATE("Tab_",Tab_Calculs[[#This Row],[Colonne1]])),Tab_Calculs[[#This Row],[index_date_livraison]],6)*(1+MIN(Tab_Calculs[[#This Row],[Date_livraison]],Tab_Calculs[[#This Row],[fin mois]])-MAX(Tab_Calculs[[#This Row],[Début mois]],Tab_Calculs[[#This Row],[Début periode livraison]]))</f>
        <v>0</v>
      </c>
      <c r="M439" s="94" t="e">
        <f ca="1">INDEX(INDIRECT(CONCATENATE("Tab_",Tab_Calculs[[#This Row],[Colonne1]])),Tab_Calculs[[#This Row],[index_date_livraison]]+1,6)*(Tab_Calculs[[#This Row],[fin mois]]-MIN(Tab_Calculs[[#This Row],[fin mois]],Tab_Calculs[[#This Row],[Date_livraison]]))</f>
        <v>#VALUE!</v>
      </c>
      <c r="N439" s="231" t="str">
        <f ca="1">IFERROR(Tab_Calculs[[#This Row],[Ratio_jour_après_livr]]+Tab_Calculs[[#This Row],[Ratio_jour_avant_livr]]+Tab_Calculs[[#This Row],[ratio_avant_debut]],"")</f>
        <v/>
      </c>
      <c r="O439" t="e">
        <f ca="1">INDEX(INDIRECT(CONCATENATE("Tab_",Tab_Calculs[[#This Row],[Colonne1]])),Tab_Calculs[[#This Row],[index_date_livraison]]-1,7)*(MAX(Tab_Calculs[[#This Row],[Début periode livraison]],Tab_Calculs[[#This Row],[Début mois]])-Tab_Calculs[[#This Row],[Début mois]])</f>
        <v>#VALUE!</v>
      </c>
      <c r="P439">
        <f ca="1">INDEX(INDIRECT(CONCATENATE("Tab_",Tab_Calculs[[#This Row],[Colonne1]])),Tab_Calculs[[#This Row],[index_date_livraison]],7)*(1+MIN(Tab_Calculs[[#This Row],[Date_livraison]],Tab_Calculs[[#This Row],[fin mois]])-MAX(Tab_Calculs[[#This Row],[Début mois]],Tab_Calculs[[#This Row],[Début periode livraison]]))</f>
        <v>0</v>
      </c>
      <c r="Q439" t="e">
        <f ca="1">INDEX(INDIRECT(CONCATENATE("Tab_",Tab_Calculs[[#This Row],[Colonne1]])),Tab_Calculs[[#This Row],[index_date_livraison]]+1,7)*(Tab_Calculs[[#This Row],[fin mois]]-MIN(Tab_Calculs[[#This Row],[fin mois]],Tab_Calculs[[#This Row],[Date_livraison]]))</f>
        <v>#VALUE!</v>
      </c>
      <c r="R439" t="e">
        <f ca="1">Tab_Calculs[[#This Row],[Ratio_Cout_après_livr]]+Tab_Calculs[[#This Row],[Ratio_Cout_avant_livr]]+Tab_Calculs[[#This Row],[Ratio_Cout_avant_debut]]</f>
        <v>#VALUE!</v>
      </c>
      <c r="S439" t="str">
        <f ca="1">IFERROR(N439*VLOOKUP(Tab_Calculs[[#This Row],[Colonne1]],Controle_des_données!$B$7:$G$14,6,FALSE),"")</f>
        <v/>
      </c>
      <c r="T439" t="str">
        <f ca="1">IF(Tab_Calculs[[#This Row],[Combustible ]]="Electricité (kWh)",Tab_Calculs[[#This Row],[Conso_mois_kWh]]*2.3,Tab_Calculs[[#This Row],[Conso_mois_kWh]])</f>
        <v/>
      </c>
      <c r="U439" t="str">
        <f ca="1">IFERROR(N439*VLOOKUP(Tab_Calculs[[#This Row],[Colonne1]],Controle_des_données!$B$7:$H$14,7,FALSE),"")</f>
        <v/>
      </c>
      <c r="V439">
        <f ca="1">IFERROR(Tab_Calculs[[#This Row],[Cout_mois]]/Tab_Calculs[[#This Row],[Conso_mois_kWh]],0)</f>
        <v>0</v>
      </c>
      <c r="W439" t="str">
        <f>T(VLOOKUP(Tab_Calculs[[#This Row],[Compteur]],Site!$B$33:$G$40,3,FALSE))</f>
        <v/>
      </c>
      <c r="X439" t="str">
        <f>T(VLOOKUP(Tab_Calculs[[#This Row],[Compteur]],Site!$B$33:$G$40,4,FALSE))</f>
        <v/>
      </c>
      <c r="Y439" t="str">
        <f>T(VLOOKUP(Tab_Calculs[[#This Row],[Compteur]],Site!$B$33:$G$40,5,FALSE))</f>
        <v/>
      </c>
      <c r="Z439" t="str">
        <f>T(VLOOKUP(Tab_Calculs[[#This Row],[Compteur]],Site!$B$33:$G$40,6,FALSE))</f>
        <v/>
      </c>
      <c r="AA439">
        <f>IFERROR(GETPIVOTDATA("DJU(chauffagiste)",BDD_DJU!$P$13,"annee",Tab_Calculs[[#This Row],[ANNEE]],"mois_numero",Tab_Calculs[[#This Row],[MOIS]]),0)</f>
        <v>311.10000000000002</v>
      </c>
    </row>
    <row r="440" spans="1:27" x14ac:dyDescent="0.25">
      <c r="A440" s="3">
        <f>DATE(Tab_Calculs[[#This Row],[ANNEE]],Tab_Calculs[[#This Row],[MOIS]],1)</f>
        <v>41609</v>
      </c>
      <c r="B440" s="3">
        <f>EDATE(Tab_Calculs[[#This Row],[Début mois]],1)-1</f>
        <v>41639</v>
      </c>
      <c r="C440">
        <v>12</v>
      </c>
      <c r="D440">
        <v>2013</v>
      </c>
      <c r="E440" t="s">
        <v>82</v>
      </c>
      <c r="F440" t="str">
        <f>SUBSTITUTE(Tab_Calculs[[#This Row],[Compteur]]," ","_")</f>
        <v>Compteur_3</v>
      </c>
      <c r="G440" t="str">
        <f>T(INDEX(Site!$B$33:$G$40, MATCH(Tab_Calculs[[#This Row],[Compteur]], Site!$B$33:$B$40,0),2))</f>
        <v/>
      </c>
      <c r="H440" s="3">
        <f t="array" aca="1" ref="H440" ca="1">MIN(IF(INDIRECT(CONCATENATE(Tab_Calculs[[#This Row],[Colonne1]],"!$B$2:$B$243"))&gt;=Calculs_Consos!$A440,INDIRECT(CONCATENATE(Tab_Calculs[[#This Row],[Colonne1]],"!$B$2:$B$243"))))</f>
        <v>0</v>
      </c>
      <c r="I440" s="3">
        <f ca="1">INDEX(INDIRECT(CONCATENATE("Tab_",Tab_Calculs[[#This Row],[Colonne1]])),Tab_Calculs[[#This Row],[index_date_livraison]],1)</f>
        <v>0</v>
      </c>
      <c r="J440">
        <f ca="1">MATCH(Tab_Calculs[[#This Row],[Date_livraison]],INDIRECT(CONCATENATE("Tab_",Tab_Calculs[[#This Row],[Colonne1]],"[Fin de période]")),0)</f>
        <v>1</v>
      </c>
      <c r="K440" t="e">
        <f ca="1">INDEX(INDIRECT(CONCATENATE("Tab_",Tab_Calculs[[#This Row],[Colonne1]])),Tab_Calculs[[#This Row],[index_date_livraison]]-1,6)*(MAX(Tab_Calculs[[#This Row],[Début periode livraison]],Tab_Calculs[[#This Row],[Début mois]])-Tab_Calculs[[#This Row],[Début mois]])</f>
        <v>#VALUE!</v>
      </c>
      <c r="L440" s="94">
        <f ca="1">INDEX(INDIRECT(CONCATENATE("Tab_",Tab_Calculs[[#This Row],[Colonne1]])),Tab_Calculs[[#This Row],[index_date_livraison]],6)*(1+MIN(Tab_Calculs[[#This Row],[Date_livraison]],Tab_Calculs[[#This Row],[fin mois]])-MAX(Tab_Calculs[[#This Row],[Début mois]],Tab_Calculs[[#This Row],[Début periode livraison]]))</f>
        <v>0</v>
      </c>
      <c r="M440" s="94" t="e">
        <f ca="1">INDEX(INDIRECT(CONCATENATE("Tab_",Tab_Calculs[[#This Row],[Colonne1]])),Tab_Calculs[[#This Row],[index_date_livraison]]+1,6)*(Tab_Calculs[[#This Row],[fin mois]]-MIN(Tab_Calculs[[#This Row],[fin mois]],Tab_Calculs[[#This Row],[Date_livraison]]))</f>
        <v>#VALUE!</v>
      </c>
      <c r="N440" s="231" t="str">
        <f ca="1">IFERROR(Tab_Calculs[[#This Row],[Ratio_jour_après_livr]]+Tab_Calculs[[#This Row],[Ratio_jour_avant_livr]]+Tab_Calculs[[#This Row],[ratio_avant_debut]],"")</f>
        <v/>
      </c>
      <c r="O440" t="e">
        <f ca="1">INDEX(INDIRECT(CONCATENATE("Tab_",Tab_Calculs[[#This Row],[Colonne1]])),Tab_Calculs[[#This Row],[index_date_livraison]]-1,7)*(MAX(Tab_Calculs[[#This Row],[Début periode livraison]],Tab_Calculs[[#This Row],[Début mois]])-Tab_Calculs[[#This Row],[Début mois]])</f>
        <v>#VALUE!</v>
      </c>
      <c r="P440">
        <f ca="1">INDEX(INDIRECT(CONCATENATE("Tab_",Tab_Calculs[[#This Row],[Colonne1]])),Tab_Calculs[[#This Row],[index_date_livraison]],7)*(1+MIN(Tab_Calculs[[#This Row],[Date_livraison]],Tab_Calculs[[#This Row],[fin mois]])-MAX(Tab_Calculs[[#This Row],[Début mois]],Tab_Calculs[[#This Row],[Début periode livraison]]))</f>
        <v>0</v>
      </c>
      <c r="Q440" t="e">
        <f ca="1">INDEX(INDIRECT(CONCATENATE("Tab_",Tab_Calculs[[#This Row],[Colonne1]])),Tab_Calculs[[#This Row],[index_date_livraison]]+1,7)*(Tab_Calculs[[#This Row],[fin mois]]-MIN(Tab_Calculs[[#This Row],[fin mois]],Tab_Calculs[[#This Row],[Date_livraison]]))</f>
        <v>#VALUE!</v>
      </c>
      <c r="R440" t="e">
        <f ca="1">Tab_Calculs[[#This Row],[Ratio_Cout_après_livr]]+Tab_Calculs[[#This Row],[Ratio_Cout_avant_livr]]+Tab_Calculs[[#This Row],[Ratio_Cout_avant_debut]]</f>
        <v>#VALUE!</v>
      </c>
      <c r="S440" t="str">
        <f ca="1">IFERROR(N440*VLOOKUP(Tab_Calculs[[#This Row],[Colonne1]],Controle_des_données!$B$7:$G$14,6,FALSE),"")</f>
        <v/>
      </c>
      <c r="T440" t="str">
        <f ca="1">IF(Tab_Calculs[[#This Row],[Combustible ]]="Electricité (kWh)",Tab_Calculs[[#This Row],[Conso_mois_kWh]]*2.3,Tab_Calculs[[#This Row],[Conso_mois_kWh]])</f>
        <v/>
      </c>
      <c r="U440" t="str">
        <f ca="1">IFERROR(N440*VLOOKUP(Tab_Calculs[[#This Row],[Colonne1]],Controle_des_données!$B$7:$H$14,7,FALSE),"")</f>
        <v/>
      </c>
      <c r="V440">
        <f ca="1">IFERROR(Tab_Calculs[[#This Row],[Cout_mois]]/Tab_Calculs[[#This Row],[Conso_mois_kWh]],0)</f>
        <v>0</v>
      </c>
      <c r="W440" t="str">
        <f>T(VLOOKUP(Tab_Calculs[[#This Row],[Compteur]],Site!$B$33:$G$40,3,FALSE))</f>
        <v/>
      </c>
      <c r="X440" t="str">
        <f>T(VLOOKUP(Tab_Calculs[[#This Row],[Compteur]],Site!$B$33:$G$40,4,FALSE))</f>
        <v/>
      </c>
      <c r="Y440" t="str">
        <f>T(VLOOKUP(Tab_Calculs[[#This Row],[Compteur]],Site!$B$33:$G$40,5,FALSE))</f>
        <v/>
      </c>
      <c r="Z440" t="str">
        <f>T(VLOOKUP(Tab_Calculs[[#This Row],[Compteur]],Site!$B$33:$G$40,6,FALSE))</f>
        <v/>
      </c>
      <c r="AA440">
        <f>IFERROR(GETPIVOTDATA("DJU(chauffagiste)",BDD_DJU!$P$13,"annee",Tab_Calculs[[#This Row],[ANNEE]],"mois_numero",Tab_Calculs[[#This Row],[MOIS]]),0)</f>
        <v>380.4</v>
      </c>
    </row>
    <row r="441" spans="1:27" x14ac:dyDescent="0.25">
      <c r="A441" s="3">
        <f>DATE(Tab_Calculs[[#This Row],[ANNEE]],Tab_Calculs[[#This Row],[MOIS]],1)</f>
        <v>41640</v>
      </c>
      <c r="B441" s="3">
        <f>EDATE(Tab_Calculs[[#This Row],[Début mois]],1)-1</f>
        <v>41670</v>
      </c>
      <c r="C441">
        <v>1</v>
      </c>
      <c r="D441">
        <v>2014</v>
      </c>
      <c r="E441" t="s">
        <v>82</v>
      </c>
      <c r="F441" t="str">
        <f>SUBSTITUTE(Tab_Calculs[[#This Row],[Compteur]]," ","_")</f>
        <v>Compteur_3</v>
      </c>
      <c r="G441" t="str">
        <f>T(INDEX(Site!$B$33:$G$40, MATCH(Tab_Calculs[[#This Row],[Compteur]], Site!$B$33:$B$40,0),2))</f>
        <v/>
      </c>
      <c r="H441" s="3">
        <f t="array" aca="1" ref="H441" ca="1">MIN(IF(INDIRECT(CONCATENATE(Tab_Calculs[[#This Row],[Colonne1]],"!$B$2:$B$243"))&gt;=Calculs_Consos!$A441,INDIRECT(CONCATENATE(Tab_Calculs[[#This Row],[Colonne1]],"!$B$2:$B$243"))))</f>
        <v>0</v>
      </c>
      <c r="I441" s="3">
        <f ca="1">INDEX(INDIRECT(CONCATENATE("Tab_",Tab_Calculs[[#This Row],[Colonne1]])),Tab_Calculs[[#This Row],[index_date_livraison]],1)</f>
        <v>0</v>
      </c>
      <c r="J441">
        <f ca="1">MATCH(Tab_Calculs[[#This Row],[Date_livraison]],INDIRECT(CONCATENATE("Tab_",Tab_Calculs[[#This Row],[Colonne1]],"[Fin de période]")),0)</f>
        <v>1</v>
      </c>
      <c r="K441" t="e">
        <f ca="1">INDEX(INDIRECT(CONCATENATE("Tab_",Tab_Calculs[[#This Row],[Colonne1]])),Tab_Calculs[[#This Row],[index_date_livraison]]-1,6)*(MAX(Tab_Calculs[[#This Row],[Début periode livraison]],Tab_Calculs[[#This Row],[Début mois]])-Tab_Calculs[[#This Row],[Début mois]])</f>
        <v>#VALUE!</v>
      </c>
      <c r="L441" s="94">
        <f ca="1">INDEX(INDIRECT(CONCATENATE("Tab_",Tab_Calculs[[#This Row],[Colonne1]])),Tab_Calculs[[#This Row],[index_date_livraison]],6)*(1+MIN(Tab_Calculs[[#This Row],[Date_livraison]],Tab_Calculs[[#This Row],[fin mois]])-MAX(Tab_Calculs[[#This Row],[Début mois]],Tab_Calculs[[#This Row],[Début periode livraison]]))</f>
        <v>0</v>
      </c>
      <c r="M441" s="94" t="e">
        <f ca="1">INDEX(INDIRECT(CONCATENATE("Tab_",Tab_Calculs[[#This Row],[Colonne1]])),Tab_Calculs[[#This Row],[index_date_livraison]]+1,6)*(Tab_Calculs[[#This Row],[fin mois]]-MIN(Tab_Calculs[[#This Row],[fin mois]],Tab_Calculs[[#This Row],[Date_livraison]]))</f>
        <v>#VALUE!</v>
      </c>
      <c r="N441" s="231" t="str">
        <f ca="1">IFERROR(Tab_Calculs[[#This Row],[Ratio_jour_après_livr]]+Tab_Calculs[[#This Row],[Ratio_jour_avant_livr]]+Tab_Calculs[[#This Row],[ratio_avant_debut]],"")</f>
        <v/>
      </c>
      <c r="O441" t="e">
        <f ca="1">INDEX(INDIRECT(CONCATENATE("Tab_",Tab_Calculs[[#This Row],[Colonne1]])),Tab_Calculs[[#This Row],[index_date_livraison]]-1,7)*(MAX(Tab_Calculs[[#This Row],[Début periode livraison]],Tab_Calculs[[#This Row],[Début mois]])-Tab_Calculs[[#This Row],[Début mois]])</f>
        <v>#VALUE!</v>
      </c>
      <c r="P441">
        <f ca="1">INDEX(INDIRECT(CONCATENATE("Tab_",Tab_Calculs[[#This Row],[Colonne1]])),Tab_Calculs[[#This Row],[index_date_livraison]],7)*(1+MIN(Tab_Calculs[[#This Row],[Date_livraison]],Tab_Calculs[[#This Row],[fin mois]])-MAX(Tab_Calculs[[#This Row],[Début mois]],Tab_Calculs[[#This Row],[Début periode livraison]]))</f>
        <v>0</v>
      </c>
      <c r="Q441" t="e">
        <f ca="1">INDEX(INDIRECT(CONCATENATE("Tab_",Tab_Calculs[[#This Row],[Colonne1]])),Tab_Calculs[[#This Row],[index_date_livraison]]+1,7)*(Tab_Calculs[[#This Row],[fin mois]]-MIN(Tab_Calculs[[#This Row],[fin mois]],Tab_Calculs[[#This Row],[Date_livraison]]))</f>
        <v>#VALUE!</v>
      </c>
      <c r="R441" t="e">
        <f ca="1">Tab_Calculs[[#This Row],[Ratio_Cout_après_livr]]+Tab_Calculs[[#This Row],[Ratio_Cout_avant_livr]]+Tab_Calculs[[#This Row],[Ratio_Cout_avant_debut]]</f>
        <v>#VALUE!</v>
      </c>
      <c r="S441" t="str">
        <f ca="1">IFERROR(N441*VLOOKUP(Tab_Calculs[[#This Row],[Colonne1]],Controle_des_données!$B$7:$G$14,6,FALSE),"")</f>
        <v/>
      </c>
      <c r="T441" t="str">
        <f ca="1">IF(Tab_Calculs[[#This Row],[Combustible ]]="Electricité (kWh)",Tab_Calculs[[#This Row],[Conso_mois_kWh]]*2.3,Tab_Calculs[[#This Row],[Conso_mois_kWh]])</f>
        <v/>
      </c>
      <c r="U441" t="str">
        <f ca="1">IFERROR(N441*VLOOKUP(Tab_Calculs[[#This Row],[Colonne1]],Controle_des_données!$B$7:$H$14,7,FALSE),"")</f>
        <v/>
      </c>
      <c r="V441">
        <f ca="1">IFERROR(Tab_Calculs[[#This Row],[Cout_mois]]/Tab_Calculs[[#This Row],[Conso_mois_kWh]],0)</f>
        <v>0</v>
      </c>
      <c r="W441" t="str">
        <f>T(VLOOKUP(Tab_Calculs[[#This Row],[Compteur]],Site!$B$33:$G$40,3,FALSE))</f>
        <v/>
      </c>
      <c r="X441" t="str">
        <f>T(VLOOKUP(Tab_Calculs[[#This Row],[Compteur]],Site!$B$33:$G$40,4,FALSE))</f>
        <v/>
      </c>
      <c r="Y441" t="str">
        <f>T(VLOOKUP(Tab_Calculs[[#This Row],[Compteur]],Site!$B$33:$G$40,5,FALSE))</f>
        <v/>
      </c>
      <c r="Z441" t="str">
        <f>T(VLOOKUP(Tab_Calculs[[#This Row],[Compteur]],Site!$B$33:$G$40,6,FALSE))</f>
        <v/>
      </c>
      <c r="AA441">
        <f>IFERROR(GETPIVOTDATA("DJU(chauffagiste)",BDD_DJU!$P$13,"annee",Tab_Calculs[[#This Row],[ANNEE]],"mois_numero",Tab_Calculs[[#This Row],[MOIS]]),0)</f>
        <v>320.5</v>
      </c>
    </row>
    <row r="442" spans="1:27" x14ac:dyDescent="0.25">
      <c r="A442" s="3">
        <f>DATE(Tab_Calculs[[#This Row],[ANNEE]],Tab_Calculs[[#This Row],[MOIS]],1)</f>
        <v>41671</v>
      </c>
      <c r="B442" s="3">
        <f>EDATE(Tab_Calculs[[#This Row],[Début mois]],1)-1</f>
        <v>41698</v>
      </c>
      <c r="C442">
        <v>2</v>
      </c>
      <c r="D442">
        <v>2014</v>
      </c>
      <c r="E442" t="s">
        <v>82</v>
      </c>
      <c r="F442" t="str">
        <f>SUBSTITUTE(Tab_Calculs[[#This Row],[Compteur]]," ","_")</f>
        <v>Compteur_3</v>
      </c>
      <c r="G442" t="str">
        <f>T(INDEX(Site!$B$33:$G$40, MATCH(Tab_Calculs[[#This Row],[Compteur]], Site!$B$33:$B$40,0),2))</f>
        <v/>
      </c>
      <c r="H442" s="3">
        <f t="array" aca="1" ref="H442" ca="1">MIN(IF(INDIRECT(CONCATENATE(Tab_Calculs[[#This Row],[Colonne1]],"!$B$2:$B$243"))&gt;=Calculs_Consos!$A442,INDIRECT(CONCATENATE(Tab_Calculs[[#This Row],[Colonne1]],"!$B$2:$B$243"))))</f>
        <v>0</v>
      </c>
      <c r="I442" s="3">
        <f ca="1">INDEX(INDIRECT(CONCATENATE("Tab_",Tab_Calculs[[#This Row],[Colonne1]])),Tab_Calculs[[#This Row],[index_date_livraison]],1)</f>
        <v>0</v>
      </c>
      <c r="J442">
        <f ca="1">MATCH(Tab_Calculs[[#This Row],[Date_livraison]],INDIRECT(CONCATENATE("Tab_",Tab_Calculs[[#This Row],[Colonne1]],"[Fin de période]")),0)</f>
        <v>1</v>
      </c>
      <c r="K442" t="e">
        <f ca="1">INDEX(INDIRECT(CONCATENATE("Tab_",Tab_Calculs[[#This Row],[Colonne1]])),Tab_Calculs[[#This Row],[index_date_livraison]]-1,6)*(MAX(Tab_Calculs[[#This Row],[Début periode livraison]],Tab_Calculs[[#This Row],[Début mois]])-Tab_Calculs[[#This Row],[Début mois]])</f>
        <v>#VALUE!</v>
      </c>
      <c r="L442" s="94">
        <f ca="1">INDEX(INDIRECT(CONCATENATE("Tab_",Tab_Calculs[[#This Row],[Colonne1]])),Tab_Calculs[[#This Row],[index_date_livraison]],6)*(1+MIN(Tab_Calculs[[#This Row],[Date_livraison]],Tab_Calculs[[#This Row],[fin mois]])-MAX(Tab_Calculs[[#This Row],[Début mois]],Tab_Calculs[[#This Row],[Début periode livraison]]))</f>
        <v>0</v>
      </c>
      <c r="M442" s="94" t="e">
        <f ca="1">INDEX(INDIRECT(CONCATENATE("Tab_",Tab_Calculs[[#This Row],[Colonne1]])),Tab_Calculs[[#This Row],[index_date_livraison]]+1,6)*(Tab_Calculs[[#This Row],[fin mois]]-MIN(Tab_Calculs[[#This Row],[fin mois]],Tab_Calculs[[#This Row],[Date_livraison]]))</f>
        <v>#VALUE!</v>
      </c>
      <c r="N442" s="231" t="str">
        <f ca="1">IFERROR(Tab_Calculs[[#This Row],[Ratio_jour_après_livr]]+Tab_Calculs[[#This Row],[Ratio_jour_avant_livr]]+Tab_Calculs[[#This Row],[ratio_avant_debut]],"")</f>
        <v/>
      </c>
      <c r="O442" t="e">
        <f ca="1">INDEX(INDIRECT(CONCATENATE("Tab_",Tab_Calculs[[#This Row],[Colonne1]])),Tab_Calculs[[#This Row],[index_date_livraison]]-1,7)*(MAX(Tab_Calculs[[#This Row],[Début periode livraison]],Tab_Calculs[[#This Row],[Début mois]])-Tab_Calculs[[#This Row],[Début mois]])</f>
        <v>#VALUE!</v>
      </c>
      <c r="P442">
        <f ca="1">INDEX(INDIRECT(CONCATENATE("Tab_",Tab_Calculs[[#This Row],[Colonne1]])),Tab_Calculs[[#This Row],[index_date_livraison]],7)*(1+MIN(Tab_Calculs[[#This Row],[Date_livraison]],Tab_Calculs[[#This Row],[fin mois]])-MAX(Tab_Calculs[[#This Row],[Début mois]],Tab_Calculs[[#This Row],[Début periode livraison]]))</f>
        <v>0</v>
      </c>
      <c r="Q442" t="e">
        <f ca="1">INDEX(INDIRECT(CONCATENATE("Tab_",Tab_Calculs[[#This Row],[Colonne1]])),Tab_Calculs[[#This Row],[index_date_livraison]]+1,7)*(Tab_Calculs[[#This Row],[fin mois]]-MIN(Tab_Calculs[[#This Row],[fin mois]],Tab_Calculs[[#This Row],[Date_livraison]]))</f>
        <v>#VALUE!</v>
      </c>
      <c r="R442" t="e">
        <f ca="1">Tab_Calculs[[#This Row],[Ratio_Cout_après_livr]]+Tab_Calculs[[#This Row],[Ratio_Cout_avant_livr]]+Tab_Calculs[[#This Row],[Ratio_Cout_avant_debut]]</f>
        <v>#VALUE!</v>
      </c>
      <c r="S442" t="str">
        <f ca="1">IFERROR(N442*VLOOKUP(Tab_Calculs[[#This Row],[Colonne1]],Controle_des_données!$B$7:$G$14,6,FALSE),"")</f>
        <v/>
      </c>
      <c r="T442" t="str">
        <f ca="1">IF(Tab_Calculs[[#This Row],[Combustible ]]="Electricité (kWh)",Tab_Calculs[[#This Row],[Conso_mois_kWh]]*2.3,Tab_Calculs[[#This Row],[Conso_mois_kWh]])</f>
        <v/>
      </c>
      <c r="U442" t="str">
        <f ca="1">IFERROR(N442*VLOOKUP(Tab_Calculs[[#This Row],[Colonne1]],Controle_des_données!$B$7:$H$14,7,FALSE),"")</f>
        <v/>
      </c>
      <c r="V442">
        <f ca="1">IFERROR(Tab_Calculs[[#This Row],[Cout_mois]]/Tab_Calculs[[#This Row],[Conso_mois_kWh]],0)</f>
        <v>0</v>
      </c>
      <c r="W442" t="str">
        <f>T(VLOOKUP(Tab_Calculs[[#This Row],[Compteur]],Site!$B$33:$G$40,3,FALSE))</f>
        <v/>
      </c>
      <c r="X442" t="str">
        <f>T(VLOOKUP(Tab_Calculs[[#This Row],[Compteur]],Site!$B$33:$G$40,4,FALSE))</f>
        <v/>
      </c>
      <c r="Y442" t="str">
        <f>T(VLOOKUP(Tab_Calculs[[#This Row],[Compteur]],Site!$B$33:$G$40,5,FALSE))</f>
        <v/>
      </c>
      <c r="Z442" t="str">
        <f>T(VLOOKUP(Tab_Calculs[[#This Row],[Compteur]],Site!$B$33:$G$40,6,FALSE))</f>
        <v/>
      </c>
      <c r="AA442">
        <f>IFERROR(GETPIVOTDATA("DJU(chauffagiste)",BDD_DJU!$P$13,"annee",Tab_Calculs[[#This Row],[ANNEE]],"mois_numero",Tab_Calculs[[#This Row],[MOIS]]),0)</f>
        <v>281.3</v>
      </c>
    </row>
    <row r="443" spans="1:27" x14ac:dyDescent="0.25">
      <c r="A443" s="3">
        <f>DATE(Tab_Calculs[[#This Row],[ANNEE]],Tab_Calculs[[#This Row],[MOIS]],1)</f>
        <v>41699</v>
      </c>
      <c r="B443" s="3">
        <f>EDATE(Tab_Calculs[[#This Row],[Début mois]],1)-1</f>
        <v>41729</v>
      </c>
      <c r="C443">
        <v>3</v>
      </c>
      <c r="D443">
        <v>2014</v>
      </c>
      <c r="E443" t="s">
        <v>82</v>
      </c>
      <c r="F443" t="str">
        <f>SUBSTITUTE(Tab_Calculs[[#This Row],[Compteur]]," ","_")</f>
        <v>Compteur_3</v>
      </c>
      <c r="G443" t="str">
        <f>T(INDEX(Site!$B$33:$G$40, MATCH(Tab_Calculs[[#This Row],[Compteur]], Site!$B$33:$B$40,0),2))</f>
        <v/>
      </c>
      <c r="H443" s="3">
        <f t="array" aca="1" ref="H443" ca="1">MIN(IF(INDIRECT(CONCATENATE(Tab_Calculs[[#This Row],[Colonne1]],"!$B$2:$B$243"))&gt;=Calculs_Consos!$A443,INDIRECT(CONCATENATE(Tab_Calculs[[#This Row],[Colonne1]],"!$B$2:$B$243"))))</f>
        <v>0</v>
      </c>
      <c r="I443" s="3">
        <f ca="1">INDEX(INDIRECT(CONCATENATE("Tab_",Tab_Calculs[[#This Row],[Colonne1]])),Tab_Calculs[[#This Row],[index_date_livraison]],1)</f>
        <v>0</v>
      </c>
      <c r="J443">
        <f ca="1">MATCH(Tab_Calculs[[#This Row],[Date_livraison]],INDIRECT(CONCATENATE("Tab_",Tab_Calculs[[#This Row],[Colonne1]],"[Fin de période]")),0)</f>
        <v>1</v>
      </c>
      <c r="K443" t="e">
        <f ca="1">INDEX(INDIRECT(CONCATENATE("Tab_",Tab_Calculs[[#This Row],[Colonne1]])),Tab_Calculs[[#This Row],[index_date_livraison]]-1,6)*(MAX(Tab_Calculs[[#This Row],[Début periode livraison]],Tab_Calculs[[#This Row],[Début mois]])-Tab_Calculs[[#This Row],[Début mois]])</f>
        <v>#VALUE!</v>
      </c>
      <c r="L443" s="94">
        <f ca="1">INDEX(INDIRECT(CONCATENATE("Tab_",Tab_Calculs[[#This Row],[Colonne1]])),Tab_Calculs[[#This Row],[index_date_livraison]],6)*(1+MIN(Tab_Calculs[[#This Row],[Date_livraison]],Tab_Calculs[[#This Row],[fin mois]])-MAX(Tab_Calculs[[#This Row],[Début mois]],Tab_Calculs[[#This Row],[Début periode livraison]]))</f>
        <v>0</v>
      </c>
      <c r="M443" s="94" t="e">
        <f ca="1">INDEX(INDIRECT(CONCATENATE("Tab_",Tab_Calculs[[#This Row],[Colonne1]])),Tab_Calculs[[#This Row],[index_date_livraison]]+1,6)*(Tab_Calculs[[#This Row],[fin mois]]-MIN(Tab_Calculs[[#This Row],[fin mois]],Tab_Calculs[[#This Row],[Date_livraison]]))</f>
        <v>#VALUE!</v>
      </c>
      <c r="N443" s="231" t="str">
        <f ca="1">IFERROR(Tab_Calculs[[#This Row],[Ratio_jour_après_livr]]+Tab_Calculs[[#This Row],[Ratio_jour_avant_livr]]+Tab_Calculs[[#This Row],[ratio_avant_debut]],"")</f>
        <v/>
      </c>
      <c r="O443" t="e">
        <f ca="1">INDEX(INDIRECT(CONCATENATE("Tab_",Tab_Calculs[[#This Row],[Colonne1]])),Tab_Calculs[[#This Row],[index_date_livraison]]-1,7)*(MAX(Tab_Calculs[[#This Row],[Début periode livraison]],Tab_Calculs[[#This Row],[Début mois]])-Tab_Calculs[[#This Row],[Début mois]])</f>
        <v>#VALUE!</v>
      </c>
      <c r="P443">
        <f ca="1">INDEX(INDIRECT(CONCATENATE("Tab_",Tab_Calculs[[#This Row],[Colonne1]])),Tab_Calculs[[#This Row],[index_date_livraison]],7)*(1+MIN(Tab_Calculs[[#This Row],[Date_livraison]],Tab_Calculs[[#This Row],[fin mois]])-MAX(Tab_Calculs[[#This Row],[Début mois]],Tab_Calculs[[#This Row],[Début periode livraison]]))</f>
        <v>0</v>
      </c>
      <c r="Q443" t="e">
        <f ca="1">INDEX(INDIRECT(CONCATENATE("Tab_",Tab_Calculs[[#This Row],[Colonne1]])),Tab_Calculs[[#This Row],[index_date_livraison]]+1,7)*(Tab_Calculs[[#This Row],[fin mois]]-MIN(Tab_Calculs[[#This Row],[fin mois]],Tab_Calculs[[#This Row],[Date_livraison]]))</f>
        <v>#VALUE!</v>
      </c>
      <c r="R443" t="e">
        <f ca="1">Tab_Calculs[[#This Row],[Ratio_Cout_après_livr]]+Tab_Calculs[[#This Row],[Ratio_Cout_avant_livr]]+Tab_Calculs[[#This Row],[Ratio_Cout_avant_debut]]</f>
        <v>#VALUE!</v>
      </c>
      <c r="S443" t="str">
        <f ca="1">IFERROR(N443*VLOOKUP(Tab_Calculs[[#This Row],[Colonne1]],Controle_des_données!$B$7:$G$14,6,FALSE),"")</f>
        <v/>
      </c>
      <c r="T443" t="str">
        <f ca="1">IF(Tab_Calculs[[#This Row],[Combustible ]]="Electricité (kWh)",Tab_Calculs[[#This Row],[Conso_mois_kWh]]*2.3,Tab_Calculs[[#This Row],[Conso_mois_kWh]])</f>
        <v/>
      </c>
      <c r="U443" t="str">
        <f ca="1">IFERROR(N443*VLOOKUP(Tab_Calculs[[#This Row],[Colonne1]],Controle_des_données!$B$7:$H$14,7,FALSE),"")</f>
        <v/>
      </c>
      <c r="V443">
        <f ca="1">IFERROR(Tab_Calculs[[#This Row],[Cout_mois]]/Tab_Calculs[[#This Row],[Conso_mois_kWh]],0)</f>
        <v>0</v>
      </c>
      <c r="W443" t="str">
        <f>T(VLOOKUP(Tab_Calculs[[#This Row],[Compteur]],Site!$B$33:$G$40,3,FALSE))</f>
        <v/>
      </c>
      <c r="X443" t="str">
        <f>T(VLOOKUP(Tab_Calculs[[#This Row],[Compteur]],Site!$B$33:$G$40,4,FALSE))</f>
        <v/>
      </c>
      <c r="Y443" t="str">
        <f>T(VLOOKUP(Tab_Calculs[[#This Row],[Compteur]],Site!$B$33:$G$40,5,FALSE))</f>
        <v/>
      </c>
      <c r="Z443" t="str">
        <f>T(VLOOKUP(Tab_Calculs[[#This Row],[Compteur]],Site!$B$33:$G$40,6,FALSE))</f>
        <v/>
      </c>
      <c r="AA443">
        <f>IFERROR(GETPIVOTDATA("DJU(chauffagiste)",BDD_DJU!$P$13,"annee",Tab_Calculs[[#This Row],[ANNEE]],"mois_numero",Tab_Calculs[[#This Row],[MOIS]]),0)</f>
        <v>263.89999999999998</v>
      </c>
    </row>
    <row r="444" spans="1:27" x14ac:dyDescent="0.25">
      <c r="A444" s="3">
        <f>DATE(Tab_Calculs[[#This Row],[ANNEE]],Tab_Calculs[[#This Row],[MOIS]],1)</f>
        <v>41730</v>
      </c>
      <c r="B444" s="3">
        <f>EDATE(Tab_Calculs[[#This Row],[Début mois]],1)-1</f>
        <v>41759</v>
      </c>
      <c r="C444">
        <v>4</v>
      </c>
      <c r="D444">
        <v>2014</v>
      </c>
      <c r="E444" t="s">
        <v>82</v>
      </c>
      <c r="F444" t="str">
        <f>SUBSTITUTE(Tab_Calculs[[#This Row],[Compteur]]," ","_")</f>
        <v>Compteur_3</v>
      </c>
      <c r="G444" t="str">
        <f>T(INDEX(Site!$B$33:$G$40, MATCH(Tab_Calculs[[#This Row],[Compteur]], Site!$B$33:$B$40,0),2))</f>
        <v/>
      </c>
      <c r="H444" s="3">
        <f t="array" aca="1" ref="H444" ca="1">MIN(IF(INDIRECT(CONCATENATE(Tab_Calculs[[#This Row],[Colonne1]],"!$B$2:$B$243"))&gt;=Calculs_Consos!$A444,INDIRECT(CONCATENATE(Tab_Calculs[[#This Row],[Colonne1]],"!$B$2:$B$243"))))</f>
        <v>0</v>
      </c>
      <c r="I444" s="3">
        <f ca="1">INDEX(INDIRECT(CONCATENATE("Tab_",Tab_Calculs[[#This Row],[Colonne1]])),Tab_Calculs[[#This Row],[index_date_livraison]],1)</f>
        <v>0</v>
      </c>
      <c r="J444">
        <f ca="1">MATCH(Tab_Calculs[[#This Row],[Date_livraison]],INDIRECT(CONCATENATE("Tab_",Tab_Calculs[[#This Row],[Colonne1]],"[Fin de période]")),0)</f>
        <v>1</v>
      </c>
      <c r="K444" t="e">
        <f ca="1">INDEX(INDIRECT(CONCATENATE("Tab_",Tab_Calculs[[#This Row],[Colonne1]])),Tab_Calculs[[#This Row],[index_date_livraison]]-1,6)*(MAX(Tab_Calculs[[#This Row],[Début periode livraison]],Tab_Calculs[[#This Row],[Début mois]])-Tab_Calculs[[#This Row],[Début mois]])</f>
        <v>#VALUE!</v>
      </c>
      <c r="L444" s="94">
        <f ca="1">INDEX(INDIRECT(CONCATENATE("Tab_",Tab_Calculs[[#This Row],[Colonne1]])),Tab_Calculs[[#This Row],[index_date_livraison]],6)*(1+MIN(Tab_Calculs[[#This Row],[Date_livraison]],Tab_Calculs[[#This Row],[fin mois]])-MAX(Tab_Calculs[[#This Row],[Début mois]],Tab_Calculs[[#This Row],[Début periode livraison]]))</f>
        <v>0</v>
      </c>
      <c r="M444" s="94" t="e">
        <f ca="1">INDEX(INDIRECT(CONCATENATE("Tab_",Tab_Calculs[[#This Row],[Colonne1]])),Tab_Calculs[[#This Row],[index_date_livraison]]+1,6)*(Tab_Calculs[[#This Row],[fin mois]]-MIN(Tab_Calculs[[#This Row],[fin mois]],Tab_Calculs[[#This Row],[Date_livraison]]))</f>
        <v>#VALUE!</v>
      </c>
      <c r="N444" s="231" t="str">
        <f ca="1">IFERROR(Tab_Calculs[[#This Row],[Ratio_jour_après_livr]]+Tab_Calculs[[#This Row],[Ratio_jour_avant_livr]]+Tab_Calculs[[#This Row],[ratio_avant_debut]],"")</f>
        <v/>
      </c>
      <c r="O444" t="e">
        <f ca="1">INDEX(INDIRECT(CONCATENATE("Tab_",Tab_Calculs[[#This Row],[Colonne1]])),Tab_Calculs[[#This Row],[index_date_livraison]]-1,7)*(MAX(Tab_Calculs[[#This Row],[Début periode livraison]],Tab_Calculs[[#This Row],[Début mois]])-Tab_Calculs[[#This Row],[Début mois]])</f>
        <v>#VALUE!</v>
      </c>
      <c r="P444">
        <f ca="1">INDEX(INDIRECT(CONCATENATE("Tab_",Tab_Calculs[[#This Row],[Colonne1]])),Tab_Calculs[[#This Row],[index_date_livraison]],7)*(1+MIN(Tab_Calculs[[#This Row],[Date_livraison]],Tab_Calculs[[#This Row],[fin mois]])-MAX(Tab_Calculs[[#This Row],[Début mois]],Tab_Calculs[[#This Row],[Début periode livraison]]))</f>
        <v>0</v>
      </c>
      <c r="Q444" t="e">
        <f ca="1">INDEX(INDIRECT(CONCATENATE("Tab_",Tab_Calculs[[#This Row],[Colonne1]])),Tab_Calculs[[#This Row],[index_date_livraison]]+1,7)*(Tab_Calculs[[#This Row],[fin mois]]-MIN(Tab_Calculs[[#This Row],[fin mois]],Tab_Calculs[[#This Row],[Date_livraison]]))</f>
        <v>#VALUE!</v>
      </c>
      <c r="R444" t="e">
        <f ca="1">Tab_Calculs[[#This Row],[Ratio_Cout_après_livr]]+Tab_Calculs[[#This Row],[Ratio_Cout_avant_livr]]+Tab_Calculs[[#This Row],[Ratio_Cout_avant_debut]]</f>
        <v>#VALUE!</v>
      </c>
      <c r="S444" t="str">
        <f ca="1">IFERROR(N444*VLOOKUP(Tab_Calculs[[#This Row],[Colonne1]],Controle_des_données!$B$7:$G$14,6,FALSE),"")</f>
        <v/>
      </c>
      <c r="T444" t="str">
        <f ca="1">IF(Tab_Calculs[[#This Row],[Combustible ]]="Electricité (kWh)",Tab_Calculs[[#This Row],[Conso_mois_kWh]]*2.3,Tab_Calculs[[#This Row],[Conso_mois_kWh]])</f>
        <v/>
      </c>
      <c r="U444" t="str">
        <f ca="1">IFERROR(N444*VLOOKUP(Tab_Calculs[[#This Row],[Colonne1]],Controle_des_données!$B$7:$H$14,7,FALSE),"")</f>
        <v/>
      </c>
      <c r="V444">
        <f ca="1">IFERROR(Tab_Calculs[[#This Row],[Cout_mois]]/Tab_Calculs[[#This Row],[Conso_mois_kWh]],0)</f>
        <v>0</v>
      </c>
      <c r="W444" t="str">
        <f>T(VLOOKUP(Tab_Calculs[[#This Row],[Compteur]],Site!$B$33:$G$40,3,FALSE))</f>
        <v/>
      </c>
      <c r="X444" t="str">
        <f>T(VLOOKUP(Tab_Calculs[[#This Row],[Compteur]],Site!$B$33:$G$40,4,FALSE))</f>
        <v/>
      </c>
      <c r="Y444" t="str">
        <f>T(VLOOKUP(Tab_Calculs[[#This Row],[Compteur]],Site!$B$33:$G$40,5,FALSE))</f>
        <v/>
      </c>
      <c r="Z444" t="str">
        <f>T(VLOOKUP(Tab_Calculs[[#This Row],[Compteur]],Site!$B$33:$G$40,6,FALSE))</f>
        <v/>
      </c>
      <c r="AA444">
        <f>IFERROR(GETPIVOTDATA("DJU(chauffagiste)",BDD_DJU!$P$13,"annee",Tab_Calculs[[#This Row],[ANNEE]],"mois_numero",Tab_Calculs[[#This Row],[MOIS]]),0)</f>
        <v>174.2</v>
      </c>
    </row>
    <row r="445" spans="1:27" x14ac:dyDescent="0.25">
      <c r="A445" s="3">
        <f>DATE(Tab_Calculs[[#This Row],[ANNEE]],Tab_Calculs[[#This Row],[MOIS]],1)</f>
        <v>41760</v>
      </c>
      <c r="B445" s="3">
        <f>EDATE(Tab_Calculs[[#This Row],[Début mois]],1)-1</f>
        <v>41790</v>
      </c>
      <c r="C445">
        <v>5</v>
      </c>
      <c r="D445">
        <v>2014</v>
      </c>
      <c r="E445" t="s">
        <v>82</v>
      </c>
      <c r="F445" t="str">
        <f>SUBSTITUTE(Tab_Calculs[[#This Row],[Compteur]]," ","_")</f>
        <v>Compteur_3</v>
      </c>
      <c r="G445" t="str">
        <f>T(INDEX(Site!$B$33:$G$40, MATCH(Tab_Calculs[[#This Row],[Compteur]], Site!$B$33:$B$40,0),2))</f>
        <v/>
      </c>
      <c r="H445" s="3">
        <f t="array" aca="1" ref="H445" ca="1">MIN(IF(INDIRECT(CONCATENATE(Tab_Calculs[[#This Row],[Colonne1]],"!$B$2:$B$243"))&gt;=Calculs_Consos!$A445,INDIRECT(CONCATENATE(Tab_Calculs[[#This Row],[Colonne1]],"!$B$2:$B$243"))))</f>
        <v>0</v>
      </c>
      <c r="I445" s="3">
        <f ca="1">INDEX(INDIRECT(CONCATENATE("Tab_",Tab_Calculs[[#This Row],[Colonne1]])),Tab_Calculs[[#This Row],[index_date_livraison]],1)</f>
        <v>0</v>
      </c>
      <c r="J445">
        <f ca="1">MATCH(Tab_Calculs[[#This Row],[Date_livraison]],INDIRECT(CONCATENATE("Tab_",Tab_Calculs[[#This Row],[Colonne1]],"[Fin de période]")),0)</f>
        <v>1</v>
      </c>
      <c r="K445" t="e">
        <f ca="1">INDEX(INDIRECT(CONCATENATE("Tab_",Tab_Calculs[[#This Row],[Colonne1]])),Tab_Calculs[[#This Row],[index_date_livraison]]-1,6)*(MAX(Tab_Calculs[[#This Row],[Début periode livraison]],Tab_Calculs[[#This Row],[Début mois]])-Tab_Calculs[[#This Row],[Début mois]])</f>
        <v>#VALUE!</v>
      </c>
      <c r="L445" s="94">
        <f ca="1">INDEX(INDIRECT(CONCATENATE("Tab_",Tab_Calculs[[#This Row],[Colonne1]])),Tab_Calculs[[#This Row],[index_date_livraison]],6)*(1+MIN(Tab_Calculs[[#This Row],[Date_livraison]],Tab_Calculs[[#This Row],[fin mois]])-MAX(Tab_Calculs[[#This Row],[Début mois]],Tab_Calculs[[#This Row],[Début periode livraison]]))</f>
        <v>0</v>
      </c>
      <c r="M445" s="94" t="e">
        <f ca="1">INDEX(INDIRECT(CONCATENATE("Tab_",Tab_Calculs[[#This Row],[Colonne1]])),Tab_Calculs[[#This Row],[index_date_livraison]]+1,6)*(Tab_Calculs[[#This Row],[fin mois]]-MIN(Tab_Calculs[[#This Row],[fin mois]],Tab_Calculs[[#This Row],[Date_livraison]]))</f>
        <v>#VALUE!</v>
      </c>
      <c r="N445" s="231" t="str">
        <f ca="1">IFERROR(Tab_Calculs[[#This Row],[Ratio_jour_après_livr]]+Tab_Calculs[[#This Row],[Ratio_jour_avant_livr]]+Tab_Calculs[[#This Row],[ratio_avant_debut]],"")</f>
        <v/>
      </c>
      <c r="O445" t="e">
        <f ca="1">INDEX(INDIRECT(CONCATENATE("Tab_",Tab_Calculs[[#This Row],[Colonne1]])),Tab_Calculs[[#This Row],[index_date_livraison]]-1,7)*(MAX(Tab_Calculs[[#This Row],[Début periode livraison]],Tab_Calculs[[#This Row],[Début mois]])-Tab_Calculs[[#This Row],[Début mois]])</f>
        <v>#VALUE!</v>
      </c>
      <c r="P445">
        <f ca="1">INDEX(INDIRECT(CONCATENATE("Tab_",Tab_Calculs[[#This Row],[Colonne1]])),Tab_Calculs[[#This Row],[index_date_livraison]],7)*(1+MIN(Tab_Calculs[[#This Row],[Date_livraison]],Tab_Calculs[[#This Row],[fin mois]])-MAX(Tab_Calculs[[#This Row],[Début mois]],Tab_Calculs[[#This Row],[Début periode livraison]]))</f>
        <v>0</v>
      </c>
      <c r="Q445" t="e">
        <f ca="1">INDEX(INDIRECT(CONCATENATE("Tab_",Tab_Calculs[[#This Row],[Colonne1]])),Tab_Calculs[[#This Row],[index_date_livraison]]+1,7)*(Tab_Calculs[[#This Row],[fin mois]]-MIN(Tab_Calculs[[#This Row],[fin mois]],Tab_Calculs[[#This Row],[Date_livraison]]))</f>
        <v>#VALUE!</v>
      </c>
      <c r="R445" t="e">
        <f ca="1">Tab_Calculs[[#This Row],[Ratio_Cout_après_livr]]+Tab_Calculs[[#This Row],[Ratio_Cout_avant_livr]]+Tab_Calculs[[#This Row],[Ratio_Cout_avant_debut]]</f>
        <v>#VALUE!</v>
      </c>
      <c r="S445" t="str">
        <f ca="1">IFERROR(N445*VLOOKUP(Tab_Calculs[[#This Row],[Colonne1]],Controle_des_données!$B$7:$G$14,6,FALSE),"")</f>
        <v/>
      </c>
      <c r="T445" t="str">
        <f ca="1">IF(Tab_Calculs[[#This Row],[Combustible ]]="Electricité (kWh)",Tab_Calculs[[#This Row],[Conso_mois_kWh]]*2.3,Tab_Calculs[[#This Row],[Conso_mois_kWh]])</f>
        <v/>
      </c>
      <c r="U445" t="str">
        <f ca="1">IFERROR(N445*VLOOKUP(Tab_Calculs[[#This Row],[Colonne1]],Controle_des_données!$B$7:$H$14,7,FALSE),"")</f>
        <v/>
      </c>
      <c r="V445">
        <f ca="1">IFERROR(Tab_Calculs[[#This Row],[Cout_mois]]/Tab_Calculs[[#This Row],[Conso_mois_kWh]],0)</f>
        <v>0</v>
      </c>
      <c r="W445" t="str">
        <f>T(VLOOKUP(Tab_Calculs[[#This Row],[Compteur]],Site!$B$33:$G$40,3,FALSE))</f>
        <v/>
      </c>
      <c r="X445" t="str">
        <f>T(VLOOKUP(Tab_Calculs[[#This Row],[Compteur]],Site!$B$33:$G$40,4,FALSE))</f>
        <v/>
      </c>
      <c r="Y445" t="str">
        <f>T(VLOOKUP(Tab_Calculs[[#This Row],[Compteur]],Site!$B$33:$G$40,5,FALSE))</f>
        <v/>
      </c>
      <c r="Z445" t="str">
        <f>T(VLOOKUP(Tab_Calculs[[#This Row],[Compteur]],Site!$B$33:$G$40,6,FALSE))</f>
        <v/>
      </c>
      <c r="AA445">
        <f>IFERROR(GETPIVOTDATA("DJU(chauffagiste)",BDD_DJU!$P$13,"annee",Tab_Calculs[[#This Row],[ANNEE]],"mois_numero",Tab_Calculs[[#This Row],[MOIS]]),0)</f>
        <v>134.5</v>
      </c>
    </row>
    <row r="446" spans="1:27" x14ac:dyDescent="0.25">
      <c r="A446" s="3">
        <f>DATE(Tab_Calculs[[#This Row],[ANNEE]],Tab_Calculs[[#This Row],[MOIS]],1)</f>
        <v>41791</v>
      </c>
      <c r="B446" s="3">
        <f>EDATE(Tab_Calculs[[#This Row],[Début mois]],1)-1</f>
        <v>41820</v>
      </c>
      <c r="C446">
        <v>6</v>
      </c>
      <c r="D446">
        <v>2014</v>
      </c>
      <c r="E446" t="s">
        <v>82</v>
      </c>
      <c r="F446" t="str">
        <f>SUBSTITUTE(Tab_Calculs[[#This Row],[Compteur]]," ","_")</f>
        <v>Compteur_3</v>
      </c>
      <c r="G446" t="str">
        <f>T(INDEX(Site!$B$33:$G$40, MATCH(Tab_Calculs[[#This Row],[Compteur]], Site!$B$33:$B$40,0),2))</f>
        <v/>
      </c>
      <c r="H446" s="3">
        <f t="array" aca="1" ref="H446" ca="1">MIN(IF(INDIRECT(CONCATENATE(Tab_Calculs[[#This Row],[Colonne1]],"!$B$2:$B$243"))&gt;=Calculs_Consos!$A446,INDIRECT(CONCATENATE(Tab_Calculs[[#This Row],[Colonne1]],"!$B$2:$B$243"))))</f>
        <v>0</v>
      </c>
      <c r="I446" s="3">
        <f ca="1">INDEX(INDIRECT(CONCATENATE("Tab_",Tab_Calculs[[#This Row],[Colonne1]])),Tab_Calculs[[#This Row],[index_date_livraison]],1)</f>
        <v>0</v>
      </c>
      <c r="J446">
        <f ca="1">MATCH(Tab_Calculs[[#This Row],[Date_livraison]],INDIRECT(CONCATENATE("Tab_",Tab_Calculs[[#This Row],[Colonne1]],"[Fin de période]")),0)</f>
        <v>1</v>
      </c>
      <c r="K446" t="e">
        <f ca="1">INDEX(INDIRECT(CONCATENATE("Tab_",Tab_Calculs[[#This Row],[Colonne1]])),Tab_Calculs[[#This Row],[index_date_livraison]]-1,6)*(MAX(Tab_Calculs[[#This Row],[Début periode livraison]],Tab_Calculs[[#This Row],[Début mois]])-Tab_Calculs[[#This Row],[Début mois]])</f>
        <v>#VALUE!</v>
      </c>
      <c r="L446" s="94">
        <f ca="1">INDEX(INDIRECT(CONCATENATE("Tab_",Tab_Calculs[[#This Row],[Colonne1]])),Tab_Calculs[[#This Row],[index_date_livraison]],6)*(1+MIN(Tab_Calculs[[#This Row],[Date_livraison]],Tab_Calculs[[#This Row],[fin mois]])-MAX(Tab_Calculs[[#This Row],[Début mois]],Tab_Calculs[[#This Row],[Début periode livraison]]))</f>
        <v>0</v>
      </c>
      <c r="M446" s="94" t="e">
        <f ca="1">INDEX(INDIRECT(CONCATENATE("Tab_",Tab_Calculs[[#This Row],[Colonne1]])),Tab_Calculs[[#This Row],[index_date_livraison]]+1,6)*(Tab_Calculs[[#This Row],[fin mois]]-MIN(Tab_Calculs[[#This Row],[fin mois]],Tab_Calculs[[#This Row],[Date_livraison]]))</f>
        <v>#VALUE!</v>
      </c>
      <c r="N446" s="231" t="str">
        <f ca="1">IFERROR(Tab_Calculs[[#This Row],[Ratio_jour_après_livr]]+Tab_Calculs[[#This Row],[Ratio_jour_avant_livr]]+Tab_Calculs[[#This Row],[ratio_avant_debut]],"")</f>
        <v/>
      </c>
      <c r="O446" t="e">
        <f ca="1">INDEX(INDIRECT(CONCATENATE("Tab_",Tab_Calculs[[#This Row],[Colonne1]])),Tab_Calculs[[#This Row],[index_date_livraison]]-1,7)*(MAX(Tab_Calculs[[#This Row],[Début periode livraison]],Tab_Calculs[[#This Row],[Début mois]])-Tab_Calculs[[#This Row],[Début mois]])</f>
        <v>#VALUE!</v>
      </c>
      <c r="P446">
        <f ca="1">INDEX(INDIRECT(CONCATENATE("Tab_",Tab_Calculs[[#This Row],[Colonne1]])),Tab_Calculs[[#This Row],[index_date_livraison]],7)*(1+MIN(Tab_Calculs[[#This Row],[Date_livraison]],Tab_Calculs[[#This Row],[fin mois]])-MAX(Tab_Calculs[[#This Row],[Début mois]],Tab_Calculs[[#This Row],[Début periode livraison]]))</f>
        <v>0</v>
      </c>
      <c r="Q446" t="e">
        <f ca="1">INDEX(INDIRECT(CONCATENATE("Tab_",Tab_Calculs[[#This Row],[Colonne1]])),Tab_Calculs[[#This Row],[index_date_livraison]]+1,7)*(Tab_Calculs[[#This Row],[fin mois]]-MIN(Tab_Calculs[[#This Row],[fin mois]],Tab_Calculs[[#This Row],[Date_livraison]]))</f>
        <v>#VALUE!</v>
      </c>
      <c r="R446" t="e">
        <f ca="1">Tab_Calculs[[#This Row],[Ratio_Cout_après_livr]]+Tab_Calculs[[#This Row],[Ratio_Cout_avant_livr]]+Tab_Calculs[[#This Row],[Ratio_Cout_avant_debut]]</f>
        <v>#VALUE!</v>
      </c>
      <c r="S446" t="str">
        <f ca="1">IFERROR(N446*VLOOKUP(Tab_Calculs[[#This Row],[Colonne1]],Controle_des_données!$B$7:$G$14,6,FALSE),"")</f>
        <v/>
      </c>
      <c r="T446" t="str">
        <f ca="1">IF(Tab_Calculs[[#This Row],[Combustible ]]="Electricité (kWh)",Tab_Calculs[[#This Row],[Conso_mois_kWh]]*2.3,Tab_Calculs[[#This Row],[Conso_mois_kWh]])</f>
        <v/>
      </c>
      <c r="U446" t="str">
        <f ca="1">IFERROR(N446*VLOOKUP(Tab_Calculs[[#This Row],[Colonne1]],Controle_des_données!$B$7:$H$14,7,FALSE),"")</f>
        <v/>
      </c>
      <c r="V446">
        <f ca="1">IFERROR(Tab_Calculs[[#This Row],[Cout_mois]]/Tab_Calculs[[#This Row],[Conso_mois_kWh]],0)</f>
        <v>0</v>
      </c>
      <c r="W446" t="str">
        <f>T(VLOOKUP(Tab_Calculs[[#This Row],[Compteur]],Site!$B$33:$G$40,3,FALSE))</f>
        <v/>
      </c>
      <c r="X446" t="str">
        <f>T(VLOOKUP(Tab_Calculs[[#This Row],[Compteur]],Site!$B$33:$G$40,4,FALSE))</f>
        <v/>
      </c>
      <c r="Y446" t="str">
        <f>T(VLOOKUP(Tab_Calculs[[#This Row],[Compteur]],Site!$B$33:$G$40,5,FALSE))</f>
        <v/>
      </c>
      <c r="Z446" t="str">
        <f>T(VLOOKUP(Tab_Calculs[[#This Row],[Compteur]],Site!$B$33:$G$40,6,FALSE))</f>
        <v/>
      </c>
      <c r="AA446">
        <f>IFERROR(GETPIVOTDATA("DJU(chauffagiste)",BDD_DJU!$P$13,"annee",Tab_Calculs[[#This Row],[ANNEE]],"mois_numero",Tab_Calculs[[#This Row],[MOIS]]),0)</f>
        <v>48.5</v>
      </c>
    </row>
    <row r="447" spans="1:27" x14ac:dyDescent="0.25">
      <c r="A447" s="3">
        <f>DATE(Tab_Calculs[[#This Row],[ANNEE]],Tab_Calculs[[#This Row],[MOIS]],1)</f>
        <v>41821</v>
      </c>
      <c r="B447" s="3">
        <f>EDATE(Tab_Calculs[[#This Row],[Début mois]],1)-1</f>
        <v>41851</v>
      </c>
      <c r="C447">
        <v>7</v>
      </c>
      <c r="D447">
        <v>2014</v>
      </c>
      <c r="E447" t="s">
        <v>82</v>
      </c>
      <c r="F447" t="str">
        <f>SUBSTITUTE(Tab_Calculs[[#This Row],[Compteur]]," ","_")</f>
        <v>Compteur_3</v>
      </c>
      <c r="G447" t="str">
        <f>T(INDEX(Site!$B$33:$G$40, MATCH(Tab_Calculs[[#This Row],[Compteur]], Site!$B$33:$B$40,0),2))</f>
        <v/>
      </c>
      <c r="H447" s="3">
        <f t="array" aca="1" ref="H447" ca="1">MIN(IF(INDIRECT(CONCATENATE(Tab_Calculs[[#This Row],[Colonne1]],"!$B$2:$B$243"))&gt;=Calculs_Consos!$A447,INDIRECT(CONCATENATE(Tab_Calculs[[#This Row],[Colonne1]],"!$B$2:$B$243"))))</f>
        <v>0</v>
      </c>
      <c r="I447" s="3">
        <f ca="1">INDEX(INDIRECT(CONCATENATE("Tab_",Tab_Calculs[[#This Row],[Colonne1]])),Tab_Calculs[[#This Row],[index_date_livraison]],1)</f>
        <v>0</v>
      </c>
      <c r="J447">
        <f ca="1">MATCH(Tab_Calculs[[#This Row],[Date_livraison]],INDIRECT(CONCATENATE("Tab_",Tab_Calculs[[#This Row],[Colonne1]],"[Fin de période]")),0)</f>
        <v>1</v>
      </c>
      <c r="K447" t="e">
        <f ca="1">INDEX(INDIRECT(CONCATENATE("Tab_",Tab_Calculs[[#This Row],[Colonne1]])),Tab_Calculs[[#This Row],[index_date_livraison]]-1,6)*(MAX(Tab_Calculs[[#This Row],[Début periode livraison]],Tab_Calculs[[#This Row],[Début mois]])-Tab_Calculs[[#This Row],[Début mois]])</f>
        <v>#VALUE!</v>
      </c>
      <c r="L447" s="94">
        <f ca="1">INDEX(INDIRECT(CONCATENATE("Tab_",Tab_Calculs[[#This Row],[Colonne1]])),Tab_Calculs[[#This Row],[index_date_livraison]],6)*(1+MIN(Tab_Calculs[[#This Row],[Date_livraison]],Tab_Calculs[[#This Row],[fin mois]])-MAX(Tab_Calculs[[#This Row],[Début mois]],Tab_Calculs[[#This Row],[Début periode livraison]]))</f>
        <v>0</v>
      </c>
      <c r="M447" s="94" t="e">
        <f ca="1">INDEX(INDIRECT(CONCATENATE("Tab_",Tab_Calculs[[#This Row],[Colonne1]])),Tab_Calculs[[#This Row],[index_date_livraison]]+1,6)*(Tab_Calculs[[#This Row],[fin mois]]-MIN(Tab_Calculs[[#This Row],[fin mois]],Tab_Calculs[[#This Row],[Date_livraison]]))</f>
        <v>#VALUE!</v>
      </c>
      <c r="N447" s="231" t="str">
        <f ca="1">IFERROR(Tab_Calculs[[#This Row],[Ratio_jour_après_livr]]+Tab_Calculs[[#This Row],[Ratio_jour_avant_livr]]+Tab_Calculs[[#This Row],[ratio_avant_debut]],"")</f>
        <v/>
      </c>
      <c r="O447" t="e">
        <f ca="1">INDEX(INDIRECT(CONCATENATE("Tab_",Tab_Calculs[[#This Row],[Colonne1]])),Tab_Calculs[[#This Row],[index_date_livraison]]-1,7)*(MAX(Tab_Calculs[[#This Row],[Début periode livraison]],Tab_Calculs[[#This Row],[Début mois]])-Tab_Calculs[[#This Row],[Début mois]])</f>
        <v>#VALUE!</v>
      </c>
      <c r="P447">
        <f ca="1">INDEX(INDIRECT(CONCATENATE("Tab_",Tab_Calculs[[#This Row],[Colonne1]])),Tab_Calculs[[#This Row],[index_date_livraison]],7)*(1+MIN(Tab_Calculs[[#This Row],[Date_livraison]],Tab_Calculs[[#This Row],[fin mois]])-MAX(Tab_Calculs[[#This Row],[Début mois]],Tab_Calculs[[#This Row],[Début periode livraison]]))</f>
        <v>0</v>
      </c>
      <c r="Q447" t="e">
        <f ca="1">INDEX(INDIRECT(CONCATENATE("Tab_",Tab_Calculs[[#This Row],[Colonne1]])),Tab_Calculs[[#This Row],[index_date_livraison]]+1,7)*(Tab_Calculs[[#This Row],[fin mois]]-MIN(Tab_Calculs[[#This Row],[fin mois]],Tab_Calculs[[#This Row],[Date_livraison]]))</f>
        <v>#VALUE!</v>
      </c>
      <c r="R447" t="e">
        <f ca="1">Tab_Calculs[[#This Row],[Ratio_Cout_après_livr]]+Tab_Calculs[[#This Row],[Ratio_Cout_avant_livr]]+Tab_Calculs[[#This Row],[Ratio_Cout_avant_debut]]</f>
        <v>#VALUE!</v>
      </c>
      <c r="S447" t="str">
        <f ca="1">IFERROR(N447*VLOOKUP(Tab_Calculs[[#This Row],[Colonne1]],Controle_des_données!$B$7:$G$14,6,FALSE),"")</f>
        <v/>
      </c>
      <c r="T447" t="str">
        <f ca="1">IF(Tab_Calculs[[#This Row],[Combustible ]]="Electricité (kWh)",Tab_Calculs[[#This Row],[Conso_mois_kWh]]*2.3,Tab_Calculs[[#This Row],[Conso_mois_kWh]])</f>
        <v/>
      </c>
      <c r="U447" t="str">
        <f ca="1">IFERROR(N447*VLOOKUP(Tab_Calculs[[#This Row],[Colonne1]],Controle_des_données!$B$7:$H$14,7,FALSE),"")</f>
        <v/>
      </c>
      <c r="V447">
        <f ca="1">IFERROR(Tab_Calculs[[#This Row],[Cout_mois]]/Tab_Calculs[[#This Row],[Conso_mois_kWh]],0)</f>
        <v>0</v>
      </c>
      <c r="W447" t="str">
        <f>T(VLOOKUP(Tab_Calculs[[#This Row],[Compteur]],Site!$B$33:$G$40,3,FALSE))</f>
        <v/>
      </c>
      <c r="X447" t="str">
        <f>T(VLOOKUP(Tab_Calculs[[#This Row],[Compteur]],Site!$B$33:$G$40,4,FALSE))</f>
        <v/>
      </c>
      <c r="Y447" t="str">
        <f>T(VLOOKUP(Tab_Calculs[[#This Row],[Compteur]],Site!$B$33:$G$40,5,FALSE))</f>
        <v/>
      </c>
      <c r="Z447" t="str">
        <f>T(VLOOKUP(Tab_Calculs[[#This Row],[Compteur]],Site!$B$33:$G$40,6,FALSE))</f>
        <v/>
      </c>
      <c r="AA447">
        <f>IFERROR(GETPIVOTDATA("DJU(chauffagiste)",BDD_DJU!$P$13,"annee",Tab_Calculs[[#This Row],[ANNEE]],"mois_numero",Tab_Calculs[[#This Row],[MOIS]]),0)</f>
        <v>22.6</v>
      </c>
    </row>
    <row r="448" spans="1:27" x14ac:dyDescent="0.25">
      <c r="A448" s="3">
        <f>DATE(Tab_Calculs[[#This Row],[ANNEE]],Tab_Calculs[[#This Row],[MOIS]],1)</f>
        <v>41852</v>
      </c>
      <c r="B448" s="3">
        <f>EDATE(Tab_Calculs[[#This Row],[Début mois]],1)-1</f>
        <v>41882</v>
      </c>
      <c r="C448">
        <v>8</v>
      </c>
      <c r="D448">
        <v>2014</v>
      </c>
      <c r="E448" t="s">
        <v>82</v>
      </c>
      <c r="F448" t="str">
        <f>SUBSTITUTE(Tab_Calculs[[#This Row],[Compteur]]," ","_")</f>
        <v>Compteur_3</v>
      </c>
      <c r="G448" t="str">
        <f>T(INDEX(Site!$B$33:$G$40, MATCH(Tab_Calculs[[#This Row],[Compteur]], Site!$B$33:$B$40,0),2))</f>
        <v/>
      </c>
      <c r="H448" s="3">
        <f t="array" aca="1" ref="H448" ca="1">MIN(IF(INDIRECT(CONCATENATE(Tab_Calculs[[#This Row],[Colonne1]],"!$B$2:$B$243"))&gt;=Calculs_Consos!$A448,INDIRECT(CONCATENATE(Tab_Calculs[[#This Row],[Colonne1]],"!$B$2:$B$243"))))</f>
        <v>0</v>
      </c>
      <c r="I448" s="3">
        <f ca="1">INDEX(INDIRECT(CONCATENATE("Tab_",Tab_Calculs[[#This Row],[Colonne1]])),Tab_Calculs[[#This Row],[index_date_livraison]],1)</f>
        <v>0</v>
      </c>
      <c r="J448">
        <f ca="1">MATCH(Tab_Calculs[[#This Row],[Date_livraison]],INDIRECT(CONCATENATE("Tab_",Tab_Calculs[[#This Row],[Colonne1]],"[Fin de période]")),0)</f>
        <v>1</v>
      </c>
      <c r="K448" t="e">
        <f ca="1">INDEX(INDIRECT(CONCATENATE("Tab_",Tab_Calculs[[#This Row],[Colonne1]])),Tab_Calculs[[#This Row],[index_date_livraison]]-1,6)*(MAX(Tab_Calculs[[#This Row],[Début periode livraison]],Tab_Calculs[[#This Row],[Début mois]])-Tab_Calculs[[#This Row],[Début mois]])</f>
        <v>#VALUE!</v>
      </c>
      <c r="L448" s="94">
        <f ca="1">INDEX(INDIRECT(CONCATENATE("Tab_",Tab_Calculs[[#This Row],[Colonne1]])),Tab_Calculs[[#This Row],[index_date_livraison]],6)*(1+MIN(Tab_Calculs[[#This Row],[Date_livraison]],Tab_Calculs[[#This Row],[fin mois]])-MAX(Tab_Calculs[[#This Row],[Début mois]],Tab_Calculs[[#This Row],[Début periode livraison]]))</f>
        <v>0</v>
      </c>
      <c r="M448" s="94" t="e">
        <f ca="1">INDEX(INDIRECT(CONCATENATE("Tab_",Tab_Calculs[[#This Row],[Colonne1]])),Tab_Calculs[[#This Row],[index_date_livraison]]+1,6)*(Tab_Calculs[[#This Row],[fin mois]]-MIN(Tab_Calculs[[#This Row],[fin mois]],Tab_Calculs[[#This Row],[Date_livraison]]))</f>
        <v>#VALUE!</v>
      </c>
      <c r="N448" s="231" t="str">
        <f ca="1">IFERROR(Tab_Calculs[[#This Row],[Ratio_jour_après_livr]]+Tab_Calculs[[#This Row],[Ratio_jour_avant_livr]]+Tab_Calculs[[#This Row],[ratio_avant_debut]],"")</f>
        <v/>
      </c>
      <c r="O448" t="e">
        <f ca="1">INDEX(INDIRECT(CONCATENATE("Tab_",Tab_Calculs[[#This Row],[Colonne1]])),Tab_Calculs[[#This Row],[index_date_livraison]]-1,7)*(MAX(Tab_Calculs[[#This Row],[Début periode livraison]],Tab_Calculs[[#This Row],[Début mois]])-Tab_Calculs[[#This Row],[Début mois]])</f>
        <v>#VALUE!</v>
      </c>
      <c r="P448">
        <f ca="1">INDEX(INDIRECT(CONCATENATE("Tab_",Tab_Calculs[[#This Row],[Colonne1]])),Tab_Calculs[[#This Row],[index_date_livraison]],7)*(1+MIN(Tab_Calculs[[#This Row],[Date_livraison]],Tab_Calculs[[#This Row],[fin mois]])-MAX(Tab_Calculs[[#This Row],[Début mois]],Tab_Calculs[[#This Row],[Début periode livraison]]))</f>
        <v>0</v>
      </c>
      <c r="Q448" t="e">
        <f ca="1">INDEX(INDIRECT(CONCATENATE("Tab_",Tab_Calculs[[#This Row],[Colonne1]])),Tab_Calculs[[#This Row],[index_date_livraison]]+1,7)*(Tab_Calculs[[#This Row],[fin mois]]-MIN(Tab_Calculs[[#This Row],[fin mois]],Tab_Calculs[[#This Row],[Date_livraison]]))</f>
        <v>#VALUE!</v>
      </c>
      <c r="R448" t="e">
        <f ca="1">Tab_Calculs[[#This Row],[Ratio_Cout_après_livr]]+Tab_Calculs[[#This Row],[Ratio_Cout_avant_livr]]+Tab_Calculs[[#This Row],[Ratio_Cout_avant_debut]]</f>
        <v>#VALUE!</v>
      </c>
      <c r="S448" t="str">
        <f ca="1">IFERROR(N448*VLOOKUP(Tab_Calculs[[#This Row],[Colonne1]],Controle_des_données!$B$7:$G$14,6,FALSE),"")</f>
        <v/>
      </c>
      <c r="T448" t="str">
        <f ca="1">IF(Tab_Calculs[[#This Row],[Combustible ]]="Electricité (kWh)",Tab_Calculs[[#This Row],[Conso_mois_kWh]]*2.3,Tab_Calculs[[#This Row],[Conso_mois_kWh]])</f>
        <v/>
      </c>
      <c r="U448" t="str">
        <f ca="1">IFERROR(N448*VLOOKUP(Tab_Calculs[[#This Row],[Colonne1]],Controle_des_données!$B$7:$H$14,7,FALSE),"")</f>
        <v/>
      </c>
      <c r="V448">
        <f ca="1">IFERROR(Tab_Calculs[[#This Row],[Cout_mois]]/Tab_Calculs[[#This Row],[Conso_mois_kWh]],0)</f>
        <v>0</v>
      </c>
      <c r="W448" t="str">
        <f>T(VLOOKUP(Tab_Calculs[[#This Row],[Compteur]],Site!$B$33:$G$40,3,FALSE))</f>
        <v/>
      </c>
      <c r="X448" t="str">
        <f>T(VLOOKUP(Tab_Calculs[[#This Row],[Compteur]],Site!$B$33:$G$40,4,FALSE))</f>
        <v/>
      </c>
      <c r="Y448" t="str">
        <f>T(VLOOKUP(Tab_Calculs[[#This Row],[Compteur]],Site!$B$33:$G$40,5,FALSE))</f>
        <v/>
      </c>
      <c r="Z448" t="str">
        <f>T(VLOOKUP(Tab_Calculs[[#This Row],[Compteur]],Site!$B$33:$G$40,6,FALSE))</f>
        <v/>
      </c>
      <c r="AA448">
        <f>IFERROR(GETPIVOTDATA("DJU(chauffagiste)",BDD_DJU!$P$13,"annee",Tab_Calculs[[#This Row],[ANNEE]],"mois_numero",Tab_Calculs[[#This Row],[MOIS]]),0)</f>
        <v>51.9</v>
      </c>
    </row>
    <row r="449" spans="1:27" x14ac:dyDescent="0.25">
      <c r="A449" s="3">
        <f>DATE(Tab_Calculs[[#This Row],[ANNEE]],Tab_Calculs[[#This Row],[MOIS]],1)</f>
        <v>41883</v>
      </c>
      <c r="B449" s="3">
        <f>EDATE(Tab_Calculs[[#This Row],[Début mois]],1)-1</f>
        <v>41912</v>
      </c>
      <c r="C449">
        <v>9</v>
      </c>
      <c r="D449">
        <v>2014</v>
      </c>
      <c r="E449" t="s">
        <v>82</v>
      </c>
      <c r="F449" t="str">
        <f>SUBSTITUTE(Tab_Calculs[[#This Row],[Compteur]]," ","_")</f>
        <v>Compteur_3</v>
      </c>
      <c r="G449" t="str">
        <f>T(INDEX(Site!$B$33:$G$40, MATCH(Tab_Calculs[[#This Row],[Compteur]], Site!$B$33:$B$40,0),2))</f>
        <v/>
      </c>
      <c r="H449" s="3">
        <f t="array" aca="1" ref="H449" ca="1">MIN(IF(INDIRECT(CONCATENATE(Tab_Calculs[[#This Row],[Colonne1]],"!$B$2:$B$243"))&gt;=Calculs_Consos!$A449,INDIRECT(CONCATENATE(Tab_Calculs[[#This Row],[Colonne1]],"!$B$2:$B$243"))))</f>
        <v>0</v>
      </c>
      <c r="I449" s="3">
        <f ca="1">INDEX(INDIRECT(CONCATENATE("Tab_",Tab_Calculs[[#This Row],[Colonne1]])),Tab_Calculs[[#This Row],[index_date_livraison]],1)</f>
        <v>0</v>
      </c>
      <c r="J449">
        <f ca="1">MATCH(Tab_Calculs[[#This Row],[Date_livraison]],INDIRECT(CONCATENATE("Tab_",Tab_Calculs[[#This Row],[Colonne1]],"[Fin de période]")),0)</f>
        <v>1</v>
      </c>
      <c r="K449" t="e">
        <f ca="1">INDEX(INDIRECT(CONCATENATE("Tab_",Tab_Calculs[[#This Row],[Colonne1]])),Tab_Calculs[[#This Row],[index_date_livraison]]-1,6)*(MAX(Tab_Calculs[[#This Row],[Début periode livraison]],Tab_Calculs[[#This Row],[Début mois]])-Tab_Calculs[[#This Row],[Début mois]])</f>
        <v>#VALUE!</v>
      </c>
      <c r="L449" s="94">
        <f ca="1">INDEX(INDIRECT(CONCATENATE("Tab_",Tab_Calculs[[#This Row],[Colonne1]])),Tab_Calculs[[#This Row],[index_date_livraison]],6)*(1+MIN(Tab_Calculs[[#This Row],[Date_livraison]],Tab_Calculs[[#This Row],[fin mois]])-MAX(Tab_Calculs[[#This Row],[Début mois]],Tab_Calculs[[#This Row],[Début periode livraison]]))</f>
        <v>0</v>
      </c>
      <c r="M449" s="94" t="e">
        <f ca="1">INDEX(INDIRECT(CONCATENATE("Tab_",Tab_Calculs[[#This Row],[Colonne1]])),Tab_Calculs[[#This Row],[index_date_livraison]]+1,6)*(Tab_Calculs[[#This Row],[fin mois]]-MIN(Tab_Calculs[[#This Row],[fin mois]],Tab_Calculs[[#This Row],[Date_livraison]]))</f>
        <v>#VALUE!</v>
      </c>
      <c r="N449" s="231" t="str">
        <f ca="1">IFERROR(Tab_Calculs[[#This Row],[Ratio_jour_après_livr]]+Tab_Calculs[[#This Row],[Ratio_jour_avant_livr]]+Tab_Calculs[[#This Row],[ratio_avant_debut]],"")</f>
        <v/>
      </c>
      <c r="O449" t="e">
        <f ca="1">INDEX(INDIRECT(CONCATENATE("Tab_",Tab_Calculs[[#This Row],[Colonne1]])),Tab_Calculs[[#This Row],[index_date_livraison]]-1,7)*(MAX(Tab_Calculs[[#This Row],[Début periode livraison]],Tab_Calculs[[#This Row],[Début mois]])-Tab_Calculs[[#This Row],[Début mois]])</f>
        <v>#VALUE!</v>
      </c>
      <c r="P449">
        <f ca="1">INDEX(INDIRECT(CONCATENATE("Tab_",Tab_Calculs[[#This Row],[Colonne1]])),Tab_Calculs[[#This Row],[index_date_livraison]],7)*(1+MIN(Tab_Calculs[[#This Row],[Date_livraison]],Tab_Calculs[[#This Row],[fin mois]])-MAX(Tab_Calculs[[#This Row],[Début mois]],Tab_Calculs[[#This Row],[Début periode livraison]]))</f>
        <v>0</v>
      </c>
      <c r="Q449" t="e">
        <f ca="1">INDEX(INDIRECT(CONCATENATE("Tab_",Tab_Calculs[[#This Row],[Colonne1]])),Tab_Calculs[[#This Row],[index_date_livraison]]+1,7)*(Tab_Calculs[[#This Row],[fin mois]]-MIN(Tab_Calculs[[#This Row],[fin mois]],Tab_Calculs[[#This Row],[Date_livraison]]))</f>
        <v>#VALUE!</v>
      </c>
      <c r="R449" t="e">
        <f ca="1">Tab_Calculs[[#This Row],[Ratio_Cout_après_livr]]+Tab_Calculs[[#This Row],[Ratio_Cout_avant_livr]]+Tab_Calculs[[#This Row],[Ratio_Cout_avant_debut]]</f>
        <v>#VALUE!</v>
      </c>
      <c r="S449" t="str">
        <f ca="1">IFERROR(N449*VLOOKUP(Tab_Calculs[[#This Row],[Colonne1]],Controle_des_données!$B$7:$G$14,6,FALSE),"")</f>
        <v/>
      </c>
      <c r="T449" t="str">
        <f ca="1">IF(Tab_Calculs[[#This Row],[Combustible ]]="Electricité (kWh)",Tab_Calculs[[#This Row],[Conso_mois_kWh]]*2.3,Tab_Calculs[[#This Row],[Conso_mois_kWh]])</f>
        <v/>
      </c>
      <c r="U449" t="str">
        <f ca="1">IFERROR(N449*VLOOKUP(Tab_Calculs[[#This Row],[Colonne1]],Controle_des_données!$B$7:$H$14,7,FALSE),"")</f>
        <v/>
      </c>
      <c r="V449">
        <f ca="1">IFERROR(Tab_Calculs[[#This Row],[Cout_mois]]/Tab_Calculs[[#This Row],[Conso_mois_kWh]],0)</f>
        <v>0</v>
      </c>
      <c r="W449" t="str">
        <f>T(VLOOKUP(Tab_Calculs[[#This Row],[Compteur]],Site!$B$33:$G$40,3,FALSE))</f>
        <v/>
      </c>
      <c r="X449" t="str">
        <f>T(VLOOKUP(Tab_Calculs[[#This Row],[Compteur]],Site!$B$33:$G$40,4,FALSE))</f>
        <v/>
      </c>
      <c r="Y449" t="str">
        <f>T(VLOOKUP(Tab_Calculs[[#This Row],[Compteur]],Site!$B$33:$G$40,5,FALSE))</f>
        <v/>
      </c>
      <c r="Z449" t="str">
        <f>T(VLOOKUP(Tab_Calculs[[#This Row],[Compteur]],Site!$B$33:$G$40,6,FALSE))</f>
        <v/>
      </c>
      <c r="AA449">
        <f>IFERROR(GETPIVOTDATA("DJU(chauffagiste)",BDD_DJU!$P$13,"annee",Tab_Calculs[[#This Row],[ANNEE]],"mois_numero",Tab_Calculs[[#This Row],[MOIS]]),0)</f>
        <v>54.3</v>
      </c>
    </row>
    <row r="450" spans="1:27" x14ac:dyDescent="0.25">
      <c r="A450" s="3">
        <f>DATE(Tab_Calculs[[#This Row],[ANNEE]],Tab_Calculs[[#This Row],[MOIS]],1)</f>
        <v>41913</v>
      </c>
      <c r="B450" s="3">
        <f>EDATE(Tab_Calculs[[#This Row],[Début mois]],1)-1</f>
        <v>41943</v>
      </c>
      <c r="C450">
        <v>10</v>
      </c>
      <c r="D450">
        <v>2014</v>
      </c>
      <c r="E450" t="s">
        <v>82</v>
      </c>
      <c r="F450" t="str">
        <f>SUBSTITUTE(Tab_Calculs[[#This Row],[Compteur]]," ","_")</f>
        <v>Compteur_3</v>
      </c>
      <c r="G450" t="str">
        <f>T(INDEX(Site!$B$33:$G$40, MATCH(Tab_Calculs[[#This Row],[Compteur]], Site!$B$33:$B$40,0),2))</f>
        <v/>
      </c>
      <c r="H450" s="3">
        <f t="array" aca="1" ref="H450" ca="1">MIN(IF(INDIRECT(CONCATENATE(Tab_Calculs[[#This Row],[Colonne1]],"!$B$2:$B$243"))&gt;=Calculs_Consos!$A450,INDIRECT(CONCATENATE(Tab_Calculs[[#This Row],[Colonne1]],"!$B$2:$B$243"))))</f>
        <v>0</v>
      </c>
      <c r="I450" s="3">
        <f ca="1">INDEX(INDIRECT(CONCATENATE("Tab_",Tab_Calculs[[#This Row],[Colonne1]])),Tab_Calculs[[#This Row],[index_date_livraison]],1)</f>
        <v>0</v>
      </c>
      <c r="J450">
        <f ca="1">MATCH(Tab_Calculs[[#This Row],[Date_livraison]],INDIRECT(CONCATENATE("Tab_",Tab_Calculs[[#This Row],[Colonne1]],"[Fin de période]")),0)</f>
        <v>1</v>
      </c>
      <c r="K450" t="e">
        <f ca="1">INDEX(INDIRECT(CONCATENATE("Tab_",Tab_Calculs[[#This Row],[Colonne1]])),Tab_Calculs[[#This Row],[index_date_livraison]]-1,6)*(MAX(Tab_Calculs[[#This Row],[Début periode livraison]],Tab_Calculs[[#This Row],[Début mois]])-Tab_Calculs[[#This Row],[Début mois]])</f>
        <v>#VALUE!</v>
      </c>
      <c r="L450" s="94">
        <f ca="1">INDEX(INDIRECT(CONCATENATE("Tab_",Tab_Calculs[[#This Row],[Colonne1]])),Tab_Calculs[[#This Row],[index_date_livraison]],6)*(1+MIN(Tab_Calculs[[#This Row],[Date_livraison]],Tab_Calculs[[#This Row],[fin mois]])-MAX(Tab_Calculs[[#This Row],[Début mois]],Tab_Calculs[[#This Row],[Début periode livraison]]))</f>
        <v>0</v>
      </c>
      <c r="M450" s="94" t="e">
        <f ca="1">INDEX(INDIRECT(CONCATENATE("Tab_",Tab_Calculs[[#This Row],[Colonne1]])),Tab_Calculs[[#This Row],[index_date_livraison]]+1,6)*(Tab_Calculs[[#This Row],[fin mois]]-MIN(Tab_Calculs[[#This Row],[fin mois]],Tab_Calculs[[#This Row],[Date_livraison]]))</f>
        <v>#VALUE!</v>
      </c>
      <c r="N450" s="231" t="str">
        <f ca="1">IFERROR(Tab_Calculs[[#This Row],[Ratio_jour_après_livr]]+Tab_Calculs[[#This Row],[Ratio_jour_avant_livr]]+Tab_Calculs[[#This Row],[ratio_avant_debut]],"")</f>
        <v/>
      </c>
      <c r="O450" t="e">
        <f ca="1">INDEX(INDIRECT(CONCATENATE("Tab_",Tab_Calculs[[#This Row],[Colonne1]])),Tab_Calculs[[#This Row],[index_date_livraison]]-1,7)*(MAX(Tab_Calculs[[#This Row],[Début periode livraison]],Tab_Calculs[[#This Row],[Début mois]])-Tab_Calculs[[#This Row],[Début mois]])</f>
        <v>#VALUE!</v>
      </c>
      <c r="P450">
        <f ca="1">INDEX(INDIRECT(CONCATENATE("Tab_",Tab_Calculs[[#This Row],[Colonne1]])),Tab_Calculs[[#This Row],[index_date_livraison]],7)*(1+MIN(Tab_Calculs[[#This Row],[Date_livraison]],Tab_Calculs[[#This Row],[fin mois]])-MAX(Tab_Calculs[[#This Row],[Début mois]],Tab_Calculs[[#This Row],[Début periode livraison]]))</f>
        <v>0</v>
      </c>
      <c r="Q450" t="e">
        <f ca="1">INDEX(INDIRECT(CONCATENATE("Tab_",Tab_Calculs[[#This Row],[Colonne1]])),Tab_Calculs[[#This Row],[index_date_livraison]]+1,7)*(Tab_Calculs[[#This Row],[fin mois]]-MIN(Tab_Calculs[[#This Row],[fin mois]],Tab_Calculs[[#This Row],[Date_livraison]]))</f>
        <v>#VALUE!</v>
      </c>
      <c r="R450" t="e">
        <f ca="1">Tab_Calculs[[#This Row],[Ratio_Cout_après_livr]]+Tab_Calculs[[#This Row],[Ratio_Cout_avant_livr]]+Tab_Calculs[[#This Row],[Ratio_Cout_avant_debut]]</f>
        <v>#VALUE!</v>
      </c>
      <c r="S450" t="str">
        <f ca="1">IFERROR(N450*VLOOKUP(Tab_Calculs[[#This Row],[Colonne1]],Controle_des_données!$B$7:$G$14,6,FALSE),"")</f>
        <v/>
      </c>
      <c r="T450" t="str">
        <f ca="1">IF(Tab_Calculs[[#This Row],[Combustible ]]="Electricité (kWh)",Tab_Calculs[[#This Row],[Conso_mois_kWh]]*2.3,Tab_Calculs[[#This Row],[Conso_mois_kWh]])</f>
        <v/>
      </c>
      <c r="U450" t="str">
        <f ca="1">IFERROR(N450*VLOOKUP(Tab_Calculs[[#This Row],[Colonne1]],Controle_des_données!$B$7:$H$14,7,FALSE),"")</f>
        <v/>
      </c>
      <c r="V450">
        <f ca="1">IFERROR(Tab_Calculs[[#This Row],[Cout_mois]]/Tab_Calculs[[#This Row],[Conso_mois_kWh]],0)</f>
        <v>0</v>
      </c>
      <c r="W450" t="str">
        <f>T(VLOOKUP(Tab_Calculs[[#This Row],[Compteur]],Site!$B$33:$G$40,3,FALSE))</f>
        <v/>
      </c>
      <c r="X450" t="str">
        <f>T(VLOOKUP(Tab_Calculs[[#This Row],[Compteur]],Site!$B$33:$G$40,4,FALSE))</f>
        <v/>
      </c>
      <c r="Y450" t="str">
        <f>T(VLOOKUP(Tab_Calculs[[#This Row],[Compteur]],Site!$B$33:$G$40,5,FALSE))</f>
        <v/>
      </c>
      <c r="Z450" t="str">
        <f>T(VLOOKUP(Tab_Calculs[[#This Row],[Compteur]],Site!$B$33:$G$40,6,FALSE))</f>
        <v/>
      </c>
      <c r="AA450">
        <f>IFERROR(GETPIVOTDATA("DJU(chauffagiste)",BDD_DJU!$P$13,"annee",Tab_Calculs[[#This Row],[ANNEE]],"mois_numero",Tab_Calculs[[#This Row],[MOIS]]),0)</f>
        <v>124.2</v>
      </c>
    </row>
    <row r="451" spans="1:27" x14ac:dyDescent="0.25">
      <c r="A451" s="3">
        <f>DATE(Tab_Calculs[[#This Row],[ANNEE]],Tab_Calculs[[#This Row],[MOIS]],1)</f>
        <v>41944</v>
      </c>
      <c r="B451" s="3">
        <f>EDATE(Tab_Calculs[[#This Row],[Début mois]],1)-1</f>
        <v>41973</v>
      </c>
      <c r="C451">
        <v>11</v>
      </c>
      <c r="D451">
        <v>2014</v>
      </c>
      <c r="E451" t="s">
        <v>82</v>
      </c>
      <c r="F451" t="str">
        <f>SUBSTITUTE(Tab_Calculs[[#This Row],[Compteur]]," ","_")</f>
        <v>Compteur_3</v>
      </c>
      <c r="G451" t="str">
        <f>T(INDEX(Site!$B$33:$G$40, MATCH(Tab_Calculs[[#This Row],[Compteur]], Site!$B$33:$B$40,0),2))</f>
        <v/>
      </c>
      <c r="H451" s="3">
        <f t="array" aca="1" ref="H451" ca="1">MIN(IF(INDIRECT(CONCATENATE(Tab_Calculs[[#This Row],[Colonne1]],"!$B$2:$B$243"))&gt;=Calculs_Consos!$A451,INDIRECT(CONCATENATE(Tab_Calculs[[#This Row],[Colonne1]],"!$B$2:$B$243"))))</f>
        <v>0</v>
      </c>
      <c r="I451" s="3">
        <f ca="1">INDEX(INDIRECT(CONCATENATE("Tab_",Tab_Calculs[[#This Row],[Colonne1]])),Tab_Calculs[[#This Row],[index_date_livraison]],1)</f>
        <v>0</v>
      </c>
      <c r="J451">
        <f ca="1">MATCH(Tab_Calculs[[#This Row],[Date_livraison]],INDIRECT(CONCATENATE("Tab_",Tab_Calculs[[#This Row],[Colonne1]],"[Fin de période]")),0)</f>
        <v>1</v>
      </c>
      <c r="K451" t="e">
        <f ca="1">INDEX(INDIRECT(CONCATENATE("Tab_",Tab_Calculs[[#This Row],[Colonne1]])),Tab_Calculs[[#This Row],[index_date_livraison]]-1,6)*(MAX(Tab_Calculs[[#This Row],[Début periode livraison]],Tab_Calculs[[#This Row],[Début mois]])-Tab_Calculs[[#This Row],[Début mois]])</f>
        <v>#VALUE!</v>
      </c>
      <c r="L451" s="94">
        <f ca="1">INDEX(INDIRECT(CONCATENATE("Tab_",Tab_Calculs[[#This Row],[Colonne1]])),Tab_Calculs[[#This Row],[index_date_livraison]],6)*(1+MIN(Tab_Calculs[[#This Row],[Date_livraison]],Tab_Calculs[[#This Row],[fin mois]])-MAX(Tab_Calculs[[#This Row],[Début mois]],Tab_Calculs[[#This Row],[Début periode livraison]]))</f>
        <v>0</v>
      </c>
      <c r="M451" s="94" t="e">
        <f ca="1">INDEX(INDIRECT(CONCATENATE("Tab_",Tab_Calculs[[#This Row],[Colonne1]])),Tab_Calculs[[#This Row],[index_date_livraison]]+1,6)*(Tab_Calculs[[#This Row],[fin mois]]-MIN(Tab_Calculs[[#This Row],[fin mois]],Tab_Calculs[[#This Row],[Date_livraison]]))</f>
        <v>#VALUE!</v>
      </c>
      <c r="N451" s="231" t="str">
        <f ca="1">IFERROR(Tab_Calculs[[#This Row],[Ratio_jour_après_livr]]+Tab_Calculs[[#This Row],[Ratio_jour_avant_livr]]+Tab_Calculs[[#This Row],[ratio_avant_debut]],"")</f>
        <v/>
      </c>
      <c r="O451" t="e">
        <f ca="1">INDEX(INDIRECT(CONCATENATE("Tab_",Tab_Calculs[[#This Row],[Colonne1]])),Tab_Calculs[[#This Row],[index_date_livraison]]-1,7)*(MAX(Tab_Calculs[[#This Row],[Début periode livraison]],Tab_Calculs[[#This Row],[Début mois]])-Tab_Calculs[[#This Row],[Début mois]])</f>
        <v>#VALUE!</v>
      </c>
      <c r="P451">
        <f ca="1">INDEX(INDIRECT(CONCATENATE("Tab_",Tab_Calculs[[#This Row],[Colonne1]])),Tab_Calculs[[#This Row],[index_date_livraison]],7)*(1+MIN(Tab_Calculs[[#This Row],[Date_livraison]],Tab_Calculs[[#This Row],[fin mois]])-MAX(Tab_Calculs[[#This Row],[Début mois]],Tab_Calculs[[#This Row],[Début periode livraison]]))</f>
        <v>0</v>
      </c>
      <c r="Q451" t="e">
        <f ca="1">INDEX(INDIRECT(CONCATENATE("Tab_",Tab_Calculs[[#This Row],[Colonne1]])),Tab_Calculs[[#This Row],[index_date_livraison]]+1,7)*(Tab_Calculs[[#This Row],[fin mois]]-MIN(Tab_Calculs[[#This Row],[fin mois]],Tab_Calculs[[#This Row],[Date_livraison]]))</f>
        <v>#VALUE!</v>
      </c>
      <c r="R451" t="e">
        <f ca="1">Tab_Calculs[[#This Row],[Ratio_Cout_après_livr]]+Tab_Calculs[[#This Row],[Ratio_Cout_avant_livr]]+Tab_Calculs[[#This Row],[Ratio_Cout_avant_debut]]</f>
        <v>#VALUE!</v>
      </c>
      <c r="S451" t="str">
        <f ca="1">IFERROR(N451*VLOOKUP(Tab_Calculs[[#This Row],[Colonne1]],Controle_des_données!$B$7:$G$14,6,FALSE),"")</f>
        <v/>
      </c>
      <c r="T451" t="str">
        <f ca="1">IF(Tab_Calculs[[#This Row],[Combustible ]]="Electricité (kWh)",Tab_Calculs[[#This Row],[Conso_mois_kWh]]*2.3,Tab_Calculs[[#This Row],[Conso_mois_kWh]])</f>
        <v/>
      </c>
      <c r="U451" t="str">
        <f ca="1">IFERROR(N451*VLOOKUP(Tab_Calculs[[#This Row],[Colonne1]],Controle_des_données!$B$7:$H$14,7,FALSE),"")</f>
        <v/>
      </c>
      <c r="V451">
        <f ca="1">IFERROR(Tab_Calculs[[#This Row],[Cout_mois]]/Tab_Calculs[[#This Row],[Conso_mois_kWh]],0)</f>
        <v>0</v>
      </c>
      <c r="W451" t="str">
        <f>T(VLOOKUP(Tab_Calculs[[#This Row],[Compteur]],Site!$B$33:$G$40,3,FALSE))</f>
        <v/>
      </c>
      <c r="X451" t="str">
        <f>T(VLOOKUP(Tab_Calculs[[#This Row],[Compteur]],Site!$B$33:$G$40,4,FALSE))</f>
        <v/>
      </c>
      <c r="Y451" t="str">
        <f>T(VLOOKUP(Tab_Calculs[[#This Row],[Compteur]],Site!$B$33:$G$40,5,FALSE))</f>
        <v/>
      </c>
      <c r="Z451" t="str">
        <f>T(VLOOKUP(Tab_Calculs[[#This Row],[Compteur]],Site!$B$33:$G$40,6,FALSE))</f>
        <v/>
      </c>
      <c r="AA451">
        <f>IFERROR(GETPIVOTDATA("DJU(chauffagiste)",BDD_DJU!$P$13,"annee",Tab_Calculs[[#This Row],[ANNEE]],"mois_numero",Tab_Calculs[[#This Row],[MOIS]]),0)</f>
        <v>219.5</v>
      </c>
    </row>
    <row r="452" spans="1:27" x14ac:dyDescent="0.25">
      <c r="A452" s="3">
        <f>DATE(Tab_Calculs[[#This Row],[ANNEE]],Tab_Calculs[[#This Row],[MOIS]],1)</f>
        <v>41974</v>
      </c>
      <c r="B452" s="3">
        <f>EDATE(Tab_Calculs[[#This Row],[Début mois]],1)-1</f>
        <v>42004</v>
      </c>
      <c r="C452">
        <v>12</v>
      </c>
      <c r="D452">
        <v>2014</v>
      </c>
      <c r="E452" t="s">
        <v>82</v>
      </c>
      <c r="F452" t="str">
        <f>SUBSTITUTE(Tab_Calculs[[#This Row],[Compteur]]," ","_")</f>
        <v>Compteur_3</v>
      </c>
      <c r="G452" t="str">
        <f>T(INDEX(Site!$B$33:$G$40, MATCH(Tab_Calculs[[#This Row],[Compteur]], Site!$B$33:$B$40,0),2))</f>
        <v/>
      </c>
      <c r="H452" s="3">
        <f t="array" aca="1" ref="H452" ca="1">MIN(IF(INDIRECT(CONCATENATE(Tab_Calculs[[#This Row],[Colonne1]],"!$B$2:$B$243"))&gt;=Calculs_Consos!$A452,INDIRECT(CONCATENATE(Tab_Calculs[[#This Row],[Colonne1]],"!$B$2:$B$243"))))</f>
        <v>0</v>
      </c>
      <c r="I452" s="3">
        <f ca="1">INDEX(INDIRECT(CONCATENATE("Tab_",Tab_Calculs[[#This Row],[Colonne1]])),Tab_Calculs[[#This Row],[index_date_livraison]],1)</f>
        <v>0</v>
      </c>
      <c r="J452">
        <f ca="1">MATCH(Tab_Calculs[[#This Row],[Date_livraison]],INDIRECT(CONCATENATE("Tab_",Tab_Calculs[[#This Row],[Colonne1]],"[Fin de période]")),0)</f>
        <v>1</v>
      </c>
      <c r="K452" t="e">
        <f ca="1">INDEX(INDIRECT(CONCATENATE("Tab_",Tab_Calculs[[#This Row],[Colonne1]])),Tab_Calculs[[#This Row],[index_date_livraison]]-1,6)*(MAX(Tab_Calculs[[#This Row],[Début periode livraison]],Tab_Calculs[[#This Row],[Début mois]])-Tab_Calculs[[#This Row],[Début mois]])</f>
        <v>#VALUE!</v>
      </c>
      <c r="L452" s="94">
        <f ca="1">INDEX(INDIRECT(CONCATENATE("Tab_",Tab_Calculs[[#This Row],[Colonne1]])),Tab_Calculs[[#This Row],[index_date_livraison]],6)*(1+MIN(Tab_Calculs[[#This Row],[Date_livraison]],Tab_Calculs[[#This Row],[fin mois]])-MAX(Tab_Calculs[[#This Row],[Début mois]],Tab_Calculs[[#This Row],[Début periode livraison]]))</f>
        <v>0</v>
      </c>
      <c r="M452" s="94" t="e">
        <f ca="1">INDEX(INDIRECT(CONCATENATE("Tab_",Tab_Calculs[[#This Row],[Colonne1]])),Tab_Calculs[[#This Row],[index_date_livraison]]+1,6)*(Tab_Calculs[[#This Row],[fin mois]]-MIN(Tab_Calculs[[#This Row],[fin mois]],Tab_Calculs[[#This Row],[Date_livraison]]))</f>
        <v>#VALUE!</v>
      </c>
      <c r="N452" s="231" t="str">
        <f ca="1">IFERROR(Tab_Calculs[[#This Row],[Ratio_jour_après_livr]]+Tab_Calculs[[#This Row],[Ratio_jour_avant_livr]]+Tab_Calculs[[#This Row],[ratio_avant_debut]],"")</f>
        <v/>
      </c>
      <c r="O452" t="e">
        <f ca="1">INDEX(INDIRECT(CONCATENATE("Tab_",Tab_Calculs[[#This Row],[Colonne1]])),Tab_Calculs[[#This Row],[index_date_livraison]]-1,7)*(MAX(Tab_Calculs[[#This Row],[Début periode livraison]],Tab_Calculs[[#This Row],[Début mois]])-Tab_Calculs[[#This Row],[Début mois]])</f>
        <v>#VALUE!</v>
      </c>
      <c r="P452">
        <f ca="1">INDEX(INDIRECT(CONCATENATE("Tab_",Tab_Calculs[[#This Row],[Colonne1]])),Tab_Calculs[[#This Row],[index_date_livraison]],7)*(1+MIN(Tab_Calculs[[#This Row],[Date_livraison]],Tab_Calculs[[#This Row],[fin mois]])-MAX(Tab_Calculs[[#This Row],[Début mois]],Tab_Calculs[[#This Row],[Début periode livraison]]))</f>
        <v>0</v>
      </c>
      <c r="Q452" t="e">
        <f ca="1">INDEX(INDIRECT(CONCATENATE("Tab_",Tab_Calculs[[#This Row],[Colonne1]])),Tab_Calculs[[#This Row],[index_date_livraison]]+1,7)*(Tab_Calculs[[#This Row],[fin mois]]-MIN(Tab_Calculs[[#This Row],[fin mois]],Tab_Calculs[[#This Row],[Date_livraison]]))</f>
        <v>#VALUE!</v>
      </c>
      <c r="R452" t="e">
        <f ca="1">Tab_Calculs[[#This Row],[Ratio_Cout_après_livr]]+Tab_Calculs[[#This Row],[Ratio_Cout_avant_livr]]+Tab_Calculs[[#This Row],[Ratio_Cout_avant_debut]]</f>
        <v>#VALUE!</v>
      </c>
      <c r="S452" t="str">
        <f ca="1">IFERROR(N452*VLOOKUP(Tab_Calculs[[#This Row],[Colonne1]],Controle_des_données!$B$7:$G$14,6,FALSE),"")</f>
        <v/>
      </c>
      <c r="T452" t="str">
        <f ca="1">IF(Tab_Calculs[[#This Row],[Combustible ]]="Electricité (kWh)",Tab_Calculs[[#This Row],[Conso_mois_kWh]]*2.3,Tab_Calculs[[#This Row],[Conso_mois_kWh]])</f>
        <v/>
      </c>
      <c r="U452" t="str">
        <f ca="1">IFERROR(N452*VLOOKUP(Tab_Calculs[[#This Row],[Colonne1]],Controle_des_données!$B$7:$H$14,7,FALSE),"")</f>
        <v/>
      </c>
      <c r="V452">
        <f ca="1">IFERROR(Tab_Calculs[[#This Row],[Cout_mois]]/Tab_Calculs[[#This Row],[Conso_mois_kWh]],0)</f>
        <v>0</v>
      </c>
      <c r="W452" t="str">
        <f>T(VLOOKUP(Tab_Calculs[[#This Row],[Compteur]],Site!$B$33:$G$40,3,FALSE))</f>
        <v/>
      </c>
      <c r="X452" t="str">
        <f>T(VLOOKUP(Tab_Calculs[[#This Row],[Compteur]],Site!$B$33:$G$40,4,FALSE))</f>
        <v/>
      </c>
      <c r="Y452" t="str">
        <f>T(VLOOKUP(Tab_Calculs[[#This Row],[Compteur]],Site!$B$33:$G$40,5,FALSE))</f>
        <v/>
      </c>
      <c r="Z452" t="str">
        <f>T(VLOOKUP(Tab_Calculs[[#This Row],[Compteur]],Site!$B$33:$G$40,6,FALSE))</f>
        <v/>
      </c>
      <c r="AA452">
        <f>IFERROR(GETPIVOTDATA("DJU(chauffagiste)",BDD_DJU!$P$13,"annee",Tab_Calculs[[#This Row],[ANNEE]],"mois_numero",Tab_Calculs[[#This Row],[MOIS]]),0)</f>
        <v>374.8</v>
      </c>
    </row>
    <row r="453" spans="1:27" x14ac:dyDescent="0.25">
      <c r="A453" s="3">
        <f>DATE(Tab_Calculs[[#This Row],[ANNEE]],Tab_Calculs[[#This Row],[MOIS]],1)</f>
        <v>42005</v>
      </c>
      <c r="B453" s="3">
        <f>EDATE(Tab_Calculs[[#This Row],[Début mois]],1)-1</f>
        <v>42035</v>
      </c>
      <c r="C453">
        <v>1</v>
      </c>
      <c r="D453">
        <f>D441+1</f>
        <v>2015</v>
      </c>
      <c r="E453" t="s">
        <v>82</v>
      </c>
      <c r="F453" t="str">
        <f>SUBSTITUTE(Tab_Calculs[[#This Row],[Compteur]]," ","_")</f>
        <v>Compteur_3</v>
      </c>
      <c r="G453" t="str">
        <f>T(INDEX(Site!$B$33:$G$40, MATCH(Tab_Calculs[[#This Row],[Compteur]], Site!$B$33:$B$40,0),2))</f>
        <v/>
      </c>
      <c r="H453" s="3">
        <f t="array" aca="1" ref="H453" ca="1">MIN(IF(INDIRECT(CONCATENATE(Tab_Calculs[[#This Row],[Colonne1]],"!$B$2:$B$243"))&gt;=Calculs_Consos!$A453,INDIRECT(CONCATENATE(Tab_Calculs[[#This Row],[Colonne1]],"!$B$2:$B$243"))))</f>
        <v>0</v>
      </c>
      <c r="I453" s="3">
        <f ca="1">INDEX(INDIRECT(CONCATENATE("Tab_",Tab_Calculs[[#This Row],[Colonne1]])),Tab_Calculs[[#This Row],[index_date_livraison]],1)</f>
        <v>0</v>
      </c>
      <c r="J453">
        <f ca="1">MATCH(Tab_Calculs[[#This Row],[Date_livraison]],INDIRECT(CONCATENATE("Tab_",Tab_Calculs[[#This Row],[Colonne1]],"[Fin de période]")),0)</f>
        <v>1</v>
      </c>
      <c r="K453" t="e">
        <f ca="1">INDEX(INDIRECT(CONCATENATE("Tab_",Tab_Calculs[[#This Row],[Colonne1]])),Tab_Calculs[[#This Row],[index_date_livraison]]-1,6)*(MAX(Tab_Calculs[[#This Row],[Début periode livraison]],Tab_Calculs[[#This Row],[Début mois]])-Tab_Calculs[[#This Row],[Début mois]])</f>
        <v>#VALUE!</v>
      </c>
      <c r="L453" s="94">
        <f ca="1">INDEX(INDIRECT(CONCATENATE("Tab_",Tab_Calculs[[#This Row],[Colonne1]])),Tab_Calculs[[#This Row],[index_date_livraison]],6)*(1+MIN(Tab_Calculs[[#This Row],[Date_livraison]],Tab_Calculs[[#This Row],[fin mois]])-MAX(Tab_Calculs[[#This Row],[Début mois]],Tab_Calculs[[#This Row],[Début periode livraison]]))</f>
        <v>0</v>
      </c>
      <c r="M453" s="94" t="e">
        <f ca="1">INDEX(INDIRECT(CONCATENATE("Tab_",Tab_Calculs[[#This Row],[Colonne1]])),Tab_Calculs[[#This Row],[index_date_livraison]]+1,6)*(Tab_Calculs[[#This Row],[fin mois]]-MIN(Tab_Calculs[[#This Row],[fin mois]],Tab_Calculs[[#This Row],[Date_livraison]]))</f>
        <v>#VALUE!</v>
      </c>
      <c r="N453" s="231" t="str">
        <f ca="1">IFERROR(Tab_Calculs[[#This Row],[Ratio_jour_après_livr]]+Tab_Calculs[[#This Row],[Ratio_jour_avant_livr]]+Tab_Calculs[[#This Row],[ratio_avant_debut]],"")</f>
        <v/>
      </c>
      <c r="O453" t="e">
        <f ca="1">INDEX(INDIRECT(CONCATENATE("Tab_",Tab_Calculs[[#This Row],[Colonne1]])),Tab_Calculs[[#This Row],[index_date_livraison]]-1,7)*(MAX(Tab_Calculs[[#This Row],[Début periode livraison]],Tab_Calculs[[#This Row],[Début mois]])-Tab_Calculs[[#This Row],[Début mois]])</f>
        <v>#VALUE!</v>
      </c>
      <c r="P453">
        <f ca="1">INDEX(INDIRECT(CONCATENATE("Tab_",Tab_Calculs[[#This Row],[Colonne1]])),Tab_Calculs[[#This Row],[index_date_livraison]],7)*(1+MIN(Tab_Calculs[[#This Row],[Date_livraison]],Tab_Calculs[[#This Row],[fin mois]])-MAX(Tab_Calculs[[#This Row],[Début mois]],Tab_Calculs[[#This Row],[Début periode livraison]]))</f>
        <v>0</v>
      </c>
      <c r="Q453" t="e">
        <f ca="1">INDEX(INDIRECT(CONCATENATE("Tab_",Tab_Calculs[[#This Row],[Colonne1]])),Tab_Calculs[[#This Row],[index_date_livraison]]+1,7)*(Tab_Calculs[[#This Row],[fin mois]]-MIN(Tab_Calculs[[#This Row],[fin mois]],Tab_Calculs[[#This Row],[Date_livraison]]))</f>
        <v>#VALUE!</v>
      </c>
      <c r="R453" t="e">
        <f ca="1">Tab_Calculs[[#This Row],[Ratio_Cout_après_livr]]+Tab_Calculs[[#This Row],[Ratio_Cout_avant_livr]]+Tab_Calculs[[#This Row],[Ratio_Cout_avant_debut]]</f>
        <v>#VALUE!</v>
      </c>
      <c r="S453" t="str">
        <f ca="1">IFERROR(N453*VLOOKUP(Tab_Calculs[[#This Row],[Colonne1]],Controle_des_données!$B$7:$G$14,6,FALSE),"")</f>
        <v/>
      </c>
      <c r="T453" t="str">
        <f ca="1">IF(Tab_Calculs[[#This Row],[Combustible ]]="Electricité (kWh)",Tab_Calculs[[#This Row],[Conso_mois_kWh]]*2.3,Tab_Calculs[[#This Row],[Conso_mois_kWh]])</f>
        <v/>
      </c>
      <c r="U453" t="str">
        <f ca="1">IFERROR(N453*VLOOKUP(Tab_Calculs[[#This Row],[Colonne1]],Controle_des_données!$B$7:$H$14,7,FALSE),"")</f>
        <v/>
      </c>
      <c r="V453">
        <f ca="1">IFERROR(Tab_Calculs[[#This Row],[Cout_mois]]/Tab_Calculs[[#This Row],[Conso_mois_kWh]],0)</f>
        <v>0</v>
      </c>
      <c r="W453" t="str">
        <f>T(VLOOKUP(Tab_Calculs[[#This Row],[Compteur]],Site!$B$33:$G$40,3,FALSE))</f>
        <v/>
      </c>
      <c r="X453" t="str">
        <f>T(VLOOKUP(Tab_Calculs[[#This Row],[Compteur]],Site!$B$33:$G$40,4,FALSE))</f>
        <v/>
      </c>
      <c r="Y453" t="str">
        <f>T(VLOOKUP(Tab_Calculs[[#This Row],[Compteur]],Site!$B$33:$G$40,5,FALSE))</f>
        <v/>
      </c>
      <c r="Z453" t="str">
        <f>T(VLOOKUP(Tab_Calculs[[#This Row],[Compteur]],Site!$B$33:$G$40,6,FALSE))</f>
        <v/>
      </c>
      <c r="AA453">
        <f>IFERROR(GETPIVOTDATA("DJU(chauffagiste)",BDD_DJU!$P$13,"annee",Tab_Calculs[[#This Row],[ANNEE]],"mois_numero",Tab_Calculs[[#This Row],[MOIS]]),0)</f>
        <v>392.1</v>
      </c>
    </row>
    <row r="454" spans="1:27" x14ac:dyDescent="0.25">
      <c r="A454" s="3">
        <f>DATE(Tab_Calculs[[#This Row],[ANNEE]],Tab_Calculs[[#This Row],[MOIS]],1)</f>
        <v>42036</v>
      </c>
      <c r="B454" s="3">
        <f>EDATE(Tab_Calculs[[#This Row],[Début mois]],1)-1</f>
        <v>42063</v>
      </c>
      <c r="C454">
        <v>2</v>
      </c>
      <c r="D454">
        <f t="shared" ref="D454:D517" si="14">D442+1</f>
        <v>2015</v>
      </c>
      <c r="E454" t="s">
        <v>82</v>
      </c>
      <c r="F454" t="str">
        <f>SUBSTITUTE(Tab_Calculs[[#This Row],[Compteur]]," ","_")</f>
        <v>Compteur_3</v>
      </c>
      <c r="G454" t="str">
        <f>T(INDEX(Site!$B$33:$G$40, MATCH(Tab_Calculs[[#This Row],[Compteur]], Site!$B$33:$B$40,0),2))</f>
        <v/>
      </c>
      <c r="H454" s="3">
        <f t="array" aca="1" ref="H454" ca="1">MIN(IF(INDIRECT(CONCATENATE(Tab_Calculs[[#This Row],[Colonne1]],"!$B$2:$B$243"))&gt;=Calculs_Consos!$A454,INDIRECT(CONCATENATE(Tab_Calculs[[#This Row],[Colonne1]],"!$B$2:$B$243"))))</f>
        <v>0</v>
      </c>
      <c r="I454" s="3">
        <f ca="1">INDEX(INDIRECT(CONCATENATE("Tab_",Tab_Calculs[[#This Row],[Colonne1]])),Tab_Calculs[[#This Row],[index_date_livraison]],1)</f>
        <v>0</v>
      </c>
      <c r="J454">
        <f ca="1">MATCH(Tab_Calculs[[#This Row],[Date_livraison]],INDIRECT(CONCATENATE("Tab_",Tab_Calculs[[#This Row],[Colonne1]],"[Fin de période]")),0)</f>
        <v>1</v>
      </c>
      <c r="K454" t="e">
        <f ca="1">INDEX(INDIRECT(CONCATENATE("Tab_",Tab_Calculs[[#This Row],[Colonne1]])),Tab_Calculs[[#This Row],[index_date_livraison]]-1,6)*(MAX(Tab_Calculs[[#This Row],[Début periode livraison]],Tab_Calculs[[#This Row],[Début mois]])-Tab_Calculs[[#This Row],[Début mois]])</f>
        <v>#VALUE!</v>
      </c>
      <c r="L454" s="94">
        <f ca="1">INDEX(INDIRECT(CONCATENATE("Tab_",Tab_Calculs[[#This Row],[Colonne1]])),Tab_Calculs[[#This Row],[index_date_livraison]],6)*(1+MIN(Tab_Calculs[[#This Row],[Date_livraison]],Tab_Calculs[[#This Row],[fin mois]])-MAX(Tab_Calculs[[#This Row],[Début mois]],Tab_Calculs[[#This Row],[Début periode livraison]]))</f>
        <v>0</v>
      </c>
      <c r="M454" s="94" t="e">
        <f ca="1">INDEX(INDIRECT(CONCATENATE("Tab_",Tab_Calculs[[#This Row],[Colonne1]])),Tab_Calculs[[#This Row],[index_date_livraison]]+1,6)*(Tab_Calculs[[#This Row],[fin mois]]-MIN(Tab_Calculs[[#This Row],[fin mois]],Tab_Calculs[[#This Row],[Date_livraison]]))</f>
        <v>#VALUE!</v>
      </c>
      <c r="N454" s="231" t="str">
        <f ca="1">IFERROR(Tab_Calculs[[#This Row],[Ratio_jour_après_livr]]+Tab_Calculs[[#This Row],[Ratio_jour_avant_livr]]+Tab_Calculs[[#This Row],[ratio_avant_debut]],"")</f>
        <v/>
      </c>
      <c r="O454" t="e">
        <f ca="1">INDEX(INDIRECT(CONCATENATE("Tab_",Tab_Calculs[[#This Row],[Colonne1]])),Tab_Calculs[[#This Row],[index_date_livraison]]-1,7)*(MAX(Tab_Calculs[[#This Row],[Début periode livraison]],Tab_Calculs[[#This Row],[Début mois]])-Tab_Calculs[[#This Row],[Début mois]])</f>
        <v>#VALUE!</v>
      </c>
      <c r="P454">
        <f ca="1">INDEX(INDIRECT(CONCATENATE("Tab_",Tab_Calculs[[#This Row],[Colonne1]])),Tab_Calculs[[#This Row],[index_date_livraison]],7)*(1+MIN(Tab_Calculs[[#This Row],[Date_livraison]],Tab_Calculs[[#This Row],[fin mois]])-MAX(Tab_Calculs[[#This Row],[Début mois]],Tab_Calculs[[#This Row],[Début periode livraison]]))</f>
        <v>0</v>
      </c>
      <c r="Q454" t="e">
        <f ca="1">INDEX(INDIRECT(CONCATENATE("Tab_",Tab_Calculs[[#This Row],[Colonne1]])),Tab_Calculs[[#This Row],[index_date_livraison]]+1,7)*(Tab_Calculs[[#This Row],[fin mois]]-MIN(Tab_Calculs[[#This Row],[fin mois]],Tab_Calculs[[#This Row],[Date_livraison]]))</f>
        <v>#VALUE!</v>
      </c>
      <c r="R454" t="e">
        <f ca="1">Tab_Calculs[[#This Row],[Ratio_Cout_après_livr]]+Tab_Calculs[[#This Row],[Ratio_Cout_avant_livr]]+Tab_Calculs[[#This Row],[Ratio_Cout_avant_debut]]</f>
        <v>#VALUE!</v>
      </c>
      <c r="S454" t="str">
        <f ca="1">IFERROR(N454*VLOOKUP(Tab_Calculs[[#This Row],[Colonne1]],Controle_des_données!$B$7:$G$14,6,FALSE),"")</f>
        <v/>
      </c>
      <c r="T454" t="str">
        <f ca="1">IF(Tab_Calculs[[#This Row],[Combustible ]]="Electricité (kWh)",Tab_Calculs[[#This Row],[Conso_mois_kWh]]*2.3,Tab_Calculs[[#This Row],[Conso_mois_kWh]])</f>
        <v/>
      </c>
      <c r="U454" t="str">
        <f ca="1">IFERROR(N454*VLOOKUP(Tab_Calculs[[#This Row],[Colonne1]],Controle_des_données!$B$7:$H$14,7,FALSE),"")</f>
        <v/>
      </c>
      <c r="V454">
        <f ca="1">IFERROR(Tab_Calculs[[#This Row],[Cout_mois]]/Tab_Calculs[[#This Row],[Conso_mois_kWh]],0)</f>
        <v>0</v>
      </c>
      <c r="W454" t="str">
        <f>T(VLOOKUP(Tab_Calculs[[#This Row],[Compteur]],Site!$B$33:$G$40,3,FALSE))</f>
        <v/>
      </c>
      <c r="X454" t="str">
        <f>T(VLOOKUP(Tab_Calculs[[#This Row],[Compteur]],Site!$B$33:$G$40,4,FALSE))</f>
        <v/>
      </c>
      <c r="Y454" t="str">
        <f>T(VLOOKUP(Tab_Calculs[[#This Row],[Compteur]],Site!$B$33:$G$40,5,FALSE))</f>
        <v/>
      </c>
      <c r="Z454" t="str">
        <f>T(VLOOKUP(Tab_Calculs[[#This Row],[Compteur]],Site!$B$33:$G$40,6,FALSE))</f>
        <v/>
      </c>
      <c r="AA454">
        <f>IFERROR(GETPIVOTDATA("DJU(chauffagiste)",BDD_DJU!$P$13,"annee",Tab_Calculs[[#This Row],[ANNEE]],"mois_numero",Tab_Calculs[[#This Row],[MOIS]]),0)</f>
        <v>366.9</v>
      </c>
    </row>
    <row r="455" spans="1:27" x14ac:dyDescent="0.25">
      <c r="A455" s="3">
        <f>DATE(Tab_Calculs[[#This Row],[ANNEE]],Tab_Calculs[[#This Row],[MOIS]],1)</f>
        <v>42064</v>
      </c>
      <c r="B455" s="3">
        <f>EDATE(Tab_Calculs[[#This Row],[Début mois]],1)-1</f>
        <v>42094</v>
      </c>
      <c r="C455">
        <v>3</v>
      </c>
      <c r="D455">
        <f t="shared" si="14"/>
        <v>2015</v>
      </c>
      <c r="E455" t="s">
        <v>82</v>
      </c>
      <c r="F455" t="str">
        <f>SUBSTITUTE(Tab_Calculs[[#This Row],[Compteur]]," ","_")</f>
        <v>Compteur_3</v>
      </c>
      <c r="G455" t="str">
        <f>T(INDEX(Site!$B$33:$G$40, MATCH(Tab_Calculs[[#This Row],[Compteur]], Site!$B$33:$B$40,0),2))</f>
        <v/>
      </c>
      <c r="H455" s="3">
        <f t="array" aca="1" ref="H455" ca="1">MIN(IF(INDIRECT(CONCATENATE(Tab_Calculs[[#This Row],[Colonne1]],"!$B$2:$B$243"))&gt;=Calculs_Consos!$A455,INDIRECT(CONCATENATE(Tab_Calculs[[#This Row],[Colonne1]],"!$B$2:$B$243"))))</f>
        <v>0</v>
      </c>
      <c r="I455" s="3">
        <f ca="1">INDEX(INDIRECT(CONCATENATE("Tab_",Tab_Calculs[[#This Row],[Colonne1]])),Tab_Calculs[[#This Row],[index_date_livraison]],1)</f>
        <v>0</v>
      </c>
      <c r="J455">
        <f ca="1">MATCH(Tab_Calculs[[#This Row],[Date_livraison]],INDIRECT(CONCATENATE("Tab_",Tab_Calculs[[#This Row],[Colonne1]],"[Fin de période]")),0)</f>
        <v>1</v>
      </c>
      <c r="K455" t="e">
        <f ca="1">INDEX(INDIRECT(CONCATENATE("Tab_",Tab_Calculs[[#This Row],[Colonne1]])),Tab_Calculs[[#This Row],[index_date_livraison]]-1,6)*(MAX(Tab_Calculs[[#This Row],[Début periode livraison]],Tab_Calculs[[#This Row],[Début mois]])-Tab_Calculs[[#This Row],[Début mois]])</f>
        <v>#VALUE!</v>
      </c>
      <c r="L455" s="94">
        <f ca="1">INDEX(INDIRECT(CONCATENATE("Tab_",Tab_Calculs[[#This Row],[Colonne1]])),Tab_Calculs[[#This Row],[index_date_livraison]],6)*(1+MIN(Tab_Calculs[[#This Row],[Date_livraison]],Tab_Calculs[[#This Row],[fin mois]])-MAX(Tab_Calculs[[#This Row],[Début mois]],Tab_Calculs[[#This Row],[Début periode livraison]]))</f>
        <v>0</v>
      </c>
      <c r="M455" s="94" t="e">
        <f ca="1">INDEX(INDIRECT(CONCATENATE("Tab_",Tab_Calculs[[#This Row],[Colonne1]])),Tab_Calculs[[#This Row],[index_date_livraison]]+1,6)*(Tab_Calculs[[#This Row],[fin mois]]-MIN(Tab_Calculs[[#This Row],[fin mois]],Tab_Calculs[[#This Row],[Date_livraison]]))</f>
        <v>#VALUE!</v>
      </c>
      <c r="N455" s="231" t="str">
        <f ca="1">IFERROR(Tab_Calculs[[#This Row],[Ratio_jour_après_livr]]+Tab_Calculs[[#This Row],[Ratio_jour_avant_livr]]+Tab_Calculs[[#This Row],[ratio_avant_debut]],"")</f>
        <v/>
      </c>
      <c r="O455" t="e">
        <f ca="1">INDEX(INDIRECT(CONCATENATE("Tab_",Tab_Calculs[[#This Row],[Colonne1]])),Tab_Calculs[[#This Row],[index_date_livraison]]-1,7)*(MAX(Tab_Calculs[[#This Row],[Début periode livraison]],Tab_Calculs[[#This Row],[Début mois]])-Tab_Calculs[[#This Row],[Début mois]])</f>
        <v>#VALUE!</v>
      </c>
      <c r="P455">
        <f ca="1">INDEX(INDIRECT(CONCATENATE("Tab_",Tab_Calculs[[#This Row],[Colonne1]])),Tab_Calculs[[#This Row],[index_date_livraison]],7)*(1+MIN(Tab_Calculs[[#This Row],[Date_livraison]],Tab_Calculs[[#This Row],[fin mois]])-MAX(Tab_Calculs[[#This Row],[Début mois]],Tab_Calculs[[#This Row],[Début periode livraison]]))</f>
        <v>0</v>
      </c>
      <c r="Q455" t="e">
        <f ca="1">INDEX(INDIRECT(CONCATENATE("Tab_",Tab_Calculs[[#This Row],[Colonne1]])),Tab_Calculs[[#This Row],[index_date_livraison]]+1,7)*(Tab_Calculs[[#This Row],[fin mois]]-MIN(Tab_Calculs[[#This Row],[fin mois]],Tab_Calculs[[#This Row],[Date_livraison]]))</f>
        <v>#VALUE!</v>
      </c>
      <c r="R455" t="e">
        <f ca="1">Tab_Calculs[[#This Row],[Ratio_Cout_après_livr]]+Tab_Calculs[[#This Row],[Ratio_Cout_avant_livr]]+Tab_Calculs[[#This Row],[Ratio_Cout_avant_debut]]</f>
        <v>#VALUE!</v>
      </c>
      <c r="S455" t="str">
        <f ca="1">IFERROR(N455*VLOOKUP(Tab_Calculs[[#This Row],[Colonne1]],Controle_des_données!$B$7:$G$14,6,FALSE),"")</f>
        <v/>
      </c>
      <c r="T455" t="str">
        <f ca="1">IF(Tab_Calculs[[#This Row],[Combustible ]]="Electricité (kWh)",Tab_Calculs[[#This Row],[Conso_mois_kWh]]*2.3,Tab_Calculs[[#This Row],[Conso_mois_kWh]])</f>
        <v/>
      </c>
      <c r="U455" t="str">
        <f ca="1">IFERROR(N455*VLOOKUP(Tab_Calculs[[#This Row],[Colonne1]],Controle_des_données!$B$7:$H$14,7,FALSE),"")</f>
        <v/>
      </c>
      <c r="V455">
        <f ca="1">IFERROR(Tab_Calculs[[#This Row],[Cout_mois]]/Tab_Calculs[[#This Row],[Conso_mois_kWh]],0)</f>
        <v>0</v>
      </c>
      <c r="W455" t="str">
        <f>T(VLOOKUP(Tab_Calculs[[#This Row],[Compteur]],Site!$B$33:$G$40,3,FALSE))</f>
        <v/>
      </c>
      <c r="X455" t="str">
        <f>T(VLOOKUP(Tab_Calculs[[#This Row],[Compteur]],Site!$B$33:$G$40,4,FALSE))</f>
        <v/>
      </c>
      <c r="Y455" t="str">
        <f>T(VLOOKUP(Tab_Calculs[[#This Row],[Compteur]],Site!$B$33:$G$40,5,FALSE))</f>
        <v/>
      </c>
      <c r="Z455" t="str">
        <f>T(VLOOKUP(Tab_Calculs[[#This Row],[Compteur]],Site!$B$33:$G$40,6,FALSE))</f>
        <v/>
      </c>
      <c r="AA455">
        <f>IFERROR(GETPIVOTDATA("DJU(chauffagiste)",BDD_DJU!$P$13,"annee",Tab_Calculs[[#This Row],[ANNEE]],"mois_numero",Tab_Calculs[[#This Row],[MOIS]]),0)</f>
        <v>303.8</v>
      </c>
    </row>
    <row r="456" spans="1:27" x14ac:dyDescent="0.25">
      <c r="A456" s="3">
        <f>DATE(Tab_Calculs[[#This Row],[ANNEE]],Tab_Calculs[[#This Row],[MOIS]],1)</f>
        <v>42095</v>
      </c>
      <c r="B456" s="3">
        <f>EDATE(Tab_Calculs[[#This Row],[Début mois]],1)-1</f>
        <v>42124</v>
      </c>
      <c r="C456">
        <v>4</v>
      </c>
      <c r="D456">
        <f t="shared" si="14"/>
        <v>2015</v>
      </c>
      <c r="E456" t="s">
        <v>82</v>
      </c>
      <c r="F456" t="str">
        <f>SUBSTITUTE(Tab_Calculs[[#This Row],[Compteur]]," ","_")</f>
        <v>Compteur_3</v>
      </c>
      <c r="G456" t="str">
        <f>T(INDEX(Site!$B$33:$G$40, MATCH(Tab_Calculs[[#This Row],[Compteur]], Site!$B$33:$B$40,0),2))</f>
        <v/>
      </c>
      <c r="H456" s="3">
        <f t="array" aca="1" ref="H456" ca="1">MIN(IF(INDIRECT(CONCATENATE(Tab_Calculs[[#This Row],[Colonne1]],"!$B$2:$B$243"))&gt;=Calculs_Consos!$A456,INDIRECT(CONCATENATE(Tab_Calculs[[#This Row],[Colonne1]],"!$B$2:$B$243"))))</f>
        <v>0</v>
      </c>
      <c r="I456" s="3">
        <f ca="1">INDEX(INDIRECT(CONCATENATE("Tab_",Tab_Calculs[[#This Row],[Colonne1]])),Tab_Calculs[[#This Row],[index_date_livraison]],1)</f>
        <v>0</v>
      </c>
      <c r="J456">
        <f ca="1">MATCH(Tab_Calculs[[#This Row],[Date_livraison]],INDIRECT(CONCATENATE("Tab_",Tab_Calculs[[#This Row],[Colonne1]],"[Fin de période]")),0)</f>
        <v>1</v>
      </c>
      <c r="K456" t="e">
        <f ca="1">INDEX(INDIRECT(CONCATENATE("Tab_",Tab_Calculs[[#This Row],[Colonne1]])),Tab_Calculs[[#This Row],[index_date_livraison]]-1,6)*(MAX(Tab_Calculs[[#This Row],[Début periode livraison]],Tab_Calculs[[#This Row],[Début mois]])-Tab_Calculs[[#This Row],[Début mois]])</f>
        <v>#VALUE!</v>
      </c>
      <c r="L456" s="94">
        <f ca="1">INDEX(INDIRECT(CONCATENATE("Tab_",Tab_Calculs[[#This Row],[Colonne1]])),Tab_Calculs[[#This Row],[index_date_livraison]],6)*(1+MIN(Tab_Calculs[[#This Row],[Date_livraison]],Tab_Calculs[[#This Row],[fin mois]])-MAX(Tab_Calculs[[#This Row],[Début mois]],Tab_Calculs[[#This Row],[Début periode livraison]]))</f>
        <v>0</v>
      </c>
      <c r="M456" s="94" t="e">
        <f ca="1">INDEX(INDIRECT(CONCATENATE("Tab_",Tab_Calculs[[#This Row],[Colonne1]])),Tab_Calculs[[#This Row],[index_date_livraison]]+1,6)*(Tab_Calculs[[#This Row],[fin mois]]-MIN(Tab_Calculs[[#This Row],[fin mois]],Tab_Calculs[[#This Row],[Date_livraison]]))</f>
        <v>#VALUE!</v>
      </c>
      <c r="N456" s="231" t="str">
        <f ca="1">IFERROR(Tab_Calculs[[#This Row],[Ratio_jour_après_livr]]+Tab_Calculs[[#This Row],[Ratio_jour_avant_livr]]+Tab_Calculs[[#This Row],[ratio_avant_debut]],"")</f>
        <v/>
      </c>
      <c r="O456" t="e">
        <f ca="1">INDEX(INDIRECT(CONCATENATE("Tab_",Tab_Calculs[[#This Row],[Colonne1]])),Tab_Calculs[[#This Row],[index_date_livraison]]-1,7)*(MAX(Tab_Calculs[[#This Row],[Début periode livraison]],Tab_Calculs[[#This Row],[Début mois]])-Tab_Calculs[[#This Row],[Début mois]])</f>
        <v>#VALUE!</v>
      </c>
      <c r="P456">
        <f ca="1">INDEX(INDIRECT(CONCATENATE("Tab_",Tab_Calculs[[#This Row],[Colonne1]])),Tab_Calculs[[#This Row],[index_date_livraison]],7)*(1+MIN(Tab_Calculs[[#This Row],[Date_livraison]],Tab_Calculs[[#This Row],[fin mois]])-MAX(Tab_Calculs[[#This Row],[Début mois]],Tab_Calculs[[#This Row],[Début periode livraison]]))</f>
        <v>0</v>
      </c>
      <c r="Q456" t="e">
        <f ca="1">INDEX(INDIRECT(CONCATENATE("Tab_",Tab_Calculs[[#This Row],[Colonne1]])),Tab_Calculs[[#This Row],[index_date_livraison]]+1,7)*(Tab_Calculs[[#This Row],[fin mois]]-MIN(Tab_Calculs[[#This Row],[fin mois]],Tab_Calculs[[#This Row],[Date_livraison]]))</f>
        <v>#VALUE!</v>
      </c>
      <c r="R456" t="e">
        <f ca="1">Tab_Calculs[[#This Row],[Ratio_Cout_après_livr]]+Tab_Calculs[[#This Row],[Ratio_Cout_avant_livr]]+Tab_Calculs[[#This Row],[Ratio_Cout_avant_debut]]</f>
        <v>#VALUE!</v>
      </c>
      <c r="S456" t="str">
        <f ca="1">IFERROR(N456*VLOOKUP(Tab_Calculs[[#This Row],[Colonne1]],Controle_des_données!$B$7:$G$14,6,FALSE),"")</f>
        <v/>
      </c>
      <c r="T456" t="str">
        <f ca="1">IF(Tab_Calculs[[#This Row],[Combustible ]]="Electricité (kWh)",Tab_Calculs[[#This Row],[Conso_mois_kWh]]*2.3,Tab_Calculs[[#This Row],[Conso_mois_kWh]])</f>
        <v/>
      </c>
      <c r="U456" t="str">
        <f ca="1">IFERROR(N456*VLOOKUP(Tab_Calculs[[#This Row],[Colonne1]],Controle_des_données!$B$7:$H$14,7,FALSE),"")</f>
        <v/>
      </c>
      <c r="V456">
        <f ca="1">IFERROR(Tab_Calculs[[#This Row],[Cout_mois]]/Tab_Calculs[[#This Row],[Conso_mois_kWh]],0)</f>
        <v>0</v>
      </c>
      <c r="W456" t="str">
        <f>T(VLOOKUP(Tab_Calculs[[#This Row],[Compteur]],Site!$B$33:$G$40,3,FALSE))</f>
        <v/>
      </c>
      <c r="X456" t="str">
        <f>T(VLOOKUP(Tab_Calculs[[#This Row],[Compteur]],Site!$B$33:$G$40,4,FALSE))</f>
        <v/>
      </c>
      <c r="Y456" t="str">
        <f>T(VLOOKUP(Tab_Calculs[[#This Row],[Compteur]],Site!$B$33:$G$40,5,FALSE))</f>
        <v/>
      </c>
      <c r="Z456" t="str">
        <f>T(VLOOKUP(Tab_Calculs[[#This Row],[Compteur]],Site!$B$33:$G$40,6,FALSE))</f>
        <v/>
      </c>
      <c r="AA456">
        <f>IFERROR(GETPIVOTDATA("DJU(chauffagiste)",BDD_DJU!$P$13,"annee",Tab_Calculs[[#This Row],[ANNEE]],"mois_numero",Tab_Calculs[[#This Row],[MOIS]]),0)</f>
        <v>166.6</v>
      </c>
    </row>
    <row r="457" spans="1:27" x14ac:dyDescent="0.25">
      <c r="A457" s="3">
        <f>DATE(Tab_Calculs[[#This Row],[ANNEE]],Tab_Calculs[[#This Row],[MOIS]],1)</f>
        <v>42125</v>
      </c>
      <c r="B457" s="3">
        <f>EDATE(Tab_Calculs[[#This Row],[Début mois]],1)-1</f>
        <v>42155</v>
      </c>
      <c r="C457">
        <v>5</v>
      </c>
      <c r="D457">
        <f t="shared" si="14"/>
        <v>2015</v>
      </c>
      <c r="E457" t="s">
        <v>82</v>
      </c>
      <c r="F457" t="str">
        <f>SUBSTITUTE(Tab_Calculs[[#This Row],[Compteur]]," ","_")</f>
        <v>Compteur_3</v>
      </c>
      <c r="G457" t="str">
        <f>T(INDEX(Site!$B$33:$G$40, MATCH(Tab_Calculs[[#This Row],[Compteur]], Site!$B$33:$B$40,0),2))</f>
        <v/>
      </c>
      <c r="H457" s="3">
        <f t="array" aca="1" ref="H457" ca="1">MIN(IF(INDIRECT(CONCATENATE(Tab_Calculs[[#This Row],[Colonne1]],"!$B$2:$B$243"))&gt;=Calculs_Consos!$A457,INDIRECT(CONCATENATE(Tab_Calculs[[#This Row],[Colonne1]],"!$B$2:$B$243"))))</f>
        <v>0</v>
      </c>
      <c r="I457" s="3">
        <f ca="1">INDEX(INDIRECT(CONCATENATE("Tab_",Tab_Calculs[[#This Row],[Colonne1]])),Tab_Calculs[[#This Row],[index_date_livraison]],1)</f>
        <v>0</v>
      </c>
      <c r="J457">
        <f ca="1">MATCH(Tab_Calculs[[#This Row],[Date_livraison]],INDIRECT(CONCATENATE("Tab_",Tab_Calculs[[#This Row],[Colonne1]],"[Fin de période]")),0)</f>
        <v>1</v>
      </c>
      <c r="K457" t="e">
        <f ca="1">INDEX(INDIRECT(CONCATENATE("Tab_",Tab_Calculs[[#This Row],[Colonne1]])),Tab_Calculs[[#This Row],[index_date_livraison]]-1,6)*(MAX(Tab_Calculs[[#This Row],[Début periode livraison]],Tab_Calculs[[#This Row],[Début mois]])-Tab_Calculs[[#This Row],[Début mois]])</f>
        <v>#VALUE!</v>
      </c>
      <c r="L457" s="94">
        <f ca="1">INDEX(INDIRECT(CONCATENATE("Tab_",Tab_Calculs[[#This Row],[Colonne1]])),Tab_Calculs[[#This Row],[index_date_livraison]],6)*(1+MIN(Tab_Calculs[[#This Row],[Date_livraison]],Tab_Calculs[[#This Row],[fin mois]])-MAX(Tab_Calculs[[#This Row],[Début mois]],Tab_Calculs[[#This Row],[Début periode livraison]]))</f>
        <v>0</v>
      </c>
      <c r="M457" s="94" t="e">
        <f ca="1">INDEX(INDIRECT(CONCATENATE("Tab_",Tab_Calculs[[#This Row],[Colonne1]])),Tab_Calculs[[#This Row],[index_date_livraison]]+1,6)*(Tab_Calculs[[#This Row],[fin mois]]-MIN(Tab_Calculs[[#This Row],[fin mois]],Tab_Calculs[[#This Row],[Date_livraison]]))</f>
        <v>#VALUE!</v>
      </c>
      <c r="N457" s="231" t="str">
        <f ca="1">IFERROR(Tab_Calculs[[#This Row],[Ratio_jour_après_livr]]+Tab_Calculs[[#This Row],[Ratio_jour_avant_livr]]+Tab_Calculs[[#This Row],[ratio_avant_debut]],"")</f>
        <v/>
      </c>
      <c r="O457" t="e">
        <f ca="1">INDEX(INDIRECT(CONCATENATE("Tab_",Tab_Calculs[[#This Row],[Colonne1]])),Tab_Calculs[[#This Row],[index_date_livraison]]-1,7)*(MAX(Tab_Calculs[[#This Row],[Début periode livraison]],Tab_Calculs[[#This Row],[Début mois]])-Tab_Calculs[[#This Row],[Début mois]])</f>
        <v>#VALUE!</v>
      </c>
      <c r="P457">
        <f ca="1">INDEX(INDIRECT(CONCATENATE("Tab_",Tab_Calculs[[#This Row],[Colonne1]])),Tab_Calculs[[#This Row],[index_date_livraison]],7)*(1+MIN(Tab_Calculs[[#This Row],[Date_livraison]],Tab_Calculs[[#This Row],[fin mois]])-MAX(Tab_Calculs[[#This Row],[Début mois]],Tab_Calculs[[#This Row],[Début periode livraison]]))</f>
        <v>0</v>
      </c>
      <c r="Q457" t="e">
        <f ca="1">INDEX(INDIRECT(CONCATENATE("Tab_",Tab_Calculs[[#This Row],[Colonne1]])),Tab_Calculs[[#This Row],[index_date_livraison]]+1,7)*(Tab_Calculs[[#This Row],[fin mois]]-MIN(Tab_Calculs[[#This Row],[fin mois]],Tab_Calculs[[#This Row],[Date_livraison]]))</f>
        <v>#VALUE!</v>
      </c>
      <c r="R457" t="e">
        <f ca="1">Tab_Calculs[[#This Row],[Ratio_Cout_après_livr]]+Tab_Calculs[[#This Row],[Ratio_Cout_avant_livr]]+Tab_Calculs[[#This Row],[Ratio_Cout_avant_debut]]</f>
        <v>#VALUE!</v>
      </c>
      <c r="S457" t="str">
        <f ca="1">IFERROR(N457*VLOOKUP(Tab_Calculs[[#This Row],[Colonne1]],Controle_des_données!$B$7:$G$14,6,FALSE),"")</f>
        <v/>
      </c>
      <c r="T457" t="str">
        <f ca="1">IF(Tab_Calculs[[#This Row],[Combustible ]]="Electricité (kWh)",Tab_Calculs[[#This Row],[Conso_mois_kWh]]*2.3,Tab_Calculs[[#This Row],[Conso_mois_kWh]])</f>
        <v/>
      </c>
      <c r="U457" t="str">
        <f ca="1">IFERROR(N457*VLOOKUP(Tab_Calculs[[#This Row],[Colonne1]],Controle_des_données!$B$7:$H$14,7,FALSE),"")</f>
        <v/>
      </c>
      <c r="V457">
        <f ca="1">IFERROR(Tab_Calculs[[#This Row],[Cout_mois]]/Tab_Calculs[[#This Row],[Conso_mois_kWh]],0)</f>
        <v>0</v>
      </c>
      <c r="W457" t="str">
        <f>T(VLOOKUP(Tab_Calculs[[#This Row],[Compteur]],Site!$B$33:$G$40,3,FALSE))</f>
        <v/>
      </c>
      <c r="X457" t="str">
        <f>T(VLOOKUP(Tab_Calculs[[#This Row],[Compteur]],Site!$B$33:$G$40,4,FALSE))</f>
        <v/>
      </c>
      <c r="Y457" t="str">
        <f>T(VLOOKUP(Tab_Calculs[[#This Row],[Compteur]],Site!$B$33:$G$40,5,FALSE))</f>
        <v/>
      </c>
      <c r="Z457" t="str">
        <f>T(VLOOKUP(Tab_Calculs[[#This Row],[Compteur]],Site!$B$33:$G$40,6,FALSE))</f>
        <v/>
      </c>
      <c r="AA457">
        <f>IFERROR(GETPIVOTDATA("DJU(chauffagiste)",BDD_DJU!$P$13,"annee",Tab_Calculs[[#This Row],[ANNEE]],"mois_numero",Tab_Calculs[[#This Row],[MOIS]]),0)</f>
        <v>119.9</v>
      </c>
    </row>
    <row r="458" spans="1:27" x14ac:dyDescent="0.25">
      <c r="A458" s="3">
        <f>DATE(Tab_Calculs[[#This Row],[ANNEE]],Tab_Calculs[[#This Row],[MOIS]],1)</f>
        <v>42156</v>
      </c>
      <c r="B458" s="3">
        <f>EDATE(Tab_Calculs[[#This Row],[Début mois]],1)-1</f>
        <v>42185</v>
      </c>
      <c r="C458">
        <v>6</v>
      </c>
      <c r="D458">
        <f t="shared" si="14"/>
        <v>2015</v>
      </c>
      <c r="E458" t="s">
        <v>82</v>
      </c>
      <c r="F458" t="str">
        <f>SUBSTITUTE(Tab_Calculs[[#This Row],[Compteur]]," ","_")</f>
        <v>Compteur_3</v>
      </c>
      <c r="G458" t="str">
        <f>T(INDEX(Site!$B$33:$G$40, MATCH(Tab_Calculs[[#This Row],[Compteur]], Site!$B$33:$B$40,0),2))</f>
        <v/>
      </c>
      <c r="H458" s="3">
        <f t="array" aca="1" ref="H458" ca="1">MIN(IF(INDIRECT(CONCATENATE(Tab_Calculs[[#This Row],[Colonne1]],"!$B$2:$B$243"))&gt;=Calculs_Consos!$A458,INDIRECT(CONCATENATE(Tab_Calculs[[#This Row],[Colonne1]],"!$B$2:$B$243"))))</f>
        <v>0</v>
      </c>
      <c r="I458" s="3">
        <f ca="1">INDEX(INDIRECT(CONCATENATE("Tab_",Tab_Calculs[[#This Row],[Colonne1]])),Tab_Calculs[[#This Row],[index_date_livraison]],1)</f>
        <v>0</v>
      </c>
      <c r="J458">
        <f ca="1">MATCH(Tab_Calculs[[#This Row],[Date_livraison]],INDIRECT(CONCATENATE("Tab_",Tab_Calculs[[#This Row],[Colonne1]],"[Fin de période]")),0)</f>
        <v>1</v>
      </c>
      <c r="K458" t="e">
        <f ca="1">INDEX(INDIRECT(CONCATENATE("Tab_",Tab_Calculs[[#This Row],[Colonne1]])),Tab_Calculs[[#This Row],[index_date_livraison]]-1,6)*(MAX(Tab_Calculs[[#This Row],[Début periode livraison]],Tab_Calculs[[#This Row],[Début mois]])-Tab_Calculs[[#This Row],[Début mois]])</f>
        <v>#VALUE!</v>
      </c>
      <c r="L458" s="94">
        <f ca="1">INDEX(INDIRECT(CONCATENATE("Tab_",Tab_Calculs[[#This Row],[Colonne1]])),Tab_Calculs[[#This Row],[index_date_livraison]],6)*(1+MIN(Tab_Calculs[[#This Row],[Date_livraison]],Tab_Calculs[[#This Row],[fin mois]])-MAX(Tab_Calculs[[#This Row],[Début mois]],Tab_Calculs[[#This Row],[Début periode livraison]]))</f>
        <v>0</v>
      </c>
      <c r="M458" s="94" t="e">
        <f ca="1">INDEX(INDIRECT(CONCATENATE("Tab_",Tab_Calculs[[#This Row],[Colonne1]])),Tab_Calculs[[#This Row],[index_date_livraison]]+1,6)*(Tab_Calculs[[#This Row],[fin mois]]-MIN(Tab_Calculs[[#This Row],[fin mois]],Tab_Calculs[[#This Row],[Date_livraison]]))</f>
        <v>#VALUE!</v>
      </c>
      <c r="N458" s="231" t="str">
        <f ca="1">IFERROR(Tab_Calculs[[#This Row],[Ratio_jour_après_livr]]+Tab_Calculs[[#This Row],[Ratio_jour_avant_livr]]+Tab_Calculs[[#This Row],[ratio_avant_debut]],"")</f>
        <v/>
      </c>
      <c r="O458" t="e">
        <f ca="1">INDEX(INDIRECT(CONCATENATE("Tab_",Tab_Calculs[[#This Row],[Colonne1]])),Tab_Calculs[[#This Row],[index_date_livraison]]-1,7)*(MAX(Tab_Calculs[[#This Row],[Début periode livraison]],Tab_Calculs[[#This Row],[Début mois]])-Tab_Calculs[[#This Row],[Début mois]])</f>
        <v>#VALUE!</v>
      </c>
      <c r="P458">
        <f ca="1">INDEX(INDIRECT(CONCATENATE("Tab_",Tab_Calculs[[#This Row],[Colonne1]])),Tab_Calculs[[#This Row],[index_date_livraison]],7)*(1+MIN(Tab_Calculs[[#This Row],[Date_livraison]],Tab_Calculs[[#This Row],[fin mois]])-MAX(Tab_Calculs[[#This Row],[Début mois]],Tab_Calculs[[#This Row],[Début periode livraison]]))</f>
        <v>0</v>
      </c>
      <c r="Q458" t="e">
        <f ca="1">INDEX(INDIRECT(CONCATENATE("Tab_",Tab_Calculs[[#This Row],[Colonne1]])),Tab_Calculs[[#This Row],[index_date_livraison]]+1,7)*(Tab_Calculs[[#This Row],[fin mois]]-MIN(Tab_Calculs[[#This Row],[fin mois]],Tab_Calculs[[#This Row],[Date_livraison]]))</f>
        <v>#VALUE!</v>
      </c>
      <c r="R458" t="e">
        <f ca="1">Tab_Calculs[[#This Row],[Ratio_Cout_après_livr]]+Tab_Calculs[[#This Row],[Ratio_Cout_avant_livr]]+Tab_Calculs[[#This Row],[Ratio_Cout_avant_debut]]</f>
        <v>#VALUE!</v>
      </c>
      <c r="S458" t="str">
        <f ca="1">IFERROR(N458*VLOOKUP(Tab_Calculs[[#This Row],[Colonne1]],Controle_des_données!$B$7:$G$14,6,FALSE),"")</f>
        <v/>
      </c>
      <c r="T458" t="str">
        <f ca="1">IF(Tab_Calculs[[#This Row],[Combustible ]]="Electricité (kWh)",Tab_Calculs[[#This Row],[Conso_mois_kWh]]*2.3,Tab_Calculs[[#This Row],[Conso_mois_kWh]])</f>
        <v/>
      </c>
      <c r="U458" t="str">
        <f ca="1">IFERROR(N458*VLOOKUP(Tab_Calculs[[#This Row],[Colonne1]],Controle_des_données!$B$7:$H$14,7,FALSE),"")</f>
        <v/>
      </c>
      <c r="V458">
        <f ca="1">IFERROR(Tab_Calculs[[#This Row],[Cout_mois]]/Tab_Calculs[[#This Row],[Conso_mois_kWh]],0)</f>
        <v>0</v>
      </c>
      <c r="W458" t="str">
        <f>T(VLOOKUP(Tab_Calculs[[#This Row],[Compteur]],Site!$B$33:$G$40,3,FALSE))</f>
        <v/>
      </c>
      <c r="X458" t="str">
        <f>T(VLOOKUP(Tab_Calculs[[#This Row],[Compteur]],Site!$B$33:$G$40,4,FALSE))</f>
        <v/>
      </c>
      <c r="Y458" t="str">
        <f>T(VLOOKUP(Tab_Calculs[[#This Row],[Compteur]],Site!$B$33:$G$40,5,FALSE))</f>
        <v/>
      </c>
      <c r="Z458" t="str">
        <f>T(VLOOKUP(Tab_Calculs[[#This Row],[Compteur]],Site!$B$33:$G$40,6,FALSE))</f>
        <v/>
      </c>
      <c r="AA458">
        <f>IFERROR(GETPIVOTDATA("DJU(chauffagiste)",BDD_DJU!$P$13,"annee",Tab_Calculs[[#This Row],[ANNEE]],"mois_numero",Tab_Calculs[[#This Row],[MOIS]]),0)</f>
        <v>51.8</v>
      </c>
    </row>
    <row r="459" spans="1:27" x14ac:dyDescent="0.25">
      <c r="A459" s="3">
        <f>DATE(Tab_Calculs[[#This Row],[ANNEE]],Tab_Calculs[[#This Row],[MOIS]],1)</f>
        <v>42186</v>
      </c>
      <c r="B459" s="3">
        <f>EDATE(Tab_Calculs[[#This Row],[Début mois]],1)-1</f>
        <v>42216</v>
      </c>
      <c r="C459">
        <v>7</v>
      </c>
      <c r="D459">
        <f t="shared" si="14"/>
        <v>2015</v>
      </c>
      <c r="E459" t="s">
        <v>82</v>
      </c>
      <c r="F459" t="str">
        <f>SUBSTITUTE(Tab_Calculs[[#This Row],[Compteur]]," ","_")</f>
        <v>Compteur_3</v>
      </c>
      <c r="G459" t="str">
        <f>T(INDEX(Site!$B$33:$G$40, MATCH(Tab_Calculs[[#This Row],[Compteur]], Site!$B$33:$B$40,0),2))</f>
        <v/>
      </c>
      <c r="H459" s="3">
        <f t="array" aca="1" ref="H459" ca="1">MIN(IF(INDIRECT(CONCATENATE(Tab_Calculs[[#This Row],[Colonne1]],"!$B$2:$B$243"))&gt;=Calculs_Consos!$A459,INDIRECT(CONCATENATE(Tab_Calculs[[#This Row],[Colonne1]],"!$B$2:$B$243"))))</f>
        <v>0</v>
      </c>
      <c r="I459" s="3">
        <f ca="1">INDEX(INDIRECT(CONCATENATE("Tab_",Tab_Calculs[[#This Row],[Colonne1]])),Tab_Calculs[[#This Row],[index_date_livraison]],1)</f>
        <v>0</v>
      </c>
      <c r="J459">
        <f ca="1">MATCH(Tab_Calculs[[#This Row],[Date_livraison]],INDIRECT(CONCATENATE("Tab_",Tab_Calculs[[#This Row],[Colonne1]],"[Fin de période]")),0)</f>
        <v>1</v>
      </c>
      <c r="K459" t="e">
        <f ca="1">INDEX(INDIRECT(CONCATENATE("Tab_",Tab_Calculs[[#This Row],[Colonne1]])),Tab_Calculs[[#This Row],[index_date_livraison]]-1,6)*(MAX(Tab_Calculs[[#This Row],[Début periode livraison]],Tab_Calculs[[#This Row],[Début mois]])-Tab_Calculs[[#This Row],[Début mois]])</f>
        <v>#VALUE!</v>
      </c>
      <c r="L459" s="94">
        <f ca="1">INDEX(INDIRECT(CONCATENATE("Tab_",Tab_Calculs[[#This Row],[Colonne1]])),Tab_Calculs[[#This Row],[index_date_livraison]],6)*(1+MIN(Tab_Calculs[[#This Row],[Date_livraison]],Tab_Calculs[[#This Row],[fin mois]])-MAX(Tab_Calculs[[#This Row],[Début mois]],Tab_Calculs[[#This Row],[Début periode livraison]]))</f>
        <v>0</v>
      </c>
      <c r="M459" s="94" t="e">
        <f ca="1">INDEX(INDIRECT(CONCATENATE("Tab_",Tab_Calculs[[#This Row],[Colonne1]])),Tab_Calculs[[#This Row],[index_date_livraison]]+1,6)*(Tab_Calculs[[#This Row],[fin mois]]-MIN(Tab_Calculs[[#This Row],[fin mois]],Tab_Calculs[[#This Row],[Date_livraison]]))</f>
        <v>#VALUE!</v>
      </c>
      <c r="N459" s="231" t="str">
        <f ca="1">IFERROR(Tab_Calculs[[#This Row],[Ratio_jour_après_livr]]+Tab_Calculs[[#This Row],[Ratio_jour_avant_livr]]+Tab_Calculs[[#This Row],[ratio_avant_debut]],"")</f>
        <v/>
      </c>
      <c r="O459" t="e">
        <f ca="1">INDEX(INDIRECT(CONCATENATE("Tab_",Tab_Calculs[[#This Row],[Colonne1]])),Tab_Calculs[[#This Row],[index_date_livraison]]-1,7)*(MAX(Tab_Calculs[[#This Row],[Début periode livraison]],Tab_Calculs[[#This Row],[Début mois]])-Tab_Calculs[[#This Row],[Début mois]])</f>
        <v>#VALUE!</v>
      </c>
      <c r="P459">
        <f ca="1">INDEX(INDIRECT(CONCATENATE("Tab_",Tab_Calculs[[#This Row],[Colonne1]])),Tab_Calculs[[#This Row],[index_date_livraison]],7)*(1+MIN(Tab_Calculs[[#This Row],[Date_livraison]],Tab_Calculs[[#This Row],[fin mois]])-MAX(Tab_Calculs[[#This Row],[Début mois]],Tab_Calculs[[#This Row],[Début periode livraison]]))</f>
        <v>0</v>
      </c>
      <c r="Q459" t="e">
        <f ca="1">INDEX(INDIRECT(CONCATENATE("Tab_",Tab_Calculs[[#This Row],[Colonne1]])),Tab_Calculs[[#This Row],[index_date_livraison]]+1,7)*(Tab_Calculs[[#This Row],[fin mois]]-MIN(Tab_Calculs[[#This Row],[fin mois]],Tab_Calculs[[#This Row],[Date_livraison]]))</f>
        <v>#VALUE!</v>
      </c>
      <c r="R459" t="e">
        <f ca="1">Tab_Calculs[[#This Row],[Ratio_Cout_après_livr]]+Tab_Calculs[[#This Row],[Ratio_Cout_avant_livr]]+Tab_Calculs[[#This Row],[Ratio_Cout_avant_debut]]</f>
        <v>#VALUE!</v>
      </c>
      <c r="S459" t="str">
        <f ca="1">IFERROR(N459*VLOOKUP(Tab_Calculs[[#This Row],[Colonne1]],Controle_des_données!$B$7:$G$14,6,FALSE),"")</f>
        <v/>
      </c>
      <c r="T459" t="str">
        <f ca="1">IF(Tab_Calculs[[#This Row],[Combustible ]]="Electricité (kWh)",Tab_Calculs[[#This Row],[Conso_mois_kWh]]*2.3,Tab_Calculs[[#This Row],[Conso_mois_kWh]])</f>
        <v/>
      </c>
      <c r="U459" t="str">
        <f ca="1">IFERROR(N459*VLOOKUP(Tab_Calculs[[#This Row],[Colonne1]],Controle_des_données!$B$7:$H$14,7,FALSE),"")</f>
        <v/>
      </c>
      <c r="V459">
        <f ca="1">IFERROR(Tab_Calculs[[#This Row],[Cout_mois]]/Tab_Calculs[[#This Row],[Conso_mois_kWh]],0)</f>
        <v>0</v>
      </c>
      <c r="W459" t="str">
        <f>T(VLOOKUP(Tab_Calculs[[#This Row],[Compteur]],Site!$B$33:$G$40,3,FALSE))</f>
        <v/>
      </c>
      <c r="X459" t="str">
        <f>T(VLOOKUP(Tab_Calculs[[#This Row],[Compteur]],Site!$B$33:$G$40,4,FALSE))</f>
        <v/>
      </c>
      <c r="Y459" t="str">
        <f>T(VLOOKUP(Tab_Calculs[[#This Row],[Compteur]],Site!$B$33:$G$40,5,FALSE))</f>
        <v/>
      </c>
      <c r="Z459" t="str">
        <f>T(VLOOKUP(Tab_Calculs[[#This Row],[Compteur]],Site!$B$33:$G$40,6,FALSE))</f>
        <v/>
      </c>
      <c r="AA459">
        <f>IFERROR(GETPIVOTDATA("DJU(chauffagiste)",BDD_DJU!$P$13,"annee",Tab_Calculs[[#This Row],[ANNEE]],"mois_numero",Tab_Calculs[[#This Row],[MOIS]]),0)</f>
        <v>29</v>
      </c>
    </row>
    <row r="460" spans="1:27" x14ac:dyDescent="0.25">
      <c r="A460" s="3">
        <f>DATE(Tab_Calculs[[#This Row],[ANNEE]],Tab_Calculs[[#This Row],[MOIS]],1)</f>
        <v>42217</v>
      </c>
      <c r="B460" s="3">
        <f>EDATE(Tab_Calculs[[#This Row],[Début mois]],1)-1</f>
        <v>42247</v>
      </c>
      <c r="C460">
        <v>8</v>
      </c>
      <c r="D460">
        <f t="shared" si="14"/>
        <v>2015</v>
      </c>
      <c r="E460" t="s">
        <v>82</v>
      </c>
      <c r="F460" t="str">
        <f>SUBSTITUTE(Tab_Calculs[[#This Row],[Compteur]]," ","_")</f>
        <v>Compteur_3</v>
      </c>
      <c r="G460" t="str">
        <f>T(INDEX(Site!$B$33:$G$40, MATCH(Tab_Calculs[[#This Row],[Compteur]], Site!$B$33:$B$40,0),2))</f>
        <v/>
      </c>
      <c r="H460" s="3">
        <f t="array" aca="1" ref="H460" ca="1">MIN(IF(INDIRECT(CONCATENATE(Tab_Calculs[[#This Row],[Colonne1]],"!$B$2:$B$243"))&gt;=Calculs_Consos!$A460,INDIRECT(CONCATENATE(Tab_Calculs[[#This Row],[Colonne1]],"!$B$2:$B$243"))))</f>
        <v>0</v>
      </c>
      <c r="I460" s="3">
        <f ca="1">INDEX(INDIRECT(CONCATENATE("Tab_",Tab_Calculs[[#This Row],[Colonne1]])),Tab_Calculs[[#This Row],[index_date_livraison]],1)</f>
        <v>0</v>
      </c>
      <c r="J460">
        <f ca="1">MATCH(Tab_Calculs[[#This Row],[Date_livraison]],INDIRECT(CONCATENATE("Tab_",Tab_Calculs[[#This Row],[Colonne1]],"[Fin de période]")),0)</f>
        <v>1</v>
      </c>
      <c r="K460" t="e">
        <f ca="1">INDEX(INDIRECT(CONCATENATE("Tab_",Tab_Calculs[[#This Row],[Colonne1]])),Tab_Calculs[[#This Row],[index_date_livraison]]-1,6)*(MAX(Tab_Calculs[[#This Row],[Début periode livraison]],Tab_Calculs[[#This Row],[Début mois]])-Tab_Calculs[[#This Row],[Début mois]])</f>
        <v>#VALUE!</v>
      </c>
      <c r="L460" s="94">
        <f ca="1">INDEX(INDIRECT(CONCATENATE("Tab_",Tab_Calculs[[#This Row],[Colonne1]])),Tab_Calculs[[#This Row],[index_date_livraison]],6)*(1+MIN(Tab_Calculs[[#This Row],[Date_livraison]],Tab_Calculs[[#This Row],[fin mois]])-MAX(Tab_Calculs[[#This Row],[Début mois]],Tab_Calculs[[#This Row],[Début periode livraison]]))</f>
        <v>0</v>
      </c>
      <c r="M460" s="94" t="e">
        <f ca="1">INDEX(INDIRECT(CONCATENATE("Tab_",Tab_Calculs[[#This Row],[Colonne1]])),Tab_Calculs[[#This Row],[index_date_livraison]]+1,6)*(Tab_Calculs[[#This Row],[fin mois]]-MIN(Tab_Calculs[[#This Row],[fin mois]],Tab_Calculs[[#This Row],[Date_livraison]]))</f>
        <v>#VALUE!</v>
      </c>
      <c r="N460" s="231" t="str">
        <f ca="1">IFERROR(Tab_Calculs[[#This Row],[Ratio_jour_après_livr]]+Tab_Calculs[[#This Row],[Ratio_jour_avant_livr]]+Tab_Calculs[[#This Row],[ratio_avant_debut]],"")</f>
        <v/>
      </c>
      <c r="O460" t="e">
        <f ca="1">INDEX(INDIRECT(CONCATENATE("Tab_",Tab_Calculs[[#This Row],[Colonne1]])),Tab_Calculs[[#This Row],[index_date_livraison]]-1,7)*(MAX(Tab_Calculs[[#This Row],[Début periode livraison]],Tab_Calculs[[#This Row],[Début mois]])-Tab_Calculs[[#This Row],[Début mois]])</f>
        <v>#VALUE!</v>
      </c>
      <c r="P460">
        <f ca="1">INDEX(INDIRECT(CONCATENATE("Tab_",Tab_Calculs[[#This Row],[Colonne1]])),Tab_Calculs[[#This Row],[index_date_livraison]],7)*(1+MIN(Tab_Calculs[[#This Row],[Date_livraison]],Tab_Calculs[[#This Row],[fin mois]])-MAX(Tab_Calculs[[#This Row],[Début mois]],Tab_Calculs[[#This Row],[Début periode livraison]]))</f>
        <v>0</v>
      </c>
      <c r="Q460" t="e">
        <f ca="1">INDEX(INDIRECT(CONCATENATE("Tab_",Tab_Calculs[[#This Row],[Colonne1]])),Tab_Calculs[[#This Row],[index_date_livraison]]+1,7)*(Tab_Calculs[[#This Row],[fin mois]]-MIN(Tab_Calculs[[#This Row],[fin mois]],Tab_Calculs[[#This Row],[Date_livraison]]))</f>
        <v>#VALUE!</v>
      </c>
      <c r="R460" t="e">
        <f ca="1">Tab_Calculs[[#This Row],[Ratio_Cout_après_livr]]+Tab_Calculs[[#This Row],[Ratio_Cout_avant_livr]]+Tab_Calculs[[#This Row],[Ratio_Cout_avant_debut]]</f>
        <v>#VALUE!</v>
      </c>
      <c r="S460" t="str">
        <f ca="1">IFERROR(N460*VLOOKUP(Tab_Calculs[[#This Row],[Colonne1]],Controle_des_données!$B$7:$G$14,6,FALSE),"")</f>
        <v/>
      </c>
      <c r="T460" t="str">
        <f ca="1">IF(Tab_Calculs[[#This Row],[Combustible ]]="Electricité (kWh)",Tab_Calculs[[#This Row],[Conso_mois_kWh]]*2.3,Tab_Calculs[[#This Row],[Conso_mois_kWh]])</f>
        <v/>
      </c>
      <c r="U460" t="str">
        <f ca="1">IFERROR(N460*VLOOKUP(Tab_Calculs[[#This Row],[Colonne1]],Controle_des_données!$B$7:$H$14,7,FALSE),"")</f>
        <v/>
      </c>
      <c r="V460">
        <f ca="1">IFERROR(Tab_Calculs[[#This Row],[Cout_mois]]/Tab_Calculs[[#This Row],[Conso_mois_kWh]],0)</f>
        <v>0</v>
      </c>
      <c r="W460" t="str">
        <f>T(VLOOKUP(Tab_Calculs[[#This Row],[Compteur]],Site!$B$33:$G$40,3,FALSE))</f>
        <v/>
      </c>
      <c r="X460" t="str">
        <f>T(VLOOKUP(Tab_Calculs[[#This Row],[Compteur]],Site!$B$33:$G$40,4,FALSE))</f>
        <v/>
      </c>
      <c r="Y460" t="str">
        <f>T(VLOOKUP(Tab_Calculs[[#This Row],[Compteur]],Site!$B$33:$G$40,5,FALSE))</f>
        <v/>
      </c>
      <c r="Z460" t="str">
        <f>T(VLOOKUP(Tab_Calculs[[#This Row],[Compteur]],Site!$B$33:$G$40,6,FALSE))</f>
        <v/>
      </c>
      <c r="AA460">
        <f>IFERROR(GETPIVOTDATA("DJU(chauffagiste)",BDD_DJU!$P$13,"annee",Tab_Calculs[[#This Row],[ANNEE]],"mois_numero",Tab_Calculs[[#This Row],[MOIS]]),0)</f>
        <v>32</v>
      </c>
    </row>
    <row r="461" spans="1:27" x14ac:dyDescent="0.25">
      <c r="A461" s="3">
        <f>DATE(Tab_Calculs[[#This Row],[ANNEE]],Tab_Calculs[[#This Row],[MOIS]],1)</f>
        <v>42248</v>
      </c>
      <c r="B461" s="3">
        <f>EDATE(Tab_Calculs[[#This Row],[Début mois]],1)-1</f>
        <v>42277</v>
      </c>
      <c r="C461">
        <v>9</v>
      </c>
      <c r="D461">
        <f t="shared" si="14"/>
        <v>2015</v>
      </c>
      <c r="E461" t="s">
        <v>82</v>
      </c>
      <c r="F461" t="str">
        <f>SUBSTITUTE(Tab_Calculs[[#This Row],[Compteur]]," ","_")</f>
        <v>Compteur_3</v>
      </c>
      <c r="G461" t="str">
        <f>T(INDEX(Site!$B$33:$G$40, MATCH(Tab_Calculs[[#This Row],[Compteur]], Site!$B$33:$B$40,0),2))</f>
        <v/>
      </c>
      <c r="H461" s="3">
        <f t="array" aca="1" ref="H461" ca="1">MIN(IF(INDIRECT(CONCATENATE(Tab_Calculs[[#This Row],[Colonne1]],"!$B$2:$B$243"))&gt;=Calculs_Consos!$A461,INDIRECT(CONCATENATE(Tab_Calculs[[#This Row],[Colonne1]],"!$B$2:$B$243"))))</f>
        <v>0</v>
      </c>
      <c r="I461" s="3">
        <f ca="1">INDEX(INDIRECT(CONCATENATE("Tab_",Tab_Calculs[[#This Row],[Colonne1]])),Tab_Calculs[[#This Row],[index_date_livraison]],1)</f>
        <v>0</v>
      </c>
      <c r="J461">
        <f ca="1">MATCH(Tab_Calculs[[#This Row],[Date_livraison]],INDIRECT(CONCATENATE("Tab_",Tab_Calculs[[#This Row],[Colonne1]],"[Fin de période]")),0)</f>
        <v>1</v>
      </c>
      <c r="K461" t="e">
        <f ca="1">INDEX(INDIRECT(CONCATENATE("Tab_",Tab_Calculs[[#This Row],[Colonne1]])),Tab_Calculs[[#This Row],[index_date_livraison]]-1,6)*(MAX(Tab_Calculs[[#This Row],[Début periode livraison]],Tab_Calculs[[#This Row],[Début mois]])-Tab_Calculs[[#This Row],[Début mois]])</f>
        <v>#VALUE!</v>
      </c>
      <c r="L461" s="94">
        <f ca="1">INDEX(INDIRECT(CONCATENATE("Tab_",Tab_Calculs[[#This Row],[Colonne1]])),Tab_Calculs[[#This Row],[index_date_livraison]],6)*(1+MIN(Tab_Calculs[[#This Row],[Date_livraison]],Tab_Calculs[[#This Row],[fin mois]])-MAX(Tab_Calculs[[#This Row],[Début mois]],Tab_Calculs[[#This Row],[Début periode livraison]]))</f>
        <v>0</v>
      </c>
      <c r="M461" s="94" t="e">
        <f ca="1">INDEX(INDIRECT(CONCATENATE("Tab_",Tab_Calculs[[#This Row],[Colonne1]])),Tab_Calculs[[#This Row],[index_date_livraison]]+1,6)*(Tab_Calculs[[#This Row],[fin mois]]-MIN(Tab_Calculs[[#This Row],[fin mois]],Tab_Calculs[[#This Row],[Date_livraison]]))</f>
        <v>#VALUE!</v>
      </c>
      <c r="N461" s="231" t="str">
        <f ca="1">IFERROR(Tab_Calculs[[#This Row],[Ratio_jour_après_livr]]+Tab_Calculs[[#This Row],[Ratio_jour_avant_livr]]+Tab_Calculs[[#This Row],[ratio_avant_debut]],"")</f>
        <v/>
      </c>
      <c r="O461" t="e">
        <f ca="1">INDEX(INDIRECT(CONCATENATE("Tab_",Tab_Calculs[[#This Row],[Colonne1]])),Tab_Calculs[[#This Row],[index_date_livraison]]-1,7)*(MAX(Tab_Calculs[[#This Row],[Début periode livraison]],Tab_Calculs[[#This Row],[Début mois]])-Tab_Calculs[[#This Row],[Début mois]])</f>
        <v>#VALUE!</v>
      </c>
      <c r="P461">
        <f ca="1">INDEX(INDIRECT(CONCATENATE("Tab_",Tab_Calculs[[#This Row],[Colonne1]])),Tab_Calculs[[#This Row],[index_date_livraison]],7)*(1+MIN(Tab_Calculs[[#This Row],[Date_livraison]],Tab_Calculs[[#This Row],[fin mois]])-MAX(Tab_Calculs[[#This Row],[Début mois]],Tab_Calculs[[#This Row],[Début periode livraison]]))</f>
        <v>0</v>
      </c>
      <c r="Q461" t="e">
        <f ca="1">INDEX(INDIRECT(CONCATENATE("Tab_",Tab_Calculs[[#This Row],[Colonne1]])),Tab_Calculs[[#This Row],[index_date_livraison]]+1,7)*(Tab_Calculs[[#This Row],[fin mois]]-MIN(Tab_Calculs[[#This Row],[fin mois]],Tab_Calculs[[#This Row],[Date_livraison]]))</f>
        <v>#VALUE!</v>
      </c>
      <c r="R461" t="e">
        <f ca="1">Tab_Calculs[[#This Row],[Ratio_Cout_après_livr]]+Tab_Calculs[[#This Row],[Ratio_Cout_avant_livr]]+Tab_Calculs[[#This Row],[Ratio_Cout_avant_debut]]</f>
        <v>#VALUE!</v>
      </c>
      <c r="S461" t="str">
        <f ca="1">IFERROR(N461*VLOOKUP(Tab_Calculs[[#This Row],[Colonne1]],Controle_des_données!$B$7:$G$14,6,FALSE),"")</f>
        <v/>
      </c>
      <c r="T461" t="str">
        <f ca="1">IF(Tab_Calculs[[#This Row],[Combustible ]]="Electricité (kWh)",Tab_Calculs[[#This Row],[Conso_mois_kWh]]*2.3,Tab_Calculs[[#This Row],[Conso_mois_kWh]])</f>
        <v/>
      </c>
      <c r="U461" t="str">
        <f ca="1">IFERROR(N461*VLOOKUP(Tab_Calculs[[#This Row],[Colonne1]],Controle_des_données!$B$7:$H$14,7,FALSE),"")</f>
        <v/>
      </c>
      <c r="V461">
        <f ca="1">IFERROR(Tab_Calculs[[#This Row],[Cout_mois]]/Tab_Calculs[[#This Row],[Conso_mois_kWh]],0)</f>
        <v>0</v>
      </c>
      <c r="W461" t="str">
        <f>T(VLOOKUP(Tab_Calculs[[#This Row],[Compteur]],Site!$B$33:$G$40,3,FALSE))</f>
        <v/>
      </c>
      <c r="X461" t="str">
        <f>T(VLOOKUP(Tab_Calculs[[#This Row],[Compteur]],Site!$B$33:$G$40,4,FALSE))</f>
        <v/>
      </c>
      <c r="Y461" t="str">
        <f>T(VLOOKUP(Tab_Calculs[[#This Row],[Compteur]],Site!$B$33:$G$40,5,FALSE))</f>
        <v/>
      </c>
      <c r="Z461" t="str">
        <f>T(VLOOKUP(Tab_Calculs[[#This Row],[Compteur]],Site!$B$33:$G$40,6,FALSE))</f>
        <v/>
      </c>
      <c r="AA461">
        <f>IFERROR(GETPIVOTDATA("DJU(chauffagiste)",BDD_DJU!$P$13,"annee",Tab_Calculs[[#This Row],[ANNEE]],"mois_numero",Tab_Calculs[[#This Row],[MOIS]]),0)</f>
        <v>96.9</v>
      </c>
    </row>
    <row r="462" spans="1:27" x14ac:dyDescent="0.25">
      <c r="A462" s="3">
        <f>DATE(Tab_Calculs[[#This Row],[ANNEE]],Tab_Calculs[[#This Row],[MOIS]],1)</f>
        <v>42278</v>
      </c>
      <c r="B462" s="3">
        <f>EDATE(Tab_Calculs[[#This Row],[Début mois]],1)-1</f>
        <v>42308</v>
      </c>
      <c r="C462">
        <v>10</v>
      </c>
      <c r="D462">
        <f t="shared" si="14"/>
        <v>2015</v>
      </c>
      <c r="E462" t="s">
        <v>82</v>
      </c>
      <c r="F462" t="str">
        <f>SUBSTITUTE(Tab_Calculs[[#This Row],[Compteur]]," ","_")</f>
        <v>Compteur_3</v>
      </c>
      <c r="G462" t="str">
        <f>T(INDEX(Site!$B$33:$G$40, MATCH(Tab_Calculs[[#This Row],[Compteur]], Site!$B$33:$B$40,0),2))</f>
        <v/>
      </c>
      <c r="H462" s="3">
        <f t="array" aca="1" ref="H462" ca="1">MIN(IF(INDIRECT(CONCATENATE(Tab_Calculs[[#This Row],[Colonne1]],"!$B$2:$B$243"))&gt;=Calculs_Consos!$A462,INDIRECT(CONCATENATE(Tab_Calculs[[#This Row],[Colonne1]],"!$B$2:$B$243"))))</f>
        <v>0</v>
      </c>
      <c r="I462" s="3">
        <f ca="1">INDEX(INDIRECT(CONCATENATE("Tab_",Tab_Calculs[[#This Row],[Colonne1]])),Tab_Calculs[[#This Row],[index_date_livraison]],1)</f>
        <v>0</v>
      </c>
      <c r="J462">
        <f ca="1">MATCH(Tab_Calculs[[#This Row],[Date_livraison]],INDIRECT(CONCATENATE("Tab_",Tab_Calculs[[#This Row],[Colonne1]],"[Fin de période]")),0)</f>
        <v>1</v>
      </c>
      <c r="K462" t="e">
        <f ca="1">INDEX(INDIRECT(CONCATENATE("Tab_",Tab_Calculs[[#This Row],[Colonne1]])),Tab_Calculs[[#This Row],[index_date_livraison]]-1,6)*(MAX(Tab_Calculs[[#This Row],[Début periode livraison]],Tab_Calculs[[#This Row],[Début mois]])-Tab_Calculs[[#This Row],[Début mois]])</f>
        <v>#VALUE!</v>
      </c>
      <c r="L462" s="94">
        <f ca="1">INDEX(INDIRECT(CONCATENATE("Tab_",Tab_Calculs[[#This Row],[Colonne1]])),Tab_Calculs[[#This Row],[index_date_livraison]],6)*(1+MIN(Tab_Calculs[[#This Row],[Date_livraison]],Tab_Calculs[[#This Row],[fin mois]])-MAX(Tab_Calculs[[#This Row],[Début mois]],Tab_Calculs[[#This Row],[Début periode livraison]]))</f>
        <v>0</v>
      </c>
      <c r="M462" s="94" t="e">
        <f ca="1">INDEX(INDIRECT(CONCATENATE("Tab_",Tab_Calculs[[#This Row],[Colonne1]])),Tab_Calculs[[#This Row],[index_date_livraison]]+1,6)*(Tab_Calculs[[#This Row],[fin mois]]-MIN(Tab_Calculs[[#This Row],[fin mois]],Tab_Calculs[[#This Row],[Date_livraison]]))</f>
        <v>#VALUE!</v>
      </c>
      <c r="N462" s="231" t="str">
        <f ca="1">IFERROR(Tab_Calculs[[#This Row],[Ratio_jour_après_livr]]+Tab_Calculs[[#This Row],[Ratio_jour_avant_livr]]+Tab_Calculs[[#This Row],[ratio_avant_debut]],"")</f>
        <v/>
      </c>
      <c r="O462" t="e">
        <f ca="1">INDEX(INDIRECT(CONCATENATE("Tab_",Tab_Calculs[[#This Row],[Colonne1]])),Tab_Calculs[[#This Row],[index_date_livraison]]-1,7)*(MAX(Tab_Calculs[[#This Row],[Début periode livraison]],Tab_Calculs[[#This Row],[Début mois]])-Tab_Calculs[[#This Row],[Début mois]])</f>
        <v>#VALUE!</v>
      </c>
      <c r="P462">
        <f ca="1">INDEX(INDIRECT(CONCATENATE("Tab_",Tab_Calculs[[#This Row],[Colonne1]])),Tab_Calculs[[#This Row],[index_date_livraison]],7)*(1+MIN(Tab_Calculs[[#This Row],[Date_livraison]],Tab_Calculs[[#This Row],[fin mois]])-MAX(Tab_Calculs[[#This Row],[Début mois]],Tab_Calculs[[#This Row],[Début periode livraison]]))</f>
        <v>0</v>
      </c>
      <c r="Q462" t="e">
        <f ca="1">INDEX(INDIRECT(CONCATENATE("Tab_",Tab_Calculs[[#This Row],[Colonne1]])),Tab_Calculs[[#This Row],[index_date_livraison]]+1,7)*(Tab_Calculs[[#This Row],[fin mois]]-MIN(Tab_Calculs[[#This Row],[fin mois]],Tab_Calculs[[#This Row],[Date_livraison]]))</f>
        <v>#VALUE!</v>
      </c>
      <c r="R462" t="e">
        <f ca="1">Tab_Calculs[[#This Row],[Ratio_Cout_après_livr]]+Tab_Calculs[[#This Row],[Ratio_Cout_avant_livr]]+Tab_Calculs[[#This Row],[Ratio_Cout_avant_debut]]</f>
        <v>#VALUE!</v>
      </c>
      <c r="S462" t="str">
        <f ca="1">IFERROR(N462*VLOOKUP(Tab_Calculs[[#This Row],[Colonne1]],Controle_des_données!$B$7:$G$14,6,FALSE),"")</f>
        <v/>
      </c>
      <c r="T462" t="str">
        <f ca="1">IF(Tab_Calculs[[#This Row],[Combustible ]]="Electricité (kWh)",Tab_Calculs[[#This Row],[Conso_mois_kWh]]*2.3,Tab_Calculs[[#This Row],[Conso_mois_kWh]])</f>
        <v/>
      </c>
      <c r="U462" t="str">
        <f ca="1">IFERROR(N462*VLOOKUP(Tab_Calculs[[#This Row],[Colonne1]],Controle_des_données!$B$7:$H$14,7,FALSE),"")</f>
        <v/>
      </c>
      <c r="V462">
        <f ca="1">IFERROR(Tab_Calculs[[#This Row],[Cout_mois]]/Tab_Calculs[[#This Row],[Conso_mois_kWh]],0)</f>
        <v>0</v>
      </c>
      <c r="W462" t="str">
        <f>T(VLOOKUP(Tab_Calculs[[#This Row],[Compteur]],Site!$B$33:$G$40,3,FALSE))</f>
        <v/>
      </c>
      <c r="X462" t="str">
        <f>T(VLOOKUP(Tab_Calculs[[#This Row],[Compteur]],Site!$B$33:$G$40,4,FALSE))</f>
        <v/>
      </c>
      <c r="Y462" t="str">
        <f>T(VLOOKUP(Tab_Calculs[[#This Row],[Compteur]],Site!$B$33:$G$40,5,FALSE))</f>
        <v/>
      </c>
      <c r="Z462" t="str">
        <f>T(VLOOKUP(Tab_Calculs[[#This Row],[Compteur]],Site!$B$33:$G$40,6,FALSE))</f>
        <v/>
      </c>
      <c r="AA462">
        <f>IFERROR(GETPIVOTDATA("DJU(chauffagiste)",BDD_DJU!$P$13,"annee",Tab_Calculs[[#This Row],[ANNEE]],"mois_numero",Tab_Calculs[[#This Row],[MOIS]]),0)</f>
        <v>181.1</v>
      </c>
    </row>
    <row r="463" spans="1:27" x14ac:dyDescent="0.25">
      <c r="A463" s="3">
        <f>DATE(Tab_Calculs[[#This Row],[ANNEE]],Tab_Calculs[[#This Row],[MOIS]],1)</f>
        <v>42309</v>
      </c>
      <c r="B463" s="3">
        <f>EDATE(Tab_Calculs[[#This Row],[Début mois]],1)-1</f>
        <v>42338</v>
      </c>
      <c r="C463">
        <v>11</v>
      </c>
      <c r="D463">
        <f t="shared" si="14"/>
        <v>2015</v>
      </c>
      <c r="E463" t="s">
        <v>82</v>
      </c>
      <c r="F463" t="str">
        <f>SUBSTITUTE(Tab_Calculs[[#This Row],[Compteur]]," ","_")</f>
        <v>Compteur_3</v>
      </c>
      <c r="G463" t="str">
        <f>T(INDEX(Site!$B$33:$G$40, MATCH(Tab_Calculs[[#This Row],[Compteur]], Site!$B$33:$B$40,0),2))</f>
        <v/>
      </c>
      <c r="H463" s="3">
        <f t="array" aca="1" ref="H463" ca="1">MIN(IF(INDIRECT(CONCATENATE(Tab_Calculs[[#This Row],[Colonne1]],"!$B$2:$B$243"))&gt;=Calculs_Consos!$A463,INDIRECT(CONCATENATE(Tab_Calculs[[#This Row],[Colonne1]],"!$B$2:$B$243"))))</f>
        <v>0</v>
      </c>
      <c r="I463" s="3">
        <f ca="1">INDEX(INDIRECT(CONCATENATE("Tab_",Tab_Calculs[[#This Row],[Colonne1]])),Tab_Calculs[[#This Row],[index_date_livraison]],1)</f>
        <v>0</v>
      </c>
      <c r="J463">
        <f ca="1">MATCH(Tab_Calculs[[#This Row],[Date_livraison]],INDIRECT(CONCATENATE("Tab_",Tab_Calculs[[#This Row],[Colonne1]],"[Fin de période]")),0)</f>
        <v>1</v>
      </c>
      <c r="K463" t="e">
        <f ca="1">INDEX(INDIRECT(CONCATENATE("Tab_",Tab_Calculs[[#This Row],[Colonne1]])),Tab_Calculs[[#This Row],[index_date_livraison]]-1,6)*(MAX(Tab_Calculs[[#This Row],[Début periode livraison]],Tab_Calculs[[#This Row],[Début mois]])-Tab_Calculs[[#This Row],[Début mois]])</f>
        <v>#VALUE!</v>
      </c>
      <c r="L463" s="94">
        <f ca="1">INDEX(INDIRECT(CONCATENATE("Tab_",Tab_Calculs[[#This Row],[Colonne1]])),Tab_Calculs[[#This Row],[index_date_livraison]],6)*(1+MIN(Tab_Calculs[[#This Row],[Date_livraison]],Tab_Calculs[[#This Row],[fin mois]])-MAX(Tab_Calculs[[#This Row],[Début mois]],Tab_Calculs[[#This Row],[Début periode livraison]]))</f>
        <v>0</v>
      </c>
      <c r="M463" s="94" t="e">
        <f ca="1">INDEX(INDIRECT(CONCATENATE("Tab_",Tab_Calculs[[#This Row],[Colonne1]])),Tab_Calculs[[#This Row],[index_date_livraison]]+1,6)*(Tab_Calculs[[#This Row],[fin mois]]-MIN(Tab_Calculs[[#This Row],[fin mois]],Tab_Calculs[[#This Row],[Date_livraison]]))</f>
        <v>#VALUE!</v>
      </c>
      <c r="N463" s="231" t="str">
        <f ca="1">IFERROR(Tab_Calculs[[#This Row],[Ratio_jour_après_livr]]+Tab_Calculs[[#This Row],[Ratio_jour_avant_livr]]+Tab_Calculs[[#This Row],[ratio_avant_debut]],"")</f>
        <v/>
      </c>
      <c r="O463" t="e">
        <f ca="1">INDEX(INDIRECT(CONCATENATE("Tab_",Tab_Calculs[[#This Row],[Colonne1]])),Tab_Calculs[[#This Row],[index_date_livraison]]-1,7)*(MAX(Tab_Calculs[[#This Row],[Début periode livraison]],Tab_Calculs[[#This Row],[Début mois]])-Tab_Calculs[[#This Row],[Début mois]])</f>
        <v>#VALUE!</v>
      </c>
      <c r="P463">
        <f ca="1">INDEX(INDIRECT(CONCATENATE("Tab_",Tab_Calculs[[#This Row],[Colonne1]])),Tab_Calculs[[#This Row],[index_date_livraison]],7)*(1+MIN(Tab_Calculs[[#This Row],[Date_livraison]],Tab_Calculs[[#This Row],[fin mois]])-MAX(Tab_Calculs[[#This Row],[Début mois]],Tab_Calculs[[#This Row],[Début periode livraison]]))</f>
        <v>0</v>
      </c>
      <c r="Q463" t="e">
        <f ca="1">INDEX(INDIRECT(CONCATENATE("Tab_",Tab_Calculs[[#This Row],[Colonne1]])),Tab_Calculs[[#This Row],[index_date_livraison]]+1,7)*(Tab_Calculs[[#This Row],[fin mois]]-MIN(Tab_Calculs[[#This Row],[fin mois]],Tab_Calculs[[#This Row],[Date_livraison]]))</f>
        <v>#VALUE!</v>
      </c>
      <c r="R463" t="e">
        <f ca="1">Tab_Calculs[[#This Row],[Ratio_Cout_après_livr]]+Tab_Calculs[[#This Row],[Ratio_Cout_avant_livr]]+Tab_Calculs[[#This Row],[Ratio_Cout_avant_debut]]</f>
        <v>#VALUE!</v>
      </c>
      <c r="S463" t="str">
        <f ca="1">IFERROR(N463*VLOOKUP(Tab_Calculs[[#This Row],[Colonne1]],Controle_des_données!$B$7:$G$14,6,FALSE),"")</f>
        <v/>
      </c>
      <c r="T463" t="str">
        <f ca="1">IF(Tab_Calculs[[#This Row],[Combustible ]]="Electricité (kWh)",Tab_Calculs[[#This Row],[Conso_mois_kWh]]*2.3,Tab_Calculs[[#This Row],[Conso_mois_kWh]])</f>
        <v/>
      </c>
      <c r="U463" t="str">
        <f ca="1">IFERROR(N463*VLOOKUP(Tab_Calculs[[#This Row],[Colonne1]],Controle_des_données!$B$7:$H$14,7,FALSE),"")</f>
        <v/>
      </c>
      <c r="V463">
        <f ca="1">IFERROR(Tab_Calculs[[#This Row],[Cout_mois]]/Tab_Calculs[[#This Row],[Conso_mois_kWh]],0)</f>
        <v>0</v>
      </c>
      <c r="W463" t="str">
        <f>T(VLOOKUP(Tab_Calculs[[#This Row],[Compteur]],Site!$B$33:$G$40,3,FALSE))</f>
        <v/>
      </c>
      <c r="X463" t="str">
        <f>T(VLOOKUP(Tab_Calculs[[#This Row],[Compteur]],Site!$B$33:$G$40,4,FALSE))</f>
        <v/>
      </c>
      <c r="Y463" t="str">
        <f>T(VLOOKUP(Tab_Calculs[[#This Row],[Compteur]],Site!$B$33:$G$40,5,FALSE))</f>
        <v/>
      </c>
      <c r="Z463" t="str">
        <f>T(VLOOKUP(Tab_Calculs[[#This Row],[Compteur]],Site!$B$33:$G$40,6,FALSE))</f>
        <v/>
      </c>
      <c r="AA463">
        <f>IFERROR(GETPIVOTDATA("DJU(chauffagiste)",BDD_DJU!$P$13,"annee",Tab_Calculs[[#This Row],[ANNEE]],"mois_numero",Tab_Calculs[[#This Row],[MOIS]]),0)</f>
        <v>191.1</v>
      </c>
    </row>
    <row r="464" spans="1:27" x14ac:dyDescent="0.25">
      <c r="A464" s="3">
        <f>DATE(Tab_Calculs[[#This Row],[ANNEE]],Tab_Calculs[[#This Row],[MOIS]],1)</f>
        <v>42339</v>
      </c>
      <c r="B464" s="3">
        <f>EDATE(Tab_Calculs[[#This Row],[Début mois]],1)-1</f>
        <v>42369</v>
      </c>
      <c r="C464">
        <v>12</v>
      </c>
      <c r="D464">
        <f t="shared" si="14"/>
        <v>2015</v>
      </c>
      <c r="E464" t="s">
        <v>82</v>
      </c>
      <c r="F464" t="str">
        <f>SUBSTITUTE(Tab_Calculs[[#This Row],[Compteur]]," ","_")</f>
        <v>Compteur_3</v>
      </c>
      <c r="G464" t="str">
        <f>T(INDEX(Site!$B$33:$G$40, MATCH(Tab_Calculs[[#This Row],[Compteur]], Site!$B$33:$B$40,0),2))</f>
        <v/>
      </c>
      <c r="H464" s="3">
        <f t="array" aca="1" ref="H464" ca="1">MIN(IF(INDIRECT(CONCATENATE(Tab_Calculs[[#This Row],[Colonne1]],"!$B$2:$B$243"))&gt;=Calculs_Consos!$A464,INDIRECT(CONCATENATE(Tab_Calculs[[#This Row],[Colonne1]],"!$B$2:$B$243"))))</f>
        <v>0</v>
      </c>
      <c r="I464" s="3">
        <f ca="1">INDEX(INDIRECT(CONCATENATE("Tab_",Tab_Calculs[[#This Row],[Colonne1]])),Tab_Calculs[[#This Row],[index_date_livraison]],1)</f>
        <v>0</v>
      </c>
      <c r="J464">
        <f ca="1">MATCH(Tab_Calculs[[#This Row],[Date_livraison]],INDIRECT(CONCATENATE("Tab_",Tab_Calculs[[#This Row],[Colonne1]],"[Fin de période]")),0)</f>
        <v>1</v>
      </c>
      <c r="K464" t="e">
        <f ca="1">INDEX(INDIRECT(CONCATENATE("Tab_",Tab_Calculs[[#This Row],[Colonne1]])),Tab_Calculs[[#This Row],[index_date_livraison]]-1,6)*(MAX(Tab_Calculs[[#This Row],[Début periode livraison]],Tab_Calculs[[#This Row],[Début mois]])-Tab_Calculs[[#This Row],[Début mois]])</f>
        <v>#VALUE!</v>
      </c>
      <c r="L464" s="94">
        <f ca="1">INDEX(INDIRECT(CONCATENATE("Tab_",Tab_Calculs[[#This Row],[Colonne1]])),Tab_Calculs[[#This Row],[index_date_livraison]],6)*(1+MIN(Tab_Calculs[[#This Row],[Date_livraison]],Tab_Calculs[[#This Row],[fin mois]])-MAX(Tab_Calculs[[#This Row],[Début mois]],Tab_Calculs[[#This Row],[Début periode livraison]]))</f>
        <v>0</v>
      </c>
      <c r="M464" s="94" t="e">
        <f ca="1">INDEX(INDIRECT(CONCATENATE("Tab_",Tab_Calculs[[#This Row],[Colonne1]])),Tab_Calculs[[#This Row],[index_date_livraison]]+1,6)*(Tab_Calculs[[#This Row],[fin mois]]-MIN(Tab_Calculs[[#This Row],[fin mois]],Tab_Calculs[[#This Row],[Date_livraison]]))</f>
        <v>#VALUE!</v>
      </c>
      <c r="N464" s="231" t="str">
        <f ca="1">IFERROR(Tab_Calculs[[#This Row],[Ratio_jour_après_livr]]+Tab_Calculs[[#This Row],[Ratio_jour_avant_livr]]+Tab_Calculs[[#This Row],[ratio_avant_debut]],"")</f>
        <v/>
      </c>
      <c r="O464" t="e">
        <f ca="1">INDEX(INDIRECT(CONCATENATE("Tab_",Tab_Calculs[[#This Row],[Colonne1]])),Tab_Calculs[[#This Row],[index_date_livraison]]-1,7)*(MAX(Tab_Calculs[[#This Row],[Début periode livraison]],Tab_Calculs[[#This Row],[Début mois]])-Tab_Calculs[[#This Row],[Début mois]])</f>
        <v>#VALUE!</v>
      </c>
      <c r="P464">
        <f ca="1">INDEX(INDIRECT(CONCATENATE("Tab_",Tab_Calculs[[#This Row],[Colonne1]])),Tab_Calculs[[#This Row],[index_date_livraison]],7)*(1+MIN(Tab_Calculs[[#This Row],[Date_livraison]],Tab_Calculs[[#This Row],[fin mois]])-MAX(Tab_Calculs[[#This Row],[Début mois]],Tab_Calculs[[#This Row],[Début periode livraison]]))</f>
        <v>0</v>
      </c>
      <c r="Q464" t="e">
        <f ca="1">INDEX(INDIRECT(CONCATENATE("Tab_",Tab_Calculs[[#This Row],[Colonne1]])),Tab_Calculs[[#This Row],[index_date_livraison]]+1,7)*(Tab_Calculs[[#This Row],[fin mois]]-MIN(Tab_Calculs[[#This Row],[fin mois]],Tab_Calculs[[#This Row],[Date_livraison]]))</f>
        <v>#VALUE!</v>
      </c>
      <c r="R464" t="e">
        <f ca="1">Tab_Calculs[[#This Row],[Ratio_Cout_après_livr]]+Tab_Calculs[[#This Row],[Ratio_Cout_avant_livr]]+Tab_Calculs[[#This Row],[Ratio_Cout_avant_debut]]</f>
        <v>#VALUE!</v>
      </c>
      <c r="S464" t="str">
        <f ca="1">IFERROR(N464*VLOOKUP(Tab_Calculs[[#This Row],[Colonne1]],Controle_des_données!$B$7:$G$14,6,FALSE),"")</f>
        <v/>
      </c>
      <c r="T464" t="str">
        <f ca="1">IF(Tab_Calculs[[#This Row],[Combustible ]]="Electricité (kWh)",Tab_Calculs[[#This Row],[Conso_mois_kWh]]*2.3,Tab_Calculs[[#This Row],[Conso_mois_kWh]])</f>
        <v/>
      </c>
      <c r="U464" t="str">
        <f ca="1">IFERROR(N464*VLOOKUP(Tab_Calculs[[#This Row],[Colonne1]],Controle_des_données!$B$7:$H$14,7,FALSE),"")</f>
        <v/>
      </c>
      <c r="V464">
        <f ca="1">IFERROR(Tab_Calculs[[#This Row],[Cout_mois]]/Tab_Calculs[[#This Row],[Conso_mois_kWh]],0)</f>
        <v>0</v>
      </c>
      <c r="W464" t="str">
        <f>T(VLOOKUP(Tab_Calculs[[#This Row],[Compteur]],Site!$B$33:$G$40,3,FALSE))</f>
        <v/>
      </c>
      <c r="X464" t="str">
        <f>T(VLOOKUP(Tab_Calculs[[#This Row],[Compteur]],Site!$B$33:$G$40,4,FALSE))</f>
        <v/>
      </c>
      <c r="Y464" t="str">
        <f>T(VLOOKUP(Tab_Calculs[[#This Row],[Compteur]],Site!$B$33:$G$40,5,FALSE))</f>
        <v/>
      </c>
      <c r="Z464" t="str">
        <f>T(VLOOKUP(Tab_Calculs[[#This Row],[Compteur]],Site!$B$33:$G$40,6,FALSE))</f>
        <v/>
      </c>
      <c r="AA464">
        <f>IFERROR(GETPIVOTDATA("DJU(chauffagiste)",BDD_DJU!$P$13,"annee",Tab_Calculs[[#This Row],[ANNEE]],"mois_numero",Tab_Calculs[[#This Row],[MOIS]]),0)</f>
        <v>258.5</v>
      </c>
    </row>
    <row r="465" spans="1:27" x14ac:dyDescent="0.25">
      <c r="A465" s="3">
        <f>DATE(Tab_Calculs[[#This Row],[ANNEE]],Tab_Calculs[[#This Row],[MOIS]],1)</f>
        <v>42370</v>
      </c>
      <c r="B465" s="3">
        <f>EDATE(Tab_Calculs[[#This Row],[Début mois]],1)-1</f>
        <v>42400</v>
      </c>
      <c r="C465">
        <f>C453</f>
        <v>1</v>
      </c>
      <c r="D465">
        <f t="shared" si="14"/>
        <v>2016</v>
      </c>
      <c r="E465" t="s">
        <v>82</v>
      </c>
      <c r="F465" t="str">
        <f>SUBSTITUTE(Tab_Calculs[[#This Row],[Compteur]]," ","_")</f>
        <v>Compteur_3</v>
      </c>
      <c r="G465" t="str">
        <f>T(INDEX(Site!$B$33:$G$40, MATCH(Tab_Calculs[[#This Row],[Compteur]], Site!$B$33:$B$40,0),2))</f>
        <v/>
      </c>
      <c r="H465" s="3">
        <f t="array" aca="1" ref="H465" ca="1">MIN(IF(INDIRECT(CONCATENATE(Tab_Calculs[[#This Row],[Colonne1]],"!$B$2:$B$243"))&gt;=Calculs_Consos!$A465,INDIRECT(CONCATENATE(Tab_Calculs[[#This Row],[Colonne1]],"!$B$2:$B$243"))))</f>
        <v>0</v>
      </c>
      <c r="I465" s="3">
        <f ca="1">INDEX(INDIRECT(CONCATENATE("Tab_",Tab_Calculs[[#This Row],[Colonne1]])),Tab_Calculs[[#This Row],[index_date_livraison]],1)</f>
        <v>0</v>
      </c>
      <c r="J465">
        <f ca="1">MATCH(Tab_Calculs[[#This Row],[Date_livraison]],INDIRECT(CONCATENATE("Tab_",Tab_Calculs[[#This Row],[Colonne1]],"[Fin de période]")),0)</f>
        <v>1</v>
      </c>
      <c r="K465" t="e">
        <f ca="1">INDEX(INDIRECT(CONCATENATE("Tab_",Tab_Calculs[[#This Row],[Colonne1]])),Tab_Calculs[[#This Row],[index_date_livraison]]-1,6)*(MAX(Tab_Calculs[[#This Row],[Début periode livraison]],Tab_Calculs[[#This Row],[Début mois]])-Tab_Calculs[[#This Row],[Début mois]])</f>
        <v>#VALUE!</v>
      </c>
      <c r="L465" s="94">
        <f ca="1">INDEX(INDIRECT(CONCATENATE("Tab_",Tab_Calculs[[#This Row],[Colonne1]])),Tab_Calculs[[#This Row],[index_date_livraison]],6)*(1+MIN(Tab_Calculs[[#This Row],[Date_livraison]],Tab_Calculs[[#This Row],[fin mois]])-MAX(Tab_Calculs[[#This Row],[Début mois]],Tab_Calculs[[#This Row],[Début periode livraison]]))</f>
        <v>0</v>
      </c>
      <c r="M465" s="94" t="e">
        <f ca="1">INDEX(INDIRECT(CONCATENATE("Tab_",Tab_Calculs[[#This Row],[Colonne1]])),Tab_Calculs[[#This Row],[index_date_livraison]]+1,6)*(Tab_Calculs[[#This Row],[fin mois]]-MIN(Tab_Calculs[[#This Row],[fin mois]],Tab_Calculs[[#This Row],[Date_livraison]]))</f>
        <v>#VALUE!</v>
      </c>
      <c r="N465" s="231" t="str">
        <f ca="1">IFERROR(Tab_Calculs[[#This Row],[Ratio_jour_après_livr]]+Tab_Calculs[[#This Row],[Ratio_jour_avant_livr]]+Tab_Calculs[[#This Row],[ratio_avant_debut]],"")</f>
        <v/>
      </c>
      <c r="O465" t="e">
        <f ca="1">INDEX(INDIRECT(CONCATENATE("Tab_",Tab_Calculs[[#This Row],[Colonne1]])),Tab_Calculs[[#This Row],[index_date_livraison]]-1,7)*(MAX(Tab_Calculs[[#This Row],[Début periode livraison]],Tab_Calculs[[#This Row],[Début mois]])-Tab_Calculs[[#This Row],[Début mois]])</f>
        <v>#VALUE!</v>
      </c>
      <c r="P465">
        <f ca="1">INDEX(INDIRECT(CONCATENATE("Tab_",Tab_Calculs[[#This Row],[Colonne1]])),Tab_Calculs[[#This Row],[index_date_livraison]],7)*(1+MIN(Tab_Calculs[[#This Row],[Date_livraison]],Tab_Calculs[[#This Row],[fin mois]])-MAX(Tab_Calculs[[#This Row],[Début mois]],Tab_Calculs[[#This Row],[Début periode livraison]]))</f>
        <v>0</v>
      </c>
      <c r="Q465" t="e">
        <f ca="1">INDEX(INDIRECT(CONCATENATE("Tab_",Tab_Calculs[[#This Row],[Colonne1]])),Tab_Calculs[[#This Row],[index_date_livraison]]+1,7)*(Tab_Calculs[[#This Row],[fin mois]]-MIN(Tab_Calculs[[#This Row],[fin mois]],Tab_Calculs[[#This Row],[Date_livraison]]))</f>
        <v>#VALUE!</v>
      </c>
      <c r="R465" t="e">
        <f ca="1">Tab_Calculs[[#This Row],[Ratio_Cout_après_livr]]+Tab_Calculs[[#This Row],[Ratio_Cout_avant_livr]]+Tab_Calculs[[#This Row],[Ratio_Cout_avant_debut]]</f>
        <v>#VALUE!</v>
      </c>
      <c r="S465" t="str">
        <f ca="1">IFERROR(N465*VLOOKUP(Tab_Calculs[[#This Row],[Colonne1]],Controle_des_données!$B$7:$G$14,6,FALSE),"")</f>
        <v/>
      </c>
      <c r="T465" t="str">
        <f ca="1">IF(Tab_Calculs[[#This Row],[Combustible ]]="Electricité (kWh)",Tab_Calculs[[#This Row],[Conso_mois_kWh]]*2.3,Tab_Calculs[[#This Row],[Conso_mois_kWh]])</f>
        <v/>
      </c>
      <c r="U465" t="str">
        <f ca="1">IFERROR(N465*VLOOKUP(Tab_Calculs[[#This Row],[Colonne1]],Controle_des_données!$B$7:$H$14,7,FALSE),"")</f>
        <v/>
      </c>
      <c r="V465">
        <f ca="1">IFERROR(Tab_Calculs[[#This Row],[Cout_mois]]/Tab_Calculs[[#This Row],[Conso_mois_kWh]],0)</f>
        <v>0</v>
      </c>
      <c r="W465" t="str">
        <f>T(VLOOKUP(Tab_Calculs[[#This Row],[Compteur]],Site!$B$33:$G$40,3,FALSE))</f>
        <v/>
      </c>
      <c r="X465" t="str">
        <f>T(VLOOKUP(Tab_Calculs[[#This Row],[Compteur]],Site!$B$33:$G$40,4,FALSE))</f>
        <v/>
      </c>
      <c r="Y465" t="str">
        <f>T(VLOOKUP(Tab_Calculs[[#This Row],[Compteur]],Site!$B$33:$G$40,5,FALSE))</f>
        <v/>
      </c>
      <c r="Z465" t="str">
        <f>T(VLOOKUP(Tab_Calculs[[#This Row],[Compteur]],Site!$B$33:$G$40,6,FALSE))</f>
        <v/>
      </c>
      <c r="AA465">
        <f>IFERROR(GETPIVOTDATA("DJU(chauffagiste)",BDD_DJU!$P$13,"annee",Tab_Calculs[[#This Row],[ANNEE]],"mois_numero",Tab_Calculs[[#This Row],[MOIS]]),0)</f>
        <v>348.4</v>
      </c>
    </row>
    <row r="466" spans="1:27" x14ac:dyDescent="0.25">
      <c r="A466" s="3">
        <f>DATE(Tab_Calculs[[#This Row],[ANNEE]],Tab_Calculs[[#This Row],[MOIS]],1)</f>
        <v>42401</v>
      </c>
      <c r="B466" s="3">
        <f>EDATE(Tab_Calculs[[#This Row],[Début mois]],1)-1</f>
        <v>42429</v>
      </c>
      <c r="C466">
        <f t="shared" ref="C466:C529" si="15">C454</f>
        <v>2</v>
      </c>
      <c r="D466">
        <f t="shared" si="14"/>
        <v>2016</v>
      </c>
      <c r="E466" t="s">
        <v>82</v>
      </c>
      <c r="F466" t="str">
        <f>SUBSTITUTE(Tab_Calculs[[#This Row],[Compteur]]," ","_")</f>
        <v>Compteur_3</v>
      </c>
      <c r="G466" t="str">
        <f>T(INDEX(Site!$B$33:$G$40, MATCH(Tab_Calculs[[#This Row],[Compteur]], Site!$B$33:$B$40,0),2))</f>
        <v/>
      </c>
      <c r="H466" s="3">
        <f t="array" aca="1" ref="H466" ca="1">MIN(IF(INDIRECT(CONCATENATE(Tab_Calculs[[#This Row],[Colonne1]],"!$B$2:$B$243"))&gt;=Calculs_Consos!$A466,INDIRECT(CONCATENATE(Tab_Calculs[[#This Row],[Colonne1]],"!$B$2:$B$243"))))</f>
        <v>0</v>
      </c>
      <c r="I466" s="3">
        <f ca="1">INDEX(INDIRECT(CONCATENATE("Tab_",Tab_Calculs[[#This Row],[Colonne1]])),Tab_Calculs[[#This Row],[index_date_livraison]],1)</f>
        <v>0</v>
      </c>
      <c r="J466">
        <f ca="1">MATCH(Tab_Calculs[[#This Row],[Date_livraison]],INDIRECT(CONCATENATE("Tab_",Tab_Calculs[[#This Row],[Colonne1]],"[Fin de période]")),0)</f>
        <v>1</v>
      </c>
      <c r="K466" t="e">
        <f ca="1">INDEX(INDIRECT(CONCATENATE("Tab_",Tab_Calculs[[#This Row],[Colonne1]])),Tab_Calculs[[#This Row],[index_date_livraison]]-1,6)*(MAX(Tab_Calculs[[#This Row],[Début periode livraison]],Tab_Calculs[[#This Row],[Début mois]])-Tab_Calculs[[#This Row],[Début mois]])</f>
        <v>#VALUE!</v>
      </c>
      <c r="L466" s="94">
        <f ca="1">INDEX(INDIRECT(CONCATENATE("Tab_",Tab_Calculs[[#This Row],[Colonne1]])),Tab_Calculs[[#This Row],[index_date_livraison]],6)*(1+MIN(Tab_Calculs[[#This Row],[Date_livraison]],Tab_Calculs[[#This Row],[fin mois]])-MAX(Tab_Calculs[[#This Row],[Début mois]],Tab_Calculs[[#This Row],[Début periode livraison]]))</f>
        <v>0</v>
      </c>
      <c r="M466" s="94" t="e">
        <f ca="1">INDEX(INDIRECT(CONCATENATE("Tab_",Tab_Calculs[[#This Row],[Colonne1]])),Tab_Calculs[[#This Row],[index_date_livraison]]+1,6)*(Tab_Calculs[[#This Row],[fin mois]]-MIN(Tab_Calculs[[#This Row],[fin mois]],Tab_Calculs[[#This Row],[Date_livraison]]))</f>
        <v>#VALUE!</v>
      </c>
      <c r="N466" s="231" t="str">
        <f ca="1">IFERROR(Tab_Calculs[[#This Row],[Ratio_jour_après_livr]]+Tab_Calculs[[#This Row],[Ratio_jour_avant_livr]]+Tab_Calculs[[#This Row],[ratio_avant_debut]],"")</f>
        <v/>
      </c>
      <c r="O466" t="e">
        <f ca="1">INDEX(INDIRECT(CONCATENATE("Tab_",Tab_Calculs[[#This Row],[Colonne1]])),Tab_Calculs[[#This Row],[index_date_livraison]]-1,7)*(MAX(Tab_Calculs[[#This Row],[Début periode livraison]],Tab_Calculs[[#This Row],[Début mois]])-Tab_Calculs[[#This Row],[Début mois]])</f>
        <v>#VALUE!</v>
      </c>
      <c r="P466">
        <f ca="1">INDEX(INDIRECT(CONCATENATE("Tab_",Tab_Calculs[[#This Row],[Colonne1]])),Tab_Calculs[[#This Row],[index_date_livraison]],7)*(1+MIN(Tab_Calculs[[#This Row],[Date_livraison]],Tab_Calculs[[#This Row],[fin mois]])-MAX(Tab_Calculs[[#This Row],[Début mois]],Tab_Calculs[[#This Row],[Début periode livraison]]))</f>
        <v>0</v>
      </c>
      <c r="Q466" t="e">
        <f ca="1">INDEX(INDIRECT(CONCATENATE("Tab_",Tab_Calculs[[#This Row],[Colonne1]])),Tab_Calculs[[#This Row],[index_date_livraison]]+1,7)*(Tab_Calculs[[#This Row],[fin mois]]-MIN(Tab_Calculs[[#This Row],[fin mois]],Tab_Calculs[[#This Row],[Date_livraison]]))</f>
        <v>#VALUE!</v>
      </c>
      <c r="R466" t="e">
        <f ca="1">Tab_Calculs[[#This Row],[Ratio_Cout_après_livr]]+Tab_Calculs[[#This Row],[Ratio_Cout_avant_livr]]+Tab_Calculs[[#This Row],[Ratio_Cout_avant_debut]]</f>
        <v>#VALUE!</v>
      </c>
      <c r="S466" t="str">
        <f ca="1">IFERROR(N466*VLOOKUP(Tab_Calculs[[#This Row],[Colonne1]],Controle_des_données!$B$7:$G$14,6,FALSE),"")</f>
        <v/>
      </c>
      <c r="T466" t="str">
        <f ca="1">IF(Tab_Calculs[[#This Row],[Combustible ]]="Electricité (kWh)",Tab_Calculs[[#This Row],[Conso_mois_kWh]]*2.3,Tab_Calculs[[#This Row],[Conso_mois_kWh]])</f>
        <v/>
      </c>
      <c r="U466" t="str">
        <f ca="1">IFERROR(N466*VLOOKUP(Tab_Calculs[[#This Row],[Colonne1]],Controle_des_données!$B$7:$H$14,7,FALSE),"")</f>
        <v/>
      </c>
      <c r="V466">
        <f ca="1">IFERROR(Tab_Calculs[[#This Row],[Cout_mois]]/Tab_Calculs[[#This Row],[Conso_mois_kWh]],0)</f>
        <v>0</v>
      </c>
      <c r="W466" t="str">
        <f>T(VLOOKUP(Tab_Calculs[[#This Row],[Compteur]],Site!$B$33:$G$40,3,FALSE))</f>
        <v/>
      </c>
      <c r="X466" t="str">
        <f>T(VLOOKUP(Tab_Calculs[[#This Row],[Compteur]],Site!$B$33:$G$40,4,FALSE))</f>
        <v/>
      </c>
      <c r="Y466" t="str">
        <f>T(VLOOKUP(Tab_Calculs[[#This Row],[Compteur]],Site!$B$33:$G$40,5,FALSE))</f>
        <v/>
      </c>
      <c r="Z466" t="str">
        <f>T(VLOOKUP(Tab_Calculs[[#This Row],[Compteur]],Site!$B$33:$G$40,6,FALSE))</f>
        <v/>
      </c>
      <c r="AA466">
        <f>IFERROR(GETPIVOTDATA("DJU(chauffagiste)",BDD_DJU!$P$13,"annee",Tab_Calculs[[#This Row],[ANNEE]],"mois_numero",Tab_Calculs[[#This Row],[MOIS]]),0)</f>
        <v>321.2</v>
      </c>
    </row>
    <row r="467" spans="1:27" x14ac:dyDescent="0.25">
      <c r="A467" s="3">
        <f>DATE(Tab_Calculs[[#This Row],[ANNEE]],Tab_Calculs[[#This Row],[MOIS]],1)</f>
        <v>42430</v>
      </c>
      <c r="B467" s="3">
        <f>EDATE(Tab_Calculs[[#This Row],[Début mois]],1)-1</f>
        <v>42460</v>
      </c>
      <c r="C467">
        <f t="shared" si="15"/>
        <v>3</v>
      </c>
      <c r="D467">
        <f t="shared" si="14"/>
        <v>2016</v>
      </c>
      <c r="E467" t="s">
        <v>82</v>
      </c>
      <c r="F467" t="str">
        <f>SUBSTITUTE(Tab_Calculs[[#This Row],[Compteur]]," ","_")</f>
        <v>Compteur_3</v>
      </c>
      <c r="G467" t="str">
        <f>T(INDEX(Site!$B$33:$G$40, MATCH(Tab_Calculs[[#This Row],[Compteur]], Site!$B$33:$B$40,0),2))</f>
        <v/>
      </c>
      <c r="H467" s="3">
        <f t="array" aca="1" ref="H467" ca="1">MIN(IF(INDIRECT(CONCATENATE(Tab_Calculs[[#This Row],[Colonne1]],"!$B$2:$B$243"))&gt;=Calculs_Consos!$A467,INDIRECT(CONCATENATE(Tab_Calculs[[#This Row],[Colonne1]],"!$B$2:$B$243"))))</f>
        <v>0</v>
      </c>
      <c r="I467" s="3">
        <f ca="1">INDEX(INDIRECT(CONCATENATE("Tab_",Tab_Calculs[[#This Row],[Colonne1]])),Tab_Calculs[[#This Row],[index_date_livraison]],1)</f>
        <v>0</v>
      </c>
      <c r="J467">
        <f ca="1">MATCH(Tab_Calculs[[#This Row],[Date_livraison]],INDIRECT(CONCATENATE("Tab_",Tab_Calculs[[#This Row],[Colonne1]],"[Fin de période]")),0)</f>
        <v>1</v>
      </c>
      <c r="K467" t="e">
        <f ca="1">INDEX(INDIRECT(CONCATENATE("Tab_",Tab_Calculs[[#This Row],[Colonne1]])),Tab_Calculs[[#This Row],[index_date_livraison]]-1,6)*(MAX(Tab_Calculs[[#This Row],[Début periode livraison]],Tab_Calculs[[#This Row],[Début mois]])-Tab_Calculs[[#This Row],[Début mois]])</f>
        <v>#VALUE!</v>
      </c>
      <c r="L467" s="94">
        <f ca="1">INDEX(INDIRECT(CONCATENATE("Tab_",Tab_Calculs[[#This Row],[Colonne1]])),Tab_Calculs[[#This Row],[index_date_livraison]],6)*(1+MIN(Tab_Calculs[[#This Row],[Date_livraison]],Tab_Calculs[[#This Row],[fin mois]])-MAX(Tab_Calculs[[#This Row],[Début mois]],Tab_Calculs[[#This Row],[Début periode livraison]]))</f>
        <v>0</v>
      </c>
      <c r="M467" s="94" t="e">
        <f ca="1">INDEX(INDIRECT(CONCATENATE("Tab_",Tab_Calculs[[#This Row],[Colonne1]])),Tab_Calculs[[#This Row],[index_date_livraison]]+1,6)*(Tab_Calculs[[#This Row],[fin mois]]-MIN(Tab_Calculs[[#This Row],[fin mois]],Tab_Calculs[[#This Row],[Date_livraison]]))</f>
        <v>#VALUE!</v>
      </c>
      <c r="N467" s="231" t="str">
        <f ca="1">IFERROR(Tab_Calculs[[#This Row],[Ratio_jour_après_livr]]+Tab_Calculs[[#This Row],[Ratio_jour_avant_livr]]+Tab_Calculs[[#This Row],[ratio_avant_debut]],"")</f>
        <v/>
      </c>
      <c r="O467" t="e">
        <f ca="1">INDEX(INDIRECT(CONCATENATE("Tab_",Tab_Calculs[[#This Row],[Colonne1]])),Tab_Calculs[[#This Row],[index_date_livraison]]-1,7)*(MAX(Tab_Calculs[[#This Row],[Début periode livraison]],Tab_Calculs[[#This Row],[Début mois]])-Tab_Calculs[[#This Row],[Début mois]])</f>
        <v>#VALUE!</v>
      </c>
      <c r="P467">
        <f ca="1">INDEX(INDIRECT(CONCATENATE("Tab_",Tab_Calculs[[#This Row],[Colonne1]])),Tab_Calculs[[#This Row],[index_date_livraison]],7)*(1+MIN(Tab_Calculs[[#This Row],[Date_livraison]],Tab_Calculs[[#This Row],[fin mois]])-MAX(Tab_Calculs[[#This Row],[Début mois]],Tab_Calculs[[#This Row],[Début periode livraison]]))</f>
        <v>0</v>
      </c>
      <c r="Q467" t="e">
        <f ca="1">INDEX(INDIRECT(CONCATENATE("Tab_",Tab_Calculs[[#This Row],[Colonne1]])),Tab_Calculs[[#This Row],[index_date_livraison]]+1,7)*(Tab_Calculs[[#This Row],[fin mois]]-MIN(Tab_Calculs[[#This Row],[fin mois]],Tab_Calculs[[#This Row],[Date_livraison]]))</f>
        <v>#VALUE!</v>
      </c>
      <c r="R467" t="e">
        <f ca="1">Tab_Calculs[[#This Row],[Ratio_Cout_après_livr]]+Tab_Calculs[[#This Row],[Ratio_Cout_avant_livr]]+Tab_Calculs[[#This Row],[Ratio_Cout_avant_debut]]</f>
        <v>#VALUE!</v>
      </c>
      <c r="S467" t="str">
        <f ca="1">IFERROR(N467*VLOOKUP(Tab_Calculs[[#This Row],[Colonne1]],Controle_des_données!$B$7:$G$14,6,FALSE),"")</f>
        <v/>
      </c>
      <c r="T467" t="str">
        <f ca="1">IF(Tab_Calculs[[#This Row],[Combustible ]]="Electricité (kWh)",Tab_Calculs[[#This Row],[Conso_mois_kWh]]*2.3,Tab_Calculs[[#This Row],[Conso_mois_kWh]])</f>
        <v/>
      </c>
      <c r="U467" t="str">
        <f ca="1">IFERROR(N467*VLOOKUP(Tab_Calculs[[#This Row],[Colonne1]],Controle_des_données!$B$7:$H$14,7,FALSE),"")</f>
        <v/>
      </c>
      <c r="V467">
        <f ca="1">IFERROR(Tab_Calculs[[#This Row],[Cout_mois]]/Tab_Calculs[[#This Row],[Conso_mois_kWh]],0)</f>
        <v>0</v>
      </c>
      <c r="W467" t="str">
        <f>T(VLOOKUP(Tab_Calculs[[#This Row],[Compteur]],Site!$B$33:$G$40,3,FALSE))</f>
        <v/>
      </c>
      <c r="X467" t="str">
        <f>T(VLOOKUP(Tab_Calculs[[#This Row],[Compteur]],Site!$B$33:$G$40,4,FALSE))</f>
        <v/>
      </c>
      <c r="Y467" t="str">
        <f>T(VLOOKUP(Tab_Calculs[[#This Row],[Compteur]],Site!$B$33:$G$40,5,FALSE))</f>
        <v/>
      </c>
      <c r="Z467" t="str">
        <f>T(VLOOKUP(Tab_Calculs[[#This Row],[Compteur]],Site!$B$33:$G$40,6,FALSE))</f>
        <v/>
      </c>
      <c r="AA467">
        <f>IFERROR(GETPIVOTDATA("DJU(chauffagiste)",BDD_DJU!$P$13,"annee",Tab_Calculs[[#This Row],[ANNEE]],"mois_numero",Tab_Calculs[[#This Row],[MOIS]]),0)</f>
        <v>328.3</v>
      </c>
    </row>
    <row r="468" spans="1:27" x14ac:dyDescent="0.25">
      <c r="A468" s="3">
        <f>DATE(Tab_Calculs[[#This Row],[ANNEE]],Tab_Calculs[[#This Row],[MOIS]],1)</f>
        <v>42461</v>
      </c>
      <c r="B468" s="3">
        <f>EDATE(Tab_Calculs[[#This Row],[Début mois]],1)-1</f>
        <v>42490</v>
      </c>
      <c r="C468">
        <f t="shared" si="15"/>
        <v>4</v>
      </c>
      <c r="D468">
        <f t="shared" si="14"/>
        <v>2016</v>
      </c>
      <c r="E468" t="s">
        <v>82</v>
      </c>
      <c r="F468" t="str">
        <f>SUBSTITUTE(Tab_Calculs[[#This Row],[Compteur]]," ","_")</f>
        <v>Compteur_3</v>
      </c>
      <c r="G468" t="str">
        <f>T(INDEX(Site!$B$33:$G$40, MATCH(Tab_Calculs[[#This Row],[Compteur]], Site!$B$33:$B$40,0),2))</f>
        <v/>
      </c>
      <c r="H468" s="3">
        <f t="array" aca="1" ref="H468" ca="1">MIN(IF(INDIRECT(CONCATENATE(Tab_Calculs[[#This Row],[Colonne1]],"!$B$2:$B$243"))&gt;=Calculs_Consos!$A468,INDIRECT(CONCATENATE(Tab_Calculs[[#This Row],[Colonne1]],"!$B$2:$B$243"))))</f>
        <v>0</v>
      </c>
      <c r="I468" s="3">
        <f ca="1">INDEX(INDIRECT(CONCATENATE("Tab_",Tab_Calculs[[#This Row],[Colonne1]])),Tab_Calculs[[#This Row],[index_date_livraison]],1)</f>
        <v>0</v>
      </c>
      <c r="J468">
        <f ca="1">MATCH(Tab_Calculs[[#This Row],[Date_livraison]],INDIRECT(CONCATENATE("Tab_",Tab_Calculs[[#This Row],[Colonne1]],"[Fin de période]")),0)</f>
        <v>1</v>
      </c>
      <c r="K468" t="e">
        <f ca="1">INDEX(INDIRECT(CONCATENATE("Tab_",Tab_Calculs[[#This Row],[Colonne1]])),Tab_Calculs[[#This Row],[index_date_livraison]]-1,6)*(MAX(Tab_Calculs[[#This Row],[Début periode livraison]],Tab_Calculs[[#This Row],[Début mois]])-Tab_Calculs[[#This Row],[Début mois]])</f>
        <v>#VALUE!</v>
      </c>
      <c r="L468" s="94">
        <f ca="1">INDEX(INDIRECT(CONCATENATE("Tab_",Tab_Calculs[[#This Row],[Colonne1]])),Tab_Calculs[[#This Row],[index_date_livraison]],6)*(1+MIN(Tab_Calculs[[#This Row],[Date_livraison]],Tab_Calculs[[#This Row],[fin mois]])-MAX(Tab_Calculs[[#This Row],[Début mois]],Tab_Calculs[[#This Row],[Début periode livraison]]))</f>
        <v>0</v>
      </c>
      <c r="M468" s="94" t="e">
        <f ca="1">INDEX(INDIRECT(CONCATENATE("Tab_",Tab_Calculs[[#This Row],[Colonne1]])),Tab_Calculs[[#This Row],[index_date_livraison]]+1,6)*(Tab_Calculs[[#This Row],[fin mois]]-MIN(Tab_Calculs[[#This Row],[fin mois]],Tab_Calculs[[#This Row],[Date_livraison]]))</f>
        <v>#VALUE!</v>
      </c>
      <c r="N468" s="231" t="str">
        <f ca="1">IFERROR(Tab_Calculs[[#This Row],[Ratio_jour_après_livr]]+Tab_Calculs[[#This Row],[Ratio_jour_avant_livr]]+Tab_Calculs[[#This Row],[ratio_avant_debut]],"")</f>
        <v/>
      </c>
      <c r="O468" t="e">
        <f ca="1">INDEX(INDIRECT(CONCATENATE("Tab_",Tab_Calculs[[#This Row],[Colonne1]])),Tab_Calculs[[#This Row],[index_date_livraison]]-1,7)*(MAX(Tab_Calculs[[#This Row],[Début periode livraison]],Tab_Calculs[[#This Row],[Début mois]])-Tab_Calculs[[#This Row],[Début mois]])</f>
        <v>#VALUE!</v>
      </c>
      <c r="P468">
        <f ca="1">INDEX(INDIRECT(CONCATENATE("Tab_",Tab_Calculs[[#This Row],[Colonne1]])),Tab_Calculs[[#This Row],[index_date_livraison]],7)*(1+MIN(Tab_Calculs[[#This Row],[Date_livraison]],Tab_Calculs[[#This Row],[fin mois]])-MAX(Tab_Calculs[[#This Row],[Début mois]],Tab_Calculs[[#This Row],[Début periode livraison]]))</f>
        <v>0</v>
      </c>
      <c r="Q468" t="e">
        <f ca="1">INDEX(INDIRECT(CONCATENATE("Tab_",Tab_Calculs[[#This Row],[Colonne1]])),Tab_Calculs[[#This Row],[index_date_livraison]]+1,7)*(Tab_Calculs[[#This Row],[fin mois]]-MIN(Tab_Calculs[[#This Row],[fin mois]],Tab_Calculs[[#This Row],[Date_livraison]]))</f>
        <v>#VALUE!</v>
      </c>
      <c r="R468" t="e">
        <f ca="1">Tab_Calculs[[#This Row],[Ratio_Cout_après_livr]]+Tab_Calculs[[#This Row],[Ratio_Cout_avant_livr]]+Tab_Calculs[[#This Row],[Ratio_Cout_avant_debut]]</f>
        <v>#VALUE!</v>
      </c>
      <c r="S468" t="str">
        <f ca="1">IFERROR(N468*VLOOKUP(Tab_Calculs[[#This Row],[Colonne1]],Controle_des_données!$B$7:$G$14,6,FALSE),"")</f>
        <v/>
      </c>
      <c r="T468" t="str">
        <f ca="1">IF(Tab_Calculs[[#This Row],[Combustible ]]="Electricité (kWh)",Tab_Calculs[[#This Row],[Conso_mois_kWh]]*2.3,Tab_Calculs[[#This Row],[Conso_mois_kWh]])</f>
        <v/>
      </c>
      <c r="U468" t="str">
        <f ca="1">IFERROR(N468*VLOOKUP(Tab_Calculs[[#This Row],[Colonne1]],Controle_des_données!$B$7:$H$14,7,FALSE),"")</f>
        <v/>
      </c>
      <c r="V468">
        <f ca="1">IFERROR(Tab_Calculs[[#This Row],[Cout_mois]]/Tab_Calculs[[#This Row],[Conso_mois_kWh]],0)</f>
        <v>0</v>
      </c>
      <c r="W468" t="str">
        <f>T(VLOOKUP(Tab_Calculs[[#This Row],[Compteur]],Site!$B$33:$G$40,3,FALSE))</f>
        <v/>
      </c>
      <c r="X468" t="str">
        <f>T(VLOOKUP(Tab_Calculs[[#This Row],[Compteur]],Site!$B$33:$G$40,4,FALSE))</f>
        <v/>
      </c>
      <c r="Y468" t="str">
        <f>T(VLOOKUP(Tab_Calculs[[#This Row],[Compteur]],Site!$B$33:$G$40,5,FALSE))</f>
        <v/>
      </c>
      <c r="Z468" t="str">
        <f>T(VLOOKUP(Tab_Calculs[[#This Row],[Compteur]],Site!$B$33:$G$40,6,FALSE))</f>
        <v/>
      </c>
      <c r="AA468">
        <f>IFERROR(GETPIVOTDATA("DJU(chauffagiste)",BDD_DJU!$P$13,"annee",Tab_Calculs[[#This Row],[ANNEE]],"mois_numero",Tab_Calculs[[#This Row],[MOIS]]),0)</f>
        <v>252.6</v>
      </c>
    </row>
    <row r="469" spans="1:27" x14ac:dyDescent="0.25">
      <c r="A469" s="3">
        <f>DATE(Tab_Calculs[[#This Row],[ANNEE]],Tab_Calculs[[#This Row],[MOIS]],1)</f>
        <v>42491</v>
      </c>
      <c r="B469" s="3">
        <f>EDATE(Tab_Calculs[[#This Row],[Début mois]],1)-1</f>
        <v>42521</v>
      </c>
      <c r="C469">
        <f t="shared" si="15"/>
        <v>5</v>
      </c>
      <c r="D469">
        <f t="shared" si="14"/>
        <v>2016</v>
      </c>
      <c r="E469" t="s">
        <v>82</v>
      </c>
      <c r="F469" t="str">
        <f>SUBSTITUTE(Tab_Calculs[[#This Row],[Compteur]]," ","_")</f>
        <v>Compteur_3</v>
      </c>
      <c r="G469" t="str">
        <f>T(INDEX(Site!$B$33:$G$40, MATCH(Tab_Calculs[[#This Row],[Compteur]], Site!$B$33:$B$40,0),2))</f>
        <v/>
      </c>
      <c r="H469" s="3">
        <f t="array" aca="1" ref="H469" ca="1">MIN(IF(INDIRECT(CONCATENATE(Tab_Calculs[[#This Row],[Colonne1]],"!$B$2:$B$243"))&gt;=Calculs_Consos!$A469,INDIRECT(CONCATENATE(Tab_Calculs[[#This Row],[Colonne1]],"!$B$2:$B$243"))))</f>
        <v>0</v>
      </c>
      <c r="I469" s="3">
        <f ca="1">INDEX(INDIRECT(CONCATENATE("Tab_",Tab_Calculs[[#This Row],[Colonne1]])),Tab_Calculs[[#This Row],[index_date_livraison]],1)</f>
        <v>0</v>
      </c>
      <c r="J469">
        <f ca="1">MATCH(Tab_Calculs[[#This Row],[Date_livraison]],INDIRECT(CONCATENATE("Tab_",Tab_Calculs[[#This Row],[Colonne1]],"[Fin de période]")),0)</f>
        <v>1</v>
      </c>
      <c r="K469" t="e">
        <f ca="1">INDEX(INDIRECT(CONCATENATE("Tab_",Tab_Calculs[[#This Row],[Colonne1]])),Tab_Calculs[[#This Row],[index_date_livraison]]-1,6)*(MAX(Tab_Calculs[[#This Row],[Début periode livraison]],Tab_Calculs[[#This Row],[Début mois]])-Tab_Calculs[[#This Row],[Début mois]])</f>
        <v>#VALUE!</v>
      </c>
      <c r="L469" s="94">
        <f ca="1">INDEX(INDIRECT(CONCATENATE("Tab_",Tab_Calculs[[#This Row],[Colonne1]])),Tab_Calculs[[#This Row],[index_date_livraison]],6)*(1+MIN(Tab_Calculs[[#This Row],[Date_livraison]],Tab_Calculs[[#This Row],[fin mois]])-MAX(Tab_Calculs[[#This Row],[Début mois]],Tab_Calculs[[#This Row],[Début periode livraison]]))</f>
        <v>0</v>
      </c>
      <c r="M469" s="94" t="e">
        <f ca="1">INDEX(INDIRECT(CONCATENATE("Tab_",Tab_Calculs[[#This Row],[Colonne1]])),Tab_Calculs[[#This Row],[index_date_livraison]]+1,6)*(Tab_Calculs[[#This Row],[fin mois]]-MIN(Tab_Calculs[[#This Row],[fin mois]],Tab_Calculs[[#This Row],[Date_livraison]]))</f>
        <v>#VALUE!</v>
      </c>
      <c r="N469" s="231" t="str">
        <f ca="1">IFERROR(Tab_Calculs[[#This Row],[Ratio_jour_après_livr]]+Tab_Calculs[[#This Row],[Ratio_jour_avant_livr]]+Tab_Calculs[[#This Row],[ratio_avant_debut]],"")</f>
        <v/>
      </c>
      <c r="O469" t="e">
        <f ca="1">INDEX(INDIRECT(CONCATENATE("Tab_",Tab_Calculs[[#This Row],[Colonne1]])),Tab_Calculs[[#This Row],[index_date_livraison]]-1,7)*(MAX(Tab_Calculs[[#This Row],[Début periode livraison]],Tab_Calculs[[#This Row],[Début mois]])-Tab_Calculs[[#This Row],[Début mois]])</f>
        <v>#VALUE!</v>
      </c>
      <c r="P469">
        <f ca="1">INDEX(INDIRECT(CONCATENATE("Tab_",Tab_Calculs[[#This Row],[Colonne1]])),Tab_Calculs[[#This Row],[index_date_livraison]],7)*(1+MIN(Tab_Calculs[[#This Row],[Date_livraison]],Tab_Calculs[[#This Row],[fin mois]])-MAX(Tab_Calculs[[#This Row],[Début mois]],Tab_Calculs[[#This Row],[Début periode livraison]]))</f>
        <v>0</v>
      </c>
      <c r="Q469" t="e">
        <f ca="1">INDEX(INDIRECT(CONCATENATE("Tab_",Tab_Calculs[[#This Row],[Colonne1]])),Tab_Calculs[[#This Row],[index_date_livraison]]+1,7)*(Tab_Calculs[[#This Row],[fin mois]]-MIN(Tab_Calculs[[#This Row],[fin mois]],Tab_Calculs[[#This Row],[Date_livraison]]))</f>
        <v>#VALUE!</v>
      </c>
      <c r="R469" t="e">
        <f ca="1">Tab_Calculs[[#This Row],[Ratio_Cout_après_livr]]+Tab_Calculs[[#This Row],[Ratio_Cout_avant_livr]]+Tab_Calculs[[#This Row],[Ratio_Cout_avant_debut]]</f>
        <v>#VALUE!</v>
      </c>
      <c r="S469" t="str">
        <f ca="1">IFERROR(N469*VLOOKUP(Tab_Calculs[[#This Row],[Colonne1]],Controle_des_données!$B$7:$G$14,6,FALSE),"")</f>
        <v/>
      </c>
      <c r="T469" t="str">
        <f ca="1">IF(Tab_Calculs[[#This Row],[Combustible ]]="Electricité (kWh)",Tab_Calculs[[#This Row],[Conso_mois_kWh]]*2.3,Tab_Calculs[[#This Row],[Conso_mois_kWh]])</f>
        <v/>
      </c>
      <c r="U469" t="str">
        <f ca="1">IFERROR(N469*VLOOKUP(Tab_Calculs[[#This Row],[Colonne1]],Controle_des_données!$B$7:$H$14,7,FALSE),"")</f>
        <v/>
      </c>
      <c r="V469">
        <f ca="1">IFERROR(Tab_Calculs[[#This Row],[Cout_mois]]/Tab_Calculs[[#This Row],[Conso_mois_kWh]],0)</f>
        <v>0</v>
      </c>
      <c r="W469" t="str">
        <f>T(VLOOKUP(Tab_Calculs[[#This Row],[Compteur]],Site!$B$33:$G$40,3,FALSE))</f>
        <v/>
      </c>
      <c r="X469" t="str">
        <f>T(VLOOKUP(Tab_Calculs[[#This Row],[Compteur]],Site!$B$33:$G$40,4,FALSE))</f>
        <v/>
      </c>
      <c r="Y469" t="str">
        <f>T(VLOOKUP(Tab_Calculs[[#This Row],[Compteur]],Site!$B$33:$G$40,5,FALSE))</f>
        <v/>
      </c>
      <c r="Z469" t="str">
        <f>T(VLOOKUP(Tab_Calculs[[#This Row],[Compteur]],Site!$B$33:$G$40,6,FALSE))</f>
        <v/>
      </c>
      <c r="AA469">
        <f>IFERROR(GETPIVOTDATA("DJU(chauffagiste)",BDD_DJU!$P$13,"annee",Tab_Calculs[[#This Row],[ANNEE]],"mois_numero",Tab_Calculs[[#This Row],[MOIS]]),0)</f>
        <v>124.3</v>
      </c>
    </row>
    <row r="470" spans="1:27" x14ac:dyDescent="0.25">
      <c r="A470" s="3">
        <f>DATE(Tab_Calculs[[#This Row],[ANNEE]],Tab_Calculs[[#This Row],[MOIS]],1)</f>
        <v>42522</v>
      </c>
      <c r="B470" s="3">
        <f>EDATE(Tab_Calculs[[#This Row],[Début mois]],1)-1</f>
        <v>42551</v>
      </c>
      <c r="C470">
        <f t="shared" si="15"/>
        <v>6</v>
      </c>
      <c r="D470">
        <f t="shared" si="14"/>
        <v>2016</v>
      </c>
      <c r="E470" t="s">
        <v>82</v>
      </c>
      <c r="F470" t="str">
        <f>SUBSTITUTE(Tab_Calculs[[#This Row],[Compteur]]," ","_")</f>
        <v>Compteur_3</v>
      </c>
      <c r="G470" t="str">
        <f>T(INDEX(Site!$B$33:$G$40, MATCH(Tab_Calculs[[#This Row],[Compteur]], Site!$B$33:$B$40,0),2))</f>
        <v/>
      </c>
      <c r="H470" s="3">
        <f t="array" aca="1" ref="H470" ca="1">MIN(IF(INDIRECT(CONCATENATE(Tab_Calculs[[#This Row],[Colonne1]],"!$B$2:$B$243"))&gt;=Calculs_Consos!$A470,INDIRECT(CONCATENATE(Tab_Calculs[[#This Row],[Colonne1]],"!$B$2:$B$243"))))</f>
        <v>0</v>
      </c>
      <c r="I470" s="3">
        <f ca="1">INDEX(INDIRECT(CONCATENATE("Tab_",Tab_Calculs[[#This Row],[Colonne1]])),Tab_Calculs[[#This Row],[index_date_livraison]],1)</f>
        <v>0</v>
      </c>
      <c r="J470">
        <f ca="1">MATCH(Tab_Calculs[[#This Row],[Date_livraison]],INDIRECT(CONCATENATE("Tab_",Tab_Calculs[[#This Row],[Colonne1]],"[Fin de période]")),0)</f>
        <v>1</v>
      </c>
      <c r="K470" t="e">
        <f ca="1">INDEX(INDIRECT(CONCATENATE("Tab_",Tab_Calculs[[#This Row],[Colonne1]])),Tab_Calculs[[#This Row],[index_date_livraison]]-1,6)*(MAX(Tab_Calculs[[#This Row],[Début periode livraison]],Tab_Calculs[[#This Row],[Début mois]])-Tab_Calculs[[#This Row],[Début mois]])</f>
        <v>#VALUE!</v>
      </c>
      <c r="L470" s="94">
        <f ca="1">INDEX(INDIRECT(CONCATENATE("Tab_",Tab_Calculs[[#This Row],[Colonne1]])),Tab_Calculs[[#This Row],[index_date_livraison]],6)*(1+MIN(Tab_Calculs[[#This Row],[Date_livraison]],Tab_Calculs[[#This Row],[fin mois]])-MAX(Tab_Calculs[[#This Row],[Début mois]],Tab_Calculs[[#This Row],[Début periode livraison]]))</f>
        <v>0</v>
      </c>
      <c r="M470" s="94" t="e">
        <f ca="1">INDEX(INDIRECT(CONCATENATE("Tab_",Tab_Calculs[[#This Row],[Colonne1]])),Tab_Calculs[[#This Row],[index_date_livraison]]+1,6)*(Tab_Calculs[[#This Row],[fin mois]]-MIN(Tab_Calculs[[#This Row],[fin mois]],Tab_Calculs[[#This Row],[Date_livraison]]))</f>
        <v>#VALUE!</v>
      </c>
      <c r="N470" s="231" t="str">
        <f ca="1">IFERROR(Tab_Calculs[[#This Row],[Ratio_jour_après_livr]]+Tab_Calculs[[#This Row],[Ratio_jour_avant_livr]]+Tab_Calculs[[#This Row],[ratio_avant_debut]],"")</f>
        <v/>
      </c>
      <c r="O470" t="e">
        <f ca="1">INDEX(INDIRECT(CONCATENATE("Tab_",Tab_Calculs[[#This Row],[Colonne1]])),Tab_Calculs[[#This Row],[index_date_livraison]]-1,7)*(MAX(Tab_Calculs[[#This Row],[Début periode livraison]],Tab_Calculs[[#This Row],[Début mois]])-Tab_Calculs[[#This Row],[Début mois]])</f>
        <v>#VALUE!</v>
      </c>
      <c r="P470">
        <f ca="1">INDEX(INDIRECT(CONCATENATE("Tab_",Tab_Calculs[[#This Row],[Colonne1]])),Tab_Calculs[[#This Row],[index_date_livraison]],7)*(1+MIN(Tab_Calculs[[#This Row],[Date_livraison]],Tab_Calculs[[#This Row],[fin mois]])-MAX(Tab_Calculs[[#This Row],[Début mois]],Tab_Calculs[[#This Row],[Début periode livraison]]))</f>
        <v>0</v>
      </c>
      <c r="Q470" t="e">
        <f ca="1">INDEX(INDIRECT(CONCATENATE("Tab_",Tab_Calculs[[#This Row],[Colonne1]])),Tab_Calculs[[#This Row],[index_date_livraison]]+1,7)*(Tab_Calculs[[#This Row],[fin mois]]-MIN(Tab_Calculs[[#This Row],[fin mois]],Tab_Calculs[[#This Row],[Date_livraison]]))</f>
        <v>#VALUE!</v>
      </c>
      <c r="R470" t="e">
        <f ca="1">Tab_Calculs[[#This Row],[Ratio_Cout_après_livr]]+Tab_Calculs[[#This Row],[Ratio_Cout_avant_livr]]+Tab_Calculs[[#This Row],[Ratio_Cout_avant_debut]]</f>
        <v>#VALUE!</v>
      </c>
      <c r="S470" t="str">
        <f ca="1">IFERROR(N470*VLOOKUP(Tab_Calculs[[#This Row],[Colonne1]],Controle_des_données!$B$7:$G$14,6,FALSE),"")</f>
        <v/>
      </c>
      <c r="T470" t="str">
        <f ca="1">IF(Tab_Calculs[[#This Row],[Combustible ]]="Electricité (kWh)",Tab_Calculs[[#This Row],[Conso_mois_kWh]]*2.3,Tab_Calculs[[#This Row],[Conso_mois_kWh]])</f>
        <v/>
      </c>
      <c r="U470" t="str">
        <f ca="1">IFERROR(N470*VLOOKUP(Tab_Calculs[[#This Row],[Colonne1]],Controle_des_données!$B$7:$H$14,7,FALSE),"")</f>
        <v/>
      </c>
      <c r="V470">
        <f ca="1">IFERROR(Tab_Calculs[[#This Row],[Cout_mois]]/Tab_Calculs[[#This Row],[Conso_mois_kWh]],0)</f>
        <v>0</v>
      </c>
      <c r="W470" t="str">
        <f>T(VLOOKUP(Tab_Calculs[[#This Row],[Compteur]],Site!$B$33:$G$40,3,FALSE))</f>
        <v/>
      </c>
      <c r="X470" t="str">
        <f>T(VLOOKUP(Tab_Calculs[[#This Row],[Compteur]],Site!$B$33:$G$40,4,FALSE))</f>
        <v/>
      </c>
      <c r="Y470" t="str">
        <f>T(VLOOKUP(Tab_Calculs[[#This Row],[Compteur]],Site!$B$33:$G$40,5,FALSE))</f>
        <v/>
      </c>
      <c r="Z470" t="str">
        <f>T(VLOOKUP(Tab_Calculs[[#This Row],[Compteur]],Site!$B$33:$G$40,6,FALSE))</f>
        <v/>
      </c>
      <c r="AA470">
        <f>IFERROR(GETPIVOTDATA("DJU(chauffagiste)",BDD_DJU!$P$13,"annee",Tab_Calculs[[#This Row],[ANNEE]],"mois_numero",Tab_Calculs[[#This Row],[MOIS]]),0)</f>
        <v>47.7</v>
      </c>
    </row>
    <row r="471" spans="1:27" x14ac:dyDescent="0.25">
      <c r="A471" s="3">
        <f>DATE(Tab_Calculs[[#This Row],[ANNEE]],Tab_Calculs[[#This Row],[MOIS]],1)</f>
        <v>42552</v>
      </c>
      <c r="B471" s="3">
        <f>EDATE(Tab_Calculs[[#This Row],[Début mois]],1)-1</f>
        <v>42582</v>
      </c>
      <c r="C471">
        <f t="shared" si="15"/>
        <v>7</v>
      </c>
      <c r="D471">
        <f t="shared" si="14"/>
        <v>2016</v>
      </c>
      <c r="E471" t="s">
        <v>82</v>
      </c>
      <c r="F471" t="str">
        <f>SUBSTITUTE(Tab_Calculs[[#This Row],[Compteur]]," ","_")</f>
        <v>Compteur_3</v>
      </c>
      <c r="G471" t="str">
        <f>T(INDEX(Site!$B$33:$G$40, MATCH(Tab_Calculs[[#This Row],[Compteur]], Site!$B$33:$B$40,0),2))</f>
        <v/>
      </c>
      <c r="H471" s="3">
        <f t="array" aca="1" ref="H471" ca="1">MIN(IF(INDIRECT(CONCATENATE(Tab_Calculs[[#This Row],[Colonne1]],"!$B$2:$B$243"))&gt;=Calculs_Consos!$A471,INDIRECT(CONCATENATE(Tab_Calculs[[#This Row],[Colonne1]],"!$B$2:$B$243"))))</f>
        <v>0</v>
      </c>
      <c r="I471" s="3">
        <f ca="1">INDEX(INDIRECT(CONCATENATE("Tab_",Tab_Calculs[[#This Row],[Colonne1]])),Tab_Calculs[[#This Row],[index_date_livraison]],1)</f>
        <v>0</v>
      </c>
      <c r="J471">
        <f ca="1">MATCH(Tab_Calculs[[#This Row],[Date_livraison]],INDIRECT(CONCATENATE("Tab_",Tab_Calculs[[#This Row],[Colonne1]],"[Fin de période]")),0)</f>
        <v>1</v>
      </c>
      <c r="K471" t="e">
        <f ca="1">INDEX(INDIRECT(CONCATENATE("Tab_",Tab_Calculs[[#This Row],[Colonne1]])),Tab_Calculs[[#This Row],[index_date_livraison]]-1,6)*(MAX(Tab_Calculs[[#This Row],[Début periode livraison]],Tab_Calculs[[#This Row],[Début mois]])-Tab_Calculs[[#This Row],[Début mois]])</f>
        <v>#VALUE!</v>
      </c>
      <c r="L471" s="94">
        <f ca="1">INDEX(INDIRECT(CONCATENATE("Tab_",Tab_Calculs[[#This Row],[Colonne1]])),Tab_Calculs[[#This Row],[index_date_livraison]],6)*(1+MIN(Tab_Calculs[[#This Row],[Date_livraison]],Tab_Calculs[[#This Row],[fin mois]])-MAX(Tab_Calculs[[#This Row],[Début mois]],Tab_Calculs[[#This Row],[Début periode livraison]]))</f>
        <v>0</v>
      </c>
      <c r="M471" s="94" t="e">
        <f ca="1">INDEX(INDIRECT(CONCATENATE("Tab_",Tab_Calculs[[#This Row],[Colonne1]])),Tab_Calculs[[#This Row],[index_date_livraison]]+1,6)*(Tab_Calculs[[#This Row],[fin mois]]-MIN(Tab_Calculs[[#This Row],[fin mois]],Tab_Calculs[[#This Row],[Date_livraison]]))</f>
        <v>#VALUE!</v>
      </c>
      <c r="N471" s="231" t="str">
        <f ca="1">IFERROR(Tab_Calculs[[#This Row],[Ratio_jour_après_livr]]+Tab_Calculs[[#This Row],[Ratio_jour_avant_livr]]+Tab_Calculs[[#This Row],[ratio_avant_debut]],"")</f>
        <v/>
      </c>
      <c r="O471" t="e">
        <f ca="1">INDEX(INDIRECT(CONCATENATE("Tab_",Tab_Calculs[[#This Row],[Colonne1]])),Tab_Calculs[[#This Row],[index_date_livraison]]-1,7)*(MAX(Tab_Calculs[[#This Row],[Début periode livraison]],Tab_Calculs[[#This Row],[Début mois]])-Tab_Calculs[[#This Row],[Début mois]])</f>
        <v>#VALUE!</v>
      </c>
      <c r="P471">
        <f ca="1">INDEX(INDIRECT(CONCATENATE("Tab_",Tab_Calculs[[#This Row],[Colonne1]])),Tab_Calculs[[#This Row],[index_date_livraison]],7)*(1+MIN(Tab_Calculs[[#This Row],[Date_livraison]],Tab_Calculs[[#This Row],[fin mois]])-MAX(Tab_Calculs[[#This Row],[Début mois]],Tab_Calculs[[#This Row],[Début periode livraison]]))</f>
        <v>0</v>
      </c>
      <c r="Q471" t="e">
        <f ca="1">INDEX(INDIRECT(CONCATENATE("Tab_",Tab_Calculs[[#This Row],[Colonne1]])),Tab_Calculs[[#This Row],[index_date_livraison]]+1,7)*(Tab_Calculs[[#This Row],[fin mois]]-MIN(Tab_Calculs[[#This Row],[fin mois]],Tab_Calculs[[#This Row],[Date_livraison]]))</f>
        <v>#VALUE!</v>
      </c>
      <c r="R471" t="e">
        <f ca="1">Tab_Calculs[[#This Row],[Ratio_Cout_après_livr]]+Tab_Calculs[[#This Row],[Ratio_Cout_avant_livr]]+Tab_Calculs[[#This Row],[Ratio_Cout_avant_debut]]</f>
        <v>#VALUE!</v>
      </c>
      <c r="S471" t="str">
        <f ca="1">IFERROR(N471*VLOOKUP(Tab_Calculs[[#This Row],[Colonne1]],Controle_des_données!$B$7:$G$14,6,FALSE),"")</f>
        <v/>
      </c>
      <c r="T471" t="str">
        <f ca="1">IF(Tab_Calculs[[#This Row],[Combustible ]]="Electricité (kWh)",Tab_Calculs[[#This Row],[Conso_mois_kWh]]*2.3,Tab_Calculs[[#This Row],[Conso_mois_kWh]])</f>
        <v/>
      </c>
      <c r="U471" t="str">
        <f ca="1">IFERROR(N471*VLOOKUP(Tab_Calculs[[#This Row],[Colonne1]],Controle_des_données!$B$7:$H$14,7,FALSE),"")</f>
        <v/>
      </c>
      <c r="V471">
        <f ca="1">IFERROR(Tab_Calculs[[#This Row],[Cout_mois]]/Tab_Calculs[[#This Row],[Conso_mois_kWh]],0)</f>
        <v>0</v>
      </c>
      <c r="W471" t="str">
        <f>T(VLOOKUP(Tab_Calculs[[#This Row],[Compteur]],Site!$B$33:$G$40,3,FALSE))</f>
        <v/>
      </c>
      <c r="X471" t="str">
        <f>T(VLOOKUP(Tab_Calculs[[#This Row],[Compteur]],Site!$B$33:$G$40,4,FALSE))</f>
        <v/>
      </c>
      <c r="Y471" t="str">
        <f>T(VLOOKUP(Tab_Calculs[[#This Row],[Compteur]],Site!$B$33:$G$40,5,FALSE))</f>
        <v/>
      </c>
      <c r="Z471" t="str">
        <f>T(VLOOKUP(Tab_Calculs[[#This Row],[Compteur]],Site!$B$33:$G$40,6,FALSE))</f>
        <v/>
      </c>
      <c r="AA471">
        <f>IFERROR(GETPIVOTDATA("DJU(chauffagiste)",BDD_DJU!$P$13,"annee",Tab_Calculs[[#This Row],[ANNEE]],"mois_numero",Tab_Calculs[[#This Row],[MOIS]]),0)</f>
        <v>32.299999999999997</v>
      </c>
    </row>
    <row r="472" spans="1:27" x14ac:dyDescent="0.25">
      <c r="A472" s="3">
        <f>DATE(Tab_Calculs[[#This Row],[ANNEE]],Tab_Calculs[[#This Row],[MOIS]],1)</f>
        <v>42583</v>
      </c>
      <c r="B472" s="3">
        <f>EDATE(Tab_Calculs[[#This Row],[Début mois]],1)-1</f>
        <v>42613</v>
      </c>
      <c r="C472">
        <f t="shared" si="15"/>
        <v>8</v>
      </c>
      <c r="D472">
        <f t="shared" si="14"/>
        <v>2016</v>
      </c>
      <c r="E472" t="s">
        <v>82</v>
      </c>
      <c r="F472" t="str">
        <f>SUBSTITUTE(Tab_Calculs[[#This Row],[Compteur]]," ","_")</f>
        <v>Compteur_3</v>
      </c>
      <c r="G472" t="str">
        <f>T(INDEX(Site!$B$33:$G$40, MATCH(Tab_Calculs[[#This Row],[Compteur]], Site!$B$33:$B$40,0),2))</f>
        <v/>
      </c>
      <c r="H472" s="3">
        <f t="array" aca="1" ref="H472" ca="1">MIN(IF(INDIRECT(CONCATENATE(Tab_Calculs[[#This Row],[Colonne1]],"!$B$2:$B$243"))&gt;=Calculs_Consos!$A472,INDIRECT(CONCATENATE(Tab_Calculs[[#This Row],[Colonne1]],"!$B$2:$B$243"))))</f>
        <v>0</v>
      </c>
      <c r="I472" s="3">
        <f ca="1">INDEX(INDIRECT(CONCATENATE("Tab_",Tab_Calculs[[#This Row],[Colonne1]])),Tab_Calculs[[#This Row],[index_date_livraison]],1)</f>
        <v>0</v>
      </c>
      <c r="J472">
        <f ca="1">MATCH(Tab_Calculs[[#This Row],[Date_livraison]],INDIRECT(CONCATENATE("Tab_",Tab_Calculs[[#This Row],[Colonne1]],"[Fin de période]")),0)</f>
        <v>1</v>
      </c>
      <c r="K472" t="e">
        <f ca="1">INDEX(INDIRECT(CONCATENATE("Tab_",Tab_Calculs[[#This Row],[Colonne1]])),Tab_Calculs[[#This Row],[index_date_livraison]]-1,6)*(MAX(Tab_Calculs[[#This Row],[Début periode livraison]],Tab_Calculs[[#This Row],[Début mois]])-Tab_Calculs[[#This Row],[Début mois]])</f>
        <v>#VALUE!</v>
      </c>
      <c r="L472" s="94">
        <f ca="1">INDEX(INDIRECT(CONCATENATE("Tab_",Tab_Calculs[[#This Row],[Colonne1]])),Tab_Calculs[[#This Row],[index_date_livraison]],6)*(1+MIN(Tab_Calculs[[#This Row],[Date_livraison]],Tab_Calculs[[#This Row],[fin mois]])-MAX(Tab_Calculs[[#This Row],[Début mois]],Tab_Calculs[[#This Row],[Début periode livraison]]))</f>
        <v>0</v>
      </c>
      <c r="M472" s="94" t="e">
        <f ca="1">INDEX(INDIRECT(CONCATENATE("Tab_",Tab_Calculs[[#This Row],[Colonne1]])),Tab_Calculs[[#This Row],[index_date_livraison]]+1,6)*(Tab_Calculs[[#This Row],[fin mois]]-MIN(Tab_Calculs[[#This Row],[fin mois]],Tab_Calculs[[#This Row],[Date_livraison]]))</f>
        <v>#VALUE!</v>
      </c>
      <c r="N472" s="231" t="str">
        <f ca="1">IFERROR(Tab_Calculs[[#This Row],[Ratio_jour_après_livr]]+Tab_Calculs[[#This Row],[Ratio_jour_avant_livr]]+Tab_Calculs[[#This Row],[ratio_avant_debut]],"")</f>
        <v/>
      </c>
      <c r="O472" t="e">
        <f ca="1">INDEX(INDIRECT(CONCATENATE("Tab_",Tab_Calculs[[#This Row],[Colonne1]])),Tab_Calculs[[#This Row],[index_date_livraison]]-1,7)*(MAX(Tab_Calculs[[#This Row],[Début periode livraison]],Tab_Calculs[[#This Row],[Début mois]])-Tab_Calculs[[#This Row],[Début mois]])</f>
        <v>#VALUE!</v>
      </c>
      <c r="P472">
        <f ca="1">INDEX(INDIRECT(CONCATENATE("Tab_",Tab_Calculs[[#This Row],[Colonne1]])),Tab_Calculs[[#This Row],[index_date_livraison]],7)*(1+MIN(Tab_Calculs[[#This Row],[Date_livraison]],Tab_Calculs[[#This Row],[fin mois]])-MAX(Tab_Calculs[[#This Row],[Début mois]],Tab_Calculs[[#This Row],[Début periode livraison]]))</f>
        <v>0</v>
      </c>
      <c r="Q472" t="e">
        <f ca="1">INDEX(INDIRECT(CONCATENATE("Tab_",Tab_Calculs[[#This Row],[Colonne1]])),Tab_Calculs[[#This Row],[index_date_livraison]]+1,7)*(Tab_Calculs[[#This Row],[fin mois]]-MIN(Tab_Calculs[[#This Row],[fin mois]],Tab_Calculs[[#This Row],[Date_livraison]]))</f>
        <v>#VALUE!</v>
      </c>
      <c r="R472" t="e">
        <f ca="1">Tab_Calculs[[#This Row],[Ratio_Cout_après_livr]]+Tab_Calculs[[#This Row],[Ratio_Cout_avant_livr]]+Tab_Calculs[[#This Row],[Ratio_Cout_avant_debut]]</f>
        <v>#VALUE!</v>
      </c>
      <c r="S472" t="str">
        <f ca="1">IFERROR(N472*VLOOKUP(Tab_Calculs[[#This Row],[Colonne1]],Controle_des_données!$B$7:$G$14,6,FALSE),"")</f>
        <v/>
      </c>
      <c r="T472" t="str">
        <f ca="1">IF(Tab_Calculs[[#This Row],[Combustible ]]="Electricité (kWh)",Tab_Calculs[[#This Row],[Conso_mois_kWh]]*2.3,Tab_Calculs[[#This Row],[Conso_mois_kWh]])</f>
        <v/>
      </c>
      <c r="U472" t="str">
        <f ca="1">IFERROR(N472*VLOOKUP(Tab_Calculs[[#This Row],[Colonne1]],Controle_des_données!$B$7:$H$14,7,FALSE),"")</f>
        <v/>
      </c>
      <c r="V472">
        <f ca="1">IFERROR(Tab_Calculs[[#This Row],[Cout_mois]]/Tab_Calculs[[#This Row],[Conso_mois_kWh]],0)</f>
        <v>0</v>
      </c>
      <c r="W472" t="str">
        <f>T(VLOOKUP(Tab_Calculs[[#This Row],[Compteur]],Site!$B$33:$G$40,3,FALSE))</f>
        <v/>
      </c>
      <c r="X472" t="str">
        <f>T(VLOOKUP(Tab_Calculs[[#This Row],[Compteur]],Site!$B$33:$G$40,4,FALSE))</f>
        <v/>
      </c>
      <c r="Y472" t="str">
        <f>T(VLOOKUP(Tab_Calculs[[#This Row],[Compteur]],Site!$B$33:$G$40,5,FALSE))</f>
        <v/>
      </c>
      <c r="Z472" t="str">
        <f>T(VLOOKUP(Tab_Calculs[[#This Row],[Compteur]],Site!$B$33:$G$40,6,FALSE))</f>
        <v/>
      </c>
      <c r="AA472">
        <f>IFERROR(GETPIVOTDATA("DJU(chauffagiste)",BDD_DJU!$P$13,"annee",Tab_Calculs[[#This Row],[ANNEE]],"mois_numero",Tab_Calculs[[#This Row],[MOIS]]),0)</f>
        <v>33.799999999999997</v>
      </c>
    </row>
    <row r="473" spans="1:27" x14ac:dyDescent="0.25">
      <c r="A473" s="3">
        <f>DATE(Tab_Calculs[[#This Row],[ANNEE]],Tab_Calculs[[#This Row],[MOIS]],1)</f>
        <v>42614</v>
      </c>
      <c r="B473" s="3">
        <f>EDATE(Tab_Calculs[[#This Row],[Début mois]],1)-1</f>
        <v>42643</v>
      </c>
      <c r="C473">
        <f t="shared" si="15"/>
        <v>9</v>
      </c>
      <c r="D473">
        <f t="shared" si="14"/>
        <v>2016</v>
      </c>
      <c r="E473" t="s">
        <v>82</v>
      </c>
      <c r="F473" t="str">
        <f>SUBSTITUTE(Tab_Calculs[[#This Row],[Compteur]]," ","_")</f>
        <v>Compteur_3</v>
      </c>
      <c r="G473" t="str">
        <f>T(INDEX(Site!$B$33:$G$40, MATCH(Tab_Calculs[[#This Row],[Compteur]], Site!$B$33:$B$40,0),2))</f>
        <v/>
      </c>
      <c r="H473" s="3">
        <f t="array" aca="1" ref="H473" ca="1">MIN(IF(INDIRECT(CONCATENATE(Tab_Calculs[[#This Row],[Colonne1]],"!$B$2:$B$243"))&gt;=Calculs_Consos!$A473,INDIRECT(CONCATENATE(Tab_Calculs[[#This Row],[Colonne1]],"!$B$2:$B$243"))))</f>
        <v>0</v>
      </c>
      <c r="I473" s="3">
        <f ca="1">INDEX(INDIRECT(CONCATENATE("Tab_",Tab_Calculs[[#This Row],[Colonne1]])),Tab_Calculs[[#This Row],[index_date_livraison]],1)</f>
        <v>0</v>
      </c>
      <c r="J473">
        <f ca="1">MATCH(Tab_Calculs[[#This Row],[Date_livraison]],INDIRECT(CONCATENATE("Tab_",Tab_Calculs[[#This Row],[Colonne1]],"[Fin de période]")),0)</f>
        <v>1</v>
      </c>
      <c r="K473" t="e">
        <f ca="1">INDEX(INDIRECT(CONCATENATE("Tab_",Tab_Calculs[[#This Row],[Colonne1]])),Tab_Calculs[[#This Row],[index_date_livraison]]-1,6)*(MAX(Tab_Calculs[[#This Row],[Début periode livraison]],Tab_Calculs[[#This Row],[Début mois]])-Tab_Calculs[[#This Row],[Début mois]])</f>
        <v>#VALUE!</v>
      </c>
      <c r="L473" s="94">
        <f ca="1">INDEX(INDIRECT(CONCATENATE("Tab_",Tab_Calculs[[#This Row],[Colonne1]])),Tab_Calculs[[#This Row],[index_date_livraison]],6)*(1+MIN(Tab_Calculs[[#This Row],[Date_livraison]],Tab_Calculs[[#This Row],[fin mois]])-MAX(Tab_Calculs[[#This Row],[Début mois]],Tab_Calculs[[#This Row],[Début periode livraison]]))</f>
        <v>0</v>
      </c>
      <c r="M473" s="94" t="e">
        <f ca="1">INDEX(INDIRECT(CONCATENATE("Tab_",Tab_Calculs[[#This Row],[Colonne1]])),Tab_Calculs[[#This Row],[index_date_livraison]]+1,6)*(Tab_Calculs[[#This Row],[fin mois]]-MIN(Tab_Calculs[[#This Row],[fin mois]],Tab_Calculs[[#This Row],[Date_livraison]]))</f>
        <v>#VALUE!</v>
      </c>
      <c r="N473" s="231" t="str">
        <f ca="1">IFERROR(Tab_Calculs[[#This Row],[Ratio_jour_après_livr]]+Tab_Calculs[[#This Row],[Ratio_jour_avant_livr]]+Tab_Calculs[[#This Row],[ratio_avant_debut]],"")</f>
        <v/>
      </c>
      <c r="O473" t="e">
        <f ca="1">INDEX(INDIRECT(CONCATENATE("Tab_",Tab_Calculs[[#This Row],[Colonne1]])),Tab_Calculs[[#This Row],[index_date_livraison]]-1,7)*(MAX(Tab_Calculs[[#This Row],[Début periode livraison]],Tab_Calculs[[#This Row],[Début mois]])-Tab_Calculs[[#This Row],[Début mois]])</f>
        <v>#VALUE!</v>
      </c>
      <c r="P473">
        <f ca="1">INDEX(INDIRECT(CONCATENATE("Tab_",Tab_Calculs[[#This Row],[Colonne1]])),Tab_Calculs[[#This Row],[index_date_livraison]],7)*(1+MIN(Tab_Calculs[[#This Row],[Date_livraison]],Tab_Calculs[[#This Row],[fin mois]])-MAX(Tab_Calculs[[#This Row],[Début mois]],Tab_Calculs[[#This Row],[Début periode livraison]]))</f>
        <v>0</v>
      </c>
      <c r="Q473" t="e">
        <f ca="1">INDEX(INDIRECT(CONCATENATE("Tab_",Tab_Calculs[[#This Row],[Colonne1]])),Tab_Calculs[[#This Row],[index_date_livraison]]+1,7)*(Tab_Calculs[[#This Row],[fin mois]]-MIN(Tab_Calculs[[#This Row],[fin mois]],Tab_Calculs[[#This Row],[Date_livraison]]))</f>
        <v>#VALUE!</v>
      </c>
      <c r="R473" t="e">
        <f ca="1">Tab_Calculs[[#This Row],[Ratio_Cout_après_livr]]+Tab_Calculs[[#This Row],[Ratio_Cout_avant_livr]]+Tab_Calculs[[#This Row],[Ratio_Cout_avant_debut]]</f>
        <v>#VALUE!</v>
      </c>
      <c r="S473" t="str">
        <f ca="1">IFERROR(N473*VLOOKUP(Tab_Calculs[[#This Row],[Colonne1]],Controle_des_données!$B$7:$G$14,6,FALSE),"")</f>
        <v/>
      </c>
      <c r="T473" t="str">
        <f ca="1">IF(Tab_Calculs[[#This Row],[Combustible ]]="Electricité (kWh)",Tab_Calculs[[#This Row],[Conso_mois_kWh]]*2.3,Tab_Calculs[[#This Row],[Conso_mois_kWh]])</f>
        <v/>
      </c>
      <c r="U473" t="str">
        <f ca="1">IFERROR(N473*VLOOKUP(Tab_Calculs[[#This Row],[Colonne1]],Controle_des_données!$B$7:$H$14,7,FALSE),"")</f>
        <v/>
      </c>
      <c r="V473">
        <f ca="1">IFERROR(Tab_Calculs[[#This Row],[Cout_mois]]/Tab_Calculs[[#This Row],[Conso_mois_kWh]],0)</f>
        <v>0</v>
      </c>
      <c r="W473" t="str">
        <f>T(VLOOKUP(Tab_Calculs[[#This Row],[Compteur]],Site!$B$33:$G$40,3,FALSE))</f>
        <v/>
      </c>
      <c r="X473" t="str">
        <f>T(VLOOKUP(Tab_Calculs[[#This Row],[Compteur]],Site!$B$33:$G$40,4,FALSE))</f>
        <v/>
      </c>
      <c r="Y473" t="str">
        <f>T(VLOOKUP(Tab_Calculs[[#This Row],[Compteur]],Site!$B$33:$G$40,5,FALSE))</f>
        <v/>
      </c>
      <c r="Z473" t="str">
        <f>T(VLOOKUP(Tab_Calculs[[#This Row],[Compteur]],Site!$B$33:$G$40,6,FALSE))</f>
        <v/>
      </c>
      <c r="AA473">
        <f>IFERROR(GETPIVOTDATA("DJU(chauffagiste)",BDD_DJU!$P$13,"annee",Tab_Calculs[[#This Row],[ANNEE]],"mois_numero",Tab_Calculs[[#This Row],[MOIS]]),0)</f>
        <v>43.5</v>
      </c>
    </row>
    <row r="474" spans="1:27" x14ac:dyDescent="0.25">
      <c r="A474" s="3">
        <f>DATE(Tab_Calculs[[#This Row],[ANNEE]],Tab_Calculs[[#This Row],[MOIS]],1)</f>
        <v>42644</v>
      </c>
      <c r="B474" s="3">
        <f>EDATE(Tab_Calculs[[#This Row],[Début mois]],1)-1</f>
        <v>42674</v>
      </c>
      <c r="C474">
        <f t="shared" si="15"/>
        <v>10</v>
      </c>
      <c r="D474">
        <f t="shared" si="14"/>
        <v>2016</v>
      </c>
      <c r="E474" t="s">
        <v>82</v>
      </c>
      <c r="F474" t="str">
        <f>SUBSTITUTE(Tab_Calculs[[#This Row],[Compteur]]," ","_")</f>
        <v>Compteur_3</v>
      </c>
      <c r="G474" t="str">
        <f>T(INDEX(Site!$B$33:$G$40, MATCH(Tab_Calculs[[#This Row],[Compteur]], Site!$B$33:$B$40,0),2))</f>
        <v/>
      </c>
      <c r="H474" s="3">
        <f t="array" aca="1" ref="H474" ca="1">MIN(IF(INDIRECT(CONCATENATE(Tab_Calculs[[#This Row],[Colonne1]],"!$B$2:$B$243"))&gt;=Calculs_Consos!$A474,INDIRECT(CONCATENATE(Tab_Calculs[[#This Row],[Colonne1]],"!$B$2:$B$243"))))</f>
        <v>0</v>
      </c>
      <c r="I474" s="3">
        <f ca="1">INDEX(INDIRECT(CONCATENATE("Tab_",Tab_Calculs[[#This Row],[Colonne1]])),Tab_Calculs[[#This Row],[index_date_livraison]],1)</f>
        <v>0</v>
      </c>
      <c r="J474">
        <f ca="1">MATCH(Tab_Calculs[[#This Row],[Date_livraison]],INDIRECT(CONCATENATE("Tab_",Tab_Calculs[[#This Row],[Colonne1]],"[Fin de période]")),0)</f>
        <v>1</v>
      </c>
      <c r="K474" t="e">
        <f ca="1">INDEX(INDIRECT(CONCATENATE("Tab_",Tab_Calculs[[#This Row],[Colonne1]])),Tab_Calculs[[#This Row],[index_date_livraison]]-1,6)*(MAX(Tab_Calculs[[#This Row],[Début periode livraison]],Tab_Calculs[[#This Row],[Début mois]])-Tab_Calculs[[#This Row],[Début mois]])</f>
        <v>#VALUE!</v>
      </c>
      <c r="L474" s="94">
        <f ca="1">INDEX(INDIRECT(CONCATENATE("Tab_",Tab_Calculs[[#This Row],[Colonne1]])),Tab_Calculs[[#This Row],[index_date_livraison]],6)*(1+MIN(Tab_Calculs[[#This Row],[Date_livraison]],Tab_Calculs[[#This Row],[fin mois]])-MAX(Tab_Calculs[[#This Row],[Début mois]],Tab_Calculs[[#This Row],[Début periode livraison]]))</f>
        <v>0</v>
      </c>
      <c r="M474" s="94" t="e">
        <f ca="1">INDEX(INDIRECT(CONCATENATE("Tab_",Tab_Calculs[[#This Row],[Colonne1]])),Tab_Calculs[[#This Row],[index_date_livraison]]+1,6)*(Tab_Calculs[[#This Row],[fin mois]]-MIN(Tab_Calculs[[#This Row],[fin mois]],Tab_Calculs[[#This Row],[Date_livraison]]))</f>
        <v>#VALUE!</v>
      </c>
      <c r="N474" s="231" t="str">
        <f ca="1">IFERROR(Tab_Calculs[[#This Row],[Ratio_jour_après_livr]]+Tab_Calculs[[#This Row],[Ratio_jour_avant_livr]]+Tab_Calculs[[#This Row],[ratio_avant_debut]],"")</f>
        <v/>
      </c>
      <c r="O474" t="e">
        <f ca="1">INDEX(INDIRECT(CONCATENATE("Tab_",Tab_Calculs[[#This Row],[Colonne1]])),Tab_Calculs[[#This Row],[index_date_livraison]]-1,7)*(MAX(Tab_Calculs[[#This Row],[Début periode livraison]],Tab_Calculs[[#This Row],[Début mois]])-Tab_Calculs[[#This Row],[Début mois]])</f>
        <v>#VALUE!</v>
      </c>
      <c r="P474">
        <f ca="1">INDEX(INDIRECT(CONCATENATE("Tab_",Tab_Calculs[[#This Row],[Colonne1]])),Tab_Calculs[[#This Row],[index_date_livraison]],7)*(1+MIN(Tab_Calculs[[#This Row],[Date_livraison]],Tab_Calculs[[#This Row],[fin mois]])-MAX(Tab_Calculs[[#This Row],[Début mois]],Tab_Calculs[[#This Row],[Début periode livraison]]))</f>
        <v>0</v>
      </c>
      <c r="Q474" t="e">
        <f ca="1">INDEX(INDIRECT(CONCATENATE("Tab_",Tab_Calculs[[#This Row],[Colonne1]])),Tab_Calculs[[#This Row],[index_date_livraison]]+1,7)*(Tab_Calculs[[#This Row],[fin mois]]-MIN(Tab_Calculs[[#This Row],[fin mois]],Tab_Calculs[[#This Row],[Date_livraison]]))</f>
        <v>#VALUE!</v>
      </c>
      <c r="R474" t="e">
        <f ca="1">Tab_Calculs[[#This Row],[Ratio_Cout_après_livr]]+Tab_Calculs[[#This Row],[Ratio_Cout_avant_livr]]+Tab_Calculs[[#This Row],[Ratio_Cout_avant_debut]]</f>
        <v>#VALUE!</v>
      </c>
      <c r="S474" t="str">
        <f ca="1">IFERROR(N474*VLOOKUP(Tab_Calculs[[#This Row],[Colonne1]],Controle_des_données!$B$7:$G$14,6,FALSE),"")</f>
        <v/>
      </c>
      <c r="T474" t="str">
        <f ca="1">IF(Tab_Calculs[[#This Row],[Combustible ]]="Electricité (kWh)",Tab_Calculs[[#This Row],[Conso_mois_kWh]]*2.3,Tab_Calculs[[#This Row],[Conso_mois_kWh]])</f>
        <v/>
      </c>
      <c r="U474" t="str">
        <f ca="1">IFERROR(N474*VLOOKUP(Tab_Calculs[[#This Row],[Colonne1]],Controle_des_données!$B$7:$H$14,7,FALSE),"")</f>
        <v/>
      </c>
      <c r="V474">
        <f ca="1">IFERROR(Tab_Calculs[[#This Row],[Cout_mois]]/Tab_Calculs[[#This Row],[Conso_mois_kWh]],0)</f>
        <v>0</v>
      </c>
      <c r="W474" t="str">
        <f>T(VLOOKUP(Tab_Calculs[[#This Row],[Compteur]],Site!$B$33:$G$40,3,FALSE))</f>
        <v/>
      </c>
      <c r="X474" t="str">
        <f>T(VLOOKUP(Tab_Calculs[[#This Row],[Compteur]],Site!$B$33:$G$40,4,FALSE))</f>
        <v/>
      </c>
      <c r="Y474" t="str">
        <f>T(VLOOKUP(Tab_Calculs[[#This Row],[Compteur]],Site!$B$33:$G$40,5,FALSE))</f>
        <v/>
      </c>
      <c r="Z474" t="str">
        <f>T(VLOOKUP(Tab_Calculs[[#This Row],[Compteur]],Site!$B$33:$G$40,6,FALSE))</f>
        <v/>
      </c>
      <c r="AA474">
        <f>IFERROR(GETPIVOTDATA("DJU(chauffagiste)",BDD_DJU!$P$13,"annee",Tab_Calculs[[#This Row],[ANNEE]],"mois_numero",Tab_Calculs[[#This Row],[MOIS]]),0)</f>
        <v>202.6</v>
      </c>
    </row>
    <row r="475" spans="1:27" x14ac:dyDescent="0.25">
      <c r="A475" s="3">
        <f>DATE(Tab_Calculs[[#This Row],[ANNEE]],Tab_Calculs[[#This Row],[MOIS]],1)</f>
        <v>42675</v>
      </c>
      <c r="B475" s="3">
        <f>EDATE(Tab_Calculs[[#This Row],[Début mois]],1)-1</f>
        <v>42704</v>
      </c>
      <c r="C475">
        <f t="shared" si="15"/>
        <v>11</v>
      </c>
      <c r="D475">
        <f t="shared" si="14"/>
        <v>2016</v>
      </c>
      <c r="E475" t="s">
        <v>82</v>
      </c>
      <c r="F475" t="str">
        <f>SUBSTITUTE(Tab_Calculs[[#This Row],[Compteur]]," ","_")</f>
        <v>Compteur_3</v>
      </c>
      <c r="G475" t="str">
        <f>T(INDEX(Site!$B$33:$G$40, MATCH(Tab_Calculs[[#This Row],[Compteur]], Site!$B$33:$B$40,0),2))</f>
        <v/>
      </c>
      <c r="H475" s="3">
        <f t="array" aca="1" ref="H475" ca="1">MIN(IF(INDIRECT(CONCATENATE(Tab_Calculs[[#This Row],[Colonne1]],"!$B$2:$B$243"))&gt;=Calculs_Consos!$A475,INDIRECT(CONCATENATE(Tab_Calculs[[#This Row],[Colonne1]],"!$B$2:$B$243"))))</f>
        <v>0</v>
      </c>
      <c r="I475" s="3">
        <f ca="1">INDEX(INDIRECT(CONCATENATE("Tab_",Tab_Calculs[[#This Row],[Colonne1]])),Tab_Calculs[[#This Row],[index_date_livraison]],1)</f>
        <v>0</v>
      </c>
      <c r="J475">
        <f ca="1">MATCH(Tab_Calculs[[#This Row],[Date_livraison]],INDIRECT(CONCATENATE("Tab_",Tab_Calculs[[#This Row],[Colonne1]],"[Fin de période]")),0)</f>
        <v>1</v>
      </c>
      <c r="K475" t="e">
        <f ca="1">INDEX(INDIRECT(CONCATENATE("Tab_",Tab_Calculs[[#This Row],[Colonne1]])),Tab_Calculs[[#This Row],[index_date_livraison]]-1,6)*(MAX(Tab_Calculs[[#This Row],[Début periode livraison]],Tab_Calculs[[#This Row],[Début mois]])-Tab_Calculs[[#This Row],[Début mois]])</f>
        <v>#VALUE!</v>
      </c>
      <c r="L475" s="94">
        <f ca="1">INDEX(INDIRECT(CONCATENATE("Tab_",Tab_Calculs[[#This Row],[Colonne1]])),Tab_Calculs[[#This Row],[index_date_livraison]],6)*(1+MIN(Tab_Calculs[[#This Row],[Date_livraison]],Tab_Calculs[[#This Row],[fin mois]])-MAX(Tab_Calculs[[#This Row],[Début mois]],Tab_Calculs[[#This Row],[Début periode livraison]]))</f>
        <v>0</v>
      </c>
      <c r="M475" s="94" t="e">
        <f ca="1">INDEX(INDIRECT(CONCATENATE("Tab_",Tab_Calculs[[#This Row],[Colonne1]])),Tab_Calculs[[#This Row],[index_date_livraison]]+1,6)*(Tab_Calculs[[#This Row],[fin mois]]-MIN(Tab_Calculs[[#This Row],[fin mois]],Tab_Calculs[[#This Row],[Date_livraison]]))</f>
        <v>#VALUE!</v>
      </c>
      <c r="N475" s="231" t="str">
        <f ca="1">IFERROR(Tab_Calculs[[#This Row],[Ratio_jour_après_livr]]+Tab_Calculs[[#This Row],[Ratio_jour_avant_livr]]+Tab_Calculs[[#This Row],[ratio_avant_debut]],"")</f>
        <v/>
      </c>
      <c r="O475" t="e">
        <f ca="1">INDEX(INDIRECT(CONCATENATE("Tab_",Tab_Calculs[[#This Row],[Colonne1]])),Tab_Calculs[[#This Row],[index_date_livraison]]-1,7)*(MAX(Tab_Calculs[[#This Row],[Début periode livraison]],Tab_Calculs[[#This Row],[Début mois]])-Tab_Calculs[[#This Row],[Début mois]])</f>
        <v>#VALUE!</v>
      </c>
      <c r="P475">
        <f ca="1">INDEX(INDIRECT(CONCATENATE("Tab_",Tab_Calculs[[#This Row],[Colonne1]])),Tab_Calculs[[#This Row],[index_date_livraison]],7)*(1+MIN(Tab_Calculs[[#This Row],[Date_livraison]],Tab_Calculs[[#This Row],[fin mois]])-MAX(Tab_Calculs[[#This Row],[Début mois]],Tab_Calculs[[#This Row],[Début periode livraison]]))</f>
        <v>0</v>
      </c>
      <c r="Q475" t="e">
        <f ca="1">INDEX(INDIRECT(CONCATENATE("Tab_",Tab_Calculs[[#This Row],[Colonne1]])),Tab_Calculs[[#This Row],[index_date_livraison]]+1,7)*(Tab_Calculs[[#This Row],[fin mois]]-MIN(Tab_Calculs[[#This Row],[fin mois]],Tab_Calculs[[#This Row],[Date_livraison]]))</f>
        <v>#VALUE!</v>
      </c>
      <c r="R475" t="e">
        <f ca="1">Tab_Calculs[[#This Row],[Ratio_Cout_après_livr]]+Tab_Calculs[[#This Row],[Ratio_Cout_avant_livr]]+Tab_Calculs[[#This Row],[Ratio_Cout_avant_debut]]</f>
        <v>#VALUE!</v>
      </c>
      <c r="S475" t="str">
        <f ca="1">IFERROR(N475*VLOOKUP(Tab_Calculs[[#This Row],[Colonne1]],Controle_des_données!$B$7:$G$14,6,FALSE),"")</f>
        <v/>
      </c>
      <c r="T475" t="str">
        <f ca="1">IF(Tab_Calculs[[#This Row],[Combustible ]]="Electricité (kWh)",Tab_Calculs[[#This Row],[Conso_mois_kWh]]*2.3,Tab_Calculs[[#This Row],[Conso_mois_kWh]])</f>
        <v/>
      </c>
      <c r="U475" t="str">
        <f ca="1">IFERROR(N475*VLOOKUP(Tab_Calculs[[#This Row],[Colonne1]],Controle_des_données!$B$7:$H$14,7,FALSE),"")</f>
        <v/>
      </c>
      <c r="V475">
        <f ca="1">IFERROR(Tab_Calculs[[#This Row],[Cout_mois]]/Tab_Calculs[[#This Row],[Conso_mois_kWh]],0)</f>
        <v>0</v>
      </c>
      <c r="W475" t="str">
        <f>T(VLOOKUP(Tab_Calculs[[#This Row],[Compteur]],Site!$B$33:$G$40,3,FALSE))</f>
        <v/>
      </c>
      <c r="X475" t="str">
        <f>T(VLOOKUP(Tab_Calculs[[#This Row],[Compteur]],Site!$B$33:$G$40,4,FALSE))</f>
        <v/>
      </c>
      <c r="Y475" t="str">
        <f>T(VLOOKUP(Tab_Calculs[[#This Row],[Compteur]],Site!$B$33:$G$40,5,FALSE))</f>
        <v/>
      </c>
      <c r="Z475" t="str">
        <f>T(VLOOKUP(Tab_Calculs[[#This Row],[Compteur]],Site!$B$33:$G$40,6,FALSE))</f>
        <v/>
      </c>
      <c r="AA475">
        <f>IFERROR(GETPIVOTDATA("DJU(chauffagiste)",BDD_DJU!$P$13,"annee",Tab_Calculs[[#This Row],[ANNEE]],"mois_numero",Tab_Calculs[[#This Row],[MOIS]]),0)</f>
        <v>289.2</v>
      </c>
    </row>
    <row r="476" spans="1:27" x14ac:dyDescent="0.25">
      <c r="A476" s="3">
        <f>DATE(Tab_Calculs[[#This Row],[ANNEE]],Tab_Calculs[[#This Row],[MOIS]],1)</f>
        <v>42705</v>
      </c>
      <c r="B476" s="3">
        <f>EDATE(Tab_Calculs[[#This Row],[Début mois]],1)-1</f>
        <v>42735</v>
      </c>
      <c r="C476">
        <f t="shared" si="15"/>
        <v>12</v>
      </c>
      <c r="D476">
        <f t="shared" si="14"/>
        <v>2016</v>
      </c>
      <c r="E476" t="s">
        <v>82</v>
      </c>
      <c r="F476" t="str">
        <f>SUBSTITUTE(Tab_Calculs[[#This Row],[Compteur]]," ","_")</f>
        <v>Compteur_3</v>
      </c>
      <c r="G476" t="str">
        <f>T(INDEX(Site!$B$33:$G$40, MATCH(Tab_Calculs[[#This Row],[Compteur]], Site!$B$33:$B$40,0),2))</f>
        <v/>
      </c>
      <c r="H476" s="3">
        <f t="array" aca="1" ref="H476" ca="1">MIN(IF(INDIRECT(CONCATENATE(Tab_Calculs[[#This Row],[Colonne1]],"!$B$2:$B$243"))&gt;=Calculs_Consos!$A476,INDIRECT(CONCATENATE(Tab_Calculs[[#This Row],[Colonne1]],"!$B$2:$B$243"))))</f>
        <v>0</v>
      </c>
      <c r="I476" s="3">
        <f ca="1">INDEX(INDIRECT(CONCATENATE("Tab_",Tab_Calculs[[#This Row],[Colonne1]])),Tab_Calculs[[#This Row],[index_date_livraison]],1)</f>
        <v>0</v>
      </c>
      <c r="J476">
        <f ca="1">MATCH(Tab_Calculs[[#This Row],[Date_livraison]],INDIRECT(CONCATENATE("Tab_",Tab_Calculs[[#This Row],[Colonne1]],"[Fin de période]")),0)</f>
        <v>1</v>
      </c>
      <c r="K476" t="e">
        <f ca="1">INDEX(INDIRECT(CONCATENATE("Tab_",Tab_Calculs[[#This Row],[Colonne1]])),Tab_Calculs[[#This Row],[index_date_livraison]]-1,6)*(MAX(Tab_Calculs[[#This Row],[Début periode livraison]],Tab_Calculs[[#This Row],[Début mois]])-Tab_Calculs[[#This Row],[Début mois]])</f>
        <v>#VALUE!</v>
      </c>
      <c r="L476" s="94">
        <f ca="1">INDEX(INDIRECT(CONCATENATE("Tab_",Tab_Calculs[[#This Row],[Colonne1]])),Tab_Calculs[[#This Row],[index_date_livraison]],6)*(1+MIN(Tab_Calculs[[#This Row],[Date_livraison]],Tab_Calculs[[#This Row],[fin mois]])-MAX(Tab_Calculs[[#This Row],[Début mois]],Tab_Calculs[[#This Row],[Début periode livraison]]))</f>
        <v>0</v>
      </c>
      <c r="M476" s="94" t="e">
        <f ca="1">INDEX(INDIRECT(CONCATENATE("Tab_",Tab_Calculs[[#This Row],[Colonne1]])),Tab_Calculs[[#This Row],[index_date_livraison]]+1,6)*(Tab_Calculs[[#This Row],[fin mois]]-MIN(Tab_Calculs[[#This Row],[fin mois]],Tab_Calculs[[#This Row],[Date_livraison]]))</f>
        <v>#VALUE!</v>
      </c>
      <c r="N476" s="231" t="str">
        <f ca="1">IFERROR(Tab_Calculs[[#This Row],[Ratio_jour_après_livr]]+Tab_Calculs[[#This Row],[Ratio_jour_avant_livr]]+Tab_Calculs[[#This Row],[ratio_avant_debut]],"")</f>
        <v/>
      </c>
      <c r="O476" t="e">
        <f ca="1">INDEX(INDIRECT(CONCATENATE("Tab_",Tab_Calculs[[#This Row],[Colonne1]])),Tab_Calculs[[#This Row],[index_date_livraison]]-1,7)*(MAX(Tab_Calculs[[#This Row],[Début periode livraison]],Tab_Calculs[[#This Row],[Début mois]])-Tab_Calculs[[#This Row],[Début mois]])</f>
        <v>#VALUE!</v>
      </c>
      <c r="P476">
        <f ca="1">INDEX(INDIRECT(CONCATENATE("Tab_",Tab_Calculs[[#This Row],[Colonne1]])),Tab_Calculs[[#This Row],[index_date_livraison]],7)*(1+MIN(Tab_Calculs[[#This Row],[Date_livraison]],Tab_Calculs[[#This Row],[fin mois]])-MAX(Tab_Calculs[[#This Row],[Début mois]],Tab_Calculs[[#This Row],[Début periode livraison]]))</f>
        <v>0</v>
      </c>
      <c r="Q476" t="e">
        <f ca="1">INDEX(INDIRECT(CONCATENATE("Tab_",Tab_Calculs[[#This Row],[Colonne1]])),Tab_Calculs[[#This Row],[index_date_livraison]]+1,7)*(Tab_Calculs[[#This Row],[fin mois]]-MIN(Tab_Calculs[[#This Row],[fin mois]],Tab_Calculs[[#This Row],[Date_livraison]]))</f>
        <v>#VALUE!</v>
      </c>
      <c r="R476" t="e">
        <f ca="1">Tab_Calculs[[#This Row],[Ratio_Cout_après_livr]]+Tab_Calculs[[#This Row],[Ratio_Cout_avant_livr]]+Tab_Calculs[[#This Row],[Ratio_Cout_avant_debut]]</f>
        <v>#VALUE!</v>
      </c>
      <c r="S476" t="str">
        <f ca="1">IFERROR(N476*VLOOKUP(Tab_Calculs[[#This Row],[Colonne1]],Controle_des_données!$B$7:$G$14,6,FALSE),"")</f>
        <v/>
      </c>
      <c r="T476" t="str">
        <f ca="1">IF(Tab_Calculs[[#This Row],[Combustible ]]="Electricité (kWh)",Tab_Calculs[[#This Row],[Conso_mois_kWh]]*2.3,Tab_Calculs[[#This Row],[Conso_mois_kWh]])</f>
        <v/>
      </c>
      <c r="U476" t="str">
        <f ca="1">IFERROR(N476*VLOOKUP(Tab_Calculs[[#This Row],[Colonne1]],Controle_des_données!$B$7:$H$14,7,FALSE),"")</f>
        <v/>
      </c>
      <c r="V476">
        <f ca="1">IFERROR(Tab_Calculs[[#This Row],[Cout_mois]]/Tab_Calculs[[#This Row],[Conso_mois_kWh]],0)</f>
        <v>0</v>
      </c>
      <c r="W476" t="str">
        <f>T(VLOOKUP(Tab_Calculs[[#This Row],[Compteur]],Site!$B$33:$G$40,3,FALSE))</f>
        <v/>
      </c>
      <c r="X476" t="str">
        <f>T(VLOOKUP(Tab_Calculs[[#This Row],[Compteur]],Site!$B$33:$G$40,4,FALSE))</f>
        <v/>
      </c>
      <c r="Y476" t="str">
        <f>T(VLOOKUP(Tab_Calculs[[#This Row],[Compteur]],Site!$B$33:$G$40,5,FALSE))</f>
        <v/>
      </c>
      <c r="Z476" t="str">
        <f>T(VLOOKUP(Tab_Calculs[[#This Row],[Compteur]],Site!$B$33:$G$40,6,FALSE))</f>
        <v/>
      </c>
      <c r="AA476">
        <f>IFERROR(GETPIVOTDATA("DJU(chauffagiste)",BDD_DJU!$P$13,"annee",Tab_Calculs[[#This Row],[ANNEE]],"mois_numero",Tab_Calculs[[#This Row],[MOIS]]),0)</f>
        <v>370.4</v>
      </c>
    </row>
    <row r="477" spans="1:27" x14ac:dyDescent="0.25">
      <c r="A477" s="3">
        <f>DATE(Tab_Calculs[[#This Row],[ANNEE]],Tab_Calculs[[#This Row],[MOIS]],1)</f>
        <v>42736</v>
      </c>
      <c r="B477" s="3">
        <f>EDATE(Tab_Calculs[[#This Row],[Début mois]],1)-1</f>
        <v>42766</v>
      </c>
      <c r="C477">
        <f t="shared" si="15"/>
        <v>1</v>
      </c>
      <c r="D477">
        <f t="shared" si="14"/>
        <v>2017</v>
      </c>
      <c r="E477" t="s">
        <v>82</v>
      </c>
      <c r="F477" t="str">
        <f>SUBSTITUTE(Tab_Calculs[[#This Row],[Compteur]]," ","_")</f>
        <v>Compteur_3</v>
      </c>
      <c r="G477" t="str">
        <f>T(INDEX(Site!$B$33:$G$40, MATCH(Tab_Calculs[[#This Row],[Compteur]], Site!$B$33:$B$40,0),2))</f>
        <v/>
      </c>
      <c r="H477" s="3">
        <f t="array" aca="1" ref="H477" ca="1">MIN(IF(INDIRECT(CONCATENATE(Tab_Calculs[[#This Row],[Colonne1]],"!$B$2:$B$243"))&gt;=Calculs_Consos!$A477,INDIRECT(CONCATENATE(Tab_Calculs[[#This Row],[Colonne1]],"!$B$2:$B$243"))))</f>
        <v>0</v>
      </c>
      <c r="I477" s="3">
        <f ca="1">INDEX(INDIRECT(CONCATENATE("Tab_",Tab_Calculs[[#This Row],[Colonne1]])),Tab_Calculs[[#This Row],[index_date_livraison]],1)</f>
        <v>0</v>
      </c>
      <c r="J477">
        <f ca="1">MATCH(Tab_Calculs[[#This Row],[Date_livraison]],INDIRECT(CONCATENATE("Tab_",Tab_Calculs[[#This Row],[Colonne1]],"[Fin de période]")),0)</f>
        <v>1</v>
      </c>
      <c r="K477" t="e">
        <f ca="1">INDEX(INDIRECT(CONCATENATE("Tab_",Tab_Calculs[[#This Row],[Colonne1]])),Tab_Calculs[[#This Row],[index_date_livraison]]-1,6)*(MAX(Tab_Calculs[[#This Row],[Début periode livraison]],Tab_Calculs[[#This Row],[Début mois]])-Tab_Calculs[[#This Row],[Début mois]])</f>
        <v>#VALUE!</v>
      </c>
      <c r="L477" s="94">
        <f ca="1">INDEX(INDIRECT(CONCATENATE("Tab_",Tab_Calculs[[#This Row],[Colonne1]])),Tab_Calculs[[#This Row],[index_date_livraison]],6)*(1+MIN(Tab_Calculs[[#This Row],[Date_livraison]],Tab_Calculs[[#This Row],[fin mois]])-MAX(Tab_Calculs[[#This Row],[Début mois]],Tab_Calculs[[#This Row],[Début periode livraison]]))</f>
        <v>0</v>
      </c>
      <c r="M477" s="94" t="e">
        <f ca="1">INDEX(INDIRECT(CONCATENATE("Tab_",Tab_Calculs[[#This Row],[Colonne1]])),Tab_Calculs[[#This Row],[index_date_livraison]]+1,6)*(Tab_Calculs[[#This Row],[fin mois]]-MIN(Tab_Calculs[[#This Row],[fin mois]],Tab_Calculs[[#This Row],[Date_livraison]]))</f>
        <v>#VALUE!</v>
      </c>
      <c r="N477" s="231" t="str">
        <f ca="1">IFERROR(Tab_Calculs[[#This Row],[Ratio_jour_après_livr]]+Tab_Calculs[[#This Row],[Ratio_jour_avant_livr]]+Tab_Calculs[[#This Row],[ratio_avant_debut]],"")</f>
        <v/>
      </c>
      <c r="O477" t="e">
        <f ca="1">INDEX(INDIRECT(CONCATENATE("Tab_",Tab_Calculs[[#This Row],[Colonne1]])),Tab_Calculs[[#This Row],[index_date_livraison]]-1,7)*(MAX(Tab_Calculs[[#This Row],[Début periode livraison]],Tab_Calculs[[#This Row],[Début mois]])-Tab_Calculs[[#This Row],[Début mois]])</f>
        <v>#VALUE!</v>
      </c>
      <c r="P477">
        <f ca="1">INDEX(INDIRECT(CONCATENATE("Tab_",Tab_Calculs[[#This Row],[Colonne1]])),Tab_Calculs[[#This Row],[index_date_livraison]],7)*(1+MIN(Tab_Calculs[[#This Row],[Date_livraison]],Tab_Calculs[[#This Row],[fin mois]])-MAX(Tab_Calculs[[#This Row],[Début mois]],Tab_Calculs[[#This Row],[Début periode livraison]]))</f>
        <v>0</v>
      </c>
      <c r="Q477" t="e">
        <f ca="1">INDEX(INDIRECT(CONCATENATE("Tab_",Tab_Calculs[[#This Row],[Colonne1]])),Tab_Calculs[[#This Row],[index_date_livraison]]+1,7)*(Tab_Calculs[[#This Row],[fin mois]]-MIN(Tab_Calculs[[#This Row],[fin mois]],Tab_Calculs[[#This Row],[Date_livraison]]))</f>
        <v>#VALUE!</v>
      </c>
      <c r="R477" t="e">
        <f ca="1">Tab_Calculs[[#This Row],[Ratio_Cout_après_livr]]+Tab_Calculs[[#This Row],[Ratio_Cout_avant_livr]]+Tab_Calculs[[#This Row],[Ratio_Cout_avant_debut]]</f>
        <v>#VALUE!</v>
      </c>
      <c r="S477" t="str">
        <f ca="1">IFERROR(N477*VLOOKUP(Tab_Calculs[[#This Row],[Colonne1]],Controle_des_données!$B$7:$G$14,6,FALSE),"")</f>
        <v/>
      </c>
      <c r="T477" t="str">
        <f ca="1">IF(Tab_Calculs[[#This Row],[Combustible ]]="Electricité (kWh)",Tab_Calculs[[#This Row],[Conso_mois_kWh]]*2.3,Tab_Calculs[[#This Row],[Conso_mois_kWh]])</f>
        <v/>
      </c>
      <c r="U477" t="str">
        <f ca="1">IFERROR(N477*VLOOKUP(Tab_Calculs[[#This Row],[Colonne1]],Controle_des_données!$B$7:$H$14,7,FALSE),"")</f>
        <v/>
      </c>
      <c r="V477">
        <f ca="1">IFERROR(Tab_Calculs[[#This Row],[Cout_mois]]/Tab_Calculs[[#This Row],[Conso_mois_kWh]],0)</f>
        <v>0</v>
      </c>
      <c r="W477" t="str">
        <f>T(VLOOKUP(Tab_Calculs[[#This Row],[Compteur]],Site!$B$33:$G$40,3,FALSE))</f>
        <v/>
      </c>
      <c r="X477" t="str">
        <f>T(VLOOKUP(Tab_Calculs[[#This Row],[Compteur]],Site!$B$33:$G$40,4,FALSE))</f>
        <v/>
      </c>
      <c r="Y477" t="str">
        <f>T(VLOOKUP(Tab_Calculs[[#This Row],[Compteur]],Site!$B$33:$G$40,5,FALSE))</f>
        <v/>
      </c>
      <c r="Z477" t="str">
        <f>T(VLOOKUP(Tab_Calculs[[#This Row],[Compteur]],Site!$B$33:$G$40,6,FALSE))</f>
        <v/>
      </c>
      <c r="AA477">
        <f>IFERROR(GETPIVOTDATA("DJU(chauffagiste)",BDD_DJU!$P$13,"annee",Tab_Calculs[[#This Row],[ANNEE]],"mois_numero",Tab_Calculs[[#This Row],[MOIS]]),0)</f>
        <v>451.9</v>
      </c>
    </row>
    <row r="478" spans="1:27" x14ac:dyDescent="0.25">
      <c r="A478" s="3">
        <f>DATE(Tab_Calculs[[#This Row],[ANNEE]],Tab_Calculs[[#This Row],[MOIS]],1)</f>
        <v>42767</v>
      </c>
      <c r="B478" s="3">
        <f>EDATE(Tab_Calculs[[#This Row],[Début mois]],1)-1</f>
        <v>42794</v>
      </c>
      <c r="C478">
        <f t="shared" si="15"/>
        <v>2</v>
      </c>
      <c r="D478">
        <f>D466+1</f>
        <v>2017</v>
      </c>
      <c r="E478" t="s">
        <v>82</v>
      </c>
      <c r="F478" t="str">
        <f>SUBSTITUTE(Tab_Calculs[[#This Row],[Compteur]]," ","_")</f>
        <v>Compteur_3</v>
      </c>
      <c r="G478" t="str">
        <f>T(INDEX(Site!$B$33:$G$40, MATCH(Tab_Calculs[[#This Row],[Compteur]], Site!$B$33:$B$40,0),2))</f>
        <v/>
      </c>
      <c r="H478" s="3">
        <f t="array" aca="1" ref="H478" ca="1">MIN(IF(INDIRECT(CONCATENATE(Tab_Calculs[[#This Row],[Colonne1]],"!$B$2:$B$243"))&gt;=Calculs_Consos!$A478,INDIRECT(CONCATENATE(Tab_Calculs[[#This Row],[Colonne1]],"!$B$2:$B$243"))))</f>
        <v>0</v>
      </c>
      <c r="I478" s="3">
        <f ca="1">INDEX(INDIRECT(CONCATENATE("Tab_",Tab_Calculs[[#This Row],[Colonne1]])),Tab_Calculs[[#This Row],[index_date_livraison]],1)</f>
        <v>0</v>
      </c>
      <c r="J478">
        <f ca="1">MATCH(Tab_Calculs[[#This Row],[Date_livraison]],INDIRECT(CONCATENATE("Tab_",Tab_Calculs[[#This Row],[Colonne1]],"[Fin de période]")),0)</f>
        <v>1</v>
      </c>
      <c r="K478" t="e">
        <f ca="1">INDEX(INDIRECT(CONCATENATE("Tab_",Tab_Calculs[[#This Row],[Colonne1]])),Tab_Calculs[[#This Row],[index_date_livraison]]-1,6)*(MAX(Tab_Calculs[[#This Row],[Début periode livraison]],Tab_Calculs[[#This Row],[Début mois]])-Tab_Calculs[[#This Row],[Début mois]])</f>
        <v>#VALUE!</v>
      </c>
      <c r="L478" s="94">
        <f ca="1">INDEX(INDIRECT(CONCATENATE("Tab_",Tab_Calculs[[#This Row],[Colonne1]])),Tab_Calculs[[#This Row],[index_date_livraison]],6)*(1+MIN(Tab_Calculs[[#This Row],[Date_livraison]],Tab_Calculs[[#This Row],[fin mois]])-MAX(Tab_Calculs[[#This Row],[Début mois]],Tab_Calculs[[#This Row],[Début periode livraison]]))</f>
        <v>0</v>
      </c>
      <c r="M478" s="94" t="e">
        <f ca="1">INDEX(INDIRECT(CONCATENATE("Tab_",Tab_Calculs[[#This Row],[Colonne1]])),Tab_Calculs[[#This Row],[index_date_livraison]]+1,6)*(Tab_Calculs[[#This Row],[fin mois]]-MIN(Tab_Calculs[[#This Row],[fin mois]],Tab_Calculs[[#This Row],[Date_livraison]]))</f>
        <v>#VALUE!</v>
      </c>
      <c r="N478" s="231" t="str">
        <f ca="1">IFERROR(Tab_Calculs[[#This Row],[Ratio_jour_après_livr]]+Tab_Calculs[[#This Row],[Ratio_jour_avant_livr]]+Tab_Calculs[[#This Row],[ratio_avant_debut]],"")</f>
        <v/>
      </c>
      <c r="O478" t="e">
        <f ca="1">INDEX(INDIRECT(CONCATENATE("Tab_",Tab_Calculs[[#This Row],[Colonne1]])),Tab_Calculs[[#This Row],[index_date_livraison]]-1,7)*(MAX(Tab_Calculs[[#This Row],[Début periode livraison]],Tab_Calculs[[#This Row],[Début mois]])-Tab_Calculs[[#This Row],[Début mois]])</f>
        <v>#VALUE!</v>
      </c>
      <c r="P478">
        <f ca="1">INDEX(INDIRECT(CONCATENATE("Tab_",Tab_Calculs[[#This Row],[Colonne1]])),Tab_Calculs[[#This Row],[index_date_livraison]],7)*(1+MIN(Tab_Calculs[[#This Row],[Date_livraison]],Tab_Calculs[[#This Row],[fin mois]])-MAX(Tab_Calculs[[#This Row],[Début mois]],Tab_Calculs[[#This Row],[Début periode livraison]]))</f>
        <v>0</v>
      </c>
      <c r="Q478" t="e">
        <f ca="1">INDEX(INDIRECT(CONCATENATE("Tab_",Tab_Calculs[[#This Row],[Colonne1]])),Tab_Calculs[[#This Row],[index_date_livraison]]+1,7)*(Tab_Calculs[[#This Row],[fin mois]]-MIN(Tab_Calculs[[#This Row],[fin mois]],Tab_Calculs[[#This Row],[Date_livraison]]))</f>
        <v>#VALUE!</v>
      </c>
      <c r="R478" t="e">
        <f ca="1">Tab_Calculs[[#This Row],[Ratio_Cout_après_livr]]+Tab_Calculs[[#This Row],[Ratio_Cout_avant_livr]]+Tab_Calculs[[#This Row],[Ratio_Cout_avant_debut]]</f>
        <v>#VALUE!</v>
      </c>
      <c r="S478" t="str">
        <f ca="1">IFERROR(N478*VLOOKUP(Tab_Calculs[[#This Row],[Colonne1]],Controle_des_données!$B$7:$G$14,6,FALSE),"")</f>
        <v/>
      </c>
      <c r="T478" t="str">
        <f ca="1">IF(Tab_Calculs[[#This Row],[Combustible ]]="Electricité (kWh)",Tab_Calculs[[#This Row],[Conso_mois_kWh]]*2.3,Tab_Calculs[[#This Row],[Conso_mois_kWh]])</f>
        <v/>
      </c>
      <c r="U478" t="str">
        <f ca="1">IFERROR(N478*VLOOKUP(Tab_Calculs[[#This Row],[Colonne1]],Controle_des_données!$B$7:$H$14,7,FALSE),"")</f>
        <v/>
      </c>
      <c r="V478">
        <f ca="1">IFERROR(Tab_Calculs[[#This Row],[Cout_mois]]/Tab_Calculs[[#This Row],[Conso_mois_kWh]],0)</f>
        <v>0</v>
      </c>
      <c r="W478" t="str">
        <f>T(VLOOKUP(Tab_Calculs[[#This Row],[Compteur]],Site!$B$33:$G$40,3,FALSE))</f>
        <v/>
      </c>
      <c r="X478" t="str">
        <f>T(VLOOKUP(Tab_Calculs[[#This Row],[Compteur]],Site!$B$33:$G$40,4,FALSE))</f>
        <v/>
      </c>
      <c r="Y478" t="str">
        <f>T(VLOOKUP(Tab_Calculs[[#This Row],[Compteur]],Site!$B$33:$G$40,5,FALSE))</f>
        <v/>
      </c>
      <c r="Z478" t="str">
        <f>T(VLOOKUP(Tab_Calculs[[#This Row],[Compteur]],Site!$B$33:$G$40,6,FALSE))</f>
        <v/>
      </c>
      <c r="AA478">
        <f>IFERROR(GETPIVOTDATA("DJU(chauffagiste)",BDD_DJU!$P$13,"annee",Tab_Calculs[[#This Row],[ANNEE]],"mois_numero",Tab_Calculs[[#This Row],[MOIS]]),0)</f>
        <v>287.8</v>
      </c>
    </row>
    <row r="479" spans="1:27" x14ac:dyDescent="0.25">
      <c r="A479" s="3">
        <f>DATE(Tab_Calculs[[#This Row],[ANNEE]],Tab_Calculs[[#This Row],[MOIS]],1)</f>
        <v>42795</v>
      </c>
      <c r="B479" s="3">
        <f>EDATE(Tab_Calculs[[#This Row],[Début mois]],1)-1</f>
        <v>42825</v>
      </c>
      <c r="C479">
        <f t="shared" si="15"/>
        <v>3</v>
      </c>
      <c r="D479">
        <f t="shared" si="14"/>
        <v>2017</v>
      </c>
      <c r="E479" t="s">
        <v>82</v>
      </c>
      <c r="F479" t="str">
        <f>SUBSTITUTE(Tab_Calculs[[#This Row],[Compteur]]," ","_")</f>
        <v>Compteur_3</v>
      </c>
      <c r="G479" t="str">
        <f>T(INDEX(Site!$B$33:$G$40, MATCH(Tab_Calculs[[#This Row],[Compteur]], Site!$B$33:$B$40,0),2))</f>
        <v/>
      </c>
      <c r="H479" s="3">
        <f t="array" aca="1" ref="H479" ca="1">MIN(IF(INDIRECT(CONCATENATE(Tab_Calculs[[#This Row],[Colonne1]],"!$B$2:$B$243"))&gt;=Calculs_Consos!$A479,INDIRECT(CONCATENATE(Tab_Calculs[[#This Row],[Colonne1]],"!$B$2:$B$243"))))</f>
        <v>0</v>
      </c>
      <c r="I479" s="3">
        <f ca="1">INDEX(INDIRECT(CONCATENATE("Tab_",Tab_Calculs[[#This Row],[Colonne1]])),Tab_Calculs[[#This Row],[index_date_livraison]],1)</f>
        <v>0</v>
      </c>
      <c r="J479">
        <f ca="1">MATCH(Tab_Calculs[[#This Row],[Date_livraison]],INDIRECT(CONCATENATE("Tab_",Tab_Calculs[[#This Row],[Colonne1]],"[Fin de période]")),0)</f>
        <v>1</v>
      </c>
      <c r="K479" t="e">
        <f ca="1">INDEX(INDIRECT(CONCATENATE("Tab_",Tab_Calculs[[#This Row],[Colonne1]])),Tab_Calculs[[#This Row],[index_date_livraison]]-1,6)*(MAX(Tab_Calculs[[#This Row],[Début periode livraison]],Tab_Calculs[[#This Row],[Début mois]])-Tab_Calculs[[#This Row],[Début mois]])</f>
        <v>#VALUE!</v>
      </c>
      <c r="L479" s="94">
        <f ca="1">INDEX(INDIRECT(CONCATENATE("Tab_",Tab_Calculs[[#This Row],[Colonne1]])),Tab_Calculs[[#This Row],[index_date_livraison]],6)*(1+MIN(Tab_Calculs[[#This Row],[Date_livraison]],Tab_Calculs[[#This Row],[fin mois]])-MAX(Tab_Calculs[[#This Row],[Début mois]],Tab_Calculs[[#This Row],[Début periode livraison]]))</f>
        <v>0</v>
      </c>
      <c r="M479" s="94" t="e">
        <f ca="1">INDEX(INDIRECT(CONCATENATE("Tab_",Tab_Calculs[[#This Row],[Colonne1]])),Tab_Calculs[[#This Row],[index_date_livraison]]+1,6)*(Tab_Calculs[[#This Row],[fin mois]]-MIN(Tab_Calculs[[#This Row],[fin mois]],Tab_Calculs[[#This Row],[Date_livraison]]))</f>
        <v>#VALUE!</v>
      </c>
      <c r="N479" s="231" t="str">
        <f ca="1">IFERROR(Tab_Calculs[[#This Row],[Ratio_jour_après_livr]]+Tab_Calculs[[#This Row],[Ratio_jour_avant_livr]]+Tab_Calculs[[#This Row],[ratio_avant_debut]],"")</f>
        <v/>
      </c>
      <c r="O479" t="e">
        <f ca="1">INDEX(INDIRECT(CONCATENATE("Tab_",Tab_Calculs[[#This Row],[Colonne1]])),Tab_Calculs[[#This Row],[index_date_livraison]]-1,7)*(MAX(Tab_Calculs[[#This Row],[Début periode livraison]],Tab_Calculs[[#This Row],[Début mois]])-Tab_Calculs[[#This Row],[Début mois]])</f>
        <v>#VALUE!</v>
      </c>
      <c r="P479">
        <f ca="1">INDEX(INDIRECT(CONCATENATE("Tab_",Tab_Calculs[[#This Row],[Colonne1]])),Tab_Calculs[[#This Row],[index_date_livraison]],7)*(1+MIN(Tab_Calculs[[#This Row],[Date_livraison]],Tab_Calculs[[#This Row],[fin mois]])-MAX(Tab_Calculs[[#This Row],[Début mois]],Tab_Calculs[[#This Row],[Début periode livraison]]))</f>
        <v>0</v>
      </c>
      <c r="Q479" t="e">
        <f ca="1">INDEX(INDIRECT(CONCATENATE("Tab_",Tab_Calculs[[#This Row],[Colonne1]])),Tab_Calculs[[#This Row],[index_date_livraison]]+1,7)*(Tab_Calculs[[#This Row],[fin mois]]-MIN(Tab_Calculs[[#This Row],[fin mois]],Tab_Calculs[[#This Row],[Date_livraison]]))</f>
        <v>#VALUE!</v>
      </c>
      <c r="R479" t="e">
        <f ca="1">Tab_Calculs[[#This Row],[Ratio_Cout_après_livr]]+Tab_Calculs[[#This Row],[Ratio_Cout_avant_livr]]+Tab_Calculs[[#This Row],[Ratio_Cout_avant_debut]]</f>
        <v>#VALUE!</v>
      </c>
      <c r="S479" t="str">
        <f ca="1">IFERROR(N479*VLOOKUP(Tab_Calculs[[#This Row],[Colonne1]],Controle_des_données!$B$7:$G$14,6,FALSE),"")</f>
        <v/>
      </c>
      <c r="T479" t="str">
        <f ca="1">IF(Tab_Calculs[[#This Row],[Combustible ]]="Electricité (kWh)",Tab_Calculs[[#This Row],[Conso_mois_kWh]]*2.3,Tab_Calculs[[#This Row],[Conso_mois_kWh]])</f>
        <v/>
      </c>
      <c r="U479" t="str">
        <f ca="1">IFERROR(N479*VLOOKUP(Tab_Calculs[[#This Row],[Colonne1]],Controle_des_données!$B$7:$H$14,7,FALSE),"")</f>
        <v/>
      </c>
      <c r="V479">
        <f ca="1">IFERROR(Tab_Calculs[[#This Row],[Cout_mois]]/Tab_Calculs[[#This Row],[Conso_mois_kWh]],0)</f>
        <v>0</v>
      </c>
      <c r="W479" t="str">
        <f>T(VLOOKUP(Tab_Calculs[[#This Row],[Compteur]],Site!$B$33:$G$40,3,FALSE))</f>
        <v/>
      </c>
      <c r="X479" t="str">
        <f>T(VLOOKUP(Tab_Calculs[[#This Row],[Compteur]],Site!$B$33:$G$40,4,FALSE))</f>
        <v/>
      </c>
      <c r="Y479" t="str">
        <f>T(VLOOKUP(Tab_Calculs[[#This Row],[Compteur]],Site!$B$33:$G$40,5,FALSE))</f>
        <v/>
      </c>
      <c r="Z479" t="str">
        <f>T(VLOOKUP(Tab_Calculs[[#This Row],[Compteur]],Site!$B$33:$G$40,6,FALSE))</f>
        <v/>
      </c>
      <c r="AA479">
        <f>IFERROR(GETPIVOTDATA("DJU(chauffagiste)",BDD_DJU!$P$13,"annee",Tab_Calculs[[#This Row],[ANNEE]],"mois_numero",Tab_Calculs[[#This Row],[MOIS]]),0)</f>
        <v>226.3</v>
      </c>
    </row>
    <row r="480" spans="1:27" x14ac:dyDescent="0.25">
      <c r="A480" s="3">
        <f>DATE(Tab_Calculs[[#This Row],[ANNEE]],Tab_Calculs[[#This Row],[MOIS]],1)</f>
        <v>42826</v>
      </c>
      <c r="B480" s="3">
        <f>EDATE(Tab_Calculs[[#This Row],[Début mois]],1)-1</f>
        <v>42855</v>
      </c>
      <c r="C480">
        <f t="shared" si="15"/>
        <v>4</v>
      </c>
      <c r="D480">
        <f t="shared" si="14"/>
        <v>2017</v>
      </c>
      <c r="E480" t="s">
        <v>82</v>
      </c>
      <c r="F480" t="str">
        <f>SUBSTITUTE(Tab_Calculs[[#This Row],[Compteur]]," ","_")</f>
        <v>Compteur_3</v>
      </c>
      <c r="G480" t="str">
        <f>T(INDEX(Site!$B$33:$G$40, MATCH(Tab_Calculs[[#This Row],[Compteur]], Site!$B$33:$B$40,0),2))</f>
        <v/>
      </c>
      <c r="H480" s="3">
        <f t="array" aca="1" ref="H480" ca="1">MIN(IF(INDIRECT(CONCATENATE(Tab_Calculs[[#This Row],[Colonne1]],"!$B$2:$B$243"))&gt;=Calculs_Consos!$A480,INDIRECT(CONCATENATE(Tab_Calculs[[#This Row],[Colonne1]],"!$B$2:$B$243"))))</f>
        <v>0</v>
      </c>
      <c r="I480" s="3">
        <f ca="1">INDEX(INDIRECT(CONCATENATE("Tab_",Tab_Calculs[[#This Row],[Colonne1]])),Tab_Calculs[[#This Row],[index_date_livraison]],1)</f>
        <v>0</v>
      </c>
      <c r="J480">
        <f ca="1">MATCH(Tab_Calculs[[#This Row],[Date_livraison]],INDIRECT(CONCATENATE("Tab_",Tab_Calculs[[#This Row],[Colonne1]],"[Fin de période]")),0)</f>
        <v>1</v>
      </c>
      <c r="K480" t="e">
        <f ca="1">INDEX(INDIRECT(CONCATENATE("Tab_",Tab_Calculs[[#This Row],[Colonne1]])),Tab_Calculs[[#This Row],[index_date_livraison]]-1,6)*(MAX(Tab_Calculs[[#This Row],[Début periode livraison]],Tab_Calculs[[#This Row],[Début mois]])-Tab_Calculs[[#This Row],[Début mois]])</f>
        <v>#VALUE!</v>
      </c>
      <c r="L480" s="94">
        <f ca="1">INDEX(INDIRECT(CONCATENATE("Tab_",Tab_Calculs[[#This Row],[Colonne1]])),Tab_Calculs[[#This Row],[index_date_livraison]],6)*(1+MIN(Tab_Calculs[[#This Row],[Date_livraison]],Tab_Calculs[[#This Row],[fin mois]])-MAX(Tab_Calculs[[#This Row],[Début mois]],Tab_Calculs[[#This Row],[Début periode livraison]]))</f>
        <v>0</v>
      </c>
      <c r="M480" s="94" t="e">
        <f ca="1">INDEX(INDIRECT(CONCATENATE("Tab_",Tab_Calculs[[#This Row],[Colonne1]])),Tab_Calculs[[#This Row],[index_date_livraison]]+1,6)*(Tab_Calculs[[#This Row],[fin mois]]-MIN(Tab_Calculs[[#This Row],[fin mois]],Tab_Calculs[[#This Row],[Date_livraison]]))</f>
        <v>#VALUE!</v>
      </c>
      <c r="N480" s="231" t="str">
        <f ca="1">IFERROR(Tab_Calculs[[#This Row],[Ratio_jour_après_livr]]+Tab_Calculs[[#This Row],[Ratio_jour_avant_livr]]+Tab_Calculs[[#This Row],[ratio_avant_debut]],"")</f>
        <v/>
      </c>
      <c r="O480" t="e">
        <f ca="1">INDEX(INDIRECT(CONCATENATE("Tab_",Tab_Calculs[[#This Row],[Colonne1]])),Tab_Calculs[[#This Row],[index_date_livraison]]-1,7)*(MAX(Tab_Calculs[[#This Row],[Début periode livraison]],Tab_Calculs[[#This Row],[Début mois]])-Tab_Calculs[[#This Row],[Début mois]])</f>
        <v>#VALUE!</v>
      </c>
      <c r="P480">
        <f ca="1">INDEX(INDIRECT(CONCATENATE("Tab_",Tab_Calculs[[#This Row],[Colonne1]])),Tab_Calculs[[#This Row],[index_date_livraison]],7)*(1+MIN(Tab_Calculs[[#This Row],[Date_livraison]],Tab_Calculs[[#This Row],[fin mois]])-MAX(Tab_Calculs[[#This Row],[Début mois]],Tab_Calculs[[#This Row],[Début periode livraison]]))</f>
        <v>0</v>
      </c>
      <c r="Q480" t="e">
        <f ca="1">INDEX(INDIRECT(CONCATENATE("Tab_",Tab_Calculs[[#This Row],[Colonne1]])),Tab_Calculs[[#This Row],[index_date_livraison]]+1,7)*(Tab_Calculs[[#This Row],[fin mois]]-MIN(Tab_Calculs[[#This Row],[fin mois]],Tab_Calculs[[#This Row],[Date_livraison]]))</f>
        <v>#VALUE!</v>
      </c>
      <c r="R480" t="e">
        <f ca="1">Tab_Calculs[[#This Row],[Ratio_Cout_après_livr]]+Tab_Calculs[[#This Row],[Ratio_Cout_avant_livr]]+Tab_Calculs[[#This Row],[Ratio_Cout_avant_debut]]</f>
        <v>#VALUE!</v>
      </c>
      <c r="S480" t="str">
        <f ca="1">IFERROR(N480*VLOOKUP(Tab_Calculs[[#This Row],[Colonne1]],Controle_des_données!$B$7:$G$14,6,FALSE),"")</f>
        <v/>
      </c>
      <c r="T480" t="str">
        <f ca="1">IF(Tab_Calculs[[#This Row],[Combustible ]]="Electricité (kWh)",Tab_Calculs[[#This Row],[Conso_mois_kWh]]*2.3,Tab_Calculs[[#This Row],[Conso_mois_kWh]])</f>
        <v/>
      </c>
      <c r="U480" t="str">
        <f ca="1">IFERROR(N480*VLOOKUP(Tab_Calculs[[#This Row],[Colonne1]],Controle_des_données!$B$7:$H$14,7,FALSE),"")</f>
        <v/>
      </c>
      <c r="V480">
        <f ca="1">IFERROR(Tab_Calculs[[#This Row],[Cout_mois]]/Tab_Calculs[[#This Row],[Conso_mois_kWh]],0)</f>
        <v>0</v>
      </c>
      <c r="W480" t="str">
        <f>T(VLOOKUP(Tab_Calculs[[#This Row],[Compteur]],Site!$B$33:$G$40,3,FALSE))</f>
        <v/>
      </c>
      <c r="X480" t="str">
        <f>T(VLOOKUP(Tab_Calculs[[#This Row],[Compteur]],Site!$B$33:$G$40,4,FALSE))</f>
        <v/>
      </c>
      <c r="Y480" t="str">
        <f>T(VLOOKUP(Tab_Calculs[[#This Row],[Compteur]],Site!$B$33:$G$40,5,FALSE))</f>
        <v/>
      </c>
      <c r="Z480" t="str">
        <f>T(VLOOKUP(Tab_Calculs[[#This Row],[Compteur]],Site!$B$33:$G$40,6,FALSE))</f>
        <v/>
      </c>
      <c r="AA480">
        <f>IFERROR(GETPIVOTDATA("DJU(chauffagiste)",BDD_DJU!$P$13,"annee",Tab_Calculs[[#This Row],[ANNEE]],"mois_numero",Tab_Calculs[[#This Row],[MOIS]]),0)</f>
        <v>227.8</v>
      </c>
    </row>
    <row r="481" spans="1:27" x14ac:dyDescent="0.25">
      <c r="A481" s="3">
        <f>DATE(Tab_Calculs[[#This Row],[ANNEE]],Tab_Calculs[[#This Row],[MOIS]],1)</f>
        <v>42856</v>
      </c>
      <c r="B481" s="3">
        <f>EDATE(Tab_Calculs[[#This Row],[Début mois]],1)-1</f>
        <v>42886</v>
      </c>
      <c r="C481">
        <f t="shared" si="15"/>
        <v>5</v>
      </c>
      <c r="D481">
        <f t="shared" si="14"/>
        <v>2017</v>
      </c>
      <c r="E481" t="s">
        <v>82</v>
      </c>
      <c r="F481" t="str">
        <f>SUBSTITUTE(Tab_Calculs[[#This Row],[Compteur]]," ","_")</f>
        <v>Compteur_3</v>
      </c>
      <c r="G481" t="str">
        <f>T(INDEX(Site!$B$33:$G$40, MATCH(Tab_Calculs[[#This Row],[Compteur]], Site!$B$33:$B$40,0),2))</f>
        <v/>
      </c>
      <c r="H481" s="3">
        <f t="array" aca="1" ref="H481" ca="1">MIN(IF(INDIRECT(CONCATENATE(Tab_Calculs[[#This Row],[Colonne1]],"!$B$2:$B$243"))&gt;=Calculs_Consos!$A481,INDIRECT(CONCATENATE(Tab_Calculs[[#This Row],[Colonne1]],"!$B$2:$B$243"))))</f>
        <v>0</v>
      </c>
      <c r="I481" s="3">
        <f ca="1">INDEX(INDIRECT(CONCATENATE("Tab_",Tab_Calculs[[#This Row],[Colonne1]])),Tab_Calculs[[#This Row],[index_date_livraison]],1)</f>
        <v>0</v>
      </c>
      <c r="J481">
        <f ca="1">MATCH(Tab_Calculs[[#This Row],[Date_livraison]],INDIRECT(CONCATENATE("Tab_",Tab_Calculs[[#This Row],[Colonne1]],"[Fin de période]")),0)</f>
        <v>1</v>
      </c>
      <c r="K481" t="e">
        <f ca="1">INDEX(INDIRECT(CONCATENATE("Tab_",Tab_Calculs[[#This Row],[Colonne1]])),Tab_Calculs[[#This Row],[index_date_livraison]]-1,6)*(MAX(Tab_Calculs[[#This Row],[Début periode livraison]],Tab_Calculs[[#This Row],[Début mois]])-Tab_Calculs[[#This Row],[Début mois]])</f>
        <v>#VALUE!</v>
      </c>
      <c r="L481" s="94">
        <f ca="1">INDEX(INDIRECT(CONCATENATE("Tab_",Tab_Calculs[[#This Row],[Colonne1]])),Tab_Calculs[[#This Row],[index_date_livraison]],6)*(1+MIN(Tab_Calculs[[#This Row],[Date_livraison]],Tab_Calculs[[#This Row],[fin mois]])-MAX(Tab_Calculs[[#This Row],[Début mois]],Tab_Calculs[[#This Row],[Début periode livraison]]))</f>
        <v>0</v>
      </c>
      <c r="M481" s="94" t="e">
        <f ca="1">INDEX(INDIRECT(CONCATENATE("Tab_",Tab_Calculs[[#This Row],[Colonne1]])),Tab_Calculs[[#This Row],[index_date_livraison]]+1,6)*(Tab_Calculs[[#This Row],[fin mois]]-MIN(Tab_Calculs[[#This Row],[fin mois]],Tab_Calculs[[#This Row],[Date_livraison]]))</f>
        <v>#VALUE!</v>
      </c>
      <c r="N481" s="231" t="str">
        <f ca="1">IFERROR(Tab_Calculs[[#This Row],[Ratio_jour_après_livr]]+Tab_Calculs[[#This Row],[Ratio_jour_avant_livr]]+Tab_Calculs[[#This Row],[ratio_avant_debut]],"")</f>
        <v/>
      </c>
      <c r="O481" t="e">
        <f ca="1">INDEX(INDIRECT(CONCATENATE("Tab_",Tab_Calculs[[#This Row],[Colonne1]])),Tab_Calculs[[#This Row],[index_date_livraison]]-1,7)*(MAX(Tab_Calculs[[#This Row],[Début periode livraison]],Tab_Calculs[[#This Row],[Début mois]])-Tab_Calculs[[#This Row],[Début mois]])</f>
        <v>#VALUE!</v>
      </c>
      <c r="P481">
        <f ca="1">INDEX(INDIRECT(CONCATENATE("Tab_",Tab_Calculs[[#This Row],[Colonne1]])),Tab_Calculs[[#This Row],[index_date_livraison]],7)*(1+MIN(Tab_Calculs[[#This Row],[Date_livraison]],Tab_Calculs[[#This Row],[fin mois]])-MAX(Tab_Calculs[[#This Row],[Début mois]],Tab_Calculs[[#This Row],[Début periode livraison]]))</f>
        <v>0</v>
      </c>
      <c r="Q481" t="e">
        <f ca="1">INDEX(INDIRECT(CONCATENATE("Tab_",Tab_Calculs[[#This Row],[Colonne1]])),Tab_Calculs[[#This Row],[index_date_livraison]]+1,7)*(Tab_Calculs[[#This Row],[fin mois]]-MIN(Tab_Calculs[[#This Row],[fin mois]],Tab_Calculs[[#This Row],[Date_livraison]]))</f>
        <v>#VALUE!</v>
      </c>
      <c r="R481" t="e">
        <f ca="1">Tab_Calculs[[#This Row],[Ratio_Cout_après_livr]]+Tab_Calculs[[#This Row],[Ratio_Cout_avant_livr]]+Tab_Calculs[[#This Row],[Ratio_Cout_avant_debut]]</f>
        <v>#VALUE!</v>
      </c>
      <c r="S481" t="str">
        <f ca="1">IFERROR(N481*VLOOKUP(Tab_Calculs[[#This Row],[Colonne1]],Controle_des_données!$B$7:$G$14,6,FALSE),"")</f>
        <v/>
      </c>
      <c r="T481" t="str">
        <f ca="1">IF(Tab_Calculs[[#This Row],[Combustible ]]="Electricité (kWh)",Tab_Calculs[[#This Row],[Conso_mois_kWh]]*2.3,Tab_Calculs[[#This Row],[Conso_mois_kWh]])</f>
        <v/>
      </c>
      <c r="U481" t="str">
        <f ca="1">IFERROR(N481*VLOOKUP(Tab_Calculs[[#This Row],[Colonne1]],Controle_des_données!$B$7:$H$14,7,FALSE),"")</f>
        <v/>
      </c>
      <c r="V481">
        <f ca="1">IFERROR(Tab_Calculs[[#This Row],[Cout_mois]]/Tab_Calculs[[#This Row],[Conso_mois_kWh]],0)</f>
        <v>0</v>
      </c>
      <c r="W481" t="str">
        <f>T(VLOOKUP(Tab_Calculs[[#This Row],[Compteur]],Site!$B$33:$G$40,3,FALSE))</f>
        <v/>
      </c>
      <c r="X481" t="str">
        <f>T(VLOOKUP(Tab_Calculs[[#This Row],[Compteur]],Site!$B$33:$G$40,4,FALSE))</f>
        <v/>
      </c>
      <c r="Y481" t="str">
        <f>T(VLOOKUP(Tab_Calculs[[#This Row],[Compteur]],Site!$B$33:$G$40,5,FALSE))</f>
        <v/>
      </c>
      <c r="Z481" t="str">
        <f>T(VLOOKUP(Tab_Calculs[[#This Row],[Compteur]],Site!$B$33:$G$40,6,FALSE))</f>
        <v/>
      </c>
      <c r="AA481">
        <f>IFERROR(GETPIVOTDATA("DJU(chauffagiste)",BDD_DJU!$P$13,"annee",Tab_Calculs[[#This Row],[ANNEE]],"mois_numero",Tab_Calculs[[#This Row],[MOIS]]),0)</f>
        <v>98</v>
      </c>
    </row>
    <row r="482" spans="1:27" x14ac:dyDescent="0.25">
      <c r="A482" s="3">
        <f>DATE(Tab_Calculs[[#This Row],[ANNEE]],Tab_Calculs[[#This Row],[MOIS]],1)</f>
        <v>42887</v>
      </c>
      <c r="B482" s="3">
        <f>EDATE(Tab_Calculs[[#This Row],[Début mois]],1)-1</f>
        <v>42916</v>
      </c>
      <c r="C482">
        <f t="shared" si="15"/>
        <v>6</v>
      </c>
      <c r="D482">
        <f t="shared" si="14"/>
        <v>2017</v>
      </c>
      <c r="E482" t="s">
        <v>82</v>
      </c>
      <c r="F482" t="str">
        <f>SUBSTITUTE(Tab_Calculs[[#This Row],[Compteur]]," ","_")</f>
        <v>Compteur_3</v>
      </c>
      <c r="G482" t="str">
        <f>T(INDEX(Site!$B$33:$G$40, MATCH(Tab_Calculs[[#This Row],[Compteur]], Site!$B$33:$B$40,0),2))</f>
        <v/>
      </c>
      <c r="H482" s="3">
        <f t="array" aca="1" ref="H482" ca="1">MIN(IF(INDIRECT(CONCATENATE(Tab_Calculs[[#This Row],[Colonne1]],"!$B$2:$B$243"))&gt;=Calculs_Consos!$A482,INDIRECT(CONCATENATE(Tab_Calculs[[#This Row],[Colonne1]],"!$B$2:$B$243"))))</f>
        <v>0</v>
      </c>
      <c r="I482" s="3">
        <f ca="1">INDEX(INDIRECT(CONCATENATE("Tab_",Tab_Calculs[[#This Row],[Colonne1]])),Tab_Calculs[[#This Row],[index_date_livraison]],1)</f>
        <v>0</v>
      </c>
      <c r="J482">
        <f ca="1">MATCH(Tab_Calculs[[#This Row],[Date_livraison]],INDIRECT(CONCATENATE("Tab_",Tab_Calculs[[#This Row],[Colonne1]],"[Fin de période]")),0)</f>
        <v>1</v>
      </c>
      <c r="K482" t="e">
        <f ca="1">INDEX(INDIRECT(CONCATENATE("Tab_",Tab_Calculs[[#This Row],[Colonne1]])),Tab_Calculs[[#This Row],[index_date_livraison]]-1,6)*(MAX(Tab_Calculs[[#This Row],[Début periode livraison]],Tab_Calculs[[#This Row],[Début mois]])-Tab_Calculs[[#This Row],[Début mois]])</f>
        <v>#VALUE!</v>
      </c>
      <c r="L482" s="94">
        <f ca="1">INDEX(INDIRECT(CONCATENATE("Tab_",Tab_Calculs[[#This Row],[Colonne1]])),Tab_Calculs[[#This Row],[index_date_livraison]],6)*(1+MIN(Tab_Calculs[[#This Row],[Date_livraison]],Tab_Calculs[[#This Row],[fin mois]])-MAX(Tab_Calculs[[#This Row],[Début mois]],Tab_Calculs[[#This Row],[Début periode livraison]]))</f>
        <v>0</v>
      </c>
      <c r="M482" s="94" t="e">
        <f ca="1">INDEX(INDIRECT(CONCATENATE("Tab_",Tab_Calculs[[#This Row],[Colonne1]])),Tab_Calculs[[#This Row],[index_date_livraison]]+1,6)*(Tab_Calculs[[#This Row],[fin mois]]-MIN(Tab_Calculs[[#This Row],[fin mois]],Tab_Calculs[[#This Row],[Date_livraison]]))</f>
        <v>#VALUE!</v>
      </c>
      <c r="N482" s="231" t="str">
        <f ca="1">IFERROR(Tab_Calculs[[#This Row],[Ratio_jour_après_livr]]+Tab_Calculs[[#This Row],[Ratio_jour_avant_livr]]+Tab_Calculs[[#This Row],[ratio_avant_debut]],"")</f>
        <v/>
      </c>
      <c r="O482" t="e">
        <f ca="1">INDEX(INDIRECT(CONCATENATE("Tab_",Tab_Calculs[[#This Row],[Colonne1]])),Tab_Calculs[[#This Row],[index_date_livraison]]-1,7)*(MAX(Tab_Calculs[[#This Row],[Début periode livraison]],Tab_Calculs[[#This Row],[Début mois]])-Tab_Calculs[[#This Row],[Début mois]])</f>
        <v>#VALUE!</v>
      </c>
      <c r="P482">
        <f ca="1">INDEX(INDIRECT(CONCATENATE("Tab_",Tab_Calculs[[#This Row],[Colonne1]])),Tab_Calculs[[#This Row],[index_date_livraison]],7)*(1+MIN(Tab_Calculs[[#This Row],[Date_livraison]],Tab_Calculs[[#This Row],[fin mois]])-MAX(Tab_Calculs[[#This Row],[Début mois]],Tab_Calculs[[#This Row],[Début periode livraison]]))</f>
        <v>0</v>
      </c>
      <c r="Q482" t="e">
        <f ca="1">INDEX(INDIRECT(CONCATENATE("Tab_",Tab_Calculs[[#This Row],[Colonne1]])),Tab_Calculs[[#This Row],[index_date_livraison]]+1,7)*(Tab_Calculs[[#This Row],[fin mois]]-MIN(Tab_Calculs[[#This Row],[fin mois]],Tab_Calculs[[#This Row],[Date_livraison]]))</f>
        <v>#VALUE!</v>
      </c>
      <c r="R482" t="e">
        <f ca="1">Tab_Calculs[[#This Row],[Ratio_Cout_après_livr]]+Tab_Calculs[[#This Row],[Ratio_Cout_avant_livr]]+Tab_Calculs[[#This Row],[Ratio_Cout_avant_debut]]</f>
        <v>#VALUE!</v>
      </c>
      <c r="S482" t="str">
        <f ca="1">IFERROR(N482*VLOOKUP(Tab_Calculs[[#This Row],[Colonne1]],Controle_des_données!$B$7:$G$14,6,FALSE),"")</f>
        <v/>
      </c>
      <c r="T482" t="str">
        <f ca="1">IF(Tab_Calculs[[#This Row],[Combustible ]]="Electricité (kWh)",Tab_Calculs[[#This Row],[Conso_mois_kWh]]*2.3,Tab_Calculs[[#This Row],[Conso_mois_kWh]])</f>
        <v/>
      </c>
      <c r="U482" t="str">
        <f ca="1">IFERROR(N482*VLOOKUP(Tab_Calculs[[#This Row],[Colonne1]],Controle_des_données!$B$7:$H$14,7,FALSE),"")</f>
        <v/>
      </c>
      <c r="V482">
        <f ca="1">IFERROR(Tab_Calculs[[#This Row],[Cout_mois]]/Tab_Calculs[[#This Row],[Conso_mois_kWh]],0)</f>
        <v>0</v>
      </c>
      <c r="W482" t="str">
        <f>T(VLOOKUP(Tab_Calculs[[#This Row],[Compteur]],Site!$B$33:$G$40,3,FALSE))</f>
        <v/>
      </c>
      <c r="X482" t="str">
        <f>T(VLOOKUP(Tab_Calculs[[#This Row],[Compteur]],Site!$B$33:$G$40,4,FALSE))</f>
        <v/>
      </c>
      <c r="Y482" t="str">
        <f>T(VLOOKUP(Tab_Calculs[[#This Row],[Compteur]],Site!$B$33:$G$40,5,FALSE))</f>
        <v/>
      </c>
      <c r="Z482" t="str">
        <f>T(VLOOKUP(Tab_Calculs[[#This Row],[Compteur]],Site!$B$33:$G$40,6,FALSE))</f>
        <v/>
      </c>
      <c r="AA482">
        <f>IFERROR(GETPIVOTDATA("DJU(chauffagiste)",BDD_DJU!$P$13,"annee",Tab_Calculs[[#This Row],[ANNEE]],"mois_numero",Tab_Calculs[[#This Row],[MOIS]]),0)</f>
        <v>30.9</v>
      </c>
    </row>
    <row r="483" spans="1:27" x14ac:dyDescent="0.25">
      <c r="A483" s="3">
        <f>DATE(Tab_Calculs[[#This Row],[ANNEE]],Tab_Calculs[[#This Row],[MOIS]],1)</f>
        <v>42917</v>
      </c>
      <c r="B483" s="3">
        <f>EDATE(Tab_Calculs[[#This Row],[Début mois]],1)-1</f>
        <v>42947</v>
      </c>
      <c r="C483">
        <f t="shared" si="15"/>
        <v>7</v>
      </c>
      <c r="D483">
        <f t="shared" si="14"/>
        <v>2017</v>
      </c>
      <c r="E483" t="s">
        <v>82</v>
      </c>
      <c r="F483" t="str">
        <f>SUBSTITUTE(Tab_Calculs[[#This Row],[Compteur]]," ","_")</f>
        <v>Compteur_3</v>
      </c>
      <c r="G483" t="str">
        <f>T(INDEX(Site!$B$33:$G$40, MATCH(Tab_Calculs[[#This Row],[Compteur]], Site!$B$33:$B$40,0),2))</f>
        <v/>
      </c>
      <c r="H483" s="3">
        <f t="array" aca="1" ref="H483" ca="1">MIN(IF(INDIRECT(CONCATENATE(Tab_Calculs[[#This Row],[Colonne1]],"!$B$2:$B$243"))&gt;=Calculs_Consos!$A483,INDIRECT(CONCATENATE(Tab_Calculs[[#This Row],[Colonne1]],"!$B$2:$B$243"))))</f>
        <v>0</v>
      </c>
      <c r="I483" s="3">
        <f ca="1">INDEX(INDIRECT(CONCATENATE("Tab_",Tab_Calculs[[#This Row],[Colonne1]])),Tab_Calculs[[#This Row],[index_date_livraison]],1)</f>
        <v>0</v>
      </c>
      <c r="J483">
        <f ca="1">MATCH(Tab_Calculs[[#This Row],[Date_livraison]],INDIRECT(CONCATENATE("Tab_",Tab_Calculs[[#This Row],[Colonne1]],"[Fin de période]")),0)</f>
        <v>1</v>
      </c>
      <c r="K483" t="e">
        <f ca="1">INDEX(INDIRECT(CONCATENATE("Tab_",Tab_Calculs[[#This Row],[Colonne1]])),Tab_Calculs[[#This Row],[index_date_livraison]]-1,6)*(MAX(Tab_Calculs[[#This Row],[Début periode livraison]],Tab_Calculs[[#This Row],[Début mois]])-Tab_Calculs[[#This Row],[Début mois]])</f>
        <v>#VALUE!</v>
      </c>
      <c r="L483" s="94">
        <f ca="1">INDEX(INDIRECT(CONCATENATE("Tab_",Tab_Calculs[[#This Row],[Colonne1]])),Tab_Calculs[[#This Row],[index_date_livraison]],6)*(1+MIN(Tab_Calculs[[#This Row],[Date_livraison]],Tab_Calculs[[#This Row],[fin mois]])-MAX(Tab_Calculs[[#This Row],[Début mois]],Tab_Calculs[[#This Row],[Début periode livraison]]))</f>
        <v>0</v>
      </c>
      <c r="M483" s="94" t="e">
        <f ca="1">INDEX(INDIRECT(CONCATENATE("Tab_",Tab_Calculs[[#This Row],[Colonne1]])),Tab_Calculs[[#This Row],[index_date_livraison]]+1,6)*(Tab_Calculs[[#This Row],[fin mois]]-MIN(Tab_Calculs[[#This Row],[fin mois]],Tab_Calculs[[#This Row],[Date_livraison]]))</f>
        <v>#VALUE!</v>
      </c>
      <c r="N483" s="231" t="str">
        <f ca="1">IFERROR(Tab_Calculs[[#This Row],[Ratio_jour_après_livr]]+Tab_Calculs[[#This Row],[Ratio_jour_avant_livr]]+Tab_Calculs[[#This Row],[ratio_avant_debut]],"")</f>
        <v/>
      </c>
      <c r="O483" t="e">
        <f ca="1">INDEX(INDIRECT(CONCATENATE("Tab_",Tab_Calculs[[#This Row],[Colonne1]])),Tab_Calculs[[#This Row],[index_date_livraison]]-1,7)*(MAX(Tab_Calculs[[#This Row],[Début periode livraison]],Tab_Calculs[[#This Row],[Début mois]])-Tab_Calculs[[#This Row],[Début mois]])</f>
        <v>#VALUE!</v>
      </c>
      <c r="P483">
        <f ca="1">INDEX(INDIRECT(CONCATENATE("Tab_",Tab_Calculs[[#This Row],[Colonne1]])),Tab_Calculs[[#This Row],[index_date_livraison]],7)*(1+MIN(Tab_Calculs[[#This Row],[Date_livraison]],Tab_Calculs[[#This Row],[fin mois]])-MAX(Tab_Calculs[[#This Row],[Début mois]],Tab_Calculs[[#This Row],[Début periode livraison]]))</f>
        <v>0</v>
      </c>
      <c r="Q483" t="e">
        <f ca="1">INDEX(INDIRECT(CONCATENATE("Tab_",Tab_Calculs[[#This Row],[Colonne1]])),Tab_Calculs[[#This Row],[index_date_livraison]]+1,7)*(Tab_Calculs[[#This Row],[fin mois]]-MIN(Tab_Calculs[[#This Row],[fin mois]],Tab_Calculs[[#This Row],[Date_livraison]]))</f>
        <v>#VALUE!</v>
      </c>
      <c r="R483" t="e">
        <f ca="1">Tab_Calculs[[#This Row],[Ratio_Cout_après_livr]]+Tab_Calculs[[#This Row],[Ratio_Cout_avant_livr]]+Tab_Calculs[[#This Row],[Ratio_Cout_avant_debut]]</f>
        <v>#VALUE!</v>
      </c>
      <c r="S483" t="str">
        <f ca="1">IFERROR(N483*VLOOKUP(Tab_Calculs[[#This Row],[Colonne1]],Controle_des_données!$B$7:$G$14,6,FALSE),"")</f>
        <v/>
      </c>
      <c r="T483" t="str">
        <f ca="1">IF(Tab_Calculs[[#This Row],[Combustible ]]="Electricité (kWh)",Tab_Calculs[[#This Row],[Conso_mois_kWh]]*2.3,Tab_Calculs[[#This Row],[Conso_mois_kWh]])</f>
        <v/>
      </c>
      <c r="U483" t="str">
        <f ca="1">IFERROR(N483*VLOOKUP(Tab_Calculs[[#This Row],[Colonne1]],Controle_des_données!$B$7:$H$14,7,FALSE),"")</f>
        <v/>
      </c>
      <c r="V483">
        <f ca="1">IFERROR(Tab_Calculs[[#This Row],[Cout_mois]]/Tab_Calculs[[#This Row],[Conso_mois_kWh]],0)</f>
        <v>0</v>
      </c>
      <c r="W483" t="str">
        <f>T(VLOOKUP(Tab_Calculs[[#This Row],[Compteur]],Site!$B$33:$G$40,3,FALSE))</f>
        <v/>
      </c>
      <c r="X483" t="str">
        <f>T(VLOOKUP(Tab_Calculs[[#This Row],[Compteur]],Site!$B$33:$G$40,4,FALSE))</f>
        <v/>
      </c>
      <c r="Y483" t="str">
        <f>T(VLOOKUP(Tab_Calculs[[#This Row],[Compteur]],Site!$B$33:$G$40,5,FALSE))</f>
        <v/>
      </c>
      <c r="Z483" t="str">
        <f>T(VLOOKUP(Tab_Calculs[[#This Row],[Compteur]],Site!$B$33:$G$40,6,FALSE))</f>
        <v/>
      </c>
      <c r="AA483">
        <f>IFERROR(GETPIVOTDATA("DJU(chauffagiste)",BDD_DJU!$P$13,"annee",Tab_Calculs[[#This Row],[ANNEE]],"mois_numero",Tab_Calculs[[#This Row],[MOIS]]),0)</f>
        <v>23.6</v>
      </c>
    </row>
    <row r="484" spans="1:27" x14ac:dyDescent="0.25">
      <c r="A484" s="3">
        <f>DATE(Tab_Calculs[[#This Row],[ANNEE]],Tab_Calculs[[#This Row],[MOIS]],1)</f>
        <v>42948</v>
      </c>
      <c r="B484" s="3">
        <f>EDATE(Tab_Calculs[[#This Row],[Début mois]],1)-1</f>
        <v>42978</v>
      </c>
      <c r="C484">
        <f t="shared" si="15"/>
        <v>8</v>
      </c>
      <c r="D484">
        <f t="shared" si="14"/>
        <v>2017</v>
      </c>
      <c r="E484" t="s">
        <v>82</v>
      </c>
      <c r="F484" t="str">
        <f>SUBSTITUTE(Tab_Calculs[[#This Row],[Compteur]]," ","_")</f>
        <v>Compteur_3</v>
      </c>
      <c r="G484" t="str">
        <f>T(INDEX(Site!$B$33:$G$40, MATCH(Tab_Calculs[[#This Row],[Compteur]], Site!$B$33:$B$40,0),2))</f>
        <v/>
      </c>
      <c r="H484" s="3">
        <f t="array" aca="1" ref="H484" ca="1">MIN(IF(INDIRECT(CONCATENATE(Tab_Calculs[[#This Row],[Colonne1]],"!$B$2:$B$243"))&gt;=Calculs_Consos!$A484,INDIRECT(CONCATENATE(Tab_Calculs[[#This Row],[Colonne1]],"!$B$2:$B$243"))))</f>
        <v>0</v>
      </c>
      <c r="I484" s="3">
        <f ca="1">INDEX(INDIRECT(CONCATENATE("Tab_",Tab_Calculs[[#This Row],[Colonne1]])),Tab_Calculs[[#This Row],[index_date_livraison]],1)</f>
        <v>0</v>
      </c>
      <c r="J484">
        <f ca="1">MATCH(Tab_Calculs[[#This Row],[Date_livraison]],INDIRECT(CONCATENATE("Tab_",Tab_Calculs[[#This Row],[Colonne1]],"[Fin de période]")),0)</f>
        <v>1</v>
      </c>
      <c r="K484" t="e">
        <f ca="1">INDEX(INDIRECT(CONCATENATE("Tab_",Tab_Calculs[[#This Row],[Colonne1]])),Tab_Calculs[[#This Row],[index_date_livraison]]-1,6)*(MAX(Tab_Calculs[[#This Row],[Début periode livraison]],Tab_Calculs[[#This Row],[Début mois]])-Tab_Calculs[[#This Row],[Début mois]])</f>
        <v>#VALUE!</v>
      </c>
      <c r="L484" s="94">
        <f ca="1">INDEX(INDIRECT(CONCATENATE("Tab_",Tab_Calculs[[#This Row],[Colonne1]])),Tab_Calculs[[#This Row],[index_date_livraison]],6)*(1+MIN(Tab_Calculs[[#This Row],[Date_livraison]],Tab_Calculs[[#This Row],[fin mois]])-MAX(Tab_Calculs[[#This Row],[Début mois]],Tab_Calculs[[#This Row],[Début periode livraison]]))</f>
        <v>0</v>
      </c>
      <c r="M484" s="94" t="e">
        <f ca="1">INDEX(INDIRECT(CONCATENATE("Tab_",Tab_Calculs[[#This Row],[Colonne1]])),Tab_Calculs[[#This Row],[index_date_livraison]]+1,6)*(Tab_Calculs[[#This Row],[fin mois]]-MIN(Tab_Calculs[[#This Row],[fin mois]],Tab_Calculs[[#This Row],[Date_livraison]]))</f>
        <v>#VALUE!</v>
      </c>
      <c r="N484" s="231" t="str">
        <f ca="1">IFERROR(Tab_Calculs[[#This Row],[Ratio_jour_après_livr]]+Tab_Calculs[[#This Row],[Ratio_jour_avant_livr]]+Tab_Calculs[[#This Row],[ratio_avant_debut]],"")</f>
        <v/>
      </c>
      <c r="O484" t="e">
        <f ca="1">INDEX(INDIRECT(CONCATENATE("Tab_",Tab_Calculs[[#This Row],[Colonne1]])),Tab_Calculs[[#This Row],[index_date_livraison]]-1,7)*(MAX(Tab_Calculs[[#This Row],[Début periode livraison]],Tab_Calculs[[#This Row],[Début mois]])-Tab_Calculs[[#This Row],[Début mois]])</f>
        <v>#VALUE!</v>
      </c>
      <c r="P484">
        <f ca="1">INDEX(INDIRECT(CONCATENATE("Tab_",Tab_Calculs[[#This Row],[Colonne1]])),Tab_Calculs[[#This Row],[index_date_livraison]],7)*(1+MIN(Tab_Calculs[[#This Row],[Date_livraison]],Tab_Calculs[[#This Row],[fin mois]])-MAX(Tab_Calculs[[#This Row],[Début mois]],Tab_Calculs[[#This Row],[Début periode livraison]]))</f>
        <v>0</v>
      </c>
      <c r="Q484" t="e">
        <f ca="1">INDEX(INDIRECT(CONCATENATE("Tab_",Tab_Calculs[[#This Row],[Colonne1]])),Tab_Calculs[[#This Row],[index_date_livraison]]+1,7)*(Tab_Calculs[[#This Row],[fin mois]]-MIN(Tab_Calculs[[#This Row],[fin mois]],Tab_Calculs[[#This Row],[Date_livraison]]))</f>
        <v>#VALUE!</v>
      </c>
      <c r="R484" t="e">
        <f ca="1">Tab_Calculs[[#This Row],[Ratio_Cout_après_livr]]+Tab_Calculs[[#This Row],[Ratio_Cout_avant_livr]]+Tab_Calculs[[#This Row],[Ratio_Cout_avant_debut]]</f>
        <v>#VALUE!</v>
      </c>
      <c r="S484" t="str">
        <f ca="1">IFERROR(N484*VLOOKUP(Tab_Calculs[[#This Row],[Colonne1]],Controle_des_données!$B$7:$G$14,6,FALSE),"")</f>
        <v/>
      </c>
      <c r="T484" t="str">
        <f ca="1">IF(Tab_Calculs[[#This Row],[Combustible ]]="Electricité (kWh)",Tab_Calculs[[#This Row],[Conso_mois_kWh]]*2.3,Tab_Calculs[[#This Row],[Conso_mois_kWh]])</f>
        <v/>
      </c>
      <c r="U484" t="str">
        <f ca="1">IFERROR(N484*VLOOKUP(Tab_Calculs[[#This Row],[Colonne1]],Controle_des_données!$B$7:$H$14,7,FALSE),"")</f>
        <v/>
      </c>
      <c r="V484">
        <f ca="1">IFERROR(Tab_Calculs[[#This Row],[Cout_mois]]/Tab_Calculs[[#This Row],[Conso_mois_kWh]],0)</f>
        <v>0</v>
      </c>
      <c r="W484" t="str">
        <f>T(VLOOKUP(Tab_Calculs[[#This Row],[Compteur]],Site!$B$33:$G$40,3,FALSE))</f>
        <v/>
      </c>
      <c r="X484" t="str">
        <f>T(VLOOKUP(Tab_Calculs[[#This Row],[Compteur]],Site!$B$33:$G$40,4,FALSE))</f>
        <v/>
      </c>
      <c r="Y484" t="str">
        <f>T(VLOOKUP(Tab_Calculs[[#This Row],[Compteur]],Site!$B$33:$G$40,5,FALSE))</f>
        <v/>
      </c>
      <c r="Z484" t="str">
        <f>T(VLOOKUP(Tab_Calculs[[#This Row],[Compteur]],Site!$B$33:$G$40,6,FALSE))</f>
        <v/>
      </c>
      <c r="AA484">
        <f>IFERROR(GETPIVOTDATA("DJU(chauffagiste)",BDD_DJU!$P$13,"annee",Tab_Calculs[[#This Row],[ANNEE]],"mois_numero",Tab_Calculs[[#This Row],[MOIS]]),0)</f>
        <v>32.200000000000003</v>
      </c>
    </row>
    <row r="485" spans="1:27" x14ac:dyDescent="0.25">
      <c r="A485" s="3">
        <f>DATE(Tab_Calculs[[#This Row],[ANNEE]],Tab_Calculs[[#This Row],[MOIS]],1)</f>
        <v>42979</v>
      </c>
      <c r="B485" s="3">
        <f>EDATE(Tab_Calculs[[#This Row],[Début mois]],1)-1</f>
        <v>43008</v>
      </c>
      <c r="C485">
        <f t="shared" si="15"/>
        <v>9</v>
      </c>
      <c r="D485">
        <f t="shared" si="14"/>
        <v>2017</v>
      </c>
      <c r="E485" t="s">
        <v>82</v>
      </c>
      <c r="F485" t="str">
        <f>SUBSTITUTE(Tab_Calculs[[#This Row],[Compteur]]," ","_")</f>
        <v>Compteur_3</v>
      </c>
      <c r="G485" t="str">
        <f>T(INDEX(Site!$B$33:$G$40, MATCH(Tab_Calculs[[#This Row],[Compteur]], Site!$B$33:$B$40,0),2))</f>
        <v/>
      </c>
      <c r="H485" s="3">
        <f t="array" aca="1" ref="H485" ca="1">MIN(IF(INDIRECT(CONCATENATE(Tab_Calculs[[#This Row],[Colonne1]],"!$B$2:$B$243"))&gt;=Calculs_Consos!$A485,INDIRECT(CONCATENATE(Tab_Calculs[[#This Row],[Colonne1]],"!$B$2:$B$243"))))</f>
        <v>0</v>
      </c>
      <c r="I485" s="3">
        <f ca="1">INDEX(INDIRECT(CONCATENATE("Tab_",Tab_Calculs[[#This Row],[Colonne1]])),Tab_Calculs[[#This Row],[index_date_livraison]],1)</f>
        <v>0</v>
      </c>
      <c r="J485">
        <f ca="1">MATCH(Tab_Calculs[[#This Row],[Date_livraison]],INDIRECT(CONCATENATE("Tab_",Tab_Calculs[[#This Row],[Colonne1]],"[Fin de période]")),0)</f>
        <v>1</v>
      </c>
      <c r="K485" t="e">
        <f ca="1">INDEX(INDIRECT(CONCATENATE("Tab_",Tab_Calculs[[#This Row],[Colonne1]])),Tab_Calculs[[#This Row],[index_date_livraison]]-1,6)*(MAX(Tab_Calculs[[#This Row],[Début periode livraison]],Tab_Calculs[[#This Row],[Début mois]])-Tab_Calculs[[#This Row],[Début mois]])</f>
        <v>#VALUE!</v>
      </c>
      <c r="L485" s="94">
        <f ca="1">INDEX(INDIRECT(CONCATENATE("Tab_",Tab_Calculs[[#This Row],[Colonne1]])),Tab_Calculs[[#This Row],[index_date_livraison]],6)*(1+MIN(Tab_Calculs[[#This Row],[Date_livraison]],Tab_Calculs[[#This Row],[fin mois]])-MAX(Tab_Calculs[[#This Row],[Début mois]],Tab_Calculs[[#This Row],[Début periode livraison]]))</f>
        <v>0</v>
      </c>
      <c r="M485" s="94" t="e">
        <f ca="1">INDEX(INDIRECT(CONCATENATE("Tab_",Tab_Calculs[[#This Row],[Colonne1]])),Tab_Calculs[[#This Row],[index_date_livraison]]+1,6)*(Tab_Calculs[[#This Row],[fin mois]]-MIN(Tab_Calculs[[#This Row],[fin mois]],Tab_Calculs[[#This Row],[Date_livraison]]))</f>
        <v>#VALUE!</v>
      </c>
      <c r="N485" s="231" t="str">
        <f ca="1">IFERROR(Tab_Calculs[[#This Row],[Ratio_jour_après_livr]]+Tab_Calculs[[#This Row],[Ratio_jour_avant_livr]]+Tab_Calculs[[#This Row],[ratio_avant_debut]],"")</f>
        <v/>
      </c>
      <c r="O485" t="e">
        <f ca="1">INDEX(INDIRECT(CONCATENATE("Tab_",Tab_Calculs[[#This Row],[Colonne1]])),Tab_Calculs[[#This Row],[index_date_livraison]]-1,7)*(MAX(Tab_Calculs[[#This Row],[Début periode livraison]],Tab_Calculs[[#This Row],[Début mois]])-Tab_Calculs[[#This Row],[Début mois]])</f>
        <v>#VALUE!</v>
      </c>
      <c r="P485">
        <f ca="1">INDEX(INDIRECT(CONCATENATE("Tab_",Tab_Calculs[[#This Row],[Colonne1]])),Tab_Calculs[[#This Row],[index_date_livraison]],7)*(1+MIN(Tab_Calculs[[#This Row],[Date_livraison]],Tab_Calculs[[#This Row],[fin mois]])-MAX(Tab_Calculs[[#This Row],[Début mois]],Tab_Calculs[[#This Row],[Début periode livraison]]))</f>
        <v>0</v>
      </c>
      <c r="Q485" t="e">
        <f ca="1">INDEX(INDIRECT(CONCATENATE("Tab_",Tab_Calculs[[#This Row],[Colonne1]])),Tab_Calculs[[#This Row],[index_date_livraison]]+1,7)*(Tab_Calculs[[#This Row],[fin mois]]-MIN(Tab_Calculs[[#This Row],[fin mois]],Tab_Calculs[[#This Row],[Date_livraison]]))</f>
        <v>#VALUE!</v>
      </c>
      <c r="R485" t="e">
        <f ca="1">Tab_Calculs[[#This Row],[Ratio_Cout_après_livr]]+Tab_Calculs[[#This Row],[Ratio_Cout_avant_livr]]+Tab_Calculs[[#This Row],[Ratio_Cout_avant_debut]]</f>
        <v>#VALUE!</v>
      </c>
      <c r="S485" t="str">
        <f ca="1">IFERROR(N485*VLOOKUP(Tab_Calculs[[#This Row],[Colonne1]],Controle_des_données!$B$7:$G$14,6,FALSE),"")</f>
        <v/>
      </c>
      <c r="T485" t="str">
        <f ca="1">IF(Tab_Calculs[[#This Row],[Combustible ]]="Electricité (kWh)",Tab_Calculs[[#This Row],[Conso_mois_kWh]]*2.3,Tab_Calculs[[#This Row],[Conso_mois_kWh]])</f>
        <v/>
      </c>
      <c r="U485" t="str">
        <f ca="1">IFERROR(N485*VLOOKUP(Tab_Calculs[[#This Row],[Colonne1]],Controle_des_données!$B$7:$H$14,7,FALSE),"")</f>
        <v/>
      </c>
      <c r="V485">
        <f ca="1">IFERROR(Tab_Calculs[[#This Row],[Cout_mois]]/Tab_Calculs[[#This Row],[Conso_mois_kWh]],0)</f>
        <v>0</v>
      </c>
      <c r="W485" t="str">
        <f>T(VLOOKUP(Tab_Calculs[[#This Row],[Compteur]],Site!$B$33:$G$40,3,FALSE))</f>
        <v/>
      </c>
      <c r="X485" t="str">
        <f>T(VLOOKUP(Tab_Calculs[[#This Row],[Compteur]],Site!$B$33:$G$40,4,FALSE))</f>
        <v/>
      </c>
      <c r="Y485" t="str">
        <f>T(VLOOKUP(Tab_Calculs[[#This Row],[Compteur]],Site!$B$33:$G$40,5,FALSE))</f>
        <v/>
      </c>
      <c r="Z485" t="str">
        <f>T(VLOOKUP(Tab_Calculs[[#This Row],[Compteur]],Site!$B$33:$G$40,6,FALSE))</f>
        <v/>
      </c>
      <c r="AA485">
        <f>IFERROR(GETPIVOTDATA("DJU(chauffagiste)",BDD_DJU!$P$13,"annee",Tab_Calculs[[#This Row],[ANNEE]],"mois_numero",Tab_Calculs[[#This Row],[MOIS]]),0)</f>
        <v>82.3</v>
      </c>
    </row>
    <row r="486" spans="1:27" x14ac:dyDescent="0.25">
      <c r="A486" s="3">
        <f>DATE(Tab_Calculs[[#This Row],[ANNEE]],Tab_Calculs[[#This Row],[MOIS]],1)</f>
        <v>43009</v>
      </c>
      <c r="B486" s="3">
        <f>EDATE(Tab_Calculs[[#This Row],[Début mois]],1)-1</f>
        <v>43039</v>
      </c>
      <c r="C486">
        <f t="shared" si="15"/>
        <v>10</v>
      </c>
      <c r="D486">
        <f t="shared" si="14"/>
        <v>2017</v>
      </c>
      <c r="E486" t="s">
        <v>82</v>
      </c>
      <c r="F486" t="str">
        <f>SUBSTITUTE(Tab_Calculs[[#This Row],[Compteur]]," ","_")</f>
        <v>Compteur_3</v>
      </c>
      <c r="G486" t="str">
        <f>T(INDEX(Site!$B$33:$G$40, MATCH(Tab_Calculs[[#This Row],[Compteur]], Site!$B$33:$B$40,0),2))</f>
        <v/>
      </c>
      <c r="H486" s="3">
        <f t="array" aca="1" ref="H486" ca="1">MIN(IF(INDIRECT(CONCATENATE(Tab_Calculs[[#This Row],[Colonne1]],"!$B$2:$B$243"))&gt;=Calculs_Consos!$A486,INDIRECT(CONCATENATE(Tab_Calculs[[#This Row],[Colonne1]],"!$B$2:$B$243"))))</f>
        <v>0</v>
      </c>
      <c r="I486" s="3">
        <f ca="1">INDEX(INDIRECT(CONCATENATE("Tab_",Tab_Calculs[[#This Row],[Colonne1]])),Tab_Calculs[[#This Row],[index_date_livraison]],1)</f>
        <v>0</v>
      </c>
      <c r="J486">
        <f ca="1">MATCH(Tab_Calculs[[#This Row],[Date_livraison]],INDIRECT(CONCATENATE("Tab_",Tab_Calculs[[#This Row],[Colonne1]],"[Fin de période]")),0)</f>
        <v>1</v>
      </c>
      <c r="K486" t="e">
        <f ca="1">INDEX(INDIRECT(CONCATENATE("Tab_",Tab_Calculs[[#This Row],[Colonne1]])),Tab_Calculs[[#This Row],[index_date_livraison]]-1,6)*(MAX(Tab_Calculs[[#This Row],[Début periode livraison]],Tab_Calculs[[#This Row],[Début mois]])-Tab_Calculs[[#This Row],[Début mois]])</f>
        <v>#VALUE!</v>
      </c>
      <c r="L486" s="94">
        <f ca="1">INDEX(INDIRECT(CONCATENATE("Tab_",Tab_Calculs[[#This Row],[Colonne1]])),Tab_Calculs[[#This Row],[index_date_livraison]],6)*(1+MIN(Tab_Calculs[[#This Row],[Date_livraison]],Tab_Calculs[[#This Row],[fin mois]])-MAX(Tab_Calculs[[#This Row],[Début mois]],Tab_Calculs[[#This Row],[Début periode livraison]]))</f>
        <v>0</v>
      </c>
      <c r="M486" s="94" t="e">
        <f ca="1">INDEX(INDIRECT(CONCATENATE("Tab_",Tab_Calculs[[#This Row],[Colonne1]])),Tab_Calculs[[#This Row],[index_date_livraison]]+1,6)*(Tab_Calculs[[#This Row],[fin mois]]-MIN(Tab_Calculs[[#This Row],[fin mois]],Tab_Calculs[[#This Row],[Date_livraison]]))</f>
        <v>#VALUE!</v>
      </c>
      <c r="N486" s="231" t="str">
        <f ca="1">IFERROR(Tab_Calculs[[#This Row],[Ratio_jour_après_livr]]+Tab_Calculs[[#This Row],[Ratio_jour_avant_livr]]+Tab_Calculs[[#This Row],[ratio_avant_debut]],"")</f>
        <v/>
      </c>
      <c r="O486" t="e">
        <f ca="1">INDEX(INDIRECT(CONCATENATE("Tab_",Tab_Calculs[[#This Row],[Colonne1]])),Tab_Calculs[[#This Row],[index_date_livraison]]-1,7)*(MAX(Tab_Calculs[[#This Row],[Début periode livraison]],Tab_Calculs[[#This Row],[Début mois]])-Tab_Calculs[[#This Row],[Début mois]])</f>
        <v>#VALUE!</v>
      </c>
      <c r="P486">
        <f ca="1">INDEX(INDIRECT(CONCATENATE("Tab_",Tab_Calculs[[#This Row],[Colonne1]])),Tab_Calculs[[#This Row],[index_date_livraison]],7)*(1+MIN(Tab_Calculs[[#This Row],[Date_livraison]],Tab_Calculs[[#This Row],[fin mois]])-MAX(Tab_Calculs[[#This Row],[Début mois]],Tab_Calculs[[#This Row],[Début periode livraison]]))</f>
        <v>0</v>
      </c>
      <c r="Q486" t="e">
        <f ca="1">INDEX(INDIRECT(CONCATENATE("Tab_",Tab_Calculs[[#This Row],[Colonne1]])),Tab_Calculs[[#This Row],[index_date_livraison]]+1,7)*(Tab_Calculs[[#This Row],[fin mois]]-MIN(Tab_Calculs[[#This Row],[fin mois]],Tab_Calculs[[#This Row],[Date_livraison]]))</f>
        <v>#VALUE!</v>
      </c>
      <c r="R486" t="e">
        <f ca="1">Tab_Calculs[[#This Row],[Ratio_Cout_après_livr]]+Tab_Calculs[[#This Row],[Ratio_Cout_avant_livr]]+Tab_Calculs[[#This Row],[Ratio_Cout_avant_debut]]</f>
        <v>#VALUE!</v>
      </c>
      <c r="S486" t="str">
        <f ca="1">IFERROR(N486*VLOOKUP(Tab_Calculs[[#This Row],[Colonne1]],Controle_des_données!$B$7:$G$14,6,FALSE),"")</f>
        <v/>
      </c>
      <c r="T486" t="str">
        <f ca="1">IF(Tab_Calculs[[#This Row],[Combustible ]]="Electricité (kWh)",Tab_Calculs[[#This Row],[Conso_mois_kWh]]*2.3,Tab_Calculs[[#This Row],[Conso_mois_kWh]])</f>
        <v/>
      </c>
      <c r="U486" t="str">
        <f ca="1">IFERROR(N486*VLOOKUP(Tab_Calculs[[#This Row],[Colonne1]],Controle_des_données!$B$7:$H$14,7,FALSE),"")</f>
        <v/>
      </c>
      <c r="V486">
        <f ca="1">IFERROR(Tab_Calculs[[#This Row],[Cout_mois]]/Tab_Calculs[[#This Row],[Conso_mois_kWh]],0)</f>
        <v>0</v>
      </c>
      <c r="W486" t="str">
        <f>T(VLOOKUP(Tab_Calculs[[#This Row],[Compteur]],Site!$B$33:$G$40,3,FALSE))</f>
        <v/>
      </c>
      <c r="X486" t="str">
        <f>T(VLOOKUP(Tab_Calculs[[#This Row],[Compteur]],Site!$B$33:$G$40,4,FALSE))</f>
        <v/>
      </c>
      <c r="Y486" t="str">
        <f>T(VLOOKUP(Tab_Calculs[[#This Row],[Compteur]],Site!$B$33:$G$40,5,FALSE))</f>
        <v/>
      </c>
      <c r="Z486" t="str">
        <f>T(VLOOKUP(Tab_Calculs[[#This Row],[Compteur]],Site!$B$33:$G$40,6,FALSE))</f>
        <v/>
      </c>
      <c r="AA486">
        <f>IFERROR(GETPIVOTDATA("DJU(chauffagiste)",BDD_DJU!$P$13,"annee",Tab_Calculs[[#This Row],[ANNEE]],"mois_numero",Tab_Calculs[[#This Row],[MOIS]]),0)</f>
        <v>126.4</v>
      </c>
    </row>
    <row r="487" spans="1:27" x14ac:dyDescent="0.25">
      <c r="A487" s="3">
        <f>DATE(Tab_Calculs[[#This Row],[ANNEE]],Tab_Calculs[[#This Row],[MOIS]],1)</f>
        <v>43040</v>
      </c>
      <c r="B487" s="3">
        <f>EDATE(Tab_Calculs[[#This Row],[Début mois]],1)-1</f>
        <v>43069</v>
      </c>
      <c r="C487">
        <f t="shared" si="15"/>
        <v>11</v>
      </c>
      <c r="D487">
        <f t="shared" si="14"/>
        <v>2017</v>
      </c>
      <c r="E487" t="s">
        <v>82</v>
      </c>
      <c r="F487" t="str">
        <f>SUBSTITUTE(Tab_Calculs[[#This Row],[Compteur]]," ","_")</f>
        <v>Compteur_3</v>
      </c>
      <c r="G487" t="str">
        <f>T(INDEX(Site!$B$33:$G$40, MATCH(Tab_Calculs[[#This Row],[Compteur]], Site!$B$33:$B$40,0),2))</f>
        <v/>
      </c>
      <c r="H487" s="3">
        <f t="array" aca="1" ref="H487" ca="1">MIN(IF(INDIRECT(CONCATENATE(Tab_Calculs[[#This Row],[Colonne1]],"!$B$2:$B$243"))&gt;=Calculs_Consos!$A487,INDIRECT(CONCATENATE(Tab_Calculs[[#This Row],[Colonne1]],"!$B$2:$B$243"))))</f>
        <v>0</v>
      </c>
      <c r="I487" s="3">
        <f ca="1">INDEX(INDIRECT(CONCATENATE("Tab_",Tab_Calculs[[#This Row],[Colonne1]])),Tab_Calculs[[#This Row],[index_date_livraison]],1)</f>
        <v>0</v>
      </c>
      <c r="J487">
        <f ca="1">MATCH(Tab_Calculs[[#This Row],[Date_livraison]],INDIRECT(CONCATENATE("Tab_",Tab_Calculs[[#This Row],[Colonne1]],"[Fin de période]")),0)</f>
        <v>1</v>
      </c>
      <c r="K487" t="e">
        <f ca="1">INDEX(INDIRECT(CONCATENATE("Tab_",Tab_Calculs[[#This Row],[Colonne1]])),Tab_Calculs[[#This Row],[index_date_livraison]]-1,6)*(MAX(Tab_Calculs[[#This Row],[Début periode livraison]],Tab_Calculs[[#This Row],[Début mois]])-Tab_Calculs[[#This Row],[Début mois]])</f>
        <v>#VALUE!</v>
      </c>
      <c r="L487" s="94">
        <f ca="1">INDEX(INDIRECT(CONCATENATE("Tab_",Tab_Calculs[[#This Row],[Colonne1]])),Tab_Calculs[[#This Row],[index_date_livraison]],6)*(1+MIN(Tab_Calculs[[#This Row],[Date_livraison]],Tab_Calculs[[#This Row],[fin mois]])-MAX(Tab_Calculs[[#This Row],[Début mois]],Tab_Calculs[[#This Row],[Début periode livraison]]))</f>
        <v>0</v>
      </c>
      <c r="M487" s="94" t="e">
        <f ca="1">INDEX(INDIRECT(CONCATENATE("Tab_",Tab_Calculs[[#This Row],[Colonne1]])),Tab_Calculs[[#This Row],[index_date_livraison]]+1,6)*(Tab_Calculs[[#This Row],[fin mois]]-MIN(Tab_Calculs[[#This Row],[fin mois]],Tab_Calculs[[#This Row],[Date_livraison]]))</f>
        <v>#VALUE!</v>
      </c>
      <c r="N487" s="231" t="str">
        <f ca="1">IFERROR(Tab_Calculs[[#This Row],[Ratio_jour_après_livr]]+Tab_Calculs[[#This Row],[Ratio_jour_avant_livr]]+Tab_Calculs[[#This Row],[ratio_avant_debut]],"")</f>
        <v/>
      </c>
      <c r="O487" t="e">
        <f ca="1">INDEX(INDIRECT(CONCATENATE("Tab_",Tab_Calculs[[#This Row],[Colonne1]])),Tab_Calculs[[#This Row],[index_date_livraison]]-1,7)*(MAX(Tab_Calculs[[#This Row],[Début periode livraison]],Tab_Calculs[[#This Row],[Début mois]])-Tab_Calculs[[#This Row],[Début mois]])</f>
        <v>#VALUE!</v>
      </c>
      <c r="P487">
        <f ca="1">INDEX(INDIRECT(CONCATENATE("Tab_",Tab_Calculs[[#This Row],[Colonne1]])),Tab_Calculs[[#This Row],[index_date_livraison]],7)*(1+MIN(Tab_Calculs[[#This Row],[Date_livraison]],Tab_Calculs[[#This Row],[fin mois]])-MAX(Tab_Calculs[[#This Row],[Début mois]],Tab_Calculs[[#This Row],[Début periode livraison]]))</f>
        <v>0</v>
      </c>
      <c r="Q487" t="e">
        <f ca="1">INDEX(INDIRECT(CONCATENATE("Tab_",Tab_Calculs[[#This Row],[Colonne1]])),Tab_Calculs[[#This Row],[index_date_livraison]]+1,7)*(Tab_Calculs[[#This Row],[fin mois]]-MIN(Tab_Calculs[[#This Row],[fin mois]],Tab_Calculs[[#This Row],[Date_livraison]]))</f>
        <v>#VALUE!</v>
      </c>
      <c r="R487" t="e">
        <f ca="1">Tab_Calculs[[#This Row],[Ratio_Cout_après_livr]]+Tab_Calculs[[#This Row],[Ratio_Cout_avant_livr]]+Tab_Calculs[[#This Row],[Ratio_Cout_avant_debut]]</f>
        <v>#VALUE!</v>
      </c>
      <c r="S487" t="str">
        <f ca="1">IFERROR(N487*VLOOKUP(Tab_Calculs[[#This Row],[Colonne1]],Controle_des_données!$B$7:$G$14,6,FALSE),"")</f>
        <v/>
      </c>
      <c r="T487" t="str">
        <f ca="1">IF(Tab_Calculs[[#This Row],[Combustible ]]="Electricité (kWh)",Tab_Calculs[[#This Row],[Conso_mois_kWh]]*2.3,Tab_Calculs[[#This Row],[Conso_mois_kWh]])</f>
        <v/>
      </c>
      <c r="U487" t="str">
        <f ca="1">IFERROR(N487*VLOOKUP(Tab_Calculs[[#This Row],[Colonne1]],Controle_des_données!$B$7:$H$14,7,FALSE),"")</f>
        <v/>
      </c>
      <c r="V487">
        <f ca="1">IFERROR(Tab_Calculs[[#This Row],[Cout_mois]]/Tab_Calculs[[#This Row],[Conso_mois_kWh]],0)</f>
        <v>0</v>
      </c>
      <c r="W487" t="str">
        <f>T(VLOOKUP(Tab_Calculs[[#This Row],[Compteur]],Site!$B$33:$G$40,3,FALSE))</f>
        <v/>
      </c>
      <c r="X487" t="str">
        <f>T(VLOOKUP(Tab_Calculs[[#This Row],[Compteur]],Site!$B$33:$G$40,4,FALSE))</f>
        <v/>
      </c>
      <c r="Y487" t="str">
        <f>T(VLOOKUP(Tab_Calculs[[#This Row],[Compteur]],Site!$B$33:$G$40,5,FALSE))</f>
        <v/>
      </c>
      <c r="Z487" t="str">
        <f>T(VLOOKUP(Tab_Calculs[[#This Row],[Compteur]],Site!$B$33:$G$40,6,FALSE))</f>
        <v/>
      </c>
      <c r="AA487">
        <f>IFERROR(GETPIVOTDATA("DJU(chauffagiste)",BDD_DJU!$P$13,"annee",Tab_Calculs[[#This Row],[ANNEE]],"mois_numero",Tab_Calculs[[#This Row],[MOIS]]),0)</f>
        <v>289.89999999999998</v>
      </c>
    </row>
    <row r="488" spans="1:27" x14ac:dyDescent="0.25">
      <c r="A488" s="3">
        <f>DATE(Tab_Calculs[[#This Row],[ANNEE]],Tab_Calculs[[#This Row],[MOIS]],1)</f>
        <v>43070</v>
      </c>
      <c r="B488" s="3">
        <f>EDATE(Tab_Calculs[[#This Row],[Début mois]],1)-1</f>
        <v>43100</v>
      </c>
      <c r="C488">
        <f t="shared" si="15"/>
        <v>12</v>
      </c>
      <c r="D488">
        <f t="shared" si="14"/>
        <v>2017</v>
      </c>
      <c r="E488" t="s">
        <v>82</v>
      </c>
      <c r="F488" t="str">
        <f>SUBSTITUTE(Tab_Calculs[[#This Row],[Compteur]]," ","_")</f>
        <v>Compteur_3</v>
      </c>
      <c r="G488" t="str">
        <f>T(INDEX(Site!$B$33:$G$40, MATCH(Tab_Calculs[[#This Row],[Compteur]], Site!$B$33:$B$40,0),2))</f>
        <v/>
      </c>
      <c r="H488" s="3">
        <f t="array" aca="1" ref="H488" ca="1">MIN(IF(INDIRECT(CONCATENATE(Tab_Calculs[[#This Row],[Colonne1]],"!$B$2:$B$243"))&gt;=Calculs_Consos!$A488,INDIRECT(CONCATENATE(Tab_Calculs[[#This Row],[Colonne1]],"!$B$2:$B$243"))))</f>
        <v>0</v>
      </c>
      <c r="I488" s="3">
        <f ca="1">INDEX(INDIRECT(CONCATENATE("Tab_",Tab_Calculs[[#This Row],[Colonne1]])),Tab_Calculs[[#This Row],[index_date_livraison]],1)</f>
        <v>0</v>
      </c>
      <c r="J488">
        <f ca="1">MATCH(Tab_Calculs[[#This Row],[Date_livraison]],INDIRECT(CONCATENATE("Tab_",Tab_Calculs[[#This Row],[Colonne1]],"[Fin de période]")),0)</f>
        <v>1</v>
      </c>
      <c r="K488" t="e">
        <f ca="1">INDEX(INDIRECT(CONCATENATE("Tab_",Tab_Calculs[[#This Row],[Colonne1]])),Tab_Calculs[[#This Row],[index_date_livraison]]-1,6)*(MAX(Tab_Calculs[[#This Row],[Début periode livraison]],Tab_Calculs[[#This Row],[Début mois]])-Tab_Calculs[[#This Row],[Début mois]])</f>
        <v>#VALUE!</v>
      </c>
      <c r="L488" s="94">
        <f ca="1">INDEX(INDIRECT(CONCATENATE("Tab_",Tab_Calculs[[#This Row],[Colonne1]])),Tab_Calculs[[#This Row],[index_date_livraison]],6)*(1+MIN(Tab_Calculs[[#This Row],[Date_livraison]],Tab_Calculs[[#This Row],[fin mois]])-MAX(Tab_Calculs[[#This Row],[Début mois]],Tab_Calculs[[#This Row],[Début periode livraison]]))</f>
        <v>0</v>
      </c>
      <c r="M488" s="94" t="e">
        <f ca="1">INDEX(INDIRECT(CONCATENATE("Tab_",Tab_Calculs[[#This Row],[Colonne1]])),Tab_Calculs[[#This Row],[index_date_livraison]]+1,6)*(Tab_Calculs[[#This Row],[fin mois]]-MIN(Tab_Calculs[[#This Row],[fin mois]],Tab_Calculs[[#This Row],[Date_livraison]]))</f>
        <v>#VALUE!</v>
      </c>
      <c r="N488" s="231" t="str">
        <f ca="1">IFERROR(Tab_Calculs[[#This Row],[Ratio_jour_après_livr]]+Tab_Calculs[[#This Row],[Ratio_jour_avant_livr]]+Tab_Calculs[[#This Row],[ratio_avant_debut]],"")</f>
        <v/>
      </c>
      <c r="O488" t="e">
        <f ca="1">INDEX(INDIRECT(CONCATENATE("Tab_",Tab_Calculs[[#This Row],[Colonne1]])),Tab_Calculs[[#This Row],[index_date_livraison]]-1,7)*(MAX(Tab_Calculs[[#This Row],[Début periode livraison]],Tab_Calculs[[#This Row],[Début mois]])-Tab_Calculs[[#This Row],[Début mois]])</f>
        <v>#VALUE!</v>
      </c>
      <c r="P488">
        <f ca="1">INDEX(INDIRECT(CONCATENATE("Tab_",Tab_Calculs[[#This Row],[Colonne1]])),Tab_Calculs[[#This Row],[index_date_livraison]],7)*(1+MIN(Tab_Calculs[[#This Row],[Date_livraison]],Tab_Calculs[[#This Row],[fin mois]])-MAX(Tab_Calculs[[#This Row],[Début mois]],Tab_Calculs[[#This Row],[Début periode livraison]]))</f>
        <v>0</v>
      </c>
      <c r="Q488" t="e">
        <f ca="1">INDEX(INDIRECT(CONCATENATE("Tab_",Tab_Calculs[[#This Row],[Colonne1]])),Tab_Calculs[[#This Row],[index_date_livraison]]+1,7)*(Tab_Calculs[[#This Row],[fin mois]]-MIN(Tab_Calculs[[#This Row],[fin mois]],Tab_Calculs[[#This Row],[Date_livraison]]))</f>
        <v>#VALUE!</v>
      </c>
      <c r="R488" t="e">
        <f ca="1">Tab_Calculs[[#This Row],[Ratio_Cout_après_livr]]+Tab_Calculs[[#This Row],[Ratio_Cout_avant_livr]]+Tab_Calculs[[#This Row],[Ratio_Cout_avant_debut]]</f>
        <v>#VALUE!</v>
      </c>
      <c r="S488" t="str">
        <f ca="1">IFERROR(N488*VLOOKUP(Tab_Calculs[[#This Row],[Colonne1]],Controle_des_données!$B$7:$G$14,6,FALSE),"")</f>
        <v/>
      </c>
      <c r="T488" t="str">
        <f ca="1">IF(Tab_Calculs[[#This Row],[Combustible ]]="Electricité (kWh)",Tab_Calculs[[#This Row],[Conso_mois_kWh]]*2.3,Tab_Calculs[[#This Row],[Conso_mois_kWh]])</f>
        <v/>
      </c>
      <c r="U488" t="str">
        <f ca="1">IFERROR(N488*VLOOKUP(Tab_Calculs[[#This Row],[Colonne1]],Controle_des_données!$B$7:$H$14,7,FALSE),"")</f>
        <v/>
      </c>
      <c r="V488">
        <f ca="1">IFERROR(Tab_Calculs[[#This Row],[Cout_mois]]/Tab_Calculs[[#This Row],[Conso_mois_kWh]],0)</f>
        <v>0</v>
      </c>
      <c r="W488" t="str">
        <f>T(VLOOKUP(Tab_Calculs[[#This Row],[Compteur]],Site!$B$33:$G$40,3,FALSE))</f>
        <v/>
      </c>
      <c r="X488" t="str">
        <f>T(VLOOKUP(Tab_Calculs[[#This Row],[Compteur]],Site!$B$33:$G$40,4,FALSE))</f>
        <v/>
      </c>
      <c r="Y488" t="str">
        <f>T(VLOOKUP(Tab_Calculs[[#This Row],[Compteur]],Site!$B$33:$G$40,5,FALSE))</f>
        <v/>
      </c>
      <c r="Z488" t="str">
        <f>T(VLOOKUP(Tab_Calculs[[#This Row],[Compteur]],Site!$B$33:$G$40,6,FALSE))</f>
        <v/>
      </c>
      <c r="AA488">
        <f>IFERROR(GETPIVOTDATA("DJU(chauffagiste)",BDD_DJU!$P$13,"annee",Tab_Calculs[[#This Row],[ANNEE]],"mois_numero",Tab_Calculs[[#This Row],[MOIS]]),0)</f>
        <v>366.2</v>
      </c>
    </row>
    <row r="489" spans="1:27" x14ac:dyDescent="0.25">
      <c r="A489" s="3">
        <f>DATE(Tab_Calculs[[#This Row],[ANNEE]],Tab_Calculs[[#This Row],[MOIS]],1)</f>
        <v>43101</v>
      </c>
      <c r="B489" s="3">
        <f>EDATE(Tab_Calculs[[#This Row],[Début mois]],1)-1</f>
        <v>43131</v>
      </c>
      <c r="C489">
        <f t="shared" si="15"/>
        <v>1</v>
      </c>
      <c r="D489">
        <f t="shared" si="14"/>
        <v>2018</v>
      </c>
      <c r="E489" t="s">
        <v>82</v>
      </c>
      <c r="F489" t="str">
        <f>SUBSTITUTE(Tab_Calculs[[#This Row],[Compteur]]," ","_")</f>
        <v>Compteur_3</v>
      </c>
      <c r="G489" t="str">
        <f>T(INDEX(Site!$B$33:$G$40, MATCH(Tab_Calculs[[#This Row],[Compteur]], Site!$B$33:$B$40,0),2))</f>
        <v/>
      </c>
      <c r="H489" s="3">
        <f t="array" aca="1" ref="H489" ca="1">MIN(IF(INDIRECT(CONCATENATE(Tab_Calculs[[#This Row],[Colonne1]],"!$B$2:$B$243"))&gt;=Calculs_Consos!$A489,INDIRECT(CONCATENATE(Tab_Calculs[[#This Row],[Colonne1]],"!$B$2:$B$243"))))</f>
        <v>0</v>
      </c>
      <c r="I489" s="3">
        <f ca="1">INDEX(INDIRECT(CONCATENATE("Tab_",Tab_Calculs[[#This Row],[Colonne1]])),Tab_Calculs[[#This Row],[index_date_livraison]],1)</f>
        <v>0</v>
      </c>
      <c r="J489">
        <f ca="1">MATCH(Tab_Calculs[[#This Row],[Date_livraison]],INDIRECT(CONCATENATE("Tab_",Tab_Calculs[[#This Row],[Colonne1]],"[Fin de période]")),0)</f>
        <v>1</v>
      </c>
      <c r="K489" t="e">
        <f ca="1">INDEX(INDIRECT(CONCATENATE("Tab_",Tab_Calculs[[#This Row],[Colonne1]])),Tab_Calculs[[#This Row],[index_date_livraison]]-1,6)*(MAX(Tab_Calculs[[#This Row],[Début periode livraison]],Tab_Calculs[[#This Row],[Début mois]])-Tab_Calculs[[#This Row],[Début mois]])</f>
        <v>#VALUE!</v>
      </c>
      <c r="L489" s="94">
        <f ca="1">INDEX(INDIRECT(CONCATENATE("Tab_",Tab_Calculs[[#This Row],[Colonne1]])),Tab_Calculs[[#This Row],[index_date_livraison]],6)*(1+MIN(Tab_Calculs[[#This Row],[Date_livraison]],Tab_Calculs[[#This Row],[fin mois]])-MAX(Tab_Calculs[[#This Row],[Début mois]],Tab_Calculs[[#This Row],[Début periode livraison]]))</f>
        <v>0</v>
      </c>
      <c r="M489" s="94" t="e">
        <f ca="1">INDEX(INDIRECT(CONCATENATE("Tab_",Tab_Calculs[[#This Row],[Colonne1]])),Tab_Calculs[[#This Row],[index_date_livraison]]+1,6)*(Tab_Calculs[[#This Row],[fin mois]]-MIN(Tab_Calculs[[#This Row],[fin mois]],Tab_Calculs[[#This Row],[Date_livraison]]))</f>
        <v>#VALUE!</v>
      </c>
      <c r="N489" s="231" t="str">
        <f ca="1">IFERROR(Tab_Calculs[[#This Row],[Ratio_jour_après_livr]]+Tab_Calculs[[#This Row],[Ratio_jour_avant_livr]]+Tab_Calculs[[#This Row],[ratio_avant_debut]],"")</f>
        <v/>
      </c>
      <c r="O489" t="e">
        <f ca="1">INDEX(INDIRECT(CONCATENATE("Tab_",Tab_Calculs[[#This Row],[Colonne1]])),Tab_Calculs[[#This Row],[index_date_livraison]]-1,7)*(MAX(Tab_Calculs[[#This Row],[Début periode livraison]],Tab_Calculs[[#This Row],[Début mois]])-Tab_Calculs[[#This Row],[Début mois]])</f>
        <v>#VALUE!</v>
      </c>
      <c r="P489">
        <f ca="1">INDEX(INDIRECT(CONCATENATE("Tab_",Tab_Calculs[[#This Row],[Colonne1]])),Tab_Calculs[[#This Row],[index_date_livraison]],7)*(1+MIN(Tab_Calculs[[#This Row],[Date_livraison]],Tab_Calculs[[#This Row],[fin mois]])-MAX(Tab_Calculs[[#This Row],[Début mois]],Tab_Calculs[[#This Row],[Début periode livraison]]))</f>
        <v>0</v>
      </c>
      <c r="Q489" t="e">
        <f ca="1">INDEX(INDIRECT(CONCATENATE("Tab_",Tab_Calculs[[#This Row],[Colonne1]])),Tab_Calculs[[#This Row],[index_date_livraison]]+1,7)*(Tab_Calculs[[#This Row],[fin mois]]-MIN(Tab_Calculs[[#This Row],[fin mois]],Tab_Calculs[[#This Row],[Date_livraison]]))</f>
        <v>#VALUE!</v>
      </c>
      <c r="R489" t="e">
        <f ca="1">Tab_Calculs[[#This Row],[Ratio_Cout_après_livr]]+Tab_Calculs[[#This Row],[Ratio_Cout_avant_livr]]+Tab_Calculs[[#This Row],[Ratio_Cout_avant_debut]]</f>
        <v>#VALUE!</v>
      </c>
      <c r="S489" t="str">
        <f ca="1">IFERROR(N489*VLOOKUP(Tab_Calculs[[#This Row],[Colonne1]],Controle_des_données!$B$7:$G$14,6,FALSE),"")</f>
        <v/>
      </c>
      <c r="T489" t="str">
        <f ca="1">IF(Tab_Calculs[[#This Row],[Combustible ]]="Electricité (kWh)",Tab_Calculs[[#This Row],[Conso_mois_kWh]]*2.3,Tab_Calculs[[#This Row],[Conso_mois_kWh]])</f>
        <v/>
      </c>
      <c r="U489" t="str">
        <f ca="1">IFERROR(N489*VLOOKUP(Tab_Calculs[[#This Row],[Colonne1]],Controle_des_données!$B$7:$H$14,7,FALSE),"")</f>
        <v/>
      </c>
      <c r="V489">
        <f ca="1">IFERROR(Tab_Calculs[[#This Row],[Cout_mois]]/Tab_Calculs[[#This Row],[Conso_mois_kWh]],0)</f>
        <v>0</v>
      </c>
      <c r="W489" t="str">
        <f>T(VLOOKUP(Tab_Calculs[[#This Row],[Compteur]],Site!$B$33:$G$40,3,FALSE))</f>
        <v/>
      </c>
      <c r="X489" t="str">
        <f>T(VLOOKUP(Tab_Calculs[[#This Row],[Compteur]],Site!$B$33:$G$40,4,FALSE))</f>
        <v/>
      </c>
      <c r="Y489" t="str">
        <f>T(VLOOKUP(Tab_Calculs[[#This Row],[Compteur]],Site!$B$33:$G$40,5,FALSE))</f>
        <v/>
      </c>
      <c r="Z489" t="str">
        <f>T(VLOOKUP(Tab_Calculs[[#This Row],[Compteur]],Site!$B$33:$G$40,6,FALSE))</f>
        <v/>
      </c>
      <c r="AA489">
        <f>IFERROR(GETPIVOTDATA("DJU(chauffagiste)",BDD_DJU!$P$13,"annee",Tab_Calculs[[#This Row],[ANNEE]],"mois_numero",Tab_Calculs[[#This Row],[MOIS]]),0)</f>
        <v>298.60000000000002</v>
      </c>
    </row>
    <row r="490" spans="1:27" x14ac:dyDescent="0.25">
      <c r="A490" s="3">
        <f>DATE(Tab_Calculs[[#This Row],[ANNEE]],Tab_Calculs[[#This Row],[MOIS]],1)</f>
        <v>43132</v>
      </c>
      <c r="B490" s="3">
        <f>EDATE(Tab_Calculs[[#This Row],[Début mois]],1)-1</f>
        <v>43159</v>
      </c>
      <c r="C490">
        <f t="shared" si="15"/>
        <v>2</v>
      </c>
      <c r="D490">
        <f t="shared" si="14"/>
        <v>2018</v>
      </c>
      <c r="E490" t="s">
        <v>82</v>
      </c>
      <c r="F490" t="str">
        <f>SUBSTITUTE(Tab_Calculs[[#This Row],[Compteur]]," ","_")</f>
        <v>Compteur_3</v>
      </c>
      <c r="G490" t="str">
        <f>T(INDEX(Site!$B$33:$G$40, MATCH(Tab_Calculs[[#This Row],[Compteur]], Site!$B$33:$B$40,0),2))</f>
        <v/>
      </c>
      <c r="H490" s="3">
        <f t="array" aca="1" ref="H490" ca="1">MIN(IF(INDIRECT(CONCATENATE(Tab_Calculs[[#This Row],[Colonne1]],"!$B$2:$B$243"))&gt;=Calculs_Consos!$A490,INDIRECT(CONCATENATE(Tab_Calculs[[#This Row],[Colonne1]],"!$B$2:$B$243"))))</f>
        <v>0</v>
      </c>
      <c r="I490" s="3">
        <f ca="1">INDEX(INDIRECT(CONCATENATE("Tab_",Tab_Calculs[[#This Row],[Colonne1]])),Tab_Calculs[[#This Row],[index_date_livraison]],1)</f>
        <v>0</v>
      </c>
      <c r="J490">
        <f ca="1">MATCH(Tab_Calculs[[#This Row],[Date_livraison]],INDIRECT(CONCATENATE("Tab_",Tab_Calculs[[#This Row],[Colonne1]],"[Fin de période]")),0)</f>
        <v>1</v>
      </c>
      <c r="K490" t="e">
        <f ca="1">INDEX(INDIRECT(CONCATENATE("Tab_",Tab_Calculs[[#This Row],[Colonne1]])),Tab_Calculs[[#This Row],[index_date_livraison]]-1,6)*(MAX(Tab_Calculs[[#This Row],[Début periode livraison]],Tab_Calculs[[#This Row],[Début mois]])-Tab_Calculs[[#This Row],[Début mois]])</f>
        <v>#VALUE!</v>
      </c>
      <c r="L490" s="94">
        <f ca="1">INDEX(INDIRECT(CONCATENATE("Tab_",Tab_Calculs[[#This Row],[Colonne1]])),Tab_Calculs[[#This Row],[index_date_livraison]],6)*(1+MIN(Tab_Calculs[[#This Row],[Date_livraison]],Tab_Calculs[[#This Row],[fin mois]])-MAX(Tab_Calculs[[#This Row],[Début mois]],Tab_Calculs[[#This Row],[Début periode livraison]]))</f>
        <v>0</v>
      </c>
      <c r="M490" s="94" t="e">
        <f ca="1">INDEX(INDIRECT(CONCATENATE("Tab_",Tab_Calculs[[#This Row],[Colonne1]])),Tab_Calculs[[#This Row],[index_date_livraison]]+1,6)*(Tab_Calculs[[#This Row],[fin mois]]-MIN(Tab_Calculs[[#This Row],[fin mois]],Tab_Calculs[[#This Row],[Date_livraison]]))</f>
        <v>#VALUE!</v>
      </c>
      <c r="N490" s="231" t="str">
        <f ca="1">IFERROR(Tab_Calculs[[#This Row],[Ratio_jour_après_livr]]+Tab_Calculs[[#This Row],[Ratio_jour_avant_livr]]+Tab_Calculs[[#This Row],[ratio_avant_debut]],"")</f>
        <v/>
      </c>
      <c r="O490" t="e">
        <f ca="1">INDEX(INDIRECT(CONCATENATE("Tab_",Tab_Calculs[[#This Row],[Colonne1]])),Tab_Calculs[[#This Row],[index_date_livraison]]-1,7)*(MAX(Tab_Calculs[[#This Row],[Début periode livraison]],Tab_Calculs[[#This Row],[Début mois]])-Tab_Calculs[[#This Row],[Début mois]])</f>
        <v>#VALUE!</v>
      </c>
      <c r="P490">
        <f ca="1">INDEX(INDIRECT(CONCATENATE("Tab_",Tab_Calculs[[#This Row],[Colonne1]])),Tab_Calculs[[#This Row],[index_date_livraison]],7)*(1+MIN(Tab_Calculs[[#This Row],[Date_livraison]],Tab_Calculs[[#This Row],[fin mois]])-MAX(Tab_Calculs[[#This Row],[Début mois]],Tab_Calculs[[#This Row],[Début periode livraison]]))</f>
        <v>0</v>
      </c>
      <c r="Q490" t="e">
        <f ca="1">INDEX(INDIRECT(CONCATENATE("Tab_",Tab_Calculs[[#This Row],[Colonne1]])),Tab_Calculs[[#This Row],[index_date_livraison]]+1,7)*(Tab_Calculs[[#This Row],[fin mois]]-MIN(Tab_Calculs[[#This Row],[fin mois]],Tab_Calculs[[#This Row],[Date_livraison]]))</f>
        <v>#VALUE!</v>
      </c>
      <c r="R490" t="e">
        <f ca="1">Tab_Calculs[[#This Row],[Ratio_Cout_après_livr]]+Tab_Calculs[[#This Row],[Ratio_Cout_avant_livr]]+Tab_Calculs[[#This Row],[Ratio_Cout_avant_debut]]</f>
        <v>#VALUE!</v>
      </c>
      <c r="S490" t="str">
        <f ca="1">IFERROR(N490*VLOOKUP(Tab_Calculs[[#This Row],[Colonne1]],Controle_des_données!$B$7:$G$14,6,FALSE),"")</f>
        <v/>
      </c>
      <c r="T490" t="str">
        <f ca="1">IF(Tab_Calculs[[#This Row],[Combustible ]]="Electricité (kWh)",Tab_Calculs[[#This Row],[Conso_mois_kWh]]*2.3,Tab_Calculs[[#This Row],[Conso_mois_kWh]])</f>
        <v/>
      </c>
      <c r="U490" t="str">
        <f ca="1">IFERROR(N490*VLOOKUP(Tab_Calculs[[#This Row],[Colonne1]],Controle_des_données!$B$7:$H$14,7,FALSE),"")</f>
        <v/>
      </c>
      <c r="V490">
        <f ca="1">IFERROR(Tab_Calculs[[#This Row],[Cout_mois]]/Tab_Calculs[[#This Row],[Conso_mois_kWh]],0)</f>
        <v>0</v>
      </c>
      <c r="W490" t="str">
        <f>T(VLOOKUP(Tab_Calculs[[#This Row],[Compteur]],Site!$B$33:$G$40,3,FALSE))</f>
        <v/>
      </c>
      <c r="X490" t="str">
        <f>T(VLOOKUP(Tab_Calculs[[#This Row],[Compteur]],Site!$B$33:$G$40,4,FALSE))</f>
        <v/>
      </c>
      <c r="Y490" t="str">
        <f>T(VLOOKUP(Tab_Calculs[[#This Row],[Compteur]],Site!$B$33:$G$40,5,FALSE))</f>
        <v/>
      </c>
      <c r="Z490" t="str">
        <f>T(VLOOKUP(Tab_Calculs[[#This Row],[Compteur]],Site!$B$33:$G$40,6,FALSE))</f>
        <v/>
      </c>
      <c r="AA490">
        <f>IFERROR(GETPIVOTDATA("DJU(chauffagiste)",BDD_DJU!$P$13,"annee",Tab_Calculs[[#This Row],[ANNEE]],"mois_numero",Tab_Calculs[[#This Row],[MOIS]]),0)</f>
        <v>415.2</v>
      </c>
    </row>
    <row r="491" spans="1:27" x14ac:dyDescent="0.25">
      <c r="A491" s="3">
        <f>DATE(Tab_Calculs[[#This Row],[ANNEE]],Tab_Calculs[[#This Row],[MOIS]],1)</f>
        <v>43160</v>
      </c>
      <c r="B491" s="3">
        <f>EDATE(Tab_Calculs[[#This Row],[Début mois]],1)-1</f>
        <v>43190</v>
      </c>
      <c r="C491">
        <f t="shared" si="15"/>
        <v>3</v>
      </c>
      <c r="D491">
        <f t="shared" si="14"/>
        <v>2018</v>
      </c>
      <c r="E491" t="s">
        <v>82</v>
      </c>
      <c r="F491" t="str">
        <f>SUBSTITUTE(Tab_Calculs[[#This Row],[Compteur]]," ","_")</f>
        <v>Compteur_3</v>
      </c>
      <c r="G491" t="str">
        <f>T(INDEX(Site!$B$33:$G$40, MATCH(Tab_Calculs[[#This Row],[Compteur]], Site!$B$33:$B$40,0),2))</f>
        <v/>
      </c>
      <c r="H491" s="3">
        <f t="array" aca="1" ref="H491" ca="1">MIN(IF(INDIRECT(CONCATENATE(Tab_Calculs[[#This Row],[Colonne1]],"!$B$2:$B$243"))&gt;=Calculs_Consos!$A491,INDIRECT(CONCATENATE(Tab_Calculs[[#This Row],[Colonne1]],"!$B$2:$B$243"))))</f>
        <v>0</v>
      </c>
      <c r="I491" s="3">
        <f ca="1">INDEX(INDIRECT(CONCATENATE("Tab_",Tab_Calculs[[#This Row],[Colonne1]])),Tab_Calculs[[#This Row],[index_date_livraison]],1)</f>
        <v>0</v>
      </c>
      <c r="J491">
        <f ca="1">MATCH(Tab_Calculs[[#This Row],[Date_livraison]],INDIRECT(CONCATENATE("Tab_",Tab_Calculs[[#This Row],[Colonne1]],"[Fin de période]")),0)</f>
        <v>1</v>
      </c>
      <c r="K491" t="e">
        <f ca="1">INDEX(INDIRECT(CONCATENATE("Tab_",Tab_Calculs[[#This Row],[Colonne1]])),Tab_Calculs[[#This Row],[index_date_livraison]]-1,6)*(MAX(Tab_Calculs[[#This Row],[Début periode livraison]],Tab_Calculs[[#This Row],[Début mois]])-Tab_Calculs[[#This Row],[Début mois]])</f>
        <v>#VALUE!</v>
      </c>
      <c r="L491" s="94">
        <f ca="1">INDEX(INDIRECT(CONCATENATE("Tab_",Tab_Calculs[[#This Row],[Colonne1]])),Tab_Calculs[[#This Row],[index_date_livraison]],6)*(1+MIN(Tab_Calculs[[#This Row],[Date_livraison]],Tab_Calculs[[#This Row],[fin mois]])-MAX(Tab_Calculs[[#This Row],[Début mois]],Tab_Calculs[[#This Row],[Début periode livraison]]))</f>
        <v>0</v>
      </c>
      <c r="M491" s="94" t="e">
        <f ca="1">INDEX(INDIRECT(CONCATENATE("Tab_",Tab_Calculs[[#This Row],[Colonne1]])),Tab_Calculs[[#This Row],[index_date_livraison]]+1,6)*(Tab_Calculs[[#This Row],[fin mois]]-MIN(Tab_Calculs[[#This Row],[fin mois]],Tab_Calculs[[#This Row],[Date_livraison]]))</f>
        <v>#VALUE!</v>
      </c>
      <c r="N491" s="231" t="str">
        <f ca="1">IFERROR(Tab_Calculs[[#This Row],[Ratio_jour_après_livr]]+Tab_Calculs[[#This Row],[Ratio_jour_avant_livr]]+Tab_Calculs[[#This Row],[ratio_avant_debut]],"")</f>
        <v/>
      </c>
      <c r="O491" t="e">
        <f ca="1">INDEX(INDIRECT(CONCATENATE("Tab_",Tab_Calculs[[#This Row],[Colonne1]])),Tab_Calculs[[#This Row],[index_date_livraison]]-1,7)*(MAX(Tab_Calculs[[#This Row],[Début periode livraison]],Tab_Calculs[[#This Row],[Début mois]])-Tab_Calculs[[#This Row],[Début mois]])</f>
        <v>#VALUE!</v>
      </c>
      <c r="P491">
        <f ca="1">INDEX(INDIRECT(CONCATENATE("Tab_",Tab_Calculs[[#This Row],[Colonne1]])),Tab_Calculs[[#This Row],[index_date_livraison]],7)*(1+MIN(Tab_Calculs[[#This Row],[Date_livraison]],Tab_Calculs[[#This Row],[fin mois]])-MAX(Tab_Calculs[[#This Row],[Début mois]],Tab_Calculs[[#This Row],[Début periode livraison]]))</f>
        <v>0</v>
      </c>
      <c r="Q491" t="e">
        <f ca="1">INDEX(INDIRECT(CONCATENATE("Tab_",Tab_Calculs[[#This Row],[Colonne1]])),Tab_Calculs[[#This Row],[index_date_livraison]]+1,7)*(Tab_Calculs[[#This Row],[fin mois]]-MIN(Tab_Calculs[[#This Row],[fin mois]],Tab_Calculs[[#This Row],[Date_livraison]]))</f>
        <v>#VALUE!</v>
      </c>
      <c r="R491" t="e">
        <f ca="1">Tab_Calculs[[#This Row],[Ratio_Cout_après_livr]]+Tab_Calculs[[#This Row],[Ratio_Cout_avant_livr]]+Tab_Calculs[[#This Row],[Ratio_Cout_avant_debut]]</f>
        <v>#VALUE!</v>
      </c>
      <c r="S491" t="str">
        <f ca="1">IFERROR(N491*VLOOKUP(Tab_Calculs[[#This Row],[Colonne1]],Controle_des_données!$B$7:$G$14,6,FALSE),"")</f>
        <v/>
      </c>
      <c r="T491" t="str">
        <f ca="1">IF(Tab_Calculs[[#This Row],[Combustible ]]="Electricité (kWh)",Tab_Calculs[[#This Row],[Conso_mois_kWh]]*2.3,Tab_Calculs[[#This Row],[Conso_mois_kWh]])</f>
        <v/>
      </c>
      <c r="U491" t="str">
        <f ca="1">IFERROR(N491*VLOOKUP(Tab_Calculs[[#This Row],[Colonne1]],Controle_des_données!$B$7:$H$14,7,FALSE),"")</f>
        <v/>
      </c>
      <c r="V491">
        <f ca="1">IFERROR(Tab_Calculs[[#This Row],[Cout_mois]]/Tab_Calculs[[#This Row],[Conso_mois_kWh]],0)</f>
        <v>0</v>
      </c>
      <c r="W491" t="str">
        <f>T(VLOOKUP(Tab_Calculs[[#This Row],[Compteur]],Site!$B$33:$G$40,3,FALSE))</f>
        <v/>
      </c>
      <c r="X491" t="str">
        <f>T(VLOOKUP(Tab_Calculs[[#This Row],[Compteur]],Site!$B$33:$G$40,4,FALSE))</f>
        <v/>
      </c>
      <c r="Y491" t="str">
        <f>T(VLOOKUP(Tab_Calculs[[#This Row],[Compteur]],Site!$B$33:$G$40,5,FALSE))</f>
        <v/>
      </c>
      <c r="Z491" t="str">
        <f>T(VLOOKUP(Tab_Calculs[[#This Row],[Compteur]],Site!$B$33:$G$40,6,FALSE))</f>
        <v/>
      </c>
      <c r="AA491">
        <f>IFERROR(GETPIVOTDATA("DJU(chauffagiste)",BDD_DJU!$P$13,"annee",Tab_Calculs[[#This Row],[ANNEE]],"mois_numero",Tab_Calculs[[#This Row],[MOIS]]),0)</f>
        <v>305.39999999999998</v>
      </c>
    </row>
    <row r="492" spans="1:27" x14ac:dyDescent="0.25">
      <c r="A492" s="3">
        <f>DATE(Tab_Calculs[[#This Row],[ANNEE]],Tab_Calculs[[#This Row],[MOIS]],1)</f>
        <v>43191</v>
      </c>
      <c r="B492" s="3">
        <f>EDATE(Tab_Calculs[[#This Row],[Début mois]],1)-1</f>
        <v>43220</v>
      </c>
      <c r="C492">
        <f t="shared" si="15"/>
        <v>4</v>
      </c>
      <c r="D492">
        <f t="shared" si="14"/>
        <v>2018</v>
      </c>
      <c r="E492" t="s">
        <v>82</v>
      </c>
      <c r="F492" t="str">
        <f>SUBSTITUTE(Tab_Calculs[[#This Row],[Compteur]]," ","_")</f>
        <v>Compteur_3</v>
      </c>
      <c r="G492" t="str">
        <f>T(INDEX(Site!$B$33:$G$40, MATCH(Tab_Calculs[[#This Row],[Compteur]], Site!$B$33:$B$40,0),2))</f>
        <v/>
      </c>
      <c r="H492" s="3">
        <f t="array" aca="1" ref="H492" ca="1">MIN(IF(INDIRECT(CONCATENATE(Tab_Calculs[[#This Row],[Colonne1]],"!$B$2:$B$243"))&gt;=Calculs_Consos!$A492,INDIRECT(CONCATENATE(Tab_Calculs[[#This Row],[Colonne1]],"!$B$2:$B$243"))))</f>
        <v>0</v>
      </c>
      <c r="I492" s="3">
        <f ca="1">INDEX(INDIRECT(CONCATENATE("Tab_",Tab_Calculs[[#This Row],[Colonne1]])),Tab_Calculs[[#This Row],[index_date_livraison]],1)</f>
        <v>0</v>
      </c>
      <c r="J492">
        <f ca="1">MATCH(Tab_Calculs[[#This Row],[Date_livraison]],INDIRECT(CONCATENATE("Tab_",Tab_Calculs[[#This Row],[Colonne1]],"[Fin de période]")),0)</f>
        <v>1</v>
      </c>
      <c r="K492" t="e">
        <f ca="1">INDEX(INDIRECT(CONCATENATE("Tab_",Tab_Calculs[[#This Row],[Colonne1]])),Tab_Calculs[[#This Row],[index_date_livraison]]-1,6)*(MAX(Tab_Calculs[[#This Row],[Début periode livraison]],Tab_Calculs[[#This Row],[Début mois]])-Tab_Calculs[[#This Row],[Début mois]])</f>
        <v>#VALUE!</v>
      </c>
      <c r="L492" s="94">
        <f ca="1">INDEX(INDIRECT(CONCATENATE("Tab_",Tab_Calculs[[#This Row],[Colonne1]])),Tab_Calculs[[#This Row],[index_date_livraison]],6)*(1+MIN(Tab_Calculs[[#This Row],[Date_livraison]],Tab_Calculs[[#This Row],[fin mois]])-MAX(Tab_Calculs[[#This Row],[Début mois]],Tab_Calculs[[#This Row],[Début periode livraison]]))</f>
        <v>0</v>
      </c>
      <c r="M492" s="94" t="e">
        <f ca="1">INDEX(INDIRECT(CONCATENATE("Tab_",Tab_Calculs[[#This Row],[Colonne1]])),Tab_Calculs[[#This Row],[index_date_livraison]]+1,6)*(Tab_Calculs[[#This Row],[fin mois]]-MIN(Tab_Calculs[[#This Row],[fin mois]],Tab_Calculs[[#This Row],[Date_livraison]]))</f>
        <v>#VALUE!</v>
      </c>
      <c r="N492" s="231" t="str">
        <f ca="1">IFERROR(Tab_Calculs[[#This Row],[Ratio_jour_après_livr]]+Tab_Calculs[[#This Row],[Ratio_jour_avant_livr]]+Tab_Calculs[[#This Row],[ratio_avant_debut]],"")</f>
        <v/>
      </c>
      <c r="O492" t="e">
        <f ca="1">INDEX(INDIRECT(CONCATENATE("Tab_",Tab_Calculs[[#This Row],[Colonne1]])),Tab_Calculs[[#This Row],[index_date_livraison]]-1,7)*(MAX(Tab_Calculs[[#This Row],[Début periode livraison]],Tab_Calculs[[#This Row],[Début mois]])-Tab_Calculs[[#This Row],[Début mois]])</f>
        <v>#VALUE!</v>
      </c>
      <c r="P492">
        <f ca="1">INDEX(INDIRECT(CONCATENATE("Tab_",Tab_Calculs[[#This Row],[Colonne1]])),Tab_Calculs[[#This Row],[index_date_livraison]],7)*(1+MIN(Tab_Calculs[[#This Row],[Date_livraison]],Tab_Calculs[[#This Row],[fin mois]])-MAX(Tab_Calculs[[#This Row],[Début mois]],Tab_Calculs[[#This Row],[Début periode livraison]]))</f>
        <v>0</v>
      </c>
      <c r="Q492" t="e">
        <f ca="1">INDEX(INDIRECT(CONCATENATE("Tab_",Tab_Calculs[[#This Row],[Colonne1]])),Tab_Calculs[[#This Row],[index_date_livraison]]+1,7)*(Tab_Calculs[[#This Row],[fin mois]]-MIN(Tab_Calculs[[#This Row],[fin mois]],Tab_Calculs[[#This Row],[Date_livraison]]))</f>
        <v>#VALUE!</v>
      </c>
      <c r="R492" t="e">
        <f ca="1">Tab_Calculs[[#This Row],[Ratio_Cout_après_livr]]+Tab_Calculs[[#This Row],[Ratio_Cout_avant_livr]]+Tab_Calculs[[#This Row],[Ratio_Cout_avant_debut]]</f>
        <v>#VALUE!</v>
      </c>
      <c r="S492" t="str">
        <f ca="1">IFERROR(N492*VLOOKUP(Tab_Calculs[[#This Row],[Colonne1]],Controle_des_données!$B$7:$G$14,6,FALSE),"")</f>
        <v/>
      </c>
      <c r="T492" t="str">
        <f ca="1">IF(Tab_Calculs[[#This Row],[Combustible ]]="Electricité (kWh)",Tab_Calculs[[#This Row],[Conso_mois_kWh]]*2.3,Tab_Calculs[[#This Row],[Conso_mois_kWh]])</f>
        <v/>
      </c>
      <c r="U492" t="str">
        <f ca="1">IFERROR(N492*VLOOKUP(Tab_Calculs[[#This Row],[Colonne1]],Controle_des_données!$B$7:$H$14,7,FALSE),"")</f>
        <v/>
      </c>
      <c r="V492">
        <f ca="1">IFERROR(Tab_Calculs[[#This Row],[Cout_mois]]/Tab_Calculs[[#This Row],[Conso_mois_kWh]],0)</f>
        <v>0</v>
      </c>
      <c r="W492" t="str">
        <f>T(VLOOKUP(Tab_Calculs[[#This Row],[Compteur]],Site!$B$33:$G$40,3,FALSE))</f>
        <v/>
      </c>
      <c r="X492" t="str">
        <f>T(VLOOKUP(Tab_Calculs[[#This Row],[Compteur]],Site!$B$33:$G$40,4,FALSE))</f>
        <v/>
      </c>
      <c r="Y492" t="str">
        <f>T(VLOOKUP(Tab_Calculs[[#This Row],[Compteur]],Site!$B$33:$G$40,5,FALSE))</f>
        <v/>
      </c>
      <c r="Z492" t="str">
        <f>T(VLOOKUP(Tab_Calculs[[#This Row],[Compteur]],Site!$B$33:$G$40,6,FALSE))</f>
        <v/>
      </c>
      <c r="AA492">
        <f>IFERROR(GETPIVOTDATA("DJU(chauffagiste)",BDD_DJU!$P$13,"annee",Tab_Calculs[[#This Row],[ANNEE]],"mois_numero",Tab_Calculs[[#This Row],[MOIS]]),0)</f>
        <v>152.19999999999999</v>
      </c>
    </row>
    <row r="493" spans="1:27" x14ac:dyDescent="0.25">
      <c r="A493" s="3">
        <f>DATE(Tab_Calculs[[#This Row],[ANNEE]],Tab_Calculs[[#This Row],[MOIS]],1)</f>
        <v>43221</v>
      </c>
      <c r="B493" s="3">
        <f>EDATE(Tab_Calculs[[#This Row],[Début mois]],1)-1</f>
        <v>43251</v>
      </c>
      <c r="C493">
        <f t="shared" si="15"/>
        <v>5</v>
      </c>
      <c r="D493">
        <f t="shared" si="14"/>
        <v>2018</v>
      </c>
      <c r="E493" t="s">
        <v>82</v>
      </c>
      <c r="F493" t="str">
        <f>SUBSTITUTE(Tab_Calculs[[#This Row],[Compteur]]," ","_")</f>
        <v>Compteur_3</v>
      </c>
      <c r="G493" t="str">
        <f>T(INDEX(Site!$B$33:$G$40, MATCH(Tab_Calculs[[#This Row],[Compteur]], Site!$B$33:$B$40,0),2))</f>
        <v/>
      </c>
      <c r="H493" s="3">
        <f t="array" aca="1" ref="H493" ca="1">MIN(IF(INDIRECT(CONCATENATE(Tab_Calculs[[#This Row],[Colonne1]],"!$B$2:$B$243"))&gt;=Calculs_Consos!$A493,INDIRECT(CONCATENATE(Tab_Calculs[[#This Row],[Colonne1]],"!$B$2:$B$243"))))</f>
        <v>0</v>
      </c>
      <c r="I493" s="3">
        <f ca="1">INDEX(INDIRECT(CONCATENATE("Tab_",Tab_Calculs[[#This Row],[Colonne1]])),Tab_Calculs[[#This Row],[index_date_livraison]],1)</f>
        <v>0</v>
      </c>
      <c r="J493">
        <f ca="1">MATCH(Tab_Calculs[[#This Row],[Date_livraison]],INDIRECT(CONCATENATE("Tab_",Tab_Calculs[[#This Row],[Colonne1]],"[Fin de période]")),0)</f>
        <v>1</v>
      </c>
      <c r="K493" t="e">
        <f ca="1">INDEX(INDIRECT(CONCATENATE("Tab_",Tab_Calculs[[#This Row],[Colonne1]])),Tab_Calculs[[#This Row],[index_date_livraison]]-1,6)*(MAX(Tab_Calculs[[#This Row],[Début periode livraison]],Tab_Calculs[[#This Row],[Début mois]])-Tab_Calculs[[#This Row],[Début mois]])</f>
        <v>#VALUE!</v>
      </c>
      <c r="L493" s="94">
        <f ca="1">INDEX(INDIRECT(CONCATENATE("Tab_",Tab_Calculs[[#This Row],[Colonne1]])),Tab_Calculs[[#This Row],[index_date_livraison]],6)*(1+MIN(Tab_Calculs[[#This Row],[Date_livraison]],Tab_Calculs[[#This Row],[fin mois]])-MAX(Tab_Calculs[[#This Row],[Début mois]],Tab_Calculs[[#This Row],[Début periode livraison]]))</f>
        <v>0</v>
      </c>
      <c r="M493" s="94" t="e">
        <f ca="1">INDEX(INDIRECT(CONCATENATE("Tab_",Tab_Calculs[[#This Row],[Colonne1]])),Tab_Calculs[[#This Row],[index_date_livraison]]+1,6)*(Tab_Calculs[[#This Row],[fin mois]]-MIN(Tab_Calculs[[#This Row],[fin mois]],Tab_Calculs[[#This Row],[Date_livraison]]))</f>
        <v>#VALUE!</v>
      </c>
      <c r="N493" s="231" t="str">
        <f ca="1">IFERROR(Tab_Calculs[[#This Row],[Ratio_jour_après_livr]]+Tab_Calculs[[#This Row],[Ratio_jour_avant_livr]]+Tab_Calculs[[#This Row],[ratio_avant_debut]],"")</f>
        <v/>
      </c>
      <c r="O493" t="e">
        <f ca="1">INDEX(INDIRECT(CONCATENATE("Tab_",Tab_Calculs[[#This Row],[Colonne1]])),Tab_Calculs[[#This Row],[index_date_livraison]]-1,7)*(MAX(Tab_Calculs[[#This Row],[Début periode livraison]],Tab_Calculs[[#This Row],[Début mois]])-Tab_Calculs[[#This Row],[Début mois]])</f>
        <v>#VALUE!</v>
      </c>
      <c r="P493">
        <f ca="1">INDEX(INDIRECT(CONCATENATE("Tab_",Tab_Calculs[[#This Row],[Colonne1]])),Tab_Calculs[[#This Row],[index_date_livraison]],7)*(1+MIN(Tab_Calculs[[#This Row],[Date_livraison]],Tab_Calculs[[#This Row],[fin mois]])-MAX(Tab_Calculs[[#This Row],[Début mois]],Tab_Calculs[[#This Row],[Début periode livraison]]))</f>
        <v>0</v>
      </c>
      <c r="Q493" t="e">
        <f ca="1">INDEX(INDIRECT(CONCATENATE("Tab_",Tab_Calculs[[#This Row],[Colonne1]])),Tab_Calculs[[#This Row],[index_date_livraison]]+1,7)*(Tab_Calculs[[#This Row],[fin mois]]-MIN(Tab_Calculs[[#This Row],[fin mois]],Tab_Calculs[[#This Row],[Date_livraison]]))</f>
        <v>#VALUE!</v>
      </c>
      <c r="R493" t="e">
        <f ca="1">Tab_Calculs[[#This Row],[Ratio_Cout_après_livr]]+Tab_Calculs[[#This Row],[Ratio_Cout_avant_livr]]+Tab_Calculs[[#This Row],[Ratio_Cout_avant_debut]]</f>
        <v>#VALUE!</v>
      </c>
      <c r="S493" t="str">
        <f ca="1">IFERROR(N493*VLOOKUP(Tab_Calculs[[#This Row],[Colonne1]],Controle_des_données!$B$7:$G$14,6,FALSE),"")</f>
        <v/>
      </c>
      <c r="T493" t="str">
        <f ca="1">IF(Tab_Calculs[[#This Row],[Combustible ]]="Electricité (kWh)",Tab_Calculs[[#This Row],[Conso_mois_kWh]]*2.3,Tab_Calculs[[#This Row],[Conso_mois_kWh]])</f>
        <v/>
      </c>
      <c r="U493" t="str">
        <f ca="1">IFERROR(N493*VLOOKUP(Tab_Calculs[[#This Row],[Colonne1]],Controle_des_données!$B$7:$H$14,7,FALSE),"")</f>
        <v/>
      </c>
      <c r="V493">
        <f ca="1">IFERROR(Tab_Calculs[[#This Row],[Cout_mois]]/Tab_Calculs[[#This Row],[Conso_mois_kWh]],0)</f>
        <v>0</v>
      </c>
      <c r="W493" t="str">
        <f>T(VLOOKUP(Tab_Calculs[[#This Row],[Compteur]],Site!$B$33:$G$40,3,FALSE))</f>
        <v/>
      </c>
      <c r="X493" t="str">
        <f>T(VLOOKUP(Tab_Calculs[[#This Row],[Compteur]],Site!$B$33:$G$40,4,FALSE))</f>
        <v/>
      </c>
      <c r="Y493" t="str">
        <f>T(VLOOKUP(Tab_Calculs[[#This Row],[Compteur]],Site!$B$33:$G$40,5,FALSE))</f>
        <v/>
      </c>
      <c r="Z493" t="str">
        <f>T(VLOOKUP(Tab_Calculs[[#This Row],[Compteur]],Site!$B$33:$G$40,6,FALSE))</f>
        <v/>
      </c>
      <c r="AA493">
        <f>IFERROR(GETPIVOTDATA("DJU(chauffagiste)",BDD_DJU!$P$13,"annee",Tab_Calculs[[#This Row],[ANNEE]],"mois_numero",Tab_Calculs[[#This Row],[MOIS]]),0)</f>
        <v>95.8</v>
      </c>
    </row>
    <row r="494" spans="1:27" x14ac:dyDescent="0.25">
      <c r="A494" s="3">
        <f>DATE(Tab_Calculs[[#This Row],[ANNEE]],Tab_Calculs[[#This Row],[MOIS]],1)</f>
        <v>43252</v>
      </c>
      <c r="B494" s="3">
        <f>EDATE(Tab_Calculs[[#This Row],[Début mois]],1)-1</f>
        <v>43281</v>
      </c>
      <c r="C494">
        <f t="shared" si="15"/>
        <v>6</v>
      </c>
      <c r="D494">
        <f t="shared" si="14"/>
        <v>2018</v>
      </c>
      <c r="E494" t="s">
        <v>82</v>
      </c>
      <c r="F494" t="str">
        <f>SUBSTITUTE(Tab_Calculs[[#This Row],[Compteur]]," ","_")</f>
        <v>Compteur_3</v>
      </c>
      <c r="G494" t="str">
        <f>T(INDEX(Site!$B$33:$G$40, MATCH(Tab_Calculs[[#This Row],[Compteur]], Site!$B$33:$B$40,0),2))</f>
        <v/>
      </c>
      <c r="H494" s="3">
        <f t="array" aca="1" ref="H494" ca="1">MIN(IF(INDIRECT(CONCATENATE(Tab_Calculs[[#This Row],[Colonne1]],"!$B$2:$B$243"))&gt;=Calculs_Consos!$A494,INDIRECT(CONCATENATE(Tab_Calculs[[#This Row],[Colonne1]],"!$B$2:$B$243"))))</f>
        <v>0</v>
      </c>
      <c r="I494" s="3">
        <f ca="1">INDEX(INDIRECT(CONCATENATE("Tab_",Tab_Calculs[[#This Row],[Colonne1]])),Tab_Calculs[[#This Row],[index_date_livraison]],1)</f>
        <v>0</v>
      </c>
      <c r="J494">
        <f ca="1">MATCH(Tab_Calculs[[#This Row],[Date_livraison]],INDIRECT(CONCATENATE("Tab_",Tab_Calculs[[#This Row],[Colonne1]],"[Fin de période]")),0)</f>
        <v>1</v>
      </c>
      <c r="K494" t="e">
        <f ca="1">INDEX(INDIRECT(CONCATENATE("Tab_",Tab_Calculs[[#This Row],[Colonne1]])),Tab_Calculs[[#This Row],[index_date_livraison]]-1,6)*(MAX(Tab_Calculs[[#This Row],[Début periode livraison]],Tab_Calculs[[#This Row],[Début mois]])-Tab_Calculs[[#This Row],[Début mois]])</f>
        <v>#VALUE!</v>
      </c>
      <c r="L494" s="94">
        <f ca="1">INDEX(INDIRECT(CONCATENATE("Tab_",Tab_Calculs[[#This Row],[Colonne1]])),Tab_Calculs[[#This Row],[index_date_livraison]],6)*(1+MIN(Tab_Calculs[[#This Row],[Date_livraison]],Tab_Calculs[[#This Row],[fin mois]])-MAX(Tab_Calculs[[#This Row],[Début mois]],Tab_Calculs[[#This Row],[Début periode livraison]]))</f>
        <v>0</v>
      </c>
      <c r="M494" s="94" t="e">
        <f ca="1">INDEX(INDIRECT(CONCATENATE("Tab_",Tab_Calculs[[#This Row],[Colonne1]])),Tab_Calculs[[#This Row],[index_date_livraison]]+1,6)*(Tab_Calculs[[#This Row],[fin mois]]-MIN(Tab_Calculs[[#This Row],[fin mois]],Tab_Calculs[[#This Row],[Date_livraison]]))</f>
        <v>#VALUE!</v>
      </c>
      <c r="N494" s="231" t="str">
        <f ca="1">IFERROR(Tab_Calculs[[#This Row],[Ratio_jour_après_livr]]+Tab_Calculs[[#This Row],[Ratio_jour_avant_livr]]+Tab_Calculs[[#This Row],[ratio_avant_debut]],"")</f>
        <v/>
      </c>
      <c r="O494" t="e">
        <f ca="1">INDEX(INDIRECT(CONCATENATE("Tab_",Tab_Calculs[[#This Row],[Colonne1]])),Tab_Calculs[[#This Row],[index_date_livraison]]-1,7)*(MAX(Tab_Calculs[[#This Row],[Début periode livraison]],Tab_Calculs[[#This Row],[Début mois]])-Tab_Calculs[[#This Row],[Début mois]])</f>
        <v>#VALUE!</v>
      </c>
      <c r="P494">
        <f ca="1">INDEX(INDIRECT(CONCATENATE("Tab_",Tab_Calculs[[#This Row],[Colonne1]])),Tab_Calculs[[#This Row],[index_date_livraison]],7)*(1+MIN(Tab_Calculs[[#This Row],[Date_livraison]],Tab_Calculs[[#This Row],[fin mois]])-MAX(Tab_Calculs[[#This Row],[Début mois]],Tab_Calculs[[#This Row],[Début periode livraison]]))</f>
        <v>0</v>
      </c>
      <c r="Q494" t="e">
        <f ca="1">INDEX(INDIRECT(CONCATENATE("Tab_",Tab_Calculs[[#This Row],[Colonne1]])),Tab_Calculs[[#This Row],[index_date_livraison]]+1,7)*(Tab_Calculs[[#This Row],[fin mois]]-MIN(Tab_Calculs[[#This Row],[fin mois]],Tab_Calculs[[#This Row],[Date_livraison]]))</f>
        <v>#VALUE!</v>
      </c>
      <c r="R494" t="e">
        <f ca="1">Tab_Calculs[[#This Row],[Ratio_Cout_après_livr]]+Tab_Calculs[[#This Row],[Ratio_Cout_avant_livr]]+Tab_Calculs[[#This Row],[Ratio_Cout_avant_debut]]</f>
        <v>#VALUE!</v>
      </c>
      <c r="S494" t="str">
        <f ca="1">IFERROR(N494*VLOOKUP(Tab_Calculs[[#This Row],[Colonne1]],Controle_des_données!$B$7:$G$14,6,FALSE),"")</f>
        <v/>
      </c>
      <c r="T494" t="str">
        <f ca="1">IF(Tab_Calculs[[#This Row],[Combustible ]]="Electricité (kWh)",Tab_Calculs[[#This Row],[Conso_mois_kWh]]*2.3,Tab_Calculs[[#This Row],[Conso_mois_kWh]])</f>
        <v/>
      </c>
      <c r="U494" t="str">
        <f ca="1">IFERROR(N494*VLOOKUP(Tab_Calculs[[#This Row],[Colonne1]],Controle_des_données!$B$7:$H$14,7,FALSE),"")</f>
        <v/>
      </c>
      <c r="V494">
        <f ca="1">IFERROR(Tab_Calculs[[#This Row],[Cout_mois]]/Tab_Calculs[[#This Row],[Conso_mois_kWh]],0)</f>
        <v>0</v>
      </c>
      <c r="W494" t="str">
        <f>T(VLOOKUP(Tab_Calculs[[#This Row],[Compteur]],Site!$B$33:$G$40,3,FALSE))</f>
        <v/>
      </c>
      <c r="X494" t="str">
        <f>T(VLOOKUP(Tab_Calculs[[#This Row],[Compteur]],Site!$B$33:$G$40,4,FALSE))</f>
        <v/>
      </c>
      <c r="Y494" t="str">
        <f>T(VLOOKUP(Tab_Calculs[[#This Row],[Compteur]],Site!$B$33:$G$40,5,FALSE))</f>
        <v/>
      </c>
      <c r="Z494" t="str">
        <f>T(VLOOKUP(Tab_Calculs[[#This Row],[Compteur]],Site!$B$33:$G$40,6,FALSE))</f>
        <v/>
      </c>
      <c r="AA494">
        <f>IFERROR(GETPIVOTDATA("DJU(chauffagiste)",BDD_DJU!$P$13,"annee",Tab_Calculs[[#This Row],[ANNEE]],"mois_numero",Tab_Calculs[[#This Row],[MOIS]]),0)</f>
        <v>25.4</v>
      </c>
    </row>
    <row r="495" spans="1:27" x14ac:dyDescent="0.25">
      <c r="A495" s="3">
        <f>DATE(Tab_Calculs[[#This Row],[ANNEE]],Tab_Calculs[[#This Row],[MOIS]],1)</f>
        <v>43282</v>
      </c>
      <c r="B495" s="3">
        <f>EDATE(Tab_Calculs[[#This Row],[Début mois]],1)-1</f>
        <v>43312</v>
      </c>
      <c r="C495">
        <f t="shared" si="15"/>
        <v>7</v>
      </c>
      <c r="D495">
        <f t="shared" si="14"/>
        <v>2018</v>
      </c>
      <c r="E495" t="s">
        <v>82</v>
      </c>
      <c r="F495" t="str">
        <f>SUBSTITUTE(Tab_Calculs[[#This Row],[Compteur]]," ","_")</f>
        <v>Compteur_3</v>
      </c>
      <c r="G495" t="str">
        <f>T(INDEX(Site!$B$33:$G$40, MATCH(Tab_Calculs[[#This Row],[Compteur]], Site!$B$33:$B$40,0),2))</f>
        <v/>
      </c>
      <c r="H495" s="3">
        <f t="array" aca="1" ref="H495" ca="1">MIN(IF(INDIRECT(CONCATENATE(Tab_Calculs[[#This Row],[Colonne1]],"!$B$2:$B$243"))&gt;=Calculs_Consos!$A495,INDIRECT(CONCATENATE(Tab_Calculs[[#This Row],[Colonne1]],"!$B$2:$B$243"))))</f>
        <v>0</v>
      </c>
      <c r="I495" s="3">
        <f ca="1">INDEX(INDIRECT(CONCATENATE("Tab_",Tab_Calculs[[#This Row],[Colonne1]])),Tab_Calculs[[#This Row],[index_date_livraison]],1)</f>
        <v>0</v>
      </c>
      <c r="J495">
        <f ca="1">MATCH(Tab_Calculs[[#This Row],[Date_livraison]],INDIRECT(CONCATENATE("Tab_",Tab_Calculs[[#This Row],[Colonne1]],"[Fin de période]")),0)</f>
        <v>1</v>
      </c>
      <c r="K495" t="e">
        <f ca="1">INDEX(INDIRECT(CONCATENATE("Tab_",Tab_Calculs[[#This Row],[Colonne1]])),Tab_Calculs[[#This Row],[index_date_livraison]]-1,6)*(MAX(Tab_Calculs[[#This Row],[Début periode livraison]],Tab_Calculs[[#This Row],[Début mois]])-Tab_Calculs[[#This Row],[Début mois]])</f>
        <v>#VALUE!</v>
      </c>
      <c r="L495" s="94">
        <f ca="1">INDEX(INDIRECT(CONCATENATE("Tab_",Tab_Calculs[[#This Row],[Colonne1]])),Tab_Calculs[[#This Row],[index_date_livraison]],6)*(1+MIN(Tab_Calculs[[#This Row],[Date_livraison]],Tab_Calculs[[#This Row],[fin mois]])-MAX(Tab_Calculs[[#This Row],[Début mois]],Tab_Calculs[[#This Row],[Début periode livraison]]))</f>
        <v>0</v>
      </c>
      <c r="M495" s="94" t="e">
        <f ca="1">INDEX(INDIRECT(CONCATENATE("Tab_",Tab_Calculs[[#This Row],[Colonne1]])),Tab_Calculs[[#This Row],[index_date_livraison]]+1,6)*(Tab_Calculs[[#This Row],[fin mois]]-MIN(Tab_Calculs[[#This Row],[fin mois]],Tab_Calculs[[#This Row],[Date_livraison]]))</f>
        <v>#VALUE!</v>
      </c>
      <c r="N495" s="231" t="str">
        <f ca="1">IFERROR(Tab_Calculs[[#This Row],[Ratio_jour_après_livr]]+Tab_Calculs[[#This Row],[Ratio_jour_avant_livr]]+Tab_Calculs[[#This Row],[ratio_avant_debut]],"")</f>
        <v/>
      </c>
      <c r="O495" t="e">
        <f ca="1">INDEX(INDIRECT(CONCATENATE("Tab_",Tab_Calculs[[#This Row],[Colonne1]])),Tab_Calculs[[#This Row],[index_date_livraison]]-1,7)*(MAX(Tab_Calculs[[#This Row],[Début periode livraison]],Tab_Calculs[[#This Row],[Début mois]])-Tab_Calculs[[#This Row],[Début mois]])</f>
        <v>#VALUE!</v>
      </c>
      <c r="P495">
        <f ca="1">INDEX(INDIRECT(CONCATENATE("Tab_",Tab_Calculs[[#This Row],[Colonne1]])),Tab_Calculs[[#This Row],[index_date_livraison]],7)*(1+MIN(Tab_Calculs[[#This Row],[Date_livraison]],Tab_Calculs[[#This Row],[fin mois]])-MAX(Tab_Calculs[[#This Row],[Début mois]],Tab_Calculs[[#This Row],[Début periode livraison]]))</f>
        <v>0</v>
      </c>
      <c r="Q495" t="e">
        <f ca="1">INDEX(INDIRECT(CONCATENATE("Tab_",Tab_Calculs[[#This Row],[Colonne1]])),Tab_Calculs[[#This Row],[index_date_livraison]]+1,7)*(Tab_Calculs[[#This Row],[fin mois]]-MIN(Tab_Calculs[[#This Row],[fin mois]],Tab_Calculs[[#This Row],[Date_livraison]]))</f>
        <v>#VALUE!</v>
      </c>
      <c r="R495" t="e">
        <f ca="1">Tab_Calculs[[#This Row],[Ratio_Cout_après_livr]]+Tab_Calculs[[#This Row],[Ratio_Cout_avant_livr]]+Tab_Calculs[[#This Row],[Ratio_Cout_avant_debut]]</f>
        <v>#VALUE!</v>
      </c>
      <c r="S495" t="str">
        <f ca="1">IFERROR(N495*VLOOKUP(Tab_Calculs[[#This Row],[Colonne1]],Controle_des_données!$B$7:$G$14,6,FALSE),"")</f>
        <v/>
      </c>
      <c r="T495" t="str">
        <f ca="1">IF(Tab_Calculs[[#This Row],[Combustible ]]="Electricité (kWh)",Tab_Calculs[[#This Row],[Conso_mois_kWh]]*2.3,Tab_Calculs[[#This Row],[Conso_mois_kWh]])</f>
        <v/>
      </c>
      <c r="U495" t="str">
        <f ca="1">IFERROR(N495*VLOOKUP(Tab_Calculs[[#This Row],[Colonne1]],Controle_des_données!$B$7:$H$14,7,FALSE),"")</f>
        <v/>
      </c>
      <c r="V495">
        <f ca="1">IFERROR(Tab_Calculs[[#This Row],[Cout_mois]]/Tab_Calculs[[#This Row],[Conso_mois_kWh]],0)</f>
        <v>0</v>
      </c>
      <c r="W495" t="str">
        <f>T(VLOOKUP(Tab_Calculs[[#This Row],[Compteur]],Site!$B$33:$G$40,3,FALSE))</f>
        <v/>
      </c>
      <c r="X495" t="str">
        <f>T(VLOOKUP(Tab_Calculs[[#This Row],[Compteur]],Site!$B$33:$G$40,4,FALSE))</f>
        <v/>
      </c>
      <c r="Y495" t="str">
        <f>T(VLOOKUP(Tab_Calculs[[#This Row],[Compteur]],Site!$B$33:$G$40,5,FALSE))</f>
        <v/>
      </c>
      <c r="Z495" t="str">
        <f>T(VLOOKUP(Tab_Calculs[[#This Row],[Compteur]],Site!$B$33:$G$40,6,FALSE))</f>
        <v/>
      </c>
      <c r="AA495">
        <f>IFERROR(GETPIVOTDATA("DJU(chauffagiste)",BDD_DJU!$P$13,"annee",Tab_Calculs[[#This Row],[ANNEE]],"mois_numero",Tab_Calculs[[#This Row],[MOIS]]),0)</f>
        <v>5.9</v>
      </c>
    </row>
    <row r="496" spans="1:27" x14ac:dyDescent="0.25">
      <c r="A496" s="3">
        <f>DATE(Tab_Calculs[[#This Row],[ANNEE]],Tab_Calculs[[#This Row],[MOIS]],1)</f>
        <v>43313</v>
      </c>
      <c r="B496" s="3">
        <f>EDATE(Tab_Calculs[[#This Row],[Début mois]],1)-1</f>
        <v>43343</v>
      </c>
      <c r="C496">
        <f t="shared" si="15"/>
        <v>8</v>
      </c>
      <c r="D496">
        <f t="shared" si="14"/>
        <v>2018</v>
      </c>
      <c r="E496" t="s">
        <v>82</v>
      </c>
      <c r="F496" t="str">
        <f>SUBSTITUTE(Tab_Calculs[[#This Row],[Compteur]]," ","_")</f>
        <v>Compteur_3</v>
      </c>
      <c r="G496" t="str">
        <f>T(INDEX(Site!$B$33:$G$40, MATCH(Tab_Calculs[[#This Row],[Compteur]], Site!$B$33:$B$40,0),2))</f>
        <v/>
      </c>
      <c r="H496" s="3">
        <f t="array" aca="1" ref="H496" ca="1">MIN(IF(INDIRECT(CONCATENATE(Tab_Calculs[[#This Row],[Colonne1]],"!$B$2:$B$243"))&gt;=Calculs_Consos!$A496,INDIRECT(CONCATENATE(Tab_Calculs[[#This Row],[Colonne1]],"!$B$2:$B$243"))))</f>
        <v>0</v>
      </c>
      <c r="I496" s="3">
        <f ca="1">INDEX(INDIRECT(CONCATENATE("Tab_",Tab_Calculs[[#This Row],[Colonne1]])),Tab_Calculs[[#This Row],[index_date_livraison]],1)</f>
        <v>0</v>
      </c>
      <c r="J496">
        <f ca="1">MATCH(Tab_Calculs[[#This Row],[Date_livraison]],INDIRECT(CONCATENATE("Tab_",Tab_Calculs[[#This Row],[Colonne1]],"[Fin de période]")),0)</f>
        <v>1</v>
      </c>
      <c r="K496" t="e">
        <f ca="1">INDEX(INDIRECT(CONCATENATE("Tab_",Tab_Calculs[[#This Row],[Colonne1]])),Tab_Calculs[[#This Row],[index_date_livraison]]-1,6)*(MAX(Tab_Calculs[[#This Row],[Début periode livraison]],Tab_Calculs[[#This Row],[Début mois]])-Tab_Calculs[[#This Row],[Début mois]])</f>
        <v>#VALUE!</v>
      </c>
      <c r="L496" s="94">
        <f ca="1">INDEX(INDIRECT(CONCATENATE("Tab_",Tab_Calculs[[#This Row],[Colonne1]])),Tab_Calculs[[#This Row],[index_date_livraison]],6)*(1+MIN(Tab_Calculs[[#This Row],[Date_livraison]],Tab_Calculs[[#This Row],[fin mois]])-MAX(Tab_Calculs[[#This Row],[Début mois]],Tab_Calculs[[#This Row],[Début periode livraison]]))</f>
        <v>0</v>
      </c>
      <c r="M496" s="94" t="e">
        <f ca="1">INDEX(INDIRECT(CONCATENATE("Tab_",Tab_Calculs[[#This Row],[Colonne1]])),Tab_Calculs[[#This Row],[index_date_livraison]]+1,6)*(Tab_Calculs[[#This Row],[fin mois]]-MIN(Tab_Calculs[[#This Row],[fin mois]],Tab_Calculs[[#This Row],[Date_livraison]]))</f>
        <v>#VALUE!</v>
      </c>
      <c r="N496" s="231" t="str">
        <f ca="1">IFERROR(Tab_Calculs[[#This Row],[Ratio_jour_après_livr]]+Tab_Calculs[[#This Row],[Ratio_jour_avant_livr]]+Tab_Calculs[[#This Row],[ratio_avant_debut]],"")</f>
        <v/>
      </c>
      <c r="O496" t="e">
        <f ca="1">INDEX(INDIRECT(CONCATENATE("Tab_",Tab_Calculs[[#This Row],[Colonne1]])),Tab_Calculs[[#This Row],[index_date_livraison]]-1,7)*(MAX(Tab_Calculs[[#This Row],[Début periode livraison]],Tab_Calculs[[#This Row],[Début mois]])-Tab_Calculs[[#This Row],[Début mois]])</f>
        <v>#VALUE!</v>
      </c>
      <c r="P496">
        <f ca="1">INDEX(INDIRECT(CONCATENATE("Tab_",Tab_Calculs[[#This Row],[Colonne1]])),Tab_Calculs[[#This Row],[index_date_livraison]],7)*(1+MIN(Tab_Calculs[[#This Row],[Date_livraison]],Tab_Calculs[[#This Row],[fin mois]])-MAX(Tab_Calculs[[#This Row],[Début mois]],Tab_Calculs[[#This Row],[Début periode livraison]]))</f>
        <v>0</v>
      </c>
      <c r="Q496" t="e">
        <f ca="1">INDEX(INDIRECT(CONCATENATE("Tab_",Tab_Calculs[[#This Row],[Colonne1]])),Tab_Calculs[[#This Row],[index_date_livraison]]+1,7)*(Tab_Calculs[[#This Row],[fin mois]]-MIN(Tab_Calculs[[#This Row],[fin mois]],Tab_Calculs[[#This Row],[Date_livraison]]))</f>
        <v>#VALUE!</v>
      </c>
      <c r="R496" t="e">
        <f ca="1">Tab_Calculs[[#This Row],[Ratio_Cout_après_livr]]+Tab_Calculs[[#This Row],[Ratio_Cout_avant_livr]]+Tab_Calculs[[#This Row],[Ratio_Cout_avant_debut]]</f>
        <v>#VALUE!</v>
      </c>
      <c r="S496" t="str">
        <f ca="1">IFERROR(N496*VLOOKUP(Tab_Calculs[[#This Row],[Colonne1]],Controle_des_données!$B$7:$G$14,6,FALSE),"")</f>
        <v/>
      </c>
      <c r="T496" t="str">
        <f ca="1">IF(Tab_Calculs[[#This Row],[Combustible ]]="Electricité (kWh)",Tab_Calculs[[#This Row],[Conso_mois_kWh]]*2.3,Tab_Calculs[[#This Row],[Conso_mois_kWh]])</f>
        <v/>
      </c>
      <c r="U496" t="str">
        <f ca="1">IFERROR(N496*VLOOKUP(Tab_Calculs[[#This Row],[Colonne1]],Controle_des_données!$B$7:$H$14,7,FALSE),"")</f>
        <v/>
      </c>
      <c r="V496">
        <f ca="1">IFERROR(Tab_Calculs[[#This Row],[Cout_mois]]/Tab_Calculs[[#This Row],[Conso_mois_kWh]],0)</f>
        <v>0</v>
      </c>
      <c r="W496" t="str">
        <f>T(VLOOKUP(Tab_Calculs[[#This Row],[Compteur]],Site!$B$33:$G$40,3,FALSE))</f>
        <v/>
      </c>
      <c r="X496" t="str">
        <f>T(VLOOKUP(Tab_Calculs[[#This Row],[Compteur]],Site!$B$33:$G$40,4,FALSE))</f>
        <v/>
      </c>
      <c r="Y496" t="str">
        <f>T(VLOOKUP(Tab_Calculs[[#This Row],[Compteur]],Site!$B$33:$G$40,5,FALSE))</f>
        <v/>
      </c>
      <c r="Z496" t="str">
        <f>T(VLOOKUP(Tab_Calculs[[#This Row],[Compteur]],Site!$B$33:$G$40,6,FALSE))</f>
        <v/>
      </c>
      <c r="AA496">
        <f>IFERROR(GETPIVOTDATA("DJU(chauffagiste)",BDD_DJU!$P$13,"annee",Tab_Calculs[[#This Row],[ANNEE]],"mois_numero",Tab_Calculs[[#This Row],[MOIS]]),0)</f>
        <v>26</v>
      </c>
    </row>
    <row r="497" spans="1:27" x14ac:dyDescent="0.25">
      <c r="A497" s="3">
        <f>DATE(Tab_Calculs[[#This Row],[ANNEE]],Tab_Calculs[[#This Row],[MOIS]],1)</f>
        <v>43344</v>
      </c>
      <c r="B497" s="3">
        <f>EDATE(Tab_Calculs[[#This Row],[Début mois]],1)-1</f>
        <v>43373</v>
      </c>
      <c r="C497">
        <f t="shared" si="15"/>
        <v>9</v>
      </c>
      <c r="D497">
        <f>D485+1</f>
        <v>2018</v>
      </c>
      <c r="E497" t="s">
        <v>82</v>
      </c>
      <c r="F497" t="str">
        <f>SUBSTITUTE(Tab_Calculs[[#This Row],[Compteur]]," ","_")</f>
        <v>Compteur_3</v>
      </c>
      <c r="G497" t="str">
        <f>T(INDEX(Site!$B$33:$G$40, MATCH(Tab_Calculs[[#This Row],[Compteur]], Site!$B$33:$B$40,0),2))</f>
        <v/>
      </c>
      <c r="H497" s="3">
        <f t="array" aca="1" ref="H497" ca="1">MIN(IF(INDIRECT(CONCATENATE(Tab_Calculs[[#This Row],[Colonne1]],"!$B$2:$B$243"))&gt;=Calculs_Consos!$A497,INDIRECT(CONCATENATE(Tab_Calculs[[#This Row],[Colonne1]],"!$B$2:$B$243"))))</f>
        <v>0</v>
      </c>
      <c r="I497" s="3">
        <f ca="1">INDEX(INDIRECT(CONCATENATE("Tab_",Tab_Calculs[[#This Row],[Colonne1]])),Tab_Calculs[[#This Row],[index_date_livraison]],1)</f>
        <v>0</v>
      </c>
      <c r="J497">
        <f ca="1">MATCH(Tab_Calculs[[#This Row],[Date_livraison]],INDIRECT(CONCATENATE("Tab_",Tab_Calculs[[#This Row],[Colonne1]],"[Fin de période]")),0)</f>
        <v>1</v>
      </c>
      <c r="K497" t="e">
        <f ca="1">INDEX(INDIRECT(CONCATENATE("Tab_",Tab_Calculs[[#This Row],[Colonne1]])),Tab_Calculs[[#This Row],[index_date_livraison]]-1,6)*(MAX(Tab_Calculs[[#This Row],[Début periode livraison]],Tab_Calculs[[#This Row],[Début mois]])-Tab_Calculs[[#This Row],[Début mois]])</f>
        <v>#VALUE!</v>
      </c>
      <c r="L497" s="94">
        <f ca="1">INDEX(INDIRECT(CONCATENATE("Tab_",Tab_Calculs[[#This Row],[Colonne1]])),Tab_Calculs[[#This Row],[index_date_livraison]],6)*(1+MIN(Tab_Calculs[[#This Row],[Date_livraison]],Tab_Calculs[[#This Row],[fin mois]])-MAX(Tab_Calculs[[#This Row],[Début mois]],Tab_Calculs[[#This Row],[Début periode livraison]]))</f>
        <v>0</v>
      </c>
      <c r="M497" s="94" t="e">
        <f ca="1">INDEX(INDIRECT(CONCATENATE("Tab_",Tab_Calculs[[#This Row],[Colonne1]])),Tab_Calculs[[#This Row],[index_date_livraison]]+1,6)*(Tab_Calculs[[#This Row],[fin mois]]-MIN(Tab_Calculs[[#This Row],[fin mois]],Tab_Calculs[[#This Row],[Date_livraison]]))</f>
        <v>#VALUE!</v>
      </c>
      <c r="N497" s="231" t="str">
        <f ca="1">IFERROR(Tab_Calculs[[#This Row],[Ratio_jour_après_livr]]+Tab_Calculs[[#This Row],[Ratio_jour_avant_livr]]+Tab_Calculs[[#This Row],[ratio_avant_debut]],"")</f>
        <v/>
      </c>
      <c r="O497" t="e">
        <f ca="1">INDEX(INDIRECT(CONCATENATE("Tab_",Tab_Calculs[[#This Row],[Colonne1]])),Tab_Calculs[[#This Row],[index_date_livraison]]-1,7)*(MAX(Tab_Calculs[[#This Row],[Début periode livraison]],Tab_Calculs[[#This Row],[Début mois]])-Tab_Calculs[[#This Row],[Début mois]])</f>
        <v>#VALUE!</v>
      </c>
      <c r="P497">
        <f ca="1">INDEX(INDIRECT(CONCATENATE("Tab_",Tab_Calculs[[#This Row],[Colonne1]])),Tab_Calculs[[#This Row],[index_date_livraison]],7)*(1+MIN(Tab_Calculs[[#This Row],[Date_livraison]],Tab_Calculs[[#This Row],[fin mois]])-MAX(Tab_Calculs[[#This Row],[Début mois]],Tab_Calculs[[#This Row],[Début periode livraison]]))</f>
        <v>0</v>
      </c>
      <c r="Q497" t="e">
        <f ca="1">INDEX(INDIRECT(CONCATENATE("Tab_",Tab_Calculs[[#This Row],[Colonne1]])),Tab_Calculs[[#This Row],[index_date_livraison]]+1,7)*(Tab_Calculs[[#This Row],[fin mois]]-MIN(Tab_Calculs[[#This Row],[fin mois]],Tab_Calculs[[#This Row],[Date_livraison]]))</f>
        <v>#VALUE!</v>
      </c>
      <c r="R497" t="e">
        <f ca="1">Tab_Calculs[[#This Row],[Ratio_Cout_après_livr]]+Tab_Calculs[[#This Row],[Ratio_Cout_avant_livr]]+Tab_Calculs[[#This Row],[Ratio_Cout_avant_debut]]</f>
        <v>#VALUE!</v>
      </c>
      <c r="S497" t="str">
        <f ca="1">IFERROR(N497*VLOOKUP(Tab_Calculs[[#This Row],[Colonne1]],Controle_des_données!$B$7:$G$14,6,FALSE),"")</f>
        <v/>
      </c>
      <c r="T497" t="str">
        <f ca="1">IF(Tab_Calculs[[#This Row],[Combustible ]]="Electricité (kWh)",Tab_Calculs[[#This Row],[Conso_mois_kWh]]*2.3,Tab_Calculs[[#This Row],[Conso_mois_kWh]])</f>
        <v/>
      </c>
      <c r="U497" t="str">
        <f ca="1">IFERROR(N497*VLOOKUP(Tab_Calculs[[#This Row],[Colonne1]],Controle_des_données!$B$7:$H$14,7,FALSE),"")</f>
        <v/>
      </c>
      <c r="V497">
        <f ca="1">IFERROR(Tab_Calculs[[#This Row],[Cout_mois]]/Tab_Calculs[[#This Row],[Conso_mois_kWh]],0)</f>
        <v>0</v>
      </c>
      <c r="W497" t="str">
        <f>T(VLOOKUP(Tab_Calculs[[#This Row],[Compteur]],Site!$B$33:$G$40,3,FALSE))</f>
        <v/>
      </c>
      <c r="X497" t="str">
        <f>T(VLOOKUP(Tab_Calculs[[#This Row],[Compteur]],Site!$B$33:$G$40,4,FALSE))</f>
        <v/>
      </c>
      <c r="Y497" t="str">
        <f>T(VLOOKUP(Tab_Calculs[[#This Row],[Compteur]],Site!$B$33:$G$40,5,FALSE))</f>
        <v/>
      </c>
      <c r="Z497" t="str">
        <f>T(VLOOKUP(Tab_Calculs[[#This Row],[Compteur]],Site!$B$33:$G$40,6,FALSE))</f>
        <v/>
      </c>
      <c r="AA497">
        <f>IFERROR(GETPIVOTDATA("DJU(chauffagiste)",BDD_DJU!$P$13,"annee",Tab_Calculs[[#This Row],[ANNEE]],"mois_numero",Tab_Calculs[[#This Row],[MOIS]]),0)</f>
        <v>73.599999999999994</v>
      </c>
    </row>
    <row r="498" spans="1:27" x14ac:dyDescent="0.25">
      <c r="A498" s="3">
        <f>DATE(Tab_Calculs[[#This Row],[ANNEE]],Tab_Calculs[[#This Row],[MOIS]],1)</f>
        <v>43374</v>
      </c>
      <c r="B498" s="3">
        <f>EDATE(Tab_Calculs[[#This Row],[Début mois]],1)-1</f>
        <v>43404</v>
      </c>
      <c r="C498">
        <f t="shared" si="15"/>
        <v>10</v>
      </c>
      <c r="D498">
        <f t="shared" si="14"/>
        <v>2018</v>
      </c>
      <c r="E498" t="s">
        <v>82</v>
      </c>
      <c r="F498" t="str">
        <f>SUBSTITUTE(Tab_Calculs[[#This Row],[Compteur]]," ","_")</f>
        <v>Compteur_3</v>
      </c>
      <c r="G498" t="str">
        <f>T(INDEX(Site!$B$33:$G$40, MATCH(Tab_Calculs[[#This Row],[Compteur]], Site!$B$33:$B$40,0),2))</f>
        <v/>
      </c>
      <c r="H498" s="3">
        <f t="array" aca="1" ref="H498" ca="1">MIN(IF(INDIRECT(CONCATENATE(Tab_Calculs[[#This Row],[Colonne1]],"!$B$2:$B$243"))&gt;=Calculs_Consos!$A498,INDIRECT(CONCATENATE(Tab_Calculs[[#This Row],[Colonne1]],"!$B$2:$B$243"))))</f>
        <v>0</v>
      </c>
      <c r="I498" s="3">
        <f ca="1">INDEX(INDIRECT(CONCATENATE("Tab_",Tab_Calculs[[#This Row],[Colonne1]])),Tab_Calculs[[#This Row],[index_date_livraison]],1)</f>
        <v>0</v>
      </c>
      <c r="J498">
        <f ca="1">MATCH(Tab_Calculs[[#This Row],[Date_livraison]],INDIRECT(CONCATENATE("Tab_",Tab_Calculs[[#This Row],[Colonne1]],"[Fin de période]")),0)</f>
        <v>1</v>
      </c>
      <c r="K498" t="e">
        <f ca="1">INDEX(INDIRECT(CONCATENATE("Tab_",Tab_Calculs[[#This Row],[Colonne1]])),Tab_Calculs[[#This Row],[index_date_livraison]]-1,6)*(MAX(Tab_Calculs[[#This Row],[Début periode livraison]],Tab_Calculs[[#This Row],[Début mois]])-Tab_Calculs[[#This Row],[Début mois]])</f>
        <v>#VALUE!</v>
      </c>
      <c r="L498" s="94">
        <f ca="1">INDEX(INDIRECT(CONCATENATE("Tab_",Tab_Calculs[[#This Row],[Colonne1]])),Tab_Calculs[[#This Row],[index_date_livraison]],6)*(1+MIN(Tab_Calculs[[#This Row],[Date_livraison]],Tab_Calculs[[#This Row],[fin mois]])-MAX(Tab_Calculs[[#This Row],[Début mois]],Tab_Calculs[[#This Row],[Début periode livraison]]))</f>
        <v>0</v>
      </c>
      <c r="M498" s="94" t="e">
        <f ca="1">INDEX(INDIRECT(CONCATENATE("Tab_",Tab_Calculs[[#This Row],[Colonne1]])),Tab_Calculs[[#This Row],[index_date_livraison]]+1,6)*(Tab_Calculs[[#This Row],[fin mois]]-MIN(Tab_Calculs[[#This Row],[fin mois]],Tab_Calculs[[#This Row],[Date_livraison]]))</f>
        <v>#VALUE!</v>
      </c>
      <c r="N498" s="231" t="str">
        <f ca="1">IFERROR(Tab_Calculs[[#This Row],[Ratio_jour_après_livr]]+Tab_Calculs[[#This Row],[Ratio_jour_avant_livr]]+Tab_Calculs[[#This Row],[ratio_avant_debut]],"")</f>
        <v/>
      </c>
      <c r="O498" t="e">
        <f ca="1">INDEX(INDIRECT(CONCATENATE("Tab_",Tab_Calculs[[#This Row],[Colonne1]])),Tab_Calculs[[#This Row],[index_date_livraison]]-1,7)*(MAX(Tab_Calculs[[#This Row],[Début periode livraison]],Tab_Calculs[[#This Row],[Début mois]])-Tab_Calculs[[#This Row],[Début mois]])</f>
        <v>#VALUE!</v>
      </c>
      <c r="P498">
        <f ca="1">INDEX(INDIRECT(CONCATENATE("Tab_",Tab_Calculs[[#This Row],[Colonne1]])),Tab_Calculs[[#This Row],[index_date_livraison]],7)*(1+MIN(Tab_Calculs[[#This Row],[Date_livraison]],Tab_Calculs[[#This Row],[fin mois]])-MAX(Tab_Calculs[[#This Row],[Début mois]],Tab_Calculs[[#This Row],[Début periode livraison]]))</f>
        <v>0</v>
      </c>
      <c r="Q498" t="e">
        <f ca="1">INDEX(INDIRECT(CONCATENATE("Tab_",Tab_Calculs[[#This Row],[Colonne1]])),Tab_Calculs[[#This Row],[index_date_livraison]]+1,7)*(Tab_Calculs[[#This Row],[fin mois]]-MIN(Tab_Calculs[[#This Row],[fin mois]],Tab_Calculs[[#This Row],[Date_livraison]]))</f>
        <v>#VALUE!</v>
      </c>
      <c r="R498" t="e">
        <f ca="1">Tab_Calculs[[#This Row],[Ratio_Cout_après_livr]]+Tab_Calculs[[#This Row],[Ratio_Cout_avant_livr]]+Tab_Calculs[[#This Row],[Ratio_Cout_avant_debut]]</f>
        <v>#VALUE!</v>
      </c>
      <c r="S498" t="str">
        <f ca="1">IFERROR(N498*VLOOKUP(Tab_Calculs[[#This Row],[Colonne1]],Controle_des_données!$B$7:$G$14,6,FALSE),"")</f>
        <v/>
      </c>
      <c r="T498" t="str">
        <f ca="1">IF(Tab_Calculs[[#This Row],[Combustible ]]="Electricité (kWh)",Tab_Calculs[[#This Row],[Conso_mois_kWh]]*2.3,Tab_Calculs[[#This Row],[Conso_mois_kWh]])</f>
        <v/>
      </c>
      <c r="U498" t="str">
        <f ca="1">IFERROR(N498*VLOOKUP(Tab_Calculs[[#This Row],[Colonne1]],Controle_des_données!$B$7:$H$14,7,FALSE),"")</f>
        <v/>
      </c>
      <c r="V498">
        <f ca="1">IFERROR(Tab_Calculs[[#This Row],[Cout_mois]]/Tab_Calculs[[#This Row],[Conso_mois_kWh]],0)</f>
        <v>0</v>
      </c>
      <c r="W498" t="str">
        <f>T(VLOOKUP(Tab_Calculs[[#This Row],[Compteur]],Site!$B$33:$G$40,3,FALSE))</f>
        <v/>
      </c>
      <c r="X498" t="str">
        <f>T(VLOOKUP(Tab_Calculs[[#This Row],[Compteur]],Site!$B$33:$G$40,4,FALSE))</f>
        <v/>
      </c>
      <c r="Y498" t="str">
        <f>T(VLOOKUP(Tab_Calculs[[#This Row],[Compteur]],Site!$B$33:$G$40,5,FALSE))</f>
        <v/>
      </c>
      <c r="Z498" t="str">
        <f>T(VLOOKUP(Tab_Calculs[[#This Row],[Compteur]],Site!$B$33:$G$40,6,FALSE))</f>
        <v/>
      </c>
      <c r="AA498">
        <f>IFERROR(GETPIVOTDATA("DJU(chauffagiste)",BDD_DJU!$P$13,"annee",Tab_Calculs[[#This Row],[ANNEE]],"mois_numero",Tab_Calculs[[#This Row],[MOIS]]),0)</f>
        <v>157.5</v>
      </c>
    </row>
    <row r="499" spans="1:27" x14ac:dyDescent="0.25">
      <c r="A499" s="3">
        <f>DATE(Tab_Calculs[[#This Row],[ANNEE]],Tab_Calculs[[#This Row],[MOIS]],1)</f>
        <v>43405</v>
      </c>
      <c r="B499" s="3">
        <f>EDATE(Tab_Calculs[[#This Row],[Début mois]],1)-1</f>
        <v>43434</v>
      </c>
      <c r="C499">
        <f t="shared" si="15"/>
        <v>11</v>
      </c>
      <c r="D499">
        <f t="shared" si="14"/>
        <v>2018</v>
      </c>
      <c r="E499" t="s">
        <v>82</v>
      </c>
      <c r="F499" t="str">
        <f>SUBSTITUTE(Tab_Calculs[[#This Row],[Compteur]]," ","_")</f>
        <v>Compteur_3</v>
      </c>
      <c r="G499" t="str">
        <f>T(INDEX(Site!$B$33:$G$40, MATCH(Tab_Calculs[[#This Row],[Compteur]], Site!$B$33:$B$40,0),2))</f>
        <v/>
      </c>
      <c r="H499" s="3">
        <f t="array" aca="1" ref="H499" ca="1">MIN(IF(INDIRECT(CONCATENATE(Tab_Calculs[[#This Row],[Colonne1]],"!$B$2:$B$243"))&gt;=Calculs_Consos!$A499,INDIRECT(CONCATENATE(Tab_Calculs[[#This Row],[Colonne1]],"!$B$2:$B$243"))))</f>
        <v>0</v>
      </c>
      <c r="I499" s="3">
        <f ca="1">INDEX(INDIRECT(CONCATENATE("Tab_",Tab_Calculs[[#This Row],[Colonne1]])),Tab_Calculs[[#This Row],[index_date_livraison]],1)</f>
        <v>0</v>
      </c>
      <c r="J499">
        <f ca="1">MATCH(Tab_Calculs[[#This Row],[Date_livraison]],INDIRECT(CONCATENATE("Tab_",Tab_Calculs[[#This Row],[Colonne1]],"[Fin de période]")),0)</f>
        <v>1</v>
      </c>
      <c r="K499" t="e">
        <f ca="1">INDEX(INDIRECT(CONCATENATE("Tab_",Tab_Calculs[[#This Row],[Colonne1]])),Tab_Calculs[[#This Row],[index_date_livraison]]-1,6)*(MAX(Tab_Calculs[[#This Row],[Début periode livraison]],Tab_Calculs[[#This Row],[Début mois]])-Tab_Calculs[[#This Row],[Début mois]])</f>
        <v>#VALUE!</v>
      </c>
      <c r="L499" s="94">
        <f ca="1">INDEX(INDIRECT(CONCATENATE("Tab_",Tab_Calculs[[#This Row],[Colonne1]])),Tab_Calculs[[#This Row],[index_date_livraison]],6)*(1+MIN(Tab_Calculs[[#This Row],[Date_livraison]],Tab_Calculs[[#This Row],[fin mois]])-MAX(Tab_Calculs[[#This Row],[Début mois]],Tab_Calculs[[#This Row],[Début periode livraison]]))</f>
        <v>0</v>
      </c>
      <c r="M499" s="94" t="e">
        <f ca="1">INDEX(INDIRECT(CONCATENATE("Tab_",Tab_Calculs[[#This Row],[Colonne1]])),Tab_Calculs[[#This Row],[index_date_livraison]]+1,6)*(Tab_Calculs[[#This Row],[fin mois]]-MIN(Tab_Calculs[[#This Row],[fin mois]],Tab_Calculs[[#This Row],[Date_livraison]]))</f>
        <v>#VALUE!</v>
      </c>
      <c r="N499" s="231" t="str">
        <f ca="1">IFERROR(Tab_Calculs[[#This Row],[Ratio_jour_après_livr]]+Tab_Calculs[[#This Row],[Ratio_jour_avant_livr]]+Tab_Calculs[[#This Row],[ratio_avant_debut]],"")</f>
        <v/>
      </c>
      <c r="O499" t="e">
        <f ca="1">INDEX(INDIRECT(CONCATENATE("Tab_",Tab_Calculs[[#This Row],[Colonne1]])),Tab_Calculs[[#This Row],[index_date_livraison]]-1,7)*(MAX(Tab_Calculs[[#This Row],[Début periode livraison]],Tab_Calculs[[#This Row],[Début mois]])-Tab_Calculs[[#This Row],[Début mois]])</f>
        <v>#VALUE!</v>
      </c>
      <c r="P499">
        <f ca="1">INDEX(INDIRECT(CONCATENATE("Tab_",Tab_Calculs[[#This Row],[Colonne1]])),Tab_Calculs[[#This Row],[index_date_livraison]],7)*(1+MIN(Tab_Calculs[[#This Row],[Date_livraison]],Tab_Calculs[[#This Row],[fin mois]])-MAX(Tab_Calculs[[#This Row],[Début mois]],Tab_Calculs[[#This Row],[Début periode livraison]]))</f>
        <v>0</v>
      </c>
      <c r="Q499" t="e">
        <f ca="1">INDEX(INDIRECT(CONCATENATE("Tab_",Tab_Calculs[[#This Row],[Colonne1]])),Tab_Calculs[[#This Row],[index_date_livraison]]+1,7)*(Tab_Calculs[[#This Row],[fin mois]]-MIN(Tab_Calculs[[#This Row],[fin mois]],Tab_Calculs[[#This Row],[Date_livraison]]))</f>
        <v>#VALUE!</v>
      </c>
      <c r="R499" t="e">
        <f ca="1">Tab_Calculs[[#This Row],[Ratio_Cout_après_livr]]+Tab_Calculs[[#This Row],[Ratio_Cout_avant_livr]]+Tab_Calculs[[#This Row],[Ratio_Cout_avant_debut]]</f>
        <v>#VALUE!</v>
      </c>
      <c r="S499" t="str">
        <f ca="1">IFERROR(N499*VLOOKUP(Tab_Calculs[[#This Row],[Colonne1]],Controle_des_données!$B$7:$G$14,6,FALSE),"")</f>
        <v/>
      </c>
      <c r="T499" t="str">
        <f ca="1">IF(Tab_Calculs[[#This Row],[Combustible ]]="Electricité (kWh)",Tab_Calculs[[#This Row],[Conso_mois_kWh]]*2.3,Tab_Calculs[[#This Row],[Conso_mois_kWh]])</f>
        <v/>
      </c>
      <c r="U499" t="str">
        <f ca="1">IFERROR(N499*VLOOKUP(Tab_Calculs[[#This Row],[Colonne1]],Controle_des_données!$B$7:$H$14,7,FALSE),"")</f>
        <v/>
      </c>
      <c r="V499">
        <f ca="1">IFERROR(Tab_Calculs[[#This Row],[Cout_mois]]/Tab_Calculs[[#This Row],[Conso_mois_kWh]],0)</f>
        <v>0</v>
      </c>
      <c r="W499" t="str">
        <f>T(VLOOKUP(Tab_Calculs[[#This Row],[Compteur]],Site!$B$33:$G$40,3,FALSE))</f>
        <v/>
      </c>
      <c r="X499" t="str">
        <f>T(VLOOKUP(Tab_Calculs[[#This Row],[Compteur]],Site!$B$33:$G$40,4,FALSE))</f>
        <v/>
      </c>
      <c r="Y499" t="str">
        <f>T(VLOOKUP(Tab_Calculs[[#This Row],[Compteur]],Site!$B$33:$G$40,5,FALSE))</f>
        <v/>
      </c>
      <c r="Z499" t="str">
        <f>T(VLOOKUP(Tab_Calculs[[#This Row],[Compteur]],Site!$B$33:$G$40,6,FALSE))</f>
        <v/>
      </c>
      <c r="AA499">
        <f>IFERROR(GETPIVOTDATA("DJU(chauffagiste)",BDD_DJU!$P$13,"annee",Tab_Calculs[[#This Row],[ANNEE]],"mois_numero",Tab_Calculs[[#This Row],[MOIS]]),0)</f>
        <v>278</v>
      </c>
    </row>
    <row r="500" spans="1:27" x14ac:dyDescent="0.25">
      <c r="A500" s="3">
        <f>DATE(Tab_Calculs[[#This Row],[ANNEE]],Tab_Calculs[[#This Row],[MOIS]],1)</f>
        <v>43435</v>
      </c>
      <c r="B500" s="3">
        <f>EDATE(Tab_Calculs[[#This Row],[Début mois]],1)-1</f>
        <v>43465</v>
      </c>
      <c r="C500">
        <f t="shared" si="15"/>
        <v>12</v>
      </c>
      <c r="D500">
        <f t="shared" si="14"/>
        <v>2018</v>
      </c>
      <c r="E500" t="s">
        <v>82</v>
      </c>
      <c r="F500" t="str">
        <f>SUBSTITUTE(Tab_Calculs[[#This Row],[Compteur]]," ","_")</f>
        <v>Compteur_3</v>
      </c>
      <c r="G500" t="str">
        <f>T(INDEX(Site!$B$33:$G$40, MATCH(Tab_Calculs[[#This Row],[Compteur]], Site!$B$33:$B$40,0),2))</f>
        <v/>
      </c>
      <c r="H500" s="3">
        <f t="array" aca="1" ref="H500" ca="1">MIN(IF(INDIRECT(CONCATENATE(Tab_Calculs[[#This Row],[Colonne1]],"!$B$2:$B$243"))&gt;=Calculs_Consos!$A500,INDIRECT(CONCATENATE(Tab_Calculs[[#This Row],[Colonne1]],"!$B$2:$B$243"))))</f>
        <v>0</v>
      </c>
      <c r="I500" s="3">
        <f ca="1">INDEX(INDIRECT(CONCATENATE("Tab_",Tab_Calculs[[#This Row],[Colonne1]])),Tab_Calculs[[#This Row],[index_date_livraison]],1)</f>
        <v>0</v>
      </c>
      <c r="J500">
        <f ca="1">MATCH(Tab_Calculs[[#This Row],[Date_livraison]],INDIRECT(CONCATENATE("Tab_",Tab_Calculs[[#This Row],[Colonne1]],"[Fin de période]")),0)</f>
        <v>1</v>
      </c>
      <c r="K500" t="e">
        <f ca="1">INDEX(INDIRECT(CONCATENATE("Tab_",Tab_Calculs[[#This Row],[Colonne1]])),Tab_Calculs[[#This Row],[index_date_livraison]]-1,6)*(MAX(Tab_Calculs[[#This Row],[Début periode livraison]],Tab_Calculs[[#This Row],[Début mois]])-Tab_Calculs[[#This Row],[Début mois]])</f>
        <v>#VALUE!</v>
      </c>
      <c r="L500" s="94">
        <f ca="1">INDEX(INDIRECT(CONCATENATE("Tab_",Tab_Calculs[[#This Row],[Colonne1]])),Tab_Calculs[[#This Row],[index_date_livraison]],6)*(1+MIN(Tab_Calculs[[#This Row],[Date_livraison]],Tab_Calculs[[#This Row],[fin mois]])-MAX(Tab_Calculs[[#This Row],[Début mois]],Tab_Calculs[[#This Row],[Début periode livraison]]))</f>
        <v>0</v>
      </c>
      <c r="M500" s="94" t="e">
        <f ca="1">INDEX(INDIRECT(CONCATENATE("Tab_",Tab_Calculs[[#This Row],[Colonne1]])),Tab_Calculs[[#This Row],[index_date_livraison]]+1,6)*(Tab_Calculs[[#This Row],[fin mois]]-MIN(Tab_Calculs[[#This Row],[fin mois]],Tab_Calculs[[#This Row],[Date_livraison]]))</f>
        <v>#VALUE!</v>
      </c>
      <c r="N500" s="231" t="str">
        <f ca="1">IFERROR(Tab_Calculs[[#This Row],[Ratio_jour_après_livr]]+Tab_Calculs[[#This Row],[Ratio_jour_avant_livr]]+Tab_Calculs[[#This Row],[ratio_avant_debut]],"")</f>
        <v/>
      </c>
      <c r="O500" t="e">
        <f ca="1">INDEX(INDIRECT(CONCATENATE("Tab_",Tab_Calculs[[#This Row],[Colonne1]])),Tab_Calculs[[#This Row],[index_date_livraison]]-1,7)*(MAX(Tab_Calculs[[#This Row],[Début periode livraison]],Tab_Calculs[[#This Row],[Début mois]])-Tab_Calculs[[#This Row],[Début mois]])</f>
        <v>#VALUE!</v>
      </c>
      <c r="P500">
        <f ca="1">INDEX(INDIRECT(CONCATENATE("Tab_",Tab_Calculs[[#This Row],[Colonne1]])),Tab_Calculs[[#This Row],[index_date_livraison]],7)*(1+MIN(Tab_Calculs[[#This Row],[Date_livraison]],Tab_Calculs[[#This Row],[fin mois]])-MAX(Tab_Calculs[[#This Row],[Début mois]],Tab_Calculs[[#This Row],[Début periode livraison]]))</f>
        <v>0</v>
      </c>
      <c r="Q500" t="e">
        <f ca="1">INDEX(INDIRECT(CONCATENATE("Tab_",Tab_Calculs[[#This Row],[Colonne1]])),Tab_Calculs[[#This Row],[index_date_livraison]]+1,7)*(Tab_Calculs[[#This Row],[fin mois]]-MIN(Tab_Calculs[[#This Row],[fin mois]],Tab_Calculs[[#This Row],[Date_livraison]]))</f>
        <v>#VALUE!</v>
      </c>
      <c r="R500" t="e">
        <f ca="1">Tab_Calculs[[#This Row],[Ratio_Cout_après_livr]]+Tab_Calculs[[#This Row],[Ratio_Cout_avant_livr]]+Tab_Calculs[[#This Row],[Ratio_Cout_avant_debut]]</f>
        <v>#VALUE!</v>
      </c>
      <c r="S500" t="str">
        <f ca="1">IFERROR(N500*VLOOKUP(Tab_Calculs[[#This Row],[Colonne1]],Controle_des_données!$B$7:$G$14,6,FALSE),"")</f>
        <v/>
      </c>
      <c r="T500" t="str">
        <f ca="1">IF(Tab_Calculs[[#This Row],[Combustible ]]="Electricité (kWh)",Tab_Calculs[[#This Row],[Conso_mois_kWh]]*2.3,Tab_Calculs[[#This Row],[Conso_mois_kWh]])</f>
        <v/>
      </c>
      <c r="U500" t="str">
        <f ca="1">IFERROR(N500*VLOOKUP(Tab_Calculs[[#This Row],[Colonne1]],Controle_des_données!$B$7:$H$14,7,FALSE),"")</f>
        <v/>
      </c>
      <c r="V500">
        <f ca="1">IFERROR(Tab_Calculs[[#This Row],[Cout_mois]]/Tab_Calculs[[#This Row],[Conso_mois_kWh]],0)</f>
        <v>0</v>
      </c>
      <c r="W500" t="str">
        <f>T(VLOOKUP(Tab_Calculs[[#This Row],[Compteur]],Site!$B$33:$G$40,3,FALSE))</f>
        <v/>
      </c>
      <c r="X500" t="str">
        <f>T(VLOOKUP(Tab_Calculs[[#This Row],[Compteur]],Site!$B$33:$G$40,4,FALSE))</f>
        <v/>
      </c>
      <c r="Y500" t="str">
        <f>T(VLOOKUP(Tab_Calculs[[#This Row],[Compteur]],Site!$B$33:$G$40,5,FALSE))</f>
        <v/>
      </c>
      <c r="Z500" t="str">
        <f>T(VLOOKUP(Tab_Calculs[[#This Row],[Compteur]],Site!$B$33:$G$40,6,FALSE))</f>
        <v/>
      </c>
      <c r="AA500">
        <f>IFERROR(GETPIVOTDATA("DJU(chauffagiste)",BDD_DJU!$P$13,"annee",Tab_Calculs[[#This Row],[ANNEE]],"mois_numero",Tab_Calculs[[#This Row],[MOIS]]),0)</f>
        <v>319.2</v>
      </c>
    </row>
    <row r="501" spans="1:27" x14ac:dyDescent="0.25">
      <c r="A501" s="3">
        <f>DATE(Tab_Calculs[[#This Row],[ANNEE]],Tab_Calculs[[#This Row],[MOIS]],1)</f>
        <v>43466</v>
      </c>
      <c r="B501" s="3">
        <f>EDATE(Tab_Calculs[[#This Row],[Début mois]],1)-1</f>
        <v>43496</v>
      </c>
      <c r="C501">
        <f t="shared" si="15"/>
        <v>1</v>
      </c>
      <c r="D501">
        <f t="shared" si="14"/>
        <v>2019</v>
      </c>
      <c r="E501" t="s">
        <v>82</v>
      </c>
      <c r="F501" t="str">
        <f>SUBSTITUTE(Tab_Calculs[[#This Row],[Compteur]]," ","_")</f>
        <v>Compteur_3</v>
      </c>
      <c r="G501" t="str">
        <f>T(INDEX(Site!$B$33:$G$40, MATCH(Tab_Calculs[[#This Row],[Compteur]], Site!$B$33:$B$40,0),2))</f>
        <v/>
      </c>
      <c r="H501" s="3">
        <f t="array" aca="1" ref="H501" ca="1">MIN(IF(INDIRECT(CONCATENATE(Tab_Calculs[[#This Row],[Colonne1]],"!$B$2:$B$243"))&gt;=Calculs_Consos!$A501,INDIRECT(CONCATENATE(Tab_Calculs[[#This Row],[Colonne1]],"!$B$2:$B$243"))))</f>
        <v>0</v>
      </c>
      <c r="I501" s="3">
        <f ca="1">INDEX(INDIRECT(CONCATENATE("Tab_",Tab_Calculs[[#This Row],[Colonne1]])),Tab_Calculs[[#This Row],[index_date_livraison]],1)</f>
        <v>0</v>
      </c>
      <c r="J501">
        <f ca="1">MATCH(Tab_Calculs[[#This Row],[Date_livraison]],INDIRECT(CONCATENATE("Tab_",Tab_Calculs[[#This Row],[Colonne1]],"[Fin de période]")),0)</f>
        <v>1</v>
      </c>
      <c r="K501" t="e">
        <f ca="1">INDEX(INDIRECT(CONCATENATE("Tab_",Tab_Calculs[[#This Row],[Colonne1]])),Tab_Calculs[[#This Row],[index_date_livraison]]-1,6)*(MAX(Tab_Calculs[[#This Row],[Début periode livraison]],Tab_Calculs[[#This Row],[Début mois]])-Tab_Calculs[[#This Row],[Début mois]])</f>
        <v>#VALUE!</v>
      </c>
      <c r="L501" s="94">
        <f ca="1">INDEX(INDIRECT(CONCATENATE("Tab_",Tab_Calculs[[#This Row],[Colonne1]])),Tab_Calculs[[#This Row],[index_date_livraison]],6)*(1+MIN(Tab_Calculs[[#This Row],[Date_livraison]],Tab_Calculs[[#This Row],[fin mois]])-MAX(Tab_Calculs[[#This Row],[Début mois]],Tab_Calculs[[#This Row],[Début periode livraison]]))</f>
        <v>0</v>
      </c>
      <c r="M501" s="94" t="e">
        <f ca="1">INDEX(INDIRECT(CONCATENATE("Tab_",Tab_Calculs[[#This Row],[Colonne1]])),Tab_Calculs[[#This Row],[index_date_livraison]]+1,6)*(Tab_Calculs[[#This Row],[fin mois]]-MIN(Tab_Calculs[[#This Row],[fin mois]],Tab_Calculs[[#This Row],[Date_livraison]]))</f>
        <v>#VALUE!</v>
      </c>
      <c r="N501" s="231" t="str">
        <f ca="1">IFERROR(Tab_Calculs[[#This Row],[Ratio_jour_après_livr]]+Tab_Calculs[[#This Row],[Ratio_jour_avant_livr]]+Tab_Calculs[[#This Row],[ratio_avant_debut]],"")</f>
        <v/>
      </c>
      <c r="O501" t="e">
        <f ca="1">INDEX(INDIRECT(CONCATENATE("Tab_",Tab_Calculs[[#This Row],[Colonne1]])),Tab_Calculs[[#This Row],[index_date_livraison]]-1,7)*(MAX(Tab_Calculs[[#This Row],[Début periode livraison]],Tab_Calculs[[#This Row],[Début mois]])-Tab_Calculs[[#This Row],[Début mois]])</f>
        <v>#VALUE!</v>
      </c>
      <c r="P501">
        <f ca="1">INDEX(INDIRECT(CONCATENATE("Tab_",Tab_Calculs[[#This Row],[Colonne1]])),Tab_Calculs[[#This Row],[index_date_livraison]],7)*(1+MIN(Tab_Calculs[[#This Row],[Date_livraison]],Tab_Calculs[[#This Row],[fin mois]])-MAX(Tab_Calculs[[#This Row],[Début mois]],Tab_Calculs[[#This Row],[Début periode livraison]]))</f>
        <v>0</v>
      </c>
      <c r="Q501" t="e">
        <f ca="1">INDEX(INDIRECT(CONCATENATE("Tab_",Tab_Calculs[[#This Row],[Colonne1]])),Tab_Calculs[[#This Row],[index_date_livraison]]+1,7)*(Tab_Calculs[[#This Row],[fin mois]]-MIN(Tab_Calculs[[#This Row],[fin mois]],Tab_Calculs[[#This Row],[Date_livraison]]))</f>
        <v>#VALUE!</v>
      </c>
      <c r="R501" t="e">
        <f ca="1">Tab_Calculs[[#This Row],[Ratio_Cout_après_livr]]+Tab_Calculs[[#This Row],[Ratio_Cout_avant_livr]]+Tab_Calculs[[#This Row],[Ratio_Cout_avant_debut]]</f>
        <v>#VALUE!</v>
      </c>
      <c r="S501" t="str">
        <f ca="1">IFERROR(N501*VLOOKUP(Tab_Calculs[[#This Row],[Colonne1]],Controle_des_données!$B$7:$G$14,6,FALSE),"")</f>
        <v/>
      </c>
      <c r="T501" t="str">
        <f ca="1">IF(Tab_Calculs[[#This Row],[Combustible ]]="Electricité (kWh)",Tab_Calculs[[#This Row],[Conso_mois_kWh]]*2.3,Tab_Calculs[[#This Row],[Conso_mois_kWh]])</f>
        <v/>
      </c>
      <c r="U501" t="str">
        <f ca="1">IFERROR(N501*VLOOKUP(Tab_Calculs[[#This Row],[Colonne1]],Controle_des_données!$B$7:$H$14,7,FALSE),"")</f>
        <v/>
      </c>
      <c r="V501">
        <f ca="1">IFERROR(Tab_Calculs[[#This Row],[Cout_mois]]/Tab_Calculs[[#This Row],[Conso_mois_kWh]],0)</f>
        <v>0</v>
      </c>
      <c r="W501" t="str">
        <f>T(VLOOKUP(Tab_Calculs[[#This Row],[Compteur]],Site!$B$33:$G$40,3,FALSE))</f>
        <v/>
      </c>
      <c r="X501" t="str">
        <f>T(VLOOKUP(Tab_Calculs[[#This Row],[Compteur]],Site!$B$33:$G$40,4,FALSE))</f>
        <v/>
      </c>
      <c r="Y501" t="str">
        <f>T(VLOOKUP(Tab_Calculs[[#This Row],[Compteur]],Site!$B$33:$G$40,5,FALSE))</f>
        <v/>
      </c>
      <c r="Z501" t="str">
        <f>T(VLOOKUP(Tab_Calculs[[#This Row],[Compteur]],Site!$B$33:$G$40,6,FALSE))</f>
        <v/>
      </c>
      <c r="AA501">
        <f>IFERROR(GETPIVOTDATA("DJU(chauffagiste)",BDD_DJU!$P$13,"annee",Tab_Calculs[[#This Row],[ANNEE]],"mois_numero",Tab_Calculs[[#This Row],[MOIS]]),0)</f>
        <v>402.2</v>
      </c>
    </row>
    <row r="502" spans="1:27" x14ac:dyDescent="0.25">
      <c r="A502" s="3">
        <f>DATE(Tab_Calculs[[#This Row],[ANNEE]],Tab_Calculs[[#This Row],[MOIS]],1)</f>
        <v>43497</v>
      </c>
      <c r="B502" s="3">
        <f>EDATE(Tab_Calculs[[#This Row],[Début mois]],1)-1</f>
        <v>43524</v>
      </c>
      <c r="C502">
        <f t="shared" si="15"/>
        <v>2</v>
      </c>
      <c r="D502">
        <f t="shared" si="14"/>
        <v>2019</v>
      </c>
      <c r="E502" t="s">
        <v>82</v>
      </c>
      <c r="F502" t="str">
        <f>SUBSTITUTE(Tab_Calculs[[#This Row],[Compteur]]," ","_")</f>
        <v>Compteur_3</v>
      </c>
      <c r="G502" t="str">
        <f>T(INDEX(Site!$B$33:$G$40, MATCH(Tab_Calculs[[#This Row],[Compteur]], Site!$B$33:$B$40,0),2))</f>
        <v/>
      </c>
      <c r="H502" s="3">
        <f t="array" aca="1" ref="H502" ca="1">MIN(IF(INDIRECT(CONCATENATE(Tab_Calculs[[#This Row],[Colonne1]],"!$B$2:$B$243"))&gt;=Calculs_Consos!$A502,INDIRECT(CONCATENATE(Tab_Calculs[[#This Row],[Colonne1]],"!$B$2:$B$243"))))</f>
        <v>0</v>
      </c>
      <c r="I502" s="3">
        <f ca="1">INDEX(INDIRECT(CONCATENATE("Tab_",Tab_Calculs[[#This Row],[Colonne1]])),Tab_Calculs[[#This Row],[index_date_livraison]],1)</f>
        <v>0</v>
      </c>
      <c r="J502">
        <f ca="1">MATCH(Tab_Calculs[[#This Row],[Date_livraison]],INDIRECT(CONCATENATE("Tab_",Tab_Calculs[[#This Row],[Colonne1]],"[Fin de période]")),0)</f>
        <v>1</v>
      </c>
      <c r="K502" t="e">
        <f ca="1">INDEX(INDIRECT(CONCATENATE("Tab_",Tab_Calculs[[#This Row],[Colonne1]])),Tab_Calculs[[#This Row],[index_date_livraison]]-1,6)*(MAX(Tab_Calculs[[#This Row],[Début periode livraison]],Tab_Calculs[[#This Row],[Début mois]])-Tab_Calculs[[#This Row],[Début mois]])</f>
        <v>#VALUE!</v>
      </c>
      <c r="L502" s="94">
        <f ca="1">INDEX(INDIRECT(CONCATENATE("Tab_",Tab_Calculs[[#This Row],[Colonne1]])),Tab_Calculs[[#This Row],[index_date_livraison]],6)*(1+MIN(Tab_Calculs[[#This Row],[Date_livraison]],Tab_Calculs[[#This Row],[fin mois]])-MAX(Tab_Calculs[[#This Row],[Début mois]],Tab_Calculs[[#This Row],[Début periode livraison]]))</f>
        <v>0</v>
      </c>
      <c r="M502" s="94" t="e">
        <f ca="1">INDEX(INDIRECT(CONCATENATE("Tab_",Tab_Calculs[[#This Row],[Colonne1]])),Tab_Calculs[[#This Row],[index_date_livraison]]+1,6)*(Tab_Calculs[[#This Row],[fin mois]]-MIN(Tab_Calculs[[#This Row],[fin mois]],Tab_Calculs[[#This Row],[Date_livraison]]))</f>
        <v>#VALUE!</v>
      </c>
      <c r="N502" s="231" t="str">
        <f ca="1">IFERROR(Tab_Calculs[[#This Row],[Ratio_jour_après_livr]]+Tab_Calculs[[#This Row],[Ratio_jour_avant_livr]]+Tab_Calculs[[#This Row],[ratio_avant_debut]],"")</f>
        <v/>
      </c>
      <c r="O502" t="e">
        <f ca="1">INDEX(INDIRECT(CONCATENATE("Tab_",Tab_Calculs[[#This Row],[Colonne1]])),Tab_Calculs[[#This Row],[index_date_livraison]]-1,7)*(MAX(Tab_Calculs[[#This Row],[Début periode livraison]],Tab_Calculs[[#This Row],[Début mois]])-Tab_Calculs[[#This Row],[Début mois]])</f>
        <v>#VALUE!</v>
      </c>
      <c r="P502">
        <f ca="1">INDEX(INDIRECT(CONCATENATE("Tab_",Tab_Calculs[[#This Row],[Colonne1]])),Tab_Calculs[[#This Row],[index_date_livraison]],7)*(1+MIN(Tab_Calculs[[#This Row],[Date_livraison]],Tab_Calculs[[#This Row],[fin mois]])-MAX(Tab_Calculs[[#This Row],[Début mois]],Tab_Calculs[[#This Row],[Début periode livraison]]))</f>
        <v>0</v>
      </c>
      <c r="Q502" t="e">
        <f ca="1">INDEX(INDIRECT(CONCATENATE("Tab_",Tab_Calculs[[#This Row],[Colonne1]])),Tab_Calculs[[#This Row],[index_date_livraison]]+1,7)*(Tab_Calculs[[#This Row],[fin mois]]-MIN(Tab_Calculs[[#This Row],[fin mois]],Tab_Calculs[[#This Row],[Date_livraison]]))</f>
        <v>#VALUE!</v>
      </c>
      <c r="R502" t="e">
        <f ca="1">Tab_Calculs[[#This Row],[Ratio_Cout_après_livr]]+Tab_Calculs[[#This Row],[Ratio_Cout_avant_livr]]+Tab_Calculs[[#This Row],[Ratio_Cout_avant_debut]]</f>
        <v>#VALUE!</v>
      </c>
      <c r="S502" t="str">
        <f ca="1">IFERROR(N502*VLOOKUP(Tab_Calculs[[#This Row],[Colonne1]],Controle_des_données!$B$7:$G$14,6,FALSE),"")</f>
        <v/>
      </c>
      <c r="T502" t="str">
        <f ca="1">IF(Tab_Calculs[[#This Row],[Combustible ]]="Electricité (kWh)",Tab_Calculs[[#This Row],[Conso_mois_kWh]]*2.3,Tab_Calculs[[#This Row],[Conso_mois_kWh]])</f>
        <v/>
      </c>
      <c r="U502" t="str">
        <f ca="1">IFERROR(N502*VLOOKUP(Tab_Calculs[[#This Row],[Colonne1]],Controle_des_données!$B$7:$H$14,7,FALSE),"")</f>
        <v/>
      </c>
      <c r="V502">
        <f ca="1">IFERROR(Tab_Calculs[[#This Row],[Cout_mois]]/Tab_Calculs[[#This Row],[Conso_mois_kWh]],0)</f>
        <v>0</v>
      </c>
      <c r="W502" t="str">
        <f>T(VLOOKUP(Tab_Calculs[[#This Row],[Compteur]],Site!$B$33:$G$40,3,FALSE))</f>
        <v/>
      </c>
      <c r="X502" t="str">
        <f>T(VLOOKUP(Tab_Calculs[[#This Row],[Compteur]],Site!$B$33:$G$40,4,FALSE))</f>
        <v/>
      </c>
      <c r="Y502" t="str">
        <f>T(VLOOKUP(Tab_Calculs[[#This Row],[Compteur]],Site!$B$33:$G$40,5,FALSE))</f>
        <v/>
      </c>
      <c r="Z502" t="str">
        <f>T(VLOOKUP(Tab_Calculs[[#This Row],[Compteur]],Site!$B$33:$G$40,6,FALSE))</f>
        <v/>
      </c>
      <c r="AA502">
        <f>IFERROR(GETPIVOTDATA("DJU(chauffagiste)",BDD_DJU!$P$13,"annee",Tab_Calculs[[#This Row],[ANNEE]],"mois_numero",Tab_Calculs[[#This Row],[MOIS]]),0)</f>
        <v>297.3</v>
      </c>
    </row>
    <row r="503" spans="1:27" x14ac:dyDescent="0.25">
      <c r="A503" s="3">
        <f>DATE(Tab_Calculs[[#This Row],[ANNEE]],Tab_Calculs[[#This Row],[MOIS]],1)</f>
        <v>43525</v>
      </c>
      <c r="B503" s="3">
        <f>EDATE(Tab_Calculs[[#This Row],[Début mois]],1)-1</f>
        <v>43555</v>
      </c>
      <c r="C503">
        <f t="shared" si="15"/>
        <v>3</v>
      </c>
      <c r="D503">
        <f t="shared" si="14"/>
        <v>2019</v>
      </c>
      <c r="E503" t="s">
        <v>82</v>
      </c>
      <c r="F503" t="str">
        <f>SUBSTITUTE(Tab_Calculs[[#This Row],[Compteur]]," ","_")</f>
        <v>Compteur_3</v>
      </c>
      <c r="G503" t="str">
        <f>T(INDEX(Site!$B$33:$G$40, MATCH(Tab_Calculs[[#This Row],[Compteur]], Site!$B$33:$B$40,0),2))</f>
        <v/>
      </c>
      <c r="H503" s="3">
        <f t="array" aca="1" ref="H503" ca="1">MIN(IF(INDIRECT(CONCATENATE(Tab_Calculs[[#This Row],[Colonne1]],"!$B$2:$B$243"))&gt;=Calculs_Consos!$A503,INDIRECT(CONCATENATE(Tab_Calculs[[#This Row],[Colonne1]],"!$B$2:$B$243"))))</f>
        <v>0</v>
      </c>
      <c r="I503" s="3">
        <f ca="1">INDEX(INDIRECT(CONCATENATE("Tab_",Tab_Calculs[[#This Row],[Colonne1]])),Tab_Calculs[[#This Row],[index_date_livraison]],1)</f>
        <v>0</v>
      </c>
      <c r="J503">
        <f ca="1">MATCH(Tab_Calculs[[#This Row],[Date_livraison]],INDIRECT(CONCATENATE("Tab_",Tab_Calculs[[#This Row],[Colonne1]],"[Fin de période]")),0)</f>
        <v>1</v>
      </c>
      <c r="K503" t="e">
        <f ca="1">INDEX(INDIRECT(CONCATENATE("Tab_",Tab_Calculs[[#This Row],[Colonne1]])),Tab_Calculs[[#This Row],[index_date_livraison]]-1,6)*(MAX(Tab_Calculs[[#This Row],[Début periode livraison]],Tab_Calculs[[#This Row],[Début mois]])-Tab_Calculs[[#This Row],[Début mois]])</f>
        <v>#VALUE!</v>
      </c>
      <c r="L503" s="94">
        <f ca="1">INDEX(INDIRECT(CONCATENATE("Tab_",Tab_Calculs[[#This Row],[Colonne1]])),Tab_Calculs[[#This Row],[index_date_livraison]],6)*(1+MIN(Tab_Calculs[[#This Row],[Date_livraison]],Tab_Calculs[[#This Row],[fin mois]])-MAX(Tab_Calculs[[#This Row],[Début mois]],Tab_Calculs[[#This Row],[Début periode livraison]]))</f>
        <v>0</v>
      </c>
      <c r="M503" s="94" t="e">
        <f ca="1">INDEX(INDIRECT(CONCATENATE("Tab_",Tab_Calculs[[#This Row],[Colonne1]])),Tab_Calculs[[#This Row],[index_date_livraison]]+1,6)*(Tab_Calculs[[#This Row],[fin mois]]-MIN(Tab_Calculs[[#This Row],[fin mois]],Tab_Calculs[[#This Row],[Date_livraison]]))</f>
        <v>#VALUE!</v>
      </c>
      <c r="N503" s="231" t="str">
        <f ca="1">IFERROR(Tab_Calculs[[#This Row],[Ratio_jour_après_livr]]+Tab_Calculs[[#This Row],[Ratio_jour_avant_livr]]+Tab_Calculs[[#This Row],[ratio_avant_debut]],"")</f>
        <v/>
      </c>
      <c r="O503" t="e">
        <f ca="1">INDEX(INDIRECT(CONCATENATE("Tab_",Tab_Calculs[[#This Row],[Colonne1]])),Tab_Calculs[[#This Row],[index_date_livraison]]-1,7)*(MAX(Tab_Calculs[[#This Row],[Début periode livraison]],Tab_Calculs[[#This Row],[Début mois]])-Tab_Calculs[[#This Row],[Début mois]])</f>
        <v>#VALUE!</v>
      </c>
      <c r="P503">
        <f ca="1">INDEX(INDIRECT(CONCATENATE("Tab_",Tab_Calculs[[#This Row],[Colonne1]])),Tab_Calculs[[#This Row],[index_date_livraison]],7)*(1+MIN(Tab_Calculs[[#This Row],[Date_livraison]],Tab_Calculs[[#This Row],[fin mois]])-MAX(Tab_Calculs[[#This Row],[Début mois]],Tab_Calculs[[#This Row],[Début periode livraison]]))</f>
        <v>0</v>
      </c>
      <c r="Q503" t="e">
        <f ca="1">INDEX(INDIRECT(CONCATENATE("Tab_",Tab_Calculs[[#This Row],[Colonne1]])),Tab_Calculs[[#This Row],[index_date_livraison]]+1,7)*(Tab_Calculs[[#This Row],[fin mois]]-MIN(Tab_Calculs[[#This Row],[fin mois]],Tab_Calculs[[#This Row],[Date_livraison]]))</f>
        <v>#VALUE!</v>
      </c>
      <c r="R503" t="e">
        <f ca="1">Tab_Calculs[[#This Row],[Ratio_Cout_après_livr]]+Tab_Calculs[[#This Row],[Ratio_Cout_avant_livr]]+Tab_Calculs[[#This Row],[Ratio_Cout_avant_debut]]</f>
        <v>#VALUE!</v>
      </c>
      <c r="S503" t="str">
        <f ca="1">IFERROR(N503*VLOOKUP(Tab_Calculs[[#This Row],[Colonne1]],Controle_des_données!$B$7:$G$14,6,FALSE),"")</f>
        <v/>
      </c>
      <c r="T503" t="str">
        <f ca="1">IF(Tab_Calculs[[#This Row],[Combustible ]]="Electricité (kWh)",Tab_Calculs[[#This Row],[Conso_mois_kWh]]*2.3,Tab_Calculs[[#This Row],[Conso_mois_kWh]])</f>
        <v/>
      </c>
      <c r="U503" t="str">
        <f ca="1">IFERROR(N503*VLOOKUP(Tab_Calculs[[#This Row],[Colonne1]],Controle_des_données!$B$7:$H$14,7,FALSE),"")</f>
        <v/>
      </c>
      <c r="V503">
        <f ca="1">IFERROR(Tab_Calculs[[#This Row],[Cout_mois]]/Tab_Calculs[[#This Row],[Conso_mois_kWh]],0)</f>
        <v>0</v>
      </c>
      <c r="W503" t="str">
        <f>T(VLOOKUP(Tab_Calculs[[#This Row],[Compteur]],Site!$B$33:$G$40,3,FALSE))</f>
        <v/>
      </c>
      <c r="X503" t="str">
        <f>T(VLOOKUP(Tab_Calculs[[#This Row],[Compteur]],Site!$B$33:$G$40,4,FALSE))</f>
        <v/>
      </c>
      <c r="Y503" t="str">
        <f>T(VLOOKUP(Tab_Calculs[[#This Row],[Compteur]],Site!$B$33:$G$40,5,FALSE))</f>
        <v/>
      </c>
      <c r="Z503" t="str">
        <f>T(VLOOKUP(Tab_Calculs[[#This Row],[Compteur]],Site!$B$33:$G$40,6,FALSE))</f>
        <v/>
      </c>
      <c r="AA503">
        <f>IFERROR(GETPIVOTDATA("DJU(chauffagiste)",BDD_DJU!$P$13,"annee",Tab_Calculs[[#This Row],[ANNEE]],"mois_numero",Tab_Calculs[[#This Row],[MOIS]]),0)</f>
        <v>260.39999999999998</v>
      </c>
    </row>
    <row r="504" spans="1:27" x14ac:dyDescent="0.25">
      <c r="A504" s="3">
        <f>DATE(Tab_Calculs[[#This Row],[ANNEE]],Tab_Calculs[[#This Row],[MOIS]],1)</f>
        <v>43556</v>
      </c>
      <c r="B504" s="3">
        <f>EDATE(Tab_Calculs[[#This Row],[Début mois]],1)-1</f>
        <v>43585</v>
      </c>
      <c r="C504">
        <f t="shared" si="15"/>
        <v>4</v>
      </c>
      <c r="D504">
        <f t="shared" si="14"/>
        <v>2019</v>
      </c>
      <c r="E504" t="s">
        <v>82</v>
      </c>
      <c r="F504" t="str">
        <f>SUBSTITUTE(Tab_Calculs[[#This Row],[Compteur]]," ","_")</f>
        <v>Compteur_3</v>
      </c>
      <c r="G504" t="str">
        <f>T(INDEX(Site!$B$33:$G$40, MATCH(Tab_Calculs[[#This Row],[Compteur]], Site!$B$33:$B$40,0),2))</f>
        <v/>
      </c>
      <c r="H504" s="3">
        <f t="array" aca="1" ref="H504" ca="1">MIN(IF(INDIRECT(CONCATENATE(Tab_Calculs[[#This Row],[Colonne1]],"!$B$2:$B$243"))&gt;=Calculs_Consos!$A504,INDIRECT(CONCATENATE(Tab_Calculs[[#This Row],[Colonne1]],"!$B$2:$B$243"))))</f>
        <v>0</v>
      </c>
      <c r="I504" s="3">
        <f ca="1">INDEX(INDIRECT(CONCATENATE("Tab_",Tab_Calculs[[#This Row],[Colonne1]])),Tab_Calculs[[#This Row],[index_date_livraison]],1)</f>
        <v>0</v>
      </c>
      <c r="J504">
        <f ca="1">MATCH(Tab_Calculs[[#This Row],[Date_livraison]],INDIRECT(CONCATENATE("Tab_",Tab_Calculs[[#This Row],[Colonne1]],"[Fin de période]")),0)</f>
        <v>1</v>
      </c>
      <c r="K504" t="e">
        <f ca="1">INDEX(INDIRECT(CONCATENATE("Tab_",Tab_Calculs[[#This Row],[Colonne1]])),Tab_Calculs[[#This Row],[index_date_livraison]]-1,6)*(MAX(Tab_Calculs[[#This Row],[Début periode livraison]],Tab_Calculs[[#This Row],[Début mois]])-Tab_Calculs[[#This Row],[Début mois]])</f>
        <v>#VALUE!</v>
      </c>
      <c r="L504" s="94">
        <f ca="1">INDEX(INDIRECT(CONCATENATE("Tab_",Tab_Calculs[[#This Row],[Colonne1]])),Tab_Calculs[[#This Row],[index_date_livraison]],6)*(1+MIN(Tab_Calculs[[#This Row],[Date_livraison]],Tab_Calculs[[#This Row],[fin mois]])-MAX(Tab_Calculs[[#This Row],[Début mois]],Tab_Calculs[[#This Row],[Début periode livraison]]))</f>
        <v>0</v>
      </c>
      <c r="M504" s="94" t="e">
        <f ca="1">INDEX(INDIRECT(CONCATENATE("Tab_",Tab_Calculs[[#This Row],[Colonne1]])),Tab_Calculs[[#This Row],[index_date_livraison]]+1,6)*(Tab_Calculs[[#This Row],[fin mois]]-MIN(Tab_Calculs[[#This Row],[fin mois]],Tab_Calculs[[#This Row],[Date_livraison]]))</f>
        <v>#VALUE!</v>
      </c>
      <c r="N504" s="231" t="str">
        <f ca="1">IFERROR(Tab_Calculs[[#This Row],[Ratio_jour_après_livr]]+Tab_Calculs[[#This Row],[Ratio_jour_avant_livr]]+Tab_Calculs[[#This Row],[ratio_avant_debut]],"")</f>
        <v/>
      </c>
      <c r="O504" t="e">
        <f ca="1">INDEX(INDIRECT(CONCATENATE("Tab_",Tab_Calculs[[#This Row],[Colonne1]])),Tab_Calculs[[#This Row],[index_date_livraison]]-1,7)*(MAX(Tab_Calculs[[#This Row],[Début periode livraison]],Tab_Calculs[[#This Row],[Début mois]])-Tab_Calculs[[#This Row],[Début mois]])</f>
        <v>#VALUE!</v>
      </c>
      <c r="P504">
        <f ca="1">INDEX(INDIRECT(CONCATENATE("Tab_",Tab_Calculs[[#This Row],[Colonne1]])),Tab_Calculs[[#This Row],[index_date_livraison]],7)*(1+MIN(Tab_Calculs[[#This Row],[Date_livraison]],Tab_Calculs[[#This Row],[fin mois]])-MAX(Tab_Calculs[[#This Row],[Début mois]],Tab_Calculs[[#This Row],[Début periode livraison]]))</f>
        <v>0</v>
      </c>
      <c r="Q504" t="e">
        <f ca="1">INDEX(INDIRECT(CONCATENATE("Tab_",Tab_Calculs[[#This Row],[Colonne1]])),Tab_Calculs[[#This Row],[index_date_livraison]]+1,7)*(Tab_Calculs[[#This Row],[fin mois]]-MIN(Tab_Calculs[[#This Row],[fin mois]],Tab_Calculs[[#This Row],[Date_livraison]]))</f>
        <v>#VALUE!</v>
      </c>
      <c r="R504" t="e">
        <f ca="1">Tab_Calculs[[#This Row],[Ratio_Cout_après_livr]]+Tab_Calculs[[#This Row],[Ratio_Cout_avant_livr]]+Tab_Calculs[[#This Row],[Ratio_Cout_avant_debut]]</f>
        <v>#VALUE!</v>
      </c>
      <c r="S504" t="str">
        <f ca="1">IFERROR(N504*VLOOKUP(Tab_Calculs[[#This Row],[Colonne1]],Controle_des_données!$B$7:$G$14,6,FALSE),"")</f>
        <v/>
      </c>
      <c r="T504" t="str">
        <f ca="1">IF(Tab_Calculs[[#This Row],[Combustible ]]="Electricité (kWh)",Tab_Calculs[[#This Row],[Conso_mois_kWh]]*2.3,Tab_Calculs[[#This Row],[Conso_mois_kWh]])</f>
        <v/>
      </c>
      <c r="U504" t="str">
        <f ca="1">IFERROR(N504*VLOOKUP(Tab_Calculs[[#This Row],[Colonne1]],Controle_des_données!$B$7:$H$14,7,FALSE),"")</f>
        <v/>
      </c>
      <c r="V504">
        <f ca="1">IFERROR(Tab_Calculs[[#This Row],[Cout_mois]]/Tab_Calculs[[#This Row],[Conso_mois_kWh]],0)</f>
        <v>0</v>
      </c>
      <c r="W504" t="str">
        <f>T(VLOOKUP(Tab_Calculs[[#This Row],[Compteur]],Site!$B$33:$G$40,3,FALSE))</f>
        <v/>
      </c>
      <c r="X504" t="str">
        <f>T(VLOOKUP(Tab_Calculs[[#This Row],[Compteur]],Site!$B$33:$G$40,4,FALSE))</f>
        <v/>
      </c>
      <c r="Y504" t="str">
        <f>T(VLOOKUP(Tab_Calculs[[#This Row],[Compteur]],Site!$B$33:$G$40,5,FALSE))</f>
        <v/>
      </c>
      <c r="Z504" t="str">
        <f>T(VLOOKUP(Tab_Calculs[[#This Row],[Compteur]],Site!$B$33:$G$40,6,FALSE))</f>
        <v/>
      </c>
      <c r="AA504">
        <f>IFERROR(GETPIVOTDATA("DJU(chauffagiste)",BDD_DJU!$P$13,"annee",Tab_Calculs[[#This Row],[ANNEE]],"mois_numero",Tab_Calculs[[#This Row],[MOIS]]),0)</f>
        <v>201.4</v>
      </c>
    </row>
    <row r="505" spans="1:27" x14ac:dyDescent="0.25">
      <c r="A505" s="3">
        <f>DATE(Tab_Calculs[[#This Row],[ANNEE]],Tab_Calculs[[#This Row],[MOIS]],1)</f>
        <v>43586</v>
      </c>
      <c r="B505" s="3">
        <f>EDATE(Tab_Calculs[[#This Row],[Début mois]],1)-1</f>
        <v>43616</v>
      </c>
      <c r="C505">
        <f t="shared" si="15"/>
        <v>5</v>
      </c>
      <c r="D505">
        <f t="shared" si="14"/>
        <v>2019</v>
      </c>
      <c r="E505" t="s">
        <v>82</v>
      </c>
      <c r="F505" t="str">
        <f>SUBSTITUTE(Tab_Calculs[[#This Row],[Compteur]]," ","_")</f>
        <v>Compteur_3</v>
      </c>
      <c r="G505" t="str">
        <f>T(INDEX(Site!$B$33:$G$40, MATCH(Tab_Calculs[[#This Row],[Compteur]], Site!$B$33:$B$40,0),2))</f>
        <v/>
      </c>
      <c r="H505" s="3">
        <f t="array" aca="1" ref="H505" ca="1">MIN(IF(INDIRECT(CONCATENATE(Tab_Calculs[[#This Row],[Colonne1]],"!$B$2:$B$243"))&gt;=Calculs_Consos!$A505,INDIRECT(CONCATENATE(Tab_Calculs[[#This Row],[Colonne1]],"!$B$2:$B$243"))))</f>
        <v>0</v>
      </c>
      <c r="I505" s="3">
        <f ca="1">INDEX(INDIRECT(CONCATENATE("Tab_",Tab_Calculs[[#This Row],[Colonne1]])),Tab_Calculs[[#This Row],[index_date_livraison]],1)</f>
        <v>0</v>
      </c>
      <c r="J505">
        <f ca="1">MATCH(Tab_Calculs[[#This Row],[Date_livraison]],INDIRECT(CONCATENATE("Tab_",Tab_Calculs[[#This Row],[Colonne1]],"[Fin de période]")),0)</f>
        <v>1</v>
      </c>
      <c r="K505" t="e">
        <f ca="1">INDEX(INDIRECT(CONCATENATE("Tab_",Tab_Calculs[[#This Row],[Colonne1]])),Tab_Calculs[[#This Row],[index_date_livraison]]-1,6)*(MAX(Tab_Calculs[[#This Row],[Début periode livraison]],Tab_Calculs[[#This Row],[Début mois]])-Tab_Calculs[[#This Row],[Début mois]])</f>
        <v>#VALUE!</v>
      </c>
      <c r="L505" s="94">
        <f ca="1">INDEX(INDIRECT(CONCATENATE("Tab_",Tab_Calculs[[#This Row],[Colonne1]])),Tab_Calculs[[#This Row],[index_date_livraison]],6)*(1+MIN(Tab_Calculs[[#This Row],[Date_livraison]],Tab_Calculs[[#This Row],[fin mois]])-MAX(Tab_Calculs[[#This Row],[Début mois]],Tab_Calculs[[#This Row],[Début periode livraison]]))</f>
        <v>0</v>
      </c>
      <c r="M505" s="94" t="e">
        <f ca="1">INDEX(INDIRECT(CONCATENATE("Tab_",Tab_Calculs[[#This Row],[Colonne1]])),Tab_Calculs[[#This Row],[index_date_livraison]]+1,6)*(Tab_Calculs[[#This Row],[fin mois]]-MIN(Tab_Calculs[[#This Row],[fin mois]],Tab_Calculs[[#This Row],[Date_livraison]]))</f>
        <v>#VALUE!</v>
      </c>
      <c r="N505" s="231" t="str">
        <f ca="1">IFERROR(Tab_Calculs[[#This Row],[Ratio_jour_après_livr]]+Tab_Calculs[[#This Row],[Ratio_jour_avant_livr]]+Tab_Calculs[[#This Row],[ratio_avant_debut]],"")</f>
        <v/>
      </c>
      <c r="O505" t="e">
        <f ca="1">INDEX(INDIRECT(CONCATENATE("Tab_",Tab_Calculs[[#This Row],[Colonne1]])),Tab_Calculs[[#This Row],[index_date_livraison]]-1,7)*(MAX(Tab_Calculs[[#This Row],[Début periode livraison]],Tab_Calculs[[#This Row],[Début mois]])-Tab_Calculs[[#This Row],[Début mois]])</f>
        <v>#VALUE!</v>
      </c>
      <c r="P505">
        <f ca="1">INDEX(INDIRECT(CONCATENATE("Tab_",Tab_Calculs[[#This Row],[Colonne1]])),Tab_Calculs[[#This Row],[index_date_livraison]],7)*(1+MIN(Tab_Calculs[[#This Row],[Date_livraison]],Tab_Calculs[[#This Row],[fin mois]])-MAX(Tab_Calculs[[#This Row],[Début mois]],Tab_Calculs[[#This Row],[Début periode livraison]]))</f>
        <v>0</v>
      </c>
      <c r="Q505" t="e">
        <f ca="1">INDEX(INDIRECT(CONCATENATE("Tab_",Tab_Calculs[[#This Row],[Colonne1]])),Tab_Calculs[[#This Row],[index_date_livraison]]+1,7)*(Tab_Calculs[[#This Row],[fin mois]]-MIN(Tab_Calculs[[#This Row],[fin mois]],Tab_Calculs[[#This Row],[Date_livraison]]))</f>
        <v>#VALUE!</v>
      </c>
      <c r="R505" t="e">
        <f ca="1">Tab_Calculs[[#This Row],[Ratio_Cout_après_livr]]+Tab_Calculs[[#This Row],[Ratio_Cout_avant_livr]]+Tab_Calculs[[#This Row],[Ratio_Cout_avant_debut]]</f>
        <v>#VALUE!</v>
      </c>
      <c r="S505" t="str">
        <f ca="1">IFERROR(N505*VLOOKUP(Tab_Calculs[[#This Row],[Colonne1]],Controle_des_données!$B$7:$G$14,6,FALSE),"")</f>
        <v/>
      </c>
      <c r="T505" t="str">
        <f ca="1">IF(Tab_Calculs[[#This Row],[Combustible ]]="Electricité (kWh)",Tab_Calculs[[#This Row],[Conso_mois_kWh]]*2.3,Tab_Calculs[[#This Row],[Conso_mois_kWh]])</f>
        <v/>
      </c>
      <c r="U505" t="str">
        <f ca="1">IFERROR(N505*VLOOKUP(Tab_Calculs[[#This Row],[Colonne1]],Controle_des_données!$B$7:$H$14,7,FALSE),"")</f>
        <v/>
      </c>
      <c r="V505">
        <f ca="1">IFERROR(Tab_Calculs[[#This Row],[Cout_mois]]/Tab_Calculs[[#This Row],[Conso_mois_kWh]],0)</f>
        <v>0</v>
      </c>
      <c r="W505" t="str">
        <f>T(VLOOKUP(Tab_Calculs[[#This Row],[Compteur]],Site!$B$33:$G$40,3,FALSE))</f>
        <v/>
      </c>
      <c r="X505" t="str">
        <f>T(VLOOKUP(Tab_Calculs[[#This Row],[Compteur]],Site!$B$33:$G$40,4,FALSE))</f>
        <v/>
      </c>
      <c r="Y505" t="str">
        <f>T(VLOOKUP(Tab_Calculs[[#This Row],[Compteur]],Site!$B$33:$G$40,5,FALSE))</f>
        <v/>
      </c>
      <c r="Z505" t="str">
        <f>T(VLOOKUP(Tab_Calculs[[#This Row],[Compteur]],Site!$B$33:$G$40,6,FALSE))</f>
        <v/>
      </c>
      <c r="AA505">
        <f>IFERROR(GETPIVOTDATA("DJU(chauffagiste)",BDD_DJU!$P$13,"annee",Tab_Calculs[[#This Row],[ANNEE]],"mois_numero",Tab_Calculs[[#This Row],[MOIS]]),0)</f>
        <v>147.9</v>
      </c>
    </row>
    <row r="506" spans="1:27" x14ac:dyDescent="0.25">
      <c r="A506" s="3">
        <f>DATE(Tab_Calculs[[#This Row],[ANNEE]],Tab_Calculs[[#This Row],[MOIS]],1)</f>
        <v>43617</v>
      </c>
      <c r="B506" s="3">
        <f>EDATE(Tab_Calculs[[#This Row],[Début mois]],1)-1</f>
        <v>43646</v>
      </c>
      <c r="C506">
        <f t="shared" si="15"/>
        <v>6</v>
      </c>
      <c r="D506">
        <f t="shared" si="14"/>
        <v>2019</v>
      </c>
      <c r="E506" t="s">
        <v>82</v>
      </c>
      <c r="F506" t="str">
        <f>SUBSTITUTE(Tab_Calculs[[#This Row],[Compteur]]," ","_")</f>
        <v>Compteur_3</v>
      </c>
      <c r="G506" t="str">
        <f>T(INDEX(Site!$B$33:$G$40, MATCH(Tab_Calculs[[#This Row],[Compteur]], Site!$B$33:$B$40,0),2))</f>
        <v/>
      </c>
      <c r="H506" s="3">
        <f t="array" aca="1" ref="H506" ca="1">MIN(IF(INDIRECT(CONCATENATE(Tab_Calculs[[#This Row],[Colonne1]],"!$B$2:$B$243"))&gt;=Calculs_Consos!$A506,INDIRECT(CONCATENATE(Tab_Calculs[[#This Row],[Colonne1]],"!$B$2:$B$243"))))</f>
        <v>0</v>
      </c>
      <c r="I506" s="3">
        <f ca="1">INDEX(INDIRECT(CONCATENATE("Tab_",Tab_Calculs[[#This Row],[Colonne1]])),Tab_Calculs[[#This Row],[index_date_livraison]],1)</f>
        <v>0</v>
      </c>
      <c r="J506">
        <f ca="1">MATCH(Tab_Calculs[[#This Row],[Date_livraison]],INDIRECT(CONCATENATE("Tab_",Tab_Calculs[[#This Row],[Colonne1]],"[Fin de période]")),0)</f>
        <v>1</v>
      </c>
      <c r="K506" t="e">
        <f ca="1">INDEX(INDIRECT(CONCATENATE("Tab_",Tab_Calculs[[#This Row],[Colonne1]])),Tab_Calculs[[#This Row],[index_date_livraison]]-1,6)*(MAX(Tab_Calculs[[#This Row],[Début periode livraison]],Tab_Calculs[[#This Row],[Début mois]])-Tab_Calculs[[#This Row],[Début mois]])</f>
        <v>#VALUE!</v>
      </c>
      <c r="L506" s="94">
        <f ca="1">INDEX(INDIRECT(CONCATENATE("Tab_",Tab_Calculs[[#This Row],[Colonne1]])),Tab_Calculs[[#This Row],[index_date_livraison]],6)*(1+MIN(Tab_Calculs[[#This Row],[Date_livraison]],Tab_Calculs[[#This Row],[fin mois]])-MAX(Tab_Calculs[[#This Row],[Début mois]],Tab_Calculs[[#This Row],[Début periode livraison]]))</f>
        <v>0</v>
      </c>
      <c r="M506" s="94" t="e">
        <f ca="1">INDEX(INDIRECT(CONCATENATE("Tab_",Tab_Calculs[[#This Row],[Colonne1]])),Tab_Calculs[[#This Row],[index_date_livraison]]+1,6)*(Tab_Calculs[[#This Row],[fin mois]]-MIN(Tab_Calculs[[#This Row],[fin mois]],Tab_Calculs[[#This Row],[Date_livraison]]))</f>
        <v>#VALUE!</v>
      </c>
      <c r="N506" s="231" t="str">
        <f ca="1">IFERROR(Tab_Calculs[[#This Row],[Ratio_jour_après_livr]]+Tab_Calculs[[#This Row],[Ratio_jour_avant_livr]]+Tab_Calculs[[#This Row],[ratio_avant_debut]],"")</f>
        <v/>
      </c>
      <c r="O506" t="e">
        <f ca="1">INDEX(INDIRECT(CONCATENATE("Tab_",Tab_Calculs[[#This Row],[Colonne1]])),Tab_Calculs[[#This Row],[index_date_livraison]]-1,7)*(MAX(Tab_Calculs[[#This Row],[Début periode livraison]],Tab_Calculs[[#This Row],[Début mois]])-Tab_Calculs[[#This Row],[Début mois]])</f>
        <v>#VALUE!</v>
      </c>
      <c r="P506">
        <f ca="1">INDEX(INDIRECT(CONCATENATE("Tab_",Tab_Calculs[[#This Row],[Colonne1]])),Tab_Calculs[[#This Row],[index_date_livraison]],7)*(1+MIN(Tab_Calculs[[#This Row],[Date_livraison]],Tab_Calculs[[#This Row],[fin mois]])-MAX(Tab_Calculs[[#This Row],[Début mois]],Tab_Calculs[[#This Row],[Début periode livraison]]))</f>
        <v>0</v>
      </c>
      <c r="Q506" t="e">
        <f ca="1">INDEX(INDIRECT(CONCATENATE("Tab_",Tab_Calculs[[#This Row],[Colonne1]])),Tab_Calculs[[#This Row],[index_date_livraison]]+1,7)*(Tab_Calculs[[#This Row],[fin mois]]-MIN(Tab_Calculs[[#This Row],[fin mois]],Tab_Calculs[[#This Row],[Date_livraison]]))</f>
        <v>#VALUE!</v>
      </c>
      <c r="R506" t="e">
        <f ca="1">Tab_Calculs[[#This Row],[Ratio_Cout_après_livr]]+Tab_Calculs[[#This Row],[Ratio_Cout_avant_livr]]+Tab_Calculs[[#This Row],[Ratio_Cout_avant_debut]]</f>
        <v>#VALUE!</v>
      </c>
      <c r="S506" t="str">
        <f ca="1">IFERROR(N506*VLOOKUP(Tab_Calculs[[#This Row],[Colonne1]],Controle_des_données!$B$7:$G$14,6,FALSE),"")</f>
        <v/>
      </c>
      <c r="T506" t="str">
        <f ca="1">IF(Tab_Calculs[[#This Row],[Combustible ]]="Electricité (kWh)",Tab_Calculs[[#This Row],[Conso_mois_kWh]]*2.3,Tab_Calculs[[#This Row],[Conso_mois_kWh]])</f>
        <v/>
      </c>
      <c r="U506" t="str">
        <f ca="1">IFERROR(N506*VLOOKUP(Tab_Calculs[[#This Row],[Colonne1]],Controle_des_données!$B$7:$H$14,7,FALSE),"")</f>
        <v/>
      </c>
      <c r="V506">
        <f ca="1">IFERROR(Tab_Calculs[[#This Row],[Cout_mois]]/Tab_Calculs[[#This Row],[Conso_mois_kWh]],0)</f>
        <v>0</v>
      </c>
      <c r="W506" t="str">
        <f>T(VLOOKUP(Tab_Calculs[[#This Row],[Compteur]],Site!$B$33:$G$40,3,FALSE))</f>
        <v/>
      </c>
      <c r="X506" t="str">
        <f>T(VLOOKUP(Tab_Calculs[[#This Row],[Compteur]],Site!$B$33:$G$40,4,FALSE))</f>
        <v/>
      </c>
      <c r="Y506" t="str">
        <f>T(VLOOKUP(Tab_Calculs[[#This Row],[Compteur]],Site!$B$33:$G$40,5,FALSE))</f>
        <v/>
      </c>
      <c r="Z506" t="str">
        <f>T(VLOOKUP(Tab_Calculs[[#This Row],[Compteur]],Site!$B$33:$G$40,6,FALSE))</f>
        <v/>
      </c>
      <c r="AA506">
        <f>IFERROR(GETPIVOTDATA("DJU(chauffagiste)",BDD_DJU!$P$13,"annee",Tab_Calculs[[#This Row],[ANNEE]],"mois_numero",Tab_Calculs[[#This Row],[MOIS]]),0)</f>
        <v>54.1</v>
      </c>
    </row>
    <row r="507" spans="1:27" x14ac:dyDescent="0.25">
      <c r="A507" s="3">
        <f>DATE(Tab_Calculs[[#This Row],[ANNEE]],Tab_Calculs[[#This Row],[MOIS]],1)</f>
        <v>43647</v>
      </c>
      <c r="B507" s="3">
        <f>EDATE(Tab_Calculs[[#This Row],[Début mois]],1)-1</f>
        <v>43677</v>
      </c>
      <c r="C507">
        <f t="shared" si="15"/>
        <v>7</v>
      </c>
      <c r="D507">
        <f t="shared" si="14"/>
        <v>2019</v>
      </c>
      <c r="E507" t="s">
        <v>82</v>
      </c>
      <c r="F507" t="str">
        <f>SUBSTITUTE(Tab_Calculs[[#This Row],[Compteur]]," ","_")</f>
        <v>Compteur_3</v>
      </c>
      <c r="G507" t="str">
        <f>T(INDEX(Site!$B$33:$G$40, MATCH(Tab_Calculs[[#This Row],[Compteur]], Site!$B$33:$B$40,0),2))</f>
        <v/>
      </c>
      <c r="H507" s="3">
        <f t="array" aca="1" ref="H507" ca="1">MIN(IF(INDIRECT(CONCATENATE(Tab_Calculs[[#This Row],[Colonne1]],"!$B$2:$B$243"))&gt;=Calculs_Consos!$A507,INDIRECT(CONCATENATE(Tab_Calculs[[#This Row],[Colonne1]],"!$B$2:$B$243"))))</f>
        <v>0</v>
      </c>
      <c r="I507" s="3">
        <f ca="1">INDEX(INDIRECT(CONCATENATE("Tab_",Tab_Calculs[[#This Row],[Colonne1]])),Tab_Calculs[[#This Row],[index_date_livraison]],1)</f>
        <v>0</v>
      </c>
      <c r="J507">
        <f ca="1">MATCH(Tab_Calculs[[#This Row],[Date_livraison]],INDIRECT(CONCATENATE("Tab_",Tab_Calculs[[#This Row],[Colonne1]],"[Fin de période]")),0)</f>
        <v>1</v>
      </c>
      <c r="K507" t="e">
        <f ca="1">INDEX(INDIRECT(CONCATENATE("Tab_",Tab_Calculs[[#This Row],[Colonne1]])),Tab_Calculs[[#This Row],[index_date_livraison]]-1,6)*(MAX(Tab_Calculs[[#This Row],[Début periode livraison]],Tab_Calculs[[#This Row],[Début mois]])-Tab_Calculs[[#This Row],[Début mois]])</f>
        <v>#VALUE!</v>
      </c>
      <c r="L507" s="94">
        <f ca="1">INDEX(INDIRECT(CONCATENATE("Tab_",Tab_Calculs[[#This Row],[Colonne1]])),Tab_Calculs[[#This Row],[index_date_livraison]],6)*(1+MIN(Tab_Calculs[[#This Row],[Date_livraison]],Tab_Calculs[[#This Row],[fin mois]])-MAX(Tab_Calculs[[#This Row],[Début mois]],Tab_Calculs[[#This Row],[Début periode livraison]]))</f>
        <v>0</v>
      </c>
      <c r="M507" s="94" t="e">
        <f ca="1">INDEX(INDIRECT(CONCATENATE("Tab_",Tab_Calculs[[#This Row],[Colonne1]])),Tab_Calculs[[#This Row],[index_date_livraison]]+1,6)*(Tab_Calculs[[#This Row],[fin mois]]-MIN(Tab_Calculs[[#This Row],[fin mois]],Tab_Calculs[[#This Row],[Date_livraison]]))</f>
        <v>#VALUE!</v>
      </c>
      <c r="N507" s="231" t="str">
        <f ca="1">IFERROR(Tab_Calculs[[#This Row],[Ratio_jour_après_livr]]+Tab_Calculs[[#This Row],[Ratio_jour_avant_livr]]+Tab_Calculs[[#This Row],[ratio_avant_debut]],"")</f>
        <v/>
      </c>
      <c r="O507" t="e">
        <f ca="1">INDEX(INDIRECT(CONCATENATE("Tab_",Tab_Calculs[[#This Row],[Colonne1]])),Tab_Calculs[[#This Row],[index_date_livraison]]-1,7)*(MAX(Tab_Calculs[[#This Row],[Début periode livraison]],Tab_Calculs[[#This Row],[Début mois]])-Tab_Calculs[[#This Row],[Début mois]])</f>
        <v>#VALUE!</v>
      </c>
      <c r="P507">
        <f ca="1">INDEX(INDIRECT(CONCATENATE("Tab_",Tab_Calculs[[#This Row],[Colonne1]])),Tab_Calculs[[#This Row],[index_date_livraison]],7)*(1+MIN(Tab_Calculs[[#This Row],[Date_livraison]],Tab_Calculs[[#This Row],[fin mois]])-MAX(Tab_Calculs[[#This Row],[Début mois]],Tab_Calculs[[#This Row],[Début periode livraison]]))</f>
        <v>0</v>
      </c>
      <c r="Q507" t="e">
        <f ca="1">INDEX(INDIRECT(CONCATENATE("Tab_",Tab_Calculs[[#This Row],[Colonne1]])),Tab_Calculs[[#This Row],[index_date_livraison]]+1,7)*(Tab_Calculs[[#This Row],[fin mois]]-MIN(Tab_Calculs[[#This Row],[fin mois]],Tab_Calculs[[#This Row],[Date_livraison]]))</f>
        <v>#VALUE!</v>
      </c>
      <c r="R507" t="e">
        <f ca="1">Tab_Calculs[[#This Row],[Ratio_Cout_après_livr]]+Tab_Calculs[[#This Row],[Ratio_Cout_avant_livr]]+Tab_Calculs[[#This Row],[Ratio_Cout_avant_debut]]</f>
        <v>#VALUE!</v>
      </c>
      <c r="S507" t="str">
        <f ca="1">IFERROR(N507*VLOOKUP(Tab_Calculs[[#This Row],[Colonne1]],Controle_des_données!$B$7:$G$14,6,FALSE),"")</f>
        <v/>
      </c>
      <c r="T507" t="str">
        <f ca="1">IF(Tab_Calculs[[#This Row],[Combustible ]]="Electricité (kWh)",Tab_Calculs[[#This Row],[Conso_mois_kWh]]*2.3,Tab_Calculs[[#This Row],[Conso_mois_kWh]])</f>
        <v/>
      </c>
      <c r="U507" t="str">
        <f ca="1">IFERROR(N507*VLOOKUP(Tab_Calculs[[#This Row],[Colonne1]],Controle_des_données!$B$7:$H$14,7,FALSE),"")</f>
        <v/>
      </c>
      <c r="V507">
        <f ca="1">IFERROR(Tab_Calculs[[#This Row],[Cout_mois]]/Tab_Calculs[[#This Row],[Conso_mois_kWh]],0)</f>
        <v>0</v>
      </c>
      <c r="W507" t="str">
        <f>T(VLOOKUP(Tab_Calculs[[#This Row],[Compteur]],Site!$B$33:$G$40,3,FALSE))</f>
        <v/>
      </c>
      <c r="X507" t="str">
        <f>T(VLOOKUP(Tab_Calculs[[#This Row],[Compteur]],Site!$B$33:$G$40,4,FALSE))</f>
        <v/>
      </c>
      <c r="Y507" t="str">
        <f>T(VLOOKUP(Tab_Calculs[[#This Row],[Compteur]],Site!$B$33:$G$40,5,FALSE))</f>
        <v/>
      </c>
      <c r="Z507" t="str">
        <f>T(VLOOKUP(Tab_Calculs[[#This Row],[Compteur]],Site!$B$33:$G$40,6,FALSE))</f>
        <v/>
      </c>
      <c r="AA507">
        <f>IFERROR(GETPIVOTDATA("DJU(chauffagiste)",BDD_DJU!$P$13,"annee",Tab_Calculs[[#This Row],[ANNEE]],"mois_numero",Tab_Calculs[[#This Row],[MOIS]]),0)</f>
        <v>15.5</v>
      </c>
    </row>
    <row r="508" spans="1:27" x14ac:dyDescent="0.25">
      <c r="A508" s="3">
        <f>DATE(Tab_Calculs[[#This Row],[ANNEE]],Tab_Calculs[[#This Row],[MOIS]],1)</f>
        <v>43678</v>
      </c>
      <c r="B508" s="3">
        <f>EDATE(Tab_Calculs[[#This Row],[Début mois]],1)-1</f>
        <v>43708</v>
      </c>
      <c r="C508">
        <f t="shared" si="15"/>
        <v>8</v>
      </c>
      <c r="D508">
        <f t="shared" si="14"/>
        <v>2019</v>
      </c>
      <c r="E508" t="s">
        <v>82</v>
      </c>
      <c r="F508" t="str">
        <f>SUBSTITUTE(Tab_Calculs[[#This Row],[Compteur]]," ","_")</f>
        <v>Compteur_3</v>
      </c>
      <c r="G508" t="str">
        <f>T(INDEX(Site!$B$33:$G$40, MATCH(Tab_Calculs[[#This Row],[Compteur]], Site!$B$33:$B$40,0),2))</f>
        <v/>
      </c>
      <c r="H508" s="3">
        <f t="array" aca="1" ref="H508" ca="1">MIN(IF(INDIRECT(CONCATENATE(Tab_Calculs[[#This Row],[Colonne1]],"!$B$2:$B$243"))&gt;=Calculs_Consos!$A508,INDIRECT(CONCATENATE(Tab_Calculs[[#This Row],[Colonne1]],"!$B$2:$B$243"))))</f>
        <v>0</v>
      </c>
      <c r="I508" s="3">
        <f ca="1">INDEX(INDIRECT(CONCATENATE("Tab_",Tab_Calculs[[#This Row],[Colonne1]])),Tab_Calculs[[#This Row],[index_date_livraison]],1)</f>
        <v>0</v>
      </c>
      <c r="J508">
        <f ca="1">MATCH(Tab_Calculs[[#This Row],[Date_livraison]],INDIRECT(CONCATENATE("Tab_",Tab_Calculs[[#This Row],[Colonne1]],"[Fin de période]")),0)</f>
        <v>1</v>
      </c>
      <c r="K508" t="e">
        <f ca="1">INDEX(INDIRECT(CONCATENATE("Tab_",Tab_Calculs[[#This Row],[Colonne1]])),Tab_Calculs[[#This Row],[index_date_livraison]]-1,6)*(MAX(Tab_Calculs[[#This Row],[Début periode livraison]],Tab_Calculs[[#This Row],[Début mois]])-Tab_Calculs[[#This Row],[Début mois]])</f>
        <v>#VALUE!</v>
      </c>
      <c r="L508" s="94">
        <f ca="1">INDEX(INDIRECT(CONCATENATE("Tab_",Tab_Calculs[[#This Row],[Colonne1]])),Tab_Calculs[[#This Row],[index_date_livraison]],6)*(1+MIN(Tab_Calculs[[#This Row],[Date_livraison]],Tab_Calculs[[#This Row],[fin mois]])-MAX(Tab_Calculs[[#This Row],[Début mois]],Tab_Calculs[[#This Row],[Début periode livraison]]))</f>
        <v>0</v>
      </c>
      <c r="M508" s="94" t="e">
        <f ca="1">INDEX(INDIRECT(CONCATENATE("Tab_",Tab_Calculs[[#This Row],[Colonne1]])),Tab_Calculs[[#This Row],[index_date_livraison]]+1,6)*(Tab_Calculs[[#This Row],[fin mois]]-MIN(Tab_Calculs[[#This Row],[fin mois]],Tab_Calculs[[#This Row],[Date_livraison]]))</f>
        <v>#VALUE!</v>
      </c>
      <c r="N508" s="231" t="str">
        <f ca="1">IFERROR(Tab_Calculs[[#This Row],[Ratio_jour_après_livr]]+Tab_Calculs[[#This Row],[Ratio_jour_avant_livr]]+Tab_Calculs[[#This Row],[ratio_avant_debut]],"")</f>
        <v/>
      </c>
      <c r="O508" t="e">
        <f ca="1">INDEX(INDIRECT(CONCATENATE("Tab_",Tab_Calculs[[#This Row],[Colonne1]])),Tab_Calculs[[#This Row],[index_date_livraison]]-1,7)*(MAX(Tab_Calculs[[#This Row],[Début periode livraison]],Tab_Calculs[[#This Row],[Début mois]])-Tab_Calculs[[#This Row],[Début mois]])</f>
        <v>#VALUE!</v>
      </c>
      <c r="P508">
        <f ca="1">INDEX(INDIRECT(CONCATENATE("Tab_",Tab_Calculs[[#This Row],[Colonne1]])),Tab_Calculs[[#This Row],[index_date_livraison]],7)*(1+MIN(Tab_Calculs[[#This Row],[Date_livraison]],Tab_Calculs[[#This Row],[fin mois]])-MAX(Tab_Calculs[[#This Row],[Début mois]],Tab_Calculs[[#This Row],[Début periode livraison]]))</f>
        <v>0</v>
      </c>
      <c r="Q508" t="e">
        <f ca="1">INDEX(INDIRECT(CONCATENATE("Tab_",Tab_Calculs[[#This Row],[Colonne1]])),Tab_Calculs[[#This Row],[index_date_livraison]]+1,7)*(Tab_Calculs[[#This Row],[fin mois]]-MIN(Tab_Calculs[[#This Row],[fin mois]],Tab_Calculs[[#This Row],[Date_livraison]]))</f>
        <v>#VALUE!</v>
      </c>
      <c r="R508" t="e">
        <f ca="1">Tab_Calculs[[#This Row],[Ratio_Cout_après_livr]]+Tab_Calculs[[#This Row],[Ratio_Cout_avant_livr]]+Tab_Calculs[[#This Row],[Ratio_Cout_avant_debut]]</f>
        <v>#VALUE!</v>
      </c>
      <c r="S508" t="str">
        <f ca="1">IFERROR(N508*VLOOKUP(Tab_Calculs[[#This Row],[Colonne1]],Controle_des_données!$B$7:$G$14,6,FALSE),"")</f>
        <v/>
      </c>
      <c r="T508" t="str">
        <f ca="1">IF(Tab_Calculs[[#This Row],[Combustible ]]="Electricité (kWh)",Tab_Calculs[[#This Row],[Conso_mois_kWh]]*2.3,Tab_Calculs[[#This Row],[Conso_mois_kWh]])</f>
        <v/>
      </c>
      <c r="U508" t="str">
        <f ca="1">IFERROR(N508*VLOOKUP(Tab_Calculs[[#This Row],[Colonne1]],Controle_des_données!$B$7:$H$14,7,FALSE),"")</f>
        <v/>
      </c>
      <c r="V508">
        <f ca="1">IFERROR(Tab_Calculs[[#This Row],[Cout_mois]]/Tab_Calculs[[#This Row],[Conso_mois_kWh]],0)</f>
        <v>0</v>
      </c>
      <c r="W508" t="str">
        <f>T(VLOOKUP(Tab_Calculs[[#This Row],[Compteur]],Site!$B$33:$G$40,3,FALSE))</f>
        <v/>
      </c>
      <c r="X508" t="str">
        <f>T(VLOOKUP(Tab_Calculs[[#This Row],[Compteur]],Site!$B$33:$G$40,4,FALSE))</f>
        <v/>
      </c>
      <c r="Y508" t="str">
        <f>T(VLOOKUP(Tab_Calculs[[#This Row],[Compteur]],Site!$B$33:$G$40,5,FALSE))</f>
        <v/>
      </c>
      <c r="Z508" t="str">
        <f>T(VLOOKUP(Tab_Calculs[[#This Row],[Compteur]],Site!$B$33:$G$40,6,FALSE))</f>
        <v/>
      </c>
      <c r="AA508">
        <f>IFERROR(GETPIVOTDATA("DJU(chauffagiste)",BDD_DJU!$P$13,"annee",Tab_Calculs[[#This Row],[ANNEE]],"mois_numero",Tab_Calculs[[#This Row],[MOIS]]),0)</f>
        <v>30.2</v>
      </c>
    </row>
    <row r="509" spans="1:27" x14ac:dyDescent="0.25">
      <c r="A509" s="3">
        <f>DATE(Tab_Calculs[[#This Row],[ANNEE]],Tab_Calculs[[#This Row],[MOIS]],1)</f>
        <v>43709</v>
      </c>
      <c r="B509" s="3">
        <f>EDATE(Tab_Calculs[[#This Row],[Début mois]],1)-1</f>
        <v>43738</v>
      </c>
      <c r="C509">
        <f t="shared" si="15"/>
        <v>9</v>
      </c>
      <c r="D509">
        <f t="shared" si="14"/>
        <v>2019</v>
      </c>
      <c r="E509" t="s">
        <v>82</v>
      </c>
      <c r="F509" t="str">
        <f>SUBSTITUTE(Tab_Calculs[[#This Row],[Compteur]]," ","_")</f>
        <v>Compteur_3</v>
      </c>
      <c r="G509" t="str">
        <f>T(INDEX(Site!$B$33:$G$40, MATCH(Tab_Calculs[[#This Row],[Compteur]], Site!$B$33:$B$40,0),2))</f>
        <v/>
      </c>
      <c r="H509" s="3">
        <f t="array" aca="1" ref="H509" ca="1">MIN(IF(INDIRECT(CONCATENATE(Tab_Calculs[[#This Row],[Colonne1]],"!$B$2:$B$243"))&gt;=Calculs_Consos!$A509,INDIRECT(CONCATENATE(Tab_Calculs[[#This Row],[Colonne1]],"!$B$2:$B$243"))))</f>
        <v>0</v>
      </c>
      <c r="I509" s="3">
        <f ca="1">INDEX(INDIRECT(CONCATENATE("Tab_",Tab_Calculs[[#This Row],[Colonne1]])),Tab_Calculs[[#This Row],[index_date_livraison]],1)</f>
        <v>0</v>
      </c>
      <c r="J509">
        <f ca="1">MATCH(Tab_Calculs[[#This Row],[Date_livraison]],INDIRECT(CONCATENATE("Tab_",Tab_Calculs[[#This Row],[Colonne1]],"[Fin de période]")),0)</f>
        <v>1</v>
      </c>
      <c r="K509" t="e">
        <f ca="1">INDEX(INDIRECT(CONCATENATE("Tab_",Tab_Calculs[[#This Row],[Colonne1]])),Tab_Calculs[[#This Row],[index_date_livraison]]-1,6)*(MAX(Tab_Calculs[[#This Row],[Début periode livraison]],Tab_Calculs[[#This Row],[Début mois]])-Tab_Calculs[[#This Row],[Début mois]])</f>
        <v>#VALUE!</v>
      </c>
      <c r="L509" s="94">
        <f ca="1">INDEX(INDIRECT(CONCATENATE("Tab_",Tab_Calculs[[#This Row],[Colonne1]])),Tab_Calculs[[#This Row],[index_date_livraison]],6)*(1+MIN(Tab_Calculs[[#This Row],[Date_livraison]],Tab_Calculs[[#This Row],[fin mois]])-MAX(Tab_Calculs[[#This Row],[Début mois]],Tab_Calculs[[#This Row],[Début periode livraison]]))</f>
        <v>0</v>
      </c>
      <c r="M509" s="94" t="e">
        <f ca="1">INDEX(INDIRECT(CONCATENATE("Tab_",Tab_Calculs[[#This Row],[Colonne1]])),Tab_Calculs[[#This Row],[index_date_livraison]]+1,6)*(Tab_Calculs[[#This Row],[fin mois]]-MIN(Tab_Calculs[[#This Row],[fin mois]],Tab_Calculs[[#This Row],[Date_livraison]]))</f>
        <v>#VALUE!</v>
      </c>
      <c r="N509" s="231" t="str">
        <f ca="1">IFERROR(Tab_Calculs[[#This Row],[Ratio_jour_après_livr]]+Tab_Calculs[[#This Row],[Ratio_jour_avant_livr]]+Tab_Calculs[[#This Row],[ratio_avant_debut]],"")</f>
        <v/>
      </c>
      <c r="O509" t="e">
        <f ca="1">INDEX(INDIRECT(CONCATENATE("Tab_",Tab_Calculs[[#This Row],[Colonne1]])),Tab_Calculs[[#This Row],[index_date_livraison]]-1,7)*(MAX(Tab_Calculs[[#This Row],[Début periode livraison]],Tab_Calculs[[#This Row],[Début mois]])-Tab_Calculs[[#This Row],[Début mois]])</f>
        <v>#VALUE!</v>
      </c>
      <c r="P509">
        <f ca="1">INDEX(INDIRECT(CONCATENATE("Tab_",Tab_Calculs[[#This Row],[Colonne1]])),Tab_Calculs[[#This Row],[index_date_livraison]],7)*(1+MIN(Tab_Calculs[[#This Row],[Date_livraison]],Tab_Calculs[[#This Row],[fin mois]])-MAX(Tab_Calculs[[#This Row],[Début mois]],Tab_Calculs[[#This Row],[Début periode livraison]]))</f>
        <v>0</v>
      </c>
      <c r="Q509" t="e">
        <f ca="1">INDEX(INDIRECT(CONCATENATE("Tab_",Tab_Calculs[[#This Row],[Colonne1]])),Tab_Calculs[[#This Row],[index_date_livraison]]+1,7)*(Tab_Calculs[[#This Row],[fin mois]]-MIN(Tab_Calculs[[#This Row],[fin mois]],Tab_Calculs[[#This Row],[Date_livraison]]))</f>
        <v>#VALUE!</v>
      </c>
      <c r="R509" t="e">
        <f ca="1">Tab_Calculs[[#This Row],[Ratio_Cout_après_livr]]+Tab_Calculs[[#This Row],[Ratio_Cout_avant_livr]]+Tab_Calculs[[#This Row],[Ratio_Cout_avant_debut]]</f>
        <v>#VALUE!</v>
      </c>
      <c r="S509" t="str">
        <f ca="1">IFERROR(N509*VLOOKUP(Tab_Calculs[[#This Row],[Colonne1]],Controle_des_données!$B$7:$G$14,6,FALSE),"")</f>
        <v/>
      </c>
      <c r="T509" t="str">
        <f ca="1">IF(Tab_Calculs[[#This Row],[Combustible ]]="Electricité (kWh)",Tab_Calculs[[#This Row],[Conso_mois_kWh]]*2.3,Tab_Calculs[[#This Row],[Conso_mois_kWh]])</f>
        <v/>
      </c>
      <c r="U509" t="str">
        <f ca="1">IFERROR(N509*VLOOKUP(Tab_Calculs[[#This Row],[Colonne1]],Controle_des_données!$B$7:$H$14,7,FALSE),"")</f>
        <v/>
      </c>
      <c r="V509">
        <f ca="1">IFERROR(Tab_Calculs[[#This Row],[Cout_mois]]/Tab_Calculs[[#This Row],[Conso_mois_kWh]],0)</f>
        <v>0</v>
      </c>
      <c r="W509" t="str">
        <f>T(VLOOKUP(Tab_Calculs[[#This Row],[Compteur]],Site!$B$33:$G$40,3,FALSE))</f>
        <v/>
      </c>
      <c r="X509" t="str">
        <f>T(VLOOKUP(Tab_Calculs[[#This Row],[Compteur]],Site!$B$33:$G$40,4,FALSE))</f>
        <v/>
      </c>
      <c r="Y509" t="str">
        <f>T(VLOOKUP(Tab_Calculs[[#This Row],[Compteur]],Site!$B$33:$G$40,5,FALSE))</f>
        <v/>
      </c>
      <c r="Z509" t="str">
        <f>T(VLOOKUP(Tab_Calculs[[#This Row],[Compteur]],Site!$B$33:$G$40,6,FALSE))</f>
        <v/>
      </c>
      <c r="AA509">
        <f>IFERROR(GETPIVOTDATA("DJU(chauffagiste)",BDD_DJU!$P$13,"annee",Tab_Calculs[[#This Row],[ANNEE]],"mois_numero",Tab_Calculs[[#This Row],[MOIS]]),0)</f>
        <v>64.7</v>
      </c>
    </row>
    <row r="510" spans="1:27" x14ac:dyDescent="0.25">
      <c r="A510" s="3">
        <f>DATE(Tab_Calculs[[#This Row],[ANNEE]],Tab_Calculs[[#This Row],[MOIS]],1)</f>
        <v>43739</v>
      </c>
      <c r="B510" s="3">
        <f>EDATE(Tab_Calculs[[#This Row],[Début mois]],1)-1</f>
        <v>43769</v>
      </c>
      <c r="C510">
        <f t="shared" si="15"/>
        <v>10</v>
      </c>
      <c r="D510">
        <f t="shared" si="14"/>
        <v>2019</v>
      </c>
      <c r="E510" t="s">
        <v>82</v>
      </c>
      <c r="F510" t="str">
        <f>SUBSTITUTE(Tab_Calculs[[#This Row],[Compteur]]," ","_")</f>
        <v>Compteur_3</v>
      </c>
      <c r="G510" t="str">
        <f>T(INDEX(Site!$B$33:$G$40, MATCH(Tab_Calculs[[#This Row],[Compteur]], Site!$B$33:$B$40,0),2))</f>
        <v/>
      </c>
      <c r="H510" s="3">
        <f t="array" aca="1" ref="H510" ca="1">MIN(IF(INDIRECT(CONCATENATE(Tab_Calculs[[#This Row],[Colonne1]],"!$B$2:$B$243"))&gt;=Calculs_Consos!$A510,INDIRECT(CONCATENATE(Tab_Calculs[[#This Row],[Colonne1]],"!$B$2:$B$243"))))</f>
        <v>0</v>
      </c>
      <c r="I510" s="3">
        <f ca="1">INDEX(INDIRECT(CONCATENATE("Tab_",Tab_Calculs[[#This Row],[Colonne1]])),Tab_Calculs[[#This Row],[index_date_livraison]],1)</f>
        <v>0</v>
      </c>
      <c r="J510">
        <f ca="1">MATCH(Tab_Calculs[[#This Row],[Date_livraison]],INDIRECT(CONCATENATE("Tab_",Tab_Calculs[[#This Row],[Colonne1]],"[Fin de période]")),0)</f>
        <v>1</v>
      </c>
      <c r="K510" t="e">
        <f ca="1">INDEX(INDIRECT(CONCATENATE("Tab_",Tab_Calculs[[#This Row],[Colonne1]])),Tab_Calculs[[#This Row],[index_date_livraison]]-1,6)*(MAX(Tab_Calculs[[#This Row],[Début periode livraison]],Tab_Calculs[[#This Row],[Début mois]])-Tab_Calculs[[#This Row],[Début mois]])</f>
        <v>#VALUE!</v>
      </c>
      <c r="L510" s="94">
        <f ca="1">INDEX(INDIRECT(CONCATENATE("Tab_",Tab_Calculs[[#This Row],[Colonne1]])),Tab_Calculs[[#This Row],[index_date_livraison]],6)*(1+MIN(Tab_Calculs[[#This Row],[Date_livraison]],Tab_Calculs[[#This Row],[fin mois]])-MAX(Tab_Calculs[[#This Row],[Début mois]],Tab_Calculs[[#This Row],[Début periode livraison]]))</f>
        <v>0</v>
      </c>
      <c r="M510" s="94" t="e">
        <f ca="1">INDEX(INDIRECT(CONCATENATE("Tab_",Tab_Calculs[[#This Row],[Colonne1]])),Tab_Calculs[[#This Row],[index_date_livraison]]+1,6)*(Tab_Calculs[[#This Row],[fin mois]]-MIN(Tab_Calculs[[#This Row],[fin mois]],Tab_Calculs[[#This Row],[Date_livraison]]))</f>
        <v>#VALUE!</v>
      </c>
      <c r="N510" s="231" t="str">
        <f ca="1">IFERROR(Tab_Calculs[[#This Row],[Ratio_jour_après_livr]]+Tab_Calculs[[#This Row],[Ratio_jour_avant_livr]]+Tab_Calculs[[#This Row],[ratio_avant_debut]],"")</f>
        <v/>
      </c>
      <c r="O510" t="e">
        <f ca="1">INDEX(INDIRECT(CONCATENATE("Tab_",Tab_Calculs[[#This Row],[Colonne1]])),Tab_Calculs[[#This Row],[index_date_livraison]]-1,7)*(MAX(Tab_Calculs[[#This Row],[Début periode livraison]],Tab_Calculs[[#This Row],[Début mois]])-Tab_Calculs[[#This Row],[Début mois]])</f>
        <v>#VALUE!</v>
      </c>
      <c r="P510">
        <f ca="1">INDEX(INDIRECT(CONCATENATE("Tab_",Tab_Calculs[[#This Row],[Colonne1]])),Tab_Calculs[[#This Row],[index_date_livraison]],7)*(1+MIN(Tab_Calculs[[#This Row],[Date_livraison]],Tab_Calculs[[#This Row],[fin mois]])-MAX(Tab_Calculs[[#This Row],[Début mois]],Tab_Calculs[[#This Row],[Début periode livraison]]))</f>
        <v>0</v>
      </c>
      <c r="Q510" t="e">
        <f ca="1">INDEX(INDIRECT(CONCATENATE("Tab_",Tab_Calculs[[#This Row],[Colonne1]])),Tab_Calculs[[#This Row],[index_date_livraison]]+1,7)*(Tab_Calculs[[#This Row],[fin mois]]-MIN(Tab_Calculs[[#This Row],[fin mois]],Tab_Calculs[[#This Row],[Date_livraison]]))</f>
        <v>#VALUE!</v>
      </c>
      <c r="R510" t="e">
        <f ca="1">Tab_Calculs[[#This Row],[Ratio_Cout_après_livr]]+Tab_Calculs[[#This Row],[Ratio_Cout_avant_livr]]+Tab_Calculs[[#This Row],[Ratio_Cout_avant_debut]]</f>
        <v>#VALUE!</v>
      </c>
      <c r="S510" t="str">
        <f ca="1">IFERROR(N510*VLOOKUP(Tab_Calculs[[#This Row],[Colonne1]],Controle_des_données!$B$7:$G$14,6,FALSE),"")</f>
        <v/>
      </c>
      <c r="T510" t="str">
        <f ca="1">IF(Tab_Calculs[[#This Row],[Combustible ]]="Electricité (kWh)",Tab_Calculs[[#This Row],[Conso_mois_kWh]]*2.3,Tab_Calculs[[#This Row],[Conso_mois_kWh]])</f>
        <v/>
      </c>
      <c r="U510" t="str">
        <f ca="1">IFERROR(N510*VLOOKUP(Tab_Calculs[[#This Row],[Colonne1]],Controle_des_données!$B$7:$H$14,7,FALSE),"")</f>
        <v/>
      </c>
      <c r="V510">
        <f ca="1">IFERROR(Tab_Calculs[[#This Row],[Cout_mois]]/Tab_Calculs[[#This Row],[Conso_mois_kWh]],0)</f>
        <v>0</v>
      </c>
      <c r="W510" t="str">
        <f>T(VLOOKUP(Tab_Calculs[[#This Row],[Compteur]],Site!$B$33:$G$40,3,FALSE))</f>
        <v/>
      </c>
      <c r="X510" t="str">
        <f>T(VLOOKUP(Tab_Calculs[[#This Row],[Compteur]],Site!$B$33:$G$40,4,FALSE))</f>
        <v/>
      </c>
      <c r="Y510" t="str">
        <f>T(VLOOKUP(Tab_Calculs[[#This Row],[Compteur]],Site!$B$33:$G$40,5,FALSE))</f>
        <v/>
      </c>
      <c r="Z510" t="str">
        <f>T(VLOOKUP(Tab_Calculs[[#This Row],[Compteur]],Site!$B$33:$G$40,6,FALSE))</f>
        <v/>
      </c>
      <c r="AA510">
        <f>IFERROR(GETPIVOTDATA("DJU(chauffagiste)",BDD_DJU!$P$13,"annee",Tab_Calculs[[#This Row],[ANNEE]],"mois_numero",Tab_Calculs[[#This Row],[MOIS]]),0)</f>
        <v>128.80000000000001</v>
      </c>
    </row>
    <row r="511" spans="1:27" x14ac:dyDescent="0.25">
      <c r="A511" s="3">
        <f>DATE(Tab_Calculs[[#This Row],[ANNEE]],Tab_Calculs[[#This Row],[MOIS]],1)</f>
        <v>43770</v>
      </c>
      <c r="B511" s="3">
        <f>EDATE(Tab_Calculs[[#This Row],[Début mois]],1)-1</f>
        <v>43799</v>
      </c>
      <c r="C511">
        <f t="shared" si="15"/>
        <v>11</v>
      </c>
      <c r="D511">
        <f t="shared" si="14"/>
        <v>2019</v>
      </c>
      <c r="E511" t="s">
        <v>82</v>
      </c>
      <c r="F511" t="str">
        <f>SUBSTITUTE(Tab_Calculs[[#This Row],[Compteur]]," ","_")</f>
        <v>Compteur_3</v>
      </c>
      <c r="G511" t="str">
        <f>T(INDEX(Site!$B$33:$G$40, MATCH(Tab_Calculs[[#This Row],[Compteur]], Site!$B$33:$B$40,0),2))</f>
        <v/>
      </c>
      <c r="H511" s="3">
        <f t="array" aca="1" ref="H511" ca="1">MIN(IF(INDIRECT(CONCATENATE(Tab_Calculs[[#This Row],[Colonne1]],"!$B$2:$B$243"))&gt;=Calculs_Consos!$A511,INDIRECT(CONCATENATE(Tab_Calculs[[#This Row],[Colonne1]],"!$B$2:$B$243"))))</f>
        <v>0</v>
      </c>
      <c r="I511" s="3">
        <f ca="1">INDEX(INDIRECT(CONCATENATE("Tab_",Tab_Calculs[[#This Row],[Colonne1]])),Tab_Calculs[[#This Row],[index_date_livraison]],1)</f>
        <v>0</v>
      </c>
      <c r="J511">
        <f ca="1">MATCH(Tab_Calculs[[#This Row],[Date_livraison]],INDIRECT(CONCATENATE("Tab_",Tab_Calculs[[#This Row],[Colonne1]],"[Fin de période]")),0)</f>
        <v>1</v>
      </c>
      <c r="K511" t="e">
        <f ca="1">INDEX(INDIRECT(CONCATENATE("Tab_",Tab_Calculs[[#This Row],[Colonne1]])),Tab_Calculs[[#This Row],[index_date_livraison]]-1,6)*(MAX(Tab_Calculs[[#This Row],[Début periode livraison]],Tab_Calculs[[#This Row],[Début mois]])-Tab_Calculs[[#This Row],[Début mois]])</f>
        <v>#VALUE!</v>
      </c>
      <c r="L511" s="94">
        <f ca="1">INDEX(INDIRECT(CONCATENATE("Tab_",Tab_Calculs[[#This Row],[Colonne1]])),Tab_Calculs[[#This Row],[index_date_livraison]],6)*(1+MIN(Tab_Calculs[[#This Row],[Date_livraison]],Tab_Calculs[[#This Row],[fin mois]])-MAX(Tab_Calculs[[#This Row],[Début mois]],Tab_Calculs[[#This Row],[Début periode livraison]]))</f>
        <v>0</v>
      </c>
      <c r="M511" s="94" t="e">
        <f ca="1">INDEX(INDIRECT(CONCATENATE("Tab_",Tab_Calculs[[#This Row],[Colonne1]])),Tab_Calculs[[#This Row],[index_date_livraison]]+1,6)*(Tab_Calculs[[#This Row],[fin mois]]-MIN(Tab_Calculs[[#This Row],[fin mois]],Tab_Calculs[[#This Row],[Date_livraison]]))</f>
        <v>#VALUE!</v>
      </c>
      <c r="N511" s="231" t="str">
        <f ca="1">IFERROR(Tab_Calculs[[#This Row],[Ratio_jour_après_livr]]+Tab_Calculs[[#This Row],[Ratio_jour_avant_livr]]+Tab_Calculs[[#This Row],[ratio_avant_debut]],"")</f>
        <v/>
      </c>
      <c r="O511" t="e">
        <f ca="1">INDEX(INDIRECT(CONCATENATE("Tab_",Tab_Calculs[[#This Row],[Colonne1]])),Tab_Calculs[[#This Row],[index_date_livraison]]-1,7)*(MAX(Tab_Calculs[[#This Row],[Début periode livraison]],Tab_Calculs[[#This Row],[Début mois]])-Tab_Calculs[[#This Row],[Début mois]])</f>
        <v>#VALUE!</v>
      </c>
      <c r="P511">
        <f ca="1">INDEX(INDIRECT(CONCATENATE("Tab_",Tab_Calculs[[#This Row],[Colonne1]])),Tab_Calculs[[#This Row],[index_date_livraison]],7)*(1+MIN(Tab_Calculs[[#This Row],[Date_livraison]],Tab_Calculs[[#This Row],[fin mois]])-MAX(Tab_Calculs[[#This Row],[Début mois]],Tab_Calculs[[#This Row],[Début periode livraison]]))</f>
        <v>0</v>
      </c>
      <c r="Q511" t="e">
        <f ca="1">INDEX(INDIRECT(CONCATENATE("Tab_",Tab_Calculs[[#This Row],[Colonne1]])),Tab_Calculs[[#This Row],[index_date_livraison]]+1,7)*(Tab_Calculs[[#This Row],[fin mois]]-MIN(Tab_Calculs[[#This Row],[fin mois]],Tab_Calculs[[#This Row],[Date_livraison]]))</f>
        <v>#VALUE!</v>
      </c>
      <c r="R511" t="e">
        <f ca="1">Tab_Calculs[[#This Row],[Ratio_Cout_après_livr]]+Tab_Calculs[[#This Row],[Ratio_Cout_avant_livr]]+Tab_Calculs[[#This Row],[Ratio_Cout_avant_debut]]</f>
        <v>#VALUE!</v>
      </c>
      <c r="S511" t="str">
        <f ca="1">IFERROR(N511*VLOOKUP(Tab_Calculs[[#This Row],[Colonne1]],Controle_des_données!$B$7:$G$14,6,FALSE),"")</f>
        <v/>
      </c>
      <c r="T511" t="str">
        <f ca="1">IF(Tab_Calculs[[#This Row],[Combustible ]]="Electricité (kWh)",Tab_Calculs[[#This Row],[Conso_mois_kWh]]*2.3,Tab_Calculs[[#This Row],[Conso_mois_kWh]])</f>
        <v/>
      </c>
      <c r="U511" t="str">
        <f ca="1">IFERROR(N511*VLOOKUP(Tab_Calculs[[#This Row],[Colonne1]],Controle_des_données!$B$7:$H$14,7,FALSE),"")</f>
        <v/>
      </c>
      <c r="V511">
        <f ca="1">IFERROR(Tab_Calculs[[#This Row],[Cout_mois]]/Tab_Calculs[[#This Row],[Conso_mois_kWh]],0)</f>
        <v>0</v>
      </c>
      <c r="W511" t="str">
        <f>T(VLOOKUP(Tab_Calculs[[#This Row],[Compteur]],Site!$B$33:$G$40,3,FALSE))</f>
        <v/>
      </c>
      <c r="X511" t="str">
        <f>T(VLOOKUP(Tab_Calculs[[#This Row],[Compteur]],Site!$B$33:$G$40,4,FALSE))</f>
        <v/>
      </c>
      <c r="Y511" t="str">
        <f>T(VLOOKUP(Tab_Calculs[[#This Row],[Compteur]],Site!$B$33:$G$40,5,FALSE))</f>
        <v/>
      </c>
      <c r="Z511" t="str">
        <f>T(VLOOKUP(Tab_Calculs[[#This Row],[Compteur]],Site!$B$33:$G$40,6,FALSE))</f>
        <v/>
      </c>
      <c r="AA511">
        <f>IFERROR(GETPIVOTDATA("DJU(chauffagiste)",BDD_DJU!$P$13,"annee",Tab_Calculs[[#This Row],[ANNEE]],"mois_numero",Tab_Calculs[[#This Row],[MOIS]]),0)</f>
        <v>293.10000000000002</v>
      </c>
    </row>
    <row r="512" spans="1:27" x14ac:dyDescent="0.25">
      <c r="A512" s="3">
        <f>DATE(Tab_Calculs[[#This Row],[ANNEE]],Tab_Calculs[[#This Row],[MOIS]],1)</f>
        <v>43800</v>
      </c>
      <c r="B512" s="3">
        <f>EDATE(Tab_Calculs[[#This Row],[Début mois]],1)-1</f>
        <v>43830</v>
      </c>
      <c r="C512">
        <f t="shared" si="15"/>
        <v>12</v>
      </c>
      <c r="D512">
        <f t="shared" si="14"/>
        <v>2019</v>
      </c>
      <c r="E512" t="s">
        <v>82</v>
      </c>
      <c r="F512" t="str">
        <f>SUBSTITUTE(Tab_Calculs[[#This Row],[Compteur]]," ","_")</f>
        <v>Compteur_3</v>
      </c>
      <c r="G512" t="str">
        <f>T(INDEX(Site!$B$33:$G$40, MATCH(Tab_Calculs[[#This Row],[Compteur]], Site!$B$33:$B$40,0),2))</f>
        <v/>
      </c>
      <c r="H512" s="3">
        <f t="array" aca="1" ref="H512" ca="1">MIN(IF(INDIRECT(CONCATENATE(Tab_Calculs[[#This Row],[Colonne1]],"!$B$2:$B$243"))&gt;=Calculs_Consos!$A512,INDIRECT(CONCATENATE(Tab_Calculs[[#This Row],[Colonne1]],"!$B$2:$B$243"))))</f>
        <v>0</v>
      </c>
      <c r="I512" s="3">
        <f ca="1">INDEX(INDIRECT(CONCATENATE("Tab_",Tab_Calculs[[#This Row],[Colonne1]])),Tab_Calculs[[#This Row],[index_date_livraison]],1)</f>
        <v>0</v>
      </c>
      <c r="J512">
        <f ca="1">MATCH(Tab_Calculs[[#This Row],[Date_livraison]],INDIRECT(CONCATENATE("Tab_",Tab_Calculs[[#This Row],[Colonne1]],"[Fin de période]")),0)</f>
        <v>1</v>
      </c>
      <c r="K512" t="e">
        <f ca="1">INDEX(INDIRECT(CONCATENATE("Tab_",Tab_Calculs[[#This Row],[Colonne1]])),Tab_Calculs[[#This Row],[index_date_livraison]]-1,6)*(MAX(Tab_Calculs[[#This Row],[Début periode livraison]],Tab_Calculs[[#This Row],[Début mois]])-Tab_Calculs[[#This Row],[Début mois]])</f>
        <v>#VALUE!</v>
      </c>
      <c r="L512" s="94">
        <f ca="1">INDEX(INDIRECT(CONCATENATE("Tab_",Tab_Calculs[[#This Row],[Colonne1]])),Tab_Calculs[[#This Row],[index_date_livraison]],6)*(1+MIN(Tab_Calculs[[#This Row],[Date_livraison]],Tab_Calculs[[#This Row],[fin mois]])-MAX(Tab_Calculs[[#This Row],[Début mois]],Tab_Calculs[[#This Row],[Début periode livraison]]))</f>
        <v>0</v>
      </c>
      <c r="M512" s="94" t="e">
        <f ca="1">INDEX(INDIRECT(CONCATENATE("Tab_",Tab_Calculs[[#This Row],[Colonne1]])),Tab_Calculs[[#This Row],[index_date_livraison]]+1,6)*(Tab_Calculs[[#This Row],[fin mois]]-MIN(Tab_Calculs[[#This Row],[fin mois]],Tab_Calculs[[#This Row],[Date_livraison]]))</f>
        <v>#VALUE!</v>
      </c>
      <c r="N512" s="231" t="str">
        <f ca="1">IFERROR(Tab_Calculs[[#This Row],[Ratio_jour_après_livr]]+Tab_Calculs[[#This Row],[Ratio_jour_avant_livr]]+Tab_Calculs[[#This Row],[ratio_avant_debut]],"")</f>
        <v/>
      </c>
      <c r="O512" t="e">
        <f ca="1">INDEX(INDIRECT(CONCATENATE("Tab_",Tab_Calculs[[#This Row],[Colonne1]])),Tab_Calculs[[#This Row],[index_date_livraison]]-1,7)*(MAX(Tab_Calculs[[#This Row],[Début periode livraison]],Tab_Calculs[[#This Row],[Début mois]])-Tab_Calculs[[#This Row],[Début mois]])</f>
        <v>#VALUE!</v>
      </c>
      <c r="P512">
        <f ca="1">INDEX(INDIRECT(CONCATENATE("Tab_",Tab_Calculs[[#This Row],[Colonne1]])),Tab_Calculs[[#This Row],[index_date_livraison]],7)*(1+MIN(Tab_Calculs[[#This Row],[Date_livraison]],Tab_Calculs[[#This Row],[fin mois]])-MAX(Tab_Calculs[[#This Row],[Début mois]],Tab_Calculs[[#This Row],[Début periode livraison]]))</f>
        <v>0</v>
      </c>
      <c r="Q512" t="e">
        <f ca="1">INDEX(INDIRECT(CONCATENATE("Tab_",Tab_Calculs[[#This Row],[Colonne1]])),Tab_Calculs[[#This Row],[index_date_livraison]]+1,7)*(Tab_Calculs[[#This Row],[fin mois]]-MIN(Tab_Calculs[[#This Row],[fin mois]],Tab_Calculs[[#This Row],[Date_livraison]]))</f>
        <v>#VALUE!</v>
      </c>
      <c r="R512" t="e">
        <f ca="1">Tab_Calculs[[#This Row],[Ratio_Cout_après_livr]]+Tab_Calculs[[#This Row],[Ratio_Cout_avant_livr]]+Tab_Calculs[[#This Row],[Ratio_Cout_avant_debut]]</f>
        <v>#VALUE!</v>
      </c>
      <c r="S512" t="str">
        <f ca="1">IFERROR(N512*VLOOKUP(Tab_Calculs[[#This Row],[Colonne1]],Controle_des_données!$B$7:$G$14,6,FALSE),"")</f>
        <v/>
      </c>
      <c r="T512" t="str">
        <f ca="1">IF(Tab_Calculs[[#This Row],[Combustible ]]="Electricité (kWh)",Tab_Calculs[[#This Row],[Conso_mois_kWh]]*2.3,Tab_Calculs[[#This Row],[Conso_mois_kWh]])</f>
        <v/>
      </c>
      <c r="U512" t="str">
        <f ca="1">IFERROR(N512*VLOOKUP(Tab_Calculs[[#This Row],[Colonne1]],Controle_des_données!$B$7:$H$14,7,FALSE),"")</f>
        <v/>
      </c>
      <c r="V512">
        <f ca="1">IFERROR(Tab_Calculs[[#This Row],[Cout_mois]]/Tab_Calculs[[#This Row],[Conso_mois_kWh]],0)</f>
        <v>0</v>
      </c>
      <c r="W512" t="str">
        <f>T(VLOOKUP(Tab_Calculs[[#This Row],[Compteur]],Site!$B$33:$G$40,3,FALSE))</f>
        <v/>
      </c>
      <c r="X512" t="str">
        <f>T(VLOOKUP(Tab_Calculs[[#This Row],[Compteur]],Site!$B$33:$G$40,4,FALSE))</f>
        <v/>
      </c>
      <c r="Y512" t="str">
        <f>T(VLOOKUP(Tab_Calculs[[#This Row],[Compteur]],Site!$B$33:$G$40,5,FALSE))</f>
        <v/>
      </c>
      <c r="Z512" t="str">
        <f>T(VLOOKUP(Tab_Calculs[[#This Row],[Compteur]],Site!$B$33:$G$40,6,FALSE))</f>
        <v/>
      </c>
      <c r="AA512">
        <f>IFERROR(GETPIVOTDATA("DJU(chauffagiste)",BDD_DJU!$P$13,"annee",Tab_Calculs[[#This Row],[ANNEE]],"mois_numero",Tab_Calculs[[#This Row],[MOIS]]),0)</f>
        <v>323</v>
      </c>
    </row>
    <row r="513" spans="1:27" x14ac:dyDescent="0.25">
      <c r="A513" s="3">
        <f>DATE(Tab_Calculs[[#This Row],[ANNEE]],Tab_Calculs[[#This Row],[MOIS]],1)</f>
        <v>43831</v>
      </c>
      <c r="B513" s="3">
        <f>EDATE(Tab_Calculs[[#This Row],[Début mois]],1)-1</f>
        <v>43861</v>
      </c>
      <c r="C513">
        <f t="shared" si="15"/>
        <v>1</v>
      </c>
      <c r="D513">
        <f t="shared" si="14"/>
        <v>2020</v>
      </c>
      <c r="E513" t="s">
        <v>82</v>
      </c>
      <c r="F513" t="str">
        <f>SUBSTITUTE(Tab_Calculs[[#This Row],[Compteur]]," ","_")</f>
        <v>Compteur_3</v>
      </c>
      <c r="G513" t="str">
        <f>T(INDEX(Site!$B$33:$G$40, MATCH(Tab_Calculs[[#This Row],[Compteur]], Site!$B$33:$B$40,0),2))</f>
        <v/>
      </c>
      <c r="H513" s="3">
        <f t="array" aca="1" ref="H513" ca="1">MIN(IF(INDIRECT(CONCATENATE(Tab_Calculs[[#This Row],[Colonne1]],"!$B$2:$B$243"))&gt;=Calculs_Consos!$A513,INDIRECT(CONCATENATE(Tab_Calculs[[#This Row],[Colonne1]],"!$B$2:$B$243"))))</f>
        <v>0</v>
      </c>
      <c r="I513" s="3">
        <f ca="1">INDEX(INDIRECT(CONCATENATE("Tab_",Tab_Calculs[[#This Row],[Colonne1]])),Tab_Calculs[[#This Row],[index_date_livraison]],1)</f>
        <v>0</v>
      </c>
      <c r="J513">
        <f ca="1">MATCH(Tab_Calculs[[#This Row],[Date_livraison]],INDIRECT(CONCATENATE("Tab_",Tab_Calculs[[#This Row],[Colonne1]],"[Fin de période]")),0)</f>
        <v>1</v>
      </c>
      <c r="K513" t="e">
        <f ca="1">INDEX(INDIRECT(CONCATENATE("Tab_",Tab_Calculs[[#This Row],[Colonne1]])),Tab_Calculs[[#This Row],[index_date_livraison]]-1,6)*(MAX(Tab_Calculs[[#This Row],[Début periode livraison]],Tab_Calculs[[#This Row],[Début mois]])-Tab_Calculs[[#This Row],[Début mois]])</f>
        <v>#VALUE!</v>
      </c>
      <c r="L513" s="94">
        <f ca="1">INDEX(INDIRECT(CONCATENATE("Tab_",Tab_Calculs[[#This Row],[Colonne1]])),Tab_Calculs[[#This Row],[index_date_livraison]],6)*(1+MIN(Tab_Calculs[[#This Row],[Date_livraison]],Tab_Calculs[[#This Row],[fin mois]])-MAX(Tab_Calculs[[#This Row],[Début mois]],Tab_Calculs[[#This Row],[Début periode livraison]]))</f>
        <v>0</v>
      </c>
      <c r="M513" s="94" t="e">
        <f ca="1">INDEX(INDIRECT(CONCATENATE("Tab_",Tab_Calculs[[#This Row],[Colonne1]])),Tab_Calculs[[#This Row],[index_date_livraison]]+1,6)*(Tab_Calculs[[#This Row],[fin mois]]-MIN(Tab_Calculs[[#This Row],[fin mois]],Tab_Calculs[[#This Row],[Date_livraison]]))</f>
        <v>#VALUE!</v>
      </c>
      <c r="N513" s="231" t="str">
        <f ca="1">IFERROR(Tab_Calculs[[#This Row],[Ratio_jour_après_livr]]+Tab_Calculs[[#This Row],[Ratio_jour_avant_livr]]+Tab_Calculs[[#This Row],[ratio_avant_debut]],"")</f>
        <v/>
      </c>
      <c r="O513" t="e">
        <f ca="1">INDEX(INDIRECT(CONCATENATE("Tab_",Tab_Calculs[[#This Row],[Colonne1]])),Tab_Calculs[[#This Row],[index_date_livraison]]-1,7)*(MAX(Tab_Calculs[[#This Row],[Début periode livraison]],Tab_Calculs[[#This Row],[Début mois]])-Tab_Calculs[[#This Row],[Début mois]])</f>
        <v>#VALUE!</v>
      </c>
      <c r="P513">
        <f ca="1">INDEX(INDIRECT(CONCATENATE("Tab_",Tab_Calculs[[#This Row],[Colonne1]])),Tab_Calculs[[#This Row],[index_date_livraison]],7)*(1+MIN(Tab_Calculs[[#This Row],[Date_livraison]],Tab_Calculs[[#This Row],[fin mois]])-MAX(Tab_Calculs[[#This Row],[Début mois]],Tab_Calculs[[#This Row],[Début periode livraison]]))</f>
        <v>0</v>
      </c>
      <c r="Q513" t="e">
        <f ca="1">INDEX(INDIRECT(CONCATENATE("Tab_",Tab_Calculs[[#This Row],[Colonne1]])),Tab_Calculs[[#This Row],[index_date_livraison]]+1,7)*(Tab_Calculs[[#This Row],[fin mois]]-MIN(Tab_Calculs[[#This Row],[fin mois]],Tab_Calculs[[#This Row],[Date_livraison]]))</f>
        <v>#VALUE!</v>
      </c>
      <c r="R513" t="e">
        <f ca="1">Tab_Calculs[[#This Row],[Ratio_Cout_après_livr]]+Tab_Calculs[[#This Row],[Ratio_Cout_avant_livr]]+Tab_Calculs[[#This Row],[Ratio_Cout_avant_debut]]</f>
        <v>#VALUE!</v>
      </c>
      <c r="S513" t="str">
        <f ca="1">IFERROR(N513*VLOOKUP(Tab_Calculs[[#This Row],[Colonne1]],Controle_des_données!$B$7:$G$14,6,FALSE),"")</f>
        <v/>
      </c>
      <c r="T513" t="str">
        <f ca="1">IF(Tab_Calculs[[#This Row],[Combustible ]]="Electricité (kWh)",Tab_Calculs[[#This Row],[Conso_mois_kWh]]*2.3,Tab_Calculs[[#This Row],[Conso_mois_kWh]])</f>
        <v/>
      </c>
      <c r="U513" t="str">
        <f ca="1">IFERROR(N513*VLOOKUP(Tab_Calculs[[#This Row],[Colonne1]],Controle_des_données!$B$7:$H$14,7,FALSE),"")</f>
        <v/>
      </c>
      <c r="V513">
        <f ca="1">IFERROR(Tab_Calculs[[#This Row],[Cout_mois]]/Tab_Calculs[[#This Row],[Conso_mois_kWh]],0)</f>
        <v>0</v>
      </c>
      <c r="W513" t="str">
        <f>T(VLOOKUP(Tab_Calculs[[#This Row],[Compteur]],Site!$B$33:$G$40,3,FALSE))</f>
        <v/>
      </c>
      <c r="X513" t="str">
        <f>T(VLOOKUP(Tab_Calculs[[#This Row],[Compteur]],Site!$B$33:$G$40,4,FALSE))</f>
        <v/>
      </c>
      <c r="Y513" t="str">
        <f>T(VLOOKUP(Tab_Calculs[[#This Row],[Compteur]],Site!$B$33:$G$40,5,FALSE))</f>
        <v/>
      </c>
      <c r="Z513" t="str">
        <f>T(VLOOKUP(Tab_Calculs[[#This Row],[Compteur]],Site!$B$33:$G$40,6,FALSE))</f>
        <v/>
      </c>
      <c r="AA513">
        <f>IFERROR(GETPIVOTDATA("DJU(chauffagiste)",BDD_DJU!$P$13,"annee",Tab_Calculs[[#This Row],[ANNEE]],"mois_numero",Tab_Calculs[[#This Row],[MOIS]]),0)</f>
        <v>331.5</v>
      </c>
    </row>
    <row r="514" spans="1:27" x14ac:dyDescent="0.25">
      <c r="A514" s="3">
        <f>DATE(Tab_Calculs[[#This Row],[ANNEE]],Tab_Calculs[[#This Row],[MOIS]],1)</f>
        <v>43862</v>
      </c>
      <c r="B514" s="3">
        <f>EDATE(Tab_Calculs[[#This Row],[Début mois]],1)-1</f>
        <v>43890</v>
      </c>
      <c r="C514">
        <f t="shared" si="15"/>
        <v>2</v>
      </c>
      <c r="D514">
        <f t="shared" si="14"/>
        <v>2020</v>
      </c>
      <c r="E514" t="s">
        <v>82</v>
      </c>
      <c r="F514" t="str">
        <f>SUBSTITUTE(Tab_Calculs[[#This Row],[Compteur]]," ","_")</f>
        <v>Compteur_3</v>
      </c>
      <c r="G514" t="str">
        <f>T(INDEX(Site!$B$33:$G$40, MATCH(Tab_Calculs[[#This Row],[Compteur]], Site!$B$33:$B$40,0),2))</f>
        <v/>
      </c>
      <c r="H514" s="3">
        <f t="array" aca="1" ref="H514" ca="1">MIN(IF(INDIRECT(CONCATENATE(Tab_Calculs[[#This Row],[Colonne1]],"!$B$2:$B$243"))&gt;=Calculs_Consos!$A514,INDIRECT(CONCATENATE(Tab_Calculs[[#This Row],[Colonne1]],"!$B$2:$B$243"))))</f>
        <v>0</v>
      </c>
      <c r="I514" s="3">
        <f ca="1">INDEX(INDIRECT(CONCATENATE("Tab_",Tab_Calculs[[#This Row],[Colonne1]])),Tab_Calculs[[#This Row],[index_date_livraison]],1)</f>
        <v>0</v>
      </c>
      <c r="J514">
        <f ca="1">MATCH(Tab_Calculs[[#This Row],[Date_livraison]],INDIRECT(CONCATENATE("Tab_",Tab_Calculs[[#This Row],[Colonne1]],"[Fin de période]")),0)</f>
        <v>1</v>
      </c>
      <c r="K514" t="e">
        <f ca="1">INDEX(INDIRECT(CONCATENATE("Tab_",Tab_Calculs[[#This Row],[Colonne1]])),Tab_Calculs[[#This Row],[index_date_livraison]]-1,6)*(MAX(Tab_Calculs[[#This Row],[Début periode livraison]],Tab_Calculs[[#This Row],[Début mois]])-Tab_Calculs[[#This Row],[Début mois]])</f>
        <v>#VALUE!</v>
      </c>
      <c r="L514" s="94">
        <f ca="1">INDEX(INDIRECT(CONCATENATE("Tab_",Tab_Calculs[[#This Row],[Colonne1]])),Tab_Calculs[[#This Row],[index_date_livraison]],6)*(1+MIN(Tab_Calculs[[#This Row],[Date_livraison]],Tab_Calculs[[#This Row],[fin mois]])-MAX(Tab_Calculs[[#This Row],[Début mois]],Tab_Calculs[[#This Row],[Début periode livraison]]))</f>
        <v>0</v>
      </c>
      <c r="M514" s="94" t="e">
        <f ca="1">INDEX(INDIRECT(CONCATENATE("Tab_",Tab_Calculs[[#This Row],[Colonne1]])),Tab_Calculs[[#This Row],[index_date_livraison]]+1,6)*(Tab_Calculs[[#This Row],[fin mois]]-MIN(Tab_Calculs[[#This Row],[fin mois]],Tab_Calculs[[#This Row],[Date_livraison]]))</f>
        <v>#VALUE!</v>
      </c>
      <c r="N514" s="231" t="str">
        <f ca="1">IFERROR(Tab_Calculs[[#This Row],[Ratio_jour_après_livr]]+Tab_Calculs[[#This Row],[Ratio_jour_avant_livr]]+Tab_Calculs[[#This Row],[ratio_avant_debut]],"")</f>
        <v/>
      </c>
      <c r="O514" t="e">
        <f ca="1">INDEX(INDIRECT(CONCATENATE("Tab_",Tab_Calculs[[#This Row],[Colonne1]])),Tab_Calculs[[#This Row],[index_date_livraison]]-1,7)*(MAX(Tab_Calculs[[#This Row],[Début periode livraison]],Tab_Calculs[[#This Row],[Début mois]])-Tab_Calculs[[#This Row],[Début mois]])</f>
        <v>#VALUE!</v>
      </c>
      <c r="P514">
        <f ca="1">INDEX(INDIRECT(CONCATENATE("Tab_",Tab_Calculs[[#This Row],[Colonne1]])),Tab_Calculs[[#This Row],[index_date_livraison]],7)*(1+MIN(Tab_Calculs[[#This Row],[Date_livraison]],Tab_Calculs[[#This Row],[fin mois]])-MAX(Tab_Calculs[[#This Row],[Début mois]],Tab_Calculs[[#This Row],[Début periode livraison]]))</f>
        <v>0</v>
      </c>
      <c r="Q514" t="e">
        <f ca="1">INDEX(INDIRECT(CONCATENATE("Tab_",Tab_Calculs[[#This Row],[Colonne1]])),Tab_Calculs[[#This Row],[index_date_livraison]]+1,7)*(Tab_Calculs[[#This Row],[fin mois]]-MIN(Tab_Calculs[[#This Row],[fin mois]],Tab_Calculs[[#This Row],[Date_livraison]]))</f>
        <v>#VALUE!</v>
      </c>
      <c r="R514" t="e">
        <f ca="1">Tab_Calculs[[#This Row],[Ratio_Cout_après_livr]]+Tab_Calculs[[#This Row],[Ratio_Cout_avant_livr]]+Tab_Calculs[[#This Row],[Ratio_Cout_avant_debut]]</f>
        <v>#VALUE!</v>
      </c>
      <c r="S514" t="str">
        <f ca="1">IFERROR(N514*VLOOKUP(Tab_Calculs[[#This Row],[Colonne1]],Controle_des_données!$B$7:$G$14,6,FALSE),"")</f>
        <v/>
      </c>
      <c r="T514" t="str">
        <f ca="1">IF(Tab_Calculs[[#This Row],[Combustible ]]="Electricité (kWh)",Tab_Calculs[[#This Row],[Conso_mois_kWh]]*2.3,Tab_Calculs[[#This Row],[Conso_mois_kWh]])</f>
        <v/>
      </c>
      <c r="U514" t="str">
        <f ca="1">IFERROR(N514*VLOOKUP(Tab_Calculs[[#This Row],[Colonne1]],Controle_des_données!$B$7:$H$14,7,FALSE),"")</f>
        <v/>
      </c>
      <c r="V514">
        <f ca="1">IFERROR(Tab_Calculs[[#This Row],[Cout_mois]]/Tab_Calculs[[#This Row],[Conso_mois_kWh]],0)</f>
        <v>0</v>
      </c>
      <c r="W514" t="str">
        <f>T(VLOOKUP(Tab_Calculs[[#This Row],[Compteur]],Site!$B$33:$G$40,3,FALSE))</f>
        <v/>
      </c>
      <c r="X514" t="str">
        <f>T(VLOOKUP(Tab_Calculs[[#This Row],[Compteur]],Site!$B$33:$G$40,4,FALSE))</f>
        <v/>
      </c>
      <c r="Y514" t="str">
        <f>T(VLOOKUP(Tab_Calculs[[#This Row],[Compteur]],Site!$B$33:$G$40,5,FALSE))</f>
        <v/>
      </c>
      <c r="Z514" t="str">
        <f>T(VLOOKUP(Tab_Calculs[[#This Row],[Compteur]],Site!$B$33:$G$40,6,FALSE))</f>
        <v/>
      </c>
      <c r="AA514">
        <f>IFERROR(GETPIVOTDATA("DJU(chauffagiste)",BDD_DJU!$P$13,"annee",Tab_Calculs[[#This Row],[ANNEE]],"mois_numero",Tab_Calculs[[#This Row],[MOIS]]),0)</f>
        <v>251.6</v>
      </c>
    </row>
    <row r="515" spans="1:27" x14ac:dyDescent="0.25">
      <c r="A515" s="3">
        <f>DATE(Tab_Calculs[[#This Row],[ANNEE]],Tab_Calculs[[#This Row],[MOIS]],1)</f>
        <v>43891</v>
      </c>
      <c r="B515" s="3">
        <f>EDATE(Tab_Calculs[[#This Row],[Début mois]],1)-1</f>
        <v>43921</v>
      </c>
      <c r="C515">
        <f t="shared" si="15"/>
        <v>3</v>
      </c>
      <c r="D515">
        <f>D503+1</f>
        <v>2020</v>
      </c>
      <c r="E515" t="s">
        <v>82</v>
      </c>
      <c r="F515" t="str">
        <f>SUBSTITUTE(Tab_Calculs[[#This Row],[Compteur]]," ","_")</f>
        <v>Compteur_3</v>
      </c>
      <c r="G515" t="str">
        <f>T(INDEX(Site!$B$33:$G$40, MATCH(Tab_Calculs[[#This Row],[Compteur]], Site!$B$33:$B$40,0),2))</f>
        <v/>
      </c>
      <c r="H515" s="3">
        <f t="array" aca="1" ref="H515" ca="1">MIN(IF(INDIRECT(CONCATENATE(Tab_Calculs[[#This Row],[Colonne1]],"!$B$2:$B$243"))&gt;=Calculs_Consos!$A515,INDIRECT(CONCATENATE(Tab_Calculs[[#This Row],[Colonne1]],"!$B$2:$B$243"))))</f>
        <v>0</v>
      </c>
      <c r="I515" s="3">
        <f ca="1">INDEX(INDIRECT(CONCATENATE("Tab_",Tab_Calculs[[#This Row],[Colonne1]])),Tab_Calculs[[#This Row],[index_date_livraison]],1)</f>
        <v>0</v>
      </c>
      <c r="J515">
        <f ca="1">MATCH(Tab_Calculs[[#This Row],[Date_livraison]],INDIRECT(CONCATENATE("Tab_",Tab_Calculs[[#This Row],[Colonne1]],"[Fin de période]")),0)</f>
        <v>1</v>
      </c>
      <c r="K515" t="e">
        <f ca="1">INDEX(INDIRECT(CONCATENATE("Tab_",Tab_Calculs[[#This Row],[Colonne1]])),Tab_Calculs[[#This Row],[index_date_livraison]]-1,6)*(MAX(Tab_Calculs[[#This Row],[Début periode livraison]],Tab_Calculs[[#This Row],[Début mois]])-Tab_Calculs[[#This Row],[Début mois]])</f>
        <v>#VALUE!</v>
      </c>
      <c r="L515" s="94">
        <f ca="1">INDEX(INDIRECT(CONCATENATE("Tab_",Tab_Calculs[[#This Row],[Colonne1]])),Tab_Calculs[[#This Row],[index_date_livraison]],6)*(1+MIN(Tab_Calculs[[#This Row],[Date_livraison]],Tab_Calculs[[#This Row],[fin mois]])-MAX(Tab_Calculs[[#This Row],[Début mois]],Tab_Calculs[[#This Row],[Début periode livraison]]))</f>
        <v>0</v>
      </c>
      <c r="M515" s="94" t="e">
        <f ca="1">INDEX(INDIRECT(CONCATENATE("Tab_",Tab_Calculs[[#This Row],[Colonne1]])),Tab_Calculs[[#This Row],[index_date_livraison]]+1,6)*(Tab_Calculs[[#This Row],[fin mois]]-MIN(Tab_Calculs[[#This Row],[fin mois]],Tab_Calculs[[#This Row],[Date_livraison]]))</f>
        <v>#VALUE!</v>
      </c>
      <c r="N515" s="231" t="str">
        <f ca="1">IFERROR(Tab_Calculs[[#This Row],[Ratio_jour_après_livr]]+Tab_Calculs[[#This Row],[Ratio_jour_avant_livr]]+Tab_Calculs[[#This Row],[ratio_avant_debut]],"")</f>
        <v/>
      </c>
      <c r="O515" t="e">
        <f ca="1">INDEX(INDIRECT(CONCATENATE("Tab_",Tab_Calculs[[#This Row],[Colonne1]])),Tab_Calculs[[#This Row],[index_date_livraison]]-1,7)*(MAX(Tab_Calculs[[#This Row],[Début periode livraison]],Tab_Calculs[[#This Row],[Début mois]])-Tab_Calculs[[#This Row],[Début mois]])</f>
        <v>#VALUE!</v>
      </c>
      <c r="P515">
        <f ca="1">INDEX(INDIRECT(CONCATENATE("Tab_",Tab_Calculs[[#This Row],[Colonne1]])),Tab_Calculs[[#This Row],[index_date_livraison]],7)*(1+MIN(Tab_Calculs[[#This Row],[Date_livraison]],Tab_Calculs[[#This Row],[fin mois]])-MAX(Tab_Calculs[[#This Row],[Début mois]],Tab_Calculs[[#This Row],[Début periode livraison]]))</f>
        <v>0</v>
      </c>
      <c r="Q515" t="e">
        <f ca="1">INDEX(INDIRECT(CONCATENATE("Tab_",Tab_Calculs[[#This Row],[Colonne1]])),Tab_Calculs[[#This Row],[index_date_livraison]]+1,7)*(Tab_Calculs[[#This Row],[fin mois]]-MIN(Tab_Calculs[[#This Row],[fin mois]],Tab_Calculs[[#This Row],[Date_livraison]]))</f>
        <v>#VALUE!</v>
      </c>
      <c r="R515" t="e">
        <f ca="1">Tab_Calculs[[#This Row],[Ratio_Cout_après_livr]]+Tab_Calculs[[#This Row],[Ratio_Cout_avant_livr]]+Tab_Calculs[[#This Row],[Ratio_Cout_avant_debut]]</f>
        <v>#VALUE!</v>
      </c>
      <c r="S515" t="str">
        <f ca="1">IFERROR(N515*VLOOKUP(Tab_Calculs[[#This Row],[Colonne1]],Controle_des_données!$B$7:$G$14,6,FALSE),"")</f>
        <v/>
      </c>
      <c r="T515" t="str">
        <f ca="1">IF(Tab_Calculs[[#This Row],[Combustible ]]="Electricité (kWh)",Tab_Calculs[[#This Row],[Conso_mois_kWh]]*2.3,Tab_Calculs[[#This Row],[Conso_mois_kWh]])</f>
        <v/>
      </c>
      <c r="U515" t="str">
        <f ca="1">IFERROR(N515*VLOOKUP(Tab_Calculs[[#This Row],[Colonne1]],Controle_des_données!$B$7:$H$14,7,FALSE),"")</f>
        <v/>
      </c>
      <c r="V515">
        <f ca="1">IFERROR(Tab_Calculs[[#This Row],[Cout_mois]]/Tab_Calculs[[#This Row],[Conso_mois_kWh]],0)</f>
        <v>0</v>
      </c>
      <c r="W515" t="str">
        <f>T(VLOOKUP(Tab_Calculs[[#This Row],[Compteur]],Site!$B$33:$G$40,3,FALSE))</f>
        <v/>
      </c>
      <c r="X515" t="str">
        <f>T(VLOOKUP(Tab_Calculs[[#This Row],[Compteur]],Site!$B$33:$G$40,4,FALSE))</f>
        <v/>
      </c>
      <c r="Y515" t="str">
        <f>T(VLOOKUP(Tab_Calculs[[#This Row],[Compteur]],Site!$B$33:$G$40,5,FALSE))</f>
        <v/>
      </c>
      <c r="Z515" t="str">
        <f>T(VLOOKUP(Tab_Calculs[[#This Row],[Compteur]],Site!$B$33:$G$40,6,FALSE))</f>
        <v/>
      </c>
      <c r="AA515">
        <f>IFERROR(GETPIVOTDATA("DJU(chauffagiste)",BDD_DJU!$P$13,"annee",Tab_Calculs[[#This Row],[ANNEE]],"mois_numero",Tab_Calculs[[#This Row],[MOIS]]),0)</f>
        <v>272.60000000000002</v>
      </c>
    </row>
    <row r="516" spans="1:27" x14ac:dyDescent="0.25">
      <c r="A516" s="3">
        <f>DATE(Tab_Calculs[[#This Row],[ANNEE]],Tab_Calculs[[#This Row],[MOIS]],1)</f>
        <v>43922</v>
      </c>
      <c r="B516" s="3">
        <f>EDATE(Tab_Calculs[[#This Row],[Début mois]],1)-1</f>
        <v>43951</v>
      </c>
      <c r="C516">
        <f t="shared" si="15"/>
        <v>4</v>
      </c>
      <c r="D516">
        <f t="shared" si="14"/>
        <v>2020</v>
      </c>
      <c r="E516" t="s">
        <v>82</v>
      </c>
      <c r="F516" t="str">
        <f>SUBSTITUTE(Tab_Calculs[[#This Row],[Compteur]]," ","_")</f>
        <v>Compteur_3</v>
      </c>
      <c r="G516" t="str">
        <f>T(INDEX(Site!$B$33:$G$40, MATCH(Tab_Calculs[[#This Row],[Compteur]], Site!$B$33:$B$40,0),2))</f>
        <v/>
      </c>
      <c r="H516" s="3">
        <f t="array" aca="1" ref="H516" ca="1">MIN(IF(INDIRECT(CONCATENATE(Tab_Calculs[[#This Row],[Colonne1]],"!$B$2:$B$243"))&gt;=Calculs_Consos!$A516,INDIRECT(CONCATENATE(Tab_Calculs[[#This Row],[Colonne1]],"!$B$2:$B$243"))))</f>
        <v>0</v>
      </c>
      <c r="I516" s="3">
        <f ca="1">INDEX(INDIRECT(CONCATENATE("Tab_",Tab_Calculs[[#This Row],[Colonne1]])),Tab_Calculs[[#This Row],[index_date_livraison]],1)</f>
        <v>0</v>
      </c>
      <c r="J516">
        <f ca="1">MATCH(Tab_Calculs[[#This Row],[Date_livraison]],INDIRECT(CONCATENATE("Tab_",Tab_Calculs[[#This Row],[Colonne1]],"[Fin de période]")),0)</f>
        <v>1</v>
      </c>
      <c r="K516" t="e">
        <f ca="1">INDEX(INDIRECT(CONCATENATE("Tab_",Tab_Calculs[[#This Row],[Colonne1]])),Tab_Calculs[[#This Row],[index_date_livraison]]-1,6)*(MAX(Tab_Calculs[[#This Row],[Début periode livraison]],Tab_Calculs[[#This Row],[Début mois]])-Tab_Calculs[[#This Row],[Début mois]])</f>
        <v>#VALUE!</v>
      </c>
      <c r="L516" s="94">
        <f ca="1">INDEX(INDIRECT(CONCATENATE("Tab_",Tab_Calculs[[#This Row],[Colonne1]])),Tab_Calculs[[#This Row],[index_date_livraison]],6)*(1+MIN(Tab_Calculs[[#This Row],[Date_livraison]],Tab_Calculs[[#This Row],[fin mois]])-MAX(Tab_Calculs[[#This Row],[Début mois]],Tab_Calculs[[#This Row],[Début periode livraison]]))</f>
        <v>0</v>
      </c>
      <c r="M516" s="94" t="e">
        <f ca="1">INDEX(INDIRECT(CONCATENATE("Tab_",Tab_Calculs[[#This Row],[Colonne1]])),Tab_Calculs[[#This Row],[index_date_livraison]]+1,6)*(Tab_Calculs[[#This Row],[fin mois]]-MIN(Tab_Calculs[[#This Row],[fin mois]],Tab_Calculs[[#This Row],[Date_livraison]]))</f>
        <v>#VALUE!</v>
      </c>
      <c r="N516" s="231" t="str">
        <f ca="1">IFERROR(Tab_Calculs[[#This Row],[Ratio_jour_après_livr]]+Tab_Calculs[[#This Row],[Ratio_jour_avant_livr]]+Tab_Calculs[[#This Row],[ratio_avant_debut]],"")</f>
        <v/>
      </c>
      <c r="O516" t="e">
        <f ca="1">INDEX(INDIRECT(CONCATENATE("Tab_",Tab_Calculs[[#This Row],[Colonne1]])),Tab_Calculs[[#This Row],[index_date_livraison]]-1,7)*(MAX(Tab_Calculs[[#This Row],[Début periode livraison]],Tab_Calculs[[#This Row],[Début mois]])-Tab_Calculs[[#This Row],[Début mois]])</f>
        <v>#VALUE!</v>
      </c>
      <c r="P516">
        <f ca="1">INDEX(INDIRECT(CONCATENATE("Tab_",Tab_Calculs[[#This Row],[Colonne1]])),Tab_Calculs[[#This Row],[index_date_livraison]],7)*(1+MIN(Tab_Calculs[[#This Row],[Date_livraison]],Tab_Calculs[[#This Row],[fin mois]])-MAX(Tab_Calculs[[#This Row],[Début mois]],Tab_Calculs[[#This Row],[Début periode livraison]]))</f>
        <v>0</v>
      </c>
      <c r="Q516" t="e">
        <f ca="1">INDEX(INDIRECT(CONCATENATE("Tab_",Tab_Calculs[[#This Row],[Colonne1]])),Tab_Calculs[[#This Row],[index_date_livraison]]+1,7)*(Tab_Calculs[[#This Row],[fin mois]]-MIN(Tab_Calculs[[#This Row],[fin mois]],Tab_Calculs[[#This Row],[Date_livraison]]))</f>
        <v>#VALUE!</v>
      </c>
      <c r="R516" t="e">
        <f ca="1">Tab_Calculs[[#This Row],[Ratio_Cout_après_livr]]+Tab_Calculs[[#This Row],[Ratio_Cout_avant_livr]]+Tab_Calculs[[#This Row],[Ratio_Cout_avant_debut]]</f>
        <v>#VALUE!</v>
      </c>
      <c r="S516" t="str">
        <f ca="1">IFERROR(N516*VLOOKUP(Tab_Calculs[[#This Row],[Colonne1]],Controle_des_données!$B$7:$G$14,6,FALSE),"")</f>
        <v/>
      </c>
      <c r="T516" t="str">
        <f ca="1">IF(Tab_Calculs[[#This Row],[Combustible ]]="Electricité (kWh)",Tab_Calculs[[#This Row],[Conso_mois_kWh]]*2.3,Tab_Calculs[[#This Row],[Conso_mois_kWh]])</f>
        <v/>
      </c>
      <c r="U516" t="str">
        <f ca="1">IFERROR(N516*VLOOKUP(Tab_Calculs[[#This Row],[Colonne1]],Controle_des_données!$B$7:$H$14,7,FALSE),"")</f>
        <v/>
      </c>
      <c r="V516">
        <f ca="1">IFERROR(Tab_Calculs[[#This Row],[Cout_mois]]/Tab_Calculs[[#This Row],[Conso_mois_kWh]],0)</f>
        <v>0</v>
      </c>
      <c r="W516" t="str">
        <f>T(VLOOKUP(Tab_Calculs[[#This Row],[Compteur]],Site!$B$33:$G$40,3,FALSE))</f>
        <v/>
      </c>
      <c r="X516" t="str">
        <f>T(VLOOKUP(Tab_Calculs[[#This Row],[Compteur]],Site!$B$33:$G$40,4,FALSE))</f>
        <v/>
      </c>
      <c r="Y516" t="str">
        <f>T(VLOOKUP(Tab_Calculs[[#This Row],[Compteur]],Site!$B$33:$G$40,5,FALSE))</f>
        <v/>
      </c>
      <c r="Z516" t="str">
        <f>T(VLOOKUP(Tab_Calculs[[#This Row],[Compteur]],Site!$B$33:$G$40,6,FALSE))</f>
        <v/>
      </c>
      <c r="AA516">
        <f>IFERROR(GETPIVOTDATA("DJU(chauffagiste)",BDD_DJU!$P$13,"annee",Tab_Calculs[[#This Row],[ANNEE]],"mois_numero",Tab_Calculs[[#This Row],[MOIS]]),0)</f>
        <v>126.3</v>
      </c>
    </row>
    <row r="517" spans="1:27" x14ac:dyDescent="0.25">
      <c r="A517" s="3">
        <f>DATE(Tab_Calculs[[#This Row],[ANNEE]],Tab_Calculs[[#This Row],[MOIS]],1)</f>
        <v>43952</v>
      </c>
      <c r="B517" s="3">
        <f>EDATE(Tab_Calculs[[#This Row],[Début mois]],1)-1</f>
        <v>43982</v>
      </c>
      <c r="C517">
        <f t="shared" si="15"/>
        <v>5</v>
      </c>
      <c r="D517">
        <f t="shared" si="14"/>
        <v>2020</v>
      </c>
      <c r="E517" t="s">
        <v>82</v>
      </c>
      <c r="F517" t="str">
        <f>SUBSTITUTE(Tab_Calculs[[#This Row],[Compteur]]," ","_")</f>
        <v>Compteur_3</v>
      </c>
      <c r="G517" t="str">
        <f>T(INDEX(Site!$B$33:$G$40, MATCH(Tab_Calculs[[#This Row],[Compteur]], Site!$B$33:$B$40,0),2))</f>
        <v/>
      </c>
      <c r="H517" s="3">
        <f t="array" aca="1" ref="H517" ca="1">MIN(IF(INDIRECT(CONCATENATE(Tab_Calculs[[#This Row],[Colonne1]],"!$B$2:$B$243"))&gt;=Calculs_Consos!$A517,INDIRECT(CONCATENATE(Tab_Calculs[[#This Row],[Colonne1]],"!$B$2:$B$243"))))</f>
        <v>0</v>
      </c>
      <c r="I517" s="3">
        <f ca="1">INDEX(INDIRECT(CONCATENATE("Tab_",Tab_Calculs[[#This Row],[Colonne1]])),Tab_Calculs[[#This Row],[index_date_livraison]],1)</f>
        <v>0</v>
      </c>
      <c r="J517">
        <f ca="1">MATCH(Tab_Calculs[[#This Row],[Date_livraison]],INDIRECT(CONCATENATE("Tab_",Tab_Calculs[[#This Row],[Colonne1]],"[Fin de période]")),0)</f>
        <v>1</v>
      </c>
      <c r="K517" t="e">
        <f ca="1">INDEX(INDIRECT(CONCATENATE("Tab_",Tab_Calculs[[#This Row],[Colonne1]])),Tab_Calculs[[#This Row],[index_date_livraison]]-1,6)*(MAX(Tab_Calculs[[#This Row],[Début periode livraison]],Tab_Calculs[[#This Row],[Début mois]])-Tab_Calculs[[#This Row],[Début mois]])</f>
        <v>#VALUE!</v>
      </c>
      <c r="L517" s="94">
        <f ca="1">INDEX(INDIRECT(CONCATENATE("Tab_",Tab_Calculs[[#This Row],[Colonne1]])),Tab_Calculs[[#This Row],[index_date_livraison]],6)*(1+MIN(Tab_Calculs[[#This Row],[Date_livraison]],Tab_Calculs[[#This Row],[fin mois]])-MAX(Tab_Calculs[[#This Row],[Début mois]],Tab_Calculs[[#This Row],[Début periode livraison]]))</f>
        <v>0</v>
      </c>
      <c r="M517" s="94" t="e">
        <f ca="1">INDEX(INDIRECT(CONCATENATE("Tab_",Tab_Calculs[[#This Row],[Colonne1]])),Tab_Calculs[[#This Row],[index_date_livraison]]+1,6)*(Tab_Calculs[[#This Row],[fin mois]]-MIN(Tab_Calculs[[#This Row],[fin mois]],Tab_Calculs[[#This Row],[Date_livraison]]))</f>
        <v>#VALUE!</v>
      </c>
      <c r="N517" s="231" t="str">
        <f ca="1">IFERROR(Tab_Calculs[[#This Row],[Ratio_jour_après_livr]]+Tab_Calculs[[#This Row],[Ratio_jour_avant_livr]]+Tab_Calculs[[#This Row],[ratio_avant_debut]],"")</f>
        <v/>
      </c>
      <c r="O517" t="e">
        <f ca="1">INDEX(INDIRECT(CONCATENATE("Tab_",Tab_Calculs[[#This Row],[Colonne1]])),Tab_Calculs[[#This Row],[index_date_livraison]]-1,7)*(MAX(Tab_Calculs[[#This Row],[Début periode livraison]],Tab_Calculs[[#This Row],[Début mois]])-Tab_Calculs[[#This Row],[Début mois]])</f>
        <v>#VALUE!</v>
      </c>
      <c r="P517">
        <f ca="1">INDEX(INDIRECT(CONCATENATE("Tab_",Tab_Calculs[[#This Row],[Colonne1]])),Tab_Calculs[[#This Row],[index_date_livraison]],7)*(1+MIN(Tab_Calculs[[#This Row],[Date_livraison]],Tab_Calculs[[#This Row],[fin mois]])-MAX(Tab_Calculs[[#This Row],[Début mois]],Tab_Calculs[[#This Row],[Début periode livraison]]))</f>
        <v>0</v>
      </c>
      <c r="Q517" t="e">
        <f ca="1">INDEX(INDIRECT(CONCATENATE("Tab_",Tab_Calculs[[#This Row],[Colonne1]])),Tab_Calculs[[#This Row],[index_date_livraison]]+1,7)*(Tab_Calculs[[#This Row],[fin mois]]-MIN(Tab_Calculs[[#This Row],[fin mois]],Tab_Calculs[[#This Row],[Date_livraison]]))</f>
        <v>#VALUE!</v>
      </c>
      <c r="R517" t="e">
        <f ca="1">Tab_Calculs[[#This Row],[Ratio_Cout_après_livr]]+Tab_Calculs[[#This Row],[Ratio_Cout_avant_livr]]+Tab_Calculs[[#This Row],[Ratio_Cout_avant_debut]]</f>
        <v>#VALUE!</v>
      </c>
      <c r="S517" t="str">
        <f ca="1">IFERROR(N517*VLOOKUP(Tab_Calculs[[#This Row],[Colonne1]],Controle_des_données!$B$7:$G$14,6,FALSE),"")</f>
        <v/>
      </c>
      <c r="T517" t="str">
        <f ca="1">IF(Tab_Calculs[[#This Row],[Combustible ]]="Electricité (kWh)",Tab_Calculs[[#This Row],[Conso_mois_kWh]]*2.3,Tab_Calculs[[#This Row],[Conso_mois_kWh]])</f>
        <v/>
      </c>
      <c r="U517" t="str">
        <f ca="1">IFERROR(N517*VLOOKUP(Tab_Calculs[[#This Row],[Colonne1]],Controle_des_données!$B$7:$H$14,7,FALSE),"")</f>
        <v/>
      </c>
      <c r="V517">
        <f ca="1">IFERROR(Tab_Calculs[[#This Row],[Cout_mois]]/Tab_Calculs[[#This Row],[Conso_mois_kWh]],0)</f>
        <v>0</v>
      </c>
      <c r="W517" t="str">
        <f>T(VLOOKUP(Tab_Calculs[[#This Row],[Compteur]],Site!$B$33:$G$40,3,FALSE))</f>
        <v/>
      </c>
      <c r="X517" t="str">
        <f>T(VLOOKUP(Tab_Calculs[[#This Row],[Compteur]],Site!$B$33:$G$40,4,FALSE))</f>
        <v/>
      </c>
      <c r="Y517" t="str">
        <f>T(VLOOKUP(Tab_Calculs[[#This Row],[Compteur]],Site!$B$33:$G$40,5,FALSE))</f>
        <v/>
      </c>
      <c r="Z517" t="str">
        <f>T(VLOOKUP(Tab_Calculs[[#This Row],[Compteur]],Site!$B$33:$G$40,6,FALSE))</f>
        <v/>
      </c>
      <c r="AA517">
        <f>IFERROR(GETPIVOTDATA("DJU(chauffagiste)",BDD_DJU!$P$13,"annee",Tab_Calculs[[#This Row],[ANNEE]],"mois_numero",Tab_Calculs[[#This Row],[MOIS]]),0)</f>
        <v>91.8</v>
      </c>
    </row>
    <row r="518" spans="1:27" x14ac:dyDescent="0.25">
      <c r="A518" s="3">
        <f>DATE(Tab_Calculs[[#This Row],[ANNEE]],Tab_Calculs[[#This Row],[MOIS]],1)</f>
        <v>43983</v>
      </c>
      <c r="B518" s="3">
        <f>EDATE(Tab_Calculs[[#This Row],[Début mois]],1)-1</f>
        <v>44012</v>
      </c>
      <c r="C518">
        <f t="shared" si="15"/>
        <v>6</v>
      </c>
      <c r="D518">
        <f t="shared" ref="D518:D535" si="16">D506+1</f>
        <v>2020</v>
      </c>
      <c r="E518" t="s">
        <v>82</v>
      </c>
      <c r="F518" t="str">
        <f>SUBSTITUTE(Tab_Calculs[[#This Row],[Compteur]]," ","_")</f>
        <v>Compteur_3</v>
      </c>
      <c r="G518" t="str">
        <f>T(INDEX(Site!$B$33:$G$40, MATCH(Tab_Calculs[[#This Row],[Compteur]], Site!$B$33:$B$40,0),2))</f>
        <v/>
      </c>
      <c r="H518" s="3">
        <f t="array" aca="1" ref="H518" ca="1">MIN(IF(INDIRECT(CONCATENATE(Tab_Calculs[[#This Row],[Colonne1]],"!$B$2:$B$243"))&gt;=Calculs_Consos!$A518,INDIRECT(CONCATENATE(Tab_Calculs[[#This Row],[Colonne1]],"!$B$2:$B$243"))))</f>
        <v>0</v>
      </c>
      <c r="I518" s="3">
        <f ca="1">INDEX(INDIRECT(CONCATENATE("Tab_",Tab_Calculs[[#This Row],[Colonne1]])),Tab_Calculs[[#This Row],[index_date_livraison]],1)</f>
        <v>0</v>
      </c>
      <c r="J518">
        <f ca="1">MATCH(Tab_Calculs[[#This Row],[Date_livraison]],INDIRECT(CONCATENATE("Tab_",Tab_Calculs[[#This Row],[Colonne1]],"[Fin de période]")),0)</f>
        <v>1</v>
      </c>
      <c r="K518" t="e">
        <f ca="1">INDEX(INDIRECT(CONCATENATE("Tab_",Tab_Calculs[[#This Row],[Colonne1]])),Tab_Calculs[[#This Row],[index_date_livraison]]-1,6)*(MAX(Tab_Calculs[[#This Row],[Début periode livraison]],Tab_Calculs[[#This Row],[Début mois]])-Tab_Calculs[[#This Row],[Début mois]])</f>
        <v>#VALUE!</v>
      </c>
      <c r="L518" s="94">
        <f ca="1">INDEX(INDIRECT(CONCATENATE("Tab_",Tab_Calculs[[#This Row],[Colonne1]])),Tab_Calculs[[#This Row],[index_date_livraison]],6)*(1+MIN(Tab_Calculs[[#This Row],[Date_livraison]],Tab_Calculs[[#This Row],[fin mois]])-MAX(Tab_Calculs[[#This Row],[Début mois]],Tab_Calculs[[#This Row],[Début periode livraison]]))</f>
        <v>0</v>
      </c>
      <c r="M518" s="94" t="e">
        <f ca="1">INDEX(INDIRECT(CONCATENATE("Tab_",Tab_Calculs[[#This Row],[Colonne1]])),Tab_Calculs[[#This Row],[index_date_livraison]]+1,6)*(Tab_Calculs[[#This Row],[fin mois]]-MIN(Tab_Calculs[[#This Row],[fin mois]],Tab_Calculs[[#This Row],[Date_livraison]]))</f>
        <v>#VALUE!</v>
      </c>
      <c r="N518" s="231" t="str">
        <f ca="1">IFERROR(Tab_Calculs[[#This Row],[Ratio_jour_après_livr]]+Tab_Calculs[[#This Row],[Ratio_jour_avant_livr]]+Tab_Calculs[[#This Row],[ratio_avant_debut]],"")</f>
        <v/>
      </c>
      <c r="O518" t="e">
        <f ca="1">INDEX(INDIRECT(CONCATENATE("Tab_",Tab_Calculs[[#This Row],[Colonne1]])),Tab_Calculs[[#This Row],[index_date_livraison]]-1,7)*(MAX(Tab_Calculs[[#This Row],[Début periode livraison]],Tab_Calculs[[#This Row],[Début mois]])-Tab_Calculs[[#This Row],[Début mois]])</f>
        <v>#VALUE!</v>
      </c>
      <c r="P518">
        <f ca="1">INDEX(INDIRECT(CONCATENATE("Tab_",Tab_Calculs[[#This Row],[Colonne1]])),Tab_Calculs[[#This Row],[index_date_livraison]],7)*(1+MIN(Tab_Calculs[[#This Row],[Date_livraison]],Tab_Calculs[[#This Row],[fin mois]])-MAX(Tab_Calculs[[#This Row],[Début mois]],Tab_Calculs[[#This Row],[Début periode livraison]]))</f>
        <v>0</v>
      </c>
      <c r="Q518" t="e">
        <f ca="1">INDEX(INDIRECT(CONCATENATE("Tab_",Tab_Calculs[[#This Row],[Colonne1]])),Tab_Calculs[[#This Row],[index_date_livraison]]+1,7)*(Tab_Calculs[[#This Row],[fin mois]]-MIN(Tab_Calculs[[#This Row],[fin mois]],Tab_Calculs[[#This Row],[Date_livraison]]))</f>
        <v>#VALUE!</v>
      </c>
      <c r="R518" t="e">
        <f ca="1">Tab_Calculs[[#This Row],[Ratio_Cout_après_livr]]+Tab_Calculs[[#This Row],[Ratio_Cout_avant_livr]]+Tab_Calculs[[#This Row],[Ratio_Cout_avant_debut]]</f>
        <v>#VALUE!</v>
      </c>
      <c r="S518" t="str">
        <f ca="1">IFERROR(N518*VLOOKUP(Tab_Calculs[[#This Row],[Colonne1]],Controle_des_données!$B$7:$G$14,6,FALSE),"")</f>
        <v/>
      </c>
      <c r="T518" t="str">
        <f ca="1">IF(Tab_Calculs[[#This Row],[Combustible ]]="Electricité (kWh)",Tab_Calculs[[#This Row],[Conso_mois_kWh]]*2.3,Tab_Calculs[[#This Row],[Conso_mois_kWh]])</f>
        <v/>
      </c>
      <c r="U518" t="str">
        <f ca="1">IFERROR(N518*VLOOKUP(Tab_Calculs[[#This Row],[Colonne1]],Controle_des_données!$B$7:$H$14,7,FALSE),"")</f>
        <v/>
      </c>
      <c r="V518">
        <f ca="1">IFERROR(Tab_Calculs[[#This Row],[Cout_mois]]/Tab_Calculs[[#This Row],[Conso_mois_kWh]],0)</f>
        <v>0</v>
      </c>
      <c r="W518" t="str">
        <f>T(VLOOKUP(Tab_Calculs[[#This Row],[Compteur]],Site!$B$33:$G$40,3,FALSE))</f>
        <v/>
      </c>
      <c r="X518" t="str">
        <f>T(VLOOKUP(Tab_Calculs[[#This Row],[Compteur]],Site!$B$33:$G$40,4,FALSE))</f>
        <v/>
      </c>
      <c r="Y518" t="str">
        <f>T(VLOOKUP(Tab_Calculs[[#This Row],[Compteur]],Site!$B$33:$G$40,5,FALSE))</f>
        <v/>
      </c>
      <c r="Z518" t="str">
        <f>T(VLOOKUP(Tab_Calculs[[#This Row],[Compteur]],Site!$B$33:$G$40,6,FALSE))</f>
        <v/>
      </c>
      <c r="AA518">
        <f>IFERROR(GETPIVOTDATA("DJU(chauffagiste)",BDD_DJU!$P$13,"annee",Tab_Calculs[[#This Row],[ANNEE]],"mois_numero",Tab_Calculs[[#This Row],[MOIS]]),0)</f>
        <v>55.6</v>
      </c>
    </row>
    <row r="519" spans="1:27" x14ac:dyDescent="0.25">
      <c r="A519" s="3">
        <f>DATE(Tab_Calculs[[#This Row],[ANNEE]],Tab_Calculs[[#This Row],[MOIS]],1)</f>
        <v>44013</v>
      </c>
      <c r="B519" s="3">
        <f>EDATE(Tab_Calculs[[#This Row],[Début mois]],1)-1</f>
        <v>44043</v>
      </c>
      <c r="C519">
        <f t="shared" si="15"/>
        <v>7</v>
      </c>
      <c r="D519">
        <f t="shared" si="16"/>
        <v>2020</v>
      </c>
      <c r="E519" t="s">
        <v>82</v>
      </c>
      <c r="F519" t="str">
        <f>SUBSTITUTE(Tab_Calculs[[#This Row],[Compteur]]," ","_")</f>
        <v>Compteur_3</v>
      </c>
      <c r="G519" t="str">
        <f>T(INDEX(Site!$B$33:$G$40, MATCH(Tab_Calculs[[#This Row],[Compteur]], Site!$B$33:$B$40,0),2))</f>
        <v/>
      </c>
      <c r="H519" s="3">
        <f t="array" aca="1" ref="H519" ca="1">MIN(IF(INDIRECT(CONCATENATE(Tab_Calculs[[#This Row],[Colonne1]],"!$B$2:$B$243"))&gt;=Calculs_Consos!$A519,INDIRECT(CONCATENATE(Tab_Calculs[[#This Row],[Colonne1]],"!$B$2:$B$243"))))</f>
        <v>0</v>
      </c>
      <c r="I519" s="3">
        <f ca="1">INDEX(INDIRECT(CONCATENATE("Tab_",Tab_Calculs[[#This Row],[Colonne1]])),Tab_Calculs[[#This Row],[index_date_livraison]],1)</f>
        <v>0</v>
      </c>
      <c r="J519">
        <f ca="1">MATCH(Tab_Calculs[[#This Row],[Date_livraison]],INDIRECT(CONCATENATE("Tab_",Tab_Calculs[[#This Row],[Colonne1]],"[Fin de période]")),0)</f>
        <v>1</v>
      </c>
      <c r="K519" t="e">
        <f ca="1">INDEX(INDIRECT(CONCATENATE("Tab_",Tab_Calculs[[#This Row],[Colonne1]])),Tab_Calculs[[#This Row],[index_date_livraison]]-1,6)*(MAX(Tab_Calculs[[#This Row],[Début periode livraison]],Tab_Calculs[[#This Row],[Début mois]])-Tab_Calculs[[#This Row],[Début mois]])</f>
        <v>#VALUE!</v>
      </c>
      <c r="L519" s="94">
        <f ca="1">INDEX(INDIRECT(CONCATENATE("Tab_",Tab_Calculs[[#This Row],[Colonne1]])),Tab_Calculs[[#This Row],[index_date_livraison]],6)*(1+MIN(Tab_Calculs[[#This Row],[Date_livraison]],Tab_Calculs[[#This Row],[fin mois]])-MAX(Tab_Calculs[[#This Row],[Début mois]],Tab_Calculs[[#This Row],[Début periode livraison]]))</f>
        <v>0</v>
      </c>
      <c r="M519" s="94" t="e">
        <f ca="1">INDEX(INDIRECT(CONCATENATE("Tab_",Tab_Calculs[[#This Row],[Colonne1]])),Tab_Calculs[[#This Row],[index_date_livraison]]+1,6)*(Tab_Calculs[[#This Row],[fin mois]]-MIN(Tab_Calculs[[#This Row],[fin mois]],Tab_Calculs[[#This Row],[Date_livraison]]))</f>
        <v>#VALUE!</v>
      </c>
      <c r="N519" s="231" t="str">
        <f ca="1">IFERROR(Tab_Calculs[[#This Row],[Ratio_jour_après_livr]]+Tab_Calculs[[#This Row],[Ratio_jour_avant_livr]]+Tab_Calculs[[#This Row],[ratio_avant_debut]],"")</f>
        <v/>
      </c>
      <c r="O519" t="e">
        <f ca="1">INDEX(INDIRECT(CONCATENATE("Tab_",Tab_Calculs[[#This Row],[Colonne1]])),Tab_Calculs[[#This Row],[index_date_livraison]]-1,7)*(MAX(Tab_Calculs[[#This Row],[Début periode livraison]],Tab_Calculs[[#This Row],[Début mois]])-Tab_Calculs[[#This Row],[Début mois]])</f>
        <v>#VALUE!</v>
      </c>
      <c r="P519">
        <f ca="1">INDEX(INDIRECT(CONCATENATE("Tab_",Tab_Calculs[[#This Row],[Colonne1]])),Tab_Calculs[[#This Row],[index_date_livraison]],7)*(1+MIN(Tab_Calculs[[#This Row],[Date_livraison]],Tab_Calculs[[#This Row],[fin mois]])-MAX(Tab_Calculs[[#This Row],[Début mois]],Tab_Calculs[[#This Row],[Début periode livraison]]))</f>
        <v>0</v>
      </c>
      <c r="Q519" t="e">
        <f ca="1">INDEX(INDIRECT(CONCATENATE("Tab_",Tab_Calculs[[#This Row],[Colonne1]])),Tab_Calculs[[#This Row],[index_date_livraison]]+1,7)*(Tab_Calculs[[#This Row],[fin mois]]-MIN(Tab_Calculs[[#This Row],[fin mois]],Tab_Calculs[[#This Row],[Date_livraison]]))</f>
        <v>#VALUE!</v>
      </c>
      <c r="R519" t="e">
        <f ca="1">Tab_Calculs[[#This Row],[Ratio_Cout_après_livr]]+Tab_Calculs[[#This Row],[Ratio_Cout_avant_livr]]+Tab_Calculs[[#This Row],[Ratio_Cout_avant_debut]]</f>
        <v>#VALUE!</v>
      </c>
      <c r="S519" t="str">
        <f ca="1">IFERROR(N519*VLOOKUP(Tab_Calculs[[#This Row],[Colonne1]],Controle_des_données!$B$7:$G$14,6,FALSE),"")</f>
        <v/>
      </c>
      <c r="T519" t="str">
        <f ca="1">IF(Tab_Calculs[[#This Row],[Combustible ]]="Electricité (kWh)",Tab_Calculs[[#This Row],[Conso_mois_kWh]]*2.3,Tab_Calculs[[#This Row],[Conso_mois_kWh]])</f>
        <v/>
      </c>
      <c r="U519" t="str">
        <f ca="1">IFERROR(N519*VLOOKUP(Tab_Calculs[[#This Row],[Colonne1]],Controle_des_données!$B$7:$H$14,7,FALSE),"")</f>
        <v/>
      </c>
      <c r="V519">
        <f ca="1">IFERROR(Tab_Calculs[[#This Row],[Cout_mois]]/Tab_Calculs[[#This Row],[Conso_mois_kWh]],0)</f>
        <v>0</v>
      </c>
      <c r="W519" t="str">
        <f>T(VLOOKUP(Tab_Calculs[[#This Row],[Compteur]],Site!$B$33:$G$40,3,FALSE))</f>
        <v/>
      </c>
      <c r="X519" t="str">
        <f>T(VLOOKUP(Tab_Calculs[[#This Row],[Compteur]],Site!$B$33:$G$40,4,FALSE))</f>
        <v/>
      </c>
      <c r="Y519" t="str">
        <f>T(VLOOKUP(Tab_Calculs[[#This Row],[Compteur]],Site!$B$33:$G$40,5,FALSE))</f>
        <v/>
      </c>
      <c r="Z519" t="str">
        <f>T(VLOOKUP(Tab_Calculs[[#This Row],[Compteur]],Site!$B$33:$G$40,6,FALSE))</f>
        <v/>
      </c>
      <c r="AA519">
        <f>IFERROR(GETPIVOTDATA("DJU(chauffagiste)",BDD_DJU!$P$13,"annee",Tab_Calculs[[#This Row],[ANNEE]],"mois_numero",Tab_Calculs[[#This Row],[MOIS]]),0)</f>
        <v>32.299999999999997</v>
      </c>
    </row>
    <row r="520" spans="1:27" x14ac:dyDescent="0.25">
      <c r="A520" s="3">
        <f>DATE(Tab_Calculs[[#This Row],[ANNEE]],Tab_Calculs[[#This Row],[MOIS]],1)</f>
        <v>44044</v>
      </c>
      <c r="B520" s="3">
        <f>EDATE(Tab_Calculs[[#This Row],[Début mois]],1)-1</f>
        <v>44074</v>
      </c>
      <c r="C520">
        <f t="shared" si="15"/>
        <v>8</v>
      </c>
      <c r="D520">
        <f t="shared" si="16"/>
        <v>2020</v>
      </c>
      <c r="E520" t="s">
        <v>82</v>
      </c>
      <c r="F520" t="str">
        <f>SUBSTITUTE(Tab_Calculs[[#This Row],[Compteur]]," ","_")</f>
        <v>Compteur_3</v>
      </c>
      <c r="G520" t="str">
        <f>T(INDEX(Site!$B$33:$G$40, MATCH(Tab_Calculs[[#This Row],[Compteur]], Site!$B$33:$B$40,0),2))</f>
        <v/>
      </c>
      <c r="H520" s="3">
        <f t="array" aca="1" ref="H520" ca="1">MIN(IF(INDIRECT(CONCATENATE(Tab_Calculs[[#This Row],[Colonne1]],"!$B$2:$B$243"))&gt;=Calculs_Consos!$A520,INDIRECT(CONCATENATE(Tab_Calculs[[#This Row],[Colonne1]],"!$B$2:$B$243"))))</f>
        <v>0</v>
      </c>
      <c r="I520" s="3">
        <f ca="1">INDEX(INDIRECT(CONCATENATE("Tab_",Tab_Calculs[[#This Row],[Colonne1]])),Tab_Calculs[[#This Row],[index_date_livraison]],1)</f>
        <v>0</v>
      </c>
      <c r="J520">
        <f ca="1">MATCH(Tab_Calculs[[#This Row],[Date_livraison]],INDIRECT(CONCATENATE("Tab_",Tab_Calculs[[#This Row],[Colonne1]],"[Fin de période]")),0)</f>
        <v>1</v>
      </c>
      <c r="K520" t="e">
        <f ca="1">INDEX(INDIRECT(CONCATENATE("Tab_",Tab_Calculs[[#This Row],[Colonne1]])),Tab_Calculs[[#This Row],[index_date_livraison]]-1,6)*(MAX(Tab_Calculs[[#This Row],[Début periode livraison]],Tab_Calculs[[#This Row],[Début mois]])-Tab_Calculs[[#This Row],[Début mois]])</f>
        <v>#VALUE!</v>
      </c>
      <c r="L520" s="94">
        <f ca="1">INDEX(INDIRECT(CONCATENATE("Tab_",Tab_Calculs[[#This Row],[Colonne1]])),Tab_Calculs[[#This Row],[index_date_livraison]],6)*(1+MIN(Tab_Calculs[[#This Row],[Date_livraison]],Tab_Calculs[[#This Row],[fin mois]])-MAX(Tab_Calculs[[#This Row],[Début mois]],Tab_Calculs[[#This Row],[Début periode livraison]]))</f>
        <v>0</v>
      </c>
      <c r="M520" s="94" t="e">
        <f ca="1">INDEX(INDIRECT(CONCATENATE("Tab_",Tab_Calculs[[#This Row],[Colonne1]])),Tab_Calculs[[#This Row],[index_date_livraison]]+1,6)*(Tab_Calculs[[#This Row],[fin mois]]-MIN(Tab_Calculs[[#This Row],[fin mois]],Tab_Calculs[[#This Row],[Date_livraison]]))</f>
        <v>#VALUE!</v>
      </c>
      <c r="N520" s="231" t="str">
        <f ca="1">IFERROR(Tab_Calculs[[#This Row],[Ratio_jour_après_livr]]+Tab_Calculs[[#This Row],[Ratio_jour_avant_livr]]+Tab_Calculs[[#This Row],[ratio_avant_debut]],"")</f>
        <v/>
      </c>
      <c r="O520" t="e">
        <f ca="1">INDEX(INDIRECT(CONCATENATE("Tab_",Tab_Calculs[[#This Row],[Colonne1]])),Tab_Calculs[[#This Row],[index_date_livraison]]-1,7)*(MAX(Tab_Calculs[[#This Row],[Début periode livraison]],Tab_Calculs[[#This Row],[Début mois]])-Tab_Calculs[[#This Row],[Début mois]])</f>
        <v>#VALUE!</v>
      </c>
      <c r="P520">
        <f ca="1">INDEX(INDIRECT(CONCATENATE("Tab_",Tab_Calculs[[#This Row],[Colonne1]])),Tab_Calculs[[#This Row],[index_date_livraison]],7)*(1+MIN(Tab_Calculs[[#This Row],[Date_livraison]],Tab_Calculs[[#This Row],[fin mois]])-MAX(Tab_Calculs[[#This Row],[Début mois]],Tab_Calculs[[#This Row],[Début periode livraison]]))</f>
        <v>0</v>
      </c>
      <c r="Q520" t="e">
        <f ca="1">INDEX(INDIRECT(CONCATENATE("Tab_",Tab_Calculs[[#This Row],[Colonne1]])),Tab_Calculs[[#This Row],[index_date_livraison]]+1,7)*(Tab_Calculs[[#This Row],[fin mois]]-MIN(Tab_Calculs[[#This Row],[fin mois]],Tab_Calculs[[#This Row],[Date_livraison]]))</f>
        <v>#VALUE!</v>
      </c>
      <c r="R520" t="e">
        <f ca="1">Tab_Calculs[[#This Row],[Ratio_Cout_après_livr]]+Tab_Calculs[[#This Row],[Ratio_Cout_avant_livr]]+Tab_Calculs[[#This Row],[Ratio_Cout_avant_debut]]</f>
        <v>#VALUE!</v>
      </c>
      <c r="S520" t="str">
        <f ca="1">IFERROR(N520*VLOOKUP(Tab_Calculs[[#This Row],[Colonne1]],Controle_des_données!$B$7:$G$14,6,FALSE),"")</f>
        <v/>
      </c>
      <c r="T520" t="str">
        <f ca="1">IF(Tab_Calculs[[#This Row],[Combustible ]]="Electricité (kWh)",Tab_Calculs[[#This Row],[Conso_mois_kWh]]*2.3,Tab_Calculs[[#This Row],[Conso_mois_kWh]])</f>
        <v/>
      </c>
      <c r="U520" t="str">
        <f ca="1">IFERROR(N520*VLOOKUP(Tab_Calculs[[#This Row],[Colonne1]],Controle_des_données!$B$7:$H$14,7,FALSE),"")</f>
        <v/>
      </c>
      <c r="V520">
        <f ca="1">IFERROR(Tab_Calculs[[#This Row],[Cout_mois]]/Tab_Calculs[[#This Row],[Conso_mois_kWh]],0)</f>
        <v>0</v>
      </c>
      <c r="W520" t="str">
        <f>T(VLOOKUP(Tab_Calculs[[#This Row],[Compteur]],Site!$B$33:$G$40,3,FALSE))</f>
        <v/>
      </c>
      <c r="X520" t="str">
        <f>T(VLOOKUP(Tab_Calculs[[#This Row],[Compteur]],Site!$B$33:$G$40,4,FALSE))</f>
        <v/>
      </c>
      <c r="Y520" t="str">
        <f>T(VLOOKUP(Tab_Calculs[[#This Row],[Compteur]],Site!$B$33:$G$40,5,FALSE))</f>
        <v/>
      </c>
      <c r="Z520" t="str">
        <f>T(VLOOKUP(Tab_Calculs[[#This Row],[Compteur]],Site!$B$33:$G$40,6,FALSE))</f>
        <v/>
      </c>
      <c r="AA520">
        <f>IFERROR(GETPIVOTDATA("DJU(chauffagiste)",BDD_DJU!$P$13,"annee",Tab_Calculs[[#This Row],[ANNEE]],"mois_numero",Tab_Calculs[[#This Row],[MOIS]]),0)</f>
        <v>27.8</v>
      </c>
    </row>
    <row r="521" spans="1:27" x14ac:dyDescent="0.25">
      <c r="A521" s="3">
        <f>DATE(Tab_Calculs[[#This Row],[ANNEE]],Tab_Calculs[[#This Row],[MOIS]],1)</f>
        <v>44075</v>
      </c>
      <c r="B521" s="3">
        <f>EDATE(Tab_Calculs[[#This Row],[Début mois]],1)-1</f>
        <v>44104</v>
      </c>
      <c r="C521">
        <f t="shared" si="15"/>
        <v>9</v>
      </c>
      <c r="D521">
        <f t="shared" si="16"/>
        <v>2020</v>
      </c>
      <c r="E521" t="s">
        <v>82</v>
      </c>
      <c r="F521" t="str">
        <f>SUBSTITUTE(Tab_Calculs[[#This Row],[Compteur]]," ","_")</f>
        <v>Compteur_3</v>
      </c>
      <c r="G521" t="str">
        <f>T(INDEX(Site!$B$33:$G$40, MATCH(Tab_Calculs[[#This Row],[Compteur]], Site!$B$33:$B$40,0),2))</f>
        <v/>
      </c>
      <c r="H521" s="3">
        <f t="array" aca="1" ref="H521" ca="1">MIN(IF(INDIRECT(CONCATENATE(Tab_Calculs[[#This Row],[Colonne1]],"!$B$2:$B$243"))&gt;=Calculs_Consos!$A521,INDIRECT(CONCATENATE(Tab_Calculs[[#This Row],[Colonne1]],"!$B$2:$B$243"))))</f>
        <v>0</v>
      </c>
      <c r="I521" s="3">
        <f ca="1">INDEX(INDIRECT(CONCATENATE("Tab_",Tab_Calculs[[#This Row],[Colonne1]])),Tab_Calculs[[#This Row],[index_date_livraison]],1)</f>
        <v>0</v>
      </c>
      <c r="J521">
        <f ca="1">MATCH(Tab_Calculs[[#This Row],[Date_livraison]],INDIRECT(CONCATENATE("Tab_",Tab_Calculs[[#This Row],[Colonne1]],"[Fin de période]")),0)</f>
        <v>1</v>
      </c>
      <c r="K521" t="e">
        <f ca="1">INDEX(INDIRECT(CONCATENATE("Tab_",Tab_Calculs[[#This Row],[Colonne1]])),Tab_Calculs[[#This Row],[index_date_livraison]]-1,6)*(MAX(Tab_Calculs[[#This Row],[Début periode livraison]],Tab_Calculs[[#This Row],[Début mois]])-Tab_Calculs[[#This Row],[Début mois]])</f>
        <v>#VALUE!</v>
      </c>
      <c r="L521" s="94">
        <f ca="1">INDEX(INDIRECT(CONCATENATE("Tab_",Tab_Calculs[[#This Row],[Colonne1]])),Tab_Calculs[[#This Row],[index_date_livraison]],6)*(1+MIN(Tab_Calculs[[#This Row],[Date_livraison]],Tab_Calculs[[#This Row],[fin mois]])-MAX(Tab_Calculs[[#This Row],[Début mois]],Tab_Calculs[[#This Row],[Début periode livraison]]))</f>
        <v>0</v>
      </c>
      <c r="M521" s="94" t="e">
        <f ca="1">INDEX(INDIRECT(CONCATENATE("Tab_",Tab_Calculs[[#This Row],[Colonne1]])),Tab_Calculs[[#This Row],[index_date_livraison]]+1,6)*(Tab_Calculs[[#This Row],[fin mois]]-MIN(Tab_Calculs[[#This Row],[fin mois]],Tab_Calculs[[#This Row],[Date_livraison]]))</f>
        <v>#VALUE!</v>
      </c>
      <c r="N521" s="231" t="str">
        <f ca="1">IFERROR(Tab_Calculs[[#This Row],[Ratio_jour_après_livr]]+Tab_Calculs[[#This Row],[Ratio_jour_avant_livr]]+Tab_Calculs[[#This Row],[ratio_avant_debut]],"")</f>
        <v/>
      </c>
      <c r="O521" t="e">
        <f ca="1">INDEX(INDIRECT(CONCATENATE("Tab_",Tab_Calculs[[#This Row],[Colonne1]])),Tab_Calculs[[#This Row],[index_date_livraison]]-1,7)*(MAX(Tab_Calculs[[#This Row],[Début periode livraison]],Tab_Calculs[[#This Row],[Début mois]])-Tab_Calculs[[#This Row],[Début mois]])</f>
        <v>#VALUE!</v>
      </c>
      <c r="P521">
        <f ca="1">INDEX(INDIRECT(CONCATENATE("Tab_",Tab_Calculs[[#This Row],[Colonne1]])),Tab_Calculs[[#This Row],[index_date_livraison]],7)*(1+MIN(Tab_Calculs[[#This Row],[Date_livraison]],Tab_Calculs[[#This Row],[fin mois]])-MAX(Tab_Calculs[[#This Row],[Début mois]],Tab_Calculs[[#This Row],[Début periode livraison]]))</f>
        <v>0</v>
      </c>
      <c r="Q521" t="e">
        <f ca="1">INDEX(INDIRECT(CONCATENATE("Tab_",Tab_Calculs[[#This Row],[Colonne1]])),Tab_Calculs[[#This Row],[index_date_livraison]]+1,7)*(Tab_Calculs[[#This Row],[fin mois]]-MIN(Tab_Calculs[[#This Row],[fin mois]],Tab_Calculs[[#This Row],[Date_livraison]]))</f>
        <v>#VALUE!</v>
      </c>
      <c r="R521" t="e">
        <f ca="1">Tab_Calculs[[#This Row],[Ratio_Cout_après_livr]]+Tab_Calculs[[#This Row],[Ratio_Cout_avant_livr]]+Tab_Calculs[[#This Row],[Ratio_Cout_avant_debut]]</f>
        <v>#VALUE!</v>
      </c>
      <c r="S521" t="str">
        <f ca="1">IFERROR(N521*VLOOKUP(Tab_Calculs[[#This Row],[Colonne1]],Controle_des_données!$B$7:$G$14,6,FALSE),"")</f>
        <v/>
      </c>
      <c r="T521" t="str">
        <f ca="1">IF(Tab_Calculs[[#This Row],[Combustible ]]="Electricité (kWh)",Tab_Calculs[[#This Row],[Conso_mois_kWh]]*2.3,Tab_Calculs[[#This Row],[Conso_mois_kWh]])</f>
        <v/>
      </c>
      <c r="U521" t="str">
        <f ca="1">IFERROR(N521*VLOOKUP(Tab_Calculs[[#This Row],[Colonne1]],Controle_des_données!$B$7:$H$14,7,FALSE),"")</f>
        <v/>
      </c>
      <c r="V521">
        <f ca="1">IFERROR(Tab_Calculs[[#This Row],[Cout_mois]]/Tab_Calculs[[#This Row],[Conso_mois_kWh]],0)</f>
        <v>0</v>
      </c>
      <c r="W521" t="str">
        <f>T(VLOOKUP(Tab_Calculs[[#This Row],[Compteur]],Site!$B$33:$G$40,3,FALSE))</f>
        <v/>
      </c>
      <c r="X521" t="str">
        <f>T(VLOOKUP(Tab_Calculs[[#This Row],[Compteur]],Site!$B$33:$G$40,4,FALSE))</f>
        <v/>
      </c>
      <c r="Y521" t="str">
        <f>T(VLOOKUP(Tab_Calculs[[#This Row],[Compteur]],Site!$B$33:$G$40,5,FALSE))</f>
        <v/>
      </c>
      <c r="Z521" t="str">
        <f>T(VLOOKUP(Tab_Calculs[[#This Row],[Compteur]],Site!$B$33:$G$40,6,FALSE))</f>
        <v/>
      </c>
      <c r="AA521">
        <f>IFERROR(GETPIVOTDATA("DJU(chauffagiste)",BDD_DJU!$P$13,"annee",Tab_Calculs[[#This Row],[ANNEE]],"mois_numero",Tab_Calculs[[#This Row],[MOIS]]),0)</f>
        <v>56.6</v>
      </c>
    </row>
    <row r="522" spans="1:27" x14ac:dyDescent="0.25">
      <c r="A522" s="3">
        <f>DATE(Tab_Calculs[[#This Row],[ANNEE]],Tab_Calculs[[#This Row],[MOIS]],1)</f>
        <v>44105</v>
      </c>
      <c r="B522" s="3">
        <f>EDATE(Tab_Calculs[[#This Row],[Début mois]],1)-1</f>
        <v>44135</v>
      </c>
      <c r="C522">
        <f t="shared" si="15"/>
        <v>10</v>
      </c>
      <c r="D522">
        <f t="shared" si="16"/>
        <v>2020</v>
      </c>
      <c r="E522" t="s">
        <v>82</v>
      </c>
      <c r="F522" t="str">
        <f>SUBSTITUTE(Tab_Calculs[[#This Row],[Compteur]]," ","_")</f>
        <v>Compteur_3</v>
      </c>
      <c r="G522" t="str">
        <f>T(INDEX(Site!$B$33:$G$40, MATCH(Tab_Calculs[[#This Row],[Compteur]], Site!$B$33:$B$40,0),2))</f>
        <v/>
      </c>
      <c r="H522" s="3">
        <f t="array" aca="1" ref="H522" ca="1">MIN(IF(INDIRECT(CONCATENATE(Tab_Calculs[[#This Row],[Colonne1]],"!$B$2:$B$243"))&gt;=Calculs_Consos!$A522,INDIRECT(CONCATENATE(Tab_Calculs[[#This Row],[Colonne1]],"!$B$2:$B$243"))))</f>
        <v>0</v>
      </c>
      <c r="I522" s="3">
        <f ca="1">INDEX(INDIRECT(CONCATENATE("Tab_",Tab_Calculs[[#This Row],[Colonne1]])),Tab_Calculs[[#This Row],[index_date_livraison]],1)</f>
        <v>0</v>
      </c>
      <c r="J522">
        <f ca="1">MATCH(Tab_Calculs[[#This Row],[Date_livraison]],INDIRECT(CONCATENATE("Tab_",Tab_Calculs[[#This Row],[Colonne1]],"[Fin de période]")),0)</f>
        <v>1</v>
      </c>
      <c r="K522" t="e">
        <f ca="1">INDEX(INDIRECT(CONCATENATE("Tab_",Tab_Calculs[[#This Row],[Colonne1]])),Tab_Calculs[[#This Row],[index_date_livraison]]-1,6)*(MAX(Tab_Calculs[[#This Row],[Début periode livraison]],Tab_Calculs[[#This Row],[Début mois]])-Tab_Calculs[[#This Row],[Début mois]])</f>
        <v>#VALUE!</v>
      </c>
      <c r="L522" s="94">
        <f ca="1">INDEX(INDIRECT(CONCATENATE("Tab_",Tab_Calculs[[#This Row],[Colonne1]])),Tab_Calculs[[#This Row],[index_date_livraison]],6)*(1+MIN(Tab_Calculs[[#This Row],[Date_livraison]],Tab_Calculs[[#This Row],[fin mois]])-MAX(Tab_Calculs[[#This Row],[Début mois]],Tab_Calculs[[#This Row],[Début periode livraison]]))</f>
        <v>0</v>
      </c>
      <c r="M522" s="94" t="e">
        <f ca="1">INDEX(INDIRECT(CONCATENATE("Tab_",Tab_Calculs[[#This Row],[Colonne1]])),Tab_Calculs[[#This Row],[index_date_livraison]]+1,6)*(Tab_Calculs[[#This Row],[fin mois]]-MIN(Tab_Calculs[[#This Row],[fin mois]],Tab_Calculs[[#This Row],[Date_livraison]]))</f>
        <v>#VALUE!</v>
      </c>
      <c r="N522" s="231" t="str">
        <f ca="1">IFERROR(Tab_Calculs[[#This Row],[Ratio_jour_après_livr]]+Tab_Calculs[[#This Row],[Ratio_jour_avant_livr]]+Tab_Calculs[[#This Row],[ratio_avant_debut]],"")</f>
        <v/>
      </c>
      <c r="O522" t="e">
        <f ca="1">INDEX(INDIRECT(CONCATENATE("Tab_",Tab_Calculs[[#This Row],[Colonne1]])),Tab_Calculs[[#This Row],[index_date_livraison]]-1,7)*(MAX(Tab_Calculs[[#This Row],[Début periode livraison]],Tab_Calculs[[#This Row],[Début mois]])-Tab_Calculs[[#This Row],[Début mois]])</f>
        <v>#VALUE!</v>
      </c>
      <c r="P522">
        <f ca="1">INDEX(INDIRECT(CONCATENATE("Tab_",Tab_Calculs[[#This Row],[Colonne1]])),Tab_Calculs[[#This Row],[index_date_livraison]],7)*(1+MIN(Tab_Calculs[[#This Row],[Date_livraison]],Tab_Calculs[[#This Row],[fin mois]])-MAX(Tab_Calculs[[#This Row],[Début mois]],Tab_Calculs[[#This Row],[Début periode livraison]]))</f>
        <v>0</v>
      </c>
      <c r="Q522" t="e">
        <f ca="1">INDEX(INDIRECT(CONCATENATE("Tab_",Tab_Calculs[[#This Row],[Colonne1]])),Tab_Calculs[[#This Row],[index_date_livraison]]+1,7)*(Tab_Calculs[[#This Row],[fin mois]]-MIN(Tab_Calculs[[#This Row],[fin mois]],Tab_Calculs[[#This Row],[Date_livraison]]))</f>
        <v>#VALUE!</v>
      </c>
      <c r="R522" t="e">
        <f ca="1">Tab_Calculs[[#This Row],[Ratio_Cout_après_livr]]+Tab_Calculs[[#This Row],[Ratio_Cout_avant_livr]]+Tab_Calculs[[#This Row],[Ratio_Cout_avant_debut]]</f>
        <v>#VALUE!</v>
      </c>
      <c r="S522" t="str">
        <f ca="1">IFERROR(N522*VLOOKUP(Tab_Calculs[[#This Row],[Colonne1]],Controle_des_données!$B$7:$G$14,6,FALSE),"")</f>
        <v/>
      </c>
      <c r="T522" t="str">
        <f ca="1">IF(Tab_Calculs[[#This Row],[Combustible ]]="Electricité (kWh)",Tab_Calculs[[#This Row],[Conso_mois_kWh]]*2.3,Tab_Calculs[[#This Row],[Conso_mois_kWh]])</f>
        <v/>
      </c>
      <c r="U522" t="str">
        <f ca="1">IFERROR(N522*VLOOKUP(Tab_Calculs[[#This Row],[Colonne1]],Controle_des_données!$B$7:$H$14,7,FALSE),"")</f>
        <v/>
      </c>
      <c r="V522">
        <f ca="1">IFERROR(Tab_Calculs[[#This Row],[Cout_mois]]/Tab_Calculs[[#This Row],[Conso_mois_kWh]],0)</f>
        <v>0</v>
      </c>
      <c r="W522" t="str">
        <f>T(VLOOKUP(Tab_Calculs[[#This Row],[Compteur]],Site!$B$33:$G$40,3,FALSE))</f>
        <v/>
      </c>
      <c r="X522" t="str">
        <f>T(VLOOKUP(Tab_Calculs[[#This Row],[Compteur]],Site!$B$33:$G$40,4,FALSE))</f>
        <v/>
      </c>
      <c r="Y522" t="str">
        <f>T(VLOOKUP(Tab_Calculs[[#This Row],[Compteur]],Site!$B$33:$G$40,5,FALSE))</f>
        <v/>
      </c>
      <c r="Z522" t="str">
        <f>T(VLOOKUP(Tab_Calculs[[#This Row],[Compteur]],Site!$B$33:$G$40,6,FALSE))</f>
        <v/>
      </c>
      <c r="AA522">
        <f>IFERROR(GETPIVOTDATA("DJU(chauffagiste)",BDD_DJU!$P$13,"annee",Tab_Calculs[[#This Row],[ANNEE]],"mois_numero",Tab_Calculs[[#This Row],[MOIS]]),0)</f>
        <v>159.30000000000001</v>
      </c>
    </row>
    <row r="523" spans="1:27" x14ac:dyDescent="0.25">
      <c r="A523" s="3">
        <f>DATE(Tab_Calculs[[#This Row],[ANNEE]],Tab_Calculs[[#This Row],[MOIS]],1)</f>
        <v>44136</v>
      </c>
      <c r="B523" s="3">
        <f>EDATE(Tab_Calculs[[#This Row],[Début mois]],1)-1</f>
        <v>44165</v>
      </c>
      <c r="C523">
        <f t="shared" si="15"/>
        <v>11</v>
      </c>
      <c r="D523">
        <f t="shared" si="16"/>
        <v>2020</v>
      </c>
      <c r="E523" t="s">
        <v>82</v>
      </c>
      <c r="F523" t="str">
        <f>SUBSTITUTE(Tab_Calculs[[#This Row],[Compteur]]," ","_")</f>
        <v>Compteur_3</v>
      </c>
      <c r="G523" t="str">
        <f>T(INDEX(Site!$B$33:$G$40, MATCH(Tab_Calculs[[#This Row],[Compteur]], Site!$B$33:$B$40,0),2))</f>
        <v/>
      </c>
      <c r="H523" s="3">
        <f t="array" aca="1" ref="H523" ca="1">MIN(IF(INDIRECT(CONCATENATE(Tab_Calculs[[#This Row],[Colonne1]],"!$B$2:$B$243"))&gt;=Calculs_Consos!$A523,INDIRECT(CONCATENATE(Tab_Calculs[[#This Row],[Colonne1]],"!$B$2:$B$243"))))</f>
        <v>0</v>
      </c>
      <c r="I523" s="3">
        <f ca="1">INDEX(INDIRECT(CONCATENATE("Tab_",Tab_Calculs[[#This Row],[Colonne1]])),Tab_Calculs[[#This Row],[index_date_livraison]],1)</f>
        <v>0</v>
      </c>
      <c r="J523">
        <f ca="1">MATCH(Tab_Calculs[[#This Row],[Date_livraison]],INDIRECT(CONCATENATE("Tab_",Tab_Calculs[[#This Row],[Colonne1]],"[Fin de période]")),0)</f>
        <v>1</v>
      </c>
      <c r="K523" t="e">
        <f ca="1">INDEX(INDIRECT(CONCATENATE("Tab_",Tab_Calculs[[#This Row],[Colonne1]])),Tab_Calculs[[#This Row],[index_date_livraison]]-1,6)*(MAX(Tab_Calculs[[#This Row],[Début periode livraison]],Tab_Calculs[[#This Row],[Début mois]])-Tab_Calculs[[#This Row],[Début mois]])</f>
        <v>#VALUE!</v>
      </c>
      <c r="L523" s="94">
        <f ca="1">INDEX(INDIRECT(CONCATENATE("Tab_",Tab_Calculs[[#This Row],[Colonne1]])),Tab_Calculs[[#This Row],[index_date_livraison]],6)*(1+MIN(Tab_Calculs[[#This Row],[Date_livraison]],Tab_Calculs[[#This Row],[fin mois]])-MAX(Tab_Calculs[[#This Row],[Début mois]],Tab_Calculs[[#This Row],[Début periode livraison]]))</f>
        <v>0</v>
      </c>
      <c r="M523" s="94" t="e">
        <f ca="1">INDEX(INDIRECT(CONCATENATE("Tab_",Tab_Calculs[[#This Row],[Colonne1]])),Tab_Calculs[[#This Row],[index_date_livraison]]+1,6)*(Tab_Calculs[[#This Row],[fin mois]]-MIN(Tab_Calculs[[#This Row],[fin mois]],Tab_Calculs[[#This Row],[Date_livraison]]))</f>
        <v>#VALUE!</v>
      </c>
      <c r="N523" s="231" t="str">
        <f ca="1">IFERROR(Tab_Calculs[[#This Row],[Ratio_jour_après_livr]]+Tab_Calculs[[#This Row],[Ratio_jour_avant_livr]]+Tab_Calculs[[#This Row],[ratio_avant_debut]],"")</f>
        <v/>
      </c>
      <c r="O523" t="e">
        <f ca="1">INDEX(INDIRECT(CONCATENATE("Tab_",Tab_Calculs[[#This Row],[Colonne1]])),Tab_Calculs[[#This Row],[index_date_livraison]]-1,7)*(MAX(Tab_Calculs[[#This Row],[Début periode livraison]],Tab_Calculs[[#This Row],[Début mois]])-Tab_Calculs[[#This Row],[Début mois]])</f>
        <v>#VALUE!</v>
      </c>
      <c r="P523">
        <f ca="1">INDEX(INDIRECT(CONCATENATE("Tab_",Tab_Calculs[[#This Row],[Colonne1]])),Tab_Calculs[[#This Row],[index_date_livraison]],7)*(1+MIN(Tab_Calculs[[#This Row],[Date_livraison]],Tab_Calculs[[#This Row],[fin mois]])-MAX(Tab_Calculs[[#This Row],[Début mois]],Tab_Calculs[[#This Row],[Début periode livraison]]))</f>
        <v>0</v>
      </c>
      <c r="Q523" t="e">
        <f ca="1">INDEX(INDIRECT(CONCATENATE("Tab_",Tab_Calculs[[#This Row],[Colonne1]])),Tab_Calculs[[#This Row],[index_date_livraison]]+1,7)*(Tab_Calculs[[#This Row],[fin mois]]-MIN(Tab_Calculs[[#This Row],[fin mois]],Tab_Calculs[[#This Row],[Date_livraison]]))</f>
        <v>#VALUE!</v>
      </c>
      <c r="R523" t="e">
        <f ca="1">Tab_Calculs[[#This Row],[Ratio_Cout_après_livr]]+Tab_Calculs[[#This Row],[Ratio_Cout_avant_livr]]+Tab_Calculs[[#This Row],[Ratio_Cout_avant_debut]]</f>
        <v>#VALUE!</v>
      </c>
      <c r="S523" t="str">
        <f ca="1">IFERROR(N523*VLOOKUP(Tab_Calculs[[#This Row],[Colonne1]],Controle_des_données!$B$7:$G$14,6,FALSE),"")</f>
        <v/>
      </c>
      <c r="T523" t="str">
        <f ca="1">IF(Tab_Calculs[[#This Row],[Combustible ]]="Electricité (kWh)",Tab_Calculs[[#This Row],[Conso_mois_kWh]]*2.3,Tab_Calculs[[#This Row],[Conso_mois_kWh]])</f>
        <v/>
      </c>
      <c r="U523" t="str">
        <f ca="1">IFERROR(N523*VLOOKUP(Tab_Calculs[[#This Row],[Colonne1]],Controle_des_données!$B$7:$H$14,7,FALSE),"")</f>
        <v/>
      </c>
      <c r="V523">
        <f ca="1">IFERROR(Tab_Calculs[[#This Row],[Cout_mois]]/Tab_Calculs[[#This Row],[Conso_mois_kWh]],0)</f>
        <v>0</v>
      </c>
      <c r="W523" t="str">
        <f>T(VLOOKUP(Tab_Calculs[[#This Row],[Compteur]],Site!$B$33:$G$40,3,FALSE))</f>
        <v/>
      </c>
      <c r="X523" t="str">
        <f>T(VLOOKUP(Tab_Calculs[[#This Row],[Compteur]],Site!$B$33:$G$40,4,FALSE))</f>
        <v/>
      </c>
      <c r="Y523" t="str">
        <f>T(VLOOKUP(Tab_Calculs[[#This Row],[Compteur]],Site!$B$33:$G$40,5,FALSE))</f>
        <v/>
      </c>
      <c r="Z523" t="str">
        <f>T(VLOOKUP(Tab_Calculs[[#This Row],[Compteur]],Site!$B$33:$G$40,6,FALSE))</f>
        <v/>
      </c>
      <c r="AA523">
        <f>IFERROR(GETPIVOTDATA("DJU(chauffagiste)",BDD_DJU!$P$13,"annee",Tab_Calculs[[#This Row],[ANNEE]],"mois_numero",Tab_Calculs[[#This Row],[MOIS]]),0)</f>
        <v>237.3</v>
      </c>
    </row>
    <row r="524" spans="1:27" x14ac:dyDescent="0.25">
      <c r="A524" s="3">
        <f>DATE(Tab_Calculs[[#This Row],[ANNEE]],Tab_Calculs[[#This Row],[MOIS]],1)</f>
        <v>44166</v>
      </c>
      <c r="B524" s="3">
        <f>EDATE(Tab_Calculs[[#This Row],[Début mois]],1)-1</f>
        <v>44196</v>
      </c>
      <c r="C524">
        <f t="shared" si="15"/>
        <v>12</v>
      </c>
      <c r="D524">
        <f t="shared" si="16"/>
        <v>2020</v>
      </c>
      <c r="E524" t="s">
        <v>82</v>
      </c>
      <c r="F524" t="str">
        <f>SUBSTITUTE(Tab_Calculs[[#This Row],[Compteur]]," ","_")</f>
        <v>Compteur_3</v>
      </c>
      <c r="G524" t="str">
        <f>T(INDEX(Site!$B$33:$G$40, MATCH(Tab_Calculs[[#This Row],[Compteur]], Site!$B$33:$B$40,0),2))</f>
        <v/>
      </c>
      <c r="H524" s="3">
        <f t="array" aca="1" ref="H524" ca="1">MIN(IF(INDIRECT(CONCATENATE(Tab_Calculs[[#This Row],[Colonne1]],"!$B$2:$B$243"))&gt;=Calculs_Consos!$A524,INDIRECT(CONCATENATE(Tab_Calculs[[#This Row],[Colonne1]],"!$B$2:$B$243"))))</f>
        <v>0</v>
      </c>
      <c r="I524" s="3">
        <f ca="1">INDEX(INDIRECT(CONCATENATE("Tab_",Tab_Calculs[[#This Row],[Colonne1]])),Tab_Calculs[[#This Row],[index_date_livraison]],1)</f>
        <v>0</v>
      </c>
      <c r="J524">
        <f ca="1">MATCH(Tab_Calculs[[#This Row],[Date_livraison]],INDIRECT(CONCATENATE("Tab_",Tab_Calculs[[#This Row],[Colonne1]],"[Fin de période]")),0)</f>
        <v>1</v>
      </c>
      <c r="K524" t="e">
        <f ca="1">INDEX(INDIRECT(CONCATENATE("Tab_",Tab_Calculs[[#This Row],[Colonne1]])),Tab_Calculs[[#This Row],[index_date_livraison]]-1,6)*(MAX(Tab_Calculs[[#This Row],[Début periode livraison]],Tab_Calculs[[#This Row],[Début mois]])-Tab_Calculs[[#This Row],[Début mois]])</f>
        <v>#VALUE!</v>
      </c>
      <c r="L524" s="94">
        <f ca="1">INDEX(INDIRECT(CONCATENATE("Tab_",Tab_Calculs[[#This Row],[Colonne1]])),Tab_Calculs[[#This Row],[index_date_livraison]],6)*(1+MIN(Tab_Calculs[[#This Row],[Date_livraison]],Tab_Calculs[[#This Row],[fin mois]])-MAX(Tab_Calculs[[#This Row],[Début mois]],Tab_Calculs[[#This Row],[Début periode livraison]]))</f>
        <v>0</v>
      </c>
      <c r="M524" s="94" t="e">
        <f ca="1">INDEX(INDIRECT(CONCATENATE("Tab_",Tab_Calculs[[#This Row],[Colonne1]])),Tab_Calculs[[#This Row],[index_date_livraison]]+1,6)*(Tab_Calculs[[#This Row],[fin mois]]-MIN(Tab_Calculs[[#This Row],[fin mois]],Tab_Calculs[[#This Row],[Date_livraison]]))</f>
        <v>#VALUE!</v>
      </c>
      <c r="N524" s="231" t="str">
        <f ca="1">IFERROR(Tab_Calculs[[#This Row],[Ratio_jour_après_livr]]+Tab_Calculs[[#This Row],[Ratio_jour_avant_livr]]+Tab_Calculs[[#This Row],[ratio_avant_debut]],"")</f>
        <v/>
      </c>
      <c r="O524" t="e">
        <f ca="1">INDEX(INDIRECT(CONCATENATE("Tab_",Tab_Calculs[[#This Row],[Colonne1]])),Tab_Calculs[[#This Row],[index_date_livraison]]-1,7)*(MAX(Tab_Calculs[[#This Row],[Début periode livraison]],Tab_Calculs[[#This Row],[Début mois]])-Tab_Calculs[[#This Row],[Début mois]])</f>
        <v>#VALUE!</v>
      </c>
      <c r="P524">
        <f ca="1">INDEX(INDIRECT(CONCATENATE("Tab_",Tab_Calculs[[#This Row],[Colonne1]])),Tab_Calculs[[#This Row],[index_date_livraison]],7)*(1+MIN(Tab_Calculs[[#This Row],[Date_livraison]],Tab_Calculs[[#This Row],[fin mois]])-MAX(Tab_Calculs[[#This Row],[Début mois]],Tab_Calculs[[#This Row],[Début periode livraison]]))</f>
        <v>0</v>
      </c>
      <c r="Q524" t="e">
        <f ca="1">INDEX(INDIRECT(CONCATENATE("Tab_",Tab_Calculs[[#This Row],[Colonne1]])),Tab_Calculs[[#This Row],[index_date_livraison]]+1,7)*(Tab_Calculs[[#This Row],[fin mois]]-MIN(Tab_Calculs[[#This Row],[fin mois]],Tab_Calculs[[#This Row],[Date_livraison]]))</f>
        <v>#VALUE!</v>
      </c>
      <c r="R524" t="e">
        <f ca="1">Tab_Calculs[[#This Row],[Ratio_Cout_après_livr]]+Tab_Calculs[[#This Row],[Ratio_Cout_avant_livr]]+Tab_Calculs[[#This Row],[Ratio_Cout_avant_debut]]</f>
        <v>#VALUE!</v>
      </c>
      <c r="S524" t="str">
        <f ca="1">IFERROR(N524*VLOOKUP(Tab_Calculs[[#This Row],[Colonne1]],Controle_des_données!$B$7:$G$14,6,FALSE),"")</f>
        <v/>
      </c>
      <c r="T524" t="str">
        <f ca="1">IF(Tab_Calculs[[#This Row],[Combustible ]]="Electricité (kWh)",Tab_Calculs[[#This Row],[Conso_mois_kWh]]*2.3,Tab_Calculs[[#This Row],[Conso_mois_kWh]])</f>
        <v/>
      </c>
      <c r="U524" t="str">
        <f ca="1">IFERROR(N524*VLOOKUP(Tab_Calculs[[#This Row],[Colonne1]],Controle_des_données!$B$7:$H$14,7,FALSE),"")</f>
        <v/>
      </c>
      <c r="V524">
        <f ca="1">IFERROR(Tab_Calculs[[#This Row],[Cout_mois]]/Tab_Calculs[[#This Row],[Conso_mois_kWh]],0)</f>
        <v>0</v>
      </c>
      <c r="W524" t="str">
        <f>T(VLOOKUP(Tab_Calculs[[#This Row],[Compteur]],Site!$B$33:$G$40,3,FALSE))</f>
        <v/>
      </c>
      <c r="X524" t="str">
        <f>T(VLOOKUP(Tab_Calculs[[#This Row],[Compteur]],Site!$B$33:$G$40,4,FALSE))</f>
        <v/>
      </c>
      <c r="Y524" t="str">
        <f>T(VLOOKUP(Tab_Calculs[[#This Row],[Compteur]],Site!$B$33:$G$40,5,FALSE))</f>
        <v/>
      </c>
      <c r="Z524" t="str">
        <f>T(VLOOKUP(Tab_Calculs[[#This Row],[Compteur]],Site!$B$33:$G$40,6,FALSE))</f>
        <v/>
      </c>
      <c r="AA524">
        <f>IFERROR(GETPIVOTDATA("DJU(chauffagiste)",BDD_DJU!$P$13,"annee",Tab_Calculs[[#This Row],[ANNEE]],"mois_numero",Tab_Calculs[[#This Row],[MOIS]]),0)</f>
        <v>334.4</v>
      </c>
    </row>
    <row r="525" spans="1:27" x14ac:dyDescent="0.25">
      <c r="A525" s="3">
        <f>DATE(Tab_Calculs[[#This Row],[ANNEE]],Tab_Calculs[[#This Row],[MOIS]],1)</f>
        <v>44197</v>
      </c>
      <c r="B525" s="3">
        <f>EDATE(Tab_Calculs[[#This Row],[Début mois]],1)-1</f>
        <v>44227</v>
      </c>
      <c r="C525">
        <f t="shared" si="15"/>
        <v>1</v>
      </c>
      <c r="D525">
        <f t="shared" si="16"/>
        <v>2021</v>
      </c>
      <c r="E525" t="s">
        <v>82</v>
      </c>
      <c r="F525" t="str">
        <f>SUBSTITUTE(Tab_Calculs[[#This Row],[Compteur]]," ","_")</f>
        <v>Compteur_3</v>
      </c>
      <c r="G525" t="str">
        <f>T(INDEX(Site!$B$33:$G$40, MATCH(Tab_Calculs[[#This Row],[Compteur]], Site!$B$33:$B$40,0),2))</f>
        <v/>
      </c>
      <c r="H525" s="3">
        <f t="array" aca="1" ref="H525" ca="1">MIN(IF(INDIRECT(CONCATENATE(Tab_Calculs[[#This Row],[Colonne1]],"!$B$2:$B$243"))&gt;=Calculs_Consos!$A525,INDIRECT(CONCATENATE(Tab_Calculs[[#This Row],[Colonne1]],"!$B$2:$B$243"))))</f>
        <v>0</v>
      </c>
      <c r="I525" s="3">
        <f ca="1">INDEX(INDIRECT(CONCATENATE("Tab_",Tab_Calculs[[#This Row],[Colonne1]])),Tab_Calculs[[#This Row],[index_date_livraison]],1)</f>
        <v>0</v>
      </c>
      <c r="J525">
        <f ca="1">MATCH(Tab_Calculs[[#This Row],[Date_livraison]],INDIRECT(CONCATENATE("Tab_",Tab_Calculs[[#This Row],[Colonne1]],"[Fin de période]")),0)</f>
        <v>1</v>
      </c>
      <c r="K525" t="e">
        <f ca="1">INDEX(INDIRECT(CONCATENATE("Tab_",Tab_Calculs[[#This Row],[Colonne1]])),Tab_Calculs[[#This Row],[index_date_livraison]]-1,6)*(MAX(Tab_Calculs[[#This Row],[Début periode livraison]],Tab_Calculs[[#This Row],[Début mois]])-Tab_Calculs[[#This Row],[Début mois]])</f>
        <v>#VALUE!</v>
      </c>
      <c r="L525" s="94">
        <f ca="1">INDEX(INDIRECT(CONCATENATE("Tab_",Tab_Calculs[[#This Row],[Colonne1]])),Tab_Calculs[[#This Row],[index_date_livraison]],6)*(1+MIN(Tab_Calculs[[#This Row],[Date_livraison]],Tab_Calculs[[#This Row],[fin mois]])-MAX(Tab_Calculs[[#This Row],[Début mois]],Tab_Calculs[[#This Row],[Début periode livraison]]))</f>
        <v>0</v>
      </c>
      <c r="M525" s="94" t="e">
        <f ca="1">INDEX(INDIRECT(CONCATENATE("Tab_",Tab_Calculs[[#This Row],[Colonne1]])),Tab_Calculs[[#This Row],[index_date_livraison]]+1,6)*(Tab_Calculs[[#This Row],[fin mois]]-MIN(Tab_Calculs[[#This Row],[fin mois]],Tab_Calculs[[#This Row],[Date_livraison]]))</f>
        <v>#VALUE!</v>
      </c>
      <c r="N525" s="231" t="str">
        <f ca="1">IFERROR(Tab_Calculs[[#This Row],[Ratio_jour_après_livr]]+Tab_Calculs[[#This Row],[Ratio_jour_avant_livr]]+Tab_Calculs[[#This Row],[ratio_avant_debut]],"")</f>
        <v/>
      </c>
      <c r="O525" t="e">
        <f ca="1">INDEX(INDIRECT(CONCATENATE("Tab_",Tab_Calculs[[#This Row],[Colonne1]])),Tab_Calculs[[#This Row],[index_date_livraison]]-1,7)*(MAX(Tab_Calculs[[#This Row],[Début periode livraison]],Tab_Calculs[[#This Row],[Début mois]])-Tab_Calculs[[#This Row],[Début mois]])</f>
        <v>#VALUE!</v>
      </c>
      <c r="P525">
        <f ca="1">INDEX(INDIRECT(CONCATENATE("Tab_",Tab_Calculs[[#This Row],[Colonne1]])),Tab_Calculs[[#This Row],[index_date_livraison]],7)*(1+MIN(Tab_Calculs[[#This Row],[Date_livraison]],Tab_Calculs[[#This Row],[fin mois]])-MAX(Tab_Calculs[[#This Row],[Début mois]],Tab_Calculs[[#This Row],[Début periode livraison]]))</f>
        <v>0</v>
      </c>
      <c r="Q525" t="e">
        <f ca="1">INDEX(INDIRECT(CONCATENATE("Tab_",Tab_Calculs[[#This Row],[Colonne1]])),Tab_Calculs[[#This Row],[index_date_livraison]]+1,7)*(Tab_Calculs[[#This Row],[fin mois]]-MIN(Tab_Calculs[[#This Row],[fin mois]],Tab_Calculs[[#This Row],[Date_livraison]]))</f>
        <v>#VALUE!</v>
      </c>
      <c r="R525" t="e">
        <f ca="1">Tab_Calculs[[#This Row],[Ratio_Cout_après_livr]]+Tab_Calculs[[#This Row],[Ratio_Cout_avant_livr]]+Tab_Calculs[[#This Row],[Ratio_Cout_avant_debut]]</f>
        <v>#VALUE!</v>
      </c>
      <c r="S525" t="str">
        <f ca="1">IFERROR(N525*VLOOKUP(Tab_Calculs[[#This Row],[Colonne1]],Controle_des_données!$B$7:$G$14,6,FALSE),"")</f>
        <v/>
      </c>
      <c r="T525" t="str">
        <f ca="1">IF(Tab_Calculs[[#This Row],[Combustible ]]="Electricité (kWh)",Tab_Calculs[[#This Row],[Conso_mois_kWh]]*2.3,Tab_Calculs[[#This Row],[Conso_mois_kWh]])</f>
        <v/>
      </c>
      <c r="U525" t="str">
        <f ca="1">IFERROR(N525*VLOOKUP(Tab_Calculs[[#This Row],[Colonne1]],Controle_des_données!$B$7:$H$14,7,FALSE),"")</f>
        <v/>
      </c>
      <c r="V525">
        <f ca="1">IFERROR(Tab_Calculs[[#This Row],[Cout_mois]]/Tab_Calculs[[#This Row],[Conso_mois_kWh]],0)</f>
        <v>0</v>
      </c>
      <c r="W525" t="str">
        <f>T(VLOOKUP(Tab_Calculs[[#This Row],[Compteur]],Site!$B$33:$G$40,3,FALSE))</f>
        <v/>
      </c>
      <c r="X525" t="str">
        <f>T(VLOOKUP(Tab_Calculs[[#This Row],[Compteur]],Site!$B$33:$G$40,4,FALSE))</f>
        <v/>
      </c>
      <c r="Y525" t="str">
        <f>T(VLOOKUP(Tab_Calculs[[#This Row],[Compteur]],Site!$B$33:$G$40,5,FALSE))</f>
        <v/>
      </c>
      <c r="Z525" t="str">
        <f>T(VLOOKUP(Tab_Calculs[[#This Row],[Compteur]],Site!$B$33:$G$40,6,FALSE))</f>
        <v/>
      </c>
      <c r="AA525">
        <f>IFERROR(GETPIVOTDATA("DJU(chauffagiste)",BDD_DJU!$P$13,"annee",Tab_Calculs[[#This Row],[ANNEE]],"mois_numero",Tab_Calculs[[#This Row],[MOIS]]),0)</f>
        <v>380.1</v>
      </c>
    </row>
    <row r="526" spans="1:27" x14ac:dyDescent="0.25">
      <c r="A526" s="3">
        <f>DATE(Tab_Calculs[[#This Row],[ANNEE]],Tab_Calculs[[#This Row],[MOIS]],1)</f>
        <v>44228</v>
      </c>
      <c r="B526" s="3">
        <f>EDATE(Tab_Calculs[[#This Row],[Début mois]],1)-1</f>
        <v>44255</v>
      </c>
      <c r="C526">
        <f t="shared" si="15"/>
        <v>2</v>
      </c>
      <c r="D526">
        <f t="shared" si="16"/>
        <v>2021</v>
      </c>
      <c r="E526" t="s">
        <v>82</v>
      </c>
      <c r="F526" t="str">
        <f>SUBSTITUTE(Tab_Calculs[[#This Row],[Compteur]]," ","_")</f>
        <v>Compteur_3</v>
      </c>
      <c r="G526" t="str">
        <f>T(INDEX(Site!$B$33:$G$40, MATCH(Tab_Calculs[[#This Row],[Compteur]], Site!$B$33:$B$40,0),2))</f>
        <v/>
      </c>
      <c r="H526" s="3">
        <f t="array" aca="1" ref="H526" ca="1">MIN(IF(INDIRECT(CONCATENATE(Tab_Calculs[[#This Row],[Colonne1]],"!$B$2:$B$243"))&gt;=Calculs_Consos!$A526,INDIRECT(CONCATENATE(Tab_Calculs[[#This Row],[Colonne1]],"!$B$2:$B$243"))))</f>
        <v>0</v>
      </c>
      <c r="I526" s="3">
        <f ca="1">INDEX(INDIRECT(CONCATENATE("Tab_",Tab_Calculs[[#This Row],[Colonne1]])),Tab_Calculs[[#This Row],[index_date_livraison]],1)</f>
        <v>0</v>
      </c>
      <c r="J526">
        <f ca="1">MATCH(Tab_Calculs[[#This Row],[Date_livraison]],INDIRECT(CONCATENATE("Tab_",Tab_Calculs[[#This Row],[Colonne1]],"[Fin de période]")),0)</f>
        <v>1</v>
      </c>
      <c r="K526" t="e">
        <f ca="1">INDEX(INDIRECT(CONCATENATE("Tab_",Tab_Calculs[[#This Row],[Colonne1]])),Tab_Calculs[[#This Row],[index_date_livraison]]-1,6)*(MAX(Tab_Calculs[[#This Row],[Début periode livraison]],Tab_Calculs[[#This Row],[Début mois]])-Tab_Calculs[[#This Row],[Début mois]])</f>
        <v>#VALUE!</v>
      </c>
      <c r="L526" s="94">
        <f ca="1">INDEX(INDIRECT(CONCATENATE("Tab_",Tab_Calculs[[#This Row],[Colonne1]])),Tab_Calculs[[#This Row],[index_date_livraison]],6)*(1+MIN(Tab_Calculs[[#This Row],[Date_livraison]],Tab_Calculs[[#This Row],[fin mois]])-MAX(Tab_Calculs[[#This Row],[Début mois]],Tab_Calculs[[#This Row],[Début periode livraison]]))</f>
        <v>0</v>
      </c>
      <c r="M526" s="94" t="e">
        <f ca="1">INDEX(INDIRECT(CONCATENATE("Tab_",Tab_Calculs[[#This Row],[Colonne1]])),Tab_Calculs[[#This Row],[index_date_livraison]]+1,6)*(Tab_Calculs[[#This Row],[fin mois]]-MIN(Tab_Calculs[[#This Row],[fin mois]],Tab_Calculs[[#This Row],[Date_livraison]]))</f>
        <v>#VALUE!</v>
      </c>
      <c r="N526" s="231" t="str">
        <f ca="1">IFERROR(Tab_Calculs[[#This Row],[Ratio_jour_après_livr]]+Tab_Calculs[[#This Row],[Ratio_jour_avant_livr]]+Tab_Calculs[[#This Row],[ratio_avant_debut]],"")</f>
        <v/>
      </c>
      <c r="O526" t="e">
        <f ca="1">INDEX(INDIRECT(CONCATENATE("Tab_",Tab_Calculs[[#This Row],[Colonne1]])),Tab_Calculs[[#This Row],[index_date_livraison]]-1,7)*(MAX(Tab_Calculs[[#This Row],[Début periode livraison]],Tab_Calculs[[#This Row],[Début mois]])-Tab_Calculs[[#This Row],[Début mois]])</f>
        <v>#VALUE!</v>
      </c>
      <c r="P526">
        <f ca="1">INDEX(INDIRECT(CONCATENATE("Tab_",Tab_Calculs[[#This Row],[Colonne1]])),Tab_Calculs[[#This Row],[index_date_livraison]],7)*(1+MIN(Tab_Calculs[[#This Row],[Date_livraison]],Tab_Calculs[[#This Row],[fin mois]])-MAX(Tab_Calculs[[#This Row],[Début mois]],Tab_Calculs[[#This Row],[Début periode livraison]]))</f>
        <v>0</v>
      </c>
      <c r="Q526" t="e">
        <f ca="1">INDEX(INDIRECT(CONCATENATE("Tab_",Tab_Calculs[[#This Row],[Colonne1]])),Tab_Calculs[[#This Row],[index_date_livraison]]+1,7)*(Tab_Calculs[[#This Row],[fin mois]]-MIN(Tab_Calculs[[#This Row],[fin mois]],Tab_Calculs[[#This Row],[Date_livraison]]))</f>
        <v>#VALUE!</v>
      </c>
      <c r="R526" t="e">
        <f ca="1">Tab_Calculs[[#This Row],[Ratio_Cout_après_livr]]+Tab_Calculs[[#This Row],[Ratio_Cout_avant_livr]]+Tab_Calculs[[#This Row],[Ratio_Cout_avant_debut]]</f>
        <v>#VALUE!</v>
      </c>
      <c r="S526" t="str">
        <f ca="1">IFERROR(N526*VLOOKUP(Tab_Calculs[[#This Row],[Colonne1]],Controle_des_données!$B$7:$G$14,6,FALSE),"")</f>
        <v/>
      </c>
      <c r="T526" t="str">
        <f ca="1">IF(Tab_Calculs[[#This Row],[Combustible ]]="Electricité (kWh)",Tab_Calculs[[#This Row],[Conso_mois_kWh]]*2.3,Tab_Calculs[[#This Row],[Conso_mois_kWh]])</f>
        <v/>
      </c>
      <c r="U526" t="str">
        <f ca="1">IFERROR(N526*VLOOKUP(Tab_Calculs[[#This Row],[Colonne1]],Controle_des_données!$B$7:$H$14,7,FALSE),"")</f>
        <v/>
      </c>
      <c r="V526">
        <f ca="1">IFERROR(Tab_Calculs[[#This Row],[Cout_mois]]/Tab_Calculs[[#This Row],[Conso_mois_kWh]],0)</f>
        <v>0</v>
      </c>
      <c r="W526" t="str">
        <f>T(VLOOKUP(Tab_Calculs[[#This Row],[Compteur]],Site!$B$33:$G$40,3,FALSE))</f>
        <v/>
      </c>
      <c r="X526" t="str">
        <f>T(VLOOKUP(Tab_Calculs[[#This Row],[Compteur]],Site!$B$33:$G$40,4,FALSE))</f>
        <v/>
      </c>
      <c r="Y526" t="str">
        <f>T(VLOOKUP(Tab_Calculs[[#This Row],[Compteur]],Site!$B$33:$G$40,5,FALSE))</f>
        <v/>
      </c>
      <c r="Z526" t="str">
        <f>T(VLOOKUP(Tab_Calculs[[#This Row],[Compteur]],Site!$B$33:$G$40,6,FALSE))</f>
        <v/>
      </c>
      <c r="AA526">
        <f>IFERROR(GETPIVOTDATA("DJU(chauffagiste)",BDD_DJU!$P$13,"annee",Tab_Calculs[[#This Row],[ANNEE]],"mois_numero",Tab_Calculs[[#This Row],[MOIS]]),0)</f>
        <v>299.5</v>
      </c>
    </row>
    <row r="527" spans="1:27" x14ac:dyDescent="0.25">
      <c r="A527" s="3">
        <f>DATE(Tab_Calculs[[#This Row],[ANNEE]],Tab_Calculs[[#This Row],[MOIS]],1)</f>
        <v>44256</v>
      </c>
      <c r="B527" s="3">
        <f>EDATE(Tab_Calculs[[#This Row],[Début mois]],1)-1</f>
        <v>44286</v>
      </c>
      <c r="C527">
        <f t="shared" si="15"/>
        <v>3</v>
      </c>
      <c r="D527">
        <f t="shared" si="16"/>
        <v>2021</v>
      </c>
      <c r="E527" t="s">
        <v>82</v>
      </c>
      <c r="F527" t="str">
        <f>SUBSTITUTE(Tab_Calculs[[#This Row],[Compteur]]," ","_")</f>
        <v>Compteur_3</v>
      </c>
      <c r="G527" t="str">
        <f>T(INDEX(Site!$B$33:$G$40, MATCH(Tab_Calculs[[#This Row],[Compteur]], Site!$B$33:$B$40,0),2))</f>
        <v/>
      </c>
      <c r="H527" s="3">
        <f t="array" aca="1" ref="H527" ca="1">MIN(IF(INDIRECT(CONCATENATE(Tab_Calculs[[#This Row],[Colonne1]],"!$B$2:$B$243"))&gt;=Calculs_Consos!$A527,INDIRECT(CONCATENATE(Tab_Calculs[[#This Row],[Colonne1]],"!$B$2:$B$243"))))</f>
        <v>0</v>
      </c>
      <c r="I527" s="3">
        <f ca="1">INDEX(INDIRECT(CONCATENATE("Tab_",Tab_Calculs[[#This Row],[Colonne1]])),Tab_Calculs[[#This Row],[index_date_livraison]],1)</f>
        <v>0</v>
      </c>
      <c r="J527">
        <f ca="1">MATCH(Tab_Calculs[[#This Row],[Date_livraison]],INDIRECT(CONCATENATE("Tab_",Tab_Calculs[[#This Row],[Colonne1]],"[Fin de période]")),0)</f>
        <v>1</v>
      </c>
      <c r="K527" t="e">
        <f ca="1">INDEX(INDIRECT(CONCATENATE("Tab_",Tab_Calculs[[#This Row],[Colonne1]])),Tab_Calculs[[#This Row],[index_date_livraison]]-1,6)*(MAX(Tab_Calculs[[#This Row],[Début periode livraison]],Tab_Calculs[[#This Row],[Début mois]])-Tab_Calculs[[#This Row],[Début mois]])</f>
        <v>#VALUE!</v>
      </c>
      <c r="L527" s="94">
        <f ca="1">INDEX(INDIRECT(CONCATENATE("Tab_",Tab_Calculs[[#This Row],[Colonne1]])),Tab_Calculs[[#This Row],[index_date_livraison]],6)*(1+MIN(Tab_Calculs[[#This Row],[Date_livraison]],Tab_Calculs[[#This Row],[fin mois]])-MAX(Tab_Calculs[[#This Row],[Début mois]],Tab_Calculs[[#This Row],[Début periode livraison]]))</f>
        <v>0</v>
      </c>
      <c r="M527" s="94" t="e">
        <f ca="1">INDEX(INDIRECT(CONCATENATE("Tab_",Tab_Calculs[[#This Row],[Colonne1]])),Tab_Calculs[[#This Row],[index_date_livraison]]+1,6)*(Tab_Calculs[[#This Row],[fin mois]]-MIN(Tab_Calculs[[#This Row],[fin mois]],Tab_Calculs[[#This Row],[Date_livraison]]))</f>
        <v>#VALUE!</v>
      </c>
      <c r="N527" s="231" t="str">
        <f ca="1">IFERROR(Tab_Calculs[[#This Row],[Ratio_jour_après_livr]]+Tab_Calculs[[#This Row],[Ratio_jour_avant_livr]]+Tab_Calculs[[#This Row],[ratio_avant_debut]],"")</f>
        <v/>
      </c>
      <c r="O527" t="e">
        <f ca="1">INDEX(INDIRECT(CONCATENATE("Tab_",Tab_Calculs[[#This Row],[Colonne1]])),Tab_Calculs[[#This Row],[index_date_livraison]]-1,7)*(MAX(Tab_Calculs[[#This Row],[Début periode livraison]],Tab_Calculs[[#This Row],[Début mois]])-Tab_Calculs[[#This Row],[Début mois]])</f>
        <v>#VALUE!</v>
      </c>
      <c r="P527">
        <f ca="1">INDEX(INDIRECT(CONCATENATE("Tab_",Tab_Calculs[[#This Row],[Colonne1]])),Tab_Calculs[[#This Row],[index_date_livraison]],7)*(1+MIN(Tab_Calculs[[#This Row],[Date_livraison]],Tab_Calculs[[#This Row],[fin mois]])-MAX(Tab_Calculs[[#This Row],[Début mois]],Tab_Calculs[[#This Row],[Début periode livraison]]))</f>
        <v>0</v>
      </c>
      <c r="Q527" t="e">
        <f ca="1">INDEX(INDIRECT(CONCATENATE("Tab_",Tab_Calculs[[#This Row],[Colonne1]])),Tab_Calculs[[#This Row],[index_date_livraison]]+1,7)*(Tab_Calculs[[#This Row],[fin mois]]-MIN(Tab_Calculs[[#This Row],[fin mois]],Tab_Calculs[[#This Row],[Date_livraison]]))</f>
        <v>#VALUE!</v>
      </c>
      <c r="R527" t="e">
        <f ca="1">Tab_Calculs[[#This Row],[Ratio_Cout_après_livr]]+Tab_Calculs[[#This Row],[Ratio_Cout_avant_livr]]+Tab_Calculs[[#This Row],[Ratio_Cout_avant_debut]]</f>
        <v>#VALUE!</v>
      </c>
      <c r="S527" t="str">
        <f ca="1">IFERROR(N527*VLOOKUP(Tab_Calculs[[#This Row],[Colonne1]],Controle_des_données!$B$7:$G$14,6,FALSE),"")</f>
        <v/>
      </c>
      <c r="T527" t="str">
        <f ca="1">IF(Tab_Calculs[[#This Row],[Combustible ]]="Electricité (kWh)",Tab_Calculs[[#This Row],[Conso_mois_kWh]]*2.3,Tab_Calculs[[#This Row],[Conso_mois_kWh]])</f>
        <v/>
      </c>
      <c r="U527" t="str">
        <f ca="1">IFERROR(N527*VLOOKUP(Tab_Calculs[[#This Row],[Colonne1]],Controle_des_données!$B$7:$H$14,7,FALSE),"")</f>
        <v/>
      </c>
      <c r="V527">
        <f ca="1">IFERROR(Tab_Calculs[[#This Row],[Cout_mois]]/Tab_Calculs[[#This Row],[Conso_mois_kWh]],0)</f>
        <v>0</v>
      </c>
      <c r="W527" t="str">
        <f>T(VLOOKUP(Tab_Calculs[[#This Row],[Compteur]],Site!$B$33:$G$40,3,FALSE))</f>
        <v/>
      </c>
      <c r="X527" t="str">
        <f>T(VLOOKUP(Tab_Calculs[[#This Row],[Compteur]],Site!$B$33:$G$40,4,FALSE))</f>
        <v/>
      </c>
      <c r="Y527" t="str">
        <f>T(VLOOKUP(Tab_Calculs[[#This Row],[Compteur]],Site!$B$33:$G$40,5,FALSE))</f>
        <v/>
      </c>
      <c r="Z527" t="str">
        <f>T(VLOOKUP(Tab_Calculs[[#This Row],[Compteur]],Site!$B$33:$G$40,6,FALSE))</f>
        <v/>
      </c>
      <c r="AA527">
        <f>IFERROR(GETPIVOTDATA("DJU(chauffagiste)",BDD_DJU!$P$13,"annee",Tab_Calculs[[#This Row],[ANNEE]],"mois_numero",Tab_Calculs[[#This Row],[MOIS]]),0)</f>
        <v>303.89999999999998</v>
      </c>
    </row>
    <row r="528" spans="1:27" x14ac:dyDescent="0.25">
      <c r="A528" s="3">
        <f>DATE(Tab_Calculs[[#This Row],[ANNEE]],Tab_Calculs[[#This Row],[MOIS]],1)</f>
        <v>44287</v>
      </c>
      <c r="B528" s="3">
        <f>EDATE(Tab_Calculs[[#This Row],[Début mois]],1)-1</f>
        <v>44316</v>
      </c>
      <c r="C528">
        <f t="shared" si="15"/>
        <v>4</v>
      </c>
      <c r="D528">
        <f t="shared" si="16"/>
        <v>2021</v>
      </c>
      <c r="E528" t="s">
        <v>82</v>
      </c>
      <c r="F528" t="str">
        <f>SUBSTITUTE(Tab_Calculs[[#This Row],[Compteur]]," ","_")</f>
        <v>Compteur_3</v>
      </c>
      <c r="G528" t="str">
        <f>T(INDEX(Site!$B$33:$G$40, MATCH(Tab_Calculs[[#This Row],[Compteur]], Site!$B$33:$B$40,0),2))</f>
        <v/>
      </c>
      <c r="H528" s="3">
        <f t="array" aca="1" ref="H528" ca="1">MIN(IF(INDIRECT(CONCATENATE(Tab_Calculs[[#This Row],[Colonne1]],"!$B$2:$B$243"))&gt;=Calculs_Consos!$A528,INDIRECT(CONCATENATE(Tab_Calculs[[#This Row],[Colonne1]],"!$B$2:$B$243"))))</f>
        <v>0</v>
      </c>
      <c r="I528" s="3">
        <f ca="1">INDEX(INDIRECT(CONCATENATE("Tab_",Tab_Calculs[[#This Row],[Colonne1]])),Tab_Calculs[[#This Row],[index_date_livraison]],1)</f>
        <v>0</v>
      </c>
      <c r="J528">
        <f ca="1">MATCH(Tab_Calculs[[#This Row],[Date_livraison]],INDIRECT(CONCATENATE("Tab_",Tab_Calculs[[#This Row],[Colonne1]],"[Fin de période]")),0)</f>
        <v>1</v>
      </c>
      <c r="K528" t="e">
        <f ca="1">INDEX(INDIRECT(CONCATENATE("Tab_",Tab_Calculs[[#This Row],[Colonne1]])),Tab_Calculs[[#This Row],[index_date_livraison]]-1,6)*(MAX(Tab_Calculs[[#This Row],[Début periode livraison]],Tab_Calculs[[#This Row],[Début mois]])-Tab_Calculs[[#This Row],[Début mois]])</f>
        <v>#VALUE!</v>
      </c>
      <c r="L528" s="94">
        <f ca="1">INDEX(INDIRECT(CONCATENATE("Tab_",Tab_Calculs[[#This Row],[Colonne1]])),Tab_Calculs[[#This Row],[index_date_livraison]],6)*(1+MIN(Tab_Calculs[[#This Row],[Date_livraison]],Tab_Calculs[[#This Row],[fin mois]])-MAX(Tab_Calculs[[#This Row],[Début mois]],Tab_Calculs[[#This Row],[Début periode livraison]]))</f>
        <v>0</v>
      </c>
      <c r="M528" s="94" t="e">
        <f ca="1">INDEX(INDIRECT(CONCATENATE("Tab_",Tab_Calculs[[#This Row],[Colonne1]])),Tab_Calculs[[#This Row],[index_date_livraison]]+1,6)*(Tab_Calculs[[#This Row],[fin mois]]-MIN(Tab_Calculs[[#This Row],[fin mois]],Tab_Calculs[[#This Row],[Date_livraison]]))</f>
        <v>#VALUE!</v>
      </c>
      <c r="N528" s="231" t="str">
        <f ca="1">IFERROR(Tab_Calculs[[#This Row],[Ratio_jour_après_livr]]+Tab_Calculs[[#This Row],[Ratio_jour_avant_livr]]+Tab_Calculs[[#This Row],[ratio_avant_debut]],"")</f>
        <v/>
      </c>
      <c r="O528" t="e">
        <f ca="1">INDEX(INDIRECT(CONCATENATE("Tab_",Tab_Calculs[[#This Row],[Colonne1]])),Tab_Calculs[[#This Row],[index_date_livraison]]-1,7)*(MAX(Tab_Calculs[[#This Row],[Début periode livraison]],Tab_Calculs[[#This Row],[Début mois]])-Tab_Calculs[[#This Row],[Début mois]])</f>
        <v>#VALUE!</v>
      </c>
      <c r="P528">
        <f ca="1">INDEX(INDIRECT(CONCATENATE("Tab_",Tab_Calculs[[#This Row],[Colonne1]])),Tab_Calculs[[#This Row],[index_date_livraison]],7)*(1+MIN(Tab_Calculs[[#This Row],[Date_livraison]],Tab_Calculs[[#This Row],[fin mois]])-MAX(Tab_Calculs[[#This Row],[Début mois]],Tab_Calculs[[#This Row],[Début periode livraison]]))</f>
        <v>0</v>
      </c>
      <c r="Q528" t="e">
        <f ca="1">INDEX(INDIRECT(CONCATENATE("Tab_",Tab_Calculs[[#This Row],[Colonne1]])),Tab_Calculs[[#This Row],[index_date_livraison]]+1,7)*(Tab_Calculs[[#This Row],[fin mois]]-MIN(Tab_Calculs[[#This Row],[fin mois]],Tab_Calculs[[#This Row],[Date_livraison]]))</f>
        <v>#VALUE!</v>
      </c>
      <c r="R528" t="e">
        <f ca="1">Tab_Calculs[[#This Row],[Ratio_Cout_après_livr]]+Tab_Calculs[[#This Row],[Ratio_Cout_avant_livr]]+Tab_Calculs[[#This Row],[Ratio_Cout_avant_debut]]</f>
        <v>#VALUE!</v>
      </c>
      <c r="S528" t="str">
        <f ca="1">IFERROR(N528*VLOOKUP(Tab_Calculs[[#This Row],[Colonne1]],Controle_des_données!$B$7:$G$14,6,FALSE),"")</f>
        <v/>
      </c>
      <c r="T528" t="str">
        <f ca="1">IF(Tab_Calculs[[#This Row],[Combustible ]]="Electricité (kWh)",Tab_Calculs[[#This Row],[Conso_mois_kWh]]*2.3,Tab_Calculs[[#This Row],[Conso_mois_kWh]])</f>
        <v/>
      </c>
      <c r="U528" t="str">
        <f ca="1">IFERROR(N528*VLOOKUP(Tab_Calculs[[#This Row],[Colonne1]],Controle_des_données!$B$7:$H$14,7,FALSE),"")</f>
        <v/>
      </c>
      <c r="V528">
        <f ca="1">IFERROR(Tab_Calculs[[#This Row],[Cout_mois]]/Tab_Calculs[[#This Row],[Conso_mois_kWh]],0)</f>
        <v>0</v>
      </c>
      <c r="W528" t="str">
        <f>T(VLOOKUP(Tab_Calculs[[#This Row],[Compteur]],Site!$B$33:$G$40,3,FALSE))</f>
        <v/>
      </c>
      <c r="X528" t="str">
        <f>T(VLOOKUP(Tab_Calculs[[#This Row],[Compteur]],Site!$B$33:$G$40,4,FALSE))</f>
        <v/>
      </c>
      <c r="Y528" t="str">
        <f>T(VLOOKUP(Tab_Calculs[[#This Row],[Compteur]],Site!$B$33:$G$40,5,FALSE))</f>
        <v/>
      </c>
      <c r="Z528" t="str">
        <f>T(VLOOKUP(Tab_Calculs[[#This Row],[Compteur]],Site!$B$33:$G$40,6,FALSE))</f>
        <v/>
      </c>
      <c r="AA528">
        <f>IFERROR(GETPIVOTDATA("DJU(chauffagiste)",BDD_DJU!$P$13,"annee",Tab_Calculs[[#This Row],[ANNEE]],"mois_numero",Tab_Calculs[[#This Row],[MOIS]]),0)</f>
        <v>242.8</v>
      </c>
    </row>
    <row r="529" spans="1:27" x14ac:dyDescent="0.25">
      <c r="A529" s="3">
        <f>DATE(Tab_Calculs[[#This Row],[ANNEE]],Tab_Calculs[[#This Row],[MOIS]],1)</f>
        <v>44317</v>
      </c>
      <c r="B529" s="3">
        <f>EDATE(Tab_Calculs[[#This Row],[Début mois]],1)-1</f>
        <v>44347</v>
      </c>
      <c r="C529">
        <f t="shared" si="15"/>
        <v>5</v>
      </c>
      <c r="D529">
        <f t="shared" si="16"/>
        <v>2021</v>
      </c>
      <c r="E529" t="s">
        <v>82</v>
      </c>
      <c r="F529" t="str">
        <f>SUBSTITUTE(Tab_Calculs[[#This Row],[Compteur]]," ","_")</f>
        <v>Compteur_3</v>
      </c>
      <c r="G529" t="str">
        <f>T(INDEX(Site!$B$33:$G$40, MATCH(Tab_Calculs[[#This Row],[Compteur]], Site!$B$33:$B$40,0),2))</f>
        <v/>
      </c>
      <c r="H529" s="3">
        <f t="array" aca="1" ref="H529" ca="1">MIN(IF(INDIRECT(CONCATENATE(Tab_Calculs[[#This Row],[Colonne1]],"!$B$2:$B$243"))&gt;=Calculs_Consos!$A529,INDIRECT(CONCATENATE(Tab_Calculs[[#This Row],[Colonne1]],"!$B$2:$B$243"))))</f>
        <v>0</v>
      </c>
      <c r="I529" s="3">
        <f ca="1">INDEX(INDIRECT(CONCATENATE("Tab_",Tab_Calculs[[#This Row],[Colonne1]])),Tab_Calculs[[#This Row],[index_date_livraison]],1)</f>
        <v>0</v>
      </c>
      <c r="J529">
        <f ca="1">MATCH(Tab_Calculs[[#This Row],[Date_livraison]],INDIRECT(CONCATENATE("Tab_",Tab_Calculs[[#This Row],[Colonne1]],"[Fin de période]")),0)</f>
        <v>1</v>
      </c>
      <c r="K529" t="e">
        <f ca="1">INDEX(INDIRECT(CONCATENATE("Tab_",Tab_Calculs[[#This Row],[Colonne1]])),Tab_Calculs[[#This Row],[index_date_livraison]]-1,6)*(MAX(Tab_Calculs[[#This Row],[Début periode livraison]],Tab_Calculs[[#This Row],[Début mois]])-Tab_Calculs[[#This Row],[Début mois]])</f>
        <v>#VALUE!</v>
      </c>
      <c r="L529" s="94">
        <f ca="1">INDEX(INDIRECT(CONCATENATE("Tab_",Tab_Calculs[[#This Row],[Colonne1]])),Tab_Calculs[[#This Row],[index_date_livraison]],6)*(1+MIN(Tab_Calculs[[#This Row],[Date_livraison]],Tab_Calculs[[#This Row],[fin mois]])-MAX(Tab_Calculs[[#This Row],[Début mois]],Tab_Calculs[[#This Row],[Début periode livraison]]))</f>
        <v>0</v>
      </c>
      <c r="M529" s="94" t="e">
        <f ca="1">INDEX(INDIRECT(CONCATENATE("Tab_",Tab_Calculs[[#This Row],[Colonne1]])),Tab_Calculs[[#This Row],[index_date_livraison]]+1,6)*(Tab_Calculs[[#This Row],[fin mois]]-MIN(Tab_Calculs[[#This Row],[fin mois]],Tab_Calculs[[#This Row],[Date_livraison]]))</f>
        <v>#VALUE!</v>
      </c>
      <c r="N529" s="231" t="str">
        <f ca="1">IFERROR(Tab_Calculs[[#This Row],[Ratio_jour_après_livr]]+Tab_Calculs[[#This Row],[Ratio_jour_avant_livr]]+Tab_Calculs[[#This Row],[ratio_avant_debut]],"")</f>
        <v/>
      </c>
      <c r="O529" t="e">
        <f ca="1">INDEX(INDIRECT(CONCATENATE("Tab_",Tab_Calculs[[#This Row],[Colonne1]])),Tab_Calculs[[#This Row],[index_date_livraison]]-1,7)*(MAX(Tab_Calculs[[#This Row],[Début periode livraison]],Tab_Calculs[[#This Row],[Début mois]])-Tab_Calculs[[#This Row],[Début mois]])</f>
        <v>#VALUE!</v>
      </c>
      <c r="P529">
        <f ca="1">INDEX(INDIRECT(CONCATENATE("Tab_",Tab_Calculs[[#This Row],[Colonne1]])),Tab_Calculs[[#This Row],[index_date_livraison]],7)*(1+MIN(Tab_Calculs[[#This Row],[Date_livraison]],Tab_Calculs[[#This Row],[fin mois]])-MAX(Tab_Calculs[[#This Row],[Début mois]],Tab_Calculs[[#This Row],[Début periode livraison]]))</f>
        <v>0</v>
      </c>
      <c r="Q529" t="e">
        <f ca="1">INDEX(INDIRECT(CONCATENATE("Tab_",Tab_Calculs[[#This Row],[Colonne1]])),Tab_Calculs[[#This Row],[index_date_livraison]]+1,7)*(Tab_Calculs[[#This Row],[fin mois]]-MIN(Tab_Calculs[[#This Row],[fin mois]],Tab_Calculs[[#This Row],[Date_livraison]]))</f>
        <v>#VALUE!</v>
      </c>
      <c r="R529" t="e">
        <f ca="1">Tab_Calculs[[#This Row],[Ratio_Cout_après_livr]]+Tab_Calculs[[#This Row],[Ratio_Cout_avant_livr]]+Tab_Calculs[[#This Row],[Ratio_Cout_avant_debut]]</f>
        <v>#VALUE!</v>
      </c>
      <c r="S529" t="str">
        <f ca="1">IFERROR(N529*VLOOKUP(Tab_Calculs[[#This Row],[Colonne1]],Controle_des_données!$B$7:$G$14,6,FALSE),"")</f>
        <v/>
      </c>
      <c r="T529" t="str">
        <f ca="1">IF(Tab_Calculs[[#This Row],[Combustible ]]="Electricité (kWh)",Tab_Calculs[[#This Row],[Conso_mois_kWh]]*2.3,Tab_Calculs[[#This Row],[Conso_mois_kWh]])</f>
        <v/>
      </c>
      <c r="U529" t="str">
        <f ca="1">IFERROR(N529*VLOOKUP(Tab_Calculs[[#This Row],[Colonne1]],Controle_des_données!$B$7:$H$14,7,FALSE),"")</f>
        <v/>
      </c>
      <c r="V529">
        <f ca="1">IFERROR(Tab_Calculs[[#This Row],[Cout_mois]]/Tab_Calculs[[#This Row],[Conso_mois_kWh]],0)</f>
        <v>0</v>
      </c>
      <c r="W529" t="str">
        <f>T(VLOOKUP(Tab_Calculs[[#This Row],[Compteur]],Site!$B$33:$G$40,3,FALSE))</f>
        <v/>
      </c>
      <c r="X529" t="str">
        <f>T(VLOOKUP(Tab_Calculs[[#This Row],[Compteur]],Site!$B$33:$G$40,4,FALSE))</f>
        <v/>
      </c>
      <c r="Y529" t="str">
        <f>T(VLOOKUP(Tab_Calculs[[#This Row],[Compteur]],Site!$B$33:$G$40,5,FALSE))</f>
        <v/>
      </c>
      <c r="Z529" t="str">
        <f>T(VLOOKUP(Tab_Calculs[[#This Row],[Compteur]],Site!$B$33:$G$40,6,FALSE))</f>
        <v/>
      </c>
      <c r="AA529">
        <f>IFERROR(GETPIVOTDATA("DJU(chauffagiste)",BDD_DJU!$P$13,"annee",Tab_Calculs[[#This Row],[ANNEE]],"mois_numero",Tab_Calculs[[#This Row],[MOIS]]),0)</f>
        <v>159.4</v>
      </c>
    </row>
    <row r="530" spans="1:27" x14ac:dyDescent="0.25">
      <c r="A530" s="3">
        <f>DATE(Tab_Calculs[[#This Row],[ANNEE]],Tab_Calculs[[#This Row],[MOIS]],1)</f>
        <v>44348</v>
      </c>
      <c r="B530" s="3">
        <f>EDATE(Tab_Calculs[[#This Row],[Début mois]],1)-1</f>
        <v>44377</v>
      </c>
      <c r="C530">
        <f t="shared" ref="C530:C584" si="17">C518</f>
        <v>6</v>
      </c>
      <c r="D530">
        <f t="shared" si="16"/>
        <v>2021</v>
      </c>
      <c r="E530" t="s">
        <v>82</v>
      </c>
      <c r="F530" t="str">
        <f>SUBSTITUTE(Tab_Calculs[[#This Row],[Compteur]]," ","_")</f>
        <v>Compteur_3</v>
      </c>
      <c r="G530" t="str">
        <f>T(INDEX(Site!$B$33:$G$40, MATCH(Tab_Calculs[[#This Row],[Compteur]], Site!$B$33:$B$40,0),2))</f>
        <v/>
      </c>
      <c r="H530" s="3">
        <f t="array" aca="1" ref="H530" ca="1">MIN(IF(INDIRECT(CONCATENATE(Tab_Calculs[[#This Row],[Colonne1]],"!$B$2:$B$243"))&gt;=Calculs_Consos!$A530,INDIRECT(CONCATENATE(Tab_Calculs[[#This Row],[Colonne1]],"!$B$2:$B$243"))))</f>
        <v>0</v>
      </c>
      <c r="I530" s="3">
        <f ca="1">INDEX(INDIRECT(CONCATENATE("Tab_",Tab_Calculs[[#This Row],[Colonne1]])),Tab_Calculs[[#This Row],[index_date_livraison]],1)</f>
        <v>0</v>
      </c>
      <c r="J530">
        <f ca="1">MATCH(Tab_Calculs[[#This Row],[Date_livraison]],INDIRECT(CONCATENATE("Tab_",Tab_Calculs[[#This Row],[Colonne1]],"[Fin de période]")),0)</f>
        <v>1</v>
      </c>
      <c r="K530" t="e">
        <f ca="1">INDEX(INDIRECT(CONCATENATE("Tab_",Tab_Calculs[[#This Row],[Colonne1]])),Tab_Calculs[[#This Row],[index_date_livraison]]-1,6)*(MAX(Tab_Calculs[[#This Row],[Début periode livraison]],Tab_Calculs[[#This Row],[Début mois]])-Tab_Calculs[[#This Row],[Début mois]])</f>
        <v>#VALUE!</v>
      </c>
      <c r="L530" s="94">
        <f ca="1">INDEX(INDIRECT(CONCATENATE("Tab_",Tab_Calculs[[#This Row],[Colonne1]])),Tab_Calculs[[#This Row],[index_date_livraison]],6)*(1+MIN(Tab_Calculs[[#This Row],[Date_livraison]],Tab_Calculs[[#This Row],[fin mois]])-MAX(Tab_Calculs[[#This Row],[Début mois]],Tab_Calculs[[#This Row],[Début periode livraison]]))</f>
        <v>0</v>
      </c>
      <c r="M530" s="94" t="e">
        <f ca="1">INDEX(INDIRECT(CONCATENATE("Tab_",Tab_Calculs[[#This Row],[Colonne1]])),Tab_Calculs[[#This Row],[index_date_livraison]]+1,6)*(Tab_Calculs[[#This Row],[fin mois]]-MIN(Tab_Calculs[[#This Row],[fin mois]],Tab_Calculs[[#This Row],[Date_livraison]]))</f>
        <v>#VALUE!</v>
      </c>
      <c r="N530" s="231" t="str">
        <f ca="1">IFERROR(Tab_Calculs[[#This Row],[Ratio_jour_après_livr]]+Tab_Calculs[[#This Row],[Ratio_jour_avant_livr]]+Tab_Calculs[[#This Row],[ratio_avant_debut]],"")</f>
        <v/>
      </c>
      <c r="O530" t="e">
        <f ca="1">INDEX(INDIRECT(CONCATENATE("Tab_",Tab_Calculs[[#This Row],[Colonne1]])),Tab_Calculs[[#This Row],[index_date_livraison]]-1,7)*(MAX(Tab_Calculs[[#This Row],[Début periode livraison]],Tab_Calculs[[#This Row],[Début mois]])-Tab_Calculs[[#This Row],[Début mois]])</f>
        <v>#VALUE!</v>
      </c>
      <c r="P530">
        <f ca="1">INDEX(INDIRECT(CONCATENATE("Tab_",Tab_Calculs[[#This Row],[Colonne1]])),Tab_Calculs[[#This Row],[index_date_livraison]],7)*(1+MIN(Tab_Calculs[[#This Row],[Date_livraison]],Tab_Calculs[[#This Row],[fin mois]])-MAX(Tab_Calculs[[#This Row],[Début mois]],Tab_Calculs[[#This Row],[Début periode livraison]]))</f>
        <v>0</v>
      </c>
      <c r="Q530" t="e">
        <f ca="1">INDEX(INDIRECT(CONCATENATE("Tab_",Tab_Calculs[[#This Row],[Colonne1]])),Tab_Calculs[[#This Row],[index_date_livraison]]+1,7)*(Tab_Calculs[[#This Row],[fin mois]]-MIN(Tab_Calculs[[#This Row],[fin mois]],Tab_Calculs[[#This Row],[Date_livraison]]))</f>
        <v>#VALUE!</v>
      </c>
      <c r="R530" t="e">
        <f ca="1">Tab_Calculs[[#This Row],[Ratio_Cout_après_livr]]+Tab_Calculs[[#This Row],[Ratio_Cout_avant_livr]]+Tab_Calculs[[#This Row],[Ratio_Cout_avant_debut]]</f>
        <v>#VALUE!</v>
      </c>
      <c r="S530" t="str">
        <f ca="1">IFERROR(N530*VLOOKUP(Tab_Calculs[[#This Row],[Colonne1]],Controle_des_données!$B$7:$G$14,6,FALSE),"")</f>
        <v/>
      </c>
      <c r="T530" t="str">
        <f ca="1">IF(Tab_Calculs[[#This Row],[Combustible ]]="Electricité (kWh)",Tab_Calculs[[#This Row],[Conso_mois_kWh]]*2.3,Tab_Calculs[[#This Row],[Conso_mois_kWh]])</f>
        <v/>
      </c>
      <c r="U530" t="str">
        <f ca="1">IFERROR(N530*VLOOKUP(Tab_Calculs[[#This Row],[Colonne1]],Controle_des_données!$B$7:$H$14,7,FALSE),"")</f>
        <v/>
      </c>
      <c r="V530">
        <f ca="1">IFERROR(Tab_Calculs[[#This Row],[Cout_mois]]/Tab_Calculs[[#This Row],[Conso_mois_kWh]],0)</f>
        <v>0</v>
      </c>
      <c r="W530" t="str">
        <f>T(VLOOKUP(Tab_Calculs[[#This Row],[Compteur]],Site!$B$33:$G$40,3,FALSE))</f>
        <v/>
      </c>
      <c r="X530" t="str">
        <f>T(VLOOKUP(Tab_Calculs[[#This Row],[Compteur]],Site!$B$33:$G$40,4,FALSE))</f>
        <v/>
      </c>
      <c r="Y530" t="str">
        <f>T(VLOOKUP(Tab_Calculs[[#This Row],[Compteur]],Site!$B$33:$G$40,5,FALSE))</f>
        <v/>
      </c>
      <c r="Z530" t="str">
        <f>T(VLOOKUP(Tab_Calculs[[#This Row],[Compteur]],Site!$B$33:$G$40,6,FALSE))</f>
        <v/>
      </c>
      <c r="AA530">
        <f>IFERROR(GETPIVOTDATA("DJU(chauffagiste)",BDD_DJU!$P$13,"annee",Tab_Calculs[[#This Row],[ANNEE]],"mois_numero",Tab_Calculs[[#This Row],[MOIS]]),0)</f>
        <v>29.9</v>
      </c>
    </row>
    <row r="531" spans="1:27" x14ac:dyDescent="0.25">
      <c r="A531" s="3">
        <f>DATE(Tab_Calculs[[#This Row],[ANNEE]],Tab_Calculs[[#This Row],[MOIS]],1)</f>
        <v>44378</v>
      </c>
      <c r="B531" s="3">
        <f>EDATE(Tab_Calculs[[#This Row],[Début mois]],1)-1</f>
        <v>44408</v>
      </c>
      <c r="C531">
        <f t="shared" si="17"/>
        <v>7</v>
      </c>
      <c r="D531">
        <f t="shared" si="16"/>
        <v>2021</v>
      </c>
      <c r="E531" t="s">
        <v>82</v>
      </c>
      <c r="F531" t="str">
        <f>SUBSTITUTE(Tab_Calculs[[#This Row],[Compteur]]," ","_")</f>
        <v>Compteur_3</v>
      </c>
      <c r="G531" t="str">
        <f>T(INDEX(Site!$B$33:$G$40, MATCH(Tab_Calculs[[#This Row],[Compteur]], Site!$B$33:$B$40,0),2))</f>
        <v/>
      </c>
      <c r="H531" s="3">
        <f t="array" aca="1" ref="H531" ca="1">MIN(IF(INDIRECT(CONCATENATE(Tab_Calculs[[#This Row],[Colonne1]],"!$B$2:$B$243"))&gt;=Calculs_Consos!$A531,INDIRECT(CONCATENATE(Tab_Calculs[[#This Row],[Colonne1]],"!$B$2:$B$243"))))</f>
        <v>0</v>
      </c>
      <c r="I531" s="3">
        <f ca="1">INDEX(INDIRECT(CONCATENATE("Tab_",Tab_Calculs[[#This Row],[Colonne1]])),Tab_Calculs[[#This Row],[index_date_livraison]],1)</f>
        <v>0</v>
      </c>
      <c r="J531">
        <f ca="1">MATCH(Tab_Calculs[[#This Row],[Date_livraison]],INDIRECT(CONCATENATE("Tab_",Tab_Calculs[[#This Row],[Colonne1]],"[Fin de période]")),0)</f>
        <v>1</v>
      </c>
      <c r="K531" t="e">
        <f ca="1">INDEX(INDIRECT(CONCATENATE("Tab_",Tab_Calculs[[#This Row],[Colonne1]])),Tab_Calculs[[#This Row],[index_date_livraison]]-1,6)*(MAX(Tab_Calculs[[#This Row],[Début periode livraison]],Tab_Calculs[[#This Row],[Début mois]])-Tab_Calculs[[#This Row],[Début mois]])</f>
        <v>#VALUE!</v>
      </c>
      <c r="L531" s="94">
        <f ca="1">INDEX(INDIRECT(CONCATENATE("Tab_",Tab_Calculs[[#This Row],[Colonne1]])),Tab_Calculs[[#This Row],[index_date_livraison]],6)*(1+MIN(Tab_Calculs[[#This Row],[Date_livraison]],Tab_Calculs[[#This Row],[fin mois]])-MAX(Tab_Calculs[[#This Row],[Début mois]],Tab_Calculs[[#This Row],[Début periode livraison]]))</f>
        <v>0</v>
      </c>
      <c r="M531" s="94" t="e">
        <f ca="1">INDEX(INDIRECT(CONCATENATE("Tab_",Tab_Calculs[[#This Row],[Colonne1]])),Tab_Calculs[[#This Row],[index_date_livraison]]+1,6)*(Tab_Calculs[[#This Row],[fin mois]]-MIN(Tab_Calculs[[#This Row],[fin mois]],Tab_Calculs[[#This Row],[Date_livraison]]))</f>
        <v>#VALUE!</v>
      </c>
      <c r="N531" s="231" t="str">
        <f ca="1">IFERROR(Tab_Calculs[[#This Row],[Ratio_jour_après_livr]]+Tab_Calculs[[#This Row],[Ratio_jour_avant_livr]]+Tab_Calculs[[#This Row],[ratio_avant_debut]],"")</f>
        <v/>
      </c>
      <c r="O531" t="e">
        <f ca="1">INDEX(INDIRECT(CONCATENATE("Tab_",Tab_Calculs[[#This Row],[Colonne1]])),Tab_Calculs[[#This Row],[index_date_livraison]]-1,7)*(MAX(Tab_Calculs[[#This Row],[Début periode livraison]],Tab_Calculs[[#This Row],[Début mois]])-Tab_Calculs[[#This Row],[Début mois]])</f>
        <v>#VALUE!</v>
      </c>
      <c r="P531">
        <f ca="1">INDEX(INDIRECT(CONCATENATE("Tab_",Tab_Calculs[[#This Row],[Colonne1]])),Tab_Calculs[[#This Row],[index_date_livraison]],7)*(1+MIN(Tab_Calculs[[#This Row],[Date_livraison]],Tab_Calculs[[#This Row],[fin mois]])-MAX(Tab_Calculs[[#This Row],[Début mois]],Tab_Calculs[[#This Row],[Début periode livraison]]))</f>
        <v>0</v>
      </c>
      <c r="Q531" t="e">
        <f ca="1">INDEX(INDIRECT(CONCATENATE("Tab_",Tab_Calculs[[#This Row],[Colonne1]])),Tab_Calculs[[#This Row],[index_date_livraison]]+1,7)*(Tab_Calculs[[#This Row],[fin mois]]-MIN(Tab_Calculs[[#This Row],[fin mois]],Tab_Calculs[[#This Row],[Date_livraison]]))</f>
        <v>#VALUE!</v>
      </c>
      <c r="R531" t="e">
        <f ca="1">Tab_Calculs[[#This Row],[Ratio_Cout_après_livr]]+Tab_Calculs[[#This Row],[Ratio_Cout_avant_livr]]+Tab_Calculs[[#This Row],[Ratio_Cout_avant_debut]]</f>
        <v>#VALUE!</v>
      </c>
      <c r="S531" t="str">
        <f ca="1">IFERROR(N531*VLOOKUP(Tab_Calculs[[#This Row],[Colonne1]],Controle_des_données!$B$7:$G$14,6,FALSE),"")</f>
        <v/>
      </c>
      <c r="T531" t="str">
        <f ca="1">IF(Tab_Calculs[[#This Row],[Combustible ]]="Electricité (kWh)",Tab_Calculs[[#This Row],[Conso_mois_kWh]]*2.3,Tab_Calculs[[#This Row],[Conso_mois_kWh]])</f>
        <v/>
      </c>
      <c r="U531" t="str">
        <f ca="1">IFERROR(N531*VLOOKUP(Tab_Calculs[[#This Row],[Colonne1]],Controle_des_données!$B$7:$H$14,7,FALSE),"")</f>
        <v/>
      </c>
      <c r="V531">
        <f ca="1">IFERROR(Tab_Calculs[[#This Row],[Cout_mois]]/Tab_Calculs[[#This Row],[Conso_mois_kWh]],0)</f>
        <v>0</v>
      </c>
      <c r="W531" t="str">
        <f>T(VLOOKUP(Tab_Calculs[[#This Row],[Compteur]],Site!$B$33:$G$40,3,FALSE))</f>
        <v/>
      </c>
      <c r="X531" t="str">
        <f>T(VLOOKUP(Tab_Calculs[[#This Row],[Compteur]],Site!$B$33:$G$40,4,FALSE))</f>
        <v/>
      </c>
      <c r="Y531" t="str">
        <f>T(VLOOKUP(Tab_Calculs[[#This Row],[Compteur]],Site!$B$33:$G$40,5,FALSE))</f>
        <v/>
      </c>
      <c r="Z531" t="str">
        <f>T(VLOOKUP(Tab_Calculs[[#This Row],[Compteur]],Site!$B$33:$G$40,6,FALSE))</f>
        <v/>
      </c>
      <c r="AA531">
        <f>IFERROR(GETPIVOTDATA("DJU(chauffagiste)",BDD_DJU!$P$13,"annee",Tab_Calculs[[#This Row],[ANNEE]],"mois_numero",Tab_Calculs[[#This Row],[MOIS]]),0)</f>
        <v>22.4</v>
      </c>
    </row>
    <row r="532" spans="1:27" x14ac:dyDescent="0.25">
      <c r="A532" s="3">
        <f>DATE(Tab_Calculs[[#This Row],[ANNEE]],Tab_Calculs[[#This Row],[MOIS]],1)</f>
        <v>44409</v>
      </c>
      <c r="B532" s="3">
        <f>EDATE(Tab_Calculs[[#This Row],[Début mois]],1)-1</f>
        <v>44439</v>
      </c>
      <c r="C532">
        <f t="shared" si="17"/>
        <v>8</v>
      </c>
      <c r="D532">
        <f t="shared" si="16"/>
        <v>2021</v>
      </c>
      <c r="E532" t="s">
        <v>82</v>
      </c>
      <c r="F532" t="str">
        <f>SUBSTITUTE(Tab_Calculs[[#This Row],[Compteur]]," ","_")</f>
        <v>Compteur_3</v>
      </c>
      <c r="G532" t="str">
        <f>T(INDEX(Site!$B$33:$G$40, MATCH(Tab_Calculs[[#This Row],[Compteur]], Site!$B$33:$B$40,0),2))</f>
        <v/>
      </c>
      <c r="H532" s="3">
        <f t="array" aca="1" ref="H532" ca="1">MIN(IF(INDIRECT(CONCATENATE(Tab_Calculs[[#This Row],[Colonne1]],"!$B$2:$B$243"))&gt;=Calculs_Consos!$A532,INDIRECT(CONCATENATE(Tab_Calculs[[#This Row],[Colonne1]],"!$B$2:$B$243"))))</f>
        <v>0</v>
      </c>
      <c r="I532" s="3">
        <f ca="1">INDEX(INDIRECT(CONCATENATE("Tab_",Tab_Calculs[[#This Row],[Colonne1]])),Tab_Calculs[[#This Row],[index_date_livraison]],1)</f>
        <v>0</v>
      </c>
      <c r="J532">
        <f ca="1">MATCH(Tab_Calculs[[#This Row],[Date_livraison]],INDIRECT(CONCATENATE("Tab_",Tab_Calculs[[#This Row],[Colonne1]],"[Fin de période]")),0)</f>
        <v>1</v>
      </c>
      <c r="K532" t="e">
        <f ca="1">INDEX(INDIRECT(CONCATENATE("Tab_",Tab_Calculs[[#This Row],[Colonne1]])),Tab_Calculs[[#This Row],[index_date_livraison]]-1,6)*(MAX(Tab_Calculs[[#This Row],[Début periode livraison]],Tab_Calculs[[#This Row],[Début mois]])-Tab_Calculs[[#This Row],[Début mois]])</f>
        <v>#VALUE!</v>
      </c>
      <c r="L532" s="94">
        <f ca="1">INDEX(INDIRECT(CONCATENATE("Tab_",Tab_Calculs[[#This Row],[Colonne1]])),Tab_Calculs[[#This Row],[index_date_livraison]],6)*(1+MIN(Tab_Calculs[[#This Row],[Date_livraison]],Tab_Calculs[[#This Row],[fin mois]])-MAX(Tab_Calculs[[#This Row],[Début mois]],Tab_Calculs[[#This Row],[Début periode livraison]]))</f>
        <v>0</v>
      </c>
      <c r="M532" s="94" t="e">
        <f ca="1">INDEX(INDIRECT(CONCATENATE("Tab_",Tab_Calculs[[#This Row],[Colonne1]])),Tab_Calculs[[#This Row],[index_date_livraison]]+1,6)*(Tab_Calculs[[#This Row],[fin mois]]-MIN(Tab_Calculs[[#This Row],[fin mois]],Tab_Calculs[[#This Row],[Date_livraison]]))</f>
        <v>#VALUE!</v>
      </c>
      <c r="N532" s="231" t="str">
        <f ca="1">IFERROR(Tab_Calculs[[#This Row],[Ratio_jour_après_livr]]+Tab_Calculs[[#This Row],[Ratio_jour_avant_livr]]+Tab_Calculs[[#This Row],[ratio_avant_debut]],"")</f>
        <v/>
      </c>
      <c r="O532" t="e">
        <f ca="1">INDEX(INDIRECT(CONCATENATE("Tab_",Tab_Calculs[[#This Row],[Colonne1]])),Tab_Calculs[[#This Row],[index_date_livraison]]-1,7)*(MAX(Tab_Calculs[[#This Row],[Début periode livraison]],Tab_Calculs[[#This Row],[Début mois]])-Tab_Calculs[[#This Row],[Début mois]])</f>
        <v>#VALUE!</v>
      </c>
      <c r="P532">
        <f ca="1">INDEX(INDIRECT(CONCATENATE("Tab_",Tab_Calculs[[#This Row],[Colonne1]])),Tab_Calculs[[#This Row],[index_date_livraison]],7)*(1+MIN(Tab_Calculs[[#This Row],[Date_livraison]],Tab_Calculs[[#This Row],[fin mois]])-MAX(Tab_Calculs[[#This Row],[Début mois]],Tab_Calculs[[#This Row],[Début periode livraison]]))</f>
        <v>0</v>
      </c>
      <c r="Q532" t="e">
        <f ca="1">INDEX(INDIRECT(CONCATENATE("Tab_",Tab_Calculs[[#This Row],[Colonne1]])),Tab_Calculs[[#This Row],[index_date_livraison]]+1,7)*(Tab_Calculs[[#This Row],[fin mois]]-MIN(Tab_Calculs[[#This Row],[fin mois]],Tab_Calculs[[#This Row],[Date_livraison]]))</f>
        <v>#VALUE!</v>
      </c>
      <c r="R532" t="e">
        <f ca="1">Tab_Calculs[[#This Row],[Ratio_Cout_après_livr]]+Tab_Calculs[[#This Row],[Ratio_Cout_avant_livr]]+Tab_Calculs[[#This Row],[Ratio_Cout_avant_debut]]</f>
        <v>#VALUE!</v>
      </c>
      <c r="S532" t="str">
        <f ca="1">IFERROR(N532*VLOOKUP(Tab_Calculs[[#This Row],[Colonne1]],Controle_des_données!$B$7:$G$14,6,FALSE),"")</f>
        <v/>
      </c>
      <c r="T532" t="str">
        <f ca="1">IF(Tab_Calculs[[#This Row],[Combustible ]]="Electricité (kWh)",Tab_Calculs[[#This Row],[Conso_mois_kWh]]*2.3,Tab_Calculs[[#This Row],[Conso_mois_kWh]])</f>
        <v/>
      </c>
      <c r="U532" t="str">
        <f ca="1">IFERROR(N532*VLOOKUP(Tab_Calculs[[#This Row],[Colonne1]],Controle_des_données!$B$7:$H$14,7,FALSE),"")</f>
        <v/>
      </c>
      <c r="V532">
        <f ca="1">IFERROR(Tab_Calculs[[#This Row],[Cout_mois]]/Tab_Calculs[[#This Row],[Conso_mois_kWh]],0)</f>
        <v>0</v>
      </c>
      <c r="W532" t="str">
        <f>T(VLOOKUP(Tab_Calculs[[#This Row],[Compteur]],Site!$B$33:$G$40,3,FALSE))</f>
        <v/>
      </c>
      <c r="X532" t="str">
        <f>T(VLOOKUP(Tab_Calculs[[#This Row],[Compteur]],Site!$B$33:$G$40,4,FALSE))</f>
        <v/>
      </c>
      <c r="Y532" t="str">
        <f>T(VLOOKUP(Tab_Calculs[[#This Row],[Compteur]],Site!$B$33:$G$40,5,FALSE))</f>
        <v/>
      </c>
      <c r="Z532" t="str">
        <f>T(VLOOKUP(Tab_Calculs[[#This Row],[Compteur]],Site!$B$33:$G$40,6,FALSE))</f>
        <v/>
      </c>
      <c r="AA532">
        <f>IFERROR(GETPIVOTDATA("DJU(chauffagiste)",BDD_DJU!$P$13,"annee",Tab_Calculs[[#This Row],[ANNEE]],"mois_numero",Tab_Calculs[[#This Row],[MOIS]]),0)</f>
        <v>35.9</v>
      </c>
    </row>
    <row r="533" spans="1:27" x14ac:dyDescent="0.25">
      <c r="A533" s="3">
        <f>DATE(Tab_Calculs[[#This Row],[ANNEE]],Tab_Calculs[[#This Row],[MOIS]],1)</f>
        <v>44440</v>
      </c>
      <c r="B533" s="3">
        <f>EDATE(Tab_Calculs[[#This Row],[Début mois]],1)-1</f>
        <v>44469</v>
      </c>
      <c r="C533">
        <f t="shared" si="17"/>
        <v>9</v>
      </c>
      <c r="D533">
        <f t="shared" si="16"/>
        <v>2021</v>
      </c>
      <c r="E533" t="s">
        <v>82</v>
      </c>
      <c r="F533" t="str">
        <f>SUBSTITUTE(Tab_Calculs[[#This Row],[Compteur]]," ","_")</f>
        <v>Compteur_3</v>
      </c>
      <c r="G533" t="str">
        <f>T(INDEX(Site!$B$33:$G$40, MATCH(Tab_Calculs[[#This Row],[Compteur]], Site!$B$33:$B$40,0),2))</f>
        <v/>
      </c>
      <c r="H533" s="3">
        <f t="array" aca="1" ref="H533" ca="1">MIN(IF(INDIRECT(CONCATENATE(Tab_Calculs[[#This Row],[Colonne1]],"!$B$2:$B$243"))&gt;=Calculs_Consos!$A533,INDIRECT(CONCATENATE(Tab_Calculs[[#This Row],[Colonne1]],"!$B$2:$B$243"))))</f>
        <v>0</v>
      </c>
      <c r="I533" s="3">
        <f ca="1">INDEX(INDIRECT(CONCATENATE("Tab_",Tab_Calculs[[#This Row],[Colonne1]])),Tab_Calculs[[#This Row],[index_date_livraison]],1)</f>
        <v>0</v>
      </c>
      <c r="J533">
        <f ca="1">MATCH(Tab_Calculs[[#This Row],[Date_livraison]],INDIRECT(CONCATENATE("Tab_",Tab_Calculs[[#This Row],[Colonne1]],"[Fin de période]")),0)</f>
        <v>1</v>
      </c>
      <c r="K533" t="e">
        <f ca="1">INDEX(INDIRECT(CONCATENATE("Tab_",Tab_Calculs[[#This Row],[Colonne1]])),Tab_Calculs[[#This Row],[index_date_livraison]]-1,6)*(MAX(Tab_Calculs[[#This Row],[Début periode livraison]],Tab_Calculs[[#This Row],[Début mois]])-Tab_Calculs[[#This Row],[Début mois]])</f>
        <v>#VALUE!</v>
      </c>
      <c r="L533" s="94">
        <f ca="1">INDEX(INDIRECT(CONCATENATE("Tab_",Tab_Calculs[[#This Row],[Colonne1]])),Tab_Calculs[[#This Row],[index_date_livraison]],6)*(1+MIN(Tab_Calculs[[#This Row],[Date_livraison]],Tab_Calculs[[#This Row],[fin mois]])-MAX(Tab_Calculs[[#This Row],[Début mois]],Tab_Calculs[[#This Row],[Début periode livraison]]))</f>
        <v>0</v>
      </c>
      <c r="M533" s="94" t="e">
        <f ca="1">INDEX(INDIRECT(CONCATENATE("Tab_",Tab_Calculs[[#This Row],[Colonne1]])),Tab_Calculs[[#This Row],[index_date_livraison]]+1,6)*(Tab_Calculs[[#This Row],[fin mois]]-MIN(Tab_Calculs[[#This Row],[fin mois]],Tab_Calculs[[#This Row],[Date_livraison]]))</f>
        <v>#VALUE!</v>
      </c>
      <c r="N533" s="231" t="str">
        <f ca="1">IFERROR(Tab_Calculs[[#This Row],[Ratio_jour_après_livr]]+Tab_Calculs[[#This Row],[Ratio_jour_avant_livr]]+Tab_Calculs[[#This Row],[ratio_avant_debut]],"")</f>
        <v/>
      </c>
      <c r="O533" t="e">
        <f ca="1">INDEX(INDIRECT(CONCATENATE("Tab_",Tab_Calculs[[#This Row],[Colonne1]])),Tab_Calculs[[#This Row],[index_date_livraison]]-1,7)*(MAX(Tab_Calculs[[#This Row],[Début periode livraison]],Tab_Calculs[[#This Row],[Début mois]])-Tab_Calculs[[#This Row],[Début mois]])</f>
        <v>#VALUE!</v>
      </c>
      <c r="P533">
        <f ca="1">INDEX(INDIRECT(CONCATENATE("Tab_",Tab_Calculs[[#This Row],[Colonne1]])),Tab_Calculs[[#This Row],[index_date_livraison]],7)*(1+MIN(Tab_Calculs[[#This Row],[Date_livraison]],Tab_Calculs[[#This Row],[fin mois]])-MAX(Tab_Calculs[[#This Row],[Début mois]],Tab_Calculs[[#This Row],[Début periode livraison]]))</f>
        <v>0</v>
      </c>
      <c r="Q533" t="e">
        <f ca="1">INDEX(INDIRECT(CONCATENATE("Tab_",Tab_Calculs[[#This Row],[Colonne1]])),Tab_Calculs[[#This Row],[index_date_livraison]]+1,7)*(Tab_Calculs[[#This Row],[fin mois]]-MIN(Tab_Calculs[[#This Row],[fin mois]],Tab_Calculs[[#This Row],[Date_livraison]]))</f>
        <v>#VALUE!</v>
      </c>
      <c r="R533" t="e">
        <f ca="1">Tab_Calculs[[#This Row],[Ratio_Cout_après_livr]]+Tab_Calculs[[#This Row],[Ratio_Cout_avant_livr]]+Tab_Calculs[[#This Row],[Ratio_Cout_avant_debut]]</f>
        <v>#VALUE!</v>
      </c>
      <c r="S533" t="str">
        <f ca="1">IFERROR(N533*VLOOKUP(Tab_Calculs[[#This Row],[Colonne1]],Controle_des_données!$B$7:$G$14,6,FALSE),"")</f>
        <v/>
      </c>
      <c r="T533" t="str">
        <f ca="1">IF(Tab_Calculs[[#This Row],[Combustible ]]="Electricité (kWh)",Tab_Calculs[[#This Row],[Conso_mois_kWh]]*2.3,Tab_Calculs[[#This Row],[Conso_mois_kWh]])</f>
        <v/>
      </c>
      <c r="U533" t="str">
        <f ca="1">IFERROR(N533*VLOOKUP(Tab_Calculs[[#This Row],[Colonne1]],Controle_des_données!$B$7:$H$14,7,FALSE),"")</f>
        <v/>
      </c>
      <c r="V533">
        <f ca="1">IFERROR(Tab_Calculs[[#This Row],[Cout_mois]]/Tab_Calculs[[#This Row],[Conso_mois_kWh]],0)</f>
        <v>0</v>
      </c>
      <c r="W533" t="str">
        <f>T(VLOOKUP(Tab_Calculs[[#This Row],[Compteur]],Site!$B$33:$G$40,3,FALSE))</f>
        <v/>
      </c>
      <c r="X533" t="str">
        <f>T(VLOOKUP(Tab_Calculs[[#This Row],[Compteur]],Site!$B$33:$G$40,4,FALSE))</f>
        <v/>
      </c>
      <c r="Y533" t="str">
        <f>T(VLOOKUP(Tab_Calculs[[#This Row],[Compteur]],Site!$B$33:$G$40,5,FALSE))</f>
        <v/>
      </c>
      <c r="Z533" t="str">
        <f>T(VLOOKUP(Tab_Calculs[[#This Row],[Compteur]],Site!$B$33:$G$40,6,FALSE))</f>
        <v/>
      </c>
      <c r="AA533">
        <f>IFERROR(GETPIVOTDATA("DJU(chauffagiste)",BDD_DJU!$P$13,"annee",Tab_Calculs[[#This Row],[ANNEE]],"mois_numero",Tab_Calculs[[#This Row],[MOIS]]),0)</f>
        <v>47.8</v>
      </c>
    </row>
    <row r="534" spans="1:27" x14ac:dyDescent="0.25">
      <c r="A534" s="3">
        <f>DATE(Tab_Calculs[[#This Row],[ANNEE]],Tab_Calculs[[#This Row],[MOIS]],1)</f>
        <v>44470</v>
      </c>
      <c r="B534" s="3">
        <f>EDATE(Tab_Calculs[[#This Row],[Début mois]],1)-1</f>
        <v>44500</v>
      </c>
      <c r="C534">
        <f t="shared" si="17"/>
        <v>10</v>
      </c>
      <c r="D534">
        <f t="shared" si="16"/>
        <v>2021</v>
      </c>
      <c r="E534" t="s">
        <v>82</v>
      </c>
      <c r="F534" t="str">
        <f>SUBSTITUTE(Tab_Calculs[[#This Row],[Compteur]]," ","_")</f>
        <v>Compteur_3</v>
      </c>
      <c r="G534" t="str">
        <f>T(INDEX(Site!$B$33:$G$40, MATCH(Tab_Calculs[[#This Row],[Compteur]], Site!$B$33:$B$40,0),2))</f>
        <v/>
      </c>
      <c r="H534" s="3">
        <f t="array" aca="1" ref="H534" ca="1">MIN(IF(INDIRECT(CONCATENATE(Tab_Calculs[[#This Row],[Colonne1]],"!$B$2:$B$243"))&gt;=Calculs_Consos!$A534,INDIRECT(CONCATENATE(Tab_Calculs[[#This Row],[Colonne1]],"!$B$2:$B$243"))))</f>
        <v>0</v>
      </c>
      <c r="I534" s="3">
        <f ca="1">INDEX(INDIRECT(CONCATENATE("Tab_",Tab_Calculs[[#This Row],[Colonne1]])),Tab_Calculs[[#This Row],[index_date_livraison]],1)</f>
        <v>0</v>
      </c>
      <c r="J534">
        <f ca="1">MATCH(Tab_Calculs[[#This Row],[Date_livraison]],INDIRECT(CONCATENATE("Tab_",Tab_Calculs[[#This Row],[Colonne1]],"[Fin de période]")),0)</f>
        <v>1</v>
      </c>
      <c r="K534" t="e">
        <f ca="1">INDEX(INDIRECT(CONCATENATE("Tab_",Tab_Calculs[[#This Row],[Colonne1]])),Tab_Calculs[[#This Row],[index_date_livraison]]-1,6)*(MAX(Tab_Calculs[[#This Row],[Début periode livraison]],Tab_Calculs[[#This Row],[Début mois]])-Tab_Calculs[[#This Row],[Début mois]])</f>
        <v>#VALUE!</v>
      </c>
      <c r="L534" s="94">
        <f ca="1">INDEX(INDIRECT(CONCATENATE("Tab_",Tab_Calculs[[#This Row],[Colonne1]])),Tab_Calculs[[#This Row],[index_date_livraison]],6)*(1+MIN(Tab_Calculs[[#This Row],[Date_livraison]],Tab_Calculs[[#This Row],[fin mois]])-MAX(Tab_Calculs[[#This Row],[Début mois]],Tab_Calculs[[#This Row],[Début periode livraison]]))</f>
        <v>0</v>
      </c>
      <c r="M534" s="94" t="e">
        <f ca="1">INDEX(INDIRECT(CONCATENATE("Tab_",Tab_Calculs[[#This Row],[Colonne1]])),Tab_Calculs[[#This Row],[index_date_livraison]]+1,6)*(Tab_Calculs[[#This Row],[fin mois]]-MIN(Tab_Calculs[[#This Row],[fin mois]],Tab_Calculs[[#This Row],[Date_livraison]]))</f>
        <v>#VALUE!</v>
      </c>
      <c r="N534" s="231" t="str">
        <f ca="1">IFERROR(Tab_Calculs[[#This Row],[Ratio_jour_après_livr]]+Tab_Calculs[[#This Row],[Ratio_jour_avant_livr]]+Tab_Calculs[[#This Row],[ratio_avant_debut]],"")</f>
        <v/>
      </c>
      <c r="O534" t="e">
        <f ca="1">INDEX(INDIRECT(CONCATENATE("Tab_",Tab_Calculs[[#This Row],[Colonne1]])),Tab_Calculs[[#This Row],[index_date_livraison]]-1,7)*(MAX(Tab_Calculs[[#This Row],[Début periode livraison]],Tab_Calculs[[#This Row],[Début mois]])-Tab_Calculs[[#This Row],[Début mois]])</f>
        <v>#VALUE!</v>
      </c>
      <c r="P534">
        <f ca="1">INDEX(INDIRECT(CONCATENATE("Tab_",Tab_Calculs[[#This Row],[Colonne1]])),Tab_Calculs[[#This Row],[index_date_livraison]],7)*(1+MIN(Tab_Calculs[[#This Row],[Date_livraison]],Tab_Calculs[[#This Row],[fin mois]])-MAX(Tab_Calculs[[#This Row],[Début mois]],Tab_Calculs[[#This Row],[Début periode livraison]]))</f>
        <v>0</v>
      </c>
      <c r="Q534" t="e">
        <f ca="1">INDEX(INDIRECT(CONCATENATE("Tab_",Tab_Calculs[[#This Row],[Colonne1]])),Tab_Calculs[[#This Row],[index_date_livraison]]+1,7)*(Tab_Calculs[[#This Row],[fin mois]]-MIN(Tab_Calculs[[#This Row],[fin mois]],Tab_Calculs[[#This Row],[Date_livraison]]))</f>
        <v>#VALUE!</v>
      </c>
      <c r="R534" t="e">
        <f ca="1">Tab_Calculs[[#This Row],[Ratio_Cout_après_livr]]+Tab_Calculs[[#This Row],[Ratio_Cout_avant_livr]]+Tab_Calculs[[#This Row],[Ratio_Cout_avant_debut]]</f>
        <v>#VALUE!</v>
      </c>
      <c r="S534" t="str">
        <f ca="1">IFERROR(N534*VLOOKUP(Tab_Calculs[[#This Row],[Colonne1]],Controle_des_données!$B$7:$G$14,6,FALSE),"")</f>
        <v/>
      </c>
      <c r="T534" t="str">
        <f ca="1">IF(Tab_Calculs[[#This Row],[Combustible ]]="Electricité (kWh)",Tab_Calculs[[#This Row],[Conso_mois_kWh]]*2.3,Tab_Calculs[[#This Row],[Conso_mois_kWh]])</f>
        <v/>
      </c>
      <c r="U534" t="str">
        <f ca="1">IFERROR(N534*VLOOKUP(Tab_Calculs[[#This Row],[Colonne1]],Controle_des_données!$B$7:$H$14,7,FALSE),"")</f>
        <v/>
      </c>
      <c r="V534">
        <f ca="1">IFERROR(Tab_Calculs[[#This Row],[Cout_mois]]/Tab_Calculs[[#This Row],[Conso_mois_kWh]],0)</f>
        <v>0</v>
      </c>
      <c r="W534" t="str">
        <f>T(VLOOKUP(Tab_Calculs[[#This Row],[Compteur]],Site!$B$33:$G$40,3,FALSE))</f>
        <v/>
      </c>
      <c r="X534" t="str">
        <f>T(VLOOKUP(Tab_Calculs[[#This Row],[Compteur]],Site!$B$33:$G$40,4,FALSE))</f>
        <v/>
      </c>
      <c r="Y534" t="str">
        <f>T(VLOOKUP(Tab_Calculs[[#This Row],[Compteur]],Site!$B$33:$G$40,5,FALSE))</f>
        <v/>
      </c>
      <c r="Z534" t="str">
        <f>T(VLOOKUP(Tab_Calculs[[#This Row],[Compteur]],Site!$B$33:$G$40,6,FALSE))</f>
        <v/>
      </c>
      <c r="AA534">
        <f>IFERROR(GETPIVOTDATA("DJU(chauffagiste)",BDD_DJU!$P$13,"annee",Tab_Calculs[[#This Row],[ANNEE]],"mois_numero",Tab_Calculs[[#This Row],[MOIS]]),0)</f>
        <v>170.5</v>
      </c>
    </row>
    <row r="535" spans="1:27" x14ac:dyDescent="0.25">
      <c r="A535" s="3">
        <f>DATE(Tab_Calculs[[#This Row],[ANNEE]],Tab_Calculs[[#This Row],[MOIS]],1)</f>
        <v>44501</v>
      </c>
      <c r="B535" s="3">
        <f>EDATE(Tab_Calculs[[#This Row],[Début mois]],1)-1</f>
        <v>44530</v>
      </c>
      <c r="C535">
        <f t="shared" si="17"/>
        <v>11</v>
      </c>
      <c r="D535">
        <f t="shared" si="16"/>
        <v>2021</v>
      </c>
      <c r="E535" t="s">
        <v>82</v>
      </c>
      <c r="F535" t="str">
        <f>SUBSTITUTE(Tab_Calculs[[#This Row],[Compteur]]," ","_")</f>
        <v>Compteur_3</v>
      </c>
      <c r="G535" t="str">
        <f>T(INDEX(Site!$B$33:$G$40, MATCH(Tab_Calculs[[#This Row],[Compteur]], Site!$B$33:$B$40,0),2))</f>
        <v/>
      </c>
      <c r="H535" s="3">
        <f t="array" aca="1" ref="H535" ca="1">MIN(IF(INDIRECT(CONCATENATE(Tab_Calculs[[#This Row],[Colonne1]],"!$B$2:$B$243"))&gt;=Calculs_Consos!$A535,INDIRECT(CONCATENATE(Tab_Calculs[[#This Row],[Colonne1]],"!$B$2:$B$243"))))</f>
        <v>0</v>
      </c>
      <c r="I535" s="3">
        <f ca="1">INDEX(INDIRECT(CONCATENATE("Tab_",Tab_Calculs[[#This Row],[Colonne1]])),Tab_Calculs[[#This Row],[index_date_livraison]],1)</f>
        <v>0</v>
      </c>
      <c r="J535">
        <f ca="1">MATCH(Tab_Calculs[[#This Row],[Date_livraison]],INDIRECT(CONCATENATE("Tab_",Tab_Calculs[[#This Row],[Colonne1]],"[Fin de période]")),0)</f>
        <v>1</v>
      </c>
      <c r="K535" t="e">
        <f ca="1">INDEX(INDIRECT(CONCATENATE("Tab_",Tab_Calculs[[#This Row],[Colonne1]])),Tab_Calculs[[#This Row],[index_date_livraison]]-1,6)*(MAX(Tab_Calculs[[#This Row],[Début periode livraison]],Tab_Calculs[[#This Row],[Début mois]])-Tab_Calculs[[#This Row],[Début mois]])</f>
        <v>#VALUE!</v>
      </c>
      <c r="L535" s="94">
        <f ca="1">INDEX(INDIRECT(CONCATENATE("Tab_",Tab_Calculs[[#This Row],[Colonne1]])),Tab_Calculs[[#This Row],[index_date_livraison]],6)*(1+MIN(Tab_Calculs[[#This Row],[Date_livraison]],Tab_Calculs[[#This Row],[fin mois]])-MAX(Tab_Calculs[[#This Row],[Début mois]],Tab_Calculs[[#This Row],[Début periode livraison]]))</f>
        <v>0</v>
      </c>
      <c r="M535" s="94" t="e">
        <f ca="1">INDEX(INDIRECT(CONCATENATE("Tab_",Tab_Calculs[[#This Row],[Colonne1]])),Tab_Calculs[[#This Row],[index_date_livraison]]+1,6)*(Tab_Calculs[[#This Row],[fin mois]]-MIN(Tab_Calculs[[#This Row],[fin mois]],Tab_Calculs[[#This Row],[Date_livraison]]))</f>
        <v>#VALUE!</v>
      </c>
      <c r="N535" s="231" t="str">
        <f ca="1">IFERROR(Tab_Calculs[[#This Row],[Ratio_jour_après_livr]]+Tab_Calculs[[#This Row],[Ratio_jour_avant_livr]]+Tab_Calculs[[#This Row],[ratio_avant_debut]],"")</f>
        <v/>
      </c>
      <c r="O535" t="e">
        <f ca="1">INDEX(INDIRECT(CONCATENATE("Tab_",Tab_Calculs[[#This Row],[Colonne1]])),Tab_Calculs[[#This Row],[index_date_livraison]]-1,7)*(MAX(Tab_Calculs[[#This Row],[Début periode livraison]],Tab_Calculs[[#This Row],[Début mois]])-Tab_Calculs[[#This Row],[Début mois]])</f>
        <v>#VALUE!</v>
      </c>
      <c r="P535">
        <f ca="1">INDEX(INDIRECT(CONCATENATE("Tab_",Tab_Calculs[[#This Row],[Colonne1]])),Tab_Calculs[[#This Row],[index_date_livraison]],7)*(1+MIN(Tab_Calculs[[#This Row],[Date_livraison]],Tab_Calculs[[#This Row],[fin mois]])-MAX(Tab_Calculs[[#This Row],[Début mois]],Tab_Calculs[[#This Row],[Début periode livraison]]))</f>
        <v>0</v>
      </c>
      <c r="Q535" t="e">
        <f ca="1">INDEX(INDIRECT(CONCATENATE("Tab_",Tab_Calculs[[#This Row],[Colonne1]])),Tab_Calculs[[#This Row],[index_date_livraison]]+1,7)*(Tab_Calculs[[#This Row],[fin mois]]-MIN(Tab_Calculs[[#This Row],[fin mois]],Tab_Calculs[[#This Row],[Date_livraison]]))</f>
        <v>#VALUE!</v>
      </c>
      <c r="R535" t="e">
        <f ca="1">Tab_Calculs[[#This Row],[Ratio_Cout_après_livr]]+Tab_Calculs[[#This Row],[Ratio_Cout_avant_livr]]+Tab_Calculs[[#This Row],[Ratio_Cout_avant_debut]]</f>
        <v>#VALUE!</v>
      </c>
      <c r="S535" t="str">
        <f ca="1">IFERROR(N535*VLOOKUP(Tab_Calculs[[#This Row],[Colonne1]],Controle_des_données!$B$7:$G$14,6,FALSE),"")</f>
        <v/>
      </c>
      <c r="T535" t="str">
        <f ca="1">IF(Tab_Calculs[[#This Row],[Combustible ]]="Electricité (kWh)",Tab_Calculs[[#This Row],[Conso_mois_kWh]]*2.3,Tab_Calculs[[#This Row],[Conso_mois_kWh]])</f>
        <v/>
      </c>
      <c r="U535" t="str">
        <f ca="1">IFERROR(N535*VLOOKUP(Tab_Calculs[[#This Row],[Colonne1]],Controle_des_données!$B$7:$H$14,7,FALSE),"")</f>
        <v/>
      </c>
      <c r="V535">
        <f ca="1">IFERROR(Tab_Calculs[[#This Row],[Cout_mois]]/Tab_Calculs[[#This Row],[Conso_mois_kWh]],0)</f>
        <v>0</v>
      </c>
      <c r="W535" t="str">
        <f>T(VLOOKUP(Tab_Calculs[[#This Row],[Compteur]],Site!$B$33:$G$40,3,FALSE))</f>
        <v/>
      </c>
      <c r="X535" t="str">
        <f>T(VLOOKUP(Tab_Calculs[[#This Row],[Compteur]],Site!$B$33:$G$40,4,FALSE))</f>
        <v/>
      </c>
      <c r="Y535" t="str">
        <f>T(VLOOKUP(Tab_Calculs[[#This Row],[Compteur]],Site!$B$33:$G$40,5,FALSE))</f>
        <v/>
      </c>
      <c r="Z535" t="str">
        <f>T(VLOOKUP(Tab_Calculs[[#This Row],[Compteur]],Site!$B$33:$G$40,6,FALSE))</f>
        <v/>
      </c>
      <c r="AA535">
        <f>IFERROR(GETPIVOTDATA("DJU(chauffagiste)",BDD_DJU!$P$13,"annee",Tab_Calculs[[#This Row],[ANNEE]],"mois_numero",Tab_Calculs[[#This Row],[MOIS]]),0)</f>
        <v>326.8</v>
      </c>
    </row>
    <row r="536" spans="1:27" x14ac:dyDescent="0.25">
      <c r="A536" s="3">
        <f>DATE(Tab_Calculs[[#This Row],[ANNEE]],Tab_Calculs[[#This Row],[MOIS]],1)</f>
        <v>44531</v>
      </c>
      <c r="B536" s="3">
        <f>EDATE(Tab_Calculs[[#This Row],[Début mois]],1)-1</f>
        <v>44561</v>
      </c>
      <c r="C536">
        <f t="shared" si="17"/>
        <v>12</v>
      </c>
      <c r="D536">
        <f>D524+1</f>
        <v>2021</v>
      </c>
      <c r="E536" t="s">
        <v>82</v>
      </c>
      <c r="F536" t="str">
        <f>SUBSTITUTE(Tab_Calculs[[#This Row],[Compteur]]," ","_")</f>
        <v>Compteur_3</v>
      </c>
      <c r="G536" t="str">
        <f>T(INDEX(Site!$B$33:$G$40, MATCH(Tab_Calculs[[#This Row],[Compteur]], Site!$B$33:$B$40,0),2))</f>
        <v/>
      </c>
      <c r="H536" s="3">
        <f t="array" aca="1" ref="H536" ca="1">MIN(IF(INDIRECT(CONCATENATE(Tab_Calculs[[#This Row],[Colonne1]],"!$B$2:$B$243"))&gt;=Calculs_Consos!$A536,INDIRECT(CONCATENATE(Tab_Calculs[[#This Row],[Colonne1]],"!$B$2:$B$243"))))</f>
        <v>0</v>
      </c>
      <c r="I536" s="3">
        <f ca="1">INDEX(INDIRECT(CONCATENATE("Tab_",Tab_Calculs[[#This Row],[Colonne1]])),Tab_Calculs[[#This Row],[index_date_livraison]],1)</f>
        <v>0</v>
      </c>
      <c r="J536">
        <f ca="1">MATCH(Tab_Calculs[[#This Row],[Date_livraison]],INDIRECT(CONCATENATE("Tab_",Tab_Calculs[[#This Row],[Colonne1]],"[Fin de période]")),0)</f>
        <v>1</v>
      </c>
      <c r="K536" t="e">
        <f ca="1">INDEX(INDIRECT(CONCATENATE("Tab_",Tab_Calculs[[#This Row],[Colonne1]])),Tab_Calculs[[#This Row],[index_date_livraison]]-1,6)*(MAX(Tab_Calculs[[#This Row],[Début periode livraison]],Tab_Calculs[[#This Row],[Début mois]])-Tab_Calculs[[#This Row],[Début mois]])</f>
        <v>#VALUE!</v>
      </c>
      <c r="L536" s="94">
        <f ca="1">INDEX(INDIRECT(CONCATENATE("Tab_",Tab_Calculs[[#This Row],[Colonne1]])),Tab_Calculs[[#This Row],[index_date_livraison]],6)*(1+MIN(Tab_Calculs[[#This Row],[Date_livraison]],Tab_Calculs[[#This Row],[fin mois]])-MAX(Tab_Calculs[[#This Row],[Début mois]],Tab_Calculs[[#This Row],[Début periode livraison]]))</f>
        <v>0</v>
      </c>
      <c r="M536" s="94" t="e">
        <f ca="1">INDEX(INDIRECT(CONCATENATE("Tab_",Tab_Calculs[[#This Row],[Colonne1]])),Tab_Calculs[[#This Row],[index_date_livraison]]+1,6)*(Tab_Calculs[[#This Row],[fin mois]]-MIN(Tab_Calculs[[#This Row],[fin mois]],Tab_Calculs[[#This Row],[Date_livraison]]))</f>
        <v>#VALUE!</v>
      </c>
      <c r="N536" s="231" t="str">
        <f ca="1">IFERROR(Tab_Calculs[[#This Row],[Ratio_jour_après_livr]]+Tab_Calculs[[#This Row],[Ratio_jour_avant_livr]]+Tab_Calculs[[#This Row],[ratio_avant_debut]],"")</f>
        <v/>
      </c>
      <c r="O536" t="e">
        <f ca="1">INDEX(INDIRECT(CONCATENATE("Tab_",Tab_Calculs[[#This Row],[Colonne1]])),Tab_Calculs[[#This Row],[index_date_livraison]]-1,7)*(MAX(Tab_Calculs[[#This Row],[Début periode livraison]],Tab_Calculs[[#This Row],[Début mois]])-Tab_Calculs[[#This Row],[Début mois]])</f>
        <v>#VALUE!</v>
      </c>
      <c r="P536">
        <f ca="1">INDEX(INDIRECT(CONCATENATE("Tab_",Tab_Calculs[[#This Row],[Colonne1]])),Tab_Calculs[[#This Row],[index_date_livraison]],7)*(1+MIN(Tab_Calculs[[#This Row],[Date_livraison]],Tab_Calculs[[#This Row],[fin mois]])-MAX(Tab_Calculs[[#This Row],[Début mois]],Tab_Calculs[[#This Row],[Début periode livraison]]))</f>
        <v>0</v>
      </c>
      <c r="Q536" t="e">
        <f ca="1">INDEX(INDIRECT(CONCATENATE("Tab_",Tab_Calculs[[#This Row],[Colonne1]])),Tab_Calculs[[#This Row],[index_date_livraison]]+1,7)*(Tab_Calculs[[#This Row],[fin mois]]-MIN(Tab_Calculs[[#This Row],[fin mois]],Tab_Calculs[[#This Row],[Date_livraison]]))</f>
        <v>#VALUE!</v>
      </c>
      <c r="R536" t="e">
        <f ca="1">Tab_Calculs[[#This Row],[Ratio_Cout_après_livr]]+Tab_Calculs[[#This Row],[Ratio_Cout_avant_livr]]+Tab_Calculs[[#This Row],[Ratio_Cout_avant_debut]]</f>
        <v>#VALUE!</v>
      </c>
      <c r="S536" t="str">
        <f ca="1">IFERROR(N536*VLOOKUP(Tab_Calculs[[#This Row],[Colonne1]],Controle_des_données!$B$7:$G$14,6,FALSE),"")</f>
        <v/>
      </c>
      <c r="T536" t="str">
        <f ca="1">IF(Tab_Calculs[[#This Row],[Combustible ]]="Electricité (kWh)",Tab_Calculs[[#This Row],[Conso_mois_kWh]]*2.3,Tab_Calculs[[#This Row],[Conso_mois_kWh]])</f>
        <v/>
      </c>
      <c r="U536" t="str">
        <f ca="1">IFERROR(N536*VLOOKUP(Tab_Calculs[[#This Row],[Colonne1]],Controle_des_données!$B$7:$H$14,7,FALSE),"")</f>
        <v/>
      </c>
      <c r="V536">
        <f ca="1">IFERROR(Tab_Calculs[[#This Row],[Cout_mois]]/Tab_Calculs[[#This Row],[Conso_mois_kWh]],0)</f>
        <v>0</v>
      </c>
      <c r="W536" t="str">
        <f>T(VLOOKUP(Tab_Calculs[[#This Row],[Compteur]],Site!$B$33:$G$40,3,FALSE))</f>
        <v/>
      </c>
      <c r="X536" t="str">
        <f>T(VLOOKUP(Tab_Calculs[[#This Row],[Compteur]],Site!$B$33:$G$40,4,FALSE))</f>
        <v/>
      </c>
      <c r="Y536" t="str">
        <f>T(VLOOKUP(Tab_Calculs[[#This Row],[Compteur]],Site!$B$33:$G$40,5,FALSE))</f>
        <v/>
      </c>
      <c r="Z536" t="str">
        <f>T(VLOOKUP(Tab_Calculs[[#This Row],[Compteur]],Site!$B$33:$G$40,6,FALSE))</f>
        <v/>
      </c>
      <c r="AA536">
        <f>IFERROR(GETPIVOTDATA("DJU(chauffagiste)",BDD_DJU!$P$13,"annee",Tab_Calculs[[#This Row],[ANNEE]],"mois_numero",Tab_Calculs[[#This Row],[MOIS]]),0)</f>
        <v>336.7</v>
      </c>
    </row>
    <row r="537" spans="1:27" x14ac:dyDescent="0.25">
      <c r="A537" s="3">
        <f>DATE(Tab_Calculs[[#This Row],[ANNEE]],Tab_Calculs[[#This Row],[MOIS]],1)</f>
        <v>44562</v>
      </c>
      <c r="B537" s="3">
        <f>EDATE(Tab_Calculs[[#This Row],[Début mois]],1)-1</f>
        <v>44592</v>
      </c>
      <c r="C537">
        <f t="shared" si="17"/>
        <v>1</v>
      </c>
      <c r="D537">
        <f t="shared" ref="D537:D549" si="18">D525+1</f>
        <v>2022</v>
      </c>
      <c r="E537" t="s">
        <v>82</v>
      </c>
      <c r="F537" t="str">
        <f>SUBSTITUTE(Tab_Calculs[[#This Row],[Compteur]]," ","_")</f>
        <v>Compteur_3</v>
      </c>
      <c r="G537" t="str">
        <f>T(INDEX(Site!$B$33:$G$40, MATCH(Tab_Calculs[[#This Row],[Compteur]], Site!$B$33:$B$40,0),2))</f>
        <v/>
      </c>
      <c r="H537" s="3">
        <f t="array" aca="1" ref="H537" ca="1">MIN(IF(INDIRECT(CONCATENATE(Tab_Calculs[[#This Row],[Colonne1]],"!$B$2:$B$243"))&gt;=Calculs_Consos!$A537,INDIRECT(CONCATENATE(Tab_Calculs[[#This Row],[Colonne1]],"!$B$2:$B$243"))))</f>
        <v>0</v>
      </c>
      <c r="I537" s="3">
        <f ca="1">INDEX(INDIRECT(CONCATENATE("Tab_",Tab_Calculs[[#This Row],[Colonne1]])),Tab_Calculs[[#This Row],[index_date_livraison]],1)</f>
        <v>0</v>
      </c>
      <c r="J537">
        <f ca="1">MATCH(Tab_Calculs[[#This Row],[Date_livraison]],INDIRECT(CONCATENATE("Tab_",Tab_Calculs[[#This Row],[Colonne1]],"[Fin de période]")),0)</f>
        <v>1</v>
      </c>
      <c r="K537" t="e">
        <f ca="1">INDEX(INDIRECT(CONCATENATE("Tab_",Tab_Calculs[[#This Row],[Colonne1]])),Tab_Calculs[[#This Row],[index_date_livraison]]-1,6)*(MAX(Tab_Calculs[[#This Row],[Début periode livraison]],Tab_Calculs[[#This Row],[Début mois]])-Tab_Calculs[[#This Row],[Début mois]])</f>
        <v>#VALUE!</v>
      </c>
      <c r="L537" s="94">
        <f ca="1">INDEX(INDIRECT(CONCATENATE("Tab_",Tab_Calculs[[#This Row],[Colonne1]])),Tab_Calculs[[#This Row],[index_date_livraison]],6)*(1+MIN(Tab_Calculs[[#This Row],[Date_livraison]],Tab_Calculs[[#This Row],[fin mois]])-MAX(Tab_Calculs[[#This Row],[Début mois]],Tab_Calculs[[#This Row],[Début periode livraison]]))</f>
        <v>0</v>
      </c>
      <c r="M537" s="94" t="e">
        <f ca="1">INDEX(INDIRECT(CONCATENATE("Tab_",Tab_Calculs[[#This Row],[Colonne1]])),Tab_Calculs[[#This Row],[index_date_livraison]]+1,6)*(Tab_Calculs[[#This Row],[fin mois]]-MIN(Tab_Calculs[[#This Row],[fin mois]],Tab_Calculs[[#This Row],[Date_livraison]]))</f>
        <v>#VALUE!</v>
      </c>
      <c r="N537" s="231" t="str">
        <f ca="1">IFERROR(Tab_Calculs[[#This Row],[Ratio_jour_après_livr]]+Tab_Calculs[[#This Row],[Ratio_jour_avant_livr]]+Tab_Calculs[[#This Row],[ratio_avant_debut]],"")</f>
        <v/>
      </c>
      <c r="O537" t="e">
        <f ca="1">INDEX(INDIRECT(CONCATENATE("Tab_",Tab_Calculs[[#This Row],[Colonne1]])),Tab_Calculs[[#This Row],[index_date_livraison]]-1,7)*(MAX(Tab_Calculs[[#This Row],[Début periode livraison]],Tab_Calculs[[#This Row],[Début mois]])-Tab_Calculs[[#This Row],[Début mois]])</f>
        <v>#VALUE!</v>
      </c>
      <c r="P537">
        <f ca="1">INDEX(INDIRECT(CONCATENATE("Tab_",Tab_Calculs[[#This Row],[Colonne1]])),Tab_Calculs[[#This Row],[index_date_livraison]],7)*(1+MIN(Tab_Calculs[[#This Row],[Date_livraison]],Tab_Calculs[[#This Row],[fin mois]])-MAX(Tab_Calculs[[#This Row],[Début mois]],Tab_Calculs[[#This Row],[Début periode livraison]]))</f>
        <v>0</v>
      </c>
      <c r="Q537" t="e">
        <f ca="1">INDEX(INDIRECT(CONCATENATE("Tab_",Tab_Calculs[[#This Row],[Colonne1]])),Tab_Calculs[[#This Row],[index_date_livraison]]+1,7)*(Tab_Calculs[[#This Row],[fin mois]]-MIN(Tab_Calculs[[#This Row],[fin mois]],Tab_Calculs[[#This Row],[Date_livraison]]))</f>
        <v>#VALUE!</v>
      </c>
      <c r="R537" t="e">
        <f ca="1">Tab_Calculs[[#This Row],[Ratio_Cout_après_livr]]+Tab_Calculs[[#This Row],[Ratio_Cout_avant_livr]]+Tab_Calculs[[#This Row],[Ratio_Cout_avant_debut]]</f>
        <v>#VALUE!</v>
      </c>
      <c r="S537" t="str">
        <f ca="1">IFERROR(N537*VLOOKUP(Tab_Calculs[[#This Row],[Colonne1]],Controle_des_données!$B$7:$G$14,6,FALSE),"")</f>
        <v/>
      </c>
      <c r="T537" t="str">
        <f ca="1">IF(Tab_Calculs[[#This Row],[Combustible ]]="Electricité (kWh)",Tab_Calculs[[#This Row],[Conso_mois_kWh]]*2.3,Tab_Calculs[[#This Row],[Conso_mois_kWh]])</f>
        <v/>
      </c>
      <c r="U537" t="str">
        <f ca="1">IFERROR(N537*VLOOKUP(Tab_Calculs[[#This Row],[Colonne1]],Controle_des_données!$B$7:$H$14,7,FALSE),"")</f>
        <v/>
      </c>
      <c r="V537">
        <f ca="1">IFERROR(Tab_Calculs[[#This Row],[Cout_mois]]/Tab_Calculs[[#This Row],[Conso_mois_kWh]],0)</f>
        <v>0</v>
      </c>
      <c r="W537" t="str">
        <f>T(VLOOKUP(Tab_Calculs[[#This Row],[Compteur]],Site!$B$33:$G$40,3,FALSE))</f>
        <v/>
      </c>
      <c r="X537" t="str">
        <f>T(VLOOKUP(Tab_Calculs[[#This Row],[Compteur]],Site!$B$33:$G$40,4,FALSE))</f>
        <v/>
      </c>
      <c r="Y537" t="str">
        <f>T(VLOOKUP(Tab_Calculs[[#This Row],[Compteur]],Site!$B$33:$G$40,5,FALSE))</f>
        <v/>
      </c>
      <c r="Z537" t="str">
        <f>T(VLOOKUP(Tab_Calculs[[#This Row],[Compteur]],Site!$B$33:$G$40,6,FALSE))</f>
        <v/>
      </c>
      <c r="AA537">
        <f>IFERROR(GETPIVOTDATA("DJU(chauffagiste)",BDD_DJU!$P$13,"annee",Tab_Calculs[[#This Row],[ANNEE]],"mois_numero",Tab_Calculs[[#This Row],[MOIS]]),0)</f>
        <v>396.3</v>
      </c>
    </row>
    <row r="538" spans="1:27" x14ac:dyDescent="0.25">
      <c r="A538" s="3">
        <f>DATE(Tab_Calculs[[#This Row],[ANNEE]],Tab_Calculs[[#This Row],[MOIS]],1)</f>
        <v>44593</v>
      </c>
      <c r="B538" s="3">
        <f>EDATE(Tab_Calculs[[#This Row],[Début mois]],1)-1</f>
        <v>44620</v>
      </c>
      <c r="C538">
        <f t="shared" si="17"/>
        <v>2</v>
      </c>
      <c r="D538">
        <f t="shared" si="18"/>
        <v>2022</v>
      </c>
      <c r="E538" t="s">
        <v>82</v>
      </c>
      <c r="F538" t="str">
        <f>SUBSTITUTE(Tab_Calculs[[#This Row],[Compteur]]," ","_")</f>
        <v>Compteur_3</v>
      </c>
      <c r="G538" t="str">
        <f>T(INDEX(Site!$B$33:$G$40, MATCH(Tab_Calculs[[#This Row],[Compteur]], Site!$B$33:$B$40,0),2))</f>
        <v/>
      </c>
      <c r="H538" s="3">
        <f t="array" aca="1" ref="H538" ca="1">MIN(IF(INDIRECT(CONCATENATE(Tab_Calculs[[#This Row],[Colonne1]],"!$B$2:$B$243"))&gt;=Calculs_Consos!$A538,INDIRECT(CONCATENATE(Tab_Calculs[[#This Row],[Colonne1]],"!$B$2:$B$243"))))</f>
        <v>0</v>
      </c>
      <c r="I538" s="3">
        <f ca="1">INDEX(INDIRECT(CONCATENATE("Tab_",Tab_Calculs[[#This Row],[Colonne1]])),Tab_Calculs[[#This Row],[index_date_livraison]],1)</f>
        <v>0</v>
      </c>
      <c r="J538">
        <f ca="1">MATCH(Tab_Calculs[[#This Row],[Date_livraison]],INDIRECT(CONCATENATE("Tab_",Tab_Calculs[[#This Row],[Colonne1]],"[Fin de période]")),0)</f>
        <v>1</v>
      </c>
      <c r="K538" t="e">
        <f ca="1">INDEX(INDIRECT(CONCATENATE("Tab_",Tab_Calculs[[#This Row],[Colonne1]])),Tab_Calculs[[#This Row],[index_date_livraison]]-1,6)*(MAX(Tab_Calculs[[#This Row],[Début periode livraison]],Tab_Calculs[[#This Row],[Début mois]])-Tab_Calculs[[#This Row],[Début mois]])</f>
        <v>#VALUE!</v>
      </c>
      <c r="L538" s="94">
        <f ca="1">INDEX(INDIRECT(CONCATENATE("Tab_",Tab_Calculs[[#This Row],[Colonne1]])),Tab_Calculs[[#This Row],[index_date_livraison]],6)*(1+MIN(Tab_Calculs[[#This Row],[Date_livraison]],Tab_Calculs[[#This Row],[fin mois]])-MAX(Tab_Calculs[[#This Row],[Début mois]],Tab_Calculs[[#This Row],[Début periode livraison]]))</f>
        <v>0</v>
      </c>
      <c r="M538" s="94" t="e">
        <f ca="1">INDEX(INDIRECT(CONCATENATE("Tab_",Tab_Calculs[[#This Row],[Colonne1]])),Tab_Calculs[[#This Row],[index_date_livraison]]+1,6)*(Tab_Calculs[[#This Row],[fin mois]]-MIN(Tab_Calculs[[#This Row],[fin mois]],Tab_Calculs[[#This Row],[Date_livraison]]))</f>
        <v>#VALUE!</v>
      </c>
      <c r="N538" s="231" t="str">
        <f ca="1">IFERROR(Tab_Calculs[[#This Row],[Ratio_jour_après_livr]]+Tab_Calculs[[#This Row],[Ratio_jour_avant_livr]]+Tab_Calculs[[#This Row],[ratio_avant_debut]],"")</f>
        <v/>
      </c>
      <c r="O538" t="e">
        <f ca="1">INDEX(INDIRECT(CONCATENATE("Tab_",Tab_Calculs[[#This Row],[Colonne1]])),Tab_Calculs[[#This Row],[index_date_livraison]]-1,7)*(MAX(Tab_Calculs[[#This Row],[Début periode livraison]],Tab_Calculs[[#This Row],[Début mois]])-Tab_Calculs[[#This Row],[Début mois]])</f>
        <v>#VALUE!</v>
      </c>
      <c r="P538">
        <f ca="1">INDEX(INDIRECT(CONCATENATE("Tab_",Tab_Calculs[[#This Row],[Colonne1]])),Tab_Calculs[[#This Row],[index_date_livraison]],7)*(1+MIN(Tab_Calculs[[#This Row],[Date_livraison]],Tab_Calculs[[#This Row],[fin mois]])-MAX(Tab_Calculs[[#This Row],[Début mois]],Tab_Calculs[[#This Row],[Début periode livraison]]))</f>
        <v>0</v>
      </c>
      <c r="Q538" t="e">
        <f ca="1">INDEX(INDIRECT(CONCATENATE("Tab_",Tab_Calculs[[#This Row],[Colonne1]])),Tab_Calculs[[#This Row],[index_date_livraison]]+1,7)*(Tab_Calculs[[#This Row],[fin mois]]-MIN(Tab_Calculs[[#This Row],[fin mois]],Tab_Calculs[[#This Row],[Date_livraison]]))</f>
        <v>#VALUE!</v>
      </c>
      <c r="R538" t="e">
        <f ca="1">Tab_Calculs[[#This Row],[Ratio_Cout_après_livr]]+Tab_Calculs[[#This Row],[Ratio_Cout_avant_livr]]+Tab_Calculs[[#This Row],[Ratio_Cout_avant_debut]]</f>
        <v>#VALUE!</v>
      </c>
      <c r="S538" t="str">
        <f ca="1">IFERROR(N538*VLOOKUP(Tab_Calculs[[#This Row],[Colonne1]],Controle_des_données!$B$7:$G$14,6,FALSE),"")</f>
        <v/>
      </c>
      <c r="T538" t="str">
        <f ca="1">IF(Tab_Calculs[[#This Row],[Combustible ]]="Electricité (kWh)",Tab_Calculs[[#This Row],[Conso_mois_kWh]]*2.3,Tab_Calculs[[#This Row],[Conso_mois_kWh]])</f>
        <v/>
      </c>
      <c r="U538" t="str">
        <f ca="1">IFERROR(N538*VLOOKUP(Tab_Calculs[[#This Row],[Colonne1]],Controle_des_données!$B$7:$H$14,7,FALSE),"")</f>
        <v/>
      </c>
      <c r="V538">
        <f ca="1">IFERROR(Tab_Calculs[[#This Row],[Cout_mois]]/Tab_Calculs[[#This Row],[Conso_mois_kWh]],0)</f>
        <v>0</v>
      </c>
      <c r="W538" t="str">
        <f>T(VLOOKUP(Tab_Calculs[[#This Row],[Compteur]],Site!$B$33:$G$40,3,FALSE))</f>
        <v/>
      </c>
      <c r="X538" t="str">
        <f>T(VLOOKUP(Tab_Calculs[[#This Row],[Compteur]],Site!$B$33:$G$40,4,FALSE))</f>
        <v/>
      </c>
      <c r="Y538" t="str">
        <f>T(VLOOKUP(Tab_Calculs[[#This Row],[Compteur]],Site!$B$33:$G$40,5,FALSE))</f>
        <v/>
      </c>
      <c r="Z538" t="str">
        <f>T(VLOOKUP(Tab_Calculs[[#This Row],[Compteur]],Site!$B$33:$G$40,6,FALSE))</f>
        <v/>
      </c>
      <c r="AA538">
        <f>IFERROR(GETPIVOTDATA("DJU(chauffagiste)",BDD_DJU!$P$13,"annee",Tab_Calculs[[#This Row],[ANNEE]],"mois_numero",Tab_Calculs[[#This Row],[MOIS]]),0)</f>
        <v>286.10000000000002</v>
      </c>
    </row>
    <row r="539" spans="1:27" x14ac:dyDescent="0.25">
      <c r="A539" s="3">
        <f>DATE(Tab_Calculs[[#This Row],[ANNEE]],Tab_Calculs[[#This Row],[MOIS]],1)</f>
        <v>44621</v>
      </c>
      <c r="B539" s="3">
        <f>EDATE(Tab_Calculs[[#This Row],[Début mois]],1)-1</f>
        <v>44651</v>
      </c>
      <c r="C539">
        <f t="shared" si="17"/>
        <v>3</v>
      </c>
      <c r="D539">
        <f t="shared" si="18"/>
        <v>2022</v>
      </c>
      <c r="E539" t="s">
        <v>82</v>
      </c>
      <c r="F539" t="str">
        <f>SUBSTITUTE(Tab_Calculs[[#This Row],[Compteur]]," ","_")</f>
        <v>Compteur_3</v>
      </c>
      <c r="G539" t="str">
        <f>T(INDEX(Site!$B$33:$G$40, MATCH(Tab_Calculs[[#This Row],[Compteur]], Site!$B$33:$B$40,0),2))</f>
        <v/>
      </c>
      <c r="H539" s="3">
        <f t="array" aca="1" ref="H539" ca="1">MIN(IF(INDIRECT(CONCATENATE(Tab_Calculs[[#This Row],[Colonne1]],"!$B$2:$B$243"))&gt;=Calculs_Consos!$A539,INDIRECT(CONCATENATE(Tab_Calculs[[#This Row],[Colonne1]],"!$B$2:$B$243"))))</f>
        <v>0</v>
      </c>
      <c r="I539" s="3">
        <f ca="1">INDEX(INDIRECT(CONCATENATE("Tab_",Tab_Calculs[[#This Row],[Colonne1]])),Tab_Calculs[[#This Row],[index_date_livraison]],1)</f>
        <v>0</v>
      </c>
      <c r="J539">
        <f ca="1">MATCH(Tab_Calculs[[#This Row],[Date_livraison]],INDIRECT(CONCATENATE("Tab_",Tab_Calculs[[#This Row],[Colonne1]],"[Fin de période]")),0)</f>
        <v>1</v>
      </c>
      <c r="K539" t="e">
        <f ca="1">INDEX(INDIRECT(CONCATENATE("Tab_",Tab_Calculs[[#This Row],[Colonne1]])),Tab_Calculs[[#This Row],[index_date_livraison]]-1,6)*(MAX(Tab_Calculs[[#This Row],[Début periode livraison]],Tab_Calculs[[#This Row],[Début mois]])-Tab_Calculs[[#This Row],[Début mois]])</f>
        <v>#VALUE!</v>
      </c>
      <c r="L539" s="94">
        <f ca="1">INDEX(INDIRECT(CONCATENATE("Tab_",Tab_Calculs[[#This Row],[Colonne1]])),Tab_Calculs[[#This Row],[index_date_livraison]],6)*(1+MIN(Tab_Calculs[[#This Row],[Date_livraison]],Tab_Calculs[[#This Row],[fin mois]])-MAX(Tab_Calculs[[#This Row],[Début mois]],Tab_Calculs[[#This Row],[Début periode livraison]]))</f>
        <v>0</v>
      </c>
      <c r="M539" s="94" t="e">
        <f ca="1">INDEX(INDIRECT(CONCATENATE("Tab_",Tab_Calculs[[#This Row],[Colonne1]])),Tab_Calculs[[#This Row],[index_date_livraison]]+1,6)*(Tab_Calculs[[#This Row],[fin mois]]-MIN(Tab_Calculs[[#This Row],[fin mois]],Tab_Calculs[[#This Row],[Date_livraison]]))</f>
        <v>#VALUE!</v>
      </c>
      <c r="N539" s="231" t="str">
        <f ca="1">IFERROR(Tab_Calculs[[#This Row],[Ratio_jour_après_livr]]+Tab_Calculs[[#This Row],[Ratio_jour_avant_livr]]+Tab_Calculs[[#This Row],[ratio_avant_debut]],"")</f>
        <v/>
      </c>
      <c r="O539" t="e">
        <f ca="1">INDEX(INDIRECT(CONCATENATE("Tab_",Tab_Calculs[[#This Row],[Colonne1]])),Tab_Calculs[[#This Row],[index_date_livraison]]-1,7)*(MAX(Tab_Calculs[[#This Row],[Début periode livraison]],Tab_Calculs[[#This Row],[Début mois]])-Tab_Calculs[[#This Row],[Début mois]])</f>
        <v>#VALUE!</v>
      </c>
      <c r="P539">
        <f ca="1">INDEX(INDIRECT(CONCATENATE("Tab_",Tab_Calculs[[#This Row],[Colonne1]])),Tab_Calculs[[#This Row],[index_date_livraison]],7)*(1+MIN(Tab_Calculs[[#This Row],[Date_livraison]],Tab_Calculs[[#This Row],[fin mois]])-MAX(Tab_Calculs[[#This Row],[Début mois]],Tab_Calculs[[#This Row],[Début periode livraison]]))</f>
        <v>0</v>
      </c>
      <c r="Q539" t="e">
        <f ca="1">INDEX(INDIRECT(CONCATENATE("Tab_",Tab_Calculs[[#This Row],[Colonne1]])),Tab_Calculs[[#This Row],[index_date_livraison]]+1,7)*(Tab_Calculs[[#This Row],[fin mois]]-MIN(Tab_Calculs[[#This Row],[fin mois]],Tab_Calculs[[#This Row],[Date_livraison]]))</f>
        <v>#VALUE!</v>
      </c>
      <c r="R539" t="e">
        <f ca="1">Tab_Calculs[[#This Row],[Ratio_Cout_après_livr]]+Tab_Calculs[[#This Row],[Ratio_Cout_avant_livr]]+Tab_Calculs[[#This Row],[Ratio_Cout_avant_debut]]</f>
        <v>#VALUE!</v>
      </c>
      <c r="S539" t="str">
        <f ca="1">IFERROR(N539*VLOOKUP(Tab_Calculs[[#This Row],[Colonne1]],Controle_des_données!$B$7:$G$14,6,FALSE),"")</f>
        <v/>
      </c>
      <c r="T539" t="str">
        <f ca="1">IF(Tab_Calculs[[#This Row],[Combustible ]]="Electricité (kWh)",Tab_Calculs[[#This Row],[Conso_mois_kWh]]*2.3,Tab_Calculs[[#This Row],[Conso_mois_kWh]])</f>
        <v/>
      </c>
      <c r="U539" t="str">
        <f ca="1">IFERROR(N539*VLOOKUP(Tab_Calculs[[#This Row],[Colonne1]],Controle_des_données!$B$7:$H$14,7,FALSE),"")</f>
        <v/>
      </c>
      <c r="V539">
        <f ca="1">IFERROR(Tab_Calculs[[#This Row],[Cout_mois]]/Tab_Calculs[[#This Row],[Conso_mois_kWh]],0)</f>
        <v>0</v>
      </c>
      <c r="W539" t="str">
        <f>T(VLOOKUP(Tab_Calculs[[#This Row],[Compteur]],Site!$B$33:$G$40,3,FALSE))</f>
        <v/>
      </c>
      <c r="X539" t="str">
        <f>T(VLOOKUP(Tab_Calculs[[#This Row],[Compteur]],Site!$B$33:$G$40,4,FALSE))</f>
        <v/>
      </c>
      <c r="Y539" t="str">
        <f>T(VLOOKUP(Tab_Calculs[[#This Row],[Compteur]],Site!$B$33:$G$40,5,FALSE))</f>
        <v/>
      </c>
      <c r="Z539" t="str">
        <f>T(VLOOKUP(Tab_Calculs[[#This Row],[Compteur]],Site!$B$33:$G$40,6,FALSE))</f>
        <v/>
      </c>
      <c r="AA539">
        <f>IFERROR(GETPIVOTDATA("DJU(chauffagiste)",BDD_DJU!$P$13,"annee",Tab_Calculs[[#This Row],[ANNEE]],"mois_numero",Tab_Calculs[[#This Row],[MOIS]]),0)</f>
        <v>239.8</v>
      </c>
    </row>
    <row r="540" spans="1:27" x14ac:dyDescent="0.25">
      <c r="A540" s="3">
        <f>DATE(Tab_Calculs[[#This Row],[ANNEE]],Tab_Calculs[[#This Row],[MOIS]],1)</f>
        <v>44652</v>
      </c>
      <c r="B540" s="3">
        <f>EDATE(Tab_Calculs[[#This Row],[Début mois]],1)-1</f>
        <v>44681</v>
      </c>
      <c r="C540">
        <f t="shared" si="17"/>
        <v>4</v>
      </c>
      <c r="D540">
        <f t="shared" si="18"/>
        <v>2022</v>
      </c>
      <c r="E540" t="s">
        <v>82</v>
      </c>
      <c r="F540" t="str">
        <f>SUBSTITUTE(Tab_Calculs[[#This Row],[Compteur]]," ","_")</f>
        <v>Compteur_3</v>
      </c>
      <c r="G540" t="str">
        <f>T(INDEX(Site!$B$33:$G$40, MATCH(Tab_Calculs[[#This Row],[Compteur]], Site!$B$33:$B$40,0),2))</f>
        <v/>
      </c>
      <c r="H540" s="3">
        <f t="array" aca="1" ref="H540" ca="1">MIN(IF(INDIRECT(CONCATENATE(Tab_Calculs[[#This Row],[Colonne1]],"!$B$2:$B$243"))&gt;=Calculs_Consos!$A540,INDIRECT(CONCATENATE(Tab_Calculs[[#This Row],[Colonne1]],"!$B$2:$B$243"))))</f>
        <v>0</v>
      </c>
      <c r="I540" s="3">
        <f ca="1">INDEX(INDIRECT(CONCATENATE("Tab_",Tab_Calculs[[#This Row],[Colonne1]])),Tab_Calculs[[#This Row],[index_date_livraison]],1)</f>
        <v>0</v>
      </c>
      <c r="J540">
        <f ca="1">MATCH(Tab_Calculs[[#This Row],[Date_livraison]],INDIRECT(CONCATENATE("Tab_",Tab_Calculs[[#This Row],[Colonne1]],"[Fin de période]")),0)</f>
        <v>1</v>
      </c>
      <c r="K540" t="e">
        <f ca="1">INDEX(INDIRECT(CONCATENATE("Tab_",Tab_Calculs[[#This Row],[Colonne1]])),Tab_Calculs[[#This Row],[index_date_livraison]]-1,6)*(MAX(Tab_Calculs[[#This Row],[Début periode livraison]],Tab_Calculs[[#This Row],[Début mois]])-Tab_Calculs[[#This Row],[Début mois]])</f>
        <v>#VALUE!</v>
      </c>
      <c r="L540" s="94">
        <f ca="1">INDEX(INDIRECT(CONCATENATE("Tab_",Tab_Calculs[[#This Row],[Colonne1]])),Tab_Calculs[[#This Row],[index_date_livraison]],6)*(1+MIN(Tab_Calculs[[#This Row],[Date_livraison]],Tab_Calculs[[#This Row],[fin mois]])-MAX(Tab_Calculs[[#This Row],[Début mois]],Tab_Calculs[[#This Row],[Début periode livraison]]))</f>
        <v>0</v>
      </c>
      <c r="M540" s="94" t="e">
        <f ca="1">INDEX(INDIRECT(CONCATENATE("Tab_",Tab_Calculs[[#This Row],[Colonne1]])),Tab_Calculs[[#This Row],[index_date_livraison]]+1,6)*(Tab_Calculs[[#This Row],[fin mois]]-MIN(Tab_Calculs[[#This Row],[fin mois]],Tab_Calculs[[#This Row],[Date_livraison]]))</f>
        <v>#VALUE!</v>
      </c>
      <c r="N540" s="231" t="str">
        <f ca="1">IFERROR(Tab_Calculs[[#This Row],[Ratio_jour_après_livr]]+Tab_Calculs[[#This Row],[Ratio_jour_avant_livr]]+Tab_Calculs[[#This Row],[ratio_avant_debut]],"")</f>
        <v/>
      </c>
      <c r="O540" t="e">
        <f ca="1">INDEX(INDIRECT(CONCATENATE("Tab_",Tab_Calculs[[#This Row],[Colonne1]])),Tab_Calculs[[#This Row],[index_date_livraison]]-1,7)*(MAX(Tab_Calculs[[#This Row],[Début periode livraison]],Tab_Calculs[[#This Row],[Début mois]])-Tab_Calculs[[#This Row],[Début mois]])</f>
        <v>#VALUE!</v>
      </c>
      <c r="P540">
        <f ca="1">INDEX(INDIRECT(CONCATENATE("Tab_",Tab_Calculs[[#This Row],[Colonne1]])),Tab_Calculs[[#This Row],[index_date_livraison]],7)*(1+MIN(Tab_Calculs[[#This Row],[Date_livraison]],Tab_Calculs[[#This Row],[fin mois]])-MAX(Tab_Calculs[[#This Row],[Début mois]],Tab_Calculs[[#This Row],[Début periode livraison]]))</f>
        <v>0</v>
      </c>
      <c r="Q540" t="e">
        <f ca="1">INDEX(INDIRECT(CONCATENATE("Tab_",Tab_Calculs[[#This Row],[Colonne1]])),Tab_Calculs[[#This Row],[index_date_livraison]]+1,7)*(Tab_Calculs[[#This Row],[fin mois]]-MIN(Tab_Calculs[[#This Row],[fin mois]],Tab_Calculs[[#This Row],[Date_livraison]]))</f>
        <v>#VALUE!</v>
      </c>
      <c r="R540" t="e">
        <f ca="1">Tab_Calculs[[#This Row],[Ratio_Cout_après_livr]]+Tab_Calculs[[#This Row],[Ratio_Cout_avant_livr]]+Tab_Calculs[[#This Row],[Ratio_Cout_avant_debut]]</f>
        <v>#VALUE!</v>
      </c>
      <c r="S540" t="str">
        <f ca="1">IFERROR(N540*VLOOKUP(Tab_Calculs[[#This Row],[Colonne1]],Controle_des_données!$B$7:$G$14,6,FALSE),"")</f>
        <v/>
      </c>
      <c r="T540" t="str">
        <f ca="1">IF(Tab_Calculs[[#This Row],[Combustible ]]="Electricité (kWh)",Tab_Calculs[[#This Row],[Conso_mois_kWh]]*2.3,Tab_Calculs[[#This Row],[Conso_mois_kWh]])</f>
        <v/>
      </c>
      <c r="U540" t="str">
        <f ca="1">IFERROR(N540*VLOOKUP(Tab_Calculs[[#This Row],[Colonne1]],Controle_des_données!$B$7:$H$14,7,FALSE),"")</f>
        <v/>
      </c>
      <c r="V540">
        <f ca="1">IFERROR(Tab_Calculs[[#This Row],[Cout_mois]]/Tab_Calculs[[#This Row],[Conso_mois_kWh]],0)</f>
        <v>0</v>
      </c>
      <c r="W540" t="str">
        <f>T(VLOOKUP(Tab_Calculs[[#This Row],[Compteur]],Site!$B$33:$G$40,3,FALSE))</f>
        <v/>
      </c>
      <c r="X540" t="str">
        <f>T(VLOOKUP(Tab_Calculs[[#This Row],[Compteur]],Site!$B$33:$G$40,4,FALSE))</f>
        <v/>
      </c>
      <c r="Y540" t="str">
        <f>T(VLOOKUP(Tab_Calculs[[#This Row],[Compteur]],Site!$B$33:$G$40,5,FALSE))</f>
        <v/>
      </c>
      <c r="Z540" t="str">
        <f>T(VLOOKUP(Tab_Calculs[[#This Row],[Compteur]],Site!$B$33:$G$40,6,FALSE))</f>
        <v/>
      </c>
      <c r="AA540">
        <f>IFERROR(GETPIVOTDATA("DJU(chauffagiste)",BDD_DJU!$P$13,"annee",Tab_Calculs[[#This Row],[ANNEE]],"mois_numero",Tab_Calculs[[#This Row],[MOIS]]),0)</f>
        <v>192.3</v>
      </c>
    </row>
    <row r="541" spans="1:27" x14ac:dyDescent="0.25">
      <c r="A541" s="3">
        <f>DATE(Tab_Calculs[[#This Row],[ANNEE]],Tab_Calculs[[#This Row],[MOIS]],1)</f>
        <v>44682</v>
      </c>
      <c r="B541" s="3">
        <f>EDATE(Tab_Calculs[[#This Row],[Début mois]],1)-1</f>
        <v>44712</v>
      </c>
      <c r="C541">
        <f t="shared" si="17"/>
        <v>5</v>
      </c>
      <c r="D541">
        <f t="shared" si="18"/>
        <v>2022</v>
      </c>
      <c r="E541" t="s">
        <v>82</v>
      </c>
      <c r="F541" t="str">
        <f>SUBSTITUTE(Tab_Calculs[[#This Row],[Compteur]]," ","_")</f>
        <v>Compteur_3</v>
      </c>
      <c r="G541" t="str">
        <f>T(INDEX(Site!$B$33:$G$40, MATCH(Tab_Calculs[[#This Row],[Compteur]], Site!$B$33:$B$40,0),2))</f>
        <v/>
      </c>
      <c r="H541" s="3">
        <f t="array" aca="1" ref="H541" ca="1">MIN(IF(INDIRECT(CONCATENATE(Tab_Calculs[[#This Row],[Colonne1]],"!$B$2:$B$243"))&gt;=Calculs_Consos!$A541,INDIRECT(CONCATENATE(Tab_Calculs[[#This Row],[Colonne1]],"!$B$2:$B$243"))))</f>
        <v>0</v>
      </c>
      <c r="I541" s="3">
        <f ca="1">INDEX(INDIRECT(CONCATENATE("Tab_",Tab_Calculs[[#This Row],[Colonne1]])),Tab_Calculs[[#This Row],[index_date_livraison]],1)</f>
        <v>0</v>
      </c>
      <c r="J541">
        <f ca="1">MATCH(Tab_Calculs[[#This Row],[Date_livraison]],INDIRECT(CONCATENATE("Tab_",Tab_Calculs[[#This Row],[Colonne1]],"[Fin de période]")),0)</f>
        <v>1</v>
      </c>
      <c r="K541" t="e">
        <f ca="1">INDEX(INDIRECT(CONCATENATE("Tab_",Tab_Calculs[[#This Row],[Colonne1]])),Tab_Calculs[[#This Row],[index_date_livraison]]-1,6)*(MAX(Tab_Calculs[[#This Row],[Début periode livraison]],Tab_Calculs[[#This Row],[Début mois]])-Tab_Calculs[[#This Row],[Début mois]])</f>
        <v>#VALUE!</v>
      </c>
      <c r="L541" s="94">
        <f ca="1">INDEX(INDIRECT(CONCATENATE("Tab_",Tab_Calculs[[#This Row],[Colonne1]])),Tab_Calculs[[#This Row],[index_date_livraison]],6)*(1+MIN(Tab_Calculs[[#This Row],[Date_livraison]],Tab_Calculs[[#This Row],[fin mois]])-MAX(Tab_Calculs[[#This Row],[Début mois]],Tab_Calculs[[#This Row],[Début periode livraison]]))</f>
        <v>0</v>
      </c>
      <c r="M541" s="94" t="e">
        <f ca="1">INDEX(INDIRECT(CONCATENATE("Tab_",Tab_Calculs[[#This Row],[Colonne1]])),Tab_Calculs[[#This Row],[index_date_livraison]]+1,6)*(Tab_Calculs[[#This Row],[fin mois]]-MIN(Tab_Calculs[[#This Row],[fin mois]],Tab_Calculs[[#This Row],[Date_livraison]]))</f>
        <v>#VALUE!</v>
      </c>
      <c r="N541" s="231" t="str">
        <f ca="1">IFERROR(Tab_Calculs[[#This Row],[Ratio_jour_après_livr]]+Tab_Calculs[[#This Row],[Ratio_jour_avant_livr]]+Tab_Calculs[[#This Row],[ratio_avant_debut]],"")</f>
        <v/>
      </c>
      <c r="O541" t="e">
        <f ca="1">INDEX(INDIRECT(CONCATENATE("Tab_",Tab_Calculs[[#This Row],[Colonne1]])),Tab_Calculs[[#This Row],[index_date_livraison]]-1,7)*(MAX(Tab_Calculs[[#This Row],[Début periode livraison]],Tab_Calculs[[#This Row],[Début mois]])-Tab_Calculs[[#This Row],[Début mois]])</f>
        <v>#VALUE!</v>
      </c>
      <c r="P541">
        <f ca="1">INDEX(INDIRECT(CONCATENATE("Tab_",Tab_Calculs[[#This Row],[Colonne1]])),Tab_Calculs[[#This Row],[index_date_livraison]],7)*(1+MIN(Tab_Calculs[[#This Row],[Date_livraison]],Tab_Calculs[[#This Row],[fin mois]])-MAX(Tab_Calculs[[#This Row],[Début mois]],Tab_Calculs[[#This Row],[Début periode livraison]]))</f>
        <v>0</v>
      </c>
      <c r="Q541" t="e">
        <f ca="1">INDEX(INDIRECT(CONCATENATE("Tab_",Tab_Calculs[[#This Row],[Colonne1]])),Tab_Calculs[[#This Row],[index_date_livraison]]+1,7)*(Tab_Calculs[[#This Row],[fin mois]]-MIN(Tab_Calculs[[#This Row],[fin mois]],Tab_Calculs[[#This Row],[Date_livraison]]))</f>
        <v>#VALUE!</v>
      </c>
      <c r="R541" t="e">
        <f ca="1">Tab_Calculs[[#This Row],[Ratio_Cout_après_livr]]+Tab_Calculs[[#This Row],[Ratio_Cout_avant_livr]]+Tab_Calculs[[#This Row],[Ratio_Cout_avant_debut]]</f>
        <v>#VALUE!</v>
      </c>
      <c r="S541" t="str">
        <f ca="1">IFERROR(N541*VLOOKUP(Tab_Calculs[[#This Row],[Colonne1]],Controle_des_données!$B$7:$G$14,6,FALSE),"")</f>
        <v/>
      </c>
      <c r="T541" t="str">
        <f ca="1">IF(Tab_Calculs[[#This Row],[Combustible ]]="Electricité (kWh)",Tab_Calculs[[#This Row],[Conso_mois_kWh]]*2.3,Tab_Calculs[[#This Row],[Conso_mois_kWh]])</f>
        <v/>
      </c>
      <c r="U541" t="str">
        <f ca="1">IFERROR(N541*VLOOKUP(Tab_Calculs[[#This Row],[Colonne1]],Controle_des_données!$B$7:$H$14,7,FALSE),"")</f>
        <v/>
      </c>
      <c r="V541">
        <f ca="1">IFERROR(Tab_Calculs[[#This Row],[Cout_mois]]/Tab_Calculs[[#This Row],[Conso_mois_kWh]],0)</f>
        <v>0</v>
      </c>
      <c r="W541" t="str">
        <f>T(VLOOKUP(Tab_Calculs[[#This Row],[Compteur]],Site!$B$33:$G$40,3,FALSE))</f>
        <v/>
      </c>
      <c r="X541" t="str">
        <f>T(VLOOKUP(Tab_Calculs[[#This Row],[Compteur]],Site!$B$33:$G$40,4,FALSE))</f>
        <v/>
      </c>
      <c r="Y541" t="str">
        <f>T(VLOOKUP(Tab_Calculs[[#This Row],[Compteur]],Site!$B$33:$G$40,5,FALSE))</f>
        <v/>
      </c>
      <c r="Z541" t="str">
        <f>T(VLOOKUP(Tab_Calculs[[#This Row],[Compteur]],Site!$B$33:$G$40,6,FALSE))</f>
        <v/>
      </c>
      <c r="AA541">
        <f>IFERROR(GETPIVOTDATA("DJU(chauffagiste)",BDD_DJU!$P$13,"annee",Tab_Calculs[[#This Row],[ANNEE]],"mois_numero",Tab_Calculs[[#This Row],[MOIS]]),0)</f>
        <v>81.8</v>
      </c>
    </row>
    <row r="542" spans="1:27" x14ac:dyDescent="0.25">
      <c r="A542" s="3">
        <f>DATE(Tab_Calculs[[#This Row],[ANNEE]],Tab_Calculs[[#This Row],[MOIS]],1)</f>
        <v>44713</v>
      </c>
      <c r="B542" s="3">
        <f>EDATE(Tab_Calculs[[#This Row],[Début mois]],1)-1</f>
        <v>44742</v>
      </c>
      <c r="C542">
        <f t="shared" si="17"/>
        <v>6</v>
      </c>
      <c r="D542">
        <f t="shared" si="18"/>
        <v>2022</v>
      </c>
      <c r="E542" t="s">
        <v>82</v>
      </c>
      <c r="F542" t="str">
        <f>SUBSTITUTE(Tab_Calculs[[#This Row],[Compteur]]," ","_")</f>
        <v>Compteur_3</v>
      </c>
      <c r="G542" t="str">
        <f>T(INDEX(Site!$B$33:$G$40, MATCH(Tab_Calculs[[#This Row],[Compteur]], Site!$B$33:$B$40,0),2))</f>
        <v/>
      </c>
      <c r="H542" s="3">
        <f t="array" aca="1" ref="H542" ca="1">MIN(IF(INDIRECT(CONCATENATE(Tab_Calculs[[#This Row],[Colonne1]],"!$B$2:$B$243"))&gt;=Calculs_Consos!$A542,INDIRECT(CONCATENATE(Tab_Calculs[[#This Row],[Colonne1]],"!$B$2:$B$243"))))</f>
        <v>0</v>
      </c>
      <c r="I542" s="3">
        <f ca="1">INDEX(INDIRECT(CONCATENATE("Tab_",Tab_Calculs[[#This Row],[Colonne1]])),Tab_Calculs[[#This Row],[index_date_livraison]],1)</f>
        <v>0</v>
      </c>
      <c r="J542">
        <f ca="1">MATCH(Tab_Calculs[[#This Row],[Date_livraison]],INDIRECT(CONCATENATE("Tab_",Tab_Calculs[[#This Row],[Colonne1]],"[Fin de période]")),0)</f>
        <v>1</v>
      </c>
      <c r="K542" t="e">
        <f ca="1">INDEX(INDIRECT(CONCATENATE("Tab_",Tab_Calculs[[#This Row],[Colonne1]])),Tab_Calculs[[#This Row],[index_date_livraison]]-1,6)*(MAX(Tab_Calculs[[#This Row],[Début periode livraison]],Tab_Calculs[[#This Row],[Début mois]])-Tab_Calculs[[#This Row],[Début mois]])</f>
        <v>#VALUE!</v>
      </c>
      <c r="L542" s="94">
        <f ca="1">INDEX(INDIRECT(CONCATENATE("Tab_",Tab_Calculs[[#This Row],[Colonne1]])),Tab_Calculs[[#This Row],[index_date_livraison]],6)*(1+MIN(Tab_Calculs[[#This Row],[Date_livraison]],Tab_Calculs[[#This Row],[fin mois]])-MAX(Tab_Calculs[[#This Row],[Début mois]],Tab_Calculs[[#This Row],[Début periode livraison]]))</f>
        <v>0</v>
      </c>
      <c r="M542" s="94" t="e">
        <f ca="1">INDEX(INDIRECT(CONCATENATE("Tab_",Tab_Calculs[[#This Row],[Colonne1]])),Tab_Calculs[[#This Row],[index_date_livraison]]+1,6)*(Tab_Calculs[[#This Row],[fin mois]]-MIN(Tab_Calculs[[#This Row],[fin mois]],Tab_Calculs[[#This Row],[Date_livraison]]))</f>
        <v>#VALUE!</v>
      </c>
      <c r="N542" s="231" t="str">
        <f ca="1">IFERROR(Tab_Calculs[[#This Row],[Ratio_jour_après_livr]]+Tab_Calculs[[#This Row],[Ratio_jour_avant_livr]]+Tab_Calculs[[#This Row],[ratio_avant_debut]],"")</f>
        <v/>
      </c>
      <c r="O542" t="e">
        <f ca="1">INDEX(INDIRECT(CONCATENATE("Tab_",Tab_Calculs[[#This Row],[Colonne1]])),Tab_Calculs[[#This Row],[index_date_livraison]]-1,7)*(MAX(Tab_Calculs[[#This Row],[Début periode livraison]],Tab_Calculs[[#This Row],[Début mois]])-Tab_Calculs[[#This Row],[Début mois]])</f>
        <v>#VALUE!</v>
      </c>
      <c r="P542">
        <f ca="1">INDEX(INDIRECT(CONCATENATE("Tab_",Tab_Calculs[[#This Row],[Colonne1]])),Tab_Calculs[[#This Row],[index_date_livraison]],7)*(1+MIN(Tab_Calculs[[#This Row],[Date_livraison]],Tab_Calculs[[#This Row],[fin mois]])-MAX(Tab_Calculs[[#This Row],[Début mois]],Tab_Calculs[[#This Row],[Début periode livraison]]))</f>
        <v>0</v>
      </c>
      <c r="Q542" t="e">
        <f ca="1">INDEX(INDIRECT(CONCATENATE("Tab_",Tab_Calculs[[#This Row],[Colonne1]])),Tab_Calculs[[#This Row],[index_date_livraison]]+1,7)*(Tab_Calculs[[#This Row],[fin mois]]-MIN(Tab_Calculs[[#This Row],[fin mois]],Tab_Calculs[[#This Row],[Date_livraison]]))</f>
        <v>#VALUE!</v>
      </c>
      <c r="R542" t="e">
        <f ca="1">Tab_Calculs[[#This Row],[Ratio_Cout_après_livr]]+Tab_Calculs[[#This Row],[Ratio_Cout_avant_livr]]+Tab_Calculs[[#This Row],[Ratio_Cout_avant_debut]]</f>
        <v>#VALUE!</v>
      </c>
      <c r="S542" t="str">
        <f ca="1">IFERROR(N542*VLOOKUP(Tab_Calculs[[#This Row],[Colonne1]],Controle_des_données!$B$7:$G$14,6,FALSE),"")</f>
        <v/>
      </c>
      <c r="T542" t="str">
        <f ca="1">IF(Tab_Calculs[[#This Row],[Combustible ]]="Electricité (kWh)",Tab_Calculs[[#This Row],[Conso_mois_kWh]]*2.3,Tab_Calculs[[#This Row],[Conso_mois_kWh]])</f>
        <v/>
      </c>
      <c r="U542" t="str">
        <f ca="1">IFERROR(N542*VLOOKUP(Tab_Calculs[[#This Row],[Colonne1]],Controle_des_données!$B$7:$H$14,7,FALSE),"")</f>
        <v/>
      </c>
      <c r="V542">
        <f ca="1">IFERROR(Tab_Calculs[[#This Row],[Cout_mois]]/Tab_Calculs[[#This Row],[Conso_mois_kWh]],0)</f>
        <v>0</v>
      </c>
      <c r="W542" t="str">
        <f>T(VLOOKUP(Tab_Calculs[[#This Row],[Compteur]],Site!$B$33:$G$40,3,FALSE))</f>
        <v/>
      </c>
      <c r="X542" t="str">
        <f>T(VLOOKUP(Tab_Calculs[[#This Row],[Compteur]],Site!$B$33:$G$40,4,FALSE))</f>
        <v/>
      </c>
      <c r="Y542" t="str">
        <f>T(VLOOKUP(Tab_Calculs[[#This Row],[Compteur]],Site!$B$33:$G$40,5,FALSE))</f>
        <v/>
      </c>
      <c r="Z542" t="str">
        <f>T(VLOOKUP(Tab_Calculs[[#This Row],[Compteur]],Site!$B$33:$G$40,6,FALSE))</f>
        <v/>
      </c>
      <c r="AA542">
        <f>IFERROR(GETPIVOTDATA("DJU(chauffagiste)",BDD_DJU!$P$13,"annee",Tab_Calculs[[#This Row],[ANNEE]],"mois_numero",Tab_Calculs[[#This Row],[MOIS]]),0)</f>
        <v>35.5</v>
      </c>
    </row>
    <row r="543" spans="1:27" x14ac:dyDescent="0.25">
      <c r="A543" s="3">
        <f>DATE(Tab_Calculs[[#This Row],[ANNEE]],Tab_Calculs[[#This Row],[MOIS]],1)</f>
        <v>44743</v>
      </c>
      <c r="B543" s="3">
        <f>EDATE(Tab_Calculs[[#This Row],[Début mois]],1)-1</f>
        <v>44773</v>
      </c>
      <c r="C543">
        <f t="shared" si="17"/>
        <v>7</v>
      </c>
      <c r="D543">
        <f t="shared" si="18"/>
        <v>2022</v>
      </c>
      <c r="E543" t="s">
        <v>82</v>
      </c>
      <c r="F543" t="str">
        <f>SUBSTITUTE(Tab_Calculs[[#This Row],[Compteur]]," ","_")</f>
        <v>Compteur_3</v>
      </c>
      <c r="G543" t="str">
        <f>T(INDEX(Site!$B$33:$G$40, MATCH(Tab_Calculs[[#This Row],[Compteur]], Site!$B$33:$B$40,0),2))</f>
        <v/>
      </c>
      <c r="H543" s="3">
        <f t="array" aca="1" ref="H543" ca="1">MIN(IF(INDIRECT(CONCATENATE(Tab_Calculs[[#This Row],[Colonne1]],"!$B$2:$B$243"))&gt;=Calculs_Consos!$A543,INDIRECT(CONCATENATE(Tab_Calculs[[#This Row],[Colonne1]],"!$B$2:$B$243"))))</f>
        <v>0</v>
      </c>
      <c r="I543" s="3">
        <f ca="1">INDEX(INDIRECT(CONCATENATE("Tab_",Tab_Calculs[[#This Row],[Colonne1]])),Tab_Calculs[[#This Row],[index_date_livraison]],1)</f>
        <v>0</v>
      </c>
      <c r="J543">
        <f ca="1">MATCH(Tab_Calculs[[#This Row],[Date_livraison]],INDIRECT(CONCATENATE("Tab_",Tab_Calculs[[#This Row],[Colonne1]],"[Fin de période]")),0)</f>
        <v>1</v>
      </c>
      <c r="K543" t="e">
        <f ca="1">INDEX(INDIRECT(CONCATENATE("Tab_",Tab_Calculs[[#This Row],[Colonne1]])),Tab_Calculs[[#This Row],[index_date_livraison]]-1,6)*(MAX(Tab_Calculs[[#This Row],[Début periode livraison]],Tab_Calculs[[#This Row],[Début mois]])-Tab_Calculs[[#This Row],[Début mois]])</f>
        <v>#VALUE!</v>
      </c>
      <c r="L543" s="94">
        <f ca="1">INDEX(INDIRECT(CONCATENATE("Tab_",Tab_Calculs[[#This Row],[Colonne1]])),Tab_Calculs[[#This Row],[index_date_livraison]],6)*(1+MIN(Tab_Calculs[[#This Row],[Date_livraison]],Tab_Calculs[[#This Row],[fin mois]])-MAX(Tab_Calculs[[#This Row],[Début mois]],Tab_Calculs[[#This Row],[Début periode livraison]]))</f>
        <v>0</v>
      </c>
      <c r="M543" s="94" t="e">
        <f ca="1">INDEX(INDIRECT(CONCATENATE("Tab_",Tab_Calculs[[#This Row],[Colonne1]])),Tab_Calculs[[#This Row],[index_date_livraison]]+1,6)*(Tab_Calculs[[#This Row],[fin mois]]-MIN(Tab_Calculs[[#This Row],[fin mois]],Tab_Calculs[[#This Row],[Date_livraison]]))</f>
        <v>#VALUE!</v>
      </c>
      <c r="N543" s="231" t="str">
        <f ca="1">IFERROR(Tab_Calculs[[#This Row],[Ratio_jour_après_livr]]+Tab_Calculs[[#This Row],[Ratio_jour_avant_livr]]+Tab_Calculs[[#This Row],[ratio_avant_debut]],"")</f>
        <v/>
      </c>
      <c r="O543" t="e">
        <f ca="1">INDEX(INDIRECT(CONCATENATE("Tab_",Tab_Calculs[[#This Row],[Colonne1]])),Tab_Calculs[[#This Row],[index_date_livraison]]-1,7)*(MAX(Tab_Calculs[[#This Row],[Début periode livraison]],Tab_Calculs[[#This Row],[Début mois]])-Tab_Calculs[[#This Row],[Début mois]])</f>
        <v>#VALUE!</v>
      </c>
      <c r="P543">
        <f ca="1">INDEX(INDIRECT(CONCATENATE("Tab_",Tab_Calculs[[#This Row],[Colonne1]])),Tab_Calculs[[#This Row],[index_date_livraison]],7)*(1+MIN(Tab_Calculs[[#This Row],[Date_livraison]],Tab_Calculs[[#This Row],[fin mois]])-MAX(Tab_Calculs[[#This Row],[Début mois]],Tab_Calculs[[#This Row],[Début periode livraison]]))</f>
        <v>0</v>
      </c>
      <c r="Q543" t="e">
        <f ca="1">INDEX(INDIRECT(CONCATENATE("Tab_",Tab_Calculs[[#This Row],[Colonne1]])),Tab_Calculs[[#This Row],[index_date_livraison]]+1,7)*(Tab_Calculs[[#This Row],[fin mois]]-MIN(Tab_Calculs[[#This Row],[fin mois]],Tab_Calculs[[#This Row],[Date_livraison]]))</f>
        <v>#VALUE!</v>
      </c>
      <c r="R543" t="e">
        <f ca="1">Tab_Calculs[[#This Row],[Ratio_Cout_après_livr]]+Tab_Calculs[[#This Row],[Ratio_Cout_avant_livr]]+Tab_Calculs[[#This Row],[Ratio_Cout_avant_debut]]</f>
        <v>#VALUE!</v>
      </c>
      <c r="S543" t="str">
        <f ca="1">IFERROR(N543*VLOOKUP(Tab_Calculs[[#This Row],[Colonne1]],Controle_des_données!$B$7:$G$14,6,FALSE),"")</f>
        <v/>
      </c>
      <c r="T543" t="str">
        <f ca="1">IF(Tab_Calculs[[#This Row],[Combustible ]]="Electricité (kWh)",Tab_Calculs[[#This Row],[Conso_mois_kWh]]*2.3,Tab_Calculs[[#This Row],[Conso_mois_kWh]])</f>
        <v/>
      </c>
      <c r="U543" t="str">
        <f ca="1">IFERROR(N543*VLOOKUP(Tab_Calculs[[#This Row],[Colonne1]],Controle_des_données!$B$7:$H$14,7,FALSE),"")</f>
        <v/>
      </c>
      <c r="V543">
        <f ca="1">IFERROR(Tab_Calculs[[#This Row],[Cout_mois]]/Tab_Calculs[[#This Row],[Conso_mois_kWh]],0)</f>
        <v>0</v>
      </c>
      <c r="W543" t="str">
        <f>T(VLOOKUP(Tab_Calculs[[#This Row],[Compteur]],Site!$B$33:$G$40,3,FALSE))</f>
        <v/>
      </c>
      <c r="X543" t="str">
        <f>T(VLOOKUP(Tab_Calculs[[#This Row],[Compteur]],Site!$B$33:$G$40,4,FALSE))</f>
        <v/>
      </c>
      <c r="Y543" t="str">
        <f>T(VLOOKUP(Tab_Calculs[[#This Row],[Compteur]],Site!$B$33:$G$40,5,FALSE))</f>
        <v/>
      </c>
      <c r="Z543" t="str">
        <f>T(VLOOKUP(Tab_Calculs[[#This Row],[Compteur]],Site!$B$33:$G$40,6,FALSE))</f>
        <v/>
      </c>
      <c r="AA543">
        <f>IFERROR(GETPIVOTDATA("DJU(chauffagiste)",BDD_DJU!$P$13,"annee",Tab_Calculs[[#This Row],[ANNEE]],"mois_numero",Tab_Calculs[[#This Row],[MOIS]]),0)</f>
        <v>18.8</v>
      </c>
    </row>
    <row r="544" spans="1:27" x14ac:dyDescent="0.25">
      <c r="A544" s="3">
        <f>DATE(Tab_Calculs[[#This Row],[ANNEE]],Tab_Calculs[[#This Row],[MOIS]],1)</f>
        <v>44774</v>
      </c>
      <c r="B544" s="3">
        <f>EDATE(Tab_Calculs[[#This Row],[Début mois]],1)-1</f>
        <v>44804</v>
      </c>
      <c r="C544">
        <f t="shared" si="17"/>
        <v>8</v>
      </c>
      <c r="D544">
        <f t="shared" si="18"/>
        <v>2022</v>
      </c>
      <c r="E544" t="s">
        <v>82</v>
      </c>
      <c r="F544" t="str">
        <f>SUBSTITUTE(Tab_Calculs[[#This Row],[Compteur]]," ","_")</f>
        <v>Compteur_3</v>
      </c>
      <c r="G544" t="str">
        <f>T(INDEX(Site!$B$33:$G$40, MATCH(Tab_Calculs[[#This Row],[Compteur]], Site!$B$33:$B$40,0),2))</f>
        <v/>
      </c>
      <c r="H544" s="3">
        <f t="array" aca="1" ref="H544" ca="1">MIN(IF(INDIRECT(CONCATENATE(Tab_Calculs[[#This Row],[Colonne1]],"!$B$2:$B$243"))&gt;=Calculs_Consos!$A544,INDIRECT(CONCATENATE(Tab_Calculs[[#This Row],[Colonne1]],"!$B$2:$B$243"))))</f>
        <v>0</v>
      </c>
      <c r="I544" s="3">
        <f ca="1">INDEX(INDIRECT(CONCATENATE("Tab_",Tab_Calculs[[#This Row],[Colonne1]])),Tab_Calculs[[#This Row],[index_date_livraison]],1)</f>
        <v>0</v>
      </c>
      <c r="J544">
        <f ca="1">MATCH(Tab_Calculs[[#This Row],[Date_livraison]],INDIRECT(CONCATENATE("Tab_",Tab_Calculs[[#This Row],[Colonne1]],"[Fin de période]")),0)</f>
        <v>1</v>
      </c>
      <c r="K544" t="e">
        <f ca="1">INDEX(INDIRECT(CONCATENATE("Tab_",Tab_Calculs[[#This Row],[Colonne1]])),Tab_Calculs[[#This Row],[index_date_livraison]]-1,6)*(MAX(Tab_Calculs[[#This Row],[Début periode livraison]],Tab_Calculs[[#This Row],[Début mois]])-Tab_Calculs[[#This Row],[Début mois]])</f>
        <v>#VALUE!</v>
      </c>
      <c r="L544" s="94">
        <f ca="1">INDEX(INDIRECT(CONCATENATE("Tab_",Tab_Calculs[[#This Row],[Colonne1]])),Tab_Calculs[[#This Row],[index_date_livraison]],6)*(1+MIN(Tab_Calculs[[#This Row],[Date_livraison]],Tab_Calculs[[#This Row],[fin mois]])-MAX(Tab_Calculs[[#This Row],[Début mois]],Tab_Calculs[[#This Row],[Début periode livraison]]))</f>
        <v>0</v>
      </c>
      <c r="M544" s="94" t="e">
        <f ca="1">INDEX(INDIRECT(CONCATENATE("Tab_",Tab_Calculs[[#This Row],[Colonne1]])),Tab_Calculs[[#This Row],[index_date_livraison]]+1,6)*(Tab_Calculs[[#This Row],[fin mois]]-MIN(Tab_Calculs[[#This Row],[fin mois]],Tab_Calculs[[#This Row],[Date_livraison]]))</f>
        <v>#VALUE!</v>
      </c>
      <c r="N544" s="231" t="str">
        <f ca="1">IFERROR(Tab_Calculs[[#This Row],[Ratio_jour_après_livr]]+Tab_Calculs[[#This Row],[Ratio_jour_avant_livr]]+Tab_Calculs[[#This Row],[ratio_avant_debut]],"")</f>
        <v/>
      </c>
      <c r="O544" t="e">
        <f ca="1">INDEX(INDIRECT(CONCATENATE("Tab_",Tab_Calculs[[#This Row],[Colonne1]])),Tab_Calculs[[#This Row],[index_date_livraison]]-1,7)*(MAX(Tab_Calculs[[#This Row],[Début periode livraison]],Tab_Calculs[[#This Row],[Début mois]])-Tab_Calculs[[#This Row],[Début mois]])</f>
        <v>#VALUE!</v>
      </c>
      <c r="P544">
        <f ca="1">INDEX(INDIRECT(CONCATENATE("Tab_",Tab_Calculs[[#This Row],[Colonne1]])),Tab_Calculs[[#This Row],[index_date_livraison]],7)*(1+MIN(Tab_Calculs[[#This Row],[Date_livraison]],Tab_Calculs[[#This Row],[fin mois]])-MAX(Tab_Calculs[[#This Row],[Début mois]],Tab_Calculs[[#This Row],[Début periode livraison]]))</f>
        <v>0</v>
      </c>
      <c r="Q544" t="e">
        <f ca="1">INDEX(INDIRECT(CONCATENATE("Tab_",Tab_Calculs[[#This Row],[Colonne1]])),Tab_Calculs[[#This Row],[index_date_livraison]]+1,7)*(Tab_Calculs[[#This Row],[fin mois]]-MIN(Tab_Calculs[[#This Row],[fin mois]],Tab_Calculs[[#This Row],[Date_livraison]]))</f>
        <v>#VALUE!</v>
      </c>
      <c r="R544" t="e">
        <f ca="1">Tab_Calculs[[#This Row],[Ratio_Cout_après_livr]]+Tab_Calculs[[#This Row],[Ratio_Cout_avant_livr]]+Tab_Calculs[[#This Row],[Ratio_Cout_avant_debut]]</f>
        <v>#VALUE!</v>
      </c>
      <c r="S544" t="str">
        <f ca="1">IFERROR(N544*VLOOKUP(Tab_Calculs[[#This Row],[Colonne1]],Controle_des_données!$B$7:$G$14,6,FALSE),"")</f>
        <v/>
      </c>
      <c r="T544" t="str">
        <f ca="1">IF(Tab_Calculs[[#This Row],[Combustible ]]="Electricité (kWh)",Tab_Calculs[[#This Row],[Conso_mois_kWh]]*2.3,Tab_Calculs[[#This Row],[Conso_mois_kWh]])</f>
        <v/>
      </c>
      <c r="U544" t="str">
        <f ca="1">IFERROR(N544*VLOOKUP(Tab_Calculs[[#This Row],[Colonne1]],Controle_des_données!$B$7:$H$14,7,FALSE),"")</f>
        <v/>
      </c>
      <c r="V544">
        <f ca="1">IFERROR(Tab_Calculs[[#This Row],[Cout_mois]]/Tab_Calculs[[#This Row],[Conso_mois_kWh]],0)</f>
        <v>0</v>
      </c>
      <c r="W544" t="str">
        <f>T(VLOOKUP(Tab_Calculs[[#This Row],[Compteur]],Site!$B$33:$G$40,3,FALSE))</f>
        <v/>
      </c>
      <c r="X544" t="str">
        <f>T(VLOOKUP(Tab_Calculs[[#This Row],[Compteur]],Site!$B$33:$G$40,4,FALSE))</f>
        <v/>
      </c>
      <c r="Y544" t="str">
        <f>T(VLOOKUP(Tab_Calculs[[#This Row],[Compteur]],Site!$B$33:$G$40,5,FALSE))</f>
        <v/>
      </c>
      <c r="Z544" t="str">
        <f>T(VLOOKUP(Tab_Calculs[[#This Row],[Compteur]],Site!$B$33:$G$40,6,FALSE))</f>
        <v/>
      </c>
      <c r="AA544">
        <f>IFERROR(GETPIVOTDATA("DJU(chauffagiste)",BDD_DJU!$P$13,"annee",Tab_Calculs[[#This Row],[ANNEE]],"mois_numero",Tab_Calculs[[#This Row],[MOIS]]),0)</f>
        <v>10.7</v>
      </c>
    </row>
    <row r="545" spans="1:27" x14ac:dyDescent="0.25">
      <c r="A545" s="3">
        <f>DATE(Tab_Calculs[[#This Row],[ANNEE]],Tab_Calculs[[#This Row],[MOIS]],1)</f>
        <v>44805</v>
      </c>
      <c r="B545" s="3">
        <f>EDATE(Tab_Calculs[[#This Row],[Début mois]],1)-1</f>
        <v>44834</v>
      </c>
      <c r="C545">
        <f t="shared" si="17"/>
        <v>9</v>
      </c>
      <c r="D545">
        <f t="shared" si="18"/>
        <v>2022</v>
      </c>
      <c r="E545" t="s">
        <v>82</v>
      </c>
      <c r="F545" t="str">
        <f>SUBSTITUTE(Tab_Calculs[[#This Row],[Compteur]]," ","_")</f>
        <v>Compteur_3</v>
      </c>
      <c r="G545" t="str">
        <f>T(INDEX(Site!$B$33:$G$40, MATCH(Tab_Calculs[[#This Row],[Compteur]], Site!$B$33:$B$40,0),2))</f>
        <v/>
      </c>
      <c r="H545" s="3">
        <f t="array" aca="1" ref="H545" ca="1">MIN(IF(INDIRECT(CONCATENATE(Tab_Calculs[[#This Row],[Colonne1]],"!$B$2:$B$243"))&gt;=Calculs_Consos!$A545,INDIRECT(CONCATENATE(Tab_Calculs[[#This Row],[Colonne1]],"!$B$2:$B$243"))))</f>
        <v>0</v>
      </c>
      <c r="I545" s="3">
        <f ca="1">INDEX(INDIRECT(CONCATENATE("Tab_",Tab_Calculs[[#This Row],[Colonne1]])),Tab_Calculs[[#This Row],[index_date_livraison]],1)</f>
        <v>0</v>
      </c>
      <c r="J545">
        <f ca="1">MATCH(Tab_Calculs[[#This Row],[Date_livraison]],INDIRECT(CONCATENATE("Tab_",Tab_Calculs[[#This Row],[Colonne1]],"[Fin de période]")),0)</f>
        <v>1</v>
      </c>
      <c r="K545" t="e">
        <f ca="1">INDEX(INDIRECT(CONCATENATE("Tab_",Tab_Calculs[[#This Row],[Colonne1]])),Tab_Calculs[[#This Row],[index_date_livraison]]-1,6)*(MAX(Tab_Calculs[[#This Row],[Début periode livraison]],Tab_Calculs[[#This Row],[Début mois]])-Tab_Calculs[[#This Row],[Début mois]])</f>
        <v>#VALUE!</v>
      </c>
      <c r="L545" s="94">
        <f ca="1">INDEX(INDIRECT(CONCATENATE("Tab_",Tab_Calculs[[#This Row],[Colonne1]])),Tab_Calculs[[#This Row],[index_date_livraison]],6)*(1+MIN(Tab_Calculs[[#This Row],[Date_livraison]],Tab_Calculs[[#This Row],[fin mois]])-MAX(Tab_Calculs[[#This Row],[Début mois]],Tab_Calculs[[#This Row],[Début periode livraison]]))</f>
        <v>0</v>
      </c>
      <c r="M545" s="94" t="e">
        <f ca="1">INDEX(INDIRECT(CONCATENATE("Tab_",Tab_Calculs[[#This Row],[Colonne1]])),Tab_Calculs[[#This Row],[index_date_livraison]]+1,6)*(Tab_Calculs[[#This Row],[fin mois]]-MIN(Tab_Calculs[[#This Row],[fin mois]],Tab_Calculs[[#This Row],[Date_livraison]]))</f>
        <v>#VALUE!</v>
      </c>
      <c r="N545" s="231" t="str">
        <f ca="1">IFERROR(Tab_Calculs[[#This Row],[Ratio_jour_après_livr]]+Tab_Calculs[[#This Row],[Ratio_jour_avant_livr]]+Tab_Calculs[[#This Row],[ratio_avant_debut]],"")</f>
        <v/>
      </c>
      <c r="O545" t="e">
        <f ca="1">INDEX(INDIRECT(CONCATENATE("Tab_",Tab_Calculs[[#This Row],[Colonne1]])),Tab_Calculs[[#This Row],[index_date_livraison]]-1,7)*(MAX(Tab_Calculs[[#This Row],[Début periode livraison]],Tab_Calculs[[#This Row],[Début mois]])-Tab_Calculs[[#This Row],[Début mois]])</f>
        <v>#VALUE!</v>
      </c>
      <c r="P545">
        <f ca="1">INDEX(INDIRECT(CONCATENATE("Tab_",Tab_Calculs[[#This Row],[Colonne1]])),Tab_Calculs[[#This Row],[index_date_livraison]],7)*(1+MIN(Tab_Calculs[[#This Row],[Date_livraison]],Tab_Calculs[[#This Row],[fin mois]])-MAX(Tab_Calculs[[#This Row],[Début mois]],Tab_Calculs[[#This Row],[Début periode livraison]]))</f>
        <v>0</v>
      </c>
      <c r="Q545" t="e">
        <f ca="1">INDEX(INDIRECT(CONCATENATE("Tab_",Tab_Calculs[[#This Row],[Colonne1]])),Tab_Calculs[[#This Row],[index_date_livraison]]+1,7)*(Tab_Calculs[[#This Row],[fin mois]]-MIN(Tab_Calculs[[#This Row],[fin mois]],Tab_Calculs[[#This Row],[Date_livraison]]))</f>
        <v>#VALUE!</v>
      </c>
      <c r="R545" t="e">
        <f ca="1">Tab_Calculs[[#This Row],[Ratio_Cout_après_livr]]+Tab_Calculs[[#This Row],[Ratio_Cout_avant_livr]]+Tab_Calculs[[#This Row],[Ratio_Cout_avant_debut]]</f>
        <v>#VALUE!</v>
      </c>
      <c r="S545" t="str">
        <f ca="1">IFERROR(N545*VLOOKUP(Tab_Calculs[[#This Row],[Colonne1]],Controle_des_données!$B$7:$G$14,6,FALSE),"")</f>
        <v/>
      </c>
      <c r="T545" t="str">
        <f ca="1">IF(Tab_Calculs[[#This Row],[Combustible ]]="Electricité (kWh)",Tab_Calculs[[#This Row],[Conso_mois_kWh]]*2.3,Tab_Calculs[[#This Row],[Conso_mois_kWh]])</f>
        <v/>
      </c>
      <c r="U545" t="str">
        <f ca="1">IFERROR(N545*VLOOKUP(Tab_Calculs[[#This Row],[Colonne1]],Controle_des_données!$B$7:$H$14,7,FALSE),"")</f>
        <v/>
      </c>
      <c r="V545">
        <f ca="1">IFERROR(Tab_Calculs[[#This Row],[Cout_mois]]/Tab_Calculs[[#This Row],[Conso_mois_kWh]],0)</f>
        <v>0</v>
      </c>
      <c r="W545" t="str">
        <f>T(VLOOKUP(Tab_Calculs[[#This Row],[Compteur]],Site!$B$33:$G$40,3,FALSE))</f>
        <v/>
      </c>
      <c r="X545" t="str">
        <f>T(VLOOKUP(Tab_Calculs[[#This Row],[Compteur]],Site!$B$33:$G$40,4,FALSE))</f>
        <v/>
      </c>
      <c r="Y545" t="str">
        <f>T(VLOOKUP(Tab_Calculs[[#This Row],[Compteur]],Site!$B$33:$G$40,5,FALSE))</f>
        <v/>
      </c>
      <c r="Z545" t="str">
        <f>T(VLOOKUP(Tab_Calculs[[#This Row],[Compteur]],Site!$B$33:$G$40,6,FALSE))</f>
        <v/>
      </c>
      <c r="AA545">
        <f>IFERROR(GETPIVOTDATA("DJU(chauffagiste)",BDD_DJU!$P$13,"annee",Tab_Calculs[[#This Row],[ANNEE]],"mois_numero",Tab_Calculs[[#This Row],[MOIS]]),0)</f>
        <v>74.7</v>
      </c>
    </row>
    <row r="546" spans="1:27" x14ac:dyDescent="0.25">
      <c r="A546" s="3">
        <f>DATE(Tab_Calculs[[#This Row],[ANNEE]],Tab_Calculs[[#This Row],[MOIS]],1)</f>
        <v>44835</v>
      </c>
      <c r="B546" s="3">
        <f>EDATE(Tab_Calculs[[#This Row],[Début mois]],1)-1</f>
        <v>44865</v>
      </c>
      <c r="C546">
        <f t="shared" si="17"/>
        <v>10</v>
      </c>
      <c r="D546">
        <f t="shared" si="18"/>
        <v>2022</v>
      </c>
      <c r="E546" t="s">
        <v>82</v>
      </c>
      <c r="F546" t="str">
        <f>SUBSTITUTE(Tab_Calculs[[#This Row],[Compteur]]," ","_")</f>
        <v>Compteur_3</v>
      </c>
      <c r="G546" t="str">
        <f>T(INDEX(Site!$B$33:$G$40, MATCH(Tab_Calculs[[#This Row],[Compteur]], Site!$B$33:$B$40,0),2))</f>
        <v/>
      </c>
      <c r="H546" s="3">
        <f t="array" aca="1" ref="H546" ca="1">MIN(IF(INDIRECT(CONCATENATE(Tab_Calculs[[#This Row],[Colonne1]],"!$B$2:$B$243"))&gt;=Calculs_Consos!$A546,INDIRECT(CONCATENATE(Tab_Calculs[[#This Row],[Colonne1]],"!$B$2:$B$243"))))</f>
        <v>0</v>
      </c>
      <c r="I546" s="3">
        <f ca="1">INDEX(INDIRECT(CONCATENATE("Tab_",Tab_Calculs[[#This Row],[Colonne1]])),Tab_Calculs[[#This Row],[index_date_livraison]],1)</f>
        <v>0</v>
      </c>
      <c r="J546">
        <f ca="1">MATCH(Tab_Calculs[[#This Row],[Date_livraison]],INDIRECT(CONCATENATE("Tab_",Tab_Calculs[[#This Row],[Colonne1]],"[Fin de période]")),0)</f>
        <v>1</v>
      </c>
      <c r="K546" t="e">
        <f ca="1">INDEX(INDIRECT(CONCATENATE("Tab_",Tab_Calculs[[#This Row],[Colonne1]])),Tab_Calculs[[#This Row],[index_date_livraison]]-1,6)*(MAX(Tab_Calculs[[#This Row],[Début periode livraison]],Tab_Calculs[[#This Row],[Début mois]])-Tab_Calculs[[#This Row],[Début mois]])</f>
        <v>#VALUE!</v>
      </c>
      <c r="L546" s="94">
        <f ca="1">INDEX(INDIRECT(CONCATENATE("Tab_",Tab_Calculs[[#This Row],[Colonne1]])),Tab_Calculs[[#This Row],[index_date_livraison]],6)*(1+MIN(Tab_Calculs[[#This Row],[Date_livraison]],Tab_Calculs[[#This Row],[fin mois]])-MAX(Tab_Calculs[[#This Row],[Début mois]],Tab_Calculs[[#This Row],[Début periode livraison]]))</f>
        <v>0</v>
      </c>
      <c r="M546" s="94" t="e">
        <f ca="1">INDEX(INDIRECT(CONCATENATE("Tab_",Tab_Calculs[[#This Row],[Colonne1]])),Tab_Calculs[[#This Row],[index_date_livraison]]+1,6)*(Tab_Calculs[[#This Row],[fin mois]]-MIN(Tab_Calculs[[#This Row],[fin mois]],Tab_Calculs[[#This Row],[Date_livraison]]))</f>
        <v>#VALUE!</v>
      </c>
      <c r="N546" s="231" t="str">
        <f ca="1">IFERROR(Tab_Calculs[[#This Row],[Ratio_jour_après_livr]]+Tab_Calculs[[#This Row],[Ratio_jour_avant_livr]]+Tab_Calculs[[#This Row],[ratio_avant_debut]],"")</f>
        <v/>
      </c>
      <c r="O546" t="e">
        <f ca="1">INDEX(INDIRECT(CONCATENATE("Tab_",Tab_Calculs[[#This Row],[Colonne1]])),Tab_Calculs[[#This Row],[index_date_livraison]]-1,7)*(MAX(Tab_Calculs[[#This Row],[Début periode livraison]],Tab_Calculs[[#This Row],[Début mois]])-Tab_Calculs[[#This Row],[Début mois]])</f>
        <v>#VALUE!</v>
      </c>
      <c r="P546">
        <f ca="1">INDEX(INDIRECT(CONCATENATE("Tab_",Tab_Calculs[[#This Row],[Colonne1]])),Tab_Calculs[[#This Row],[index_date_livraison]],7)*(1+MIN(Tab_Calculs[[#This Row],[Date_livraison]],Tab_Calculs[[#This Row],[fin mois]])-MAX(Tab_Calculs[[#This Row],[Début mois]],Tab_Calculs[[#This Row],[Début periode livraison]]))</f>
        <v>0</v>
      </c>
      <c r="Q546" t="e">
        <f ca="1">INDEX(INDIRECT(CONCATENATE("Tab_",Tab_Calculs[[#This Row],[Colonne1]])),Tab_Calculs[[#This Row],[index_date_livraison]]+1,7)*(Tab_Calculs[[#This Row],[fin mois]]-MIN(Tab_Calculs[[#This Row],[fin mois]],Tab_Calculs[[#This Row],[Date_livraison]]))</f>
        <v>#VALUE!</v>
      </c>
      <c r="R546" t="e">
        <f ca="1">Tab_Calculs[[#This Row],[Ratio_Cout_après_livr]]+Tab_Calculs[[#This Row],[Ratio_Cout_avant_livr]]+Tab_Calculs[[#This Row],[Ratio_Cout_avant_debut]]</f>
        <v>#VALUE!</v>
      </c>
      <c r="S546" t="str">
        <f ca="1">IFERROR(N546*VLOOKUP(Tab_Calculs[[#This Row],[Colonne1]],Controle_des_données!$B$7:$G$14,6,FALSE),"")</f>
        <v/>
      </c>
      <c r="T546" t="str">
        <f ca="1">IF(Tab_Calculs[[#This Row],[Combustible ]]="Electricité (kWh)",Tab_Calculs[[#This Row],[Conso_mois_kWh]]*2.3,Tab_Calculs[[#This Row],[Conso_mois_kWh]])</f>
        <v/>
      </c>
      <c r="U546" t="str">
        <f ca="1">IFERROR(N546*VLOOKUP(Tab_Calculs[[#This Row],[Colonne1]],Controle_des_données!$B$7:$H$14,7,FALSE),"")</f>
        <v/>
      </c>
      <c r="V546">
        <f ca="1">IFERROR(Tab_Calculs[[#This Row],[Cout_mois]]/Tab_Calculs[[#This Row],[Conso_mois_kWh]],0)</f>
        <v>0</v>
      </c>
      <c r="W546" t="str">
        <f>T(VLOOKUP(Tab_Calculs[[#This Row],[Compteur]],Site!$B$33:$G$40,3,FALSE))</f>
        <v/>
      </c>
      <c r="X546" t="str">
        <f>T(VLOOKUP(Tab_Calculs[[#This Row],[Compteur]],Site!$B$33:$G$40,4,FALSE))</f>
        <v/>
      </c>
      <c r="Y546" t="str">
        <f>T(VLOOKUP(Tab_Calculs[[#This Row],[Compteur]],Site!$B$33:$G$40,5,FALSE))</f>
        <v/>
      </c>
      <c r="Z546" t="str">
        <f>T(VLOOKUP(Tab_Calculs[[#This Row],[Compteur]],Site!$B$33:$G$40,6,FALSE))</f>
        <v/>
      </c>
      <c r="AA546">
        <f>IFERROR(GETPIVOTDATA("DJU(chauffagiste)",BDD_DJU!$P$13,"annee",Tab_Calculs[[#This Row],[ANNEE]],"mois_numero",Tab_Calculs[[#This Row],[MOIS]]),0)</f>
        <v>73</v>
      </c>
    </row>
    <row r="547" spans="1:27" x14ac:dyDescent="0.25">
      <c r="A547" s="3">
        <f>DATE(Tab_Calculs[[#This Row],[ANNEE]],Tab_Calculs[[#This Row],[MOIS]],1)</f>
        <v>44866</v>
      </c>
      <c r="B547" s="3">
        <f>EDATE(Tab_Calculs[[#This Row],[Début mois]],1)-1</f>
        <v>44895</v>
      </c>
      <c r="C547">
        <f t="shared" si="17"/>
        <v>11</v>
      </c>
      <c r="D547">
        <f t="shared" si="18"/>
        <v>2022</v>
      </c>
      <c r="E547" t="s">
        <v>82</v>
      </c>
      <c r="F547" t="str">
        <f>SUBSTITUTE(Tab_Calculs[[#This Row],[Compteur]]," ","_")</f>
        <v>Compteur_3</v>
      </c>
      <c r="G547" t="str">
        <f>T(INDEX(Site!$B$33:$G$40, MATCH(Tab_Calculs[[#This Row],[Compteur]], Site!$B$33:$B$40,0),2))</f>
        <v/>
      </c>
      <c r="H547" s="3">
        <f t="array" aca="1" ref="H547" ca="1">MIN(IF(INDIRECT(CONCATENATE(Tab_Calculs[[#This Row],[Colonne1]],"!$B$2:$B$243"))&gt;=Calculs_Consos!$A547,INDIRECT(CONCATENATE(Tab_Calculs[[#This Row],[Colonne1]],"!$B$2:$B$243"))))</f>
        <v>0</v>
      </c>
      <c r="I547" s="3">
        <f ca="1">INDEX(INDIRECT(CONCATENATE("Tab_",Tab_Calculs[[#This Row],[Colonne1]])),Tab_Calculs[[#This Row],[index_date_livraison]],1)</f>
        <v>0</v>
      </c>
      <c r="J547">
        <f ca="1">MATCH(Tab_Calculs[[#This Row],[Date_livraison]],INDIRECT(CONCATENATE("Tab_",Tab_Calculs[[#This Row],[Colonne1]],"[Fin de période]")),0)</f>
        <v>1</v>
      </c>
      <c r="K547" t="e">
        <f ca="1">INDEX(INDIRECT(CONCATENATE("Tab_",Tab_Calculs[[#This Row],[Colonne1]])),Tab_Calculs[[#This Row],[index_date_livraison]]-1,6)*(MAX(Tab_Calculs[[#This Row],[Début periode livraison]],Tab_Calculs[[#This Row],[Début mois]])-Tab_Calculs[[#This Row],[Début mois]])</f>
        <v>#VALUE!</v>
      </c>
      <c r="L547" s="94">
        <f ca="1">INDEX(INDIRECT(CONCATENATE("Tab_",Tab_Calculs[[#This Row],[Colonne1]])),Tab_Calculs[[#This Row],[index_date_livraison]],6)*(1+MIN(Tab_Calculs[[#This Row],[Date_livraison]],Tab_Calculs[[#This Row],[fin mois]])-MAX(Tab_Calculs[[#This Row],[Début mois]],Tab_Calculs[[#This Row],[Début periode livraison]]))</f>
        <v>0</v>
      </c>
      <c r="M547" s="94" t="e">
        <f ca="1">INDEX(INDIRECT(CONCATENATE("Tab_",Tab_Calculs[[#This Row],[Colonne1]])),Tab_Calculs[[#This Row],[index_date_livraison]]+1,6)*(Tab_Calculs[[#This Row],[fin mois]]-MIN(Tab_Calculs[[#This Row],[fin mois]],Tab_Calculs[[#This Row],[Date_livraison]]))</f>
        <v>#VALUE!</v>
      </c>
      <c r="N547" s="231" t="str">
        <f ca="1">IFERROR(Tab_Calculs[[#This Row],[Ratio_jour_après_livr]]+Tab_Calculs[[#This Row],[Ratio_jour_avant_livr]]+Tab_Calculs[[#This Row],[ratio_avant_debut]],"")</f>
        <v/>
      </c>
      <c r="O547" t="e">
        <f ca="1">INDEX(INDIRECT(CONCATENATE("Tab_",Tab_Calculs[[#This Row],[Colonne1]])),Tab_Calculs[[#This Row],[index_date_livraison]]-1,7)*(MAX(Tab_Calculs[[#This Row],[Début periode livraison]],Tab_Calculs[[#This Row],[Début mois]])-Tab_Calculs[[#This Row],[Début mois]])</f>
        <v>#VALUE!</v>
      </c>
      <c r="P547">
        <f ca="1">INDEX(INDIRECT(CONCATENATE("Tab_",Tab_Calculs[[#This Row],[Colonne1]])),Tab_Calculs[[#This Row],[index_date_livraison]],7)*(1+MIN(Tab_Calculs[[#This Row],[Date_livraison]],Tab_Calculs[[#This Row],[fin mois]])-MAX(Tab_Calculs[[#This Row],[Début mois]],Tab_Calculs[[#This Row],[Début periode livraison]]))</f>
        <v>0</v>
      </c>
      <c r="Q547" t="e">
        <f ca="1">INDEX(INDIRECT(CONCATENATE("Tab_",Tab_Calculs[[#This Row],[Colonne1]])),Tab_Calculs[[#This Row],[index_date_livraison]]+1,7)*(Tab_Calculs[[#This Row],[fin mois]]-MIN(Tab_Calculs[[#This Row],[fin mois]],Tab_Calculs[[#This Row],[Date_livraison]]))</f>
        <v>#VALUE!</v>
      </c>
      <c r="R547" t="e">
        <f ca="1">Tab_Calculs[[#This Row],[Ratio_Cout_après_livr]]+Tab_Calculs[[#This Row],[Ratio_Cout_avant_livr]]+Tab_Calculs[[#This Row],[Ratio_Cout_avant_debut]]</f>
        <v>#VALUE!</v>
      </c>
      <c r="S547" t="str">
        <f ca="1">IFERROR(N547*VLOOKUP(Tab_Calculs[[#This Row],[Colonne1]],Controle_des_données!$B$7:$G$14,6,FALSE),"")</f>
        <v/>
      </c>
      <c r="T547" t="str">
        <f ca="1">IF(Tab_Calculs[[#This Row],[Combustible ]]="Electricité (kWh)",Tab_Calculs[[#This Row],[Conso_mois_kWh]]*2.3,Tab_Calculs[[#This Row],[Conso_mois_kWh]])</f>
        <v/>
      </c>
      <c r="U547" t="str">
        <f ca="1">IFERROR(N547*VLOOKUP(Tab_Calculs[[#This Row],[Colonne1]],Controle_des_données!$B$7:$H$14,7,FALSE),"")</f>
        <v/>
      </c>
      <c r="V547">
        <f ca="1">IFERROR(Tab_Calculs[[#This Row],[Cout_mois]]/Tab_Calculs[[#This Row],[Conso_mois_kWh]],0)</f>
        <v>0</v>
      </c>
      <c r="W547" t="str">
        <f>T(VLOOKUP(Tab_Calculs[[#This Row],[Compteur]],Site!$B$33:$G$40,3,FALSE))</f>
        <v/>
      </c>
      <c r="X547" t="str">
        <f>T(VLOOKUP(Tab_Calculs[[#This Row],[Compteur]],Site!$B$33:$G$40,4,FALSE))</f>
        <v/>
      </c>
      <c r="Y547" t="str">
        <f>T(VLOOKUP(Tab_Calculs[[#This Row],[Compteur]],Site!$B$33:$G$40,5,FALSE))</f>
        <v/>
      </c>
      <c r="Z547" t="str">
        <f>T(VLOOKUP(Tab_Calculs[[#This Row],[Compteur]],Site!$B$33:$G$40,6,FALSE))</f>
        <v/>
      </c>
      <c r="AA547">
        <f>IFERROR(GETPIVOTDATA("DJU(chauffagiste)",BDD_DJU!$P$13,"annee",Tab_Calculs[[#This Row],[ANNEE]],"mois_numero",Tab_Calculs[[#This Row],[MOIS]]),0)</f>
        <v>227.5</v>
      </c>
    </row>
    <row r="548" spans="1:27" x14ac:dyDescent="0.25">
      <c r="A548" s="3">
        <f>DATE(Tab_Calculs[[#This Row],[ANNEE]],Tab_Calculs[[#This Row],[MOIS]],1)</f>
        <v>44896</v>
      </c>
      <c r="B548" s="3">
        <f>EDATE(Tab_Calculs[[#This Row],[Début mois]],1)-1</f>
        <v>44926</v>
      </c>
      <c r="C548">
        <f t="shared" si="17"/>
        <v>12</v>
      </c>
      <c r="D548">
        <f t="shared" si="18"/>
        <v>2022</v>
      </c>
      <c r="E548" t="s">
        <v>82</v>
      </c>
      <c r="F548" t="str">
        <f>SUBSTITUTE(Tab_Calculs[[#This Row],[Compteur]]," ","_")</f>
        <v>Compteur_3</v>
      </c>
      <c r="G548" t="str">
        <f>T(INDEX(Site!$B$33:$G$40, MATCH(Tab_Calculs[[#This Row],[Compteur]], Site!$B$33:$B$40,0),2))</f>
        <v/>
      </c>
      <c r="H548" s="3">
        <f t="array" aca="1" ref="H548" ca="1">MIN(IF(INDIRECT(CONCATENATE(Tab_Calculs[[#This Row],[Colonne1]],"!$B$2:$B$243"))&gt;=Calculs_Consos!$A548,INDIRECT(CONCATENATE(Tab_Calculs[[#This Row],[Colonne1]],"!$B$2:$B$243"))))</f>
        <v>0</v>
      </c>
      <c r="I548" s="3">
        <f ca="1">INDEX(INDIRECT(CONCATENATE("Tab_",Tab_Calculs[[#This Row],[Colonne1]])),Tab_Calculs[[#This Row],[index_date_livraison]],1)</f>
        <v>0</v>
      </c>
      <c r="J548">
        <f ca="1">MATCH(Tab_Calculs[[#This Row],[Date_livraison]],INDIRECT(CONCATENATE("Tab_",Tab_Calculs[[#This Row],[Colonne1]],"[Fin de période]")),0)</f>
        <v>1</v>
      </c>
      <c r="K548" t="e">
        <f ca="1">INDEX(INDIRECT(CONCATENATE("Tab_",Tab_Calculs[[#This Row],[Colonne1]])),Tab_Calculs[[#This Row],[index_date_livraison]]-1,6)*(MAX(Tab_Calculs[[#This Row],[Début periode livraison]],Tab_Calculs[[#This Row],[Début mois]])-Tab_Calculs[[#This Row],[Début mois]])</f>
        <v>#VALUE!</v>
      </c>
      <c r="L548" s="94">
        <f ca="1">INDEX(INDIRECT(CONCATENATE("Tab_",Tab_Calculs[[#This Row],[Colonne1]])),Tab_Calculs[[#This Row],[index_date_livraison]],6)*(1+MIN(Tab_Calculs[[#This Row],[Date_livraison]],Tab_Calculs[[#This Row],[fin mois]])-MAX(Tab_Calculs[[#This Row],[Début mois]],Tab_Calculs[[#This Row],[Début periode livraison]]))</f>
        <v>0</v>
      </c>
      <c r="M548" s="94" t="e">
        <f ca="1">INDEX(INDIRECT(CONCATENATE("Tab_",Tab_Calculs[[#This Row],[Colonne1]])),Tab_Calculs[[#This Row],[index_date_livraison]]+1,6)*(Tab_Calculs[[#This Row],[fin mois]]-MIN(Tab_Calculs[[#This Row],[fin mois]],Tab_Calculs[[#This Row],[Date_livraison]]))</f>
        <v>#VALUE!</v>
      </c>
      <c r="N548" s="231" t="str">
        <f ca="1">IFERROR(Tab_Calculs[[#This Row],[Ratio_jour_après_livr]]+Tab_Calculs[[#This Row],[Ratio_jour_avant_livr]]+Tab_Calculs[[#This Row],[ratio_avant_debut]],"")</f>
        <v/>
      </c>
      <c r="O548" t="e">
        <f ca="1">INDEX(INDIRECT(CONCATENATE("Tab_",Tab_Calculs[[#This Row],[Colonne1]])),Tab_Calculs[[#This Row],[index_date_livraison]]-1,7)*(MAX(Tab_Calculs[[#This Row],[Début periode livraison]],Tab_Calculs[[#This Row],[Début mois]])-Tab_Calculs[[#This Row],[Début mois]])</f>
        <v>#VALUE!</v>
      </c>
      <c r="P548">
        <f ca="1">INDEX(INDIRECT(CONCATENATE("Tab_",Tab_Calculs[[#This Row],[Colonne1]])),Tab_Calculs[[#This Row],[index_date_livraison]],7)*(1+MIN(Tab_Calculs[[#This Row],[Date_livraison]],Tab_Calculs[[#This Row],[fin mois]])-MAX(Tab_Calculs[[#This Row],[Début mois]],Tab_Calculs[[#This Row],[Début periode livraison]]))</f>
        <v>0</v>
      </c>
      <c r="Q548" t="e">
        <f ca="1">INDEX(INDIRECT(CONCATENATE("Tab_",Tab_Calculs[[#This Row],[Colonne1]])),Tab_Calculs[[#This Row],[index_date_livraison]]+1,7)*(Tab_Calculs[[#This Row],[fin mois]]-MIN(Tab_Calculs[[#This Row],[fin mois]],Tab_Calculs[[#This Row],[Date_livraison]]))</f>
        <v>#VALUE!</v>
      </c>
      <c r="R548" t="e">
        <f ca="1">Tab_Calculs[[#This Row],[Ratio_Cout_après_livr]]+Tab_Calculs[[#This Row],[Ratio_Cout_avant_livr]]+Tab_Calculs[[#This Row],[Ratio_Cout_avant_debut]]</f>
        <v>#VALUE!</v>
      </c>
      <c r="S548" t="str">
        <f ca="1">IFERROR(N548*VLOOKUP(Tab_Calculs[[#This Row],[Colonne1]],Controle_des_données!$B$7:$G$14,6,FALSE),"")</f>
        <v/>
      </c>
      <c r="T548" t="str">
        <f ca="1">IF(Tab_Calculs[[#This Row],[Combustible ]]="Electricité (kWh)",Tab_Calculs[[#This Row],[Conso_mois_kWh]]*2.3,Tab_Calculs[[#This Row],[Conso_mois_kWh]])</f>
        <v/>
      </c>
      <c r="U548" t="str">
        <f ca="1">IFERROR(N548*VLOOKUP(Tab_Calculs[[#This Row],[Colonne1]],Controle_des_données!$B$7:$H$14,7,FALSE),"")</f>
        <v/>
      </c>
      <c r="V548">
        <f ca="1">IFERROR(Tab_Calculs[[#This Row],[Cout_mois]]/Tab_Calculs[[#This Row],[Conso_mois_kWh]],0)</f>
        <v>0</v>
      </c>
      <c r="W548" t="str">
        <f>T(VLOOKUP(Tab_Calculs[[#This Row],[Compteur]],Site!$B$33:$G$40,3,FALSE))</f>
        <v/>
      </c>
      <c r="X548" t="str">
        <f>T(VLOOKUP(Tab_Calculs[[#This Row],[Compteur]],Site!$B$33:$G$40,4,FALSE))</f>
        <v/>
      </c>
      <c r="Y548" t="str">
        <f>T(VLOOKUP(Tab_Calculs[[#This Row],[Compteur]],Site!$B$33:$G$40,5,FALSE))</f>
        <v/>
      </c>
      <c r="Z548" t="str">
        <f>T(VLOOKUP(Tab_Calculs[[#This Row],[Compteur]],Site!$B$33:$G$40,6,FALSE))</f>
        <v/>
      </c>
      <c r="AA548">
        <f>IFERROR(GETPIVOTDATA("DJU(chauffagiste)",BDD_DJU!$P$13,"annee",Tab_Calculs[[#This Row],[ANNEE]],"mois_numero",Tab_Calculs[[#This Row],[MOIS]]),0)</f>
        <v>380.8</v>
      </c>
    </row>
    <row r="549" spans="1:27" x14ac:dyDescent="0.25">
      <c r="A549" s="3">
        <f>DATE(Tab_Calculs[[#This Row],[ANNEE]],Tab_Calculs[[#This Row],[MOIS]],1)</f>
        <v>44927</v>
      </c>
      <c r="B549" s="3">
        <f>EDATE(Tab_Calculs[[#This Row],[Début mois]],1)-1</f>
        <v>44957</v>
      </c>
      <c r="C549">
        <f t="shared" si="17"/>
        <v>1</v>
      </c>
      <c r="D549">
        <f t="shared" si="18"/>
        <v>2023</v>
      </c>
      <c r="E549" t="s">
        <v>82</v>
      </c>
      <c r="F549" t="str">
        <f>SUBSTITUTE(Tab_Calculs[[#This Row],[Compteur]]," ","_")</f>
        <v>Compteur_3</v>
      </c>
      <c r="G549" t="str">
        <f>T(INDEX(Site!$B$33:$G$40, MATCH(Tab_Calculs[[#This Row],[Compteur]], Site!$B$33:$B$40,0),2))</f>
        <v/>
      </c>
      <c r="H549" s="3">
        <f t="array" aca="1" ref="H549" ca="1">MIN(IF(INDIRECT(CONCATENATE(Tab_Calculs[[#This Row],[Colonne1]],"!$B$2:$B$243"))&gt;=Calculs_Consos!$A549,INDIRECT(CONCATENATE(Tab_Calculs[[#This Row],[Colonne1]],"!$B$2:$B$243"))))</f>
        <v>0</v>
      </c>
      <c r="I549" s="3">
        <f ca="1">INDEX(INDIRECT(CONCATENATE("Tab_",Tab_Calculs[[#This Row],[Colonne1]])),Tab_Calculs[[#This Row],[index_date_livraison]],1)</f>
        <v>0</v>
      </c>
      <c r="J549">
        <f ca="1">MATCH(Tab_Calculs[[#This Row],[Date_livraison]],INDIRECT(CONCATENATE("Tab_",Tab_Calculs[[#This Row],[Colonne1]],"[Fin de période]")),0)</f>
        <v>1</v>
      </c>
      <c r="K549" t="e">
        <f ca="1">INDEX(INDIRECT(CONCATENATE("Tab_",Tab_Calculs[[#This Row],[Colonne1]])),Tab_Calculs[[#This Row],[index_date_livraison]]-1,6)*(MAX(Tab_Calculs[[#This Row],[Début periode livraison]],Tab_Calculs[[#This Row],[Début mois]])-Tab_Calculs[[#This Row],[Début mois]])</f>
        <v>#VALUE!</v>
      </c>
      <c r="L549" s="94">
        <f ca="1">INDEX(INDIRECT(CONCATENATE("Tab_",Tab_Calculs[[#This Row],[Colonne1]])),Tab_Calculs[[#This Row],[index_date_livraison]],6)*(1+MIN(Tab_Calculs[[#This Row],[Date_livraison]],Tab_Calculs[[#This Row],[fin mois]])-MAX(Tab_Calculs[[#This Row],[Début mois]],Tab_Calculs[[#This Row],[Début periode livraison]]))</f>
        <v>0</v>
      </c>
      <c r="M549" s="94" t="e">
        <f ca="1">INDEX(INDIRECT(CONCATENATE("Tab_",Tab_Calculs[[#This Row],[Colonne1]])),Tab_Calculs[[#This Row],[index_date_livraison]]+1,6)*(Tab_Calculs[[#This Row],[fin mois]]-MIN(Tab_Calculs[[#This Row],[fin mois]],Tab_Calculs[[#This Row],[Date_livraison]]))</f>
        <v>#VALUE!</v>
      </c>
      <c r="N549" s="231" t="str">
        <f ca="1">IFERROR(Tab_Calculs[[#This Row],[Ratio_jour_après_livr]]+Tab_Calculs[[#This Row],[Ratio_jour_avant_livr]]+Tab_Calculs[[#This Row],[ratio_avant_debut]],"")</f>
        <v/>
      </c>
      <c r="O549" t="e">
        <f ca="1">INDEX(INDIRECT(CONCATENATE("Tab_",Tab_Calculs[[#This Row],[Colonne1]])),Tab_Calculs[[#This Row],[index_date_livraison]]-1,7)*(MAX(Tab_Calculs[[#This Row],[Début periode livraison]],Tab_Calculs[[#This Row],[Début mois]])-Tab_Calculs[[#This Row],[Début mois]])</f>
        <v>#VALUE!</v>
      </c>
      <c r="P549">
        <f ca="1">INDEX(INDIRECT(CONCATENATE("Tab_",Tab_Calculs[[#This Row],[Colonne1]])),Tab_Calculs[[#This Row],[index_date_livraison]],7)*(1+MIN(Tab_Calculs[[#This Row],[Date_livraison]],Tab_Calculs[[#This Row],[fin mois]])-MAX(Tab_Calculs[[#This Row],[Début mois]],Tab_Calculs[[#This Row],[Début periode livraison]]))</f>
        <v>0</v>
      </c>
      <c r="Q549" t="e">
        <f ca="1">INDEX(INDIRECT(CONCATENATE("Tab_",Tab_Calculs[[#This Row],[Colonne1]])),Tab_Calculs[[#This Row],[index_date_livraison]]+1,7)*(Tab_Calculs[[#This Row],[fin mois]]-MIN(Tab_Calculs[[#This Row],[fin mois]],Tab_Calculs[[#This Row],[Date_livraison]]))</f>
        <v>#VALUE!</v>
      </c>
      <c r="R549" t="e">
        <f ca="1">Tab_Calculs[[#This Row],[Ratio_Cout_après_livr]]+Tab_Calculs[[#This Row],[Ratio_Cout_avant_livr]]+Tab_Calculs[[#This Row],[Ratio_Cout_avant_debut]]</f>
        <v>#VALUE!</v>
      </c>
      <c r="S549" t="str">
        <f ca="1">IFERROR(N549*VLOOKUP(Tab_Calculs[[#This Row],[Colonne1]],Controle_des_données!$B$7:$G$14,6,FALSE),"")</f>
        <v/>
      </c>
      <c r="T549" t="str">
        <f ca="1">IF(Tab_Calculs[[#This Row],[Combustible ]]="Electricité (kWh)",Tab_Calculs[[#This Row],[Conso_mois_kWh]]*2.3,Tab_Calculs[[#This Row],[Conso_mois_kWh]])</f>
        <v/>
      </c>
      <c r="U549" t="str">
        <f ca="1">IFERROR(N549*VLOOKUP(Tab_Calculs[[#This Row],[Colonne1]],Controle_des_données!$B$7:$H$14,7,FALSE),"")</f>
        <v/>
      </c>
      <c r="V549">
        <f ca="1">IFERROR(Tab_Calculs[[#This Row],[Cout_mois]]/Tab_Calculs[[#This Row],[Conso_mois_kWh]],0)</f>
        <v>0</v>
      </c>
      <c r="W549" t="str">
        <f>T(VLOOKUP(Tab_Calculs[[#This Row],[Compteur]],Site!$B$33:$G$40,3,FALSE))</f>
        <v/>
      </c>
      <c r="X549" t="str">
        <f>T(VLOOKUP(Tab_Calculs[[#This Row],[Compteur]],Site!$B$33:$G$40,4,FALSE))</f>
        <v/>
      </c>
      <c r="Y549" t="str">
        <f>T(VLOOKUP(Tab_Calculs[[#This Row],[Compteur]],Site!$B$33:$G$40,5,FALSE))</f>
        <v/>
      </c>
      <c r="Z549" t="str">
        <f>T(VLOOKUP(Tab_Calculs[[#This Row],[Compteur]],Site!$B$33:$G$40,6,FALSE))</f>
        <v/>
      </c>
      <c r="AA549">
        <f>IFERROR(GETPIVOTDATA("DJU(chauffagiste)",BDD_DJU!$P$13,"annee",Tab_Calculs[[#This Row],[ANNEE]],"mois_numero",Tab_Calculs[[#This Row],[MOIS]]),0)</f>
        <v>356.1</v>
      </c>
    </row>
    <row r="550" spans="1:27" x14ac:dyDescent="0.25">
      <c r="A550" s="3">
        <f>DATE(Tab_Calculs[[#This Row],[ANNEE]],Tab_Calculs[[#This Row],[MOIS]],1)</f>
        <v>44958</v>
      </c>
      <c r="B550" s="3">
        <f>EDATE(Tab_Calculs[[#This Row],[Début mois]],1)-1</f>
        <v>44985</v>
      </c>
      <c r="C550">
        <f t="shared" si="17"/>
        <v>2</v>
      </c>
      <c r="D550">
        <f>D538+1</f>
        <v>2023</v>
      </c>
      <c r="E550" t="s">
        <v>82</v>
      </c>
      <c r="F550" t="str">
        <f>SUBSTITUTE(Tab_Calculs[[#This Row],[Compteur]]," ","_")</f>
        <v>Compteur_3</v>
      </c>
      <c r="G550" t="str">
        <f>T(INDEX(Site!$B$33:$G$40, MATCH(Tab_Calculs[[#This Row],[Compteur]], Site!$B$33:$B$40,0),2))</f>
        <v/>
      </c>
      <c r="H550" s="3">
        <f t="array" aca="1" ref="H550" ca="1">MIN(IF(INDIRECT(CONCATENATE(Tab_Calculs[[#This Row],[Colonne1]],"!$B$2:$B$243"))&gt;=Calculs_Consos!$A550,INDIRECT(CONCATENATE(Tab_Calculs[[#This Row],[Colonne1]],"!$B$2:$B$243"))))</f>
        <v>0</v>
      </c>
      <c r="I550" s="3">
        <f ca="1">INDEX(INDIRECT(CONCATENATE("Tab_",Tab_Calculs[[#This Row],[Colonne1]])),Tab_Calculs[[#This Row],[index_date_livraison]],1)</f>
        <v>0</v>
      </c>
      <c r="J550">
        <f ca="1">MATCH(Tab_Calculs[[#This Row],[Date_livraison]],INDIRECT(CONCATENATE("Tab_",Tab_Calculs[[#This Row],[Colonne1]],"[Fin de période]")),0)</f>
        <v>1</v>
      </c>
      <c r="K550" t="e">
        <f ca="1">INDEX(INDIRECT(CONCATENATE("Tab_",Tab_Calculs[[#This Row],[Colonne1]])),Tab_Calculs[[#This Row],[index_date_livraison]]-1,6)*(MAX(Tab_Calculs[[#This Row],[Début periode livraison]],Tab_Calculs[[#This Row],[Début mois]])-Tab_Calculs[[#This Row],[Début mois]])</f>
        <v>#VALUE!</v>
      </c>
      <c r="L550" s="94">
        <f ca="1">INDEX(INDIRECT(CONCATENATE("Tab_",Tab_Calculs[[#This Row],[Colonne1]])),Tab_Calculs[[#This Row],[index_date_livraison]],6)*(1+MIN(Tab_Calculs[[#This Row],[Date_livraison]],Tab_Calculs[[#This Row],[fin mois]])-MAX(Tab_Calculs[[#This Row],[Début mois]],Tab_Calculs[[#This Row],[Début periode livraison]]))</f>
        <v>0</v>
      </c>
      <c r="M550" s="94" t="e">
        <f ca="1">INDEX(INDIRECT(CONCATENATE("Tab_",Tab_Calculs[[#This Row],[Colonne1]])),Tab_Calculs[[#This Row],[index_date_livraison]]+1,6)*(Tab_Calculs[[#This Row],[fin mois]]-MIN(Tab_Calculs[[#This Row],[fin mois]],Tab_Calculs[[#This Row],[Date_livraison]]))</f>
        <v>#VALUE!</v>
      </c>
      <c r="N550" s="231" t="str">
        <f ca="1">IFERROR(Tab_Calculs[[#This Row],[Ratio_jour_après_livr]]+Tab_Calculs[[#This Row],[Ratio_jour_avant_livr]]+Tab_Calculs[[#This Row],[ratio_avant_debut]],"")</f>
        <v/>
      </c>
      <c r="O550" t="e">
        <f ca="1">INDEX(INDIRECT(CONCATENATE("Tab_",Tab_Calculs[[#This Row],[Colonne1]])),Tab_Calculs[[#This Row],[index_date_livraison]]-1,7)*(MAX(Tab_Calculs[[#This Row],[Début periode livraison]],Tab_Calculs[[#This Row],[Début mois]])-Tab_Calculs[[#This Row],[Début mois]])</f>
        <v>#VALUE!</v>
      </c>
      <c r="P550">
        <f ca="1">INDEX(INDIRECT(CONCATENATE("Tab_",Tab_Calculs[[#This Row],[Colonne1]])),Tab_Calculs[[#This Row],[index_date_livraison]],7)*(1+MIN(Tab_Calculs[[#This Row],[Date_livraison]],Tab_Calculs[[#This Row],[fin mois]])-MAX(Tab_Calculs[[#This Row],[Début mois]],Tab_Calculs[[#This Row],[Début periode livraison]]))</f>
        <v>0</v>
      </c>
      <c r="Q550" t="e">
        <f ca="1">INDEX(INDIRECT(CONCATENATE("Tab_",Tab_Calculs[[#This Row],[Colonne1]])),Tab_Calculs[[#This Row],[index_date_livraison]]+1,7)*(Tab_Calculs[[#This Row],[fin mois]]-MIN(Tab_Calculs[[#This Row],[fin mois]],Tab_Calculs[[#This Row],[Date_livraison]]))</f>
        <v>#VALUE!</v>
      </c>
      <c r="R550" t="e">
        <f ca="1">Tab_Calculs[[#This Row],[Ratio_Cout_après_livr]]+Tab_Calculs[[#This Row],[Ratio_Cout_avant_livr]]+Tab_Calculs[[#This Row],[Ratio_Cout_avant_debut]]</f>
        <v>#VALUE!</v>
      </c>
      <c r="S550" t="str">
        <f ca="1">IFERROR(N550*VLOOKUP(Tab_Calculs[[#This Row],[Colonne1]],Controle_des_données!$B$7:$G$14,6,FALSE),"")</f>
        <v/>
      </c>
      <c r="T550" t="str">
        <f ca="1">IF(Tab_Calculs[[#This Row],[Combustible ]]="Electricité (kWh)",Tab_Calculs[[#This Row],[Conso_mois_kWh]]*2.3,Tab_Calculs[[#This Row],[Conso_mois_kWh]])</f>
        <v/>
      </c>
      <c r="U550" t="str">
        <f ca="1">IFERROR(N550*VLOOKUP(Tab_Calculs[[#This Row],[Colonne1]],Controle_des_données!$B$7:$H$14,7,FALSE),"")</f>
        <v/>
      </c>
      <c r="V550">
        <f ca="1">IFERROR(Tab_Calculs[[#This Row],[Cout_mois]]/Tab_Calculs[[#This Row],[Conso_mois_kWh]],0)</f>
        <v>0</v>
      </c>
      <c r="W550" t="str">
        <f>T(VLOOKUP(Tab_Calculs[[#This Row],[Compteur]],Site!$B$33:$G$40,3,FALSE))</f>
        <v/>
      </c>
      <c r="X550" t="str">
        <f>T(VLOOKUP(Tab_Calculs[[#This Row],[Compteur]],Site!$B$33:$G$40,4,FALSE))</f>
        <v/>
      </c>
      <c r="Y550" t="str">
        <f>T(VLOOKUP(Tab_Calculs[[#This Row],[Compteur]],Site!$B$33:$G$40,5,FALSE))</f>
        <v/>
      </c>
      <c r="Z550" t="str">
        <f>T(VLOOKUP(Tab_Calculs[[#This Row],[Compteur]],Site!$B$33:$G$40,6,FALSE))</f>
        <v/>
      </c>
      <c r="AA550">
        <f>IFERROR(GETPIVOTDATA("DJU(chauffagiste)",BDD_DJU!$P$13,"annee",Tab_Calculs[[#This Row],[ANNEE]],"mois_numero",Tab_Calculs[[#This Row],[MOIS]]),0)</f>
        <v>314.10000000000002</v>
      </c>
    </row>
    <row r="551" spans="1:27" x14ac:dyDescent="0.25">
      <c r="A551" s="3">
        <f>DATE(Tab_Calculs[[#This Row],[ANNEE]],Tab_Calculs[[#This Row],[MOIS]],1)</f>
        <v>44986</v>
      </c>
      <c r="B551" s="3">
        <f>EDATE(Tab_Calculs[[#This Row],[Début mois]],1)-1</f>
        <v>45016</v>
      </c>
      <c r="C551">
        <f t="shared" si="17"/>
        <v>3</v>
      </c>
      <c r="D551">
        <f t="shared" ref="D551:D571" si="19">D539+1</f>
        <v>2023</v>
      </c>
      <c r="E551" t="s">
        <v>82</v>
      </c>
      <c r="F551" t="str">
        <f>SUBSTITUTE(Tab_Calculs[[#This Row],[Compteur]]," ","_")</f>
        <v>Compteur_3</v>
      </c>
      <c r="G551" t="str">
        <f>T(INDEX(Site!$B$33:$G$40, MATCH(Tab_Calculs[[#This Row],[Compteur]], Site!$B$33:$B$40,0),2))</f>
        <v/>
      </c>
      <c r="H551" s="3">
        <f t="array" aca="1" ref="H551" ca="1">MIN(IF(INDIRECT(CONCATENATE(Tab_Calculs[[#This Row],[Colonne1]],"!$B$2:$B$243"))&gt;=Calculs_Consos!$A551,INDIRECT(CONCATENATE(Tab_Calculs[[#This Row],[Colonne1]],"!$B$2:$B$243"))))</f>
        <v>0</v>
      </c>
      <c r="I551" s="3">
        <f ca="1">INDEX(INDIRECT(CONCATENATE("Tab_",Tab_Calculs[[#This Row],[Colonne1]])),Tab_Calculs[[#This Row],[index_date_livraison]],1)</f>
        <v>0</v>
      </c>
      <c r="J551">
        <f ca="1">MATCH(Tab_Calculs[[#This Row],[Date_livraison]],INDIRECT(CONCATENATE("Tab_",Tab_Calculs[[#This Row],[Colonne1]],"[Fin de période]")),0)</f>
        <v>1</v>
      </c>
      <c r="K551" t="e">
        <f ca="1">INDEX(INDIRECT(CONCATENATE("Tab_",Tab_Calculs[[#This Row],[Colonne1]])),Tab_Calculs[[#This Row],[index_date_livraison]]-1,6)*(MAX(Tab_Calculs[[#This Row],[Début periode livraison]],Tab_Calculs[[#This Row],[Début mois]])-Tab_Calculs[[#This Row],[Début mois]])</f>
        <v>#VALUE!</v>
      </c>
      <c r="L551" s="94">
        <f ca="1">INDEX(INDIRECT(CONCATENATE("Tab_",Tab_Calculs[[#This Row],[Colonne1]])),Tab_Calculs[[#This Row],[index_date_livraison]],6)*(1+MIN(Tab_Calculs[[#This Row],[Date_livraison]],Tab_Calculs[[#This Row],[fin mois]])-MAX(Tab_Calculs[[#This Row],[Début mois]],Tab_Calculs[[#This Row],[Début periode livraison]]))</f>
        <v>0</v>
      </c>
      <c r="M551" s="94" t="e">
        <f ca="1">INDEX(INDIRECT(CONCATENATE("Tab_",Tab_Calculs[[#This Row],[Colonne1]])),Tab_Calculs[[#This Row],[index_date_livraison]]+1,6)*(Tab_Calculs[[#This Row],[fin mois]]-MIN(Tab_Calculs[[#This Row],[fin mois]],Tab_Calculs[[#This Row],[Date_livraison]]))</f>
        <v>#VALUE!</v>
      </c>
      <c r="N551" s="231" t="str">
        <f ca="1">IFERROR(Tab_Calculs[[#This Row],[Ratio_jour_après_livr]]+Tab_Calculs[[#This Row],[Ratio_jour_avant_livr]]+Tab_Calculs[[#This Row],[ratio_avant_debut]],"")</f>
        <v/>
      </c>
      <c r="O551" t="e">
        <f ca="1">INDEX(INDIRECT(CONCATENATE("Tab_",Tab_Calculs[[#This Row],[Colonne1]])),Tab_Calculs[[#This Row],[index_date_livraison]]-1,7)*(MAX(Tab_Calculs[[#This Row],[Début periode livraison]],Tab_Calculs[[#This Row],[Début mois]])-Tab_Calculs[[#This Row],[Début mois]])</f>
        <v>#VALUE!</v>
      </c>
      <c r="P551">
        <f ca="1">INDEX(INDIRECT(CONCATENATE("Tab_",Tab_Calculs[[#This Row],[Colonne1]])),Tab_Calculs[[#This Row],[index_date_livraison]],7)*(1+MIN(Tab_Calculs[[#This Row],[Date_livraison]],Tab_Calculs[[#This Row],[fin mois]])-MAX(Tab_Calculs[[#This Row],[Début mois]],Tab_Calculs[[#This Row],[Début periode livraison]]))</f>
        <v>0</v>
      </c>
      <c r="Q551" t="e">
        <f ca="1">INDEX(INDIRECT(CONCATENATE("Tab_",Tab_Calculs[[#This Row],[Colonne1]])),Tab_Calculs[[#This Row],[index_date_livraison]]+1,7)*(Tab_Calculs[[#This Row],[fin mois]]-MIN(Tab_Calculs[[#This Row],[fin mois]],Tab_Calculs[[#This Row],[Date_livraison]]))</f>
        <v>#VALUE!</v>
      </c>
      <c r="R551" t="e">
        <f ca="1">Tab_Calculs[[#This Row],[Ratio_Cout_après_livr]]+Tab_Calculs[[#This Row],[Ratio_Cout_avant_livr]]+Tab_Calculs[[#This Row],[Ratio_Cout_avant_debut]]</f>
        <v>#VALUE!</v>
      </c>
      <c r="S551" t="str">
        <f ca="1">IFERROR(N551*VLOOKUP(Tab_Calculs[[#This Row],[Colonne1]],Controle_des_données!$B$7:$G$14,6,FALSE),"")</f>
        <v/>
      </c>
      <c r="T551" t="str">
        <f ca="1">IF(Tab_Calculs[[#This Row],[Combustible ]]="Electricité (kWh)",Tab_Calculs[[#This Row],[Conso_mois_kWh]]*2.3,Tab_Calculs[[#This Row],[Conso_mois_kWh]])</f>
        <v/>
      </c>
      <c r="U551" t="str">
        <f ca="1">IFERROR(N551*VLOOKUP(Tab_Calculs[[#This Row],[Colonne1]],Controle_des_données!$B$7:$H$14,7,FALSE),"")</f>
        <v/>
      </c>
      <c r="V551">
        <f ca="1">IFERROR(Tab_Calculs[[#This Row],[Cout_mois]]/Tab_Calculs[[#This Row],[Conso_mois_kWh]],0)</f>
        <v>0</v>
      </c>
      <c r="W551" t="str">
        <f>T(VLOOKUP(Tab_Calculs[[#This Row],[Compteur]],Site!$B$33:$G$40,3,FALSE))</f>
        <v/>
      </c>
      <c r="X551" t="str">
        <f>T(VLOOKUP(Tab_Calculs[[#This Row],[Compteur]],Site!$B$33:$G$40,4,FALSE))</f>
        <v/>
      </c>
      <c r="Y551" t="str">
        <f>T(VLOOKUP(Tab_Calculs[[#This Row],[Compteur]],Site!$B$33:$G$40,5,FALSE))</f>
        <v/>
      </c>
      <c r="Z551" t="str">
        <f>T(VLOOKUP(Tab_Calculs[[#This Row],[Compteur]],Site!$B$33:$G$40,6,FALSE))</f>
        <v/>
      </c>
      <c r="AA551">
        <f>IFERROR(GETPIVOTDATA("DJU(chauffagiste)",BDD_DJU!$P$13,"annee",Tab_Calculs[[#This Row],[ANNEE]],"mois_numero",Tab_Calculs[[#This Row],[MOIS]]),0)</f>
        <v>251.3</v>
      </c>
    </row>
    <row r="552" spans="1:27" x14ac:dyDescent="0.25">
      <c r="A552" s="3">
        <f>DATE(Tab_Calculs[[#This Row],[ANNEE]],Tab_Calculs[[#This Row],[MOIS]],1)</f>
        <v>45017</v>
      </c>
      <c r="B552" s="3">
        <f>EDATE(Tab_Calculs[[#This Row],[Début mois]],1)-1</f>
        <v>45046</v>
      </c>
      <c r="C552">
        <f t="shared" si="17"/>
        <v>4</v>
      </c>
      <c r="D552">
        <f t="shared" si="19"/>
        <v>2023</v>
      </c>
      <c r="E552" t="s">
        <v>82</v>
      </c>
      <c r="F552" t="str">
        <f>SUBSTITUTE(Tab_Calculs[[#This Row],[Compteur]]," ","_")</f>
        <v>Compteur_3</v>
      </c>
      <c r="G552" t="str">
        <f>T(INDEX(Site!$B$33:$G$40, MATCH(Tab_Calculs[[#This Row],[Compteur]], Site!$B$33:$B$40,0),2))</f>
        <v/>
      </c>
      <c r="H552" s="3">
        <f t="array" aca="1" ref="H552" ca="1">MIN(IF(INDIRECT(CONCATENATE(Tab_Calculs[[#This Row],[Colonne1]],"!$B$2:$B$243"))&gt;=Calculs_Consos!$A552,INDIRECT(CONCATENATE(Tab_Calculs[[#This Row],[Colonne1]],"!$B$2:$B$243"))))</f>
        <v>0</v>
      </c>
      <c r="I552" s="3">
        <f ca="1">INDEX(INDIRECT(CONCATENATE("Tab_",Tab_Calculs[[#This Row],[Colonne1]])),Tab_Calculs[[#This Row],[index_date_livraison]],1)</f>
        <v>0</v>
      </c>
      <c r="J552">
        <f ca="1">MATCH(Tab_Calculs[[#This Row],[Date_livraison]],INDIRECT(CONCATENATE("Tab_",Tab_Calculs[[#This Row],[Colonne1]],"[Fin de période]")),0)</f>
        <v>1</v>
      </c>
      <c r="K552" t="e">
        <f ca="1">INDEX(INDIRECT(CONCATENATE("Tab_",Tab_Calculs[[#This Row],[Colonne1]])),Tab_Calculs[[#This Row],[index_date_livraison]]-1,6)*(MAX(Tab_Calculs[[#This Row],[Début periode livraison]],Tab_Calculs[[#This Row],[Début mois]])-Tab_Calculs[[#This Row],[Début mois]])</f>
        <v>#VALUE!</v>
      </c>
      <c r="L552" s="94">
        <f ca="1">INDEX(INDIRECT(CONCATENATE("Tab_",Tab_Calculs[[#This Row],[Colonne1]])),Tab_Calculs[[#This Row],[index_date_livraison]],6)*(1+MIN(Tab_Calculs[[#This Row],[Date_livraison]],Tab_Calculs[[#This Row],[fin mois]])-MAX(Tab_Calculs[[#This Row],[Début mois]],Tab_Calculs[[#This Row],[Début periode livraison]]))</f>
        <v>0</v>
      </c>
      <c r="M552" s="94" t="e">
        <f ca="1">INDEX(INDIRECT(CONCATENATE("Tab_",Tab_Calculs[[#This Row],[Colonne1]])),Tab_Calculs[[#This Row],[index_date_livraison]]+1,6)*(Tab_Calculs[[#This Row],[fin mois]]-MIN(Tab_Calculs[[#This Row],[fin mois]],Tab_Calculs[[#This Row],[Date_livraison]]))</f>
        <v>#VALUE!</v>
      </c>
      <c r="N552" s="231" t="str">
        <f ca="1">IFERROR(Tab_Calculs[[#This Row],[Ratio_jour_après_livr]]+Tab_Calculs[[#This Row],[Ratio_jour_avant_livr]]+Tab_Calculs[[#This Row],[ratio_avant_debut]],"")</f>
        <v/>
      </c>
      <c r="O552" t="e">
        <f ca="1">INDEX(INDIRECT(CONCATENATE("Tab_",Tab_Calculs[[#This Row],[Colonne1]])),Tab_Calculs[[#This Row],[index_date_livraison]]-1,7)*(MAX(Tab_Calculs[[#This Row],[Début periode livraison]],Tab_Calculs[[#This Row],[Début mois]])-Tab_Calculs[[#This Row],[Début mois]])</f>
        <v>#VALUE!</v>
      </c>
      <c r="P552">
        <f ca="1">INDEX(INDIRECT(CONCATENATE("Tab_",Tab_Calculs[[#This Row],[Colonne1]])),Tab_Calculs[[#This Row],[index_date_livraison]],7)*(1+MIN(Tab_Calculs[[#This Row],[Date_livraison]],Tab_Calculs[[#This Row],[fin mois]])-MAX(Tab_Calculs[[#This Row],[Début mois]],Tab_Calculs[[#This Row],[Début periode livraison]]))</f>
        <v>0</v>
      </c>
      <c r="Q552" t="e">
        <f ca="1">INDEX(INDIRECT(CONCATENATE("Tab_",Tab_Calculs[[#This Row],[Colonne1]])),Tab_Calculs[[#This Row],[index_date_livraison]]+1,7)*(Tab_Calculs[[#This Row],[fin mois]]-MIN(Tab_Calculs[[#This Row],[fin mois]],Tab_Calculs[[#This Row],[Date_livraison]]))</f>
        <v>#VALUE!</v>
      </c>
      <c r="R552" t="e">
        <f ca="1">Tab_Calculs[[#This Row],[Ratio_Cout_après_livr]]+Tab_Calculs[[#This Row],[Ratio_Cout_avant_livr]]+Tab_Calculs[[#This Row],[Ratio_Cout_avant_debut]]</f>
        <v>#VALUE!</v>
      </c>
      <c r="S552" t="str">
        <f ca="1">IFERROR(N552*VLOOKUP(Tab_Calculs[[#This Row],[Colonne1]],Controle_des_données!$B$7:$G$14,6,FALSE),"")</f>
        <v/>
      </c>
      <c r="T552" t="str">
        <f ca="1">IF(Tab_Calculs[[#This Row],[Combustible ]]="Electricité (kWh)",Tab_Calculs[[#This Row],[Conso_mois_kWh]]*2.3,Tab_Calculs[[#This Row],[Conso_mois_kWh]])</f>
        <v/>
      </c>
      <c r="U552" t="str">
        <f ca="1">IFERROR(N552*VLOOKUP(Tab_Calculs[[#This Row],[Colonne1]],Controle_des_données!$B$7:$H$14,7,FALSE),"")</f>
        <v/>
      </c>
      <c r="V552">
        <f ca="1">IFERROR(Tab_Calculs[[#This Row],[Cout_mois]]/Tab_Calculs[[#This Row],[Conso_mois_kWh]],0)</f>
        <v>0</v>
      </c>
      <c r="W552" t="str">
        <f>T(VLOOKUP(Tab_Calculs[[#This Row],[Compteur]],Site!$B$33:$G$40,3,FALSE))</f>
        <v/>
      </c>
      <c r="X552" t="str">
        <f>T(VLOOKUP(Tab_Calculs[[#This Row],[Compteur]],Site!$B$33:$G$40,4,FALSE))</f>
        <v/>
      </c>
      <c r="Y552" t="str">
        <f>T(VLOOKUP(Tab_Calculs[[#This Row],[Compteur]],Site!$B$33:$G$40,5,FALSE))</f>
        <v/>
      </c>
      <c r="Z552" t="str">
        <f>T(VLOOKUP(Tab_Calculs[[#This Row],[Compteur]],Site!$B$33:$G$40,6,FALSE))</f>
        <v/>
      </c>
      <c r="AA552">
        <f>IFERROR(GETPIVOTDATA("DJU(chauffagiste)",BDD_DJU!$P$13,"annee",Tab_Calculs[[#This Row],[ANNEE]],"mois_numero",Tab_Calculs[[#This Row],[MOIS]]),0)</f>
        <v>198</v>
      </c>
    </row>
    <row r="553" spans="1:27" x14ac:dyDescent="0.25">
      <c r="A553" s="3">
        <f>DATE(Tab_Calculs[[#This Row],[ANNEE]],Tab_Calculs[[#This Row],[MOIS]],1)</f>
        <v>45047</v>
      </c>
      <c r="B553" s="3">
        <f>EDATE(Tab_Calculs[[#This Row],[Début mois]],1)-1</f>
        <v>45077</v>
      </c>
      <c r="C553">
        <f t="shared" si="17"/>
        <v>5</v>
      </c>
      <c r="D553">
        <f t="shared" si="19"/>
        <v>2023</v>
      </c>
      <c r="E553" t="s">
        <v>82</v>
      </c>
      <c r="F553" t="str">
        <f>SUBSTITUTE(Tab_Calculs[[#This Row],[Compteur]]," ","_")</f>
        <v>Compteur_3</v>
      </c>
      <c r="G553" t="str">
        <f>T(INDEX(Site!$B$33:$G$40, MATCH(Tab_Calculs[[#This Row],[Compteur]], Site!$B$33:$B$40,0),2))</f>
        <v/>
      </c>
      <c r="H553" s="3">
        <f t="array" aca="1" ref="H553" ca="1">MIN(IF(INDIRECT(CONCATENATE(Tab_Calculs[[#This Row],[Colonne1]],"!$B$2:$B$243"))&gt;=Calculs_Consos!$A553,INDIRECT(CONCATENATE(Tab_Calculs[[#This Row],[Colonne1]],"!$B$2:$B$243"))))</f>
        <v>0</v>
      </c>
      <c r="I553" s="3">
        <f ca="1">INDEX(INDIRECT(CONCATENATE("Tab_",Tab_Calculs[[#This Row],[Colonne1]])),Tab_Calculs[[#This Row],[index_date_livraison]],1)</f>
        <v>0</v>
      </c>
      <c r="J553">
        <f ca="1">MATCH(Tab_Calculs[[#This Row],[Date_livraison]],INDIRECT(CONCATENATE("Tab_",Tab_Calculs[[#This Row],[Colonne1]],"[Fin de période]")),0)</f>
        <v>1</v>
      </c>
      <c r="K553" t="e">
        <f ca="1">INDEX(INDIRECT(CONCATENATE("Tab_",Tab_Calculs[[#This Row],[Colonne1]])),Tab_Calculs[[#This Row],[index_date_livraison]]-1,6)*(MAX(Tab_Calculs[[#This Row],[Début periode livraison]],Tab_Calculs[[#This Row],[Début mois]])-Tab_Calculs[[#This Row],[Début mois]])</f>
        <v>#VALUE!</v>
      </c>
      <c r="L553" s="94">
        <f ca="1">INDEX(INDIRECT(CONCATENATE("Tab_",Tab_Calculs[[#This Row],[Colonne1]])),Tab_Calculs[[#This Row],[index_date_livraison]],6)*(1+MIN(Tab_Calculs[[#This Row],[Date_livraison]],Tab_Calculs[[#This Row],[fin mois]])-MAX(Tab_Calculs[[#This Row],[Début mois]],Tab_Calculs[[#This Row],[Début periode livraison]]))</f>
        <v>0</v>
      </c>
      <c r="M553" s="94" t="e">
        <f ca="1">INDEX(INDIRECT(CONCATENATE("Tab_",Tab_Calculs[[#This Row],[Colonne1]])),Tab_Calculs[[#This Row],[index_date_livraison]]+1,6)*(Tab_Calculs[[#This Row],[fin mois]]-MIN(Tab_Calculs[[#This Row],[fin mois]],Tab_Calculs[[#This Row],[Date_livraison]]))</f>
        <v>#VALUE!</v>
      </c>
      <c r="N553" s="231" t="str">
        <f ca="1">IFERROR(Tab_Calculs[[#This Row],[Ratio_jour_après_livr]]+Tab_Calculs[[#This Row],[Ratio_jour_avant_livr]]+Tab_Calculs[[#This Row],[ratio_avant_debut]],"")</f>
        <v/>
      </c>
      <c r="O553" t="e">
        <f ca="1">INDEX(INDIRECT(CONCATENATE("Tab_",Tab_Calculs[[#This Row],[Colonne1]])),Tab_Calculs[[#This Row],[index_date_livraison]]-1,7)*(MAX(Tab_Calculs[[#This Row],[Début periode livraison]],Tab_Calculs[[#This Row],[Début mois]])-Tab_Calculs[[#This Row],[Début mois]])</f>
        <v>#VALUE!</v>
      </c>
      <c r="P553">
        <f ca="1">INDEX(INDIRECT(CONCATENATE("Tab_",Tab_Calculs[[#This Row],[Colonne1]])),Tab_Calculs[[#This Row],[index_date_livraison]],7)*(1+MIN(Tab_Calculs[[#This Row],[Date_livraison]],Tab_Calculs[[#This Row],[fin mois]])-MAX(Tab_Calculs[[#This Row],[Début mois]],Tab_Calculs[[#This Row],[Début periode livraison]]))</f>
        <v>0</v>
      </c>
      <c r="Q553" t="e">
        <f ca="1">INDEX(INDIRECT(CONCATENATE("Tab_",Tab_Calculs[[#This Row],[Colonne1]])),Tab_Calculs[[#This Row],[index_date_livraison]]+1,7)*(Tab_Calculs[[#This Row],[fin mois]]-MIN(Tab_Calculs[[#This Row],[fin mois]],Tab_Calculs[[#This Row],[Date_livraison]]))</f>
        <v>#VALUE!</v>
      </c>
      <c r="R553" t="e">
        <f ca="1">Tab_Calculs[[#This Row],[Ratio_Cout_après_livr]]+Tab_Calculs[[#This Row],[Ratio_Cout_avant_livr]]+Tab_Calculs[[#This Row],[Ratio_Cout_avant_debut]]</f>
        <v>#VALUE!</v>
      </c>
      <c r="S553" t="str">
        <f ca="1">IFERROR(N553*VLOOKUP(Tab_Calculs[[#This Row],[Colonne1]],Controle_des_données!$B$7:$G$14,6,FALSE),"")</f>
        <v/>
      </c>
      <c r="T553" t="str">
        <f ca="1">IF(Tab_Calculs[[#This Row],[Combustible ]]="Electricité (kWh)",Tab_Calculs[[#This Row],[Conso_mois_kWh]]*2.3,Tab_Calculs[[#This Row],[Conso_mois_kWh]])</f>
        <v/>
      </c>
      <c r="U553" t="str">
        <f ca="1">IFERROR(N553*VLOOKUP(Tab_Calculs[[#This Row],[Colonne1]],Controle_des_données!$B$7:$H$14,7,FALSE),"")</f>
        <v/>
      </c>
      <c r="V553">
        <f ca="1">IFERROR(Tab_Calculs[[#This Row],[Cout_mois]]/Tab_Calculs[[#This Row],[Conso_mois_kWh]],0)</f>
        <v>0</v>
      </c>
      <c r="W553" t="str">
        <f>T(VLOOKUP(Tab_Calculs[[#This Row],[Compteur]],Site!$B$33:$G$40,3,FALSE))</f>
        <v/>
      </c>
      <c r="X553" t="str">
        <f>T(VLOOKUP(Tab_Calculs[[#This Row],[Compteur]],Site!$B$33:$G$40,4,FALSE))</f>
        <v/>
      </c>
      <c r="Y553" t="str">
        <f>T(VLOOKUP(Tab_Calculs[[#This Row],[Compteur]],Site!$B$33:$G$40,5,FALSE))</f>
        <v/>
      </c>
      <c r="Z553" t="str">
        <f>T(VLOOKUP(Tab_Calculs[[#This Row],[Compteur]],Site!$B$33:$G$40,6,FALSE))</f>
        <v/>
      </c>
      <c r="AA553">
        <f>IFERROR(GETPIVOTDATA("DJU(chauffagiste)",BDD_DJU!$P$13,"annee",Tab_Calculs[[#This Row],[ANNEE]],"mois_numero",Tab_Calculs[[#This Row],[MOIS]]),0)</f>
        <v>86.4</v>
      </c>
    </row>
    <row r="554" spans="1:27" x14ac:dyDescent="0.25">
      <c r="A554" s="3">
        <f>DATE(Tab_Calculs[[#This Row],[ANNEE]],Tab_Calculs[[#This Row],[MOIS]],1)</f>
        <v>45078</v>
      </c>
      <c r="B554" s="3">
        <f>EDATE(Tab_Calculs[[#This Row],[Début mois]],1)-1</f>
        <v>45107</v>
      </c>
      <c r="C554">
        <f t="shared" si="17"/>
        <v>6</v>
      </c>
      <c r="D554">
        <f t="shared" si="19"/>
        <v>2023</v>
      </c>
      <c r="E554" t="s">
        <v>82</v>
      </c>
      <c r="F554" t="str">
        <f>SUBSTITUTE(Tab_Calculs[[#This Row],[Compteur]]," ","_")</f>
        <v>Compteur_3</v>
      </c>
      <c r="G554" t="str">
        <f>T(INDEX(Site!$B$33:$G$40, MATCH(Tab_Calculs[[#This Row],[Compteur]], Site!$B$33:$B$40,0),2))</f>
        <v/>
      </c>
      <c r="H554" s="3">
        <f t="array" aca="1" ref="H554" ca="1">MIN(IF(INDIRECT(CONCATENATE(Tab_Calculs[[#This Row],[Colonne1]],"!$B$2:$B$243"))&gt;=Calculs_Consos!$A554,INDIRECT(CONCATENATE(Tab_Calculs[[#This Row],[Colonne1]],"!$B$2:$B$243"))))</f>
        <v>0</v>
      </c>
      <c r="I554" s="3">
        <f ca="1">INDEX(INDIRECT(CONCATENATE("Tab_",Tab_Calculs[[#This Row],[Colonne1]])),Tab_Calculs[[#This Row],[index_date_livraison]],1)</f>
        <v>0</v>
      </c>
      <c r="J554">
        <f ca="1">MATCH(Tab_Calculs[[#This Row],[Date_livraison]],INDIRECT(CONCATENATE("Tab_",Tab_Calculs[[#This Row],[Colonne1]],"[Fin de période]")),0)</f>
        <v>1</v>
      </c>
      <c r="K554" t="e">
        <f ca="1">INDEX(INDIRECT(CONCATENATE("Tab_",Tab_Calculs[[#This Row],[Colonne1]])),Tab_Calculs[[#This Row],[index_date_livraison]]-1,6)*(MAX(Tab_Calculs[[#This Row],[Début periode livraison]],Tab_Calculs[[#This Row],[Début mois]])-Tab_Calculs[[#This Row],[Début mois]])</f>
        <v>#VALUE!</v>
      </c>
      <c r="L554" s="94">
        <f ca="1">INDEX(INDIRECT(CONCATENATE("Tab_",Tab_Calculs[[#This Row],[Colonne1]])),Tab_Calculs[[#This Row],[index_date_livraison]],6)*(1+MIN(Tab_Calculs[[#This Row],[Date_livraison]],Tab_Calculs[[#This Row],[fin mois]])-MAX(Tab_Calculs[[#This Row],[Début mois]],Tab_Calculs[[#This Row],[Début periode livraison]]))</f>
        <v>0</v>
      </c>
      <c r="M554" s="94" t="e">
        <f ca="1">INDEX(INDIRECT(CONCATENATE("Tab_",Tab_Calculs[[#This Row],[Colonne1]])),Tab_Calculs[[#This Row],[index_date_livraison]]+1,6)*(Tab_Calculs[[#This Row],[fin mois]]-MIN(Tab_Calculs[[#This Row],[fin mois]],Tab_Calculs[[#This Row],[Date_livraison]]))</f>
        <v>#VALUE!</v>
      </c>
      <c r="N554" s="231" t="str">
        <f ca="1">IFERROR(Tab_Calculs[[#This Row],[Ratio_jour_après_livr]]+Tab_Calculs[[#This Row],[Ratio_jour_avant_livr]]+Tab_Calculs[[#This Row],[ratio_avant_debut]],"")</f>
        <v/>
      </c>
      <c r="O554" t="e">
        <f ca="1">INDEX(INDIRECT(CONCATENATE("Tab_",Tab_Calculs[[#This Row],[Colonne1]])),Tab_Calculs[[#This Row],[index_date_livraison]]-1,7)*(MAX(Tab_Calculs[[#This Row],[Début periode livraison]],Tab_Calculs[[#This Row],[Début mois]])-Tab_Calculs[[#This Row],[Début mois]])</f>
        <v>#VALUE!</v>
      </c>
      <c r="P554">
        <f ca="1">INDEX(INDIRECT(CONCATENATE("Tab_",Tab_Calculs[[#This Row],[Colonne1]])),Tab_Calculs[[#This Row],[index_date_livraison]],7)*(1+MIN(Tab_Calculs[[#This Row],[Date_livraison]],Tab_Calculs[[#This Row],[fin mois]])-MAX(Tab_Calculs[[#This Row],[Début mois]],Tab_Calculs[[#This Row],[Début periode livraison]]))</f>
        <v>0</v>
      </c>
      <c r="Q554" t="e">
        <f ca="1">INDEX(INDIRECT(CONCATENATE("Tab_",Tab_Calculs[[#This Row],[Colonne1]])),Tab_Calculs[[#This Row],[index_date_livraison]]+1,7)*(Tab_Calculs[[#This Row],[fin mois]]-MIN(Tab_Calculs[[#This Row],[fin mois]],Tab_Calculs[[#This Row],[Date_livraison]]))</f>
        <v>#VALUE!</v>
      </c>
      <c r="R554" t="e">
        <f ca="1">Tab_Calculs[[#This Row],[Ratio_Cout_après_livr]]+Tab_Calculs[[#This Row],[Ratio_Cout_avant_livr]]+Tab_Calculs[[#This Row],[Ratio_Cout_avant_debut]]</f>
        <v>#VALUE!</v>
      </c>
      <c r="S554" t="str">
        <f ca="1">IFERROR(N554*VLOOKUP(Tab_Calculs[[#This Row],[Colonne1]],Controle_des_données!$B$7:$G$14,6,FALSE),"")</f>
        <v/>
      </c>
      <c r="T554" t="str">
        <f ca="1">IF(Tab_Calculs[[#This Row],[Combustible ]]="Electricité (kWh)",Tab_Calculs[[#This Row],[Conso_mois_kWh]]*2.3,Tab_Calculs[[#This Row],[Conso_mois_kWh]])</f>
        <v/>
      </c>
      <c r="U554" t="str">
        <f ca="1">IFERROR(N554*VLOOKUP(Tab_Calculs[[#This Row],[Colonne1]],Controle_des_données!$B$7:$H$14,7,FALSE),"")</f>
        <v/>
      </c>
      <c r="V554">
        <f ca="1">IFERROR(Tab_Calculs[[#This Row],[Cout_mois]]/Tab_Calculs[[#This Row],[Conso_mois_kWh]],0)</f>
        <v>0</v>
      </c>
      <c r="W554" t="str">
        <f>T(VLOOKUP(Tab_Calculs[[#This Row],[Compteur]],Site!$B$33:$G$40,3,FALSE))</f>
        <v/>
      </c>
      <c r="X554" t="str">
        <f>T(VLOOKUP(Tab_Calculs[[#This Row],[Compteur]],Site!$B$33:$G$40,4,FALSE))</f>
        <v/>
      </c>
      <c r="Y554" t="str">
        <f>T(VLOOKUP(Tab_Calculs[[#This Row],[Compteur]],Site!$B$33:$G$40,5,FALSE))</f>
        <v/>
      </c>
      <c r="Z554" t="str">
        <f>T(VLOOKUP(Tab_Calculs[[#This Row],[Compteur]],Site!$B$33:$G$40,6,FALSE))</f>
        <v/>
      </c>
      <c r="AA554">
        <f>IFERROR(GETPIVOTDATA("DJU(chauffagiste)",BDD_DJU!$P$13,"annee",Tab_Calculs[[#This Row],[ANNEE]],"mois_numero",Tab_Calculs[[#This Row],[MOIS]]),0)</f>
        <v>17.3</v>
      </c>
    </row>
    <row r="555" spans="1:27" x14ac:dyDescent="0.25">
      <c r="A555" s="3">
        <f>DATE(Tab_Calculs[[#This Row],[ANNEE]],Tab_Calculs[[#This Row],[MOIS]],1)</f>
        <v>45108</v>
      </c>
      <c r="B555" s="3">
        <f>EDATE(Tab_Calculs[[#This Row],[Début mois]],1)-1</f>
        <v>45138</v>
      </c>
      <c r="C555">
        <f t="shared" si="17"/>
        <v>7</v>
      </c>
      <c r="D555">
        <f t="shared" si="19"/>
        <v>2023</v>
      </c>
      <c r="E555" t="s">
        <v>82</v>
      </c>
      <c r="F555" t="str">
        <f>SUBSTITUTE(Tab_Calculs[[#This Row],[Compteur]]," ","_")</f>
        <v>Compteur_3</v>
      </c>
      <c r="G555" t="str">
        <f>T(INDEX(Site!$B$33:$G$40, MATCH(Tab_Calculs[[#This Row],[Compteur]], Site!$B$33:$B$40,0),2))</f>
        <v/>
      </c>
      <c r="H555" s="3">
        <f t="array" aca="1" ref="H555" ca="1">MIN(IF(INDIRECT(CONCATENATE(Tab_Calculs[[#This Row],[Colonne1]],"!$B$2:$B$243"))&gt;=Calculs_Consos!$A555,INDIRECT(CONCATENATE(Tab_Calculs[[#This Row],[Colonne1]],"!$B$2:$B$243"))))</f>
        <v>0</v>
      </c>
      <c r="I555" s="3">
        <f ca="1">INDEX(INDIRECT(CONCATENATE("Tab_",Tab_Calculs[[#This Row],[Colonne1]])),Tab_Calculs[[#This Row],[index_date_livraison]],1)</f>
        <v>0</v>
      </c>
      <c r="J555">
        <f ca="1">MATCH(Tab_Calculs[[#This Row],[Date_livraison]],INDIRECT(CONCATENATE("Tab_",Tab_Calculs[[#This Row],[Colonne1]],"[Fin de période]")),0)</f>
        <v>1</v>
      </c>
      <c r="K555" t="e">
        <f ca="1">INDEX(INDIRECT(CONCATENATE("Tab_",Tab_Calculs[[#This Row],[Colonne1]])),Tab_Calculs[[#This Row],[index_date_livraison]]-1,6)*(MAX(Tab_Calculs[[#This Row],[Début periode livraison]],Tab_Calculs[[#This Row],[Début mois]])-Tab_Calculs[[#This Row],[Début mois]])</f>
        <v>#VALUE!</v>
      </c>
      <c r="L555" s="94">
        <f ca="1">INDEX(INDIRECT(CONCATENATE("Tab_",Tab_Calculs[[#This Row],[Colonne1]])),Tab_Calculs[[#This Row],[index_date_livraison]],6)*(1+MIN(Tab_Calculs[[#This Row],[Date_livraison]],Tab_Calculs[[#This Row],[fin mois]])-MAX(Tab_Calculs[[#This Row],[Début mois]],Tab_Calculs[[#This Row],[Début periode livraison]]))</f>
        <v>0</v>
      </c>
      <c r="M555" s="94" t="e">
        <f ca="1">INDEX(INDIRECT(CONCATENATE("Tab_",Tab_Calculs[[#This Row],[Colonne1]])),Tab_Calculs[[#This Row],[index_date_livraison]]+1,6)*(Tab_Calculs[[#This Row],[fin mois]]-MIN(Tab_Calculs[[#This Row],[fin mois]],Tab_Calculs[[#This Row],[Date_livraison]]))</f>
        <v>#VALUE!</v>
      </c>
      <c r="N555" s="231" t="str">
        <f ca="1">IFERROR(Tab_Calculs[[#This Row],[Ratio_jour_après_livr]]+Tab_Calculs[[#This Row],[Ratio_jour_avant_livr]]+Tab_Calculs[[#This Row],[ratio_avant_debut]],"")</f>
        <v/>
      </c>
      <c r="O555" t="e">
        <f ca="1">INDEX(INDIRECT(CONCATENATE("Tab_",Tab_Calculs[[#This Row],[Colonne1]])),Tab_Calculs[[#This Row],[index_date_livraison]]-1,7)*(MAX(Tab_Calculs[[#This Row],[Début periode livraison]],Tab_Calculs[[#This Row],[Début mois]])-Tab_Calculs[[#This Row],[Début mois]])</f>
        <v>#VALUE!</v>
      </c>
      <c r="P555">
        <f ca="1">INDEX(INDIRECT(CONCATENATE("Tab_",Tab_Calculs[[#This Row],[Colonne1]])),Tab_Calculs[[#This Row],[index_date_livraison]],7)*(1+MIN(Tab_Calculs[[#This Row],[Date_livraison]],Tab_Calculs[[#This Row],[fin mois]])-MAX(Tab_Calculs[[#This Row],[Début mois]],Tab_Calculs[[#This Row],[Début periode livraison]]))</f>
        <v>0</v>
      </c>
      <c r="Q555" t="e">
        <f ca="1">INDEX(INDIRECT(CONCATENATE("Tab_",Tab_Calculs[[#This Row],[Colonne1]])),Tab_Calculs[[#This Row],[index_date_livraison]]+1,7)*(Tab_Calculs[[#This Row],[fin mois]]-MIN(Tab_Calculs[[#This Row],[fin mois]],Tab_Calculs[[#This Row],[Date_livraison]]))</f>
        <v>#VALUE!</v>
      </c>
      <c r="R555" t="e">
        <f ca="1">Tab_Calculs[[#This Row],[Ratio_Cout_après_livr]]+Tab_Calculs[[#This Row],[Ratio_Cout_avant_livr]]+Tab_Calculs[[#This Row],[Ratio_Cout_avant_debut]]</f>
        <v>#VALUE!</v>
      </c>
      <c r="S555" t="str">
        <f ca="1">IFERROR(N555*VLOOKUP(Tab_Calculs[[#This Row],[Colonne1]],Controle_des_données!$B$7:$G$14,6,FALSE),"")</f>
        <v/>
      </c>
      <c r="T555" t="str">
        <f ca="1">IF(Tab_Calculs[[#This Row],[Combustible ]]="Electricité (kWh)",Tab_Calculs[[#This Row],[Conso_mois_kWh]]*2.3,Tab_Calculs[[#This Row],[Conso_mois_kWh]])</f>
        <v/>
      </c>
      <c r="U555" t="str">
        <f ca="1">IFERROR(N555*VLOOKUP(Tab_Calculs[[#This Row],[Colonne1]],Controle_des_données!$B$7:$H$14,7,FALSE),"")</f>
        <v/>
      </c>
      <c r="V555">
        <f ca="1">IFERROR(Tab_Calculs[[#This Row],[Cout_mois]]/Tab_Calculs[[#This Row],[Conso_mois_kWh]],0)</f>
        <v>0</v>
      </c>
      <c r="W555" t="str">
        <f>T(VLOOKUP(Tab_Calculs[[#This Row],[Compteur]],Site!$B$33:$G$40,3,FALSE))</f>
        <v/>
      </c>
      <c r="X555" t="str">
        <f>T(VLOOKUP(Tab_Calculs[[#This Row],[Compteur]],Site!$B$33:$G$40,4,FALSE))</f>
        <v/>
      </c>
      <c r="Y555" t="str">
        <f>T(VLOOKUP(Tab_Calculs[[#This Row],[Compteur]],Site!$B$33:$G$40,5,FALSE))</f>
        <v/>
      </c>
      <c r="Z555" t="str">
        <f>T(VLOOKUP(Tab_Calculs[[#This Row],[Compteur]],Site!$B$33:$G$40,6,FALSE))</f>
        <v/>
      </c>
      <c r="AA555">
        <f>IFERROR(GETPIVOTDATA("DJU(chauffagiste)",BDD_DJU!$P$13,"annee",Tab_Calculs[[#This Row],[ANNEE]],"mois_numero",Tab_Calculs[[#This Row],[MOIS]]),0)</f>
        <v>24.1</v>
      </c>
    </row>
    <row r="556" spans="1:27" x14ac:dyDescent="0.25">
      <c r="A556" s="3">
        <f>DATE(Tab_Calculs[[#This Row],[ANNEE]],Tab_Calculs[[#This Row],[MOIS]],1)</f>
        <v>45139</v>
      </c>
      <c r="B556" s="3">
        <f>EDATE(Tab_Calculs[[#This Row],[Début mois]],1)-1</f>
        <v>45169</v>
      </c>
      <c r="C556">
        <f t="shared" si="17"/>
        <v>8</v>
      </c>
      <c r="D556">
        <f t="shared" si="19"/>
        <v>2023</v>
      </c>
      <c r="E556" t="s">
        <v>82</v>
      </c>
      <c r="F556" t="str">
        <f>SUBSTITUTE(Tab_Calculs[[#This Row],[Compteur]]," ","_")</f>
        <v>Compteur_3</v>
      </c>
      <c r="G556" t="str">
        <f>T(INDEX(Site!$B$33:$G$40, MATCH(Tab_Calculs[[#This Row],[Compteur]], Site!$B$33:$B$40,0),2))</f>
        <v/>
      </c>
      <c r="H556" s="3">
        <f t="array" aca="1" ref="H556" ca="1">MIN(IF(INDIRECT(CONCATENATE(Tab_Calculs[[#This Row],[Colonne1]],"!$B$2:$B$243"))&gt;=Calculs_Consos!$A556,INDIRECT(CONCATENATE(Tab_Calculs[[#This Row],[Colonne1]],"!$B$2:$B$243"))))</f>
        <v>0</v>
      </c>
      <c r="I556" s="3">
        <f ca="1">INDEX(INDIRECT(CONCATENATE("Tab_",Tab_Calculs[[#This Row],[Colonne1]])),Tab_Calculs[[#This Row],[index_date_livraison]],1)</f>
        <v>0</v>
      </c>
      <c r="J556">
        <f ca="1">MATCH(Tab_Calculs[[#This Row],[Date_livraison]],INDIRECT(CONCATENATE("Tab_",Tab_Calculs[[#This Row],[Colonne1]],"[Fin de période]")),0)</f>
        <v>1</v>
      </c>
      <c r="K556" t="e">
        <f ca="1">INDEX(INDIRECT(CONCATENATE("Tab_",Tab_Calculs[[#This Row],[Colonne1]])),Tab_Calculs[[#This Row],[index_date_livraison]]-1,6)*(MAX(Tab_Calculs[[#This Row],[Début periode livraison]],Tab_Calculs[[#This Row],[Début mois]])-Tab_Calculs[[#This Row],[Début mois]])</f>
        <v>#VALUE!</v>
      </c>
      <c r="L556" s="94">
        <f ca="1">INDEX(INDIRECT(CONCATENATE("Tab_",Tab_Calculs[[#This Row],[Colonne1]])),Tab_Calculs[[#This Row],[index_date_livraison]],6)*(1+MIN(Tab_Calculs[[#This Row],[Date_livraison]],Tab_Calculs[[#This Row],[fin mois]])-MAX(Tab_Calculs[[#This Row],[Début mois]],Tab_Calculs[[#This Row],[Début periode livraison]]))</f>
        <v>0</v>
      </c>
      <c r="M556" s="94" t="e">
        <f ca="1">INDEX(INDIRECT(CONCATENATE("Tab_",Tab_Calculs[[#This Row],[Colonne1]])),Tab_Calculs[[#This Row],[index_date_livraison]]+1,6)*(Tab_Calculs[[#This Row],[fin mois]]-MIN(Tab_Calculs[[#This Row],[fin mois]],Tab_Calculs[[#This Row],[Date_livraison]]))</f>
        <v>#VALUE!</v>
      </c>
      <c r="N556" s="231" t="str">
        <f ca="1">IFERROR(Tab_Calculs[[#This Row],[Ratio_jour_après_livr]]+Tab_Calculs[[#This Row],[Ratio_jour_avant_livr]]+Tab_Calculs[[#This Row],[ratio_avant_debut]],"")</f>
        <v/>
      </c>
      <c r="O556" t="e">
        <f ca="1">INDEX(INDIRECT(CONCATENATE("Tab_",Tab_Calculs[[#This Row],[Colonne1]])),Tab_Calculs[[#This Row],[index_date_livraison]]-1,7)*(MAX(Tab_Calculs[[#This Row],[Début periode livraison]],Tab_Calculs[[#This Row],[Début mois]])-Tab_Calculs[[#This Row],[Début mois]])</f>
        <v>#VALUE!</v>
      </c>
      <c r="P556">
        <f ca="1">INDEX(INDIRECT(CONCATENATE("Tab_",Tab_Calculs[[#This Row],[Colonne1]])),Tab_Calculs[[#This Row],[index_date_livraison]],7)*(1+MIN(Tab_Calculs[[#This Row],[Date_livraison]],Tab_Calculs[[#This Row],[fin mois]])-MAX(Tab_Calculs[[#This Row],[Début mois]],Tab_Calculs[[#This Row],[Début periode livraison]]))</f>
        <v>0</v>
      </c>
      <c r="Q556" t="e">
        <f ca="1">INDEX(INDIRECT(CONCATENATE("Tab_",Tab_Calculs[[#This Row],[Colonne1]])),Tab_Calculs[[#This Row],[index_date_livraison]]+1,7)*(Tab_Calculs[[#This Row],[fin mois]]-MIN(Tab_Calculs[[#This Row],[fin mois]],Tab_Calculs[[#This Row],[Date_livraison]]))</f>
        <v>#VALUE!</v>
      </c>
      <c r="R556" t="e">
        <f ca="1">Tab_Calculs[[#This Row],[Ratio_Cout_après_livr]]+Tab_Calculs[[#This Row],[Ratio_Cout_avant_livr]]+Tab_Calculs[[#This Row],[Ratio_Cout_avant_debut]]</f>
        <v>#VALUE!</v>
      </c>
      <c r="S556" t="str">
        <f ca="1">IFERROR(N556*VLOOKUP(Tab_Calculs[[#This Row],[Colonne1]],Controle_des_données!$B$7:$G$14,6,FALSE),"")</f>
        <v/>
      </c>
      <c r="T556" t="str">
        <f ca="1">IF(Tab_Calculs[[#This Row],[Combustible ]]="Electricité (kWh)",Tab_Calculs[[#This Row],[Conso_mois_kWh]]*2.3,Tab_Calculs[[#This Row],[Conso_mois_kWh]])</f>
        <v/>
      </c>
      <c r="U556" t="str">
        <f ca="1">IFERROR(N556*VLOOKUP(Tab_Calculs[[#This Row],[Colonne1]],Controle_des_données!$B$7:$H$14,7,FALSE),"")</f>
        <v/>
      </c>
      <c r="V556">
        <f ca="1">IFERROR(Tab_Calculs[[#This Row],[Cout_mois]]/Tab_Calculs[[#This Row],[Conso_mois_kWh]],0)</f>
        <v>0</v>
      </c>
      <c r="W556" t="str">
        <f>T(VLOOKUP(Tab_Calculs[[#This Row],[Compteur]],Site!$B$33:$G$40,3,FALSE))</f>
        <v/>
      </c>
      <c r="X556" t="str">
        <f>T(VLOOKUP(Tab_Calculs[[#This Row],[Compteur]],Site!$B$33:$G$40,4,FALSE))</f>
        <v/>
      </c>
      <c r="Y556" t="str">
        <f>T(VLOOKUP(Tab_Calculs[[#This Row],[Compteur]],Site!$B$33:$G$40,5,FALSE))</f>
        <v/>
      </c>
      <c r="Z556" t="str">
        <f>T(VLOOKUP(Tab_Calculs[[#This Row],[Compteur]],Site!$B$33:$G$40,6,FALSE))</f>
        <v/>
      </c>
      <c r="AA556">
        <f>IFERROR(GETPIVOTDATA("DJU(chauffagiste)",BDD_DJU!$P$13,"annee",Tab_Calculs[[#This Row],[ANNEE]],"mois_numero",Tab_Calculs[[#This Row],[MOIS]]),0)</f>
        <v>27.9</v>
      </c>
    </row>
    <row r="557" spans="1:27" x14ac:dyDescent="0.25">
      <c r="A557" s="3">
        <f>DATE(Tab_Calculs[[#This Row],[ANNEE]],Tab_Calculs[[#This Row],[MOIS]],1)</f>
        <v>45170</v>
      </c>
      <c r="B557" s="3">
        <f>EDATE(Tab_Calculs[[#This Row],[Début mois]],1)-1</f>
        <v>45199</v>
      </c>
      <c r="C557">
        <f t="shared" si="17"/>
        <v>9</v>
      </c>
      <c r="D557">
        <f t="shared" si="19"/>
        <v>2023</v>
      </c>
      <c r="E557" t="s">
        <v>82</v>
      </c>
      <c r="F557" t="str">
        <f>SUBSTITUTE(Tab_Calculs[[#This Row],[Compteur]]," ","_")</f>
        <v>Compteur_3</v>
      </c>
      <c r="G557" t="str">
        <f>T(INDEX(Site!$B$33:$G$40, MATCH(Tab_Calculs[[#This Row],[Compteur]], Site!$B$33:$B$40,0),2))</f>
        <v/>
      </c>
      <c r="H557" s="3">
        <f t="array" aca="1" ref="H557" ca="1">MIN(IF(INDIRECT(CONCATENATE(Tab_Calculs[[#This Row],[Colonne1]],"!$B$2:$B$243"))&gt;=Calculs_Consos!$A557,INDIRECT(CONCATENATE(Tab_Calculs[[#This Row],[Colonne1]],"!$B$2:$B$243"))))</f>
        <v>0</v>
      </c>
      <c r="I557" s="3">
        <f ca="1">INDEX(INDIRECT(CONCATENATE("Tab_",Tab_Calculs[[#This Row],[Colonne1]])),Tab_Calculs[[#This Row],[index_date_livraison]],1)</f>
        <v>0</v>
      </c>
      <c r="J557">
        <f ca="1">MATCH(Tab_Calculs[[#This Row],[Date_livraison]],INDIRECT(CONCATENATE("Tab_",Tab_Calculs[[#This Row],[Colonne1]],"[Fin de période]")),0)</f>
        <v>1</v>
      </c>
      <c r="K557" t="e">
        <f ca="1">INDEX(INDIRECT(CONCATENATE("Tab_",Tab_Calculs[[#This Row],[Colonne1]])),Tab_Calculs[[#This Row],[index_date_livraison]]-1,6)*(MAX(Tab_Calculs[[#This Row],[Début periode livraison]],Tab_Calculs[[#This Row],[Début mois]])-Tab_Calculs[[#This Row],[Début mois]])</f>
        <v>#VALUE!</v>
      </c>
      <c r="L557" s="94">
        <f ca="1">INDEX(INDIRECT(CONCATENATE("Tab_",Tab_Calculs[[#This Row],[Colonne1]])),Tab_Calculs[[#This Row],[index_date_livraison]],6)*(1+MIN(Tab_Calculs[[#This Row],[Date_livraison]],Tab_Calculs[[#This Row],[fin mois]])-MAX(Tab_Calculs[[#This Row],[Début mois]],Tab_Calculs[[#This Row],[Début periode livraison]]))</f>
        <v>0</v>
      </c>
      <c r="M557" s="94" t="e">
        <f ca="1">INDEX(INDIRECT(CONCATENATE("Tab_",Tab_Calculs[[#This Row],[Colonne1]])),Tab_Calculs[[#This Row],[index_date_livraison]]+1,6)*(Tab_Calculs[[#This Row],[fin mois]]-MIN(Tab_Calculs[[#This Row],[fin mois]],Tab_Calculs[[#This Row],[Date_livraison]]))</f>
        <v>#VALUE!</v>
      </c>
      <c r="N557" s="231" t="str">
        <f ca="1">IFERROR(Tab_Calculs[[#This Row],[Ratio_jour_après_livr]]+Tab_Calculs[[#This Row],[Ratio_jour_avant_livr]]+Tab_Calculs[[#This Row],[ratio_avant_debut]],"")</f>
        <v/>
      </c>
      <c r="O557" t="e">
        <f ca="1">INDEX(INDIRECT(CONCATENATE("Tab_",Tab_Calculs[[#This Row],[Colonne1]])),Tab_Calculs[[#This Row],[index_date_livraison]]-1,7)*(MAX(Tab_Calculs[[#This Row],[Début periode livraison]],Tab_Calculs[[#This Row],[Début mois]])-Tab_Calculs[[#This Row],[Début mois]])</f>
        <v>#VALUE!</v>
      </c>
      <c r="P557">
        <f ca="1">INDEX(INDIRECT(CONCATENATE("Tab_",Tab_Calculs[[#This Row],[Colonne1]])),Tab_Calculs[[#This Row],[index_date_livraison]],7)*(1+MIN(Tab_Calculs[[#This Row],[Date_livraison]],Tab_Calculs[[#This Row],[fin mois]])-MAX(Tab_Calculs[[#This Row],[Début mois]],Tab_Calculs[[#This Row],[Début periode livraison]]))</f>
        <v>0</v>
      </c>
      <c r="Q557" t="e">
        <f ca="1">INDEX(INDIRECT(CONCATENATE("Tab_",Tab_Calculs[[#This Row],[Colonne1]])),Tab_Calculs[[#This Row],[index_date_livraison]]+1,7)*(Tab_Calculs[[#This Row],[fin mois]]-MIN(Tab_Calculs[[#This Row],[fin mois]],Tab_Calculs[[#This Row],[Date_livraison]]))</f>
        <v>#VALUE!</v>
      </c>
      <c r="R557" t="e">
        <f ca="1">Tab_Calculs[[#This Row],[Ratio_Cout_après_livr]]+Tab_Calculs[[#This Row],[Ratio_Cout_avant_livr]]+Tab_Calculs[[#This Row],[Ratio_Cout_avant_debut]]</f>
        <v>#VALUE!</v>
      </c>
      <c r="S557" t="str">
        <f ca="1">IFERROR(N557*VLOOKUP(Tab_Calculs[[#This Row],[Colonne1]],Controle_des_données!$B$7:$G$14,6,FALSE),"")</f>
        <v/>
      </c>
      <c r="T557" t="str">
        <f ca="1">IF(Tab_Calculs[[#This Row],[Combustible ]]="Electricité (kWh)",Tab_Calculs[[#This Row],[Conso_mois_kWh]]*2.3,Tab_Calculs[[#This Row],[Conso_mois_kWh]])</f>
        <v/>
      </c>
      <c r="U557" t="str">
        <f ca="1">IFERROR(N557*VLOOKUP(Tab_Calculs[[#This Row],[Colonne1]],Controle_des_données!$B$7:$H$14,7,FALSE),"")</f>
        <v/>
      </c>
      <c r="V557">
        <f ca="1">IFERROR(Tab_Calculs[[#This Row],[Cout_mois]]/Tab_Calculs[[#This Row],[Conso_mois_kWh]],0)</f>
        <v>0</v>
      </c>
      <c r="W557" t="str">
        <f>T(VLOOKUP(Tab_Calculs[[#This Row],[Compteur]],Site!$B$33:$G$40,3,FALSE))</f>
        <v/>
      </c>
      <c r="X557" t="str">
        <f>T(VLOOKUP(Tab_Calculs[[#This Row],[Compteur]],Site!$B$33:$G$40,4,FALSE))</f>
        <v/>
      </c>
      <c r="Y557" t="str">
        <f>T(VLOOKUP(Tab_Calculs[[#This Row],[Compteur]],Site!$B$33:$G$40,5,FALSE))</f>
        <v/>
      </c>
      <c r="Z557" t="str">
        <f>T(VLOOKUP(Tab_Calculs[[#This Row],[Compteur]],Site!$B$33:$G$40,6,FALSE))</f>
        <v/>
      </c>
      <c r="AA557">
        <f>IFERROR(GETPIVOTDATA("DJU(chauffagiste)",BDD_DJU!$P$13,"annee",Tab_Calculs[[#This Row],[ANNEE]],"mois_numero",Tab_Calculs[[#This Row],[MOIS]]),0)</f>
        <v>30.5</v>
      </c>
    </row>
    <row r="558" spans="1:27" x14ac:dyDescent="0.25">
      <c r="A558" s="3">
        <f>DATE(Tab_Calculs[[#This Row],[ANNEE]],Tab_Calculs[[#This Row],[MOIS]],1)</f>
        <v>45200</v>
      </c>
      <c r="B558" s="3">
        <f>EDATE(Tab_Calculs[[#This Row],[Début mois]],1)-1</f>
        <v>45230</v>
      </c>
      <c r="C558">
        <f t="shared" si="17"/>
        <v>10</v>
      </c>
      <c r="D558">
        <f t="shared" si="19"/>
        <v>2023</v>
      </c>
      <c r="E558" t="s">
        <v>82</v>
      </c>
      <c r="F558" t="str">
        <f>SUBSTITUTE(Tab_Calculs[[#This Row],[Compteur]]," ","_")</f>
        <v>Compteur_3</v>
      </c>
      <c r="G558" t="str">
        <f>T(INDEX(Site!$B$33:$G$40, MATCH(Tab_Calculs[[#This Row],[Compteur]], Site!$B$33:$B$40,0),2))</f>
        <v/>
      </c>
      <c r="H558" s="3">
        <f t="array" aca="1" ref="H558" ca="1">MIN(IF(INDIRECT(CONCATENATE(Tab_Calculs[[#This Row],[Colonne1]],"!$B$2:$B$243"))&gt;=Calculs_Consos!$A558,INDIRECT(CONCATENATE(Tab_Calculs[[#This Row],[Colonne1]],"!$B$2:$B$243"))))</f>
        <v>0</v>
      </c>
      <c r="I558" s="3">
        <f ca="1">INDEX(INDIRECT(CONCATENATE("Tab_",Tab_Calculs[[#This Row],[Colonne1]])),Tab_Calculs[[#This Row],[index_date_livraison]],1)</f>
        <v>0</v>
      </c>
      <c r="J558">
        <f ca="1">MATCH(Tab_Calculs[[#This Row],[Date_livraison]],INDIRECT(CONCATENATE("Tab_",Tab_Calculs[[#This Row],[Colonne1]],"[Fin de période]")),0)</f>
        <v>1</v>
      </c>
      <c r="K558" t="e">
        <f ca="1">INDEX(INDIRECT(CONCATENATE("Tab_",Tab_Calculs[[#This Row],[Colonne1]])),Tab_Calculs[[#This Row],[index_date_livraison]]-1,6)*(MAX(Tab_Calculs[[#This Row],[Début periode livraison]],Tab_Calculs[[#This Row],[Début mois]])-Tab_Calculs[[#This Row],[Début mois]])</f>
        <v>#VALUE!</v>
      </c>
      <c r="L558" s="94">
        <f ca="1">INDEX(INDIRECT(CONCATENATE("Tab_",Tab_Calculs[[#This Row],[Colonne1]])),Tab_Calculs[[#This Row],[index_date_livraison]],6)*(1+MIN(Tab_Calculs[[#This Row],[Date_livraison]],Tab_Calculs[[#This Row],[fin mois]])-MAX(Tab_Calculs[[#This Row],[Début mois]],Tab_Calculs[[#This Row],[Début periode livraison]]))</f>
        <v>0</v>
      </c>
      <c r="M558" s="94" t="e">
        <f ca="1">INDEX(INDIRECT(CONCATENATE("Tab_",Tab_Calculs[[#This Row],[Colonne1]])),Tab_Calculs[[#This Row],[index_date_livraison]]+1,6)*(Tab_Calculs[[#This Row],[fin mois]]-MIN(Tab_Calculs[[#This Row],[fin mois]],Tab_Calculs[[#This Row],[Date_livraison]]))</f>
        <v>#VALUE!</v>
      </c>
      <c r="N558" s="231" t="str">
        <f ca="1">IFERROR(Tab_Calculs[[#This Row],[Ratio_jour_après_livr]]+Tab_Calculs[[#This Row],[Ratio_jour_avant_livr]]+Tab_Calculs[[#This Row],[ratio_avant_debut]],"")</f>
        <v/>
      </c>
      <c r="O558" t="e">
        <f ca="1">INDEX(INDIRECT(CONCATENATE("Tab_",Tab_Calculs[[#This Row],[Colonne1]])),Tab_Calculs[[#This Row],[index_date_livraison]]-1,7)*(MAX(Tab_Calculs[[#This Row],[Début periode livraison]],Tab_Calculs[[#This Row],[Début mois]])-Tab_Calculs[[#This Row],[Début mois]])</f>
        <v>#VALUE!</v>
      </c>
      <c r="P558">
        <f ca="1">INDEX(INDIRECT(CONCATENATE("Tab_",Tab_Calculs[[#This Row],[Colonne1]])),Tab_Calculs[[#This Row],[index_date_livraison]],7)*(1+MIN(Tab_Calculs[[#This Row],[Date_livraison]],Tab_Calculs[[#This Row],[fin mois]])-MAX(Tab_Calculs[[#This Row],[Début mois]],Tab_Calculs[[#This Row],[Début periode livraison]]))</f>
        <v>0</v>
      </c>
      <c r="Q558" t="e">
        <f ca="1">INDEX(INDIRECT(CONCATENATE("Tab_",Tab_Calculs[[#This Row],[Colonne1]])),Tab_Calculs[[#This Row],[index_date_livraison]]+1,7)*(Tab_Calculs[[#This Row],[fin mois]]-MIN(Tab_Calculs[[#This Row],[fin mois]],Tab_Calculs[[#This Row],[Date_livraison]]))</f>
        <v>#VALUE!</v>
      </c>
      <c r="R558" t="e">
        <f ca="1">Tab_Calculs[[#This Row],[Ratio_Cout_après_livr]]+Tab_Calculs[[#This Row],[Ratio_Cout_avant_livr]]+Tab_Calculs[[#This Row],[Ratio_Cout_avant_debut]]</f>
        <v>#VALUE!</v>
      </c>
      <c r="S558" t="str">
        <f ca="1">IFERROR(N558*VLOOKUP(Tab_Calculs[[#This Row],[Colonne1]],Controle_des_données!$B$7:$G$14,6,FALSE),"")</f>
        <v/>
      </c>
      <c r="T558" t="str">
        <f ca="1">IF(Tab_Calculs[[#This Row],[Combustible ]]="Electricité (kWh)",Tab_Calculs[[#This Row],[Conso_mois_kWh]]*2.3,Tab_Calculs[[#This Row],[Conso_mois_kWh]])</f>
        <v/>
      </c>
      <c r="U558" t="str">
        <f ca="1">IFERROR(N558*VLOOKUP(Tab_Calculs[[#This Row],[Colonne1]],Controle_des_données!$B$7:$H$14,7,FALSE),"")</f>
        <v/>
      </c>
      <c r="V558">
        <f ca="1">IFERROR(Tab_Calculs[[#This Row],[Cout_mois]]/Tab_Calculs[[#This Row],[Conso_mois_kWh]],0)</f>
        <v>0</v>
      </c>
      <c r="W558" t="str">
        <f>T(VLOOKUP(Tab_Calculs[[#This Row],[Compteur]],Site!$B$33:$G$40,3,FALSE))</f>
        <v/>
      </c>
      <c r="X558" t="str">
        <f>T(VLOOKUP(Tab_Calculs[[#This Row],[Compteur]],Site!$B$33:$G$40,4,FALSE))</f>
        <v/>
      </c>
      <c r="Y558" t="str">
        <f>T(VLOOKUP(Tab_Calculs[[#This Row],[Compteur]],Site!$B$33:$G$40,5,FALSE))</f>
        <v/>
      </c>
      <c r="Z558" t="str">
        <f>T(VLOOKUP(Tab_Calculs[[#This Row],[Compteur]],Site!$B$33:$G$40,6,FALSE))</f>
        <v/>
      </c>
      <c r="AA558">
        <f>IFERROR(GETPIVOTDATA("DJU(chauffagiste)",BDD_DJU!$P$13,"annee",Tab_Calculs[[#This Row],[ANNEE]],"mois_numero",Tab_Calculs[[#This Row],[MOIS]]),0)</f>
        <v>115.8</v>
      </c>
    </row>
    <row r="559" spans="1:27" x14ac:dyDescent="0.25">
      <c r="A559" s="3">
        <f>DATE(Tab_Calculs[[#This Row],[ANNEE]],Tab_Calculs[[#This Row],[MOIS]],1)</f>
        <v>45231</v>
      </c>
      <c r="B559" s="3">
        <f>EDATE(Tab_Calculs[[#This Row],[Début mois]],1)-1</f>
        <v>45260</v>
      </c>
      <c r="C559">
        <f t="shared" si="17"/>
        <v>11</v>
      </c>
      <c r="D559">
        <f t="shared" si="19"/>
        <v>2023</v>
      </c>
      <c r="E559" t="s">
        <v>82</v>
      </c>
      <c r="F559" t="str">
        <f>SUBSTITUTE(Tab_Calculs[[#This Row],[Compteur]]," ","_")</f>
        <v>Compteur_3</v>
      </c>
      <c r="G559" t="str">
        <f>T(INDEX(Site!$B$33:$G$40, MATCH(Tab_Calculs[[#This Row],[Compteur]], Site!$B$33:$B$40,0),2))</f>
        <v/>
      </c>
      <c r="H559" s="3">
        <f t="array" aca="1" ref="H559" ca="1">MIN(IF(INDIRECT(CONCATENATE(Tab_Calculs[[#This Row],[Colonne1]],"!$B$2:$B$243"))&gt;=Calculs_Consos!$A559,INDIRECT(CONCATENATE(Tab_Calculs[[#This Row],[Colonne1]],"!$B$2:$B$243"))))</f>
        <v>0</v>
      </c>
      <c r="I559" s="3">
        <f ca="1">INDEX(INDIRECT(CONCATENATE("Tab_",Tab_Calculs[[#This Row],[Colonne1]])),Tab_Calculs[[#This Row],[index_date_livraison]],1)</f>
        <v>0</v>
      </c>
      <c r="J559">
        <f ca="1">MATCH(Tab_Calculs[[#This Row],[Date_livraison]],INDIRECT(CONCATENATE("Tab_",Tab_Calculs[[#This Row],[Colonne1]],"[Fin de période]")),0)</f>
        <v>1</v>
      </c>
      <c r="K559" t="e">
        <f ca="1">INDEX(INDIRECT(CONCATENATE("Tab_",Tab_Calculs[[#This Row],[Colonne1]])),Tab_Calculs[[#This Row],[index_date_livraison]]-1,6)*(MAX(Tab_Calculs[[#This Row],[Début periode livraison]],Tab_Calculs[[#This Row],[Début mois]])-Tab_Calculs[[#This Row],[Début mois]])</f>
        <v>#VALUE!</v>
      </c>
      <c r="L559" s="94">
        <f ca="1">INDEX(INDIRECT(CONCATENATE("Tab_",Tab_Calculs[[#This Row],[Colonne1]])),Tab_Calculs[[#This Row],[index_date_livraison]],6)*(1+MIN(Tab_Calculs[[#This Row],[Date_livraison]],Tab_Calculs[[#This Row],[fin mois]])-MAX(Tab_Calculs[[#This Row],[Début mois]],Tab_Calculs[[#This Row],[Début periode livraison]]))</f>
        <v>0</v>
      </c>
      <c r="M559" s="94" t="e">
        <f ca="1">INDEX(INDIRECT(CONCATENATE("Tab_",Tab_Calculs[[#This Row],[Colonne1]])),Tab_Calculs[[#This Row],[index_date_livraison]]+1,6)*(Tab_Calculs[[#This Row],[fin mois]]-MIN(Tab_Calculs[[#This Row],[fin mois]],Tab_Calculs[[#This Row],[Date_livraison]]))</f>
        <v>#VALUE!</v>
      </c>
      <c r="N559" s="231" t="str">
        <f ca="1">IFERROR(Tab_Calculs[[#This Row],[Ratio_jour_après_livr]]+Tab_Calculs[[#This Row],[Ratio_jour_avant_livr]]+Tab_Calculs[[#This Row],[ratio_avant_debut]],"")</f>
        <v/>
      </c>
      <c r="O559" t="e">
        <f ca="1">INDEX(INDIRECT(CONCATENATE("Tab_",Tab_Calculs[[#This Row],[Colonne1]])),Tab_Calculs[[#This Row],[index_date_livraison]]-1,7)*(MAX(Tab_Calculs[[#This Row],[Début periode livraison]],Tab_Calculs[[#This Row],[Début mois]])-Tab_Calculs[[#This Row],[Début mois]])</f>
        <v>#VALUE!</v>
      </c>
      <c r="P559">
        <f ca="1">INDEX(INDIRECT(CONCATENATE("Tab_",Tab_Calculs[[#This Row],[Colonne1]])),Tab_Calculs[[#This Row],[index_date_livraison]],7)*(1+MIN(Tab_Calculs[[#This Row],[Date_livraison]],Tab_Calculs[[#This Row],[fin mois]])-MAX(Tab_Calculs[[#This Row],[Début mois]],Tab_Calculs[[#This Row],[Début periode livraison]]))</f>
        <v>0</v>
      </c>
      <c r="Q559" t="e">
        <f ca="1">INDEX(INDIRECT(CONCATENATE("Tab_",Tab_Calculs[[#This Row],[Colonne1]])),Tab_Calculs[[#This Row],[index_date_livraison]]+1,7)*(Tab_Calculs[[#This Row],[fin mois]]-MIN(Tab_Calculs[[#This Row],[fin mois]],Tab_Calculs[[#This Row],[Date_livraison]]))</f>
        <v>#VALUE!</v>
      </c>
      <c r="R559" t="e">
        <f ca="1">Tab_Calculs[[#This Row],[Ratio_Cout_après_livr]]+Tab_Calculs[[#This Row],[Ratio_Cout_avant_livr]]+Tab_Calculs[[#This Row],[Ratio_Cout_avant_debut]]</f>
        <v>#VALUE!</v>
      </c>
      <c r="S559" t="str">
        <f ca="1">IFERROR(N559*VLOOKUP(Tab_Calculs[[#This Row],[Colonne1]],Controle_des_données!$B$7:$G$14,6,FALSE),"")</f>
        <v/>
      </c>
      <c r="T559" t="str">
        <f ca="1">IF(Tab_Calculs[[#This Row],[Combustible ]]="Electricité (kWh)",Tab_Calculs[[#This Row],[Conso_mois_kWh]]*2.3,Tab_Calculs[[#This Row],[Conso_mois_kWh]])</f>
        <v/>
      </c>
      <c r="U559" t="str">
        <f ca="1">IFERROR(N559*VLOOKUP(Tab_Calculs[[#This Row],[Colonne1]],Controle_des_données!$B$7:$H$14,7,FALSE),"")</f>
        <v/>
      </c>
      <c r="V559">
        <f ca="1">IFERROR(Tab_Calculs[[#This Row],[Cout_mois]]/Tab_Calculs[[#This Row],[Conso_mois_kWh]],0)</f>
        <v>0</v>
      </c>
      <c r="W559" t="str">
        <f>T(VLOOKUP(Tab_Calculs[[#This Row],[Compteur]],Site!$B$33:$G$40,3,FALSE))</f>
        <v/>
      </c>
      <c r="X559" t="str">
        <f>T(VLOOKUP(Tab_Calculs[[#This Row],[Compteur]],Site!$B$33:$G$40,4,FALSE))</f>
        <v/>
      </c>
      <c r="Y559" t="str">
        <f>T(VLOOKUP(Tab_Calculs[[#This Row],[Compteur]],Site!$B$33:$G$40,5,FALSE))</f>
        <v/>
      </c>
      <c r="Z559" t="str">
        <f>T(VLOOKUP(Tab_Calculs[[#This Row],[Compteur]],Site!$B$33:$G$40,6,FALSE))</f>
        <v/>
      </c>
      <c r="AA559">
        <f>IFERROR(GETPIVOTDATA("DJU(chauffagiste)",BDD_DJU!$P$13,"annee",Tab_Calculs[[#This Row],[ANNEE]],"mois_numero",Tab_Calculs[[#This Row],[MOIS]]),0)</f>
        <v>239.8</v>
      </c>
    </row>
    <row r="560" spans="1:27" x14ac:dyDescent="0.25">
      <c r="A560" s="3">
        <f>DATE(Tab_Calculs[[#This Row],[ANNEE]],Tab_Calculs[[#This Row],[MOIS]],1)</f>
        <v>45261</v>
      </c>
      <c r="B560" s="3">
        <f>EDATE(Tab_Calculs[[#This Row],[Début mois]],1)-1</f>
        <v>45291</v>
      </c>
      <c r="C560">
        <f t="shared" si="17"/>
        <v>12</v>
      </c>
      <c r="D560">
        <f t="shared" si="19"/>
        <v>2023</v>
      </c>
      <c r="E560" t="s">
        <v>82</v>
      </c>
      <c r="F560" t="str">
        <f>SUBSTITUTE(Tab_Calculs[[#This Row],[Compteur]]," ","_")</f>
        <v>Compteur_3</v>
      </c>
      <c r="G560" t="str">
        <f>T(INDEX(Site!$B$33:$G$40, MATCH(Tab_Calculs[[#This Row],[Compteur]], Site!$B$33:$B$40,0),2))</f>
        <v/>
      </c>
      <c r="H560" s="3">
        <f t="array" aca="1" ref="H560" ca="1">MIN(IF(INDIRECT(CONCATENATE(Tab_Calculs[[#This Row],[Colonne1]],"!$B$2:$B$243"))&gt;=Calculs_Consos!$A560,INDIRECT(CONCATENATE(Tab_Calculs[[#This Row],[Colonne1]],"!$B$2:$B$243"))))</f>
        <v>0</v>
      </c>
      <c r="I560" s="3">
        <f ca="1">INDEX(INDIRECT(CONCATENATE("Tab_",Tab_Calculs[[#This Row],[Colonne1]])),Tab_Calculs[[#This Row],[index_date_livraison]],1)</f>
        <v>0</v>
      </c>
      <c r="J560">
        <f ca="1">MATCH(Tab_Calculs[[#This Row],[Date_livraison]],INDIRECT(CONCATENATE("Tab_",Tab_Calculs[[#This Row],[Colonne1]],"[Fin de période]")),0)</f>
        <v>1</v>
      </c>
      <c r="K560" t="e">
        <f ca="1">INDEX(INDIRECT(CONCATENATE("Tab_",Tab_Calculs[[#This Row],[Colonne1]])),Tab_Calculs[[#This Row],[index_date_livraison]]-1,6)*(MAX(Tab_Calculs[[#This Row],[Début periode livraison]],Tab_Calculs[[#This Row],[Début mois]])-Tab_Calculs[[#This Row],[Début mois]])</f>
        <v>#VALUE!</v>
      </c>
      <c r="L560" s="94">
        <f ca="1">INDEX(INDIRECT(CONCATENATE("Tab_",Tab_Calculs[[#This Row],[Colonne1]])),Tab_Calculs[[#This Row],[index_date_livraison]],6)*(1+MIN(Tab_Calculs[[#This Row],[Date_livraison]],Tab_Calculs[[#This Row],[fin mois]])-MAX(Tab_Calculs[[#This Row],[Début mois]],Tab_Calculs[[#This Row],[Début periode livraison]]))</f>
        <v>0</v>
      </c>
      <c r="M560" s="94" t="e">
        <f ca="1">INDEX(INDIRECT(CONCATENATE("Tab_",Tab_Calculs[[#This Row],[Colonne1]])),Tab_Calculs[[#This Row],[index_date_livraison]]+1,6)*(Tab_Calculs[[#This Row],[fin mois]]-MIN(Tab_Calculs[[#This Row],[fin mois]],Tab_Calculs[[#This Row],[Date_livraison]]))</f>
        <v>#VALUE!</v>
      </c>
      <c r="N560" s="231" t="str">
        <f ca="1">IFERROR(Tab_Calculs[[#This Row],[Ratio_jour_après_livr]]+Tab_Calculs[[#This Row],[Ratio_jour_avant_livr]]+Tab_Calculs[[#This Row],[ratio_avant_debut]],"")</f>
        <v/>
      </c>
      <c r="O560" t="e">
        <f ca="1">INDEX(INDIRECT(CONCATENATE("Tab_",Tab_Calculs[[#This Row],[Colonne1]])),Tab_Calculs[[#This Row],[index_date_livraison]]-1,7)*(MAX(Tab_Calculs[[#This Row],[Début periode livraison]],Tab_Calculs[[#This Row],[Début mois]])-Tab_Calculs[[#This Row],[Début mois]])</f>
        <v>#VALUE!</v>
      </c>
      <c r="P560">
        <f ca="1">INDEX(INDIRECT(CONCATENATE("Tab_",Tab_Calculs[[#This Row],[Colonne1]])),Tab_Calculs[[#This Row],[index_date_livraison]],7)*(1+MIN(Tab_Calculs[[#This Row],[Date_livraison]],Tab_Calculs[[#This Row],[fin mois]])-MAX(Tab_Calculs[[#This Row],[Début mois]],Tab_Calculs[[#This Row],[Début periode livraison]]))</f>
        <v>0</v>
      </c>
      <c r="Q560" t="e">
        <f ca="1">INDEX(INDIRECT(CONCATENATE("Tab_",Tab_Calculs[[#This Row],[Colonne1]])),Tab_Calculs[[#This Row],[index_date_livraison]]+1,7)*(Tab_Calculs[[#This Row],[fin mois]]-MIN(Tab_Calculs[[#This Row],[fin mois]],Tab_Calculs[[#This Row],[Date_livraison]]))</f>
        <v>#VALUE!</v>
      </c>
      <c r="R560" t="e">
        <f ca="1">Tab_Calculs[[#This Row],[Ratio_Cout_après_livr]]+Tab_Calculs[[#This Row],[Ratio_Cout_avant_livr]]+Tab_Calculs[[#This Row],[Ratio_Cout_avant_debut]]</f>
        <v>#VALUE!</v>
      </c>
      <c r="S560" t="str">
        <f ca="1">IFERROR(N560*VLOOKUP(Tab_Calculs[[#This Row],[Colonne1]],Controle_des_données!$B$7:$G$14,6,FALSE),"")</f>
        <v/>
      </c>
      <c r="T560" t="str">
        <f ca="1">IF(Tab_Calculs[[#This Row],[Combustible ]]="Electricité (kWh)",Tab_Calculs[[#This Row],[Conso_mois_kWh]]*2.3,Tab_Calculs[[#This Row],[Conso_mois_kWh]])</f>
        <v/>
      </c>
      <c r="U560" t="str">
        <f ca="1">IFERROR(N560*VLOOKUP(Tab_Calculs[[#This Row],[Colonne1]],Controle_des_données!$B$7:$H$14,7,FALSE),"")</f>
        <v/>
      </c>
      <c r="V560">
        <f ca="1">IFERROR(Tab_Calculs[[#This Row],[Cout_mois]]/Tab_Calculs[[#This Row],[Conso_mois_kWh]],0)</f>
        <v>0</v>
      </c>
      <c r="W560" t="str">
        <f>T(VLOOKUP(Tab_Calculs[[#This Row],[Compteur]],Site!$B$33:$G$40,3,FALSE))</f>
        <v/>
      </c>
      <c r="X560" t="str">
        <f>T(VLOOKUP(Tab_Calculs[[#This Row],[Compteur]],Site!$B$33:$G$40,4,FALSE))</f>
        <v/>
      </c>
      <c r="Y560" t="str">
        <f>T(VLOOKUP(Tab_Calculs[[#This Row],[Compteur]],Site!$B$33:$G$40,5,FALSE))</f>
        <v/>
      </c>
      <c r="Z560" t="str">
        <f>T(VLOOKUP(Tab_Calculs[[#This Row],[Compteur]],Site!$B$33:$G$40,6,FALSE))</f>
        <v/>
      </c>
      <c r="AA560">
        <f>IFERROR(GETPIVOTDATA("DJU(chauffagiste)",BDD_DJU!$P$13,"annee",Tab_Calculs[[#This Row],[ANNEE]],"mois_numero",Tab_Calculs[[#This Row],[MOIS]]),0)</f>
        <v>300.89999999999998</v>
      </c>
    </row>
    <row r="561" spans="1:27" x14ac:dyDescent="0.25">
      <c r="A561" s="3">
        <f>DATE(Tab_Calculs[[#This Row],[ANNEE]],Tab_Calculs[[#This Row],[MOIS]],1)</f>
        <v>45292</v>
      </c>
      <c r="B561" s="3">
        <f>EDATE(Tab_Calculs[[#This Row],[Début mois]],1)-1</f>
        <v>45322</v>
      </c>
      <c r="C561">
        <f t="shared" si="17"/>
        <v>1</v>
      </c>
      <c r="D561">
        <f t="shared" si="19"/>
        <v>2024</v>
      </c>
      <c r="E561" t="s">
        <v>82</v>
      </c>
      <c r="F561" t="str">
        <f>SUBSTITUTE(Tab_Calculs[[#This Row],[Compteur]]," ","_")</f>
        <v>Compteur_3</v>
      </c>
      <c r="G561" t="str">
        <f>T(INDEX(Site!$B$33:$G$40, MATCH(Tab_Calculs[[#This Row],[Compteur]], Site!$B$33:$B$40,0),2))</f>
        <v/>
      </c>
      <c r="H561" s="3">
        <f t="array" aca="1" ref="H561" ca="1">MIN(IF(INDIRECT(CONCATENATE(Tab_Calculs[[#This Row],[Colonne1]],"!$B$2:$B$243"))&gt;=Calculs_Consos!$A561,INDIRECT(CONCATENATE(Tab_Calculs[[#This Row],[Colonne1]],"!$B$2:$B$243"))))</f>
        <v>0</v>
      </c>
      <c r="I561" s="3">
        <f ca="1">INDEX(INDIRECT(CONCATENATE("Tab_",Tab_Calculs[[#This Row],[Colonne1]])),Tab_Calculs[[#This Row],[index_date_livraison]],1)</f>
        <v>0</v>
      </c>
      <c r="J561">
        <f ca="1">MATCH(Tab_Calculs[[#This Row],[Date_livraison]],INDIRECT(CONCATENATE("Tab_",Tab_Calculs[[#This Row],[Colonne1]],"[Fin de période]")),0)</f>
        <v>1</v>
      </c>
      <c r="K561" t="e">
        <f ca="1">INDEX(INDIRECT(CONCATENATE("Tab_",Tab_Calculs[[#This Row],[Colonne1]])),Tab_Calculs[[#This Row],[index_date_livraison]]-1,6)*(MAX(Tab_Calculs[[#This Row],[Début periode livraison]],Tab_Calculs[[#This Row],[Début mois]])-Tab_Calculs[[#This Row],[Début mois]])</f>
        <v>#VALUE!</v>
      </c>
      <c r="L561" s="94">
        <f ca="1">INDEX(INDIRECT(CONCATENATE("Tab_",Tab_Calculs[[#This Row],[Colonne1]])),Tab_Calculs[[#This Row],[index_date_livraison]],6)*(1+MIN(Tab_Calculs[[#This Row],[Date_livraison]],Tab_Calculs[[#This Row],[fin mois]])-MAX(Tab_Calculs[[#This Row],[Début mois]],Tab_Calculs[[#This Row],[Début periode livraison]]))</f>
        <v>0</v>
      </c>
      <c r="M561" s="94" t="e">
        <f ca="1">INDEX(INDIRECT(CONCATENATE("Tab_",Tab_Calculs[[#This Row],[Colonne1]])),Tab_Calculs[[#This Row],[index_date_livraison]]+1,6)*(Tab_Calculs[[#This Row],[fin mois]]-MIN(Tab_Calculs[[#This Row],[fin mois]],Tab_Calculs[[#This Row],[Date_livraison]]))</f>
        <v>#VALUE!</v>
      </c>
      <c r="N561" s="231" t="str">
        <f ca="1">IFERROR(Tab_Calculs[[#This Row],[Ratio_jour_après_livr]]+Tab_Calculs[[#This Row],[Ratio_jour_avant_livr]]+Tab_Calculs[[#This Row],[ratio_avant_debut]],"")</f>
        <v/>
      </c>
      <c r="O561" t="e">
        <f ca="1">INDEX(INDIRECT(CONCATENATE("Tab_",Tab_Calculs[[#This Row],[Colonne1]])),Tab_Calculs[[#This Row],[index_date_livraison]]-1,7)*(MAX(Tab_Calculs[[#This Row],[Début periode livraison]],Tab_Calculs[[#This Row],[Début mois]])-Tab_Calculs[[#This Row],[Début mois]])</f>
        <v>#VALUE!</v>
      </c>
      <c r="P561">
        <f ca="1">INDEX(INDIRECT(CONCATENATE("Tab_",Tab_Calculs[[#This Row],[Colonne1]])),Tab_Calculs[[#This Row],[index_date_livraison]],7)*(1+MIN(Tab_Calculs[[#This Row],[Date_livraison]],Tab_Calculs[[#This Row],[fin mois]])-MAX(Tab_Calculs[[#This Row],[Début mois]],Tab_Calculs[[#This Row],[Début periode livraison]]))</f>
        <v>0</v>
      </c>
      <c r="Q561" t="e">
        <f ca="1">INDEX(INDIRECT(CONCATENATE("Tab_",Tab_Calculs[[#This Row],[Colonne1]])),Tab_Calculs[[#This Row],[index_date_livraison]]+1,7)*(Tab_Calculs[[#This Row],[fin mois]]-MIN(Tab_Calculs[[#This Row],[fin mois]],Tab_Calculs[[#This Row],[Date_livraison]]))</f>
        <v>#VALUE!</v>
      </c>
      <c r="R561" t="e">
        <f ca="1">Tab_Calculs[[#This Row],[Ratio_Cout_après_livr]]+Tab_Calculs[[#This Row],[Ratio_Cout_avant_livr]]+Tab_Calculs[[#This Row],[Ratio_Cout_avant_debut]]</f>
        <v>#VALUE!</v>
      </c>
      <c r="S561" t="str">
        <f ca="1">IFERROR(N561*VLOOKUP(Tab_Calculs[[#This Row],[Colonne1]],Controle_des_données!$B$7:$G$14,6,FALSE),"")</f>
        <v/>
      </c>
      <c r="T561" t="str">
        <f ca="1">IF(Tab_Calculs[[#This Row],[Combustible ]]="Electricité (kWh)",Tab_Calculs[[#This Row],[Conso_mois_kWh]]*2.3,Tab_Calculs[[#This Row],[Conso_mois_kWh]])</f>
        <v/>
      </c>
      <c r="U561" t="str">
        <f ca="1">IFERROR(N561*VLOOKUP(Tab_Calculs[[#This Row],[Colonne1]],Controle_des_données!$B$7:$H$14,7,FALSE),"")</f>
        <v/>
      </c>
      <c r="V561">
        <f ca="1">IFERROR(Tab_Calculs[[#This Row],[Cout_mois]]/Tab_Calculs[[#This Row],[Conso_mois_kWh]],0)</f>
        <v>0</v>
      </c>
      <c r="W561" t="str">
        <f>T(VLOOKUP(Tab_Calculs[[#This Row],[Compteur]],Site!$B$33:$G$40,3,FALSE))</f>
        <v/>
      </c>
      <c r="X561" t="str">
        <f>T(VLOOKUP(Tab_Calculs[[#This Row],[Compteur]],Site!$B$33:$G$40,4,FALSE))</f>
        <v/>
      </c>
      <c r="Y561" t="str">
        <f>T(VLOOKUP(Tab_Calculs[[#This Row],[Compteur]],Site!$B$33:$G$40,5,FALSE))</f>
        <v/>
      </c>
      <c r="Z561" t="str">
        <f>T(VLOOKUP(Tab_Calculs[[#This Row],[Compteur]],Site!$B$33:$G$40,6,FALSE))</f>
        <v/>
      </c>
      <c r="AA561">
        <f>IFERROR(GETPIVOTDATA("DJU(chauffagiste)",BDD_DJU!$P$13,"annee",Tab_Calculs[[#This Row],[ANNEE]],"mois_numero",Tab_Calculs[[#This Row],[MOIS]]),0)</f>
        <v>0</v>
      </c>
    </row>
    <row r="562" spans="1:27" x14ac:dyDescent="0.25">
      <c r="A562" s="3">
        <f>DATE(Tab_Calculs[[#This Row],[ANNEE]],Tab_Calculs[[#This Row],[MOIS]],1)</f>
        <v>45323</v>
      </c>
      <c r="B562" s="3">
        <f>EDATE(Tab_Calculs[[#This Row],[Début mois]],1)-1</f>
        <v>45351</v>
      </c>
      <c r="C562">
        <f t="shared" si="17"/>
        <v>2</v>
      </c>
      <c r="D562">
        <f t="shared" si="19"/>
        <v>2024</v>
      </c>
      <c r="E562" t="s">
        <v>82</v>
      </c>
      <c r="F562" t="str">
        <f>SUBSTITUTE(Tab_Calculs[[#This Row],[Compteur]]," ","_")</f>
        <v>Compteur_3</v>
      </c>
      <c r="G562" t="str">
        <f>T(INDEX(Site!$B$33:$G$40, MATCH(Tab_Calculs[[#This Row],[Compteur]], Site!$B$33:$B$40,0),2))</f>
        <v/>
      </c>
      <c r="H562" s="3">
        <f t="array" aca="1" ref="H562" ca="1">MIN(IF(INDIRECT(CONCATENATE(Tab_Calculs[[#This Row],[Colonne1]],"!$B$2:$B$243"))&gt;=Calculs_Consos!$A562,INDIRECT(CONCATENATE(Tab_Calculs[[#This Row],[Colonne1]],"!$B$2:$B$243"))))</f>
        <v>0</v>
      </c>
      <c r="I562" s="3">
        <f ca="1">INDEX(INDIRECT(CONCATENATE("Tab_",Tab_Calculs[[#This Row],[Colonne1]])),Tab_Calculs[[#This Row],[index_date_livraison]],1)</f>
        <v>0</v>
      </c>
      <c r="J562">
        <f ca="1">MATCH(Tab_Calculs[[#This Row],[Date_livraison]],INDIRECT(CONCATENATE("Tab_",Tab_Calculs[[#This Row],[Colonne1]],"[Fin de période]")),0)</f>
        <v>1</v>
      </c>
      <c r="K562" t="e">
        <f ca="1">INDEX(INDIRECT(CONCATENATE("Tab_",Tab_Calculs[[#This Row],[Colonne1]])),Tab_Calculs[[#This Row],[index_date_livraison]]-1,6)*(MAX(Tab_Calculs[[#This Row],[Début periode livraison]],Tab_Calculs[[#This Row],[Début mois]])-Tab_Calculs[[#This Row],[Début mois]])</f>
        <v>#VALUE!</v>
      </c>
      <c r="L562" s="94">
        <f ca="1">INDEX(INDIRECT(CONCATENATE("Tab_",Tab_Calculs[[#This Row],[Colonne1]])),Tab_Calculs[[#This Row],[index_date_livraison]],6)*(1+MIN(Tab_Calculs[[#This Row],[Date_livraison]],Tab_Calculs[[#This Row],[fin mois]])-MAX(Tab_Calculs[[#This Row],[Début mois]],Tab_Calculs[[#This Row],[Début periode livraison]]))</f>
        <v>0</v>
      </c>
      <c r="M562" s="94" t="e">
        <f ca="1">INDEX(INDIRECT(CONCATENATE("Tab_",Tab_Calculs[[#This Row],[Colonne1]])),Tab_Calculs[[#This Row],[index_date_livraison]]+1,6)*(Tab_Calculs[[#This Row],[fin mois]]-MIN(Tab_Calculs[[#This Row],[fin mois]],Tab_Calculs[[#This Row],[Date_livraison]]))</f>
        <v>#VALUE!</v>
      </c>
      <c r="N562" s="231" t="str">
        <f ca="1">IFERROR(Tab_Calculs[[#This Row],[Ratio_jour_après_livr]]+Tab_Calculs[[#This Row],[Ratio_jour_avant_livr]]+Tab_Calculs[[#This Row],[ratio_avant_debut]],"")</f>
        <v/>
      </c>
      <c r="O562" t="e">
        <f ca="1">INDEX(INDIRECT(CONCATENATE("Tab_",Tab_Calculs[[#This Row],[Colonne1]])),Tab_Calculs[[#This Row],[index_date_livraison]]-1,7)*(MAX(Tab_Calculs[[#This Row],[Début periode livraison]],Tab_Calculs[[#This Row],[Début mois]])-Tab_Calculs[[#This Row],[Début mois]])</f>
        <v>#VALUE!</v>
      </c>
      <c r="P562">
        <f ca="1">INDEX(INDIRECT(CONCATENATE("Tab_",Tab_Calculs[[#This Row],[Colonne1]])),Tab_Calculs[[#This Row],[index_date_livraison]],7)*(1+MIN(Tab_Calculs[[#This Row],[Date_livraison]],Tab_Calculs[[#This Row],[fin mois]])-MAX(Tab_Calculs[[#This Row],[Début mois]],Tab_Calculs[[#This Row],[Début periode livraison]]))</f>
        <v>0</v>
      </c>
      <c r="Q562" t="e">
        <f ca="1">INDEX(INDIRECT(CONCATENATE("Tab_",Tab_Calculs[[#This Row],[Colonne1]])),Tab_Calculs[[#This Row],[index_date_livraison]]+1,7)*(Tab_Calculs[[#This Row],[fin mois]]-MIN(Tab_Calculs[[#This Row],[fin mois]],Tab_Calculs[[#This Row],[Date_livraison]]))</f>
        <v>#VALUE!</v>
      </c>
      <c r="R562" t="e">
        <f ca="1">Tab_Calculs[[#This Row],[Ratio_Cout_après_livr]]+Tab_Calculs[[#This Row],[Ratio_Cout_avant_livr]]+Tab_Calculs[[#This Row],[Ratio_Cout_avant_debut]]</f>
        <v>#VALUE!</v>
      </c>
      <c r="S562" t="str">
        <f ca="1">IFERROR(N562*VLOOKUP(Tab_Calculs[[#This Row],[Colonne1]],Controle_des_données!$B$7:$G$14,6,FALSE),"")</f>
        <v/>
      </c>
      <c r="T562" t="str">
        <f ca="1">IF(Tab_Calculs[[#This Row],[Combustible ]]="Electricité (kWh)",Tab_Calculs[[#This Row],[Conso_mois_kWh]]*2.3,Tab_Calculs[[#This Row],[Conso_mois_kWh]])</f>
        <v/>
      </c>
      <c r="U562" t="str">
        <f ca="1">IFERROR(N562*VLOOKUP(Tab_Calculs[[#This Row],[Colonne1]],Controle_des_données!$B$7:$H$14,7,FALSE),"")</f>
        <v/>
      </c>
      <c r="V562">
        <f ca="1">IFERROR(Tab_Calculs[[#This Row],[Cout_mois]]/Tab_Calculs[[#This Row],[Conso_mois_kWh]],0)</f>
        <v>0</v>
      </c>
      <c r="W562" t="str">
        <f>T(VLOOKUP(Tab_Calculs[[#This Row],[Compteur]],Site!$B$33:$G$40,3,FALSE))</f>
        <v/>
      </c>
      <c r="X562" t="str">
        <f>T(VLOOKUP(Tab_Calculs[[#This Row],[Compteur]],Site!$B$33:$G$40,4,FALSE))</f>
        <v/>
      </c>
      <c r="Y562" t="str">
        <f>T(VLOOKUP(Tab_Calculs[[#This Row],[Compteur]],Site!$B$33:$G$40,5,FALSE))</f>
        <v/>
      </c>
      <c r="Z562" t="str">
        <f>T(VLOOKUP(Tab_Calculs[[#This Row],[Compteur]],Site!$B$33:$G$40,6,FALSE))</f>
        <v/>
      </c>
      <c r="AA562">
        <f>IFERROR(GETPIVOTDATA("DJU(chauffagiste)",BDD_DJU!$P$13,"annee",Tab_Calculs[[#This Row],[ANNEE]],"mois_numero",Tab_Calculs[[#This Row],[MOIS]]),0)</f>
        <v>0</v>
      </c>
    </row>
    <row r="563" spans="1:27" x14ac:dyDescent="0.25">
      <c r="A563" s="3">
        <f>DATE(Tab_Calculs[[#This Row],[ANNEE]],Tab_Calculs[[#This Row],[MOIS]],1)</f>
        <v>45352</v>
      </c>
      <c r="B563" s="3">
        <f>EDATE(Tab_Calculs[[#This Row],[Début mois]],1)-1</f>
        <v>45382</v>
      </c>
      <c r="C563">
        <f t="shared" si="17"/>
        <v>3</v>
      </c>
      <c r="D563">
        <f t="shared" si="19"/>
        <v>2024</v>
      </c>
      <c r="E563" t="s">
        <v>82</v>
      </c>
      <c r="F563" t="str">
        <f>SUBSTITUTE(Tab_Calculs[[#This Row],[Compteur]]," ","_")</f>
        <v>Compteur_3</v>
      </c>
      <c r="G563" t="str">
        <f>T(INDEX(Site!$B$33:$G$40, MATCH(Tab_Calculs[[#This Row],[Compteur]], Site!$B$33:$B$40,0),2))</f>
        <v/>
      </c>
      <c r="H563" s="3">
        <f t="array" aca="1" ref="H563" ca="1">MIN(IF(INDIRECT(CONCATENATE(Tab_Calculs[[#This Row],[Colonne1]],"!$B$2:$B$243"))&gt;=Calculs_Consos!$A563,INDIRECT(CONCATENATE(Tab_Calculs[[#This Row],[Colonne1]],"!$B$2:$B$243"))))</f>
        <v>0</v>
      </c>
      <c r="I563" s="3">
        <f ca="1">INDEX(INDIRECT(CONCATENATE("Tab_",Tab_Calculs[[#This Row],[Colonne1]])),Tab_Calculs[[#This Row],[index_date_livraison]],1)</f>
        <v>0</v>
      </c>
      <c r="J563">
        <f ca="1">MATCH(Tab_Calculs[[#This Row],[Date_livraison]],INDIRECT(CONCATENATE("Tab_",Tab_Calculs[[#This Row],[Colonne1]],"[Fin de période]")),0)</f>
        <v>1</v>
      </c>
      <c r="K563" t="e">
        <f ca="1">INDEX(INDIRECT(CONCATENATE("Tab_",Tab_Calculs[[#This Row],[Colonne1]])),Tab_Calculs[[#This Row],[index_date_livraison]]-1,6)*(MAX(Tab_Calculs[[#This Row],[Début periode livraison]],Tab_Calculs[[#This Row],[Début mois]])-Tab_Calculs[[#This Row],[Début mois]])</f>
        <v>#VALUE!</v>
      </c>
      <c r="L563" s="94">
        <f ca="1">INDEX(INDIRECT(CONCATENATE("Tab_",Tab_Calculs[[#This Row],[Colonne1]])),Tab_Calculs[[#This Row],[index_date_livraison]],6)*(1+MIN(Tab_Calculs[[#This Row],[Date_livraison]],Tab_Calculs[[#This Row],[fin mois]])-MAX(Tab_Calculs[[#This Row],[Début mois]],Tab_Calculs[[#This Row],[Début periode livraison]]))</f>
        <v>0</v>
      </c>
      <c r="M563" s="94" t="e">
        <f ca="1">INDEX(INDIRECT(CONCATENATE("Tab_",Tab_Calculs[[#This Row],[Colonne1]])),Tab_Calculs[[#This Row],[index_date_livraison]]+1,6)*(Tab_Calculs[[#This Row],[fin mois]]-MIN(Tab_Calculs[[#This Row],[fin mois]],Tab_Calculs[[#This Row],[Date_livraison]]))</f>
        <v>#VALUE!</v>
      </c>
      <c r="N563" s="231" t="str">
        <f ca="1">IFERROR(Tab_Calculs[[#This Row],[Ratio_jour_après_livr]]+Tab_Calculs[[#This Row],[Ratio_jour_avant_livr]]+Tab_Calculs[[#This Row],[ratio_avant_debut]],"")</f>
        <v/>
      </c>
      <c r="O563" t="e">
        <f ca="1">INDEX(INDIRECT(CONCATENATE("Tab_",Tab_Calculs[[#This Row],[Colonne1]])),Tab_Calculs[[#This Row],[index_date_livraison]]-1,7)*(MAX(Tab_Calculs[[#This Row],[Début periode livraison]],Tab_Calculs[[#This Row],[Début mois]])-Tab_Calculs[[#This Row],[Début mois]])</f>
        <v>#VALUE!</v>
      </c>
      <c r="P563">
        <f ca="1">INDEX(INDIRECT(CONCATENATE("Tab_",Tab_Calculs[[#This Row],[Colonne1]])),Tab_Calculs[[#This Row],[index_date_livraison]],7)*(1+MIN(Tab_Calculs[[#This Row],[Date_livraison]],Tab_Calculs[[#This Row],[fin mois]])-MAX(Tab_Calculs[[#This Row],[Début mois]],Tab_Calculs[[#This Row],[Début periode livraison]]))</f>
        <v>0</v>
      </c>
      <c r="Q563" t="e">
        <f ca="1">INDEX(INDIRECT(CONCATENATE("Tab_",Tab_Calculs[[#This Row],[Colonne1]])),Tab_Calculs[[#This Row],[index_date_livraison]]+1,7)*(Tab_Calculs[[#This Row],[fin mois]]-MIN(Tab_Calculs[[#This Row],[fin mois]],Tab_Calculs[[#This Row],[Date_livraison]]))</f>
        <v>#VALUE!</v>
      </c>
      <c r="R563" t="e">
        <f ca="1">Tab_Calculs[[#This Row],[Ratio_Cout_après_livr]]+Tab_Calculs[[#This Row],[Ratio_Cout_avant_livr]]+Tab_Calculs[[#This Row],[Ratio_Cout_avant_debut]]</f>
        <v>#VALUE!</v>
      </c>
      <c r="S563" t="str">
        <f ca="1">IFERROR(N563*VLOOKUP(Tab_Calculs[[#This Row],[Colonne1]],Controle_des_données!$B$7:$G$14,6,FALSE),"")</f>
        <v/>
      </c>
      <c r="T563" t="str">
        <f ca="1">IF(Tab_Calculs[[#This Row],[Combustible ]]="Electricité (kWh)",Tab_Calculs[[#This Row],[Conso_mois_kWh]]*2.3,Tab_Calculs[[#This Row],[Conso_mois_kWh]])</f>
        <v/>
      </c>
      <c r="U563" t="str">
        <f ca="1">IFERROR(N563*VLOOKUP(Tab_Calculs[[#This Row],[Colonne1]],Controle_des_données!$B$7:$H$14,7,FALSE),"")</f>
        <v/>
      </c>
      <c r="V563">
        <f ca="1">IFERROR(Tab_Calculs[[#This Row],[Cout_mois]]/Tab_Calculs[[#This Row],[Conso_mois_kWh]],0)</f>
        <v>0</v>
      </c>
      <c r="W563" t="str">
        <f>T(VLOOKUP(Tab_Calculs[[#This Row],[Compteur]],Site!$B$33:$G$40,3,FALSE))</f>
        <v/>
      </c>
      <c r="X563" t="str">
        <f>T(VLOOKUP(Tab_Calculs[[#This Row],[Compteur]],Site!$B$33:$G$40,4,FALSE))</f>
        <v/>
      </c>
      <c r="Y563" t="str">
        <f>T(VLOOKUP(Tab_Calculs[[#This Row],[Compteur]],Site!$B$33:$G$40,5,FALSE))</f>
        <v/>
      </c>
      <c r="Z563" t="str">
        <f>T(VLOOKUP(Tab_Calculs[[#This Row],[Compteur]],Site!$B$33:$G$40,6,FALSE))</f>
        <v/>
      </c>
      <c r="AA563">
        <f>IFERROR(GETPIVOTDATA("DJU(chauffagiste)",BDD_DJU!$P$13,"annee",Tab_Calculs[[#This Row],[ANNEE]],"mois_numero",Tab_Calculs[[#This Row],[MOIS]]),0)</f>
        <v>0</v>
      </c>
    </row>
    <row r="564" spans="1:27" x14ac:dyDescent="0.25">
      <c r="A564" s="3">
        <f>DATE(Tab_Calculs[[#This Row],[ANNEE]],Tab_Calculs[[#This Row],[MOIS]],1)</f>
        <v>45383</v>
      </c>
      <c r="B564" s="3">
        <f>EDATE(Tab_Calculs[[#This Row],[Début mois]],1)-1</f>
        <v>45412</v>
      </c>
      <c r="C564">
        <f t="shared" si="17"/>
        <v>4</v>
      </c>
      <c r="D564">
        <f t="shared" si="19"/>
        <v>2024</v>
      </c>
      <c r="E564" t="s">
        <v>82</v>
      </c>
      <c r="F564" t="str">
        <f>SUBSTITUTE(Tab_Calculs[[#This Row],[Compteur]]," ","_")</f>
        <v>Compteur_3</v>
      </c>
      <c r="G564" t="str">
        <f>T(INDEX(Site!$B$33:$G$40, MATCH(Tab_Calculs[[#This Row],[Compteur]], Site!$B$33:$B$40,0),2))</f>
        <v/>
      </c>
      <c r="H564" s="3">
        <f t="array" aca="1" ref="H564" ca="1">MIN(IF(INDIRECT(CONCATENATE(Tab_Calculs[[#This Row],[Colonne1]],"!$B$2:$B$243"))&gt;=Calculs_Consos!$A564,INDIRECT(CONCATENATE(Tab_Calculs[[#This Row],[Colonne1]],"!$B$2:$B$243"))))</f>
        <v>0</v>
      </c>
      <c r="I564" s="3">
        <f ca="1">INDEX(INDIRECT(CONCATENATE("Tab_",Tab_Calculs[[#This Row],[Colonne1]])),Tab_Calculs[[#This Row],[index_date_livraison]],1)</f>
        <v>0</v>
      </c>
      <c r="J564">
        <f ca="1">MATCH(Tab_Calculs[[#This Row],[Date_livraison]],INDIRECT(CONCATENATE("Tab_",Tab_Calculs[[#This Row],[Colonne1]],"[Fin de période]")),0)</f>
        <v>1</v>
      </c>
      <c r="K564" t="e">
        <f ca="1">INDEX(INDIRECT(CONCATENATE("Tab_",Tab_Calculs[[#This Row],[Colonne1]])),Tab_Calculs[[#This Row],[index_date_livraison]]-1,6)*(MAX(Tab_Calculs[[#This Row],[Début periode livraison]],Tab_Calculs[[#This Row],[Début mois]])-Tab_Calculs[[#This Row],[Début mois]])</f>
        <v>#VALUE!</v>
      </c>
      <c r="L564" s="94">
        <f ca="1">INDEX(INDIRECT(CONCATENATE("Tab_",Tab_Calculs[[#This Row],[Colonne1]])),Tab_Calculs[[#This Row],[index_date_livraison]],6)*(1+MIN(Tab_Calculs[[#This Row],[Date_livraison]],Tab_Calculs[[#This Row],[fin mois]])-MAX(Tab_Calculs[[#This Row],[Début mois]],Tab_Calculs[[#This Row],[Début periode livraison]]))</f>
        <v>0</v>
      </c>
      <c r="M564" s="94" t="e">
        <f ca="1">INDEX(INDIRECT(CONCATENATE("Tab_",Tab_Calculs[[#This Row],[Colonne1]])),Tab_Calculs[[#This Row],[index_date_livraison]]+1,6)*(Tab_Calculs[[#This Row],[fin mois]]-MIN(Tab_Calculs[[#This Row],[fin mois]],Tab_Calculs[[#This Row],[Date_livraison]]))</f>
        <v>#VALUE!</v>
      </c>
      <c r="N564" s="231" t="str">
        <f ca="1">IFERROR(Tab_Calculs[[#This Row],[Ratio_jour_après_livr]]+Tab_Calculs[[#This Row],[Ratio_jour_avant_livr]]+Tab_Calculs[[#This Row],[ratio_avant_debut]],"")</f>
        <v/>
      </c>
      <c r="O564" t="e">
        <f ca="1">INDEX(INDIRECT(CONCATENATE("Tab_",Tab_Calculs[[#This Row],[Colonne1]])),Tab_Calculs[[#This Row],[index_date_livraison]]-1,7)*(MAX(Tab_Calculs[[#This Row],[Début periode livraison]],Tab_Calculs[[#This Row],[Début mois]])-Tab_Calculs[[#This Row],[Début mois]])</f>
        <v>#VALUE!</v>
      </c>
      <c r="P564">
        <f ca="1">INDEX(INDIRECT(CONCATENATE("Tab_",Tab_Calculs[[#This Row],[Colonne1]])),Tab_Calculs[[#This Row],[index_date_livraison]],7)*(1+MIN(Tab_Calculs[[#This Row],[Date_livraison]],Tab_Calculs[[#This Row],[fin mois]])-MAX(Tab_Calculs[[#This Row],[Début mois]],Tab_Calculs[[#This Row],[Début periode livraison]]))</f>
        <v>0</v>
      </c>
      <c r="Q564" t="e">
        <f ca="1">INDEX(INDIRECT(CONCATENATE("Tab_",Tab_Calculs[[#This Row],[Colonne1]])),Tab_Calculs[[#This Row],[index_date_livraison]]+1,7)*(Tab_Calculs[[#This Row],[fin mois]]-MIN(Tab_Calculs[[#This Row],[fin mois]],Tab_Calculs[[#This Row],[Date_livraison]]))</f>
        <v>#VALUE!</v>
      </c>
      <c r="R564" t="e">
        <f ca="1">Tab_Calculs[[#This Row],[Ratio_Cout_après_livr]]+Tab_Calculs[[#This Row],[Ratio_Cout_avant_livr]]+Tab_Calculs[[#This Row],[Ratio_Cout_avant_debut]]</f>
        <v>#VALUE!</v>
      </c>
      <c r="S564" t="str">
        <f ca="1">IFERROR(N564*VLOOKUP(Tab_Calculs[[#This Row],[Colonne1]],Controle_des_données!$B$7:$G$14,6,FALSE),"")</f>
        <v/>
      </c>
      <c r="T564" t="str">
        <f ca="1">IF(Tab_Calculs[[#This Row],[Combustible ]]="Electricité (kWh)",Tab_Calculs[[#This Row],[Conso_mois_kWh]]*2.3,Tab_Calculs[[#This Row],[Conso_mois_kWh]])</f>
        <v/>
      </c>
      <c r="U564" t="str">
        <f ca="1">IFERROR(N564*VLOOKUP(Tab_Calculs[[#This Row],[Colonne1]],Controle_des_données!$B$7:$H$14,7,FALSE),"")</f>
        <v/>
      </c>
      <c r="V564">
        <f ca="1">IFERROR(Tab_Calculs[[#This Row],[Cout_mois]]/Tab_Calculs[[#This Row],[Conso_mois_kWh]],0)</f>
        <v>0</v>
      </c>
      <c r="W564" t="str">
        <f>T(VLOOKUP(Tab_Calculs[[#This Row],[Compteur]],Site!$B$33:$G$40,3,FALSE))</f>
        <v/>
      </c>
      <c r="X564" t="str">
        <f>T(VLOOKUP(Tab_Calculs[[#This Row],[Compteur]],Site!$B$33:$G$40,4,FALSE))</f>
        <v/>
      </c>
      <c r="Y564" t="str">
        <f>T(VLOOKUP(Tab_Calculs[[#This Row],[Compteur]],Site!$B$33:$G$40,5,FALSE))</f>
        <v/>
      </c>
      <c r="Z564" t="str">
        <f>T(VLOOKUP(Tab_Calculs[[#This Row],[Compteur]],Site!$B$33:$G$40,6,FALSE))</f>
        <v/>
      </c>
      <c r="AA564">
        <f>IFERROR(GETPIVOTDATA("DJU(chauffagiste)",BDD_DJU!$P$13,"annee",Tab_Calculs[[#This Row],[ANNEE]],"mois_numero",Tab_Calculs[[#This Row],[MOIS]]),0)</f>
        <v>0</v>
      </c>
    </row>
    <row r="565" spans="1:27" x14ac:dyDescent="0.25">
      <c r="A565" s="3">
        <f>DATE(Tab_Calculs[[#This Row],[ANNEE]],Tab_Calculs[[#This Row],[MOIS]],1)</f>
        <v>45413</v>
      </c>
      <c r="B565" s="3">
        <f>EDATE(Tab_Calculs[[#This Row],[Début mois]],1)-1</f>
        <v>45443</v>
      </c>
      <c r="C565">
        <f t="shared" si="17"/>
        <v>5</v>
      </c>
      <c r="D565">
        <f t="shared" si="19"/>
        <v>2024</v>
      </c>
      <c r="E565" t="s">
        <v>82</v>
      </c>
      <c r="F565" t="str">
        <f>SUBSTITUTE(Tab_Calculs[[#This Row],[Compteur]]," ","_")</f>
        <v>Compteur_3</v>
      </c>
      <c r="G565" t="str">
        <f>T(INDEX(Site!$B$33:$G$40, MATCH(Tab_Calculs[[#This Row],[Compteur]], Site!$B$33:$B$40,0),2))</f>
        <v/>
      </c>
      <c r="H565" s="3">
        <f t="array" aca="1" ref="H565" ca="1">MIN(IF(INDIRECT(CONCATENATE(Tab_Calculs[[#This Row],[Colonne1]],"!$B$2:$B$243"))&gt;=Calculs_Consos!$A565,INDIRECT(CONCATENATE(Tab_Calculs[[#This Row],[Colonne1]],"!$B$2:$B$243"))))</f>
        <v>0</v>
      </c>
      <c r="I565" s="3">
        <f ca="1">INDEX(INDIRECT(CONCATENATE("Tab_",Tab_Calculs[[#This Row],[Colonne1]])),Tab_Calculs[[#This Row],[index_date_livraison]],1)</f>
        <v>0</v>
      </c>
      <c r="J565">
        <f ca="1">MATCH(Tab_Calculs[[#This Row],[Date_livraison]],INDIRECT(CONCATENATE("Tab_",Tab_Calculs[[#This Row],[Colonne1]],"[Fin de période]")),0)</f>
        <v>1</v>
      </c>
      <c r="K565" t="e">
        <f ca="1">INDEX(INDIRECT(CONCATENATE("Tab_",Tab_Calculs[[#This Row],[Colonne1]])),Tab_Calculs[[#This Row],[index_date_livraison]]-1,6)*(MAX(Tab_Calculs[[#This Row],[Début periode livraison]],Tab_Calculs[[#This Row],[Début mois]])-Tab_Calculs[[#This Row],[Début mois]])</f>
        <v>#VALUE!</v>
      </c>
      <c r="L565" s="94">
        <f ca="1">INDEX(INDIRECT(CONCATENATE("Tab_",Tab_Calculs[[#This Row],[Colonne1]])),Tab_Calculs[[#This Row],[index_date_livraison]],6)*(1+MIN(Tab_Calculs[[#This Row],[Date_livraison]],Tab_Calculs[[#This Row],[fin mois]])-MAX(Tab_Calculs[[#This Row],[Début mois]],Tab_Calculs[[#This Row],[Début periode livraison]]))</f>
        <v>0</v>
      </c>
      <c r="M565" s="94" t="e">
        <f ca="1">INDEX(INDIRECT(CONCATENATE("Tab_",Tab_Calculs[[#This Row],[Colonne1]])),Tab_Calculs[[#This Row],[index_date_livraison]]+1,6)*(Tab_Calculs[[#This Row],[fin mois]]-MIN(Tab_Calculs[[#This Row],[fin mois]],Tab_Calculs[[#This Row],[Date_livraison]]))</f>
        <v>#VALUE!</v>
      </c>
      <c r="N565" s="231" t="str">
        <f ca="1">IFERROR(Tab_Calculs[[#This Row],[Ratio_jour_après_livr]]+Tab_Calculs[[#This Row],[Ratio_jour_avant_livr]]+Tab_Calculs[[#This Row],[ratio_avant_debut]],"")</f>
        <v/>
      </c>
      <c r="O565" t="e">
        <f ca="1">INDEX(INDIRECT(CONCATENATE("Tab_",Tab_Calculs[[#This Row],[Colonne1]])),Tab_Calculs[[#This Row],[index_date_livraison]]-1,7)*(MAX(Tab_Calculs[[#This Row],[Début periode livraison]],Tab_Calculs[[#This Row],[Début mois]])-Tab_Calculs[[#This Row],[Début mois]])</f>
        <v>#VALUE!</v>
      </c>
      <c r="P565">
        <f ca="1">INDEX(INDIRECT(CONCATENATE("Tab_",Tab_Calculs[[#This Row],[Colonne1]])),Tab_Calculs[[#This Row],[index_date_livraison]],7)*(1+MIN(Tab_Calculs[[#This Row],[Date_livraison]],Tab_Calculs[[#This Row],[fin mois]])-MAX(Tab_Calculs[[#This Row],[Début mois]],Tab_Calculs[[#This Row],[Début periode livraison]]))</f>
        <v>0</v>
      </c>
      <c r="Q565" t="e">
        <f ca="1">INDEX(INDIRECT(CONCATENATE("Tab_",Tab_Calculs[[#This Row],[Colonne1]])),Tab_Calculs[[#This Row],[index_date_livraison]]+1,7)*(Tab_Calculs[[#This Row],[fin mois]]-MIN(Tab_Calculs[[#This Row],[fin mois]],Tab_Calculs[[#This Row],[Date_livraison]]))</f>
        <v>#VALUE!</v>
      </c>
      <c r="R565" t="e">
        <f ca="1">Tab_Calculs[[#This Row],[Ratio_Cout_après_livr]]+Tab_Calculs[[#This Row],[Ratio_Cout_avant_livr]]+Tab_Calculs[[#This Row],[Ratio_Cout_avant_debut]]</f>
        <v>#VALUE!</v>
      </c>
      <c r="S565" t="str">
        <f ca="1">IFERROR(N565*VLOOKUP(Tab_Calculs[[#This Row],[Colonne1]],Controle_des_données!$B$7:$G$14,6,FALSE),"")</f>
        <v/>
      </c>
      <c r="T565" t="str">
        <f ca="1">IF(Tab_Calculs[[#This Row],[Combustible ]]="Electricité (kWh)",Tab_Calculs[[#This Row],[Conso_mois_kWh]]*2.3,Tab_Calculs[[#This Row],[Conso_mois_kWh]])</f>
        <v/>
      </c>
      <c r="U565" t="str">
        <f ca="1">IFERROR(N565*VLOOKUP(Tab_Calculs[[#This Row],[Colonne1]],Controle_des_données!$B$7:$H$14,7,FALSE),"")</f>
        <v/>
      </c>
      <c r="V565">
        <f ca="1">IFERROR(Tab_Calculs[[#This Row],[Cout_mois]]/Tab_Calculs[[#This Row],[Conso_mois_kWh]],0)</f>
        <v>0</v>
      </c>
      <c r="W565" t="str">
        <f>T(VLOOKUP(Tab_Calculs[[#This Row],[Compteur]],Site!$B$33:$G$40,3,FALSE))</f>
        <v/>
      </c>
      <c r="X565" t="str">
        <f>T(VLOOKUP(Tab_Calculs[[#This Row],[Compteur]],Site!$B$33:$G$40,4,FALSE))</f>
        <v/>
      </c>
      <c r="Y565" t="str">
        <f>T(VLOOKUP(Tab_Calculs[[#This Row],[Compteur]],Site!$B$33:$G$40,5,FALSE))</f>
        <v/>
      </c>
      <c r="Z565" t="str">
        <f>T(VLOOKUP(Tab_Calculs[[#This Row],[Compteur]],Site!$B$33:$G$40,6,FALSE))</f>
        <v/>
      </c>
      <c r="AA565">
        <f>IFERROR(GETPIVOTDATA("DJU(chauffagiste)",BDD_DJU!$P$13,"annee",Tab_Calculs[[#This Row],[ANNEE]],"mois_numero",Tab_Calculs[[#This Row],[MOIS]]),0)</f>
        <v>0</v>
      </c>
    </row>
    <row r="566" spans="1:27" x14ac:dyDescent="0.25">
      <c r="A566" s="3">
        <f>DATE(Tab_Calculs[[#This Row],[ANNEE]],Tab_Calculs[[#This Row],[MOIS]],1)</f>
        <v>45444</v>
      </c>
      <c r="B566" s="3">
        <f>EDATE(Tab_Calculs[[#This Row],[Début mois]],1)-1</f>
        <v>45473</v>
      </c>
      <c r="C566">
        <f t="shared" si="17"/>
        <v>6</v>
      </c>
      <c r="D566">
        <f t="shared" si="19"/>
        <v>2024</v>
      </c>
      <c r="E566" t="s">
        <v>82</v>
      </c>
      <c r="F566" t="str">
        <f>SUBSTITUTE(Tab_Calculs[[#This Row],[Compteur]]," ","_")</f>
        <v>Compteur_3</v>
      </c>
      <c r="G566" t="str">
        <f>T(INDEX(Site!$B$33:$G$40, MATCH(Tab_Calculs[[#This Row],[Compteur]], Site!$B$33:$B$40,0),2))</f>
        <v/>
      </c>
      <c r="H566" s="3">
        <f t="array" aca="1" ref="H566" ca="1">MIN(IF(INDIRECT(CONCATENATE(Tab_Calculs[[#This Row],[Colonne1]],"!$B$2:$B$243"))&gt;=Calculs_Consos!$A566,INDIRECT(CONCATENATE(Tab_Calculs[[#This Row],[Colonne1]],"!$B$2:$B$243"))))</f>
        <v>0</v>
      </c>
      <c r="I566" s="3">
        <f ca="1">INDEX(INDIRECT(CONCATENATE("Tab_",Tab_Calculs[[#This Row],[Colonne1]])),Tab_Calculs[[#This Row],[index_date_livraison]],1)</f>
        <v>0</v>
      </c>
      <c r="J566">
        <f ca="1">MATCH(Tab_Calculs[[#This Row],[Date_livraison]],INDIRECT(CONCATENATE("Tab_",Tab_Calculs[[#This Row],[Colonne1]],"[Fin de période]")),0)</f>
        <v>1</v>
      </c>
      <c r="K566" t="e">
        <f ca="1">INDEX(INDIRECT(CONCATENATE("Tab_",Tab_Calculs[[#This Row],[Colonne1]])),Tab_Calculs[[#This Row],[index_date_livraison]]-1,6)*(MAX(Tab_Calculs[[#This Row],[Début periode livraison]],Tab_Calculs[[#This Row],[Début mois]])-Tab_Calculs[[#This Row],[Début mois]])</f>
        <v>#VALUE!</v>
      </c>
      <c r="L566" s="94">
        <f ca="1">INDEX(INDIRECT(CONCATENATE("Tab_",Tab_Calculs[[#This Row],[Colonne1]])),Tab_Calculs[[#This Row],[index_date_livraison]],6)*(1+MIN(Tab_Calculs[[#This Row],[Date_livraison]],Tab_Calculs[[#This Row],[fin mois]])-MAX(Tab_Calculs[[#This Row],[Début mois]],Tab_Calculs[[#This Row],[Début periode livraison]]))</f>
        <v>0</v>
      </c>
      <c r="M566" s="94" t="e">
        <f ca="1">INDEX(INDIRECT(CONCATENATE("Tab_",Tab_Calculs[[#This Row],[Colonne1]])),Tab_Calculs[[#This Row],[index_date_livraison]]+1,6)*(Tab_Calculs[[#This Row],[fin mois]]-MIN(Tab_Calculs[[#This Row],[fin mois]],Tab_Calculs[[#This Row],[Date_livraison]]))</f>
        <v>#VALUE!</v>
      </c>
      <c r="N566" s="231" t="str">
        <f ca="1">IFERROR(Tab_Calculs[[#This Row],[Ratio_jour_après_livr]]+Tab_Calculs[[#This Row],[Ratio_jour_avant_livr]]+Tab_Calculs[[#This Row],[ratio_avant_debut]],"")</f>
        <v/>
      </c>
      <c r="O566" t="e">
        <f ca="1">INDEX(INDIRECT(CONCATENATE("Tab_",Tab_Calculs[[#This Row],[Colonne1]])),Tab_Calculs[[#This Row],[index_date_livraison]]-1,7)*(MAX(Tab_Calculs[[#This Row],[Début periode livraison]],Tab_Calculs[[#This Row],[Début mois]])-Tab_Calculs[[#This Row],[Début mois]])</f>
        <v>#VALUE!</v>
      </c>
      <c r="P566">
        <f ca="1">INDEX(INDIRECT(CONCATENATE("Tab_",Tab_Calculs[[#This Row],[Colonne1]])),Tab_Calculs[[#This Row],[index_date_livraison]],7)*(1+MIN(Tab_Calculs[[#This Row],[Date_livraison]],Tab_Calculs[[#This Row],[fin mois]])-MAX(Tab_Calculs[[#This Row],[Début mois]],Tab_Calculs[[#This Row],[Début periode livraison]]))</f>
        <v>0</v>
      </c>
      <c r="Q566" t="e">
        <f ca="1">INDEX(INDIRECT(CONCATENATE("Tab_",Tab_Calculs[[#This Row],[Colonne1]])),Tab_Calculs[[#This Row],[index_date_livraison]]+1,7)*(Tab_Calculs[[#This Row],[fin mois]]-MIN(Tab_Calculs[[#This Row],[fin mois]],Tab_Calculs[[#This Row],[Date_livraison]]))</f>
        <v>#VALUE!</v>
      </c>
      <c r="R566" t="e">
        <f ca="1">Tab_Calculs[[#This Row],[Ratio_Cout_après_livr]]+Tab_Calculs[[#This Row],[Ratio_Cout_avant_livr]]+Tab_Calculs[[#This Row],[Ratio_Cout_avant_debut]]</f>
        <v>#VALUE!</v>
      </c>
      <c r="S566" t="str">
        <f ca="1">IFERROR(N566*VLOOKUP(Tab_Calculs[[#This Row],[Colonne1]],Controle_des_données!$B$7:$G$14,6,FALSE),"")</f>
        <v/>
      </c>
      <c r="T566" t="str">
        <f ca="1">IF(Tab_Calculs[[#This Row],[Combustible ]]="Electricité (kWh)",Tab_Calculs[[#This Row],[Conso_mois_kWh]]*2.3,Tab_Calculs[[#This Row],[Conso_mois_kWh]])</f>
        <v/>
      </c>
      <c r="U566" t="str">
        <f ca="1">IFERROR(N566*VLOOKUP(Tab_Calculs[[#This Row],[Colonne1]],Controle_des_données!$B$7:$H$14,7,FALSE),"")</f>
        <v/>
      </c>
      <c r="V566">
        <f ca="1">IFERROR(Tab_Calculs[[#This Row],[Cout_mois]]/Tab_Calculs[[#This Row],[Conso_mois_kWh]],0)</f>
        <v>0</v>
      </c>
      <c r="W566" t="str">
        <f>T(VLOOKUP(Tab_Calculs[[#This Row],[Compteur]],Site!$B$33:$G$40,3,FALSE))</f>
        <v/>
      </c>
      <c r="X566" t="str">
        <f>T(VLOOKUP(Tab_Calculs[[#This Row],[Compteur]],Site!$B$33:$G$40,4,FALSE))</f>
        <v/>
      </c>
      <c r="Y566" t="str">
        <f>T(VLOOKUP(Tab_Calculs[[#This Row],[Compteur]],Site!$B$33:$G$40,5,FALSE))</f>
        <v/>
      </c>
      <c r="Z566" t="str">
        <f>T(VLOOKUP(Tab_Calculs[[#This Row],[Compteur]],Site!$B$33:$G$40,6,FALSE))</f>
        <v/>
      </c>
      <c r="AA566">
        <f>IFERROR(GETPIVOTDATA("DJU(chauffagiste)",BDD_DJU!$P$13,"annee",Tab_Calculs[[#This Row],[ANNEE]],"mois_numero",Tab_Calculs[[#This Row],[MOIS]]),0)</f>
        <v>0</v>
      </c>
    </row>
    <row r="567" spans="1:27" x14ac:dyDescent="0.25">
      <c r="A567" s="3">
        <f>DATE(Tab_Calculs[[#This Row],[ANNEE]],Tab_Calculs[[#This Row],[MOIS]],1)</f>
        <v>45474</v>
      </c>
      <c r="B567" s="3">
        <f>EDATE(Tab_Calculs[[#This Row],[Début mois]],1)-1</f>
        <v>45504</v>
      </c>
      <c r="C567">
        <f t="shared" si="17"/>
        <v>7</v>
      </c>
      <c r="D567">
        <f t="shared" si="19"/>
        <v>2024</v>
      </c>
      <c r="E567" t="s">
        <v>82</v>
      </c>
      <c r="F567" t="str">
        <f>SUBSTITUTE(Tab_Calculs[[#This Row],[Compteur]]," ","_")</f>
        <v>Compteur_3</v>
      </c>
      <c r="G567" t="str">
        <f>T(INDEX(Site!$B$33:$G$40, MATCH(Tab_Calculs[[#This Row],[Compteur]], Site!$B$33:$B$40,0),2))</f>
        <v/>
      </c>
      <c r="H567" s="3">
        <f t="array" aca="1" ref="H567" ca="1">MIN(IF(INDIRECT(CONCATENATE(Tab_Calculs[[#This Row],[Colonne1]],"!$B$2:$B$243"))&gt;=Calculs_Consos!$A567,INDIRECT(CONCATENATE(Tab_Calculs[[#This Row],[Colonne1]],"!$B$2:$B$243"))))</f>
        <v>0</v>
      </c>
      <c r="I567" s="3">
        <f ca="1">INDEX(INDIRECT(CONCATENATE("Tab_",Tab_Calculs[[#This Row],[Colonne1]])),Tab_Calculs[[#This Row],[index_date_livraison]],1)</f>
        <v>0</v>
      </c>
      <c r="J567">
        <f ca="1">MATCH(Tab_Calculs[[#This Row],[Date_livraison]],INDIRECT(CONCATENATE("Tab_",Tab_Calculs[[#This Row],[Colonne1]],"[Fin de période]")),0)</f>
        <v>1</v>
      </c>
      <c r="K567" t="e">
        <f ca="1">INDEX(INDIRECT(CONCATENATE("Tab_",Tab_Calculs[[#This Row],[Colonne1]])),Tab_Calculs[[#This Row],[index_date_livraison]]-1,6)*(MAX(Tab_Calculs[[#This Row],[Début periode livraison]],Tab_Calculs[[#This Row],[Début mois]])-Tab_Calculs[[#This Row],[Début mois]])</f>
        <v>#VALUE!</v>
      </c>
      <c r="L567" s="94">
        <f ca="1">INDEX(INDIRECT(CONCATENATE("Tab_",Tab_Calculs[[#This Row],[Colonne1]])),Tab_Calculs[[#This Row],[index_date_livraison]],6)*(1+MIN(Tab_Calculs[[#This Row],[Date_livraison]],Tab_Calculs[[#This Row],[fin mois]])-MAX(Tab_Calculs[[#This Row],[Début mois]],Tab_Calculs[[#This Row],[Début periode livraison]]))</f>
        <v>0</v>
      </c>
      <c r="M567" s="94" t="e">
        <f ca="1">INDEX(INDIRECT(CONCATENATE("Tab_",Tab_Calculs[[#This Row],[Colonne1]])),Tab_Calculs[[#This Row],[index_date_livraison]]+1,6)*(Tab_Calculs[[#This Row],[fin mois]]-MIN(Tab_Calculs[[#This Row],[fin mois]],Tab_Calculs[[#This Row],[Date_livraison]]))</f>
        <v>#VALUE!</v>
      </c>
      <c r="N567" s="231" t="str">
        <f ca="1">IFERROR(Tab_Calculs[[#This Row],[Ratio_jour_après_livr]]+Tab_Calculs[[#This Row],[Ratio_jour_avant_livr]]+Tab_Calculs[[#This Row],[ratio_avant_debut]],"")</f>
        <v/>
      </c>
      <c r="O567" t="e">
        <f ca="1">INDEX(INDIRECT(CONCATENATE("Tab_",Tab_Calculs[[#This Row],[Colonne1]])),Tab_Calculs[[#This Row],[index_date_livraison]]-1,7)*(MAX(Tab_Calculs[[#This Row],[Début periode livraison]],Tab_Calculs[[#This Row],[Début mois]])-Tab_Calculs[[#This Row],[Début mois]])</f>
        <v>#VALUE!</v>
      </c>
      <c r="P567">
        <f ca="1">INDEX(INDIRECT(CONCATENATE("Tab_",Tab_Calculs[[#This Row],[Colonne1]])),Tab_Calculs[[#This Row],[index_date_livraison]],7)*(1+MIN(Tab_Calculs[[#This Row],[Date_livraison]],Tab_Calculs[[#This Row],[fin mois]])-MAX(Tab_Calculs[[#This Row],[Début mois]],Tab_Calculs[[#This Row],[Début periode livraison]]))</f>
        <v>0</v>
      </c>
      <c r="Q567" t="e">
        <f ca="1">INDEX(INDIRECT(CONCATENATE("Tab_",Tab_Calculs[[#This Row],[Colonne1]])),Tab_Calculs[[#This Row],[index_date_livraison]]+1,7)*(Tab_Calculs[[#This Row],[fin mois]]-MIN(Tab_Calculs[[#This Row],[fin mois]],Tab_Calculs[[#This Row],[Date_livraison]]))</f>
        <v>#VALUE!</v>
      </c>
      <c r="R567" t="e">
        <f ca="1">Tab_Calculs[[#This Row],[Ratio_Cout_après_livr]]+Tab_Calculs[[#This Row],[Ratio_Cout_avant_livr]]+Tab_Calculs[[#This Row],[Ratio_Cout_avant_debut]]</f>
        <v>#VALUE!</v>
      </c>
      <c r="S567" t="str">
        <f ca="1">IFERROR(N567*VLOOKUP(Tab_Calculs[[#This Row],[Colonne1]],Controle_des_données!$B$7:$G$14,6,FALSE),"")</f>
        <v/>
      </c>
      <c r="T567" t="str">
        <f ca="1">IF(Tab_Calculs[[#This Row],[Combustible ]]="Electricité (kWh)",Tab_Calculs[[#This Row],[Conso_mois_kWh]]*2.3,Tab_Calculs[[#This Row],[Conso_mois_kWh]])</f>
        <v/>
      </c>
      <c r="U567" t="str">
        <f ca="1">IFERROR(N567*VLOOKUP(Tab_Calculs[[#This Row],[Colonne1]],Controle_des_données!$B$7:$H$14,7,FALSE),"")</f>
        <v/>
      </c>
      <c r="V567">
        <f ca="1">IFERROR(Tab_Calculs[[#This Row],[Cout_mois]]/Tab_Calculs[[#This Row],[Conso_mois_kWh]],0)</f>
        <v>0</v>
      </c>
      <c r="W567" t="str">
        <f>T(VLOOKUP(Tab_Calculs[[#This Row],[Compteur]],Site!$B$33:$G$40,3,FALSE))</f>
        <v/>
      </c>
      <c r="X567" t="str">
        <f>T(VLOOKUP(Tab_Calculs[[#This Row],[Compteur]],Site!$B$33:$G$40,4,FALSE))</f>
        <v/>
      </c>
      <c r="Y567" t="str">
        <f>T(VLOOKUP(Tab_Calculs[[#This Row],[Compteur]],Site!$B$33:$G$40,5,FALSE))</f>
        <v/>
      </c>
      <c r="Z567" t="str">
        <f>T(VLOOKUP(Tab_Calculs[[#This Row],[Compteur]],Site!$B$33:$G$40,6,FALSE))</f>
        <v/>
      </c>
      <c r="AA567">
        <f>IFERROR(GETPIVOTDATA("DJU(chauffagiste)",BDD_DJU!$P$13,"annee",Tab_Calculs[[#This Row],[ANNEE]],"mois_numero",Tab_Calculs[[#This Row],[MOIS]]),0)</f>
        <v>0</v>
      </c>
    </row>
    <row r="568" spans="1:27" x14ac:dyDescent="0.25">
      <c r="A568" s="3">
        <f>DATE(Tab_Calculs[[#This Row],[ANNEE]],Tab_Calculs[[#This Row],[MOIS]],1)</f>
        <v>45505</v>
      </c>
      <c r="B568" s="3">
        <f>EDATE(Tab_Calculs[[#This Row],[Début mois]],1)-1</f>
        <v>45535</v>
      </c>
      <c r="C568">
        <f t="shared" si="17"/>
        <v>8</v>
      </c>
      <c r="D568">
        <f t="shared" si="19"/>
        <v>2024</v>
      </c>
      <c r="E568" t="s">
        <v>82</v>
      </c>
      <c r="F568" t="str">
        <f>SUBSTITUTE(Tab_Calculs[[#This Row],[Compteur]]," ","_")</f>
        <v>Compteur_3</v>
      </c>
      <c r="G568" t="str">
        <f>T(INDEX(Site!$B$33:$G$40, MATCH(Tab_Calculs[[#This Row],[Compteur]], Site!$B$33:$B$40,0),2))</f>
        <v/>
      </c>
      <c r="H568" s="3">
        <f t="array" aca="1" ref="H568" ca="1">MIN(IF(INDIRECT(CONCATENATE(Tab_Calculs[[#This Row],[Colonne1]],"!$B$2:$B$243"))&gt;=Calculs_Consos!$A568,INDIRECT(CONCATENATE(Tab_Calculs[[#This Row],[Colonne1]],"!$B$2:$B$243"))))</f>
        <v>0</v>
      </c>
      <c r="I568" s="3">
        <f ca="1">INDEX(INDIRECT(CONCATENATE("Tab_",Tab_Calculs[[#This Row],[Colonne1]])),Tab_Calculs[[#This Row],[index_date_livraison]],1)</f>
        <v>0</v>
      </c>
      <c r="J568">
        <f ca="1">MATCH(Tab_Calculs[[#This Row],[Date_livraison]],INDIRECT(CONCATENATE("Tab_",Tab_Calculs[[#This Row],[Colonne1]],"[Fin de période]")),0)</f>
        <v>1</v>
      </c>
      <c r="K568" t="e">
        <f ca="1">INDEX(INDIRECT(CONCATENATE("Tab_",Tab_Calculs[[#This Row],[Colonne1]])),Tab_Calculs[[#This Row],[index_date_livraison]]-1,6)*(MAX(Tab_Calculs[[#This Row],[Début periode livraison]],Tab_Calculs[[#This Row],[Début mois]])-Tab_Calculs[[#This Row],[Début mois]])</f>
        <v>#VALUE!</v>
      </c>
      <c r="L568" s="94">
        <f ca="1">INDEX(INDIRECT(CONCATENATE("Tab_",Tab_Calculs[[#This Row],[Colonne1]])),Tab_Calculs[[#This Row],[index_date_livraison]],6)*(1+MIN(Tab_Calculs[[#This Row],[Date_livraison]],Tab_Calculs[[#This Row],[fin mois]])-MAX(Tab_Calculs[[#This Row],[Début mois]],Tab_Calculs[[#This Row],[Début periode livraison]]))</f>
        <v>0</v>
      </c>
      <c r="M568" s="94" t="e">
        <f ca="1">INDEX(INDIRECT(CONCATENATE("Tab_",Tab_Calculs[[#This Row],[Colonne1]])),Tab_Calculs[[#This Row],[index_date_livraison]]+1,6)*(Tab_Calculs[[#This Row],[fin mois]]-MIN(Tab_Calculs[[#This Row],[fin mois]],Tab_Calculs[[#This Row],[Date_livraison]]))</f>
        <v>#VALUE!</v>
      </c>
      <c r="N568" s="231" t="str">
        <f ca="1">IFERROR(Tab_Calculs[[#This Row],[Ratio_jour_après_livr]]+Tab_Calculs[[#This Row],[Ratio_jour_avant_livr]]+Tab_Calculs[[#This Row],[ratio_avant_debut]],"")</f>
        <v/>
      </c>
      <c r="O568" t="e">
        <f ca="1">INDEX(INDIRECT(CONCATENATE("Tab_",Tab_Calculs[[#This Row],[Colonne1]])),Tab_Calculs[[#This Row],[index_date_livraison]]-1,7)*(MAX(Tab_Calculs[[#This Row],[Début periode livraison]],Tab_Calculs[[#This Row],[Début mois]])-Tab_Calculs[[#This Row],[Début mois]])</f>
        <v>#VALUE!</v>
      </c>
      <c r="P568">
        <f ca="1">INDEX(INDIRECT(CONCATENATE("Tab_",Tab_Calculs[[#This Row],[Colonne1]])),Tab_Calculs[[#This Row],[index_date_livraison]],7)*(1+MIN(Tab_Calculs[[#This Row],[Date_livraison]],Tab_Calculs[[#This Row],[fin mois]])-MAX(Tab_Calculs[[#This Row],[Début mois]],Tab_Calculs[[#This Row],[Début periode livraison]]))</f>
        <v>0</v>
      </c>
      <c r="Q568" t="e">
        <f ca="1">INDEX(INDIRECT(CONCATENATE("Tab_",Tab_Calculs[[#This Row],[Colonne1]])),Tab_Calculs[[#This Row],[index_date_livraison]]+1,7)*(Tab_Calculs[[#This Row],[fin mois]]-MIN(Tab_Calculs[[#This Row],[fin mois]],Tab_Calculs[[#This Row],[Date_livraison]]))</f>
        <v>#VALUE!</v>
      </c>
      <c r="R568" t="e">
        <f ca="1">Tab_Calculs[[#This Row],[Ratio_Cout_après_livr]]+Tab_Calculs[[#This Row],[Ratio_Cout_avant_livr]]+Tab_Calculs[[#This Row],[Ratio_Cout_avant_debut]]</f>
        <v>#VALUE!</v>
      </c>
      <c r="S568" t="str">
        <f ca="1">IFERROR(N568*VLOOKUP(Tab_Calculs[[#This Row],[Colonne1]],Controle_des_données!$B$7:$G$14,6,FALSE),"")</f>
        <v/>
      </c>
      <c r="T568" t="str">
        <f ca="1">IF(Tab_Calculs[[#This Row],[Combustible ]]="Electricité (kWh)",Tab_Calculs[[#This Row],[Conso_mois_kWh]]*2.3,Tab_Calculs[[#This Row],[Conso_mois_kWh]])</f>
        <v/>
      </c>
      <c r="U568" t="str">
        <f ca="1">IFERROR(N568*VLOOKUP(Tab_Calculs[[#This Row],[Colonne1]],Controle_des_données!$B$7:$H$14,7,FALSE),"")</f>
        <v/>
      </c>
      <c r="V568">
        <f ca="1">IFERROR(Tab_Calculs[[#This Row],[Cout_mois]]/Tab_Calculs[[#This Row],[Conso_mois_kWh]],0)</f>
        <v>0</v>
      </c>
      <c r="W568" t="str">
        <f>T(VLOOKUP(Tab_Calculs[[#This Row],[Compteur]],Site!$B$33:$G$40,3,FALSE))</f>
        <v/>
      </c>
      <c r="X568" t="str">
        <f>T(VLOOKUP(Tab_Calculs[[#This Row],[Compteur]],Site!$B$33:$G$40,4,FALSE))</f>
        <v/>
      </c>
      <c r="Y568" t="str">
        <f>T(VLOOKUP(Tab_Calculs[[#This Row],[Compteur]],Site!$B$33:$G$40,5,FALSE))</f>
        <v/>
      </c>
      <c r="Z568" t="str">
        <f>T(VLOOKUP(Tab_Calculs[[#This Row],[Compteur]],Site!$B$33:$G$40,6,FALSE))</f>
        <v/>
      </c>
      <c r="AA568">
        <f>IFERROR(GETPIVOTDATA("DJU(chauffagiste)",BDD_DJU!$P$13,"annee",Tab_Calculs[[#This Row],[ANNEE]],"mois_numero",Tab_Calculs[[#This Row],[MOIS]]),0)</f>
        <v>0</v>
      </c>
    </row>
    <row r="569" spans="1:27" x14ac:dyDescent="0.25">
      <c r="A569" s="3">
        <f>DATE(Tab_Calculs[[#This Row],[ANNEE]],Tab_Calculs[[#This Row],[MOIS]],1)</f>
        <v>45536</v>
      </c>
      <c r="B569" s="3">
        <f>EDATE(Tab_Calculs[[#This Row],[Début mois]],1)-1</f>
        <v>45565</v>
      </c>
      <c r="C569">
        <f t="shared" si="17"/>
        <v>9</v>
      </c>
      <c r="D569">
        <f t="shared" si="19"/>
        <v>2024</v>
      </c>
      <c r="E569" t="s">
        <v>82</v>
      </c>
      <c r="F569" t="str">
        <f>SUBSTITUTE(Tab_Calculs[[#This Row],[Compteur]]," ","_")</f>
        <v>Compteur_3</v>
      </c>
      <c r="G569" t="str">
        <f>T(INDEX(Site!$B$33:$G$40, MATCH(Tab_Calculs[[#This Row],[Compteur]], Site!$B$33:$B$40,0),2))</f>
        <v/>
      </c>
      <c r="H569" s="3">
        <f t="array" aca="1" ref="H569" ca="1">MIN(IF(INDIRECT(CONCATENATE(Tab_Calculs[[#This Row],[Colonne1]],"!$B$2:$B$243"))&gt;=Calculs_Consos!$A569,INDIRECT(CONCATENATE(Tab_Calculs[[#This Row],[Colonne1]],"!$B$2:$B$243"))))</f>
        <v>0</v>
      </c>
      <c r="I569" s="3">
        <f ca="1">INDEX(INDIRECT(CONCATENATE("Tab_",Tab_Calculs[[#This Row],[Colonne1]])),Tab_Calculs[[#This Row],[index_date_livraison]],1)</f>
        <v>0</v>
      </c>
      <c r="J569">
        <f ca="1">MATCH(Tab_Calculs[[#This Row],[Date_livraison]],INDIRECT(CONCATENATE("Tab_",Tab_Calculs[[#This Row],[Colonne1]],"[Fin de période]")),0)</f>
        <v>1</v>
      </c>
      <c r="K569" t="e">
        <f ca="1">INDEX(INDIRECT(CONCATENATE("Tab_",Tab_Calculs[[#This Row],[Colonne1]])),Tab_Calculs[[#This Row],[index_date_livraison]]-1,6)*(MAX(Tab_Calculs[[#This Row],[Début periode livraison]],Tab_Calculs[[#This Row],[Début mois]])-Tab_Calculs[[#This Row],[Début mois]])</f>
        <v>#VALUE!</v>
      </c>
      <c r="L569" s="94">
        <f ca="1">INDEX(INDIRECT(CONCATENATE("Tab_",Tab_Calculs[[#This Row],[Colonne1]])),Tab_Calculs[[#This Row],[index_date_livraison]],6)*(1+MIN(Tab_Calculs[[#This Row],[Date_livraison]],Tab_Calculs[[#This Row],[fin mois]])-MAX(Tab_Calculs[[#This Row],[Début mois]],Tab_Calculs[[#This Row],[Début periode livraison]]))</f>
        <v>0</v>
      </c>
      <c r="M569" s="94" t="e">
        <f ca="1">INDEX(INDIRECT(CONCATENATE("Tab_",Tab_Calculs[[#This Row],[Colonne1]])),Tab_Calculs[[#This Row],[index_date_livraison]]+1,6)*(Tab_Calculs[[#This Row],[fin mois]]-MIN(Tab_Calculs[[#This Row],[fin mois]],Tab_Calculs[[#This Row],[Date_livraison]]))</f>
        <v>#VALUE!</v>
      </c>
      <c r="N569" s="231" t="str">
        <f ca="1">IFERROR(Tab_Calculs[[#This Row],[Ratio_jour_après_livr]]+Tab_Calculs[[#This Row],[Ratio_jour_avant_livr]]+Tab_Calculs[[#This Row],[ratio_avant_debut]],"")</f>
        <v/>
      </c>
      <c r="O569" t="e">
        <f ca="1">INDEX(INDIRECT(CONCATENATE("Tab_",Tab_Calculs[[#This Row],[Colonne1]])),Tab_Calculs[[#This Row],[index_date_livraison]]-1,7)*(MAX(Tab_Calculs[[#This Row],[Début periode livraison]],Tab_Calculs[[#This Row],[Début mois]])-Tab_Calculs[[#This Row],[Début mois]])</f>
        <v>#VALUE!</v>
      </c>
      <c r="P569">
        <f ca="1">INDEX(INDIRECT(CONCATENATE("Tab_",Tab_Calculs[[#This Row],[Colonne1]])),Tab_Calculs[[#This Row],[index_date_livraison]],7)*(1+MIN(Tab_Calculs[[#This Row],[Date_livraison]],Tab_Calculs[[#This Row],[fin mois]])-MAX(Tab_Calculs[[#This Row],[Début mois]],Tab_Calculs[[#This Row],[Début periode livraison]]))</f>
        <v>0</v>
      </c>
      <c r="Q569" t="e">
        <f ca="1">INDEX(INDIRECT(CONCATENATE("Tab_",Tab_Calculs[[#This Row],[Colonne1]])),Tab_Calculs[[#This Row],[index_date_livraison]]+1,7)*(Tab_Calculs[[#This Row],[fin mois]]-MIN(Tab_Calculs[[#This Row],[fin mois]],Tab_Calculs[[#This Row],[Date_livraison]]))</f>
        <v>#VALUE!</v>
      </c>
      <c r="R569" t="e">
        <f ca="1">Tab_Calculs[[#This Row],[Ratio_Cout_après_livr]]+Tab_Calculs[[#This Row],[Ratio_Cout_avant_livr]]+Tab_Calculs[[#This Row],[Ratio_Cout_avant_debut]]</f>
        <v>#VALUE!</v>
      </c>
      <c r="S569" t="str">
        <f ca="1">IFERROR(N569*VLOOKUP(Tab_Calculs[[#This Row],[Colonne1]],Controle_des_données!$B$7:$G$14,6,FALSE),"")</f>
        <v/>
      </c>
      <c r="T569" t="str">
        <f ca="1">IF(Tab_Calculs[[#This Row],[Combustible ]]="Electricité (kWh)",Tab_Calculs[[#This Row],[Conso_mois_kWh]]*2.3,Tab_Calculs[[#This Row],[Conso_mois_kWh]])</f>
        <v/>
      </c>
      <c r="U569" t="str">
        <f ca="1">IFERROR(N569*VLOOKUP(Tab_Calculs[[#This Row],[Colonne1]],Controle_des_données!$B$7:$H$14,7,FALSE),"")</f>
        <v/>
      </c>
      <c r="V569">
        <f ca="1">IFERROR(Tab_Calculs[[#This Row],[Cout_mois]]/Tab_Calculs[[#This Row],[Conso_mois_kWh]],0)</f>
        <v>0</v>
      </c>
      <c r="W569" t="str">
        <f>T(VLOOKUP(Tab_Calculs[[#This Row],[Compteur]],Site!$B$33:$G$40,3,FALSE))</f>
        <v/>
      </c>
      <c r="X569" t="str">
        <f>T(VLOOKUP(Tab_Calculs[[#This Row],[Compteur]],Site!$B$33:$G$40,4,FALSE))</f>
        <v/>
      </c>
      <c r="Y569" t="str">
        <f>T(VLOOKUP(Tab_Calculs[[#This Row],[Compteur]],Site!$B$33:$G$40,5,FALSE))</f>
        <v/>
      </c>
      <c r="Z569" t="str">
        <f>T(VLOOKUP(Tab_Calculs[[#This Row],[Compteur]],Site!$B$33:$G$40,6,FALSE))</f>
        <v/>
      </c>
      <c r="AA569">
        <f>IFERROR(GETPIVOTDATA("DJU(chauffagiste)",BDD_DJU!$P$13,"annee",Tab_Calculs[[#This Row],[ANNEE]],"mois_numero",Tab_Calculs[[#This Row],[MOIS]]),0)</f>
        <v>0</v>
      </c>
    </row>
    <row r="570" spans="1:27" x14ac:dyDescent="0.25">
      <c r="A570" s="3">
        <f>DATE(Tab_Calculs[[#This Row],[ANNEE]],Tab_Calculs[[#This Row],[MOIS]],1)</f>
        <v>45566</v>
      </c>
      <c r="B570" s="3">
        <f>EDATE(Tab_Calculs[[#This Row],[Début mois]],1)-1</f>
        <v>45596</v>
      </c>
      <c r="C570">
        <f t="shared" si="17"/>
        <v>10</v>
      </c>
      <c r="D570">
        <f t="shared" si="19"/>
        <v>2024</v>
      </c>
      <c r="E570" t="s">
        <v>82</v>
      </c>
      <c r="F570" t="str">
        <f>SUBSTITUTE(Tab_Calculs[[#This Row],[Compteur]]," ","_")</f>
        <v>Compteur_3</v>
      </c>
      <c r="G570" t="str">
        <f>T(INDEX(Site!$B$33:$G$40, MATCH(Tab_Calculs[[#This Row],[Compteur]], Site!$B$33:$B$40,0),2))</f>
        <v/>
      </c>
      <c r="H570" s="3">
        <f t="array" aca="1" ref="H570" ca="1">MIN(IF(INDIRECT(CONCATENATE(Tab_Calculs[[#This Row],[Colonne1]],"!$B$2:$B$243"))&gt;=Calculs_Consos!$A570,INDIRECT(CONCATENATE(Tab_Calculs[[#This Row],[Colonne1]],"!$B$2:$B$243"))))</f>
        <v>0</v>
      </c>
      <c r="I570" s="3">
        <f ca="1">INDEX(INDIRECT(CONCATENATE("Tab_",Tab_Calculs[[#This Row],[Colonne1]])),Tab_Calculs[[#This Row],[index_date_livraison]],1)</f>
        <v>0</v>
      </c>
      <c r="J570">
        <f ca="1">MATCH(Tab_Calculs[[#This Row],[Date_livraison]],INDIRECT(CONCATENATE("Tab_",Tab_Calculs[[#This Row],[Colonne1]],"[Fin de période]")),0)</f>
        <v>1</v>
      </c>
      <c r="K570" t="e">
        <f ca="1">INDEX(INDIRECT(CONCATENATE("Tab_",Tab_Calculs[[#This Row],[Colonne1]])),Tab_Calculs[[#This Row],[index_date_livraison]]-1,6)*(MAX(Tab_Calculs[[#This Row],[Début periode livraison]],Tab_Calculs[[#This Row],[Début mois]])-Tab_Calculs[[#This Row],[Début mois]])</f>
        <v>#VALUE!</v>
      </c>
      <c r="L570" s="94">
        <f ca="1">INDEX(INDIRECT(CONCATENATE("Tab_",Tab_Calculs[[#This Row],[Colonne1]])),Tab_Calculs[[#This Row],[index_date_livraison]],6)*(1+MIN(Tab_Calculs[[#This Row],[Date_livraison]],Tab_Calculs[[#This Row],[fin mois]])-MAX(Tab_Calculs[[#This Row],[Début mois]],Tab_Calculs[[#This Row],[Début periode livraison]]))</f>
        <v>0</v>
      </c>
      <c r="M570" s="94" t="e">
        <f ca="1">INDEX(INDIRECT(CONCATENATE("Tab_",Tab_Calculs[[#This Row],[Colonne1]])),Tab_Calculs[[#This Row],[index_date_livraison]]+1,6)*(Tab_Calculs[[#This Row],[fin mois]]-MIN(Tab_Calculs[[#This Row],[fin mois]],Tab_Calculs[[#This Row],[Date_livraison]]))</f>
        <v>#VALUE!</v>
      </c>
      <c r="N570" s="231" t="str">
        <f ca="1">IFERROR(Tab_Calculs[[#This Row],[Ratio_jour_après_livr]]+Tab_Calculs[[#This Row],[Ratio_jour_avant_livr]]+Tab_Calculs[[#This Row],[ratio_avant_debut]],"")</f>
        <v/>
      </c>
      <c r="O570" t="e">
        <f ca="1">INDEX(INDIRECT(CONCATENATE("Tab_",Tab_Calculs[[#This Row],[Colonne1]])),Tab_Calculs[[#This Row],[index_date_livraison]]-1,7)*(MAX(Tab_Calculs[[#This Row],[Début periode livraison]],Tab_Calculs[[#This Row],[Début mois]])-Tab_Calculs[[#This Row],[Début mois]])</f>
        <v>#VALUE!</v>
      </c>
      <c r="P570">
        <f ca="1">INDEX(INDIRECT(CONCATENATE("Tab_",Tab_Calculs[[#This Row],[Colonne1]])),Tab_Calculs[[#This Row],[index_date_livraison]],7)*(1+MIN(Tab_Calculs[[#This Row],[Date_livraison]],Tab_Calculs[[#This Row],[fin mois]])-MAX(Tab_Calculs[[#This Row],[Début mois]],Tab_Calculs[[#This Row],[Début periode livraison]]))</f>
        <v>0</v>
      </c>
      <c r="Q570" t="e">
        <f ca="1">INDEX(INDIRECT(CONCATENATE("Tab_",Tab_Calculs[[#This Row],[Colonne1]])),Tab_Calculs[[#This Row],[index_date_livraison]]+1,7)*(Tab_Calculs[[#This Row],[fin mois]]-MIN(Tab_Calculs[[#This Row],[fin mois]],Tab_Calculs[[#This Row],[Date_livraison]]))</f>
        <v>#VALUE!</v>
      </c>
      <c r="R570" t="e">
        <f ca="1">Tab_Calculs[[#This Row],[Ratio_Cout_après_livr]]+Tab_Calculs[[#This Row],[Ratio_Cout_avant_livr]]+Tab_Calculs[[#This Row],[Ratio_Cout_avant_debut]]</f>
        <v>#VALUE!</v>
      </c>
      <c r="S570" t="str">
        <f ca="1">IFERROR(N570*VLOOKUP(Tab_Calculs[[#This Row],[Colonne1]],Controle_des_données!$B$7:$G$14,6,FALSE),"")</f>
        <v/>
      </c>
      <c r="T570" t="str">
        <f ca="1">IF(Tab_Calculs[[#This Row],[Combustible ]]="Electricité (kWh)",Tab_Calculs[[#This Row],[Conso_mois_kWh]]*2.3,Tab_Calculs[[#This Row],[Conso_mois_kWh]])</f>
        <v/>
      </c>
      <c r="U570" t="str">
        <f ca="1">IFERROR(N570*VLOOKUP(Tab_Calculs[[#This Row],[Colonne1]],Controle_des_données!$B$7:$H$14,7,FALSE),"")</f>
        <v/>
      </c>
      <c r="V570">
        <f ca="1">IFERROR(Tab_Calculs[[#This Row],[Cout_mois]]/Tab_Calculs[[#This Row],[Conso_mois_kWh]],0)</f>
        <v>0</v>
      </c>
      <c r="W570" t="str">
        <f>T(VLOOKUP(Tab_Calculs[[#This Row],[Compteur]],Site!$B$33:$G$40,3,FALSE))</f>
        <v/>
      </c>
      <c r="X570" t="str">
        <f>T(VLOOKUP(Tab_Calculs[[#This Row],[Compteur]],Site!$B$33:$G$40,4,FALSE))</f>
        <v/>
      </c>
      <c r="Y570" t="str">
        <f>T(VLOOKUP(Tab_Calculs[[#This Row],[Compteur]],Site!$B$33:$G$40,5,FALSE))</f>
        <v/>
      </c>
      <c r="Z570" t="str">
        <f>T(VLOOKUP(Tab_Calculs[[#This Row],[Compteur]],Site!$B$33:$G$40,6,FALSE))</f>
        <v/>
      </c>
      <c r="AA570">
        <f>IFERROR(GETPIVOTDATA("DJU(chauffagiste)",BDD_DJU!$P$13,"annee",Tab_Calculs[[#This Row],[ANNEE]],"mois_numero",Tab_Calculs[[#This Row],[MOIS]]),0)</f>
        <v>0</v>
      </c>
    </row>
    <row r="571" spans="1:27" x14ac:dyDescent="0.25">
      <c r="A571" s="3">
        <f>DATE(Tab_Calculs[[#This Row],[ANNEE]],Tab_Calculs[[#This Row],[MOIS]],1)</f>
        <v>45597</v>
      </c>
      <c r="B571" s="3">
        <f>EDATE(Tab_Calculs[[#This Row],[Début mois]],1)-1</f>
        <v>45626</v>
      </c>
      <c r="C571">
        <f t="shared" si="17"/>
        <v>11</v>
      </c>
      <c r="D571">
        <f t="shared" si="19"/>
        <v>2024</v>
      </c>
      <c r="E571" t="s">
        <v>82</v>
      </c>
      <c r="F571" t="str">
        <f>SUBSTITUTE(Tab_Calculs[[#This Row],[Compteur]]," ","_")</f>
        <v>Compteur_3</v>
      </c>
      <c r="G571" t="str">
        <f>T(INDEX(Site!$B$33:$G$40, MATCH(Tab_Calculs[[#This Row],[Compteur]], Site!$B$33:$B$40,0),2))</f>
        <v/>
      </c>
      <c r="H571" s="3">
        <f t="array" aca="1" ref="H571" ca="1">MIN(IF(INDIRECT(CONCATENATE(Tab_Calculs[[#This Row],[Colonne1]],"!$B$2:$B$243"))&gt;=Calculs_Consos!$A571,INDIRECT(CONCATENATE(Tab_Calculs[[#This Row],[Colonne1]],"!$B$2:$B$243"))))</f>
        <v>0</v>
      </c>
      <c r="I571" s="3">
        <f ca="1">INDEX(INDIRECT(CONCATENATE("Tab_",Tab_Calculs[[#This Row],[Colonne1]])),Tab_Calculs[[#This Row],[index_date_livraison]],1)</f>
        <v>0</v>
      </c>
      <c r="J571">
        <f ca="1">MATCH(Tab_Calculs[[#This Row],[Date_livraison]],INDIRECT(CONCATENATE("Tab_",Tab_Calculs[[#This Row],[Colonne1]],"[Fin de période]")),0)</f>
        <v>1</v>
      </c>
      <c r="K571" t="e">
        <f ca="1">INDEX(INDIRECT(CONCATENATE("Tab_",Tab_Calculs[[#This Row],[Colonne1]])),Tab_Calculs[[#This Row],[index_date_livraison]]-1,6)*(MAX(Tab_Calculs[[#This Row],[Début periode livraison]],Tab_Calculs[[#This Row],[Début mois]])-Tab_Calculs[[#This Row],[Début mois]])</f>
        <v>#VALUE!</v>
      </c>
      <c r="L571" s="94">
        <f ca="1">INDEX(INDIRECT(CONCATENATE("Tab_",Tab_Calculs[[#This Row],[Colonne1]])),Tab_Calculs[[#This Row],[index_date_livraison]],6)*(1+MIN(Tab_Calculs[[#This Row],[Date_livraison]],Tab_Calculs[[#This Row],[fin mois]])-MAX(Tab_Calculs[[#This Row],[Début mois]],Tab_Calculs[[#This Row],[Début periode livraison]]))</f>
        <v>0</v>
      </c>
      <c r="M571" s="94" t="e">
        <f ca="1">INDEX(INDIRECT(CONCATENATE("Tab_",Tab_Calculs[[#This Row],[Colonne1]])),Tab_Calculs[[#This Row],[index_date_livraison]]+1,6)*(Tab_Calculs[[#This Row],[fin mois]]-MIN(Tab_Calculs[[#This Row],[fin mois]],Tab_Calculs[[#This Row],[Date_livraison]]))</f>
        <v>#VALUE!</v>
      </c>
      <c r="N571" s="231" t="str">
        <f ca="1">IFERROR(Tab_Calculs[[#This Row],[Ratio_jour_après_livr]]+Tab_Calculs[[#This Row],[Ratio_jour_avant_livr]]+Tab_Calculs[[#This Row],[ratio_avant_debut]],"")</f>
        <v/>
      </c>
      <c r="O571" t="e">
        <f ca="1">INDEX(INDIRECT(CONCATENATE("Tab_",Tab_Calculs[[#This Row],[Colonne1]])),Tab_Calculs[[#This Row],[index_date_livraison]]-1,7)*(MAX(Tab_Calculs[[#This Row],[Début periode livraison]],Tab_Calculs[[#This Row],[Début mois]])-Tab_Calculs[[#This Row],[Début mois]])</f>
        <v>#VALUE!</v>
      </c>
      <c r="P571">
        <f ca="1">INDEX(INDIRECT(CONCATENATE("Tab_",Tab_Calculs[[#This Row],[Colonne1]])),Tab_Calculs[[#This Row],[index_date_livraison]],7)*(1+MIN(Tab_Calculs[[#This Row],[Date_livraison]],Tab_Calculs[[#This Row],[fin mois]])-MAX(Tab_Calculs[[#This Row],[Début mois]],Tab_Calculs[[#This Row],[Début periode livraison]]))</f>
        <v>0</v>
      </c>
      <c r="Q571" t="e">
        <f ca="1">INDEX(INDIRECT(CONCATENATE("Tab_",Tab_Calculs[[#This Row],[Colonne1]])),Tab_Calculs[[#This Row],[index_date_livraison]]+1,7)*(Tab_Calculs[[#This Row],[fin mois]]-MIN(Tab_Calculs[[#This Row],[fin mois]],Tab_Calculs[[#This Row],[Date_livraison]]))</f>
        <v>#VALUE!</v>
      </c>
      <c r="R571" t="e">
        <f ca="1">Tab_Calculs[[#This Row],[Ratio_Cout_après_livr]]+Tab_Calculs[[#This Row],[Ratio_Cout_avant_livr]]+Tab_Calculs[[#This Row],[Ratio_Cout_avant_debut]]</f>
        <v>#VALUE!</v>
      </c>
      <c r="S571" t="str">
        <f ca="1">IFERROR(N571*VLOOKUP(Tab_Calculs[[#This Row],[Colonne1]],Controle_des_données!$B$7:$G$14,6,FALSE),"")</f>
        <v/>
      </c>
      <c r="T571" t="str">
        <f ca="1">IF(Tab_Calculs[[#This Row],[Combustible ]]="Electricité (kWh)",Tab_Calculs[[#This Row],[Conso_mois_kWh]]*2.3,Tab_Calculs[[#This Row],[Conso_mois_kWh]])</f>
        <v/>
      </c>
      <c r="U571" t="str">
        <f ca="1">IFERROR(N571*VLOOKUP(Tab_Calculs[[#This Row],[Colonne1]],Controle_des_données!$B$7:$H$14,7,FALSE),"")</f>
        <v/>
      </c>
      <c r="V571">
        <f ca="1">IFERROR(Tab_Calculs[[#This Row],[Cout_mois]]/Tab_Calculs[[#This Row],[Conso_mois_kWh]],0)</f>
        <v>0</v>
      </c>
      <c r="W571" t="str">
        <f>T(VLOOKUP(Tab_Calculs[[#This Row],[Compteur]],Site!$B$33:$G$40,3,FALSE))</f>
        <v/>
      </c>
      <c r="X571" t="str">
        <f>T(VLOOKUP(Tab_Calculs[[#This Row],[Compteur]],Site!$B$33:$G$40,4,FALSE))</f>
        <v/>
      </c>
      <c r="Y571" t="str">
        <f>T(VLOOKUP(Tab_Calculs[[#This Row],[Compteur]],Site!$B$33:$G$40,5,FALSE))</f>
        <v/>
      </c>
      <c r="Z571" t="str">
        <f>T(VLOOKUP(Tab_Calculs[[#This Row],[Compteur]],Site!$B$33:$G$40,6,FALSE))</f>
        <v/>
      </c>
      <c r="AA571">
        <f>IFERROR(GETPIVOTDATA("DJU(chauffagiste)",BDD_DJU!$P$13,"annee",Tab_Calculs[[#This Row],[ANNEE]],"mois_numero",Tab_Calculs[[#This Row],[MOIS]]),0)</f>
        <v>0</v>
      </c>
    </row>
    <row r="572" spans="1:27" x14ac:dyDescent="0.25">
      <c r="A572" s="3">
        <f>DATE(Tab_Calculs[[#This Row],[ANNEE]],Tab_Calculs[[#This Row],[MOIS]],1)</f>
        <v>45627</v>
      </c>
      <c r="B572" s="3">
        <f>EDATE(Tab_Calculs[[#This Row],[Début mois]],1)-1</f>
        <v>45657</v>
      </c>
      <c r="C572">
        <f t="shared" si="17"/>
        <v>12</v>
      </c>
      <c r="D572">
        <f>D560+1</f>
        <v>2024</v>
      </c>
      <c r="E572" t="s">
        <v>82</v>
      </c>
      <c r="F572" t="str">
        <f>SUBSTITUTE(Tab_Calculs[[#This Row],[Compteur]]," ","_")</f>
        <v>Compteur_3</v>
      </c>
      <c r="G572" t="str">
        <f>T(INDEX(Site!$B$33:$G$40, MATCH(Tab_Calculs[[#This Row],[Compteur]], Site!$B$33:$B$40,0),2))</f>
        <v/>
      </c>
      <c r="H572" s="3">
        <f t="array" aca="1" ref="H572" ca="1">MIN(IF(INDIRECT(CONCATENATE(Tab_Calculs[[#This Row],[Colonne1]],"!$B$2:$B$243"))&gt;=Calculs_Consos!$A572,INDIRECT(CONCATENATE(Tab_Calculs[[#This Row],[Colonne1]],"!$B$2:$B$243"))))</f>
        <v>0</v>
      </c>
      <c r="I572" s="3">
        <f ca="1">INDEX(INDIRECT(CONCATENATE("Tab_",Tab_Calculs[[#This Row],[Colonne1]])),Tab_Calculs[[#This Row],[index_date_livraison]],1)</f>
        <v>0</v>
      </c>
      <c r="J572">
        <f ca="1">MATCH(Tab_Calculs[[#This Row],[Date_livraison]],INDIRECT(CONCATENATE("Tab_",Tab_Calculs[[#This Row],[Colonne1]],"[Fin de période]")),0)</f>
        <v>1</v>
      </c>
      <c r="K572" t="e">
        <f ca="1">INDEX(INDIRECT(CONCATENATE("Tab_",Tab_Calculs[[#This Row],[Colonne1]])),Tab_Calculs[[#This Row],[index_date_livraison]]-1,6)*(MAX(Tab_Calculs[[#This Row],[Début periode livraison]],Tab_Calculs[[#This Row],[Début mois]])-Tab_Calculs[[#This Row],[Début mois]])</f>
        <v>#VALUE!</v>
      </c>
      <c r="L572" s="94">
        <f ca="1">INDEX(INDIRECT(CONCATENATE("Tab_",Tab_Calculs[[#This Row],[Colonne1]])),Tab_Calculs[[#This Row],[index_date_livraison]],6)*(1+MIN(Tab_Calculs[[#This Row],[Date_livraison]],Tab_Calculs[[#This Row],[fin mois]])-MAX(Tab_Calculs[[#This Row],[Début mois]],Tab_Calculs[[#This Row],[Début periode livraison]]))</f>
        <v>0</v>
      </c>
      <c r="M572" s="94" t="e">
        <f ca="1">INDEX(INDIRECT(CONCATENATE("Tab_",Tab_Calculs[[#This Row],[Colonne1]])),Tab_Calculs[[#This Row],[index_date_livraison]]+1,6)*(Tab_Calculs[[#This Row],[fin mois]]-MIN(Tab_Calculs[[#This Row],[fin mois]],Tab_Calculs[[#This Row],[Date_livraison]]))</f>
        <v>#VALUE!</v>
      </c>
      <c r="N572" s="231" t="str">
        <f ca="1">IFERROR(Tab_Calculs[[#This Row],[Ratio_jour_après_livr]]+Tab_Calculs[[#This Row],[Ratio_jour_avant_livr]]+Tab_Calculs[[#This Row],[ratio_avant_debut]],"")</f>
        <v/>
      </c>
      <c r="O572" t="e">
        <f ca="1">INDEX(INDIRECT(CONCATENATE("Tab_",Tab_Calculs[[#This Row],[Colonne1]])),Tab_Calculs[[#This Row],[index_date_livraison]]-1,7)*(MAX(Tab_Calculs[[#This Row],[Début periode livraison]],Tab_Calculs[[#This Row],[Début mois]])-Tab_Calculs[[#This Row],[Début mois]])</f>
        <v>#VALUE!</v>
      </c>
      <c r="P572">
        <f ca="1">INDEX(INDIRECT(CONCATENATE("Tab_",Tab_Calculs[[#This Row],[Colonne1]])),Tab_Calculs[[#This Row],[index_date_livraison]],7)*(1+MIN(Tab_Calculs[[#This Row],[Date_livraison]],Tab_Calculs[[#This Row],[fin mois]])-MAX(Tab_Calculs[[#This Row],[Début mois]],Tab_Calculs[[#This Row],[Début periode livraison]]))</f>
        <v>0</v>
      </c>
      <c r="Q572" t="e">
        <f ca="1">INDEX(INDIRECT(CONCATENATE("Tab_",Tab_Calculs[[#This Row],[Colonne1]])),Tab_Calculs[[#This Row],[index_date_livraison]]+1,7)*(Tab_Calculs[[#This Row],[fin mois]]-MIN(Tab_Calculs[[#This Row],[fin mois]],Tab_Calculs[[#This Row],[Date_livraison]]))</f>
        <v>#VALUE!</v>
      </c>
      <c r="R572" t="e">
        <f ca="1">Tab_Calculs[[#This Row],[Ratio_Cout_après_livr]]+Tab_Calculs[[#This Row],[Ratio_Cout_avant_livr]]+Tab_Calculs[[#This Row],[Ratio_Cout_avant_debut]]</f>
        <v>#VALUE!</v>
      </c>
      <c r="S572" t="str">
        <f ca="1">IFERROR(N572*VLOOKUP(Tab_Calculs[[#This Row],[Colonne1]],Controle_des_données!$B$7:$G$14,6,FALSE),"")</f>
        <v/>
      </c>
      <c r="T572" t="str">
        <f ca="1">IF(Tab_Calculs[[#This Row],[Combustible ]]="Electricité (kWh)",Tab_Calculs[[#This Row],[Conso_mois_kWh]]*2.3,Tab_Calculs[[#This Row],[Conso_mois_kWh]])</f>
        <v/>
      </c>
      <c r="U572" t="str">
        <f ca="1">IFERROR(N572*VLOOKUP(Tab_Calculs[[#This Row],[Colonne1]],Controle_des_données!$B$7:$H$14,7,FALSE),"")</f>
        <v/>
      </c>
      <c r="V572">
        <f ca="1">IFERROR(Tab_Calculs[[#This Row],[Cout_mois]]/Tab_Calculs[[#This Row],[Conso_mois_kWh]],0)</f>
        <v>0</v>
      </c>
      <c r="W572" t="str">
        <f>T(VLOOKUP(Tab_Calculs[[#This Row],[Compteur]],Site!$B$33:$G$40,3,FALSE))</f>
        <v/>
      </c>
      <c r="X572" t="str">
        <f>T(VLOOKUP(Tab_Calculs[[#This Row],[Compteur]],Site!$B$33:$G$40,4,FALSE))</f>
        <v/>
      </c>
      <c r="Y572" t="str">
        <f>T(VLOOKUP(Tab_Calculs[[#This Row],[Compteur]],Site!$B$33:$G$40,5,FALSE))</f>
        <v/>
      </c>
      <c r="Z572" t="str">
        <f>T(VLOOKUP(Tab_Calculs[[#This Row],[Compteur]],Site!$B$33:$G$40,6,FALSE))</f>
        <v/>
      </c>
      <c r="AA572">
        <f>IFERROR(GETPIVOTDATA("DJU(chauffagiste)",BDD_DJU!$P$13,"annee",Tab_Calculs[[#This Row],[ANNEE]],"mois_numero",Tab_Calculs[[#This Row],[MOIS]]),0)</f>
        <v>0</v>
      </c>
    </row>
    <row r="573" spans="1:27" x14ac:dyDescent="0.25">
      <c r="A573" s="3">
        <f>DATE(Tab_Calculs[[#This Row],[ANNEE]],Tab_Calculs[[#This Row],[MOIS]],1)</f>
        <v>45658</v>
      </c>
      <c r="B573" s="3">
        <f>EDATE(Tab_Calculs[[#This Row],[Début mois]],1)-1</f>
        <v>45688</v>
      </c>
      <c r="C573">
        <f t="shared" si="17"/>
        <v>1</v>
      </c>
      <c r="D573">
        <f t="shared" ref="D573:D584" si="20">D561+1</f>
        <v>2025</v>
      </c>
      <c r="E573" t="s">
        <v>82</v>
      </c>
      <c r="F573" t="str">
        <f>SUBSTITUTE(Tab_Calculs[[#This Row],[Compteur]]," ","_")</f>
        <v>Compteur_3</v>
      </c>
      <c r="G573" t="str">
        <f>T(INDEX(Site!$B$33:$G$40, MATCH(Tab_Calculs[[#This Row],[Compteur]], Site!$B$33:$B$40,0),2))</f>
        <v/>
      </c>
      <c r="H573" s="3">
        <f t="array" aca="1" ref="H573" ca="1">MIN(IF(INDIRECT(CONCATENATE(Tab_Calculs[[#This Row],[Colonne1]],"!$B$2:$B$243"))&gt;=Calculs_Consos!$A573,INDIRECT(CONCATENATE(Tab_Calculs[[#This Row],[Colonne1]],"!$B$2:$B$243"))))</f>
        <v>0</v>
      </c>
      <c r="I573" s="3">
        <f ca="1">INDEX(INDIRECT(CONCATENATE("Tab_",Tab_Calculs[[#This Row],[Colonne1]])),Tab_Calculs[[#This Row],[index_date_livraison]],1)</f>
        <v>0</v>
      </c>
      <c r="J573">
        <f ca="1">MATCH(Tab_Calculs[[#This Row],[Date_livraison]],INDIRECT(CONCATENATE("Tab_",Tab_Calculs[[#This Row],[Colonne1]],"[Fin de période]")),0)</f>
        <v>1</v>
      </c>
      <c r="K573" t="e">
        <f ca="1">INDEX(INDIRECT(CONCATENATE("Tab_",Tab_Calculs[[#This Row],[Colonne1]])),Tab_Calculs[[#This Row],[index_date_livraison]]-1,6)*(MAX(Tab_Calculs[[#This Row],[Début periode livraison]],Tab_Calculs[[#This Row],[Début mois]])-Tab_Calculs[[#This Row],[Début mois]])</f>
        <v>#VALUE!</v>
      </c>
      <c r="L573" s="94">
        <f ca="1">INDEX(INDIRECT(CONCATENATE("Tab_",Tab_Calculs[[#This Row],[Colonne1]])),Tab_Calculs[[#This Row],[index_date_livraison]],6)*(1+MIN(Tab_Calculs[[#This Row],[Date_livraison]],Tab_Calculs[[#This Row],[fin mois]])-MAX(Tab_Calculs[[#This Row],[Début mois]],Tab_Calculs[[#This Row],[Début periode livraison]]))</f>
        <v>0</v>
      </c>
      <c r="M573" s="94" t="e">
        <f ca="1">INDEX(INDIRECT(CONCATENATE("Tab_",Tab_Calculs[[#This Row],[Colonne1]])),Tab_Calculs[[#This Row],[index_date_livraison]]+1,6)*(Tab_Calculs[[#This Row],[fin mois]]-MIN(Tab_Calculs[[#This Row],[fin mois]],Tab_Calculs[[#This Row],[Date_livraison]]))</f>
        <v>#VALUE!</v>
      </c>
      <c r="N573" s="231" t="str">
        <f ca="1">IFERROR(Tab_Calculs[[#This Row],[Ratio_jour_après_livr]]+Tab_Calculs[[#This Row],[Ratio_jour_avant_livr]]+Tab_Calculs[[#This Row],[ratio_avant_debut]],"")</f>
        <v/>
      </c>
      <c r="O573" t="e">
        <f ca="1">INDEX(INDIRECT(CONCATENATE("Tab_",Tab_Calculs[[#This Row],[Colonne1]])),Tab_Calculs[[#This Row],[index_date_livraison]]-1,7)*(MAX(Tab_Calculs[[#This Row],[Début periode livraison]],Tab_Calculs[[#This Row],[Début mois]])-Tab_Calculs[[#This Row],[Début mois]])</f>
        <v>#VALUE!</v>
      </c>
      <c r="P573">
        <f ca="1">INDEX(INDIRECT(CONCATENATE("Tab_",Tab_Calculs[[#This Row],[Colonne1]])),Tab_Calculs[[#This Row],[index_date_livraison]],7)*(1+MIN(Tab_Calculs[[#This Row],[Date_livraison]],Tab_Calculs[[#This Row],[fin mois]])-MAX(Tab_Calculs[[#This Row],[Début mois]],Tab_Calculs[[#This Row],[Début periode livraison]]))</f>
        <v>0</v>
      </c>
      <c r="Q573" t="e">
        <f ca="1">INDEX(INDIRECT(CONCATENATE("Tab_",Tab_Calculs[[#This Row],[Colonne1]])),Tab_Calculs[[#This Row],[index_date_livraison]]+1,7)*(Tab_Calculs[[#This Row],[fin mois]]-MIN(Tab_Calculs[[#This Row],[fin mois]],Tab_Calculs[[#This Row],[Date_livraison]]))</f>
        <v>#VALUE!</v>
      </c>
      <c r="R573" t="e">
        <f ca="1">Tab_Calculs[[#This Row],[Ratio_Cout_après_livr]]+Tab_Calculs[[#This Row],[Ratio_Cout_avant_livr]]+Tab_Calculs[[#This Row],[Ratio_Cout_avant_debut]]</f>
        <v>#VALUE!</v>
      </c>
      <c r="S573" t="str">
        <f ca="1">IFERROR(N573*VLOOKUP(Tab_Calculs[[#This Row],[Colonne1]],Controle_des_données!$B$7:$G$14,6,FALSE),"")</f>
        <v/>
      </c>
      <c r="T573" t="str">
        <f ca="1">IF(Tab_Calculs[[#This Row],[Combustible ]]="Electricité (kWh)",Tab_Calculs[[#This Row],[Conso_mois_kWh]]*2.3,Tab_Calculs[[#This Row],[Conso_mois_kWh]])</f>
        <v/>
      </c>
      <c r="U573" t="str">
        <f ca="1">IFERROR(N573*VLOOKUP(Tab_Calculs[[#This Row],[Colonne1]],Controle_des_données!$B$7:$H$14,7,FALSE),"")</f>
        <v/>
      </c>
      <c r="V573">
        <f ca="1">IFERROR(Tab_Calculs[[#This Row],[Cout_mois]]/Tab_Calculs[[#This Row],[Conso_mois_kWh]],0)</f>
        <v>0</v>
      </c>
      <c r="W573" t="str">
        <f>T(VLOOKUP(Tab_Calculs[[#This Row],[Compteur]],Site!$B$33:$G$40,3,FALSE))</f>
        <v/>
      </c>
      <c r="X573" t="str">
        <f>T(VLOOKUP(Tab_Calculs[[#This Row],[Compteur]],Site!$B$33:$G$40,4,FALSE))</f>
        <v/>
      </c>
      <c r="Y573" t="str">
        <f>T(VLOOKUP(Tab_Calculs[[#This Row],[Compteur]],Site!$B$33:$G$40,5,FALSE))</f>
        <v/>
      </c>
      <c r="Z573" t="str">
        <f>T(VLOOKUP(Tab_Calculs[[#This Row],[Compteur]],Site!$B$33:$G$40,6,FALSE))</f>
        <v/>
      </c>
      <c r="AA573">
        <f>IFERROR(GETPIVOTDATA("DJU(chauffagiste)",BDD_DJU!$P$13,"annee",Tab_Calculs[[#This Row],[ANNEE]],"mois_numero",Tab_Calculs[[#This Row],[MOIS]]),0)</f>
        <v>0</v>
      </c>
    </row>
    <row r="574" spans="1:27" x14ac:dyDescent="0.25">
      <c r="A574" s="3">
        <f>DATE(Tab_Calculs[[#This Row],[ANNEE]],Tab_Calculs[[#This Row],[MOIS]],1)</f>
        <v>45689</v>
      </c>
      <c r="B574" s="3">
        <f>EDATE(Tab_Calculs[[#This Row],[Début mois]],1)-1</f>
        <v>45716</v>
      </c>
      <c r="C574">
        <f t="shared" si="17"/>
        <v>2</v>
      </c>
      <c r="D574">
        <f t="shared" si="20"/>
        <v>2025</v>
      </c>
      <c r="E574" t="s">
        <v>82</v>
      </c>
      <c r="F574" t="str">
        <f>SUBSTITUTE(Tab_Calculs[[#This Row],[Compteur]]," ","_")</f>
        <v>Compteur_3</v>
      </c>
      <c r="G574" t="str">
        <f>T(INDEX(Site!$B$33:$G$40, MATCH(Tab_Calculs[[#This Row],[Compteur]], Site!$B$33:$B$40,0),2))</f>
        <v/>
      </c>
      <c r="H574" s="3">
        <f t="array" aca="1" ref="H574" ca="1">MIN(IF(INDIRECT(CONCATENATE(Tab_Calculs[[#This Row],[Colonne1]],"!$B$2:$B$243"))&gt;=Calculs_Consos!$A574,INDIRECT(CONCATENATE(Tab_Calculs[[#This Row],[Colonne1]],"!$B$2:$B$243"))))</f>
        <v>0</v>
      </c>
      <c r="I574" s="3">
        <f ca="1">INDEX(INDIRECT(CONCATENATE("Tab_",Tab_Calculs[[#This Row],[Colonne1]])),Tab_Calculs[[#This Row],[index_date_livraison]],1)</f>
        <v>0</v>
      </c>
      <c r="J574">
        <f ca="1">MATCH(Tab_Calculs[[#This Row],[Date_livraison]],INDIRECT(CONCATENATE("Tab_",Tab_Calculs[[#This Row],[Colonne1]],"[Fin de période]")),0)</f>
        <v>1</v>
      </c>
      <c r="K574" t="e">
        <f ca="1">INDEX(INDIRECT(CONCATENATE("Tab_",Tab_Calculs[[#This Row],[Colonne1]])),Tab_Calculs[[#This Row],[index_date_livraison]]-1,6)*(MAX(Tab_Calculs[[#This Row],[Début periode livraison]],Tab_Calculs[[#This Row],[Début mois]])-Tab_Calculs[[#This Row],[Début mois]])</f>
        <v>#VALUE!</v>
      </c>
      <c r="L574" s="94">
        <f ca="1">INDEX(INDIRECT(CONCATENATE("Tab_",Tab_Calculs[[#This Row],[Colonne1]])),Tab_Calculs[[#This Row],[index_date_livraison]],6)*(1+MIN(Tab_Calculs[[#This Row],[Date_livraison]],Tab_Calculs[[#This Row],[fin mois]])-MAX(Tab_Calculs[[#This Row],[Début mois]],Tab_Calculs[[#This Row],[Début periode livraison]]))</f>
        <v>0</v>
      </c>
      <c r="M574" s="94" t="e">
        <f ca="1">INDEX(INDIRECT(CONCATENATE("Tab_",Tab_Calculs[[#This Row],[Colonne1]])),Tab_Calculs[[#This Row],[index_date_livraison]]+1,6)*(Tab_Calculs[[#This Row],[fin mois]]-MIN(Tab_Calculs[[#This Row],[fin mois]],Tab_Calculs[[#This Row],[Date_livraison]]))</f>
        <v>#VALUE!</v>
      </c>
      <c r="N574" s="231" t="str">
        <f ca="1">IFERROR(Tab_Calculs[[#This Row],[Ratio_jour_après_livr]]+Tab_Calculs[[#This Row],[Ratio_jour_avant_livr]]+Tab_Calculs[[#This Row],[ratio_avant_debut]],"")</f>
        <v/>
      </c>
      <c r="O574" t="e">
        <f ca="1">INDEX(INDIRECT(CONCATENATE("Tab_",Tab_Calculs[[#This Row],[Colonne1]])),Tab_Calculs[[#This Row],[index_date_livraison]]-1,7)*(MAX(Tab_Calculs[[#This Row],[Début periode livraison]],Tab_Calculs[[#This Row],[Début mois]])-Tab_Calculs[[#This Row],[Début mois]])</f>
        <v>#VALUE!</v>
      </c>
      <c r="P574">
        <f ca="1">INDEX(INDIRECT(CONCATENATE("Tab_",Tab_Calculs[[#This Row],[Colonne1]])),Tab_Calculs[[#This Row],[index_date_livraison]],7)*(1+MIN(Tab_Calculs[[#This Row],[Date_livraison]],Tab_Calculs[[#This Row],[fin mois]])-MAX(Tab_Calculs[[#This Row],[Début mois]],Tab_Calculs[[#This Row],[Début periode livraison]]))</f>
        <v>0</v>
      </c>
      <c r="Q574" t="e">
        <f ca="1">INDEX(INDIRECT(CONCATENATE("Tab_",Tab_Calculs[[#This Row],[Colonne1]])),Tab_Calculs[[#This Row],[index_date_livraison]]+1,7)*(Tab_Calculs[[#This Row],[fin mois]]-MIN(Tab_Calculs[[#This Row],[fin mois]],Tab_Calculs[[#This Row],[Date_livraison]]))</f>
        <v>#VALUE!</v>
      </c>
      <c r="R574" t="e">
        <f ca="1">Tab_Calculs[[#This Row],[Ratio_Cout_après_livr]]+Tab_Calculs[[#This Row],[Ratio_Cout_avant_livr]]+Tab_Calculs[[#This Row],[Ratio_Cout_avant_debut]]</f>
        <v>#VALUE!</v>
      </c>
      <c r="S574" t="str">
        <f ca="1">IFERROR(N574*VLOOKUP(Tab_Calculs[[#This Row],[Colonne1]],Controle_des_données!$B$7:$G$14,6,FALSE),"")</f>
        <v/>
      </c>
      <c r="T574" t="str">
        <f ca="1">IF(Tab_Calculs[[#This Row],[Combustible ]]="Electricité (kWh)",Tab_Calculs[[#This Row],[Conso_mois_kWh]]*2.3,Tab_Calculs[[#This Row],[Conso_mois_kWh]])</f>
        <v/>
      </c>
      <c r="U574" t="str">
        <f ca="1">IFERROR(N574*VLOOKUP(Tab_Calculs[[#This Row],[Colonne1]],Controle_des_données!$B$7:$H$14,7,FALSE),"")</f>
        <v/>
      </c>
      <c r="V574">
        <f ca="1">IFERROR(Tab_Calculs[[#This Row],[Cout_mois]]/Tab_Calculs[[#This Row],[Conso_mois_kWh]],0)</f>
        <v>0</v>
      </c>
      <c r="W574" t="str">
        <f>T(VLOOKUP(Tab_Calculs[[#This Row],[Compteur]],Site!$B$33:$G$40,3,FALSE))</f>
        <v/>
      </c>
      <c r="X574" t="str">
        <f>T(VLOOKUP(Tab_Calculs[[#This Row],[Compteur]],Site!$B$33:$G$40,4,FALSE))</f>
        <v/>
      </c>
      <c r="Y574" t="str">
        <f>T(VLOOKUP(Tab_Calculs[[#This Row],[Compteur]],Site!$B$33:$G$40,5,FALSE))</f>
        <v/>
      </c>
      <c r="Z574" t="str">
        <f>T(VLOOKUP(Tab_Calculs[[#This Row],[Compteur]],Site!$B$33:$G$40,6,FALSE))</f>
        <v/>
      </c>
      <c r="AA574">
        <f>IFERROR(GETPIVOTDATA("DJU(chauffagiste)",BDD_DJU!$P$13,"annee",Tab_Calculs[[#This Row],[ANNEE]],"mois_numero",Tab_Calculs[[#This Row],[MOIS]]),0)</f>
        <v>0</v>
      </c>
    </row>
    <row r="575" spans="1:27" x14ac:dyDescent="0.25">
      <c r="A575" s="3">
        <f>DATE(Tab_Calculs[[#This Row],[ANNEE]],Tab_Calculs[[#This Row],[MOIS]],1)</f>
        <v>45717</v>
      </c>
      <c r="B575" s="3">
        <f>EDATE(Tab_Calculs[[#This Row],[Début mois]],1)-1</f>
        <v>45747</v>
      </c>
      <c r="C575">
        <f t="shared" si="17"/>
        <v>3</v>
      </c>
      <c r="D575">
        <f t="shared" si="20"/>
        <v>2025</v>
      </c>
      <c r="E575" t="s">
        <v>82</v>
      </c>
      <c r="F575" t="str">
        <f>SUBSTITUTE(Tab_Calculs[[#This Row],[Compteur]]," ","_")</f>
        <v>Compteur_3</v>
      </c>
      <c r="G575" t="str">
        <f>T(INDEX(Site!$B$33:$G$40, MATCH(Tab_Calculs[[#This Row],[Compteur]], Site!$B$33:$B$40,0),2))</f>
        <v/>
      </c>
      <c r="H575" s="3">
        <f t="array" aca="1" ref="H575" ca="1">MIN(IF(INDIRECT(CONCATENATE(Tab_Calculs[[#This Row],[Colonne1]],"!$B$2:$B$243"))&gt;=Calculs_Consos!$A575,INDIRECT(CONCATENATE(Tab_Calculs[[#This Row],[Colonne1]],"!$B$2:$B$243"))))</f>
        <v>0</v>
      </c>
      <c r="I575" s="3">
        <f ca="1">INDEX(INDIRECT(CONCATENATE("Tab_",Tab_Calculs[[#This Row],[Colonne1]])),Tab_Calculs[[#This Row],[index_date_livraison]],1)</f>
        <v>0</v>
      </c>
      <c r="J575">
        <f ca="1">MATCH(Tab_Calculs[[#This Row],[Date_livraison]],INDIRECT(CONCATENATE("Tab_",Tab_Calculs[[#This Row],[Colonne1]],"[Fin de période]")),0)</f>
        <v>1</v>
      </c>
      <c r="K575" t="e">
        <f ca="1">INDEX(INDIRECT(CONCATENATE("Tab_",Tab_Calculs[[#This Row],[Colonne1]])),Tab_Calculs[[#This Row],[index_date_livraison]]-1,6)*(MAX(Tab_Calculs[[#This Row],[Début periode livraison]],Tab_Calculs[[#This Row],[Début mois]])-Tab_Calculs[[#This Row],[Début mois]])</f>
        <v>#VALUE!</v>
      </c>
      <c r="L575" s="94">
        <f ca="1">INDEX(INDIRECT(CONCATENATE("Tab_",Tab_Calculs[[#This Row],[Colonne1]])),Tab_Calculs[[#This Row],[index_date_livraison]],6)*(1+MIN(Tab_Calculs[[#This Row],[Date_livraison]],Tab_Calculs[[#This Row],[fin mois]])-MAX(Tab_Calculs[[#This Row],[Début mois]],Tab_Calculs[[#This Row],[Début periode livraison]]))</f>
        <v>0</v>
      </c>
      <c r="M575" s="94" t="e">
        <f ca="1">INDEX(INDIRECT(CONCATENATE("Tab_",Tab_Calculs[[#This Row],[Colonne1]])),Tab_Calculs[[#This Row],[index_date_livraison]]+1,6)*(Tab_Calculs[[#This Row],[fin mois]]-MIN(Tab_Calculs[[#This Row],[fin mois]],Tab_Calculs[[#This Row],[Date_livraison]]))</f>
        <v>#VALUE!</v>
      </c>
      <c r="N575" s="231" t="str">
        <f ca="1">IFERROR(Tab_Calculs[[#This Row],[Ratio_jour_après_livr]]+Tab_Calculs[[#This Row],[Ratio_jour_avant_livr]]+Tab_Calculs[[#This Row],[ratio_avant_debut]],"")</f>
        <v/>
      </c>
      <c r="O575" t="e">
        <f ca="1">INDEX(INDIRECT(CONCATENATE("Tab_",Tab_Calculs[[#This Row],[Colonne1]])),Tab_Calculs[[#This Row],[index_date_livraison]]-1,7)*(MAX(Tab_Calculs[[#This Row],[Début periode livraison]],Tab_Calculs[[#This Row],[Début mois]])-Tab_Calculs[[#This Row],[Début mois]])</f>
        <v>#VALUE!</v>
      </c>
      <c r="P575">
        <f ca="1">INDEX(INDIRECT(CONCATENATE("Tab_",Tab_Calculs[[#This Row],[Colonne1]])),Tab_Calculs[[#This Row],[index_date_livraison]],7)*(1+MIN(Tab_Calculs[[#This Row],[Date_livraison]],Tab_Calculs[[#This Row],[fin mois]])-MAX(Tab_Calculs[[#This Row],[Début mois]],Tab_Calculs[[#This Row],[Début periode livraison]]))</f>
        <v>0</v>
      </c>
      <c r="Q575" t="e">
        <f ca="1">INDEX(INDIRECT(CONCATENATE("Tab_",Tab_Calculs[[#This Row],[Colonne1]])),Tab_Calculs[[#This Row],[index_date_livraison]]+1,7)*(Tab_Calculs[[#This Row],[fin mois]]-MIN(Tab_Calculs[[#This Row],[fin mois]],Tab_Calculs[[#This Row],[Date_livraison]]))</f>
        <v>#VALUE!</v>
      </c>
      <c r="R575" t="e">
        <f ca="1">Tab_Calculs[[#This Row],[Ratio_Cout_après_livr]]+Tab_Calculs[[#This Row],[Ratio_Cout_avant_livr]]+Tab_Calculs[[#This Row],[Ratio_Cout_avant_debut]]</f>
        <v>#VALUE!</v>
      </c>
      <c r="S575" t="str">
        <f ca="1">IFERROR(N575*VLOOKUP(Tab_Calculs[[#This Row],[Colonne1]],Controle_des_données!$B$7:$G$14,6,FALSE),"")</f>
        <v/>
      </c>
      <c r="T575" t="str">
        <f ca="1">IF(Tab_Calculs[[#This Row],[Combustible ]]="Electricité (kWh)",Tab_Calculs[[#This Row],[Conso_mois_kWh]]*2.3,Tab_Calculs[[#This Row],[Conso_mois_kWh]])</f>
        <v/>
      </c>
      <c r="U575" t="str">
        <f ca="1">IFERROR(N575*VLOOKUP(Tab_Calculs[[#This Row],[Colonne1]],Controle_des_données!$B$7:$H$14,7,FALSE),"")</f>
        <v/>
      </c>
      <c r="V575">
        <f ca="1">IFERROR(Tab_Calculs[[#This Row],[Cout_mois]]/Tab_Calculs[[#This Row],[Conso_mois_kWh]],0)</f>
        <v>0</v>
      </c>
      <c r="W575" t="str">
        <f>T(VLOOKUP(Tab_Calculs[[#This Row],[Compteur]],Site!$B$33:$G$40,3,FALSE))</f>
        <v/>
      </c>
      <c r="X575" t="str">
        <f>T(VLOOKUP(Tab_Calculs[[#This Row],[Compteur]],Site!$B$33:$G$40,4,FALSE))</f>
        <v/>
      </c>
      <c r="Y575" t="str">
        <f>T(VLOOKUP(Tab_Calculs[[#This Row],[Compteur]],Site!$B$33:$G$40,5,FALSE))</f>
        <v/>
      </c>
      <c r="Z575" t="str">
        <f>T(VLOOKUP(Tab_Calculs[[#This Row],[Compteur]],Site!$B$33:$G$40,6,FALSE))</f>
        <v/>
      </c>
      <c r="AA575">
        <f>IFERROR(GETPIVOTDATA("DJU(chauffagiste)",BDD_DJU!$P$13,"annee",Tab_Calculs[[#This Row],[ANNEE]],"mois_numero",Tab_Calculs[[#This Row],[MOIS]]),0)</f>
        <v>0</v>
      </c>
    </row>
    <row r="576" spans="1:27" x14ac:dyDescent="0.25">
      <c r="A576" s="3">
        <f>DATE(Tab_Calculs[[#This Row],[ANNEE]],Tab_Calculs[[#This Row],[MOIS]],1)</f>
        <v>45748</v>
      </c>
      <c r="B576" s="3">
        <f>EDATE(Tab_Calculs[[#This Row],[Début mois]],1)-1</f>
        <v>45777</v>
      </c>
      <c r="C576">
        <f t="shared" si="17"/>
        <v>4</v>
      </c>
      <c r="D576">
        <f t="shared" si="20"/>
        <v>2025</v>
      </c>
      <c r="E576" t="s">
        <v>82</v>
      </c>
      <c r="F576" t="str">
        <f>SUBSTITUTE(Tab_Calculs[[#This Row],[Compteur]]," ","_")</f>
        <v>Compteur_3</v>
      </c>
      <c r="G576" t="str">
        <f>T(INDEX(Site!$B$33:$G$40, MATCH(Tab_Calculs[[#This Row],[Compteur]], Site!$B$33:$B$40,0),2))</f>
        <v/>
      </c>
      <c r="H576" s="3">
        <f t="array" aca="1" ref="H576" ca="1">MIN(IF(INDIRECT(CONCATENATE(Tab_Calculs[[#This Row],[Colonne1]],"!$B$2:$B$243"))&gt;=Calculs_Consos!$A576,INDIRECT(CONCATENATE(Tab_Calculs[[#This Row],[Colonne1]],"!$B$2:$B$243"))))</f>
        <v>0</v>
      </c>
      <c r="I576" s="3">
        <f ca="1">INDEX(INDIRECT(CONCATENATE("Tab_",Tab_Calculs[[#This Row],[Colonne1]])),Tab_Calculs[[#This Row],[index_date_livraison]],1)</f>
        <v>0</v>
      </c>
      <c r="J576">
        <f ca="1">MATCH(Tab_Calculs[[#This Row],[Date_livraison]],INDIRECT(CONCATENATE("Tab_",Tab_Calculs[[#This Row],[Colonne1]],"[Fin de période]")),0)</f>
        <v>1</v>
      </c>
      <c r="K576" t="e">
        <f ca="1">INDEX(INDIRECT(CONCATENATE("Tab_",Tab_Calculs[[#This Row],[Colonne1]])),Tab_Calculs[[#This Row],[index_date_livraison]]-1,6)*(MAX(Tab_Calculs[[#This Row],[Début periode livraison]],Tab_Calculs[[#This Row],[Début mois]])-Tab_Calculs[[#This Row],[Début mois]])</f>
        <v>#VALUE!</v>
      </c>
      <c r="L576" s="94">
        <f ca="1">INDEX(INDIRECT(CONCATENATE("Tab_",Tab_Calculs[[#This Row],[Colonne1]])),Tab_Calculs[[#This Row],[index_date_livraison]],6)*(1+MIN(Tab_Calculs[[#This Row],[Date_livraison]],Tab_Calculs[[#This Row],[fin mois]])-MAX(Tab_Calculs[[#This Row],[Début mois]],Tab_Calculs[[#This Row],[Début periode livraison]]))</f>
        <v>0</v>
      </c>
      <c r="M576" s="94" t="e">
        <f ca="1">INDEX(INDIRECT(CONCATENATE("Tab_",Tab_Calculs[[#This Row],[Colonne1]])),Tab_Calculs[[#This Row],[index_date_livraison]]+1,6)*(Tab_Calculs[[#This Row],[fin mois]]-MIN(Tab_Calculs[[#This Row],[fin mois]],Tab_Calculs[[#This Row],[Date_livraison]]))</f>
        <v>#VALUE!</v>
      </c>
      <c r="N576" s="231" t="str">
        <f ca="1">IFERROR(Tab_Calculs[[#This Row],[Ratio_jour_après_livr]]+Tab_Calculs[[#This Row],[Ratio_jour_avant_livr]]+Tab_Calculs[[#This Row],[ratio_avant_debut]],"")</f>
        <v/>
      </c>
      <c r="O576" t="e">
        <f ca="1">INDEX(INDIRECT(CONCATENATE("Tab_",Tab_Calculs[[#This Row],[Colonne1]])),Tab_Calculs[[#This Row],[index_date_livraison]]-1,7)*(MAX(Tab_Calculs[[#This Row],[Début periode livraison]],Tab_Calculs[[#This Row],[Début mois]])-Tab_Calculs[[#This Row],[Début mois]])</f>
        <v>#VALUE!</v>
      </c>
      <c r="P576">
        <f ca="1">INDEX(INDIRECT(CONCATENATE("Tab_",Tab_Calculs[[#This Row],[Colonne1]])),Tab_Calculs[[#This Row],[index_date_livraison]],7)*(1+MIN(Tab_Calculs[[#This Row],[Date_livraison]],Tab_Calculs[[#This Row],[fin mois]])-MAX(Tab_Calculs[[#This Row],[Début mois]],Tab_Calculs[[#This Row],[Début periode livraison]]))</f>
        <v>0</v>
      </c>
      <c r="Q576" t="e">
        <f ca="1">INDEX(INDIRECT(CONCATENATE("Tab_",Tab_Calculs[[#This Row],[Colonne1]])),Tab_Calculs[[#This Row],[index_date_livraison]]+1,7)*(Tab_Calculs[[#This Row],[fin mois]]-MIN(Tab_Calculs[[#This Row],[fin mois]],Tab_Calculs[[#This Row],[Date_livraison]]))</f>
        <v>#VALUE!</v>
      </c>
      <c r="R576" t="e">
        <f ca="1">Tab_Calculs[[#This Row],[Ratio_Cout_après_livr]]+Tab_Calculs[[#This Row],[Ratio_Cout_avant_livr]]+Tab_Calculs[[#This Row],[Ratio_Cout_avant_debut]]</f>
        <v>#VALUE!</v>
      </c>
      <c r="S576" t="str">
        <f ca="1">IFERROR(N576*VLOOKUP(Tab_Calculs[[#This Row],[Colonne1]],Controle_des_données!$B$7:$G$14,6,FALSE),"")</f>
        <v/>
      </c>
      <c r="T576" t="str">
        <f ca="1">IF(Tab_Calculs[[#This Row],[Combustible ]]="Electricité (kWh)",Tab_Calculs[[#This Row],[Conso_mois_kWh]]*2.3,Tab_Calculs[[#This Row],[Conso_mois_kWh]])</f>
        <v/>
      </c>
      <c r="U576" t="str">
        <f ca="1">IFERROR(N576*VLOOKUP(Tab_Calculs[[#This Row],[Colonne1]],Controle_des_données!$B$7:$H$14,7,FALSE),"")</f>
        <v/>
      </c>
      <c r="V576">
        <f ca="1">IFERROR(Tab_Calculs[[#This Row],[Cout_mois]]/Tab_Calculs[[#This Row],[Conso_mois_kWh]],0)</f>
        <v>0</v>
      </c>
      <c r="W576" t="str">
        <f>T(VLOOKUP(Tab_Calculs[[#This Row],[Compteur]],Site!$B$33:$G$40,3,FALSE))</f>
        <v/>
      </c>
      <c r="X576" t="str">
        <f>T(VLOOKUP(Tab_Calculs[[#This Row],[Compteur]],Site!$B$33:$G$40,4,FALSE))</f>
        <v/>
      </c>
      <c r="Y576" t="str">
        <f>T(VLOOKUP(Tab_Calculs[[#This Row],[Compteur]],Site!$B$33:$G$40,5,FALSE))</f>
        <v/>
      </c>
      <c r="Z576" t="str">
        <f>T(VLOOKUP(Tab_Calculs[[#This Row],[Compteur]],Site!$B$33:$G$40,6,FALSE))</f>
        <v/>
      </c>
      <c r="AA576">
        <f>IFERROR(GETPIVOTDATA("DJU(chauffagiste)",BDD_DJU!$P$13,"annee",Tab_Calculs[[#This Row],[ANNEE]],"mois_numero",Tab_Calculs[[#This Row],[MOIS]]),0)</f>
        <v>0</v>
      </c>
    </row>
    <row r="577" spans="1:27" x14ac:dyDescent="0.25">
      <c r="A577" s="3">
        <f>DATE(Tab_Calculs[[#This Row],[ANNEE]],Tab_Calculs[[#This Row],[MOIS]],1)</f>
        <v>45778</v>
      </c>
      <c r="B577" s="3">
        <f>EDATE(Tab_Calculs[[#This Row],[Début mois]],1)-1</f>
        <v>45808</v>
      </c>
      <c r="C577">
        <f t="shared" si="17"/>
        <v>5</v>
      </c>
      <c r="D577">
        <f t="shared" si="20"/>
        <v>2025</v>
      </c>
      <c r="E577" t="s">
        <v>82</v>
      </c>
      <c r="F577" t="str">
        <f>SUBSTITUTE(Tab_Calculs[[#This Row],[Compteur]]," ","_")</f>
        <v>Compteur_3</v>
      </c>
      <c r="G577" t="str">
        <f>T(INDEX(Site!$B$33:$G$40, MATCH(Tab_Calculs[[#This Row],[Compteur]], Site!$B$33:$B$40,0),2))</f>
        <v/>
      </c>
      <c r="H577" s="3">
        <f t="array" aca="1" ref="H577" ca="1">MIN(IF(INDIRECT(CONCATENATE(Tab_Calculs[[#This Row],[Colonne1]],"!$B$2:$B$243"))&gt;=Calculs_Consos!$A577,INDIRECT(CONCATENATE(Tab_Calculs[[#This Row],[Colonne1]],"!$B$2:$B$243"))))</f>
        <v>0</v>
      </c>
      <c r="I577" s="3">
        <f ca="1">INDEX(INDIRECT(CONCATENATE("Tab_",Tab_Calculs[[#This Row],[Colonne1]])),Tab_Calculs[[#This Row],[index_date_livraison]],1)</f>
        <v>0</v>
      </c>
      <c r="J577">
        <f ca="1">MATCH(Tab_Calculs[[#This Row],[Date_livraison]],INDIRECT(CONCATENATE("Tab_",Tab_Calculs[[#This Row],[Colonne1]],"[Fin de période]")),0)</f>
        <v>1</v>
      </c>
      <c r="K577" t="e">
        <f ca="1">INDEX(INDIRECT(CONCATENATE("Tab_",Tab_Calculs[[#This Row],[Colonne1]])),Tab_Calculs[[#This Row],[index_date_livraison]]-1,6)*(MAX(Tab_Calculs[[#This Row],[Début periode livraison]],Tab_Calculs[[#This Row],[Début mois]])-Tab_Calculs[[#This Row],[Début mois]])</f>
        <v>#VALUE!</v>
      </c>
      <c r="L577" s="94">
        <f ca="1">INDEX(INDIRECT(CONCATENATE("Tab_",Tab_Calculs[[#This Row],[Colonne1]])),Tab_Calculs[[#This Row],[index_date_livraison]],6)*(1+MIN(Tab_Calculs[[#This Row],[Date_livraison]],Tab_Calculs[[#This Row],[fin mois]])-MAX(Tab_Calculs[[#This Row],[Début mois]],Tab_Calculs[[#This Row],[Début periode livraison]]))</f>
        <v>0</v>
      </c>
      <c r="M577" s="94" t="e">
        <f ca="1">INDEX(INDIRECT(CONCATENATE("Tab_",Tab_Calculs[[#This Row],[Colonne1]])),Tab_Calculs[[#This Row],[index_date_livraison]]+1,6)*(Tab_Calculs[[#This Row],[fin mois]]-MIN(Tab_Calculs[[#This Row],[fin mois]],Tab_Calculs[[#This Row],[Date_livraison]]))</f>
        <v>#VALUE!</v>
      </c>
      <c r="N577" s="231" t="str">
        <f ca="1">IFERROR(Tab_Calculs[[#This Row],[Ratio_jour_après_livr]]+Tab_Calculs[[#This Row],[Ratio_jour_avant_livr]]+Tab_Calculs[[#This Row],[ratio_avant_debut]],"")</f>
        <v/>
      </c>
      <c r="O577" t="e">
        <f ca="1">INDEX(INDIRECT(CONCATENATE("Tab_",Tab_Calculs[[#This Row],[Colonne1]])),Tab_Calculs[[#This Row],[index_date_livraison]]-1,7)*(MAX(Tab_Calculs[[#This Row],[Début periode livraison]],Tab_Calculs[[#This Row],[Début mois]])-Tab_Calculs[[#This Row],[Début mois]])</f>
        <v>#VALUE!</v>
      </c>
      <c r="P577">
        <f ca="1">INDEX(INDIRECT(CONCATENATE("Tab_",Tab_Calculs[[#This Row],[Colonne1]])),Tab_Calculs[[#This Row],[index_date_livraison]],7)*(1+MIN(Tab_Calculs[[#This Row],[Date_livraison]],Tab_Calculs[[#This Row],[fin mois]])-MAX(Tab_Calculs[[#This Row],[Début mois]],Tab_Calculs[[#This Row],[Début periode livraison]]))</f>
        <v>0</v>
      </c>
      <c r="Q577" t="e">
        <f ca="1">INDEX(INDIRECT(CONCATENATE("Tab_",Tab_Calculs[[#This Row],[Colonne1]])),Tab_Calculs[[#This Row],[index_date_livraison]]+1,7)*(Tab_Calculs[[#This Row],[fin mois]]-MIN(Tab_Calculs[[#This Row],[fin mois]],Tab_Calculs[[#This Row],[Date_livraison]]))</f>
        <v>#VALUE!</v>
      </c>
      <c r="R577" t="e">
        <f ca="1">Tab_Calculs[[#This Row],[Ratio_Cout_après_livr]]+Tab_Calculs[[#This Row],[Ratio_Cout_avant_livr]]+Tab_Calculs[[#This Row],[Ratio_Cout_avant_debut]]</f>
        <v>#VALUE!</v>
      </c>
      <c r="S577" t="str">
        <f ca="1">IFERROR(N577*VLOOKUP(Tab_Calculs[[#This Row],[Colonne1]],Controle_des_données!$B$7:$G$14,6,FALSE),"")</f>
        <v/>
      </c>
      <c r="T577" t="str">
        <f ca="1">IF(Tab_Calculs[[#This Row],[Combustible ]]="Electricité (kWh)",Tab_Calculs[[#This Row],[Conso_mois_kWh]]*2.3,Tab_Calculs[[#This Row],[Conso_mois_kWh]])</f>
        <v/>
      </c>
      <c r="U577" t="str">
        <f ca="1">IFERROR(N577*VLOOKUP(Tab_Calculs[[#This Row],[Colonne1]],Controle_des_données!$B$7:$H$14,7,FALSE),"")</f>
        <v/>
      </c>
      <c r="V577">
        <f ca="1">IFERROR(Tab_Calculs[[#This Row],[Cout_mois]]/Tab_Calculs[[#This Row],[Conso_mois_kWh]],0)</f>
        <v>0</v>
      </c>
      <c r="W577" t="str">
        <f>T(VLOOKUP(Tab_Calculs[[#This Row],[Compteur]],Site!$B$33:$G$40,3,FALSE))</f>
        <v/>
      </c>
      <c r="X577" t="str">
        <f>T(VLOOKUP(Tab_Calculs[[#This Row],[Compteur]],Site!$B$33:$G$40,4,FALSE))</f>
        <v/>
      </c>
      <c r="Y577" t="str">
        <f>T(VLOOKUP(Tab_Calculs[[#This Row],[Compteur]],Site!$B$33:$G$40,5,FALSE))</f>
        <v/>
      </c>
      <c r="Z577" t="str">
        <f>T(VLOOKUP(Tab_Calculs[[#This Row],[Compteur]],Site!$B$33:$G$40,6,FALSE))</f>
        <v/>
      </c>
      <c r="AA577">
        <f>IFERROR(GETPIVOTDATA("DJU(chauffagiste)",BDD_DJU!$P$13,"annee",Tab_Calculs[[#This Row],[ANNEE]],"mois_numero",Tab_Calculs[[#This Row],[MOIS]]),0)</f>
        <v>0</v>
      </c>
    </row>
    <row r="578" spans="1:27" x14ac:dyDescent="0.25">
      <c r="A578" s="3">
        <f>DATE(Tab_Calculs[[#This Row],[ANNEE]],Tab_Calculs[[#This Row],[MOIS]],1)</f>
        <v>45809</v>
      </c>
      <c r="B578" s="3">
        <f>EDATE(Tab_Calculs[[#This Row],[Début mois]],1)-1</f>
        <v>45838</v>
      </c>
      <c r="C578">
        <f t="shared" si="17"/>
        <v>6</v>
      </c>
      <c r="D578">
        <f t="shared" si="20"/>
        <v>2025</v>
      </c>
      <c r="E578" t="s">
        <v>82</v>
      </c>
      <c r="F578" t="str">
        <f>SUBSTITUTE(Tab_Calculs[[#This Row],[Compteur]]," ","_")</f>
        <v>Compteur_3</v>
      </c>
      <c r="G578" t="str">
        <f>T(INDEX(Site!$B$33:$G$40, MATCH(Tab_Calculs[[#This Row],[Compteur]], Site!$B$33:$B$40,0),2))</f>
        <v/>
      </c>
      <c r="H578" s="3">
        <f t="array" aca="1" ref="H578" ca="1">MIN(IF(INDIRECT(CONCATENATE(Tab_Calculs[[#This Row],[Colonne1]],"!$B$2:$B$243"))&gt;=Calculs_Consos!$A578,INDIRECT(CONCATENATE(Tab_Calculs[[#This Row],[Colonne1]],"!$B$2:$B$243"))))</f>
        <v>0</v>
      </c>
      <c r="I578" s="3">
        <f ca="1">INDEX(INDIRECT(CONCATENATE("Tab_",Tab_Calculs[[#This Row],[Colonne1]])),Tab_Calculs[[#This Row],[index_date_livraison]],1)</f>
        <v>0</v>
      </c>
      <c r="J578">
        <f ca="1">MATCH(Tab_Calculs[[#This Row],[Date_livraison]],INDIRECT(CONCATENATE("Tab_",Tab_Calculs[[#This Row],[Colonne1]],"[Fin de période]")),0)</f>
        <v>1</v>
      </c>
      <c r="K578" t="e">
        <f ca="1">INDEX(INDIRECT(CONCATENATE("Tab_",Tab_Calculs[[#This Row],[Colonne1]])),Tab_Calculs[[#This Row],[index_date_livraison]]-1,6)*(MAX(Tab_Calculs[[#This Row],[Début periode livraison]],Tab_Calculs[[#This Row],[Début mois]])-Tab_Calculs[[#This Row],[Début mois]])</f>
        <v>#VALUE!</v>
      </c>
      <c r="L578" s="94">
        <f ca="1">INDEX(INDIRECT(CONCATENATE("Tab_",Tab_Calculs[[#This Row],[Colonne1]])),Tab_Calculs[[#This Row],[index_date_livraison]],6)*(1+MIN(Tab_Calculs[[#This Row],[Date_livraison]],Tab_Calculs[[#This Row],[fin mois]])-MAX(Tab_Calculs[[#This Row],[Début mois]],Tab_Calculs[[#This Row],[Début periode livraison]]))</f>
        <v>0</v>
      </c>
      <c r="M578" s="94" t="e">
        <f ca="1">INDEX(INDIRECT(CONCATENATE("Tab_",Tab_Calculs[[#This Row],[Colonne1]])),Tab_Calculs[[#This Row],[index_date_livraison]]+1,6)*(Tab_Calculs[[#This Row],[fin mois]]-MIN(Tab_Calculs[[#This Row],[fin mois]],Tab_Calculs[[#This Row],[Date_livraison]]))</f>
        <v>#VALUE!</v>
      </c>
      <c r="N578" s="231" t="str">
        <f ca="1">IFERROR(Tab_Calculs[[#This Row],[Ratio_jour_après_livr]]+Tab_Calculs[[#This Row],[Ratio_jour_avant_livr]]+Tab_Calculs[[#This Row],[ratio_avant_debut]],"")</f>
        <v/>
      </c>
      <c r="O578" t="e">
        <f ca="1">INDEX(INDIRECT(CONCATENATE("Tab_",Tab_Calculs[[#This Row],[Colonne1]])),Tab_Calculs[[#This Row],[index_date_livraison]]-1,7)*(MAX(Tab_Calculs[[#This Row],[Début periode livraison]],Tab_Calculs[[#This Row],[Début mois]])-Tab_Calculs[[#This Row],[Début mois]])</f>
        <v>#VALUE!</v>
      </c>
      <c r="P578">
        <f ca="1">INDEX(INDIRECT(CONCATENATE("Tab_",Tab_Calculs[[#This Row],[Colonne1]])),Tab_Calculs[[#This Row],[index_date_livraison]],7)*(1+MIN(Tab_Calculs[[#This Row],[Date_livraison]],Tab_Calculs[[#This Row],[fin mois]])-MAX(Tab_Calculs[[#This Row],[Début mois]],Tab_Calculs[[#This Row],[Début periode livraison]]))</f>
        <v>0</v>
      </c>
      <c r="Q578" t="e">
        <f ca="1">INDEX(INDIRECT(CONCATENATE("Tab_",Tab_Calculs[[#This Row],[Colonne1]])),Tab_Calculs[[#This Row],[index_date_livraison]]+1,7)*(Tab_Calculs[[#This Row],[fin mois]]-MIN(Tab_Calculs[[#This Row],[fin mois]],Tab_Calculs[[#This Row],[Date_livraison]]))</f>
        <v>#VALUE!</v>
      </c>
      <c r="R578" t="e">
        <f ca="1">Tab_Calculs[[#This Row],[Ratio_Cout_après_livr]]+Tab_Calculs[[#This Row],[Ratio_Cout_avant_livr]]+Tab_Calculs[[#This Row],[Ratio_Cout_avant_debut]]</f>
        <v>#VALUE!</v>
      </c>
      <c r="S578" t="str">
        <f ca="1">IFERROR(N578*VLOOKUP(Tab_Calculs[[#This Row],[Colonne1]],Controle_des_données!$B$7:$G$14,6,FALSE),"")</f>
        <v/>
      </c>
      <c r="T578" t="str">
        <f ca="1">IF(Tab_Calculs[[#This Row],[Combustible ]]="Electricité (kWh)",Tab_Calculs[[#This Row],[Conso_mois_kWh]]*2.3,Tab_Calculs[[#This Row],[Conso_mois_kWh]])</f>
        <v/>
      </c>
      <c r="U578" t="str">
        <f ca="1">IFERROR(N578*VLOOKUP(Tab_Calculs[[#This Row],[Colonne1]],Controle_des_données!$B$7:$H$14,7,FALSE),"")</f>
        <v/>
      </c>
      <c r="V578">
        <f ca="1">IFERROR(Tab_Calculs[[#This Row],[Cout_mois]]/Tab_Calculs[[#This Row],[Conso_mois_kWh]],0)</f>
        <v>0</v>
      </c>
      <c r="W578" t="str">
        <f>T(VLOOKUP(Tab_Calculs[[#This Row],[Compteur]],Site!$B$33:$G$40,3,FALSE))</f>
        <v/>
      </c>
      <c r="X578" t="str">
        <f>T(VLOOKUP(Tab_Calculs[[#This Row],[Compteur]],Site!$B$33:$G$40,4,FALSE))</f>
        <v/>
      </c>
      <c r="Y578" t="str">
        <f>T(VLOOKUP(Tab_Calculs[[#This Row],[Compteur]],Site!$B$33:$G$40,5,FALSE))</f>
        <v/>
      </c>
      <c r="Z578" t="str">
        <f>T(VLOOKUP(Tab_Calculs[[#This Row],[Compteur]],Site!$B$33:$G$40,6,FALSE))</f>
        <v/>
      </c>
      <c r="AA578">
        <f>IFERROR(GETPIVOTDATA("DJU(chauffagiste)",BDD_DJU!$P$13,"annee",Tab_Calculs[[#This Row],[ANNEE]],"mois_numero",Tab_Calculs[[#This Row],[MOIS]]),0)</f>
        <v>0</v>
      </c>
    </row>
    <row r="579" spans="1:27" x14ac:dyDescent="0.25">
      <c r="A579" s="3">
        <f>DATE(Tab_Calculs[[#This Row],[ANNEE]],Tab_Calculs[[#This Row],[MOIS]],1)</f>
        <v>45839</v>
      </c>
      <c r="B579" s="3">
        <f>EDATE(Tab_Calculs[[#This Row],[Début mois]],1)-1</f>
        <v>45869</v>
      </c>
      <c r="C579">
        <f t="shared" si="17"/>
        <v>7</v>
      </c>
      <c r="D579">
        <f t="shared" si="20"/>
        <v>2025</v>
      </c>
      <c r="E579" t="s">
        <v>82</v>
      </c>
      <c r="F579" t="str">
        <f>SUBSTITUTE(Tab_Calculs[[#This Row],[Compteur]]," ","_")</f>
        <v>Compteur_3</v>
      </c>
      <c r="G579" t="str">
        <f>T(INDEX(Site!$B$33:$G$40, MATCH(Tab_Calculs[[#This Row],[Compteur]], Site!$B$33:$B$40,0),2))</f>
        <v/>
      </c>
      <c r="H579" s="3">
        <f t="array" aca="1" ref="H579" ca="1">MIN(IF(INDIRECT(CONCATENATE(Tab_Calculs[[#This Row],[Colonne1]],"!$B$2:$B$243"))&gt;=Calculs_Consos!$A579,INDIRECT(CONCATENATE(Tab_Calculs[[#This Row],[Colonne1]],"!$B$2:$B$243"))))</f>
        <v>0</v>
      </c>
      <c r="I579" s="3">
        <f ca="1">INDEX(INDIRECT(CONCATENATE("Tab_",Tab_Calculs[[#This Row],[Colonne1]])),Tab_Calculs[[#This Row],[index_date_livraison]],1)</f>
        <v>0</v>
      </c>
      <c r="J579">
        <f ca="1">MATCH(Tab_Calculs[[#This Row],[Date_livraison]],INDIRECT(CONCATENATE("Tab_",Tab_Calculs[[#This Row],[Colonne1]],"[Fin de période]")),0)</f>
        <v>1</v>
      </c>
      <c r="K579" t="e">
        <f ca="1">INDEX(INDIRECT(CONCATENATE("Tab_",Tab_Calculs[[#This Row],[Colonne1]])),Tab_Calculs[[#This Row],[index_date_livraison]]-1,6)*(MAX(Tab_Calculs[[#This Row],[Début periode livraison]],Tab_Calculs[[#This Row],[Début mois]])-Tab_Calculs[[#This Row],[Début mois]])</f>
        <v>#VALUE!</v>
      </c>
      <c r="L579" s="94">
        <f ca="1">INDEX(INDIRECT(CONCATENATE("Tab_",Tab_Calculs[[#This Row],[Colonne1]])),Tab_Calculs[[#This Row],[index_date_livraison]],6)*(1+MIN(Tab_Calculs[[#This Row],[Date_livraison]],Tab_Calculs[[#This Row],[fin mois]])-MAX(Tab_Calculs[[#This Row],[Début mois]],Tab_Calculs[[#This Row],[Début periode livraison]]))</f>
        <v>0</v>
      </c>
      <c r="M579" s="94" t="e">
        <f ca="1">INDEX(INDIRECT(CONCATENATE("Tab_",Tab_Calculs[[#This Row],[Colonne1]])),Tab_Calculs[[#This Row],[index_date_livraison]]+1,6)*(Tab_Calculs[[#This Row],[fin mois]]-MIN(Tab_Calculs[[#This Row],[fin mois]],Tab_Calculs[[#This Row],[Date_livraison]]))</f>
        <v>#VALUE!</v>
      </c>
      <c r="N579" s="231" t="str">
        <f ca="1">IFERROR(Tab_Calculs[[#This Row],[Ratio_jour_après_livr]]+Tab_Calculs[[#This Row],[Ratio_jour_avant_livr]]+Tab_Calculs[[#This Row],[ratio_avant_debut]],"")</f>
        <v/>
      </c>
      <c r="O579" t="e">
        <f ca="1">INDEX(INDIRECT(CONCATENATE("Tab_",Tab_Calculs[[#This Row],[Colonne1]])),Tab_Calculs[[#This Row],[index_date_livraison]]-1,7)*(MAX(Tab_Calculs[[#This Row],[Début periode livraison]],Tab_Calculs[[#This Row],[Début mois]])-Tab_Calculs[[#This Row],[Début mois]])</f>
        <v>#VALUE!</v>
      </c>
      <c r="P579">
        <f ca="1">INDEX(INDIRECT(CONCATENATE("Tab_",Tab_Calculs[[#This Row],[Colonne1]])),Tab_Calculs[[#This Row],[index_date_livraison]],7)*(1+MIN(Tab_Calculs[[#This Row],[Date_livraison]],Tab_Calculs[[#This Row],[fin mois]])-MAX(Tab_Calculs[[#This Row],[Début mois]],Tab_Calculs[[#This Row],[Début periode livraison]]))</f>
        <v>0</v>
      </c>
      <c r="Q579" t="e">
        <f ca="1">INDEX(INDIRECT(CONCATENATE("Tab_",Tab_Calculs[[#This Row],[Colonne1]])),Tab_Calculs[[#This Row],[index_date_livraison]]+1,7)*(Tab_Calculs[[#This Row],[fin mois]]-MIN(Tab_Calculs[[#This Row],[fin mois]],Tab_Calculs[[#This Row],[Date_livraison]]))</f>
        <v>#VALUE!</v>
      </c>
      <c r="R579" t="e">
        <f ca="1">Tab_Calculs[[#This Row],[Ratio_Cout_après_livr]]+Tab_Calculs[[#This Row],[Ratio_Cout_avant_livr]]+Tab_Calculs[[#This Row],[Ratio_Cout_avant_debut]]</f>
        <v>#VALUE!</v>
      </c>
      <c r="S579" t="str">
        <f ca="1">IFERROR(N579*VLOOKUP(Tab_Calculs[[#This Row],[Colonne1]],Controle_des_données!$B$7:$G$14,6,FALSE),"")</f>
        <v/>
      </c>
      <c r="T579" t="str">
        <f ca="1">IF(Tab_Calculs[[#This Row],[Combustible ]]="Electricité (kWh)",Tab_Calculs[[#This Row],[Conso_mois_kWh]]*2.3,Tab_Calculs[[#This Row],[Conso_mois_kWh]])</f>
        <v/>
      </c>
      <c r="U579" t="str">
        <f ca="1">IFERROR(N579*VLOOKUP(Tab_Calculs[[#This Row],[Colonne1]],Controle_des_données!$B$7:$H$14,7,FALSE),"")</f>
        <v/>
      </c>
      <c r="V579">
        <f ca="1">IFERROR(Tab_Calculs[[#This Row],[Cout_mois]]/Tab_Calculs[[#This Row],[Conso_mois_kWh]],0)</f>
        <v>0</v>
      </c>
      <c r="W579" t="str">
        <f>T(VLOOKUP(Tab_Calculs[[#This Row],[Compteur]],Site!$B$33:$G$40,3,FALSE))</f>
        <v/>
      </c>
      <c r="X579" t="str">
        <f>T(VLOOKUP(Tab_Calculs[[#This Row],[Compteur]],Site!$B$33:$G$40,4,FALSE))</f>
        <v/>
      </c>
      <c r="Y579" t="str">
        <f>T(VLOOKUP(Tab_Calculs[[#This Row],[Compteur]],Site!$B$33:$G$40,5,FALSE))</f>
        <v/>
      </c>
      <c r="Z579" t="str">
        <f>T(VLOOKUP(Tab_Calculs[[#This Row],[Compteur]],Site!$B$33:$G$40,6,FALSE))</f>
        <v/>
      </c>
      <c r="AA579">
        <f>IFERROR(GETPIVOTDATA("DJU(chauffagiste)",BDD_DJU!$P$13,"annee",Tab_Calculs[[#This Row],[ANNEE]],"mois_numero",Tab_Calculs[[#This Row],[MOIS]]),0)</f>
        <v>0</v>
      </c>
    </row>
    <row r="580" spans="1:27" x14ac:dyDescent="0.25">
      <c r="A580" s="3">
        <f>DATE(Tab_Calculs[[#This Row],[ANNEE]],Tab_Calculs[[#This Row],[MOIS]],1)</f>
        <v>45870</v>
      </c>
      <c r="B580" s="3">
        <f>EDATE(Tab_Calculs[[#This Row],[Début mois]],1)-1</f>
        <v>45900</v>
      </c>
      <c r="C580">
        <f t="shared" si="17"/>
        <v>8</v>
      </c>
      <c r="D580">
        <f t="shared" si="20"/>
        <v>2025</v>
      </c>
      <c r="E580" t="s">
        <v>82</v>
      </c>
      <c r="F580" t="str">
        <f>SUBSTITUTE(Tab_Calculs[[#This Row],[Compteur]]," ","_")</f>
        <v>Compteur_3</v>
      </c>
      <c r="G580" t="str">
        <f>T(INDEX(Site!$B$33:$G$40, MATCH(Tab_Calculs[[#This Row],[Compteur]], Site!$B$33:$B$40,0),2))</f>
        <v/>
      </c>
      <c r="H580" s="3">
        <f t="array" aca="1" ref="H580" ca="1">MIN(IF(INDIRECT(CONCATENATE(Tab_Calculs[[#This Row],[Colonne1]],"!$B$2:$B$243"))&gt;=Calculs_Consos!$A580,INDIRECT(CONCATENATE(Tab_Calculs[[#This Row],[Colonne1]],"!$B$2:$B$243"))))</f>
        <v>0</v>
      </c>
      <c r="I580" s="3">
        <f ca="1">INDEX(INDIRECT(CONCATENATE("Tab_",Tab_Calculs[[#This Row],[Colonne1]])),Tab_Calculs[[#This Row],[index_date_livraison]],1)</f>
        <v>0</v>
      </c>
      <c r="J580">
        <f ca="1">MATCH(Tab_Calculs[[#This Row],[Date_livraison]],INDIRECT(CONCATENATE("Tab_",Tab_Calculs[[#This Row],[Colonne1]],"[Fin de période]")),0)</f>
        <v>1</v>
      </c>
      <c r="K580" t="e">
        <f ca="1">INDEX(INDIRECT(CONCATENATE("Tab_",Tab_Calculs[[#This Row],[Colonne1]])),Tab_Calculs[[#This Row],[index_date_livraison]]-1,6)*(MAX(Tab_Calculs[[#This Row],[Début periode livraison]],Tab_Calculs[[#This Row],[Début mois]])-Tab_Calculs[[#This Row],[Début mois]])</f>
        <v>#VALUE!</v>
      </c>
      <c r="L580" s="94">
        <f ca="1">INDEX(INDIRECT(CONCATENATE("Tab_",Tab_Calculs[[#This Row],[Colonne1]])),Tab_Calculs[[#This Row],[index_date_livraison]],6)*(1+MIN(Tab_Calculs[[#This Row],[Date_livraison]],Tab_Calculs[[#This Row],[fin mois]])-MAX(Tab_Calculs[[#This Row],[Début mois]],Tab_Calculs[[#This Row],[Début periode livraison]]))</f>
        <v>0</v>
      </c>
      <c r="M580" s="94" t="e">
        <f ca="1">INDEX(INDIRECT(CONCATENATE("Tab_",Tab_Calculs[[#This Row],[Colonne1]])),Tab_Calculs[[#This Row],[index_date_livraison]]+1,6)*(Tab_Calculs[[#This Row],[fin mois]]-MIN(Tab_Calculs[[#This Row],[fin mois]],Tab_Calculs[[#This Row],[Date_livraison]]))</f>
        <v>#VALUE!</v>
      </c>
      <c r="N580" s="231" t="str">
        <f ca="1">IFERROR(Tab_Calculs[[#This Row],[Ratio_jour_après_livr]]+Tab_Calculs[[#This Row],[Ratio_jour_avant_livr]]+Tab_Calculs[[#This Row],[ratio_avant_debut]],"")</f>
        <v/>
      </c>
      <c r="O580" t="e">
        <f ca="1">INDEX(INDIRECT(CONCATENATE("Tab_",Tab_Calculs[[#This Row],[Colonne1]])),Tab_Calculs[[#This Row],[index_date_livraison]]-1,7)*(MAX(Tab_Calculs[[#This Row],[Début periode livraison]],Tab_Calculs[[#This Row],[Début mois]])-Tab_Calculs[[#This Row],[Début mois]])</f>
        <v>#VALUE!</v>
      </c>
      <c r="P580">
        <f ca="1">INDEX(INDIRECT(CONCATENATE("Tab_",Tab_Calculs[[#This Row],[Colonne1]])),Tab_Calculs[[#This Row],[index_date_livraison]],7)*(1+MIN(Tab_Calculs[[#This Row],[Date_livraison]],Tab_Calculs[[#This Row],[fin mois]])-MAX(Tab_Calculs[[#This Row],[Début mois]],Tab_Calculs[[#This Row],[Début periode livraison]]))</f>
        <v>0</v>
      </c>
      <c r="Q580" t="e">
        <f ca="1">INDEX(INDIRECT(CONCATENATE("Tab_",Tab_Calculs[[#This Row],[Colonne1]])),Tab_Calculs[[#This Row],[index_date_livraison]]+1,7)*(Tab_Calculs[[#This Row],[fin mois]]-MIN(Tab_Calculs[[#This Row],[fin mois]],Tab_Calculs[[#This Row],[Date_livraison]]))</f>
        <v>#VALUE!</v>
      </c>
      <c r="R580" t="e">
        <f ca="1">Tab_Calculs[[#This Row],[Ratio_Cout_après_livr]]+Tab_Calculs[[#This Row],[Ratio_Cout_avant_livr]]+Tab_Calculs[[#This Row],[Ratio_Cout_avant_debut]]</f>
        <v>#VALUE!</v>
      </c>
      <c r="S580" t="str">
        <f ca="1">IFERROR(N580*VLOOKUP(Tab_Calculs[[#This Row],[Colonne1]],Controle_des_données!$B$7:$G$14,6,FALSE),"")</f>
        <v/>
      </c>
      <c r="T580" t="str">
        <f ca="1">IF(Tab_Calculs[[#This Row],[Combustible ]]="Electricité (kWh)",Tab_Calculs[[#This Row],[Conso_mois_kWh]]*2.3,Tab_Calculs[[#This Row],[Conso_mois_kWh]])</f>
        <v/>
      </c>
      <c r="U580" t="str">
        <f ca="1">IFERROR(N580*VLOOKUP(Tab_Calculs[[#This Row],[Colonne1]],Controle_des_données!$B$7:$H$14,7,FALSE),"")</f>
        <v/>
      </c>
      <c r="V580">
        <f ca="1">IFERROR(Tab_Calculs[[#This Row],[Cout_mois]]/Tab_Calculs[[#This Row],[Conso_mois_kWh]],0)</f>
        <v>0</v>
      </c>
      <c r="W580" t="str">
        <f>T(VLOOKUP(Tab_Calculs[[#This Row],[Compteur]],Site!$B$33:$G$40,3,FALSE))</f>
        <v/>
      </c>
      <c r="X580" t="str">
        <f>T(VLOOKUP(Tab_Calculs[[#This Row],[Compteur]],Site!$B$33:$G$40,4,FALSE))</f>
        <v/>
      </c>
      <c r="Y580" t="str">
        <f>T(VLOOKUP(Tab_Calculs[[#This Row],[Compteur]],Site!$B$33:$G$40,5,FALSE))</f>
        <v/>
      </c>
      <c r="Z580" t="str">
        <f>T(VLOOKUP(Tab_Calculs[[#This Row],[Compteur]],Site!$B$33:$G$40,6,FALSE))</f>
        <v/>
      </c>
      <c r="AA580">
        <f>IFERROR(GETPIVOTDATA("DJU(chauffagiste)",BDD_DJU!$P$13,"annee",Tab_Calculs[[#This Row],[ANNEE]],"mois_numero",Tab_Calculs[[#This Row],[MOIS]]),0)</f>
        <v>0</v>
      </c>
    </row>
    <row r="581" spans="1:27" x14ac:dyDescent="0.25">
      <c r="A581" s="3">
        <f>DATE(Tab_Calculs[[#This Row],[ANNEE]],Tab_Calculs[[#This Row],[MOIS]],1)</f>
        <v>45901</v>
      </c>
      <c r="B581" s="3">
        <f>EDATE(Tab_Calculs[[#This Row],[Début mois]],1)-1</f>
        <v>45930</v>
      </c>
      <c r="C581">
        <f t="shared" si="17"/>
        <v>9</v>
      </c>
      <c r="D581">
        <f t="shared" si="20"/>
        <v>2025</v>
      </c>
      <c r="E581" t="s">
        <v>82</v>
      </c>
      <c r="F581" t="str">
        <f>SUBSTITUTE(Tab_Calculs[[#This Row],[Compteur]]," ","_")</f>
        <v>Compteur_3</v>
      </c>
      <c r="G581" t="str">
        <f>T(INDEX(Site!$B$33:$G$40, MATCH(Tab_Calculs[[#This Row],[Compteur]], Site!$B$33:$B$40,0),2))</f>
        <v/>
      </c>
      <c r="H581" s="3">
        <f t="array" aca="1" ref="H581" ca="1">MIN(IF(INDIRECT(CONCATENATE(Tab_Calculs[[#This Row],[Colonne1]],"!$B$2:$B$243"))&gt;=Calculs_Consos!$A581,INDIRECT(CONCATENATE(Tab_Calculs[[#This Row],[Colonne1]],"!$B$2:$B$243"))))</f>
        <v>0</v>
      </c>
      <c r="I581" s="3">
        <f ca="1">INDEX(INDIRECT(CONCATENATE("Tab_",Tab_Calculs[[#This Row],[Colonne1]])),Tab_Calculs[[#This Row],[index_date_livraison]],1)</f>
        <v>0</v>
      </c>
      <c r="J581">
        <f ca="1">MATCH(Tab_Calculs[[#This Row],[Date_livraison]],INDIRECT(CONCATENATE("Tab_",Tab_Calculs[[#This Row],[Colonne1]],"[Fin de période]")),0)</f>
        <v>1</v>
      </c>
      <c r="K581" t="e">
        <f ca="1">INDEX(INDIRECT(CONCATENATE("Tab_",Tab_Calculs[[#This Row],[Colonne1]])),Tab_Calculs[[#This Row],[index_date_livraison]]-1,6)*(MAX(Tab_Calculs[[#This Row],[Début periode livraison]],Tab_Calculs[[#This Row],[Début mois]])-Tab_Calculs[[#This Row],[Début mois]])</f>
        <v>#VALUE!</v>
      </c>
      <c r="L581" s="94">
        <f ca="1">INDEX(INDIRECT(CONCATENATE("Tab_",Tab_Calculs[[#This Row],[Colonne1]])),Tab_Calculs[[#This Row],[index_date_livraison]],6)*(1+MIN(Tab_Calculs[[#This Row],[Date_livraison]],Tab_Calculs[[#This Row],[fin mois]])-MAX(Tab_Calculs[[#This Row],[Début mois]],Tab_Calculs[[#This Row],[Début periode livraison]]))</f>
        <v>0</v>
      </c>
      <c r="M581" s="94" t="e">
        <f ca="1">INDEX(INDIRECT(CONCATENATE("Tab_",Tab_Calculs[[#This Row],[Colonne1]])),Tab_Calculs[[#This Row],[index_date_livraison]]+1,6)*(Tab_Calculs[[#This Row],[fin mois]]-MIN(Tab_Calculs[[#This Row],[fin mois]],Tab_Calculs[[#This Row],[Date_livraison]]))</f>
        <v>#VALUE!</v>
      </c>
      <c r="N581" s="231" t="str">
        <f ca="1">IFERROR(Tab_Calculs[[#This Row],[Ratio_jour_après_livr]]+Tab_Calculs[[#This Row],[Ratio_jour_avant_livr]]+Tab_Calculs[[#This Row],[ratio_avant_debut]],"")</f>
        <v/>
      </c>
      <c r="O581" t="e">
        <f ca="1">INDEX(INDIRECT(CONCATENATE("Tab_",Tab_Calculs[[#This Row],[Colonne1]])),Tab_Calculs[[#This Row],[index_date_livraison]]-1,7)*(MAX(Tab_Calculs[[#This Row],[Début periode livraison]],Tab_Calculs[[#This Row],[Début mois]])-Tab_Calculs[[#This Row],[Début mois]])</f>
        <v>#VALUE!</v>
      </c>
      <c r="P581">
        <f ca="1">INDEX(INDIRECT(CONCATENATE("Tab_",Tab_Calculs[[#This Row],[Colonne1]])),Tab_Calculs[[#This Row],[index_date_livraison]],7)*(1+MIN(Tab_Calculs[[#This Row],[Date_livraison]],Tab_Calculs[[#This Row],[fin mois]])-MAX(Tab_Calculs[[#This Row],[Début mois]],Tab_Calculs[[#This Row],[Début periode livraison]]))</f>
        <v>0</v>
      </c>
      <c r="Q581" t="e">
        <f ca="1">INDEX(INDIRECT(CONCATENATE("Tab_",Tab_Calculs[[#This Row],[Colonne1]])),Tab_Calculs[[#This Row],[index_date_livraison]]+1,7)*(Tab_Calculs[[#This Row],[fin mois]]-MIN(Tab_Calculs[[#This Row],[fin mois]],Tab_Calculs[[#This Row],[Date_livraison]]))</f>
        <v>#VALUE!</v>
      </c>
      <c r="R581" t="e">
        <f ca="1">Tab_Calculs[[#This Row],[Ratio_Cout_après_livr]]+Tab_Calculs[[#This Row],[Ratio_Cout_avant_livr]]+Tab_Calculs[[#This Row],[Ratio_Cout_avant_debut]]</f>
        <v>#VALUE!</v>
      </c>
      <c r="S581" t="str">
        <f ca="1">IFERROR(N581*VLOOKUP(Tab_Calculs[[#This Row],[Colonne1]],Controle_des_données!$B$7:$G$14,6,FALSE),"")</f>
        <v/>
      </c>
      <c r="T581" t="str">
        <f ca="1">IF(Tab_Calculs[[#This Row],[Combustible ]]="Electricité (kWh)",Tab_Calculs[[#This Row],[Conso_mois_kWh]]*2.3,Tab_Calculs[[#This Row],[Conso_mois_kWh]])</f>
        <v/>
      </c>
      <c r="U581" t="str">
        <f ca="1">IFERROR(N581*VLOOKUP(Tab_Calculs[[#This Row],[Colonne1]],Controle_des_données!$B$7:$H$14,7,FALSE),"")</f>
        <v/>
      </c>
      <c r="V581">
        <f ca="1">IFERROR(Tab_Calculs[[#This Row],[Cout_mois]]/Tab_Calculs[[#This Row],[Conso_mois_kWh]],0)</f>
        <v>0</v>
      </c>
      <c r="W581" t="str">
        <f>T(VLOOKUP(Tab_Calculs[[#This Row],[Compteur]],Site!$B$33:$G$40,3,FALSE))</f>
        <v/>
      </c>
      <c r="X581" t="str">
        <f>T(VLOOKUP(Tab_Calculs[[#This Row],[Compteur]],Site!$B$33:$G$40,4,FALSE))</f>
        <v/>
      </c>
      <c r="Y581" t="str">
        <f>T(VLOOKUP(Tab_Calculs[[#This Row],[Compteur]],Site!$B$33:$G$40,5,FALSE))</f>
        <v/>
      </c>
      <c r="Z581" t="str">
        <f>T(VLOOKUP(Tab_Calculs[[#This Row],[Compteur]],Site!$B$33:$G$40,6,FALSE))</f>
        <v/>
      </c>
      <c r="AA581">
        <f>IFERROR(GETPIVOTDATA("DJU(chauffagiste)",BDD_DJU!$P$13,"annee",Tab_Calculs[[#This Row],[ANNEE]],"mois_numero",Tab_Calculs[[#This Row],[MOIS]]),0)</f>
        <v>0</v>
      </c>
    </row>
    <row r="582" spans="1:27" x14ac:dyDescent="0.25">
      <c r="A582" s="3">
        <f>DATE(Tab_Calculs[[#This Row],[ANNEE]],Tab_Calculs[[#This Row],[MOIS]],1)</f>
        <v>45931</v>
      </c>
      <c r="B582" s="3">
        <f>EDATE(Tab_Calculs[[#This Row],[Début mois]],1)-1</f>
        <v>45961</v>
      </c>
      <c r="C582">
        <f t="shared" si="17"/>
        <v>10</v>
      </c>
      <c r="D582">
        <f t="shared" si="20"/>
        <v>2025</v>
      </c>
      <c r="E582" t="s">
        <v>82</v>
      </c>
      <c r="F582" t="str">
        <f>SUBSTITUTE(Tab_Calculs[[#This Row],[Compteur]]," ","_")</f>
        <v>Compteur_3</v>
      </c>
      <c r="G582" t="str">
        <f>T(INDEX(Site!$B$33:$G$40, MATCH(Tab_Calculs[[#This Row],[Compteur]], Site!$B$33:$B$40,0),2))</f>
        <v/>
      </c>
      <c r="H582" s="3">
        <f t="array" aca="1" ref="H582" ca="1">MIN(IF(INDIRECT(CONCATENATE(Tab_Calculs[[#This Row],[Colonne1]],"!$B$2:$B$243"))&gt;=Calculs_Consos!$A582,INDIRECT(CONCATENATE(Tab_Calculs[[#This Row],[Colonne1]],"!$B$2:$B$243"))))</f>
        <v>0</v>
      </c>
      <c r="I582" s="3">
        <f ca="1">INDEX(INDIRECT(CONCATENATE("Tab_",Tab_Calculs[[#This Row],[Colonne1]])),Tab_Calculs[[#This Row],[index_date_livraison]],1)</f>
        <v>0</v>
      </c>
      <c r="J582">
        <f ca="1">MATCH(Tab_Calculs[[#This Row],[Date_livraison]],INDIRECT(CONCATENATE("Tab_",Tab_Calculs[[#This Row],[Colonne1]],"[Fin de période]")),0)</f>
        <v>1</v>
      </c>
      <c r="K582" t="e">
        <f ca="1">INDEX(INDIRECT(CONCATENATE("Tab_",Tab_Calculs[[#This Row],[Colonne1]])),Tab_Calculs[[#This Row],[index_date_livraison]]-1,6)*(MAX(Tab_Calculs[[#This Row],[Début periode livraison]],Tab_Calculs[[#This Row],[Début mois]])-Tab_Calculs[[#This Row],[Début mois]])</f>
        <v>#VALUE!</v>
      </c>
      <c r="L582" s="94">
        <f ca="1">INDEX(INDIRECT(CONCATENATE("Tab_",Tab_Calculs[[#This Row],[Colonne1]])),Tab_Calculs[[#This Row],[index_date_livraison]],6)*(1+MIN(Tab_Calculs[[#This Row],[Date_livraison]],Tab_Calculs[[#This Row],[fin mois]])-MAX(Tab_Calculs[[#This Row],[Début mois]],Tab_Calculs[[#This Row],[Début periode livraison]]))</f>
        <v>0</v>
      </c>
      <c r="M582" s="94" t="e">
        <f ca="1">INDEX(INDIRECT(CONCATENATE("Tab_",Tab_Calculs[[#This Row],[Colonne1]])),Tab_Calculs[[#This Row],[index_date_livraison]]+1,6)*(Tab_Calculs[[#This Row],[fin mois]]-MIN(Tab_Calculs[[#This Row],[fin mois]],Tab_Calculs[[#This Row],[Date_livraison]]))</f>
        <v>#VALUE!</v>
      </c>
      <c r="N582" s="231" t="str">
        <f ca="1">IFERROR(Tab_Calculs[[#This Row],[Ratio_jour_après_livr]]+Tab_Calculs[[#This Row],[Ratio_jour_avant_livr]]+Tab_Calculs[[#This Row],[ratio_avant_debut]],"")</f>
        <v/>
      </c>
      <c r="O582" t="e">
        <f ca="1">INDEX(INDIRECT(CONCATENATE("Tab_",Tab_Calculs[[#This Row],[Colonne1]])),Tab_Calculs[[#This Row],[index_date_livraison]]-1,7)*(MAX(Tab_Calculs[[#This Row],[Début periode livraison]],Tab_Calculs[[#This Row],[Début mois]])-Tab_Calculs[[#This Row],[Début mois]])</f>
        <v>#VALUE!</v>
      </c>
      <c r="P582">
        <f ca="1">INDEX(INDIRECT(CONCATENATE("Tab_",Tab_Calculs[[#This Row],[Colonne1]])),Tab_Calculs[[#This Row],[index_date_livraison]],7)*(1+MIN(Tab_Calculs[[#This Row],[Date_livraison]],Tab_Calculs[[#This Row],[fin mois]])-MAX(Tab_Calculs[[#This Row],[Début mois]],Tab_Calculs[[#This Row],[Début periode livraison]]))</f>
        <v>0</v>
      </c>
      <c r="Q582" t="e">
        <f ca="1">INDEX(INDIRECT(CONCATENATE("Tab_",Tab_Calculs[[#This Row],[Colonne1]])),Tab_Calculs[[#This Row],[index_date_livraison]]+1,7)*(Tab_Calculs[[#This Row],[fin mois]]-MIN(Tab_Calculs[[#This Row],[fin mois]],Tab_Calculs[[#This Row],[Date_livraison]]))</f>
        <v>#VALUE!</v>
      </c>
      <c r="R582" t="e">
        <f ca="1">Tab_Calculs[[#This Row],[Ratio_Cout_après_livr]]+Tab_Calculs[[#This Row],[Ratio_Cout_avant_livr]]+Tab_Calculs[[#This Row],[Ratio_Cout_avant_debut]]</f>
        <v>#VALUE!</v>
      </c>
      <c r="S582" t="str">
        <f ca="1">IFERROR(N582*VLOOKUP(Tab_Calculs[[#This Row],[Colonne1]],Controle_des_données!$B$7:$G$14,6,FALSE),"")</f>
        <v/>
      </c>
      <c r="T582" t="str">
        <f ca="1">IF(Tab_Calculs[[#This Row],[Combustible ]]="Electricité (kWh)",Tab_Calculs[[#This Row],[Conso_mois_kWh]]*2.3,Tab_Calculs[[#This Row],[Conso_mois_kWh]])</f>
        <v/>
      </c>
      <c r="U582" t="str">
        <f ca="1">IFERROR(N582*VLOOKUP(Tab_Calculs[[#This Row],[Colonne1]],Controle_des_données!$B$7:$H$14,7,FALSE),"")</f>
        <v/>
      </c>
      <c r="V582">
        <f ca="1">IFERROR(Tab_Calculs[[#This Row],[Cout_mois]]/Tab_Calculs[[#This Row],[Conso_mois_kWh]],0)</f>
        <v>0</v>
      </c>
      <c r="W582" t="str">
        <f>T(VLOOKUP(Tab_Calculs[[#This Row],[Compteur]],Site!$B$33:$G$40,3,FALSE))</f>
        <v/>
      </c>
      <c r="X582" t="str">
        <f>T(VLOOKUP(Tab_Calculs[[#This Row],[Compteur]],Site!$B$33:$G$40,4,FALSE))</f>
        <v/>
      </c>
      <c r="Y582" t="str">
        <f>T(VLOOKUP(Tab_Calculs[[#This Row],[Compteur]],Site!$B$33:$G$40,5,FALSE))</f>
        <v/>
      </c>
      <c r="Z582" t="str">
        <f>T(VLOOKUP(Tab_Calculs[[#This Row],[Compteur]],Site!$B$33:$G$40,6,FALSE))</f>
        <v/>
      </c>
      <c r="AA582">
        <f>IFERROR(GETPIVOTDATA("DJU(chauffagiste)",BDD_DJU!$P$13,"annee",Tab_Calculs[[#This Row],[ANNEE]],"mois_numero",Tab_Calculs[[#This Row],[MOIS]]),0)</f>
        <v>0</v>
      </c>
    </row>
    <row r="583" spans="1:27" x14ac:dyDescent="0.25">
      <c r="A583" s="3">
        <f>DATE(Tab_Calculs[[#This Row],[ANNEE]],Tab_Calculs[[#This Row],[MOIS]],1)</f>
        <v>45962</v>
      </c>
      <c r="B583" s="3">
        <f>EDATE(Tab_Calculs[[#This Row],[Début mois]],1)-1</f>
        <v>45991</v>
      </c>
      <c r="C583">
        <f t="shared" si="17"/>
        <v>11</v>
      </c>
      <c r="D583">
        <f t="shared" si="20"/>
        <v>2025</v>
      </c>
      <c r="E583" t="s">
        <v>82</v>
      </c>
      <c r="F583" t="str">
        <f>SUBSTITUTE(Tab_Calculs[[#This Row],[Compteur]]," ","_")</f>
        <v>Compteur_3</v>
      </c>
      <c r="G583" t="str">
        <f>T(INDEX(Site!$B$33:$G$40, MATCH(Tab_Calculs[[#This Row],[Compteur]], Site!$B$33:$B$40,0),2))</f>
        <v/>
      </c>
      <c r="H583" s="3">
        <f t="array" aca="1" ref="H583" ca="1">MIN(IF(INDIRECT(CONCATENATE(Tab_Calculs[[#This Row],[Colonne1]],"!$B$2:$B$243"))&gt;=Calculs_Consos!$A583,INDIRECT(CONCATENATE(Tab_Calculs[[#This Row],[Colonne1]],"!$B$2:$B$243"))))</f>
        <v>0</v>
      </c>
      <c r="I583" s="3">
        <f ca="1">INDEX(INDIRECT(CONCATENATE("Tab_",Tab_Calculs[[#This Row],[Colonne1]])),Tab_Calculs[[#This Row],[index_date_livraison]],1)</f>
        <v>0</v>
      </c>
      <c r="J583">
        <f ca="1">MATCH(Tab_Calculs[[#This Row],[Date_livraison]],INDIRECT(CONCATENATE("Tab_",Tab_Calculs[[#This Row],[Colonne1]],"[Fin de période]")),0)</f>
        <v>1</v>
      </c>
      <c r="K583" t="e">
        <f ca="1">INDEX(INDIRECT(CONCATENATE("Tab_",Tab_Calculs[[#This Row],[Colonne1]])),Tab_Calculs[[#This Row],[index_date_livraison]]-1,6)*(MAX(Tab_Calculs[[#This Row],[Début periode livraison]],Tab_Calculs[[#This Row],[Début mois]])-Tab_Calculs[[#This Row],[Début mois]])</f>
        <v>#VALUE!</v>
      </c>
      <c r="L583" s="94">
        <f ca="1">INDEX(INDIRECT(CONCATENATE("Tab_",Tab_Calculs[[#This Row],[Colonne1]])),Tab_Calculs[[#This Row],[index_date_livraison]],6)*(1+MIN(Tab_Calculs[[#This Row],[Date_livraison]],Tab_Calculs[[#This Row],[fin mois]])-MAX(Tab_Calculs[[#This Row],[Début mois]],Tab_Calculs[[#This Row],[Début periode livraison]]))</f>
        <v>0</v>
      </c>
      <c r="M583" s="94" t="e">
        <f ca="1">INDEX(INDIRECT(CONCATENATE("Tab_",Tab_Calculs[[#This Row],[Colonne1]])),Tab_Calculs[[#This Row],[index_date_livraison]]+1,6)*(Tab_Calculs[[#This Row],[fin mois]]-MIN(Tab_Calculs[[#This Row],[fin mois]],Tab_Calculs[[#This Row],[Date_livraison]]))</f>
        <v>#VALUE!</v>
      </c>
      <c r="N583" s="231" t="str">
        <f ca="1">IFERROR(Tab_Calculs[[#This Row],[Ratio_jour_après_livr]]+Tab_Calculs[[#This Row],[Ratio_jour_avant_livr]]+Tab_Calculs[[#This Row],[ratio_avant_debut]],"")</f>
        <v/>
      </c>
      <c r="O583" t="e">
        <f ca="1">INDEX(INDIRECT(CONCATENATE("Tab_",Tab_Calculs[[#This Row],[Colonne1]])),Tab_Calculs[[#This Row],[index_date_livraison]]-1,7)*(MAX(Tab_Calculs[[#This Row],[Début periode livraison]],Tab_Calculs[[#This Row],[Début mois]])-Tab_Calculs[[#This Row],[Début mois]])</f>
        <v>#VALUE!</v>
      </c>
      <c r="P583">
        <f ca="1">INDEX(INDIRECT(CONCATENATE("Tab_",Tab_Calculs[[#This Row],[Colonne1]])),Tab_Calculs[[#This Row],[index_date_livraison]],7)*(1+MIN(Tab_Calculs[[#This Row],[Date_livraison]],Tab_Calculs[[#This Row],[fin mois]])-MAX(Tab_Calculs[[#This Row],[Début mois]],Tab_Calculs[[#This Row],[Début periode livraison]]))</f>
        <v>0</v>
      </c>
      <c r="Q583" t="e">
        <f ca="1">INDEX(INDIRECT(CONCATENATE("Tab_",Tab_Calculs[[#This Row],[Colonne1]])),Tab_Calculs[[#This Row],[index_date_livraison]]+1,7)*(Tab_Calculs[[#This Row],[fin mois]]-MIN(Tab_Calculs[[#This Row],[fin mois]],Tab_Calculs[[#This Row],[Date_livraison]]))</f>
        <v>#VALUE!</v>
      </c>
      <c r="R583" t="e">
        <f ca="1">Tab_Calculs[[#This Row],[Ratio_Cout_après_livr]]+Tab_Calculs[[#This Row],[Ratio_Cout_avant_livr]]+Tab_Calculs[[#This Row],[Ratio_Cout_avant_debut]]</f>
        <v>#VALUE!</v>
      </c>
      <c r="S583" t="str">
        <f ca="1">IFERROR(N583*VLOOKUP(Tab_Calculs[[#This Row],[Colonne1]],Controle_des_données!$B$7:$G$14,6,FALSE),"")</f>
        <v/>
      </c>
      <c r="T583" t="str">
        <f ca="1">IF(Tab_Calculs[[#This Row],[Combustible ]]="Electricité (kWh)",Tab_Calculs[[#This Row],[Conso_mois_kWh]]*2.3,Tab_Calculs[[#This Row],[Conso_mois_kWh]])</f>
        <v/>
      </c>
      <c r="U583" t="str">
        <f ca="1">IFERROR(N583*VLOOKUP(Tab_Calculs[[#This Row],[Colonne1]],Controle_des_données!$B$7:$H$14,7,FALSE),"")</f>
        <v/>
      </c>
      <c r="V583">
        <f ca="1">IFERROR(Tab_Calculs[[#This Row],[Cout_mois]]/Tab_Calculs[[#This Row],[Conso_mois_kWh]],0)</f>
        <v>0</v>
      </c>
      <c r="W583" t="str">
        <f>T(VLOOKUP(Tab_Calculs[[#This Row],[Compteur]],Site!$B$33:$G$40,3,FALSE))</f>
        <v/>
      </c>
      <c r="X583" t="str">
        <f>T(VLOOKUP(Tab_Calculs[[#This Row],[Compteur]],Site!$B$33:$G$40,4,FALSE))</f>
        <v/>
      </c>
      <c r="Y583" t="str">
        <f>T(VLOOKUP(Tab_Calculs[[#This Row],[Compteur]],Site!$B$33:$G$40,5,FALSE))</f>
        <v/>
      </c>
      <c r="Z583" t="str">
        <f>T(VLOOKUP(Tab_Calculs[[#This Row],[Compteur]],Site!$B$33:$G$40,6,FALSE))</f>
        <v/>
      </c>
      <c r="AA583">
        <f>IFERROR(GETPIVOTDATA("DJU(chauffagiste)",BDD_DJU!$P$13,"annee",Tab_Calculs[[#This Row],[ANNEE]],"mois_numero",Tab_Calculs[[#This Row],[MOIS]]),0)</f>
        <v>0</v>
      </c>
    </row>
    <row r="584" spans="1:27" x14ac:dyDescent="0.25">
      <c r="A584" s="3">
        <f>DATE(Tab_Calculs[[#This Row],[ANNEE]],Tab_Calculs[[#This Row],[MOIS]],1)</f>
        <v>45992</v>
      </c>
      <c r="B584" s="3">
        <f>EDATE(Tab_Calculs[[#This Row],[Début mois]],1)-1</f>
        <v>46022</v>
      </c>
      <c r="C584">
        <f t="shared" si="17"/>
        <v>12</v>
      </c>
      <c r="D584">
        <f t="shared" si="20"/>
        <v>2025</v>
      </c>
      <c r="E584" t="s">
        <v>82</v>
      </c>
      <c r="F584" t="str">
        <f>SUBSTITUTE(Tab_Calculs[[#This Row],[Compteur]]," ","_")</f>
        <v>Compteur_3</v>
      </c>
      <c r="G584" t="str">
        <f>T(INDEX(Site!$B$33:$G$40, MATCH(Tab_Calculs[[#This Row],[Compteur]], Site!$B$33:$B$40,0),2))</f>
        <v/>
      </c>
      <c r="H584" s="3">
        <f t="array" aca="1" ref="H584" ca="1">MIN(IF(INDIRECT(CONCATENATE(Tab_Calculs[[#This Row],[Colonne1]],"!$B$2:$B$243"))&gt;=Calculs_Consos!$A584,INDIRECT(CONCATENATE(Tab_Calculs[[#This Row],[Colonne1]],"!$B$2:$B$243"))))</f>
        <v>0</v>
      </c>
      <c r="I584" s="3">
        <f ca="1">INDEX(INDIRECT(CONCATENATE("Tab_",Tab_Calculs[[#This Row],[Colonne1]])),Tab_Calculs[[#This Row],[index_date_livraison]],1)</f>
        <v>0</v>
      </c>
      <c r="J584">
        <f ca="1">MATCH(Tab_Calculs[[#This Row],[Date_livraison]],INDIRECT(CONCATENATE("Tab_",Tab_Calculs[[#This Row],[Colonne1]],"[Fin de période]")),0)</f>
        <v>1</v>
      </c>
      <c r="K584" t="e">
        <f ca="1">INDEX(INDIRECT(CONCATENATE("Tab_",Tab_Calculs[[#This Row],[Colonne1]])),Tab_Calculs[[#This Row],[index_date_livraison]]-1,6)*(MAX(Tab_Calculs[[#This Row],[Début periode livraison]],Tab_Calculs[[#This Row],[Début mois]])-Tab_Calculs[[#This Row],[Début mois]])</f>
        <v>#VALUE!</v>
      </c>
      <c r="L584" s="94">
        <f ca="1">INDEX(INDIRECT(CONCATENATE("Tab_",Tab_Calculs[[#This Row],[Colonne1]])),Tab_Calculs[[#This Row],[index_date_livraison]],6)*(1+MIN(Tab_Calculs[[#This Row],[Date_livraison]],Tab_Calculs[[#This Row],[fin mois]])-MAX(Tab_Calculs[[#This Row],[Début mois]],Tab_Calculs[[#This Row],[Début periode livraison]]))</f>
        <v>0</v>
      </c>
      <c r="M584" s="94" t="e">
        <f ca="1">INDEX(INDIRECT(CONCATENATE("Tab_",Tab_Calculs[[#This Row],[Colonne1]])),Tab_Calculs[[#This Row],[index_date_livraison]]+1,6)*(Tab_Calculs[[#This Row],[fin mois]]-MIN(Tab_Calculs[[#This Row],[fin mois]],Tab_Calculs[[#This Row],[Date_livraison]]))</f>
        <v>#VALUE!</v>
      </c>
      <c r="N584" s="231" t="str">
        <f ca="1">IFERROR(Tab_Calculs[[#This Row],[Ratio_jour_après_livr]]+Tab_Calculs[[#This Row],[Ratio_jour_avant_livr]]+Tab_Calculs[[#This Row],[ratio_avant_debut]],"")</f>
        <v/>
      </c>
      <c r="O584" t="e">
        <f ca="1">INDEX(INDIRECT(CONCATENATE("Tab_",Tab_Calculs[[#This Row],[Colonne1]])),Tab_Calculs[[#This Row],[index_date_livraison]]-1,7)*(MAX(Tab_Calculs[[#This Row],[Début periode livraison]],Tab_Calculs[[#This Row],[Début mois]])-Tab_Calculs[[#This Row],[Début mois]])</f>
        <v>#VALUE!</v>
      </c>
      <c r="P584">
        <f ca="1">INDEX(INDIRECT(CONCATENATE("Tab_",Tab_Calculs[[#This Row],[Colonne1]])),Tab_Calculs[[#This Row],[index_date_livraison]],7)*(1+MIN(Tab_Calculs[[#This Row],[Date_livraison]],Tab_Calculs[[#This Row],[fin mois]])-MAX(Tab_Calculs[[#This Row],[Début mois]],Tab_Calculs[[#This Row],[Début periode livraison]]))</f>
        <v>0</v>
      </c>
      <c r="Q584" t="e">
        <f ca="1">INDEX(INDIRECT(CONCATENATE("Tab_",Tab_Calculs[[#This Row],[Colonne1]])),Tab_Calculs[[#This Row],[index_date_livraison]]+1,7)*(Tab_Calculs[[#This Row],[fin mois]]-MIN(Tab_Calculs[[#This Row],[fin mois]],Tab_Calculs[[#This Row],[Date_livraison]]))</f>
        <v>#VALUE!</v>
      </c>
      <c r="R584" t="e">
        <f ca="1">Tab_Calculs[[#This Row],[Ratio_Cout_après_livr]]+Tab_Calculs[[#This Row],[Ratio_Cout_avant_livr]]+Tab_Calculs[[#This Row],[Ratio_Cout_avant_debut]]</f>
        <v>#VALUE!</v>
      </c>
      <c r="S584" t="str">
        <f ca="1">IFERROR(N584*VLOOKUP(Tab_Calculs[[#This Row],[Colonne1]],Controle_des_données!$B$7:$G$14,6,FALSE),"")</f>
        <v/>
      </c>
      <c r="T584" t="str">
        <f ca="1">IF(Tab_Calculs[[#This Row],[Combustible ]]="Electricité (kWh)",Tab_Calculs[[#This Row],[Conso_mois_kWh]]*2.3,Tab_Calculs[[#This Row],[Conso_mois_kWh]])</f>
        <v/>
      </c>
      <c r="U584" t="str">
        <f ca="1">IFERROR(N584*VLOOKUP(Tab_Calculs[[#This Row],[Colonne1]],Controle_des_données!$B$7:$H$14,7,FALSE),"")</f>
        <v/>
      </c>
      <c r="V584">
        <f ca="1">IFERROR(Tab_Calculs[[#This Row],[Cout_mois]]/Tab_Calculs[[#This Row],[Conso_mois_kWh]],0)</f>
        <v>0</v>
      </c>
      <c r="W584" t="str">
        <f>T(VLOOKUP(Tab_Calculs[[#This Row],[Compteur]],Site!$B$33:$G$40,3,FALSE))</f>
        <v/>
      </c>
      <c r="X584" t="str">
        <f>T(VLOOKUP(Tab_Calculs[[#This Row],[Compteur]],Site!$B$33:$G$40,4,FALSE))</f>
        <v/>
      </c>
      <c r="Y584" t="str">
        <f>T(VLOOKUP(Tab_Calculs[[#This Row],[Compteur]],Site!$B$33:$G$40,5,FALSE))</f>
        <v/>
      </c>
      <c r="Z584" t="str">
        <f>T(VLOOKUP(Tab_Calculs[[#This Row],[Compteur]],Site!$B$33:$G$40,6,FALSE))</f>
        <v/>
      </c>
      <c r="AA584">
        <f>IFERROR(GETPIVOTDATA("DJU(chauffagiste)",BDD_DJU!$P$13,"annee",Tab_Calculs[[#This Row],[ANNEE]],"mois_numero",Tab_Calculs[[#This Row],[MOIS]]),0)</f>
        <v>0</v>
      </c>
    </row>
    <row r="585" spans="1:27" x14ac:dyDescent="0.25">
      <c r="A585" s="3">
        <f>DATE(Tab_Calculs[[#This Row],[ANNEE]],Tab_Calculs[[#This Row],[MOIS]],1)</f>
        <v>40179</v>
      </c>
      <c r="B585" s="3">
        <f>EDATE(Tab_Calculs[[#This Row],[Début mois]],1)-1</f>
        <v>40209</v>
      </c>
      <c r="C585">
        <v>1</v>
      </c>
      <c r="D585">
        <v>2010</v>
      </c>
      <c r="E585" t="s">
        <v>83</v>
      </c>
      <c r="F585" t="str">
        <f>SUBSTITUTE(Tab_Calculs[[#This Row],[Compteur]]," ","_")</f>
        <v>Compteur_4</v>
      </c>
      <c r="G585" t="str">
        <f>T(INDEX(Site!$B$33:$G$40, MATCH(Tab_Calculs[[#This Row],[Compteur]], Site!$B$33:$B$40,0),2))</f>
        <v/>
      </c>
      <c r="H585" s="3">
        <f t="array" aca="1" ref="H585" ca="1">MIN(IF(INDIRECT(CONCATENATE(Tab_Calculs[[#This Row],[Colonne1]],"!$B$2:$B$243"))&gt;=Calculs_Consos!$A585,INDIRECT(CONCATENATE(Tab_Calculs[[#This Row],[Colonne1]],"!$B$2:$B$243"))))</f>
        <v>0</v>
      </c>
      <c r="I585" s="3">
        <f ca="1">INDEX(INDIRECT(CONCATENATE("Tab_",Tab_Calculs[[#This Row],[Colonne1]])),Tab_Calculs[[#This Row],[index_date_livraison]],1)</f>
        <v>0</v>
      </c>
      <c r="J585">
        <f ca="1">MATCH(Tab_Calculs[[#This Row],[Date_livraison]],INDIRECT(CONCATENATE("Tab_",Tab_Calculs[[#This Row],[Colonne1]],"[Fin de période]")),0)</f>
        <v>1</v>
      </c>
      <c r="K585" t="e">
        <f ca="1">INDEX(INDIRECT(CONCATENATE("Tab_",Tab_Calculs[[#This Row],[Colonne1]])),Tab_Calculs[[#This Row],[index_date_livraison]]-1,6)*(MAX(Tab_Calculs[[#This Row],[Début periode livraison]],Tab_Calculs[[#This Row],[Début mois]])-Tab_Calculs[[#This Row],[Début mois]])</f>
        <v>#VALUE!</v>
      </c>
      <c r="L585" s="94">
        <f ca="1">INDEX(INDIRECT(CONCATENATE("Tab_",Tab_Calculs[[#This Row],[Colonne1]])),Tab_Calculs[[#This Row],[index_date_livraison]],6)*(1+MIN(Tab_Calculs[[#This Row],[Date_livraison]],Tab_Calculs[[#This Row],[fin mois]])-MAX(Tab_Calculs[[#This Row],[Début mois]],Tab_Calculs[[#This Row],[Début periode livraison]]))</f>
        <v>0</v>
      </c>
      <c r="M585" s="94" t="e">
        <f ca="1">INDEX(INDIRECT(CONCATENATE("Tab_",Tab_Calculs[[#This Row],[Colonne1]])),Tab_Calculs[[#This Row],[index_date_livraison]]+1,6)*(Tab_Calculs[[#This Row],[fin mois]]-MIN(Tab_Calculs[[#This Row],[fin mois]],Tab_Calculs[[#This Row],[Date_livraison]]))</f>
        <v>#VALUE!</v>
      </c>
      <c r="N585" s="231" t="str">
        <f ca="1">IFERROR(Tab_Calculs[[#This Row],[Ratio_jour_après_livr]]+Tab_Calculs[[#This Row],[Ratio_jour_avant_livr]]+Tab_Calculs[[#This Row],[ratio_avant_debut]],"")</f>
        <v/>
      </c>
      <c r="O585" t="e">
        <f ca="1">INDEX(INDIRECT(CONCATENATE("Tab_",Tab_Calculs[[#This Row],[Colonne1]])),Tab_Calculs[[#This Row],[index_date_livraison]]-1,7)*(MAX(Tab_Calculs[[#This Row],[Début periode livraison]],Tab_Calculs[[#This Row],[Début mois]])-Tab_Calculs[[#This Row],[Début mois]])</f>
        <v>#VALUE!</v>
      </c>
      <c r="P585">
        <f ca="1">INDEX(INDIRECT(CONCATENATE("Tab_",Tab_Calculs[[#This Row],[Colonne1]])),Tab_Calculs[[#This Row],[index_date_livraison]],7)*(1+MIN(Tab_Calculs[[#This Row],[Date_livraison]],Tab_Calculs[[#This Row],[fin mois]])-MAX(Tab_Calculs[[#This Row],[Début mois]],Tab_Calculs[[#This Row],[Début periode livraison]]))</f>
        <v>0</v>
      </c>
      <c r="Q585" t="e">
        <f ca="1">INDEX(INDIRECT(CONCATENATE("Tab_",Tab_Calculs[[#This Row],[Colonne1]])),Tab_Calculs[[#This Row],[index_date_livraison]]+1,7)*(Tab_Calculs[[#This Row],[fin mois]]-MIN(Tab_Calculs[[#This Row],[fin mois]],Tab_Calculs[[#This Row],[Date_livraison]]))</f>
        <v>#VALUE!</v>
      </c>
      <c r="R585" t="e">
        <f ca="1">Tab_Calculs[[#This Row],[Ratio_Cout_après_livr]]+Tab_Calculs[[#This Row],[Ratio_Cout_avant_livr]]+Tab_Calculs[[#This Row],[Ratio_Cout_avant_debut]]</f>
        <v>#VALUE!</v>
      </c>
      <c r="S585" t="str">
        <f ca="1">IFERROR(N585*VLOOKUP(Tab_Calculs[[#This Row],[Colonne1]],Controle_des_données!$B$7:$G$14,6,FALSE),"")</f>
        <v/>
      </c>
      <c r="T585" t="str">
        <f ca="1">IF(Tab_Calculs[[#This Row],[Combustible ]]="Electricité (kWh)",Tab_Calculs[[#This Row],[Conso_mois_kWh]]*2.3,Tab_Calculs[[#This Row],[Conso_mois_kWh]])</f>
        <v/>
      </c>
      <c r="U585" t="str">
        <f ca="1">IFERROR(N585*VLOOKUP(Tab_Calculs[[#This Row],[Colonne1]],Controle_des_données!$B$7:$H$14,7,FALSE),"")</f>
        <v/>
      </c>
      <c r="V585">
        <f ca="1">IFERROR(Tab_Calculs[[#This Row],[Cout_mois]]/Tab_Calculs[[#This Row],[Conso_mois_kWh]],0)</f>
        <v>0</v>
      </c>
      <c r="W585" t="str">
        <f>T(VLOOKUP(Tab_Calculs[[#This Row],[Compteur]],Site!$B$33:$G$40,3,FALSE))</f>
        <v/>
      </c>
      <c r="X585" t="str">
        <f>T(VLOOKUP(Tab_Calculs[[#This Row],[Compteur]],Site!$B$33:$G$40,4,FALSE))</f>
        <v/>
      </c>
      <c r="Y585" t="str">
        <f>T(VLOOKUP(Tab_Calculs[[#This Row],[Compteur]],Site!$B$33:$G$40,5,FALSE))</f>
        <v/>
      </c>
      <c r="Z585" t="str">
        <f>T(VLOOKUP(Tab_Calculs[[#This Row],[Compteur]],Site!$B$33:$G$40,6,FALSE))</f>
        <v/>
      </c>
      <c r="AA585">
        <f>IFERROR(GETPIVOTDATA("DJU(chauffagiste)",BDD_DJU!$P$13,"annee",Tab_Calculs[[#This Row],[ANNEE]],"mois_numero",Tab_Calculs[[#This Row],[MOIS]]),0)</f>
        <v>487.6</v>
      </c>
    </row>
    <row r="586" spans="1:27" x14ac:dyDescent="0.25">
      <c r="A586" s="3">
        <f>DATE(Tab_Calculs[[#This Row],[ANNEE]],Tab_Calculs[[#This Row],[MOIS]],1)</f>
        <v>40210</v>
      </c>
      <c r="B586" s="3">
        <f>EDATE(Tab_Calculs[[#This Row],[Début mois]],1)-1</f>
        <v>40237</v>
      </c>
      <c r="C586">
        <v>2</v>
      </c>
      <c r="D586">
        <v>2010</v>
      </c>
      <c r="E586" t="s">
        <v>83</v>
      </c>
      <c r="F586" t="str">
        <f>SUBSTITUTE(Tab_Calculs[[#This Row],[Compteur]]," ","_")</f>
        <v>Compteur_4</v>
      </c>
      <c r="G586" t="str">
        <f>T(INDEX(Site!$B$33:$G$40, MATCH(Tab_Calculs[[#This Row],[Compteur]], Site!$B$33:$B$40,0),2))</f>
        <v/>
      </c>
      <c r="H586" s="3">
        <f t="array" aca="1" ref="H586" ca="1">MIN(IF(INDIRECT(CONCATENATE(Tab_Calculs[[#This Row],[Colonne1]],"!$B$2:$B$243"))&gt;=Calculs_Consos!$A586,INDIRECT(CONCATENATE(Tab_Calculs[[#This Row],[Colonne1]],"!$B$2:$B$243"))))</f>
        <v>0</v>
      </c>
      <c r="I586" s="3">
        <f ca="1">INDEX(INDIRECT(CONCATENATE("Tab_",Tab_Calculs[[#This Row],[Colonne1]])),Tab_Calculs[[#This Row],[index_date_livraison]],1)</f>
        <v>0</v>
      </c>
      <c r="J586">
        <f ca="1">MATCH(Tab_Calculs[[#This Row],[Date_livraison]],INDIRECT(CONCATENATE("Tab_",Tab_Calculs[[#This Row],[Colonne1]],"[Fin de période]")),0)</f>
        <v>1</v>
      </c>
      <c r="K586" t="e">
        <f ca="1">INDEX(INDIRECT(CONCATENATE("Tab_",Tab_Calculs[[#This Row],[Colonne1]])),Tab_Calculs[[#This Row],[index_date_livraison]]-1,6)*(MAX(Tab_Calculs[[#This Row],[Début periode livraison]],Tab_Calculs[[#This Row],[Début mois]])-Tab_Calculs[[#This Row],[Début mois]])</f>
        <v>#VALUE!</v>
      </c>
      <c r="L586" s="94">
        <f ca="1">INDEX(INDIRECT(CONCATENATE("Tab_",Tab_Calculs[[#This Row],[Colonne1]])),Tab_Calculs[[#This Row],[index_date_livraison]],6)*(1+MIN(Tab_Calculs[[#This Row],[Date_livraison]],Tab_Calculs[[#This Row],[fin mois]])-MAX(Tab_Calculs[[#This Row],[Début mois]],Tab_Calculs[[#This Row],[Début periode livraison]]))</f>
        <v>0</v>
      </c>
      <c r="M586" s="94" t="e">
        <f ca="1">INDEX(INDIRECT(CONCATENATE("Tab_",Tab_Calculs[[#This Row],[Colonne1]])),Tab_Calculs[[#This Row],[index_date_livraison]]+1,6)*(Tab_Calculs[[#This Row],[fin mois]]-MIN(Tab_Calculs[[#This Row],[fin mois]],Tab_Calculs[[#This Row],[Date_livraison]]))</f>
        <v>#VALUE!</v>
      </c>
      <c r="N586" s="231" t="str">
        <f ca="1">IFERROR(Tab_Calculs[[#This Row],[Ratio_jour_après_livr]]+Tab_Calculs[[#This Row],[Ratio_jour_avant_livr]]+Tab_Calculs[[#This Row],[ratio_avant_debut]],"")</f>
        <v/>
      </c>
      <c r="O586" t="e">
        <f ca="1">INDEX(INDIRECT(CONCATENATE("Tab_",Tab_Calculs[[#This Row],[Colonne1]])),Tab_Calculs[[#This Row],[index_date_livraison]]-1,7)*(MAX(Tab_Calculs[[#This Row],[Début periode livraison]],Tab_Calculs[[#This Row],[Début mois]])-Tab_Calculs[[#This Row],[Début mois]])</f>
        <v>#VALUE!</v>
      </c>
      <c r="P586">
        <f ca="1">INDEX(INDIRECT(CONCATENATE("Tab_",Tab_Calculs[[#This Row],[Colonne1]])),Tab_Calculs[[#This Row],[index_date_livraison]],7)*(1+MIN(Tab_Calculs[[#This Row],[Date_livraison]],Tab_Calculs[[#This Row],[fin mois]])-MAX(Tab_Calculs[[#This Row],[Début mois]],Tab_Calculs[[#This Row],[Début periode livraison]]))</f>
        <v>0</v>
      </c>
      <c r="Q586" t="e">
        <f ca="1">INDEX(INDIRECT(CONCATENATE("Tab_",Tab_Calculs[[#This Row],[Colonne1]])),Tab_Calculs[[#This Row],[index_date_livraison]]+1,7)*(Tab_Calculs[[#This Row],[fin mois]]-MIN(Tab_Calculs[[#This Row],[fin mois]],Tab_Calculs[[#This Row],[Date_livraison]]))</f>
        <v>#VALUE!</v>
      </c>
      <c r="R586" t="e">
        <f ca="1">Tab_Calculs[[#This Row],[Ratio_Cout_après_livr]]+Tab_Calculs[[#This Row],[Ratio_Cout_avant_livr]]+Tab_Calculs[[#This Row],[Ratio_Cout_avant_debut]]</f>
        <v>#VALUE!</v>
      </c>
      <c r="S586" t="str">
        <f ca="1">IFERROR(N586*VLOOKUP(Tab_Calculs[[#This Row],[Colonne1]],Controle_des_données!$B$7:$G$14,6,FALSE),"")</f>
        <v/>
      </c>
      <c r="T586" t="str">
        <f ca="1">IF(Tab_Calculs[[#This Row],[Combustible ]]="Electricité (kWh)",Tab_Calculs[[#This Row],[Conso_mois_kWh]]*2.3,Tab_Calculs[[#This Row],[Conso_mois_kWh]])</f>
        <v/>
      </c>
      <c r="U586" t="str">
        <f ca="1">IFERROR(N586*VLOOKUP(Tab_Calculs[[#This Row],[Colonne1]],Controle_des_données!$B$7:$H$14,7,FALSE),"")</f>
        <v/>
      </c>
      <c r="V586">
        <f ca="1">IFERROR(Tab_Calculs[[#This Row],[Cout_mois]]/Tab_Calculs[[#This Row],[Conso_mois_kWh]],0)</f>
        <v>0</v>
      </c>
      <c r="W586" t="str">
        <f>T(VLOOKUP(Tab_Calculs[[#This Row],[Compteur]],Site!$B$33:$G$40,3,FALSE))</f>
        <v/>
      </c>
      <c r="X586" t="str">
        <f>T(VLOOKUP(Tab_Calculs[[#This Row],[Compteur]],Site!$B$33:$G$40,4,FALSE))</f>
        <v/>
      </c>
      <c r="Y586" t="str">
        <f>T(VLOOKUP(Tab_Calculs[[#This Row],[Compteur]],Site!$B$33:$G$40,5,FALSE))</f>
        <v/>
      </c>
      <c r="Z586" t="str">
        <f>T(VLOOKUP(Tab_Calculs[[#This Row],[Compteur]],Site!$B$33:$G$40,6,FALSE))</f>
        <v/>
      </c>
      <c r="AA586">
        <f>IFERROR(GETPIVOTDATA("DJU(chauffagiste)",BDD_DJU!$P$13,"annee",Tab_Calculs[[#This Row],[ANNEE]],"mois_numero",Tab_Calculs[[#This Row],[MOIS]]),0)</f>
        <v>370.3</v>
      </c>
    </row>
    <row r="587" spans="1:27" x14ac:dyDescent="0.25">
      <c r="A587" s="3">
        <f>DATE(Tab_Calculs[[#This Row],[ANNEE]],Tab_Calculs[[#This Row],[MOIS]],1)</f>
        <v>40238</v>
      </c>
      <c r="B587" s="3">
        <f>EDATE(Tab_Calculs[[#This Row],[Début mois]],1)-1</f>
        <v>40268</v>
      </c>
      <c r="C587">
        <v>3</v>
      </c>
      <c r="D587">
        <v>2010</v>
      </c>
      <c r="E587" t="s">
        <v>83</v>
      </c>
      <c r="F587" t="str">
        <f>SUBSTITUTE(Tab_Calculs[[#This Row],[Compteur]]," ","_")</f>
        <v>Compteur_4</v>
      </c>
      <c r="G587" t="str">
        <f>T(INDEX(Site!$B$33:$G$40, MATCH(Tab_Calculs[[#This Row],[Compteur]], Site!$B$33:$B$40,0),2))</f>
        <v/>
      </c>
      <c r="H587" s="3">
        <f t="array" aca="1" ref="H587" ca="1">MIN(IF(INDIRECT(CONCATENATE(Tab_Calculs[[#This Row],[Colonne1]],"!$B$2:$B$243"))&gt;=Calculs_Consos!$A587,INDIRECT(CONCATENATE(Tab_Calculs[[#This Row],[Colonne1]],"!$B$2:$B$243"))))</f>
        <v>0</v>
      </c>
      <c r="I587" s="3">
        <f ca="1">INDEX(INDIRECT(CONCATENATE("Tab_",Tab_Calculs[[#This Row],[Colonne1]])),Tab_Calculs[[#This Row],[index_date_livraison]],1)</f>
        <v>0</v>
      </c>
      <c r="J587">
        <f ca="1">MATCH(Tab_Calculs[[#This Row],[Date_livraison]],INDIRECT(CONCATENATE("Tab_",Tab_Calculs[[#This Row],[Colonne1]],"[Fin de période]")),0)</f>
        <v>1</v>
      </c>
      <c r="K587" t="e">
        <f ca="1">INDEX(INDIRECT(CONCATENATE("Tab_",Tab_Calculs[[#This Row],[Colonne1]])),Tab_Calculs[[#This Row],[index_date_livraison]]-1,6)*(MAX(Tab_Calculs[[#This Row],[Début periode livraison]],Tab_Calculs[[#This Row],[Début mois]])-Tab_Calculs[[#This Row],[Début mois]])</f>
        <v>#VALUE!</v>
      </c>
      <c r="L587" s="94">
        <f ca="1">INDEX(INDIRECT(CONCATENATE("Tab_",Tab_Calculs[[#This Row],[Colonne1]])),Tab_Calculs[[#This Row],[index_date_livraison]],6)*(1+MIN(Tab_Calculs[[#This Row],[Date_livraison]],Tab_Calculs[[#This Row],[fin mois]])-MAX(Tab_Calculs[[#This Row],[Début mois]],Tab_Calculs[[#This Row],[Début periode livraison]]))</f>
        <v>0</v>
      </c>
      <c r="M587" s="94" t="e">
        <f ca="1">INDEX(INDIRECT(CONCATENATE("Tab_",Tab_Calculs[[#This Row],[Colonne1]])),Tab_Calculs[[#This Row],[index_date_livraison]]+1,6)*(Tab_Calculs[[#This Row],[fin mois]]-MIN(Tab_Calculs[[#This Row],[fin mois]],Tab_Calculs[[#This Row],[Date_livraison]]))</f>
        <v>#VALUE!</v>
      </c>
      <c r="N587" s="231" t="str">
        <f ca="1">IFERROR(Tab_Calculs[[#This Row],[Ratio_jour_après_livr]]+Tab_Calculs[[#This Row],[Ratio_jour_avant_livr]]+Tab_Calculs[[#This Row],[ratio_avant_debut]],"")</f>
        <v/>
      </c>
      <c r="O587" t="e">
        <f ca="1">INDEX(INDIRECT(CONCATENATE("Tab_",Tab_Calculs[[#This Row],[Colonne1]])),Tab_Calculs[[#This Row],[index_date_livraison]]-1,7)*(MAX(Tab_Calculs[[#This Row],[Début periode livraison]],Tab_Calculs[[#This Row],[Début mois]])-Tab_Calculs[[#This Row],[Début mois]])</f>
        <v>#VALUE!</v>
      </c>
      <c r="P587">
        <f ca="1">INDEX(INDIRECT(CONCATENATE("Tab_",Tab_Calculs[[#This Row],[Colonne1]])),Tab_Calculs[[#This Row],[index_date_livraison]],7)*(1+MIN(Tab_Calculs[[#This Row],[Date_livraison]],Tab_Calculs[[#This Row],[fin mois]])-MAX(Tab_Calculs[[#This Row],[Début mois]],Tab_Calculs[[#This Row],[Début periode livraison]]))</f>
        <v>0</v>
      </c>
      <c r="Q587" t="e">
        <f ca="1">INDEX(INDIRECT(CONCATENATE("Tab_",Tab_Calculs[[#This Row],[Colonne1]])),Tab_Calculs[[#This Row],[index_date_livraison]]+1,7)*(Tab_Calculs[[#This Row],[fin mois]]-MIN(Tab_Calculs[[#This Row],[fin mois]],Tab_Calculs[[#This Row],[Date_livraison]]))</f>
        <v>#VALUE!</v>
      </c>
      <c r="R587" t="e">
        <f ca="1">Tab_Calculs[[#This Row],[Ratio_Cout_après_livr]]+Tab_Calculs[[#This Row],[Ratio_Cout_avant_livr]]+Tab_Calculs[[#This Row],[Ratio_Cout_avant_debut]]</f>
        <v>#VALUE!</v>
      </c>
      <c r="S587" t="str">
        <f ca="1">IFERROR(N587*VLOOKUP(Tab_Calculs[[#This Row],[Colonne1]],Controle_des_données!$B$7:$G$14,6,FALSE),"")</f>
        <v/>
      </c>
      <c r="T587" t="str">
        <f ca="1">IF(Tab_Calculs[[#This Row],[Combustible ]]="Electricité (kWh)",Tab_Calculs[[#This Row],[Conso_mois_kWh]]*2.3,Tab_Calculs[[#This Row],[Conso_mois_kWh]])</f>
        <v/>
      </c>
      <c r="U587" t="str">
        <f ca="1">IFERROR(N587*VLOOKUP(Tab_Calculs[[#This Row],[Colonne1]],Controle_des_données!$B$7:$H$14,7,FALSE),"")</f>
        <v/>
      </c>
      <c r="V587">
        <f ca="1">IFERROR(Tab_Calculs[[#This Row],[Cout_mois]]/Tab_Calculs[[#This Row],[Conso_mois_kWh]],0)</f>
        <v>0</v>
      </c>
      <c r="W587" t="str">
        <f>T(VLOOKUP(Tab_Calculs[[#This Row],[Compteur]],Site!$B$33:$G$40,3,FALSE))</f>
        <v/>
      </c>
      <c r="X587" t="str">
        <f>T(VLOOKUP(Tab_Calculs[[#This Row],[Compteur]],Site!$B$33:$G$40,4,FALSE))</f>
        <v/>
      </c>
      <c r="Y587" t="str">
        <f>T(VLOOKUP(Tab_Calculs[[#This Row],[Compteur]],Site!$B$33:$G$40,5,FALSE))</f>
        <v/>
      </c>
      <c r="Z587" t="str">
        <f>T(VLOOKUP(Tab_Calculs[[#This Row],[Compteur]],Site!$B$33:$G$40,6,FALSE))</f>
        <v/>
      </c>
      <c r="AA587">
        <f>IFERROR(GETPIVOTDATA("DJU(chauffagiste)",BDD_DJU!$P$13,"annee",Tab_Calculs[[#This Row],[ANNEE]],"mois_numero",Tab_Calculs[[#This Row],[MOIS]]),0)</f>
        <v>312.8</v>
      </c>
    </row>
    <row r="588" spans="1:27" x14ac:dyDescent="0.25">
      <c r="A588" s="3">
        <f>DATE(Tab_Calculs[[#This Row],[ANNEE]],Tab_Calculs[[#This Row],[MOIS]],1)</f>
        <v>40269</v>
      </c>
      <c r="B588" s="3">
        <f>EDATE(Tab_Calculs[[#This Row],[Début mois]],1)-1</f>
        <v>40298</v>
      </c>
      <c r="C588">
        <v>4</v>
      </c>
      <c r="D588">
        <v>2010</v>
      </c>
      <c r="E588" t="s">
        <v>83</v>
      </c>
      <c r="F588" t="str">
        <f>SUBSTITUTE(Tab_Calculs[[#This Row],[Compteur]]," ","_")</f>
        <v>Compteur_4</v>
      </c>
      <c r="G588" t="str">
        <f>T(INDEX(Site!$B$33:$G$40, MATCH(Tab_Calculs[[#This Row],[Compteur]], Site!$B$33:$B$40,0),2))</f>
        <v/>
      </c>
      <c r="H588" s="3">
        <f t="array" aca="1" ref="H588" ca="1">MIN(IF(INDIRECT(CONCATENATE(Tab_Calculs[[#This Row],[Colonne1]],"!$B$2:$B$243"))&gt;=Calculs_Consos!$A588,INDIRECT(CONCATENATE(Tab_Calculs[[#This Row],[Colonne1]],"!$B$2:$B$243"))))</f>
        <v>0</v>
      </c>
      <c r="I588" s="3">
        <f ca="1">INDEX(INDIRECT(CONCATENATE("Tab_",Tab_Calculs[[#This Row],[Colonne1]])),Tab_Calculs[[#This Row],[index_date_livraison]],1)</f>
        <v>0</v>
      </c>
      <c r="J588">
        <f ca="1">MATCH(Tab_Calculs[[#This Row],[Date_livraison]],INDIRECT(CONCATENATE("Tab_",Tab_Calculs[[#This Row],[Colonne1]],"[Fin de période]")),0)</f>
        <v>1</v>
      </c>
      <c r="K588" t="e">
        <f ca="1">INDEX(INDIRECT(CONCATENATE("Tab_",Tab_Calculs[[#This Row],[Colonne1]])),Tab_Calculs[[#This Row],[index_date_livraison]]-1,6)*(MAX(Tab_Calculs[[#This Row],[Début periode livraison]],Tab_Calculs[[#This Row],[Début mois]])-Tab_Calculs[[#This Row],[Début mois]])</f>
        <v>#VALUE!</v>
      </c>
      <c r="L588" s="94">
        <f ca="1">INDEX(INDIRECT(CONCATENATE("Tab_",Tab_Calculs[[#This Row],[Colonne1]])),Tab_Calculs[[#This Row],[index_date_livraison]],6)*(1+MIN(Tab_Calculs[[#This Row],[Date_livraison]],Tab_Calculs[[#This Row],[fin mois]])-MAX(Tab_Calculs[[#This Row],[Début mois]],Tab_Calculs[[#This Row],[Début periode livraison]]))</f>
        <v>0</v>
      </c>
      <c r="M588" s="94" t="e">
        <f ca="1">INDEX(INDIRECT(CONCATENATE("Tab_",Tab_Calculs[[#This Row],[Colonne1]])),Tab_Calculs[[#This Row],[index_date_livraison]]+1,6)*(Tab_Calculs[[#This Row],[fin mois]]-MIN(Tab_Calculs[[#This Row],[fin mois]],Tab_Calculs[[#This Row],[Date_livraison]]))</f>
        <v>#VALUE!</v>
      </c>
      <c r="N588" s="231" t="str">
        <f ca="1">IFERROR(Tab_Calculs[[#This Row],[Ratio_jour_après_livr]]+Tab_Calculs[[#This Row],[Ratio_jour_avant_livr]]+Tab_Calculs[[#This Row],[ratio_avant_debut]],"")</f>
        <v/>
      </c>
      <c r="O588" t="e">
        <f ca="1">INDEX(INDIRECT(CONCATENATE("Tab_",Tab_Calculs[[#This Row],[Colonne1]])),Tab_Calculs[[#This Row],[index_date_livraison]]-1,7)*(MAX(Tab_Calculs[[#This Row],[Début periode livraison]],Tab_Calculs[[#This Row],[Début mois]])-Tab_Calculs[[#This Row],[Début mois]])</f>
        <v>#VALUE!</v>
      </c>
      <c r="P588">
        <f ca="1">INDEX(INDIRECT(CONCATENATE("Tab_",Tab_Calculs[[#This Row],[Colonne1]])),Tab_Calculs[[#This Row],[index_date_livraison]],7)*(1+MIN(Tab_Calculs[[#This Row],[Date_livraison]],Tab_Calculs[[#This Row],[fin mois]])-MAX(Tab_Calculs[[#This Row],[Début mois]],Tab_Calculs[[#This Row],[Début periode livraison]]))</f>
        <v>0</v>
      </c>
      <c r="Q588" t="e">
        <f ca="1">INDEX(INDIRECT(CONCATENATE("Tab_",Tab_Calculs[[#This Row],[Colonne1]])),Tab_Calculs[[#This Row],[index_date_livraison]]+1,7)*(Tab_Calculs[[#This Row],[fin mois]]-MIN(Tab_Calculs[[#This Row],[fin mois]],Tab_Calculs[[#This Row],[Date_livraison]]))</f>
        <v>#VALUE!</v>
      </c>
      <c r="R588" t="e">
        <f ca="1">Tab_Calculs[[#This Row],[Ratio_Cout_après_livr]]+Tab_Calculs[[#This Row],[Ratio_Cout_avant_livr]]+Tab_Calculs[[#This Row],[Ratio_Cout_avant_debut]]</f>
        <v>#VALUE!</v>
      </c>
      <c r="S588" t="str">
        <f ca="1">IFERROR(N588*VLOOKUP(Tab_Calculs[[#This Row],[Colonne1]],Controle_des_données!$B$7:$G$14,6,FALSE),"")</f>
        <v/>
      </c>
      <c r="T588" t="str">
        <f ca="1">IF(Tab_Calculs[[#This Row],[Combustible ]]="Electricité (kWh)",Tab_Calculs[[#This Row],[Conso_mois_kWh]]*2.3,Tab_Calculs[[#This Row],[Conso_mois_kWh]])</f>
        <v/>
      </c>
      <c r="U588" t="str">
        <f ca="1">IFERROR(N588*VLOOKUP(Tab_Calculs[[#This Row],[Colonne1]],Controle_des_données!$B$7:$H$14,7,FALSE),"")</f>
        <v/>
      </c>
      <c r="V588">
        <f ca="1">IFERROR(Tab_Calculs[[#This Row],[Cout_mois]]/Tab_Calculs[[#This Row],[Conso_mois_kWh]],0)</f>
        <v>0</v>
      </c>
      <c r="W588" t="str">
        <f>T(VLOOKUP(Tab_Calculs[[#This Row],[Compteur]],Site!$B$33:$G$40,3,FALSE))</f>
        <v/>
      </c>
      <c r="X588" t="str">
        <f>T(VLOOKUP(Tab_Calculs[[#This Row],[Compteur]],Site!$B$33:$G$40,4,FALSE))</f>
        <v/>
      </c>
      <c r="Y588" t="str">
        <f>T(VLOOKUP(Tab_Calculs[[#This Row],[Compteur]],Site!$B$33:$G$40,5,FALSE))</f>
        <v/>
      </c>
      <c r="Z588" t="str">
        <f>T(VLOOKUP(Tab_Calculs[[#This Row],[Compteur]],Site!$B$33:$G$40,6,FALSE))</f>
        <v/>
      </c>
      <c r="AA588">
        <f>IFERROR(GETPIVOTDATA("DJU(chauffagiste)",BDD_DJU!$P$13,"annee",Tab_Calculs[[#This Row],[ANNEE]],"mois_numero",Tab_Calculs[[#This Row],[MOIS]]),0)</f>
        <v>199.2</v>
      </c>
    </row>
    <row r="589" spans="1:27" x14ac:dyDescent="0.25">
      <c r="A589" s="3">
        <f>DATE(Tab_Calculs[[#This Row],[ANNEE]],Tab_Calculs[[#This Row],[MOIS]],1)</f>
        <v>40299</v>
      </c>
      <c r="B589" s="3">
        <f>EDATE(Tab_Calculs[[#This Row],[Début mois]],1)-1</f>
        <v>40329</v>
      </c>
      <c r="C589">
        <v>5</v>
      </c>
      <c r="D589">
        <v>2010</v>
      </c>
      <c r="E589" t="s">
        <v>83</v>
      </c>
      <c r="F589" t="str">
        <f>SUBSTITUTE(Tab_Calculs[[#This Row],[Compteur]]," ","_")</f>
        <v>Compteur_4</v>
      </c>
      <c r="G589" t="str">
        <f>T(INDEX(Site!$B$33:$G$40, MATCH(Tab_Calculs[[#This Row],[Compteur]], Site!$B$33:$B$40,0),2))</f>
        <v/>
      </c>
      <c r="H589" s="3">
        <f t="array" aca="1" ref="H589" ca="1">MIN(IF(INDIRECT(CONCATENATE(Tab_Calculs[[#This Row],[Colonne1]],"!$B$2:$B$243"))&gt;=Calculs_Consos!$A589,INDIRECT(CONCATENATE(Tab_Calculs[[#This Row],[Colonne1]],"!$B$2:$B$243"))))</f>
        <v>0</v>
      </c>
      <c r="I589" s="3">
        <f ca="1">INDEX(INDIRECT(CONCATENATE("Tab_",Tab_Calculs[[#This Row],[Colonne1]])),Tab_Calculs[[#This Row],[index_date_livraison]],1)</f>
        <v>0</v>
      </c>
      <c r="J589">
        <f ca="1">MATCH(Tab_Calculs[[#This Row],[Date_livraison]],INDIRECT(CONCATENATE("Tab_",Tab_Calculs[[#This Row],[Colonne1]],"[Fin de période]")),0)</f>
        <v>1</v>
      </c>
      <c r="K589" t="e">
        <f ca="1">INDEX(INDIRECT(CONCATENATE("Tab_",Tab_Calculs[[#This Row],[Colonne1]])),Tab_Calculs[[#This Row],[index_date_livraison]]-1,6)*(MAX(Tab_Calculs[[#This Row],[Début periode livraison]],Tab_Calculs[[#This Row],[Début mois]])-Tab_Calculs[[#This Row],[Début mois]])</f>
        <v>#VALUE!</v>
      </c>
      <c r="L589" s="94">
        <f ca="1">INDEX(INDIRECT(CONCATENATE("Tab_",Tab_Calculs[[#This Row],[Colonne1]])),Tab_Calculs[[#This Row],[index_date_livraison]],6)*(1+MIN(Tab_Calculs[[#This Row],[Date_livraison]],Tab_Calculs[[#This Row],[fin mois]])-MAX(Tab_Calculs[[#This Row],[Début mois]],Tab_Calculs[[#This Row],[Début periode livraison]]))</f>
        <v>0</v>
      </c>
      <c r="M589" s="94" t="e">
        <f ca="1">INDEX(INDIRECT(CONCATENATE("Tab_",Tab_Calculs[[#This Row],[Colonne1]])),Tab_Calculs[[#This Row],[index_date_livraison]]+1,6)*(Tab_Calculs[[#This Row],[fin mois]]-MIN(Tab_Calculs[[#This Row],[fin mois]],Tab_Calculs[[#This Row],[Date_livraison]]))</f>
        <v>#VALUE!</v>
      </c>
      <c r="N589" s="231" t="str">
        <f ca="1">IFERROR(Tab_Calculs[[#This Row],[Ratio_jour_après_livr]]+Tab_Calculs[[#This Row],[Ratio_jour_avant_livr]]+Tab_Calculs[[#This Row],[ratio_avant_debut]],"")</f>
        <v/>
      </c>
      <c r="O589" t="e">
        <f ca="1">INDEX(INDIRECT(CONCATENATE("Tab_",Tab_Calculs[[#This Row],[Colonne1]])),Tab_Calculs[[#This Row],[index_date_livraison]]-1,7)*(MAX(Tab_Calculs[[#This Row],[Début periode livraison]],Tab_Calculs[[#This Row],[Début mois]])-Tab_Calculs[[#This Row],[Début mois]])</f>
        <v>#VALUE!</v>
      </c>
      <c r="P589">
        <f ca="1">INDEX(INDIRECT(CONCATENATE("Tab_",Tab_Calculs[[#This Row],[Colonne1]])),Tab_Calculs[[#This Row],[index_date_livraison]],7)*(1+MIN(Tab_Calculs[[#This Row],[Date_livraison]],Tab_Calculs[[#This Row],[fin mois]])-MAX(Tab_Calculs[[#This Row],[Début mois]],Tab_Calculs[[#This Row],[Début periode livraison]]))</f>
        <v>0</v>
      </c>
      <c r="Q589" t="e">
        <f ca="1">INDEX(INDIRECT(CONCATENATE("Tab_",Tab_Calculs[[#This Row],[Colonne1]])),Tab_Calculs[[#This Row],[index_date_livraison]]+1,7)*(Tab_Calculs[[#This Row],[fin mois]]-MIN(Tab_Calculs[[#This Row],[fin mois]],Tab_Calculs[[#This Row],[Date_livraison]]))</f>
        <v>#VALUE!</v>
      </c>
      <c r="R589" t="e">
        <f ca="1">Tab_Calculs[[#This Row],[Ratio_Cout_après_livr]]+Tab_Calculs[[#This Row],[Ratio_Cout_avant_livr]]+Tab_Calculs[[#This Row],[Ratio_Cout_avant_debut]]</f>
        <v>#VALUE!</v>
      </c>
      <c r="S589" t="str">
        <f ca="1">IFERROR(N589*VLOOKUP(Tab_Calculs[[#This Row],[Colonne1]],Controle_des_données!$B$7:$G$14,6,FALSE),"")</f>
        <v/>
      </c>
      <c r="T589" t="str">
        <f ca="1">IF(Tab_Calculs[[#This Row],[Combustible ]]="Electricité (kWh)",Tab_Calculs[[#This Row],[Conso_mois_kWh]]*2.3,Tab_Calculs[[#This Row],[Conso_mois_kWh]])</f>
        <v/>
      </c>
      <c r="U589" t="str">
        <f ca="1">IFERROR(N589*VLOOKUP(Tab_Calculs[[#This Row],[Colonne1]],Controle_des_données!$B$7:$H$14,7,FALSE),"")</f>
        <v/>
      </c>
      <c r="V589">
        <f ca="1">IFERROR(Tab_Calculs[[#This Row],[Cout_mois]]/Tab_Calculs[[#This Row],[Conso_mois_kWh]],0)</f>
        <v>0</v>
      </c>
      <c r="W589" t="str">
        <f>T(VLOOKUP(Tab_Calculs[[#This Row],[Compteur]],Site!$B$33:$G$40,3,FALSE))</f>
        <v/>
      </c>
      <c r="X589" t="str">
        <f>T(VLOOKUP(Tab_Calculs[[#This Row],[Compteur]],Site!$B$33:$G$40,4,FALSE))</f>
        <v/>
      </c>
      <c r="Y589" t="str">
        <f>T(VLOOKUP(Tab_Calculs[[#This Row],[Compteur]],Site!$B$33:$G$40,5,FALSE))</f>
        <v/>
      </c>
      <c r="Z589" t="str">
        <f>T(VLOOKUP(Tab_Calculs[[#This Row],[Compteur]],Site!$B$33:$G$40,6,FALSE))</f>
        <v/>
      </c>
      <c r="AA589">
        <f>IFERROR(GETPIVOTDATA("DJU(chauffagiste)",BDD_DJU!$P$13,"annee",Tab_Calculs[[#This Row],[ANNEE]],"mois_numero",Tab_Calculs[[#This Row],[MOIS]]),0)</f>
        <v>155.4</v>
      </c>
    </row>
    <row r="590" spans="1:27" x14ac:dyDescent="0.25">
      <c r="A590" s="3">
        <f>DATE(Tab_Calculs[[#This Row],[ANNEE]],Tab_Calculs[[#This Row],[MOIS]],1)</f>
        <v>40330</v>
      </c>
      <c r="B590" s="3">
        <f>EDATE(Tab_Calculs[[#This Row],[Début mois]],1)-1</f>
        <v>40359</v>
      </c>
      <c r="C590">
        <v>6</v>
      </c>
      <c r="D590">
        <v>2010</v>
      </c>
      <c r="E590" t="s">
        <v>83</v>
      </c>
      <c r="F590" t="str">
        <f>SUBSTITUTE(Tab_Calculs[[#This Row],[Compteur]]," ","_")</f>
        <v>Compteur_4</v>
      </c>
      <c r="G590" t="str">
        <f>T(INDEX(Site!$B$33:$G$40, MATCH(Tab_Calculs[[#This Row],[Compteur]], Site!$B$33:$B$40,0),2))</f>
        <v/>
      </c>
      <c r="H590" s="3">
        <f t="array" aca="1" ref="H590" ca="1">MIN(IF(INDIRECT(CONCATENATE(Tab_Calculs[[#This Row],[Colonne1]],"!$B$2:$B$243"))&gt;=Calculs_Consos!$A590,INDIRECT(CONCATENATE(Tab_Calculs[[#This Row],[Colonne1]],"!$B$2:$B$243"))))</f>
        <v>0</v>
      </c>
      <c r="I590" s="3">
        <f ca="1">INDEX(INDIRECT(CONCATENATE("Tab_",Tab_Calculs[[#This Row],[Colonne1]])),Tab_Calculs[[#This Row],[index_date_livraison]],1)</f>
        <v>0</v>
      </c>
      <c r="J590">
        <f ca="1">MATCH(Tab_Calculs[[#This Row],[Date_livraison]],INDIRECT(CONCATENATE("Tab_",Tab_Calculs[[#This Row],[Colonne1]],"[Fin de période]")),0)</f>
        <v>1</v>
      </c>
      <c r="K590" t="e">
        <f ca="1">INDEX(INDIRECT(CONCATENATE("Tab_",Tab_Calculs[[#This Row],[Colonne1]])),Tab_Calculs[[#This Row],[index_date_livraison]]-1,6)*(MAX(Tab_Calculs[[#This Row],[Début periode livraison]],Tab_Calculs[[#This Row],[Début mois]])-Tab_Calculs[[#This Row],[Début mois]])</f>
        <v>#VALUE!</v>
      </c>
      <c r="L590" s="94">
        <f ca="1">INDEX(INDIRECT(CONCATENATE("Tab_",Tab_Calculs[[#This Row],[Colonne1]])),Tab_Calculs[[#This Row],[index_date_livraison]],6)*(1+MIN(Tab_Calculs[[#This Row],[Date_livraison]],Tab_Calculs[[#This Row],[fin mois]])-MAX(Tab_Calculs[[#This Row],[Début mois]],Tab_Calculs[[#This Row],[Début periode livraison]]))</f>
        <v>0</v>
      </c>
      <c r="M590" s="94" t="e">
        <f ca="1">INDEX(INDIRECT(CONCATENATE("Tab_",Tab_Calculs[[#This Row],[Colonne1]])),Tab_Calculs[[#This Row],[index_date_livraison]]+1,6)*(Tab_Calculs[[#This Row],[fin mois]]-MIN(Tab_Calculs[[#This Row],[fin mois]],Tab_Calculs[[#This Row],[Date_livraison]]))</f>
        <v>#VALUE!</v>
      </c>
      <c r="N590" s="231" t="str">
        <f ca="1">IFERROR(Tab_Calculs[[#This Row],[Ratio_jour_après_livr]]+Tab_Calculs[[#This Row],[Ratio_jour_avant_livr]]+Tab_Calculs[[#This Row],[ratio_avant_debut]],"")</f>
        <v/>
      </c>
      <c r="O590" t="e">
        <f ca="1">INDEX(INDIRECT(CONCATENATE("Tab_",Tab_Calculs[[#This Row],[Colonne1]])),Tab_Calculs[[#This Row],[index_date_livraison]]-1,7)*(MAX(Tab_Calculs[[#This Row],[Début periode livraison]],Tab_Calculs[[#This Row],[Début mois]])-Tab_Calculs[[#This Row],[Début mois]])</f>
        <v>#VALUE!</v>
      </c>
      <c r="P590">
        <f ca="1">INDEX(INDIRECT(CONCATENATE("Tab_",Tab_Calculs[[#This Row],[Colonne1]])),Tab_Calculs[[#This Row],[index_date_livraison]],7)*(1+MIN(Tab_Calculs[[#This Row],[Date_livraison]],Tab_Calculs[[#This Row],[fin mois]])-MAX(Tab_Calculs[[#This Row],[Début mois]],Tab_Calculs[[#This Row],[Début periode livraison]]))</f>
        <v>0</v>
      </c>
      <c r="Q590" t="e">
        <f ca="1">INDEX(INDIRECT(CONCATENATE("Tab_",Tab_Calculs[[#This Row],[Colonne1]])),Tab_Calculs[[#This Row],[index_date_livraison]]+1,7)*(Tab_Calculs[[#This Row],[fin mois]]-MIN(Tab_Calculs[[#This Row],[fin mois]],Tab_Calculs[[#This Row],[Date_livraison]]))</f>
        <v>#VALUE!</v>
      </c>
      <c r="R590" t="e">
        <f ca="1">Tab_Calculs[[#This Row],[Ratio_Cout_après_livr]]+Tab_Calculs[[#This Row],[Ratio_Cout_avant_livr]]+Tab_Calculs[[#This Row],[Ratio_Cout_avant_debut]]</f>
        <v>#VALUE!</v>
      </c>
      <c r="S590" t="str">
        <f ca="1">IFERROR(N590*VLOOKUP(Tab_Calculs[[#This Row],[Colonne1]],Controle_des_données!$B$7:$G$14,6,FALSE),"")</f>
        <v/>
      </c>
      <c r="T590" t="str">
        <f ca="1">IF(Tab_Calculs[[#This Row],[Combustible ]]="Electricité (kWh)",Tab_Calculs[[#This Row],[Conso_mois_kWh]]*2.3,Tab_Calculs[[#This Row],[Conso_mois_kWh]])</f>
        <v/>
      </c>
      <c r="U590" t="str">
        <f ca="1">IFERROR(N590*VLOOKUP(Tab_Calculs[[#This Row],[Colonne1]],Controle_des_données!$B$7:$H$14,7,FALSE),"")</f>
        <v/>
      </c>
      <c r="V590">
        <f ca="1">IFERROR(Tab_Calculs[[#This Row],[Cout_mois]]/Tab_Calculs[[#This Row],[Conso_mois_kWh]],0)</f>
        <v>0</v>
      </c>
      <c r="W590" t="str">
        <f>T(VLOOKUP(Tab_Calculs[[#This Row],[Compteur]],Site!$B$33:$G$40,3,FALSE))</f>
        <v/>
      </c>
      <c r="X590" t="str">
        <f>T(VLOOKUP(Tab_Calculs[[#This Row],[Compteur]],Site!$B$33:$G$40,4,FALSE))</f>
        <v/>
      </c>
      <c r="Y590" t="str">
        <f>T(VLOOKUP(Tab_Calculs[[#This Row],[Compteur]],Site!$B$33:$G$40,5,FALSE))</f>
        <v/>
      </c>
      <c r="Z590" t="str">
        <f>T(VLOOKUP(Tab_Calculs[[#This Row],[Compteur]],Site!$B$33:$G$40,6,FALSE))</f>
        <v/>
      </c>
      <c r="AA590">
        <f>IFERROR(GETPIVOTDATA("DJU(chauffagiste)",BDD_DJU!$P$13,"annee",Tab_Calculs[[#This Row],[ANNEE]],"mois_numero",Tab_Calculs[[#This Row],[MOIS]]),0)</f>
        <v>46.7</v>
      </c>
    </row>
    <row r="591" spans="1:27" x14ac:dyDescent="0.25">
      <c r="A591" s="3">
        <f>DATE(Tab_Calculs[[#This Row],[ANNEE]],Tab_Calculs[[#This Row],[MOIS]],1)</f>
        <v>40360</v>
      </c>
      <c r="B591" s="3">
        <f>EDATE(Tab_Calculs[[#This Row],[Début mois]],1)-1</f>
        <v>40390</v>
      </c>
      <c r="C591">
        <v>7</v>
      </c>
      <c r="D591">
        <v>2010</v>
      </c>
      <c r="E591" t="s">
        <v>83</v>
      </c>
      <c r="F591" t="str">
        <f>SUBSTITUTE(Tab_Calculs[[#This Row],[Compteur]]," ","_")</f>
        <v>Compteur_4</v>
      </c>
      <c r="G591" t="str">
        <f>T(INDEX(Site!$B$33:$G$40, MATCH(Tab_Calculs[[#This Row],[Compteur]], Site!$B$33:$B$40,0),2))</f>
        <v/>
      </c>
      <c r="H591" s="3">
        <f t="array" aca="1" ref="H591" ca="1">MIN(IF(INDIRECT(CONCATENATE(Tab_Calculs[[#This Row],[Colonne1]],"!$B$2:$B$243"))&gt;=Calculs_Consos!$A591,INDIRECT(CONCATENATE(Tab_Calculs[[#This Row],[Colonne1]],"!$B$2:$B$243"))))</f>
        <v>0</v>
      </c>
      <c r="I591" s="3">
        <f ca="1">INDEX(INDIRECT(CONCATENATE("Tab_",Tab_Calculs[[#This Row],[Colonne1]])),Tab_Calculs[[#This Row],[index_date_livraison]],1)</f>
        <v>0</v>
      </c>
      <c r="J591">
        <f ca="1">MATCH(Tab_Calculs[[#This Row],[Date_livraison]],INDIRECT(CONCATENATE("Tab_",Tab_Calculs[[#This Row],[Colonne1]],"[Fin de période]")),0)</f>
        <v>1</v>
      </c>
      <c r="K591" t="e">
        <f ca="1">INDEX(INDIRECT(CONCATENATE("Tab_",Tab_Calculs[[#This Row],[Colonne1]])),Tab_Calculs[[#This Row],[index_date_livraison]]-1,6)*(MAX(Tab_Calculs[[#This Row],[Début periode livraison]],Tab_Calculs[[#This Row],[Début mois]])-Tab_Calculs[[#This Row],[Début mois]])</f>
        <v>#VALUE!</v>
      </c>
      <c r="L591" s="94">
        <f ca="1">INDEX(INDIRECT(CONCATENATE("Tab_",Tab_Calculs[[#This Row],[Colonne1]])),Tab_Calculs[[#This Row],[index_date_livraison]],6)*(1+MIN(Tab_Calculs[[#This Row],[Date_livraison]],Tab_Calculs[[#This Row],[fin mois]])-MAX(Tab_Calculs[[#This Row],[Début mois]],Tab_Calculs[[#This Row],[Début periode livraison]]))</f>
        <v>0</v>
      </c>
      <c r="M591" s="94" t="e">
        <f ca="1">INDEX(INDIRECT(CONCATENATE("Tab_",Tab_Calculs[[#This Row],[Colonne1]])),Tab_Calculs[[#This Row],[index_date_livraison]]+1,6)*(Tab_Calculs[[#This Row],[fin mois]]-MIN(Tab_Calculs[[#This Row],[fin mois]],Tab_Calculs[[#This Row],[Date_livraison]]))</f>
        <v>#VALUE!</v>
      </c>
      <c r="N591" s="231" t="str">
        <f ca="1">IFERROR(Tab_Calculs[[#This Row],[Ratio_jour_après_livr]]+Tab_Calculs[[#This Row],[Ratio_jour_avant_livr]]+Tab_Calculs[[#This Row],[ratio_avant_debut]],"")</f>
        <v/>
      </c>
      <c r="O591" t="e">
        <f ca="1">INDEX(INDIRECT(CONCATENATE("Tab_",Tab_Calculs[[#This Row],[Colonne1]])),Tab_Calculs[[#This Row],[index_date_livraison]]-1,7)*(MAX(Tab_Calculs[[#This Row],[Début periode livraison]],Tab_Calculs[[#This Row],[Début mois]])-Tab_Calculs[[#This Row],[Début mois]])</f>
        <v>#VALUE!</v>
      </c>
      <c r="P591">
        <f ca="1">INDEX(INDIRECT(CONCATENATE("Tab_",Tab_Calculs[[#This Row],[Colonne1]])),Tab_Calculs[[#This Row],[index_date_livraison]],7)*(1+MIN(Tab_Calculs[[#This Row],[Date_livraison]],Tab_Calculs[[#This Row],[fin mois]])-MAX(Tab_Calculs[[#This Row],[Début mois]],Tab_Calculs[[#This Row],[Début periode livraison]]))</f>
        <v>0</v>
      </c>
      <c r="Q591" t="e">
        <f ca="1">INDEX(INDIRECT(CONCATENATE("Tab_",Tab_Calculs[[#This Row],[Colonne1]])),Tab_Calculs[[#This Row],[index_date_livraison]]+1,7)*(Tab_Calculs[[#This Row],[fin mois]]-MIN(Tab_Calculs[[#This Row],[fin mois]],Tab_Calculs[[#This Row],[Date_livraison]]))</f>
        <v>#VALUE!</v>
      </c>
      <c r="R591" t="e">
        <f ca="1">Tab_Calculs[[#This Row],[Ratio_Cout_après_livr]]+Tab_Calculs[[#This Row],[Ratio_Cout_avant_livr]]+Tab_Calculs[[#This Row],[Ratio_Cout_avant_debut]]</f>
        <v>#VALUE!</v>
      </c>
      <c r="S591" t="str">
        <f ca="1">IFERROR(N591*VLOOKUP(Tab_Calculs[[#This Row],[Colonne1]],Controle_des_données!$B$7:$G$14,6,FALSE),"")</f>
        <v/>
      </c>
      <c r="T591" t="str">
        <f ca="1">IF(Tab_Calculs[[#This Row],[Combustible ]]="Electricité (kWh)",Tab_Calculs[[#This Row],[Conso_mois_kWh]]*2.3,Tab_Calculs[[#This Row],[Conso_mois_kWh]])</f>
        <v/>
      </c>
      <c r="U591" t="str">
        <f ca="1">IFERROR(N591*VLOOKUP(Tab_Calculs[[#This Row],[Colonne1]],Controle_des_données!$B$7:$H$14,7,FALSE),"")</f>
        <v/>
      </c>
      <c r="V591">
        <f ca="1">IFERROR(Tab_Calculs[[#This Row],[Cout_mois]]/Tab_Calculs[[#This Row],[Conso_mois_kWh]],0)</f>
        <v>0</v>
      </c>
      <c r="W591" t="str">
        <f>T(VLOOKUP(Tab_Calculs[[#This Row],[Compteur]],Site!$B$33:$G$40,3,FALSE))</f>
        <v/>
      </c>
      <c r="X591" t="str">
        <f>T(VLOOKUP(Tab_Calculs[[#This Row],[Compteur]],Site!$B$33:$G$40,4,FALSE))</f>
        <v/>
      </c>
      <c r="Y591" t="str">
        <f>T(VLOOKUP(Tab_Calculs[[#This Row],[Compteur]],Site!$B$33:$G$40,5,FALSE))</f>
        <v/>
      </c>
      <c r="Z591" t="str">
        <f>T(VLOOKUP(Tab_Calculs[[#This Row],[Compteur]],Site!$B$33:$G$40,6,FALSE))</f>
        <v/>
      </c>
      <c r="AA591">
        <f>IFERROR(GETPIVOTDATA("DJU(chauffagiste)",BDD_DJU!$P$13,"annee",Tab_Calculs[[#This Row],[ANNEE]],"mois_numero",Tab_Calculs[[#This Row],[MOIS]]),0)</f>
        <v>22.2</v>
      </c>
    </row>
    <row r="592" spans="1:27" x14ac:dyDescent="0.25">
      <c r="A592" s="3">
        <f>DATE(Tab_Calculs[[#This Row],[ANNEE]],Tab_Calculs[[#This Row],[MOIS]],1)</f>
        <v>40391</v>
      </c>
      <c r="B592" s="3">
        <f>EDATE(Tab_Calculs[[#This Row],[Début mois]],1)-1</f>
        <v>40421</v>
      </c>
      <c r="C592">
        <v>8</v>
      </c>
      <c r="D592">
        <v>2010</v>
      </c>
      <c r="E592" t="s">
        <v>83</v>
      </c>
      <c r="F592" t="str">
        <f>SUBSTITUTE(Tab_Calculs[[#This Row],[Compteur]]," ","_")</f>
        <v>Compteur_4</v>
      </c>
      <c r="G592" t="str">
        <f>T(INDEX(Site!$B$33:$G$40, MATCH(Tab_Calculs[[#This Row],[Compteur]], Site!$B$33:$B$40,0),2))</f>
        <v/>
      </c>
      <c r="H592" s="3">
        <f t="array" aca="1" ref="H592" ca="1">MIN(IF(INDIRECT(CONCATENATE(Tab_Calculs[[#This Row],[Colonne1]],"!$B$2:$B$243"))&gt;=Calculs_Consos!$A592,INDIRECT(CONCATENATE(Tab_Calculs[[#This Row],[Colonne1]],"!$B$2:$B$243"))))</f>
        <v>0</v>
      </c>
      <c r="I592" s="3">
        <f ca="1">INDEX(INDIRECT(CONCATENATE("Tab_",Tab_Calculs[[#This Row],[Colonne1]])),Tab_Calculs[[#This Row],[index_date_livraison]],1)</f>
        <v>0</v>
      </c>
      <c r="J592">
        <f ca="1">MATCH(Tab_Calculs[[#This Row],[Date_livraison]],INDIRECT(CONCATENATE("Tab_",Tab_Calculs[[#This Row],[Colonne1]],"[Fin de période]")),0)</f>
        <v>1</v>
      </c>
      <c r="K592" t="e">
        <f ca="1">INDEX(INDIRECT(CONCATENATE("Tab_",Tab_Calculs[[#This Row],[Colonne1]])),Tab_Calculs[[#This Row],[index_date_livraison]]-1,6)*(MAX(Tab_Calculs[[#This Row],[Début periode livraison]],Tab_Calculs[[#This Row],[Début mois]])-Tab_Calculs[[#This Row],[Début mois]])</f>
        <v>#VALUE!</v>
      </c>
      <c r="L592" s="94">
        <f ca="1">INDEX(INDIRECT(CONCATENATE("Tab_",Tab_Calculs[[#This Row],[Colonne1]])),Tab_Calculs[[#This Row],[index_date_livraison]],6)*(1+MIN(Tab_Calculs[[#This Row],[Date_livraison]],Tab_Calculs[[#This Row],[fin mois]])-MAX(Tab_Calculs[[#This Row],[Début mois]],Tab_Calculs[[#This Row],[Début periode livraison]]))</f>
        <v>0</v>
      </c>
      <c r="M592" s="94" t="e">
        <f ca="1">INDEX(INDIRECT(CONCATENATE("Tab_",Tab_Calculs[[#This Row],[Colonne1]])),Tab_Calculs[[#This Row],[index_date_livraison]]+1,6)*(Tab_Calculs[[#This Row],[fin mois]]-MIN(Tab_Calculs[[#This Row],[fin mois]],Tab_Calculs[[#This Row],[Date_livraison]]))</f>
        <v>#VALUE!</v>
      </c>
      <c r="N592" s="231" t="str">
        <f ca="1">IFERROR(Tab_Calculs[[#This Row],[Ratio_jour_après_livr]]+Tab_Calculs[[#This Row],[Ratio_jour_avant_livr]]+Tab_Calculs[[#This Row],[ratio_avant_debut]],"")</f>
        <v/>
      </c>
      <c r="O592" t="e">
        <f ca="1">INDEX(INDIRECT(CONCATENATE("Tab_",Tab_Calculs[[#This Row],[Colonne1]])),Tab_Calculs[[#This Row],[index_date_livraison]]-1,7)*(MAX(Tab_Calculs[[#This Row],[Début periode livraison]],Tab_Calculs[[#This Row],[Début mois]])-Tab_Calculs[[#This Row],[Début mois]])</f>
        <v>#VALUE!</v>
      </c>
      <c r="P592">
        <f ca="1">INDEX(INDIRECT(CONCATENATE("Tab_",Tab_Calculs[[#This Row],[Colonne1]])),Tab_Calculs[[#This Row],[index_date_livraison]],7)*(1+MIN(Tab_Calculs[[#This Row],[Date_livraison]],Tab_Calculs[[#This Row],[fin mois]])-MAX(Tab_Calculs[[#This Row],[Début mois]],Tab_Calculs[[#This Row],[Début periode livraison]]))</f>
        <v>0</v>
      </c>
      <c r="Q592" t="e">
        <f ca="1">INDEX(INDIRECT(CONCATENATE("Tab_",Tab_Calculs[[#This Row],[Colonne1]])),Tab_Calculs[[#This Row],[index_date_livraison]]+1,7)*(Tab_Calculs[[#This Row],[fin mois]]-MIN(Tab_Calculs[[#This Row],[fin mois]],Tab_Calculs[[#This Row],[Date_livraison]]))</f>
        <v>#VALUE!</v>
      </c>
      <c r="R592" t="e">
        <f ca="1">Tab_Calculs[[#This Row],[Ratio_Cout_après_livr]]+Tab_Calculs[[#This Row],[Ratio_Cout_avant_livr]]+Tab_Calculs[[#This Row],[Ratio_Cout_avant_debut]]</f>
        <v>#VALUE!</v>
      </c>
      <c r="S592" t="str">
        <f ca="1">IFERROR(N592*VLOOKUP(Tab_Calculs[[#This Row],[Colonne1]],Controle_des_données!$B$7:$G$14,6,FALSE),"")</f>
        <v/>
      </c>
      <c r="T592" t="str">
        <f ca="1">IF(Tab_Calculs[[#This Row],[Combustible ]]="Electricité (kWh)",Tab_Calculs[[#This Row],[Conso_mois_kWh]]*2.3,Tab_Calculs[[#This Row],[Conso_mois_kWh]])</f>
        <v/>
      </c>
      <c r="U592" t="str">
        <f ca="1">IFERROR(N592*VLOOKUP(Tab_Calculs[[#This Row],[Colonne1]],Controle_des_données!$B$7:$H$14,7,FALSE),"")</f>
        <v/>
      </c>
      <c r="V592">
        <f ca="1">IFERROR(Tab_Calculs[[#This Row],[Cout_mois]]/Tab_Calculs[[#This Row],[Conso_mois_kWh]],0)</f>
        <v>0</v>
      </c>
      <c r="W592" t="str">
        <f>T(VLOOKUP(Tab_Calculs[[#This Row],[Compteur]],Site!$B$33:$G$40,3,FALSE))</f>
        <v/>
      </c>
      <c r="X592" t="str">
        <f>T(VLOOKUP(Tab_Calculs[[#This Row],[Compteur]],Site!$B$33:$G$40,4,FALSE))</f>
        <v/>
      </c>
      <c r="Y592" t="str">
        <f>T(VLOOKUP(Tab_Calculs[[#This Row],[Compteur]],Site!$B$33:$G$40,5,FALSE))</f>
        <v/>
      </c>
      <c r="Z592" t="str">
        <f>T(VLOOKUP(Tab_Calculs[[#This Row],[Compteur]],Site!$B$33:$G$40,6,FALSE))</f>
        <v/>
      </c>
      <c r="AA592">
        <f>IFERROR(GETPIVOTDATA("DJU(chauffagiste)",BDD_DJU!$P$13,"annee",Tab_Calculs[[#This Row],[ANNEE]],"mois_numero",Tab_Calculs[[#This Row],[MOIS]]),0)</f>
        <v>41.5</v>
      </c>
    </row>
    <row r="593" spans="1:27" x14ac:dyDescent="0.25">
      <c r="A593" s="3">
        <f>DATE(Tab_Calculs[[#This Row],[ANNEE]],Tab_Calculs[[#This Row],[MOIS]],1)</f>
        <v>40422</v>
      </c>
      <c r="B593" s="3">
        <f>EDATE(Tab_Calculs[[#This Row],[Début mois]],1)-1</f>
        <v>40451</v>
      </c>
      <c r="C593">
        <v>9</v>
      </c>
      <c r="D593">
        <v>2010</v>
      </c>
      <c r="E593" t="s">
        <v>83</v>
      </c>
      <c r="F593" t="str">
        <f>SUBSTITUTE(Tab_Calculs[[#This Row],[Compteur]]," ","_")</f>
        <v>Compteur_4</v>
      </c>
      <c r="G593" t="str">
        <f>T(INDEX(Site!$B$33:$G$40, MATCH(Tab_Calculs[[#This Row],[Compteur]], Site!$B$33:$B$40,0),2))</f>
        <v/>
      </c>
      <c r="H593" s="3">
        <f t="array" aca="1" ref="H593" ca="1">MIN(IF(INDIRECT(CONCATENATE(Tab_Calculs[[#This Row],[Colonne1]],"!$B$2:$B$243"))&gt;=Calculs_Consos!$A593,INDIRECT(CONCATENATE(Tab_Calculs[[#This Row],[Colonne1]],"!$B$2:$B$243"))))</f>
        <v>0</v>
      </c>
      <c r="I593" s="3">
        <f ca="1">INDEX(INDIRECT(CONCATENATE("Tab_",Tab_Calculs[[#This Row],[Colonne1]])),Tab_Calculs[[#This Row],[index_date_livraison]],1)</f>
        <v>0</v>
      </c>
      <c r="J593">
        <f ca="1">MATCH(Tab_Calculs[[#This Row],[Date_livraison]],INDIRECT(CONCATENATE("Tab_",Tab_Calculs[[#This Row],[Colonne1]],"[Fin de période]")),0)</f>
        <v>1</v>
      </c>
      <c r="K593" t="e">
        <f ca="1">INDEX(INDIRECT(CONCATENATE("Tab_",Tab_Calculs[[#This Row],[Colonne1]])),Tab_Calculs[[#This Row],[index_date_livraison]]-1,6)*(MAX(Tab_Calculs[[#This Row],[Début periode livraison]],Tab_Calculs[[#This Row],[Début mois]])-Tab_Calculs[[#This Row],[Début mois]])</f>
        <v>#VALUE!</v>
      </c>
      <c r="L593" s="94">
        <f ca="1">INDEX(INDIRECT(CONCATENATE("Tab_",Tab_Calculs[[#This Row],[Colonne1]])),Tab_Calculs[[#This Row],[index_date_livraison]],6)*(1+MIN(Tab_Calculs[[#This Row],[Date_livraison]],Tab_Calculs[[#This Row],[fin mois]])-MAX(Tab_Calculs[[#This Row],[Début mois]],Tab_Calculs[[#This Row],[Début periode livraison]]))</f>
        <v>0</v>
      </c>
      <c r="M593" s="94" t="e">
        <f ca="1">INDEX(INDIRECT(CONCATENATE("Tab_",Tab_Calculs[[#This Row],[Colonne1]])),Tab_Calculs[[#This Row],[index_date_livraison]]+1,6)*(Tab_Calculs[[#This Row],[fin mois]]-MIN(Tab_Calculs[[#This Row],[fin mois]],Tab_Calculs[[#This Row],[Date_livraison]]))</f>
        <v>#VALUE!</v>
      </c>
      <c r="N593" s="231" t="str">
        <f ca="1">IFERROR(Tab_Calculs[[#This Row],[Ratio_jour_après_livr]]+Tab_Calculs[[#This Row],[Ratio_jour_avant_livr]]+Tab_Calculs[[#This Row],[ratio_avant_debut]],"")</f>
        <v/>
      </c>
      <c r="O593" t="e">
        <f ca="1">INDEX(INDIRECT(CONCATENATE("Tab_",Tab_Calculs[[#This Row],[Colonne1]])),Tab_Calculs[[#This Row],[index_date_livraison]]-1,7)*(MAX(Tab_Calculs[[#This Row],[Début periode livraison]],Tab_Calculs[[#This Row],[Début mois]])-Tab_Calculs[[#This Row],[Début mois]])</f>
        <v>#VALUE!</v>
      </c>
      <c r="P593">
        <f ca="1">INDEX(INDIRECT(CONCATENATE("Tab_",Tab_Calculs[[#This Row],[Colonne1]])),Tab_Calculs[[#This Row],[index_date_livraison]],7)*(1+MIN(Tab_Calculs[[#This Row],[Date_livraison]],Tab_Calculs[[#This Row],[fin mois]])-MAX(Tab_Calculs[[#This Row],[Début mois]],Tab_Calculs[[#This Row],[Début periode livraison]]))</f>
        <v>0</v>
      </c>
      <c r="Q593" t="e">
        <f ca="1">INDEX(INDIRECT(CONCATENATE("Tab_",Tab_Calculs[[#This Row],[Colonne1]])),Tab_Calculs[[#This Row],[index_date_livraison]]+1,7)*(Tab_Calculs[[#This Row],[fin mois]]-MIN(Tab_Calculs[[#This Row],[fin mois]],Tab_Calculs[[#This Row],[Date_livraison]]))</f>
        <v>#VALUE!</v>
      </c>
      <c r="R593" t="e">
        <f ca="1">Tab_Calculs[[#This Row],[Ratio_Cout_après_livr]]+Tab_Calculs[[#This Row],[Ratio_Cout_avant_livr]]+Tab_Calculs[[#This Row],[Ratio_Cout_avant_debut]]</f>
        <v>#VALUE!</v>
      </c>
      <c r="S593" t="str">
        <f ca="1">IFERROR(N593*VLOOKUP(Tab_Calculs[[#This Row],[Colonne1]],Controle_des_données!$B$7:$G$14,6,FALSE),"")</f>
        <v/>
      </c>
      <c r="T593" t="str">
        <f ca="1">IF(Tab_Calculs[[#This Row],[Combustible ]]="Electricité (kWh)",Tab_Calculs[[#This Row],[Conso_mois_kWh]]*2.3,Tab_Calculs[[#This Row],[Conso_mois_kWh]])</f>
        <v/>
      </c>
      <c r="U593" t="str">
        <f ca="1">IFERROR(N593*VLOOKUP(Tab_Calculs[[#This Row],[Colonne1]],Controle_des_données!$B$7:$H$14,7,FALSE),"")</f>
        <v/>
      </c>
      <c r="V593">
        <f ca="1">IFERROR(Tab_Calculs[[#This Row],[Cout_mois]]/Tab_Calculs[[#This Row],[Conso_mois_kWh]],0)</f>
        <v>0</v>
      </c>
      <c r="W593" t="str">
        <f>T(VLOOKUP(Tab_Calculs[[#This Row],[Compteur]],Site!$B$33:$G$40,3,FALSE))</f>
        <v/>
      </c>
      <c r="X593" t="str">
        <f>T(VLOOKUP(Tab_Calculs[[#This Row],[Compteur]],Site!$B$33:$G$40,4,FALSE))</f>
        <v/>
      </c>
      <c r="Y593" t="str">
        <f>T(VLOOKUP(Tab_Calculs[[#This Row],[Compteur]],Site!$B$33:$G$40,5,FALSE))</f>
        <v/>
      </c>
      <c r="Z593" t="str">
        <f>T(VLOOKUP(Tab_Calculs[[#This Row],[Compteur]],Site!$B$33:$G$40,6,FALSE))</f>
        <v/>
      </c>
      <c r="AA593">
        <f>IFERROR(GETPIVOTDATA("DJU(chauffagiste)",BDD_DJU!$P$13,"annee",Tab_Calculs[[#This Row],[ANNEE]],"mois_numero",Tab_Calculs[[#This Row],[MOIS]]),0)</f>
        <v>95.4</v>
      </c>
    </row>
    <row r="594" spans="1:27" x14ac:dyDescent="0.25">
      <c r="A594" s="3">
        <f>DATE(Tab_Calculs[[#This Row],[ANNEE]],Tab_Calculs[[#This Row],[MOIS]],1)</f>
        <v>40452</v>
      </c>
      <c r="B594" s="3">
        <f>EDATE(Tab_Calculs[[#This Row],[Début mois]],1)-1</f>
        <v>40482</v>
      </c>
      <c r="C594">
        <v>10</v>
      </c>
      <c r="D594">
        <v>2010</v>
      </c>
      <c r="E594" t="s">
        <v>83</v>
      </c>
      <c r="F594" t="str">
        <f>SUBSTITUTE(Tab_Calculs[[#This Row],[Compteur]]," ","_")</f>
        <v>Compteur_4</v>
      </c>
      <c r="G594" t="str">
        <f>T(INDEX(Site!$B$33:$G$40, MATCH(Tab_Calculs[[#This Row],[Compteur]], Site!$B$33:$B$40,0),2))</f>
        <v/>
      </c>
      <c r="H594" s="3">
        <f t="array" aca="1" ref="H594" ca="1">MIN(IF(INDIRECT(CONCATENATE(Tab_Calculs[[#This Row],[Colonne1]],"!$B$2:$B$243"))&gt;=Calculs_Consos!$A594,INDIRECT(CONCATENATE(Tab_Calculs[[#This Row],[Colonne1]],"!$B$2:$B$243"))))</f>
        <v>0</v>
      </c>
      <c r="I594" s="3">
        <f ca="1">INDEX(INDIRECT(CONCATENATE("Tab_",Tab_Calculs[[#This Row],[Colonne1]])),Tab_Calculs[[#This Row],[index_date_livraison]],1)</f>
        <v>0</v>
      </c>
      <c r="J594">
        <f ca="1">MATCH(Tab_Calculs[[#This Row],[Date_livraison]],INDIRECT(CONCATENATE("Tab_",Tab_Calculs[[#This Row],[Colonne1]],"[Fin de période]")),0)</f>
        <v>1</v>
      </c>
      <c r="K594" t="e">
        <f ca="1">INDEX(INDIRECT(CONCATENATE("Tab_",Tab_Calculs[[#This Row],[Colonne1]])),Tab_Calculs[[#This Row],[index_date_livraison]]-1,6)*(MAX(Tab_Calculs[[#This Row],[Début periode livraison]],Tab_Calculs[[#This Row],[Début mois]])-Tab_Calculs[[#This Row],[Début mois]])</f>
        <v>#VALUE!</v>
      </c>
      <c r="L594" s="94">
        <f ca="1">INDEX(INDIRECT(CONCATENATE("Tab_",Tab_Calculs[[#This Row],[Colonne1]])),Tab_Calculs[[#This Row],[index_date_livraison]],6)*(1+MIN(Tab_Calculs[[#This Row],[Date_livraison]],Tab_Calculs[[#This Row],[fin mois]])-MAX(Tab_Calculs[[#This Row],[Début mois]],Tab_Calculs[[#This Row],[Début periode livraison]]))</f>
        <v>0</v>
      </c>
      <c r="M594" s="94" t="e">
        <f ca="1">INDEX(INDIRECT(CONCATENATE("Tab_",Tab_Calculs[[#This Row],[Colonne1]])),Tab_Calculs[[#This Row],[index_date_livraison]]+1,6)*(Tab_Calculs[[#This Row],[fin mois]]-MIN(Tab_Calculs[[#This Row],[fin mois]],Tab_Calculs[[#This Row],[Date_livraison]]))</f>
        <v>#VALUE!</v>
      </c>
      <c r="N594" s="231" t="str">
        <f ca="1">IFERROR(Tab_Calculs[[#This Row],[Ratio_jour_après_livr]]+Tab_Calculs[[#This Row],[Ratio_jour_avant_livr]]+Tab_Calculs[[#This Row],[ratio_avant_debut]],"")</f>
        <v/>
      </c>
      <c r="O594" t="e">
        <f ca="1">INDEX(INDIRECT(CONCATENATE("Tab_",Tab_Calculs[[#This Row],[Colonne1]])),Tab_Calculs[[#This Row],[index_date_livraison]]-1,7)*(MAX(Tab_Calculs[[#This Row],[Début periode livraison]],Tab_Calculs[[#This Row],[Début mois]])-Tab_Calculs[[#This Row],[Début mois]])</f>
        <v>#VALUE!</v>
      </c>
      <c r="P594">
        <f ca="1">INDEX(INDIRECT(CONCATENATE("Tab_",Tab_Calculs[[#This Row],[Colonne1]])),Tab_Calculs[[#This Row],[index_date_livraison]],7)*(1+MIN(Tab_Calculs[[#This Row],[Date_livraison]],Tab_Calculs[[#This Row],[fin mois]])-MAX(Tab_Calculs[[#This Row],[Début mois]],Tab_Calculs[[#This Row],[Début periode livraison]]))</f>
        <v>0</v>
      </c>
      <c r="Q594" t="e">
        <f ca="1">INDEX(INDIRECT(CONCATENATE("Tab_",Tab_Calculs[[#This Row],[Colonne1]])),Tab_Calculs[[#This Row],[index_date_livraison]]+1,7)*(Tab_Calculs[[#This Row],[fin mois]]-MIN(Tab_Calculs[[#This Row],[fin mois]],Tab_Calculs[[#This Row],[Date_livraison]]))</f>
        <v>#VALUE!</v>
      </c>
      <c r="R594" t="e">
        <f ca="1">Tab_Calculs[[#This Row],[Ratio_Cout_après_livr]]+Tab_Calculs[[#This Row],[Ratio_Cout_avant_livr]]+Tab_Calculs[[#This Row],[Ratio_Cout_avant_debut]]</f>
        <v>#VALUE!</v>
      </c>
      <c r="S594" t="str">
        <f ca="1">IFERROR(N594*VLOOKUP(Tab_Calculs[[#This Row],[Colonne1]],Controle_des_données!$B$7:$G$14,6,FALSE),"")</f>
        <v/>
      </c>
      <c r="T594" t="str">
        <f ca="1">IF(Tab_Calculs[[#This Row],[Combustible ]]="Electricité (kWh)",Tab_Calculs[[#This Row],[Conso_mois_kWh]]*2.3,Tab_Calculs[[#This Row],[Conso_mois_kWh]])</f>
        <v/>
      </c>
      <c r="U594" t="str">
        <f ca="1">IFERROR(N594*VLOOKUP(Tab_Calculs[[#This Row],[Colonne1]],Controle_des_données!$B$7:$H$14,7,FALSE),"")</f>
        <v/>
      </c>
      <c r="V594">
        <f ca="1">IFERROR(Tab_Calculs[[#This Row],[Cout_mois]]/Tab_Calculs[[#This Row],[Conso_mois_kWh]],0)</f>
        <v>0</v>
      </c>
      <c r="W594" t="str">
        <f>T(VLOOKUP(Tab_Calculs[[#This Row],[Compteur]],Site!$B$33:$G$40,3,FALSE))</f>
        <v/>
      </c>
      <c r="X594" t="str">
        <f>T(VLOOKUP(Tab_Calculs[[#This Row],[Compteur]],Site!$B$33:$G$40,4,FALSE))</f>
        <v/>
      </c>
      <c r="Y594" t="str">
        <f>T(VLOOKUP(Tab_Calculs[[#This Row],[Compteur]],Site!$B$33:$G$40,5,FALSE))</f>
        <v/>
      </c>
      <c r="Z594" t="str">
        <f>T(VLOOKUP(Tab_Calculs[[#This Row],[Compteur]],Site!$B$33:$G$40,6,FALSE))</f>
        <v/>
      </c>
      <c r="AA594">
        <f>IFERROR(GETPIVOTDATA("DJU(chauffagiste)",BDD_DJU!$P$13,"annee",Tab_Calculs[[#This Row],[ANNEE]],"mois_numero",Tab_Calculs[[#This Row],[MOIS]]),0)</f>
        <v>190.1</v>
      </c>
    </row>
    <row r="595" spans="1:27" x14ac:dyDescent="0.25">
      <c r="A595" s="3">
        <f>DATE(Tab_Calculs[[#This Row],[ANNEE]],Tab_Calculs[[#This Row],[MOIS]],1)</f>
        <v>40483</v>
      </c>
      <c r="B595" s="3">
        <f>EDATE(Tab_Calculs[[#This Row],[Début mois]],1)-1</f>
        <v>40512</v>
      </c>
      <c r="C595">
        <v>11</v>
      </c>
      <c r="D595">
        <v>2010</v>
      </c>
      <c r="E595" t="s">
        <v>83</v>
      </c>
      <c r="F595" t="str">
        <f>SUBSTITUTE(Tab_Calculs[[#This Row],[Compteur]]," ","_")</f>
        <v>Compteur_4</v>
      </c>
      <c r="G595" t="str">
        <f>T(INDEX(Site!$B$33:$G$40, MATCH(Tab_Calculs[[#This Row],[Compteur]], Site!$B$33:$B$40,0),2))</f>
        <v/>
      </c>
      <c r="H595" s="3">
        <f t="array" aca="1" ref="H595" ca="1">MIN(IF(INDIRECT(CONCATENATE(Tab_Calculs[[#This Row],[Colonne1]],"!$B$2:$B$243"))&gt;=Calculs_Consos!$A595,INDIRECT(CONCATENATE(Tab_Calculs[[#This Row],[Colonne1]],"!$B$2:$B$243"))))</f>
        <v>0</v>
      </c>
      <c r="I595" s="3">
        <f ca="1">INDEX(INDIRECT(CONCATENATE("Tab_",Tab_Calculs[[#This Row],[Colonne1]])),Tab_Calculs[[#This Row],[index_date_livraison]],1)</f>
        <v>0</v>
      </c>
      <c r="J595">
        <f ca="1">MATCH(Tab_Calculs[[#This Row],[Date_livraison]],INDIRECT(CONCATENATE("Tab_",Tab_Calculs[[#This Row],[Colonne1]],"[Fin de période]")),0)</f>
        <v>1</v>
      </c>
      <c r="K595" t="e">
        <f ca="1">INDEX(INDIRECT(CONCATENATE("Tab_",Tab_Calculs[[#This Row],[Colonne1]])),Tab_Calculs[[#This Row],[index_date_livraison]]-1,6)*(MAX(Tab_Calculs[[#This Row],[Début periode livraison]],Tab_Calculs[[#This Row],[Début mois]])-Tab_Calculs[[#This Row],[Début mois]])</f>
        <v>#VALUE!</v>
      </c>
      <c r="L595" s="94">
        <f ca="1">INDEX(INDIRECT(CONCATENATE("Tab_",Tab_Calculs[[#This Row],[Colonne1]])),Tab_Calculs[[#This Row],[index_date_livraison]],6)*(1+MIN(Tab_Calculs[[#This Row],[Date_livraison]],Tab_Calculs[[#This Row],[fin mois]])-MAX(Tab_Calculs[[#This Row],[Début mois]],Tab_Calculs[[#This Row],[Début periode livraison]]))</f>
        <v>0</v>
      </c>
      <c r="M595" s="94" t="e">
        <f ca="1">INDEX(INDIRECT(CONCATENATE("Tab_",Tab_Calculs[[#This Row],[Colonne1]])),Tab_Calculs[[#This Row],[index_date_livraison]]+1,6)*(Tab_Calculs[[#This Row],[fin mois]]-MIN(Tab_Calculs[[#This Row],[fin mois]],Tab_Calculs[[#This Row],[Date_livraison]]))</f>
        <v>#VALUE!</v>
      </c>
      <c r="N595" s="231" t="str">
        <f ca="1">IFERROR(Tab_Calculs[[#This Row],[Ratio_jour_après_livr]]+Tab_Calculs[[#This Row],[Ratio_jour_avant_livr]]+Tab_Calculs[[#This Row],[ratio_avant_debut]],"")</f>
        <v/>
      </c>
      <c r="O595" t="e">
        <f ca="1">INDEX(INDIRECT(CONCATENATE("Tab_",Tab_Calculs[[#This Row],[Colonne1]])),Tab_Calculs[[#This Row],[index_date_livraison]]-1,7)*(MAX(Tab_Calculs[[#This Row],[Début periode livraison]],Tab_Calculs[[#This Row],[Début mois]])-Tab_Calculs[[#This Row],[Début mois]])</f>
        <v>#VALUE!</v>
      </c>
      <c r="P595">
        <f ca="1">INDEX(INDIRECT(CONCATENATE("Tab_",Tab_Calculs[[#This Row],[Colonne1]])),Tab_Calculs[[#This Row],[index_date_livraison]],7)*(1+MIN(Tab_Calculs[[#This Row],[Date_livraison]],Tab_Calculs[[#This Row],[fin mois]])-MAX(Tab_Calculs[[#This Row],[Début mois]],Tab_Calculs[[#This Row],[Début periode livraison]]))</f>
        <v>0</v>
      </c>
      <c r="Q595" t="e">
        <f ca="1">INDEX(INDIRECT(CONCATENATE("Tab_",Tab_Calculs[[#This Row],[Colonne1]])),Tab_Calculs[[#This Row],[index_date_livraison]]+1,7)*(Tab_Calculs[[#This Row],[fin mois]]-MIN(Tab_Calculs[[#This Row],[fin mois]],Tab_Calculs[[#This Row],[Date_livraison]]))</f>
        <v>#VALUE!</v>
      </c>
      <c r="R595" t="e">
        <f ca="1">Tab_Calculs[[#This Row],[Ratio_Cout_après_livr]]+Tab_Calculs[[#This Row],[Ratio_Cout_avant_livr]]+Tab_Calculs[[#This Row],[Ratio_Cout_avant_debut]]</f>
        <v>#VALUE!</v>
      </c>
      <c r="S595" t="str">
        <f ca="1">IFERROR(N595*VLOOKUP(Tab_Calculs[[#This Row],[Colonne1]],Controle_des_données!$B$7:$G$14,6,FALSE),"")</f>
        <v/>
      </c>
      <c r="T595" t="str">
        <f ca="1">IF(Tab_Calculs[[#This Row],[Combustible ]]="Electricité (kWh)",Tab_Calculs[[#This Row],[Conso_mois_kWh]]*2.3,Tab_Calculs[[#This Row],[Conso_mois_kWh]])</f>
        <v/>
      </c>
      <c r="U595" t="str">
        <f ca="1">IFERROR(N595*VLOOKUP(Tab_Calculs[[#This Row],[Colonne1]],Controle_des_données!$B$7:$H$14,7,FALSE),"")</f>
        <v/>
      </c>
      <c r="V595">
        <f ca="1">IFERROR(Tab_Calculs[[#This Row],[Cout_mois]]/Tab_Calculs[[#This Row],[Conso_mois_kWh]],0)</f>
        <v>0</v>
      </c>
      <c r="W595" t="str">
        <f>T(VLOOKUP(Tab_Calculs[[#This Row],[Compteur]],Site!$B$33:$G$40,3,FALSE))</f>
        <v/>
      </c>
      <c r="X595" t="str">
        <f>T(VLOOKUP(Tab_Calculs[[#This Row],[Compteur]],Site!$B$33:$G$40,4,FALSE))</f>
        <v/>
      </c>
      <c r="Y595" t="str">
        <f>T(VLOOKUP(Tab_Calculs[[#This Row],[Compteur]],Site!$B$33:$G$40,5,FALSE))</f>
        <v/>
      </c>
      <c r="Z595" t="str">
        <f>T(VLOOKUP(Tab_Calculs[[#This Row],[Compteur]],Site!$B$33:$G$40,6,FALSE))</f>
        <v/>
      </c>
      <c r="AA595">
        <f>IFERROR(GETPIVOTDATA("DJU(chauffagiste)",BDD_DJU!$P$13,"annee",Tab_Calculs[[#This Row],[ANNEE]],"mois_numero",Tab_Calculs[[#This Row],[MOIS]]),0)</f>
        <v>320.89999999999998</v>
      </c>
    </row>
    <row r="596" spans="1:27" x14ac:dyDescent="0.25">
      <c r="A596" s="3">
        <f>DATE(Tab_Calculs[[#This Row],[ANNEE]],Tab_Calculs[[#This Row],[MOIS]],1)</f>
        <v>40513</v>
      </c>
      <c r="B596" s="3">
        <f>EDATE(Tab_Calculs[[#This Row],[Début mois]],1)-1</f>
        <v>40543</v>
      </c>
      <c r="C596">
        <v>12</v>
      </c>
      <c r="D596">
        <v>2010</v>
      </c>
      <c r="E596" t="s">
        <v>83</v>
      </c>
      <c r="F596" t="str">
        <f>SUBSTITUTE(Tab_Calculs[[#This Row],[Compteur]]," ","_")</f>
        <v>Compteur_4</v>
      </c>
      <c r="G596" t="str">
        <f>T(INDEX(Site!$B$33:$G$40, MATCH(Tab_Calculs[[#This Row],[Compteur]], Site!$B$33:$B$40,0),2))</f>
        <v/>
      </c>
      <c r="H596" s="3">
        <f t="array" aca="1" ref="H596" ca="1">MIN(IF(INDIRECT(CONCATENATE(Tab_Calculs[[#This Row],[Colonne1]],"!$B$2:$B$243"))&gt;=Calculs_Consos!$A596,INDIRECT(CONCATENATE(Tab_Calculs[[#This Row],[Colonne1]],"!$B$2:$B$243"))))</f>
        <v>0</v>
      </c>
      <c r="I596" s="3">
        <f ca="1">INDEX(INDIRECT(CONCATENATE("Tab_",Tab_Calculs[[#This Row],[Colonne1]])),Tab_Calculs[[#This Row],[index_date_livraison]],1)</f>
        <v>0</v>
      </c>
      <c r="J596">
        <f ca="1">MATCH(Tab_Calculs[[#This Row],[Date_livraison]],INDIRECT(CONCATENATE("Tab_",Tab_Calculs[[#This Row],[Colonne1]],"[Fin de période]")),0)</f>
        <v>1</v>
      </c>
      <c r="K596" t="e">
        <f ca="1">INDEX(INDIRECT(CONCATENATE("Tab_",Tab_Calculs[[#This Row],[Colonne1]])),Tab_Calculs[[#This Row],[index_date_livraison]]-1,6)*(MAX(Tab_Calculs[[#This Row],[Début periode livraison]],Tab_Calculs[[#This Row],[Début mois]])-Tab_Calculs[[#This Row],[Début mois]])</f>
        <v>#VALUE!</v>
      </c>
      <c r="L596" s="94">
        <f ca="1">INDEX(INDIRECT(CONCATENATE("Tab_",Tab_Calculs[[#This Row],[Colonne1]])),Tab_Calculs[[#This Row],[index_date_livraison]],6)*(1+MIN(Tab_Calculs[[#This Row],[Date_livraison]],Tab_Calculs[[#This Row],[fin mois]])-MAX(Tab_Calculs[[#This Row],[Début mois]],Tab_Calculs[[#This Row],[Début periode livraison]]))</f>
        <v>0</v>
      </c>
      <c r="M596" s="94" t="e">
        <f ca="1">INDEX(INDIRECT(CONCATENATE("Tab_",Tab_Calculs[[#This Row],[Colonne1]])),Tab_Calculs[[#This Row],[index_date_livraison]]+1,6)*(Tab_Calculs[[#This Row],[fin mois]]-MIN(Tab_Calculs[[#This Row],[fin mois]],Tab_Calculs[[#This Row],[Date_livraison]]))</f>
        <v>#VALUE!</v>
      </c>
      <c r="N596" s="231" t="str">
        <f ca="1">IFERROR(Tab_Calculs[[#This Row],[Ratio_jour_après_livr]]+Tab_Calculs[[#This Row],[Ratio_jour_avant_livr]]+Tab_Calculs[[#This Row],[ratio_avant_debut]],"")</f>
        <v/>
      </c>
      <c r="O596" t="e">
        <f ca="1">INDEX(INDIRECT(CONCATENATE("Tab_",Tab_Calculs[[#This Row],[Colonne1]])),Tab_Calculs[[#This Row],[index_date_livraison]]-1,7)*(MAX(Tab_Calculs[[#This Row],[Début periode livraison]],Tab_Calculs[[#This Row],[Début mois]])-Tab_Calculs[[#This Row],[Début mois]])</f>
        <v>#VALUE!</v>
      </c>
      <c r="P596">
        <f ca="1">INDEX(INDIRECT(CONCATENATE("Tab_",Tab_Calculs[[#This Row],[Colonne1]])),Tab_Calculs[[#This Row],[index_date_livraison]],7)*(1+MIN(Tab_Calculs[[#This Row],[Date_livraison]],Tab_Calculs[[#This Row],[fin mois]])-MAX(Tab_Calculs[[#This Row],[Début mois]],Tab_Calculs[[#This Row],[Début periode livraison]]))</f>
        <v>0</v>
      </c>
      <c r="Q596" t="e">
        <f ca="1">INDEX(INDIRECT(CONCATENATE("Tab_",Tab_Calculs[[#This Row],[Colonne1]])),Tab_Calculs[[#This Row],[index_date_livraison]]+1,7)*(Tab_Calculs[[#This Row],[fin mois]]-MIN(Tab_Calculs[[#This Row],[fin mois]],Tab_Calculs[[#This Row],[Date_livraison]]))</f>
        <v>#VALUE!</v>
      </c>
      <c r="R596" t="e">
        <f ca="1">Tab_Calculs[[#This Row],[Ratio_Cout_après_livr]]+Tab_Calculs[[#This Row],[Ratio_Cout_avant_livr]]+Tab_Calculs[[#This Row],[Ratio_Cout_avant_debut]]</f>
        <v>#VALUE!</v>
      </c>
      <c r="S596" t="str">
        <f ca="1">IFERROR(N596*VLOOKUP(Tab_Calculs[[#This Row],[Colonne1]],Controle_des_données!$B$7:$G$14,6,FALSE),"")</f>
        <v/>
      </c>
      <c r="T596" t="str">
        <f ca="1">IF(Tab_Calculs[[#This Row],[Combustible ]]="Electricité (kWh)",Tab_Calculs[[#This Row],[Conso_mois_kWh]]*2.3,Tab_Calculs[[#This Row],[Conso_mois_kWh]])</f>
        <v/>
      </c>
      <c r="U596" t="str">
        <f ca="1">IFERROR(N596*VLOOKUP(Tab_Calculs[[#This Row],[Colonne1]],Controle_des_données!$B$7:$H$14,7,FALSE),"")</f>
        <v/>
      </c>
      <c r="V596">
        <f ca="1">IFERROR(Tab_Calculs[[#This Row],[Cout_mois]]/Tab_Calculs[[#This Row],[Conso_mois_kWh]],0)</f>
        <v>0</v>
      </c>
      <c r="W596" t="str">
        <f>T(VLOOKUP(Tab_Calculs[[#This Row],[Compteur]],Site!$B$33:$G$40,3,FALSE))</f>
        <v/>
      </c>
      <c r="X596" t="str">
        <f>T(VLOOKUP(Tab_Calculs[[#This Row],[Compteur]],Site!$B$33:$G$40,4,FALSE))</f>
        <v/>
      </c>
      <c r="Y596" t="str">
        <f>T(VLOOKUP(Tab_Calculs[[#This Row],[Compteur]],Site!$B$33:$G$40,5,FALSE))</f>
        <v/>
      </c>
      <c r="Z596" t="str">
        <f>T(VLOOKUP(Tab_Calculs[[#This Row],[Compteur]],Site!$B$33:$G$40,6,FALSE))</f>
        <v/>
      </c>
      <c r="AA596">
        <f>IFERROR(GETPIVOTDATA("DJU(chauffagiste)",BDD_DJU!$P$13,"annee",Tab_Calculs[[#This Row],[ANNEE]],"mois_numero",Tab_Calculs[[#This Row],[MOIS]]),0)</f>
        <v>500.7</v>
      </c>
    </row>
    <row r="597" spans="1:27" x14ac:dyDescent="0.25">
      <c r="A597" s="3">
        <f>DATE(Tab_Calculs[[#This Row],[ANNEE]],Tab_Calculs[[#This Row],[MOIS]],1)</f>
        <v>40544</v>
      </c>
      <c r="B597" s="3">
        <f>EDATE(Tab_Calculs[[#This Row],[Début mois]],1)-1</f>
        <v>40574</v>
      </c>
      <c r="C597">
        <v>1</v>
      </c>
      <c r="D597">
        <v>2011</v>
      </c>
      <c r="E597" t="s">
        <v>83</v>
      </c>
      <c r="F597" t="str">
        <f>SUBSTITUTE(Tab_Calculs[[#This Row],[Compteur]]," ","_")</f>
        <v>Compteur_4</v>
      </c>
      <c r="G597" t="str">
        <f>T(INDEX(Site!$B$33:$G$40, MATCH(Tab_Calculs[[#This Row],[Compteur]], Site!$B$33:$B$40,0),2))</f>
        <v/>
      </c>
      <c r="H597" s="3">
        <f t="array" aca="1" ref="H597" ca="1">MIN(IF(INDIRECT(CONCATENATE(Tab_Calculs[[#This Row],[Colonne1]],"!$B$2:$B$243"))&gt;=Calculs_Consos!$A597,INDIRECT(CONCATENATE(Tab_Calculs[[#This Row],[Colonne1]],"!$B$2:$B$243"))))</f>
        <v>0</v>
      </c>
      <c r="I597" s="3">
        <f ca="1">INDEX(INDIRECT(CONCATENATE("Tab_",Tab_Calculs[[#This Row],[Colonne1]])),Tab_Calculs[[#This Row],[index_date_livraison]],1)</f>
        <v>0</v>
      </c>
      <c r="J597">
        <f ca="1">MATCH(Tab_Calculs[[#This Row],[Date_livraison]],INDIRECT(CONCATENATE("Tab_",Tab_Calculs[[#This Row],[Colonne1]],"[Fin de période]")),0)</f>
        <v>1</v>
      </c>
      <c r="K597" t="e">
        <f ca="1">INDEX(INDIRECT(CONCATENATE("Tab_",Tab_Calculs[[#This Row],[Colonne1]])),Tab_Calculs[[#This Row],[index_date_livraison]]-1,6)*(MAX(Tab_Calculs[[#This Row],[Début periode livraison]],Tab_Calculs[[#This Row],[Début mois]])-Tab_Calculs[[#This Row],[Début mois]])</f>
        <v>#VALUE!</v>
      </c>
      <c r="L597" s="94">
        <f ca="1">INDEX(INDIRECT(CONCATENATE("Tab_",Tab_Calculs[[#This Row],[Colonne1]])),Tab_Calculs[[#This Row],[index_date_livraison]],6)*(1+MIN(Tab_Calculs[[#This Row],[Date_livraison]],Tab_Calculs[[#This Row],[fin mois]])-MAX(Tab_Calculs[[#This Row],[Début mois]],Tab_Calculs[[#This Row],[Début periode livraison]]))</f>
        <v>0</v>
      </c>
      <c r="M597" s="94" t="e">
        <f ca="1">INDEX(INDIRECT(CONCATENATE("Tab_",Tab_Calculs[[#This Row],[Colonne1]])),Tab_Calculs[[#This Row],[index_date_livraison]]+1,6)*(Tab_Calculs[[#This Row],[fin mois]]-MIN(Tab_Calculs[[#This Row],[fin mois]],Tab_Calculs[[#This Row],[Date_livraison]]))</f>
        <v>#VALUE!</v>
      </c>
      <c r="N597" s="231" t="str">
        <f ca="1">IFERROR(Tab_Calculs[[#This Row],[Ratio_jour_après_livr]]+Tab_Calculs[[#This Row],[Ratio_jour_avant_livr]]+Tab_Calculs[[#This Row],[ratio_avant_debut]],"")</f>
        <v/>
      </c>
      <c r="O597" t="e">
        <f ca="1">INDEX(INDIRECT(CONCATENATE("Tab_",Tab_Calculs[[#This Row],[Colonne1]])),Tab_Calculs[[#This Row],[index_date_livraison]]-1,7)*(MAX(Tab_Calculs[[#This Row],[Début periode livraison]],Tab_Calculs[[#This Row],[Début mois]])-Tab_Calculs[[#This Row],[Début mois]])</f>
        <v>#VALUE!</v>
      </c>
      <c r="P597">
        <f ca="1">INDEX(INDIRECT(CONCATENATE("Tab_",Tab_Calculs[[#This Row],[Colonne1]])),Tab_Calculs[[#This Row],[index_date_livraison]],7)*(1+MIN(Tab_Calculs[[#This Row],[Date_livraison]],Tab_Calculs[[#This Row],[fin mois]])-MAX(Tab_Calculs[[#This Row],[Début mois]],Tab_Calculs[[#This Row],[Début periode livraison]]))</f>
        <v>0</v>
      </c>
      <c r="Q597" t="e">
        <f ca="1">INDEX(INDIRECT(CONCATENATE("Tab_",Tab_Calculs[[#This Row],[Colonne1]])),Tab_Calculs[[#This Row],[index_date_livraison]]+1,7)*(Tab_Calculs[[#This Row],[fin mois]]-MIN(Tab_Calculs[[#This Row],[fin mois]],Tab_Calculs[[#This Row],[Date_livraison]]))</f>
        <v>#VALUE!</v>
      </c>
      <c r="R597" t="e">
        <f ca="1">Tab_Calculs[[#This Row],[Ratio_Cout_après_livr]]+Tab_Calculs[[#This Row],[Ratio_Cout_avant_livr]]+Tab_Calculs[[#This Row],[Ratio_Cout_avant_debut]]</f>
        <v>#VALUE!</v>
      </c>
      <c r="S597" t="str">
        <f ca="1">IFERROR(N597*VLOOKUP(Tab_Calculs[[#This Row],[Colonne1]],Controle_des_données!$B$7:$G$14,6,FALSE),"")</f>
        <v/>
      </c>
      <c r="T597" t="str">
        <f ca="1">IF(Tab_Calculs[[#This Row],[Combustible ]]="Electricité (kWh)",Tab_Calculs[[#This Row],[Conso_mois_kWh]]*2.3,Tab_Calculs[[#This Row],[Conso_mois_kWh]])</f>
        <v/>
      </c>
      <c r="U597" t="str">
        <f ca="1">IFERROR(N597*VLOOKUP(Tab_Calculs[[#This Row],[Colonne1]],Controle_des_données!$B$7:$H$14,7,FALSE),"")</f>
        <v/>
      </c>
      <c r="V597">
        <f ca="1">IFERROR(Tab_Calculs[[#This Row],[Cout_mois]]/Tab_Calculs[[#This Row],[Conso_mois_kWh]],0)</f>
        <v>0</v>
      </c>
      <c r="W597" t="str">
        <f>T(VLOOKUP(Tab_Calculs[[#This Row],[Compteur]],Site!$B$33:$G$40,3,FALSE))</f>
        <v/>
      </c>
      <c r="X597" t="str">
        <f>T(VLOOKUP(Tab_Calculs[[#This Row],[Compteur]],Site!$B$33:$G$40,4,FALSE))</f>
        <v/>
      </c>
      <c r="Y597" t="str">
        <f>T(VLOOKUP(Tab_Calculs[[#This Row],[Compteur]],Site!$B$33:$G$40,5,FALSE))</f>
        <v/>
      </c>
      <c r="Z597" t="str">
        <f>T(VLOOKUP(Tab_Calculs[[#This Row],[Compteur]],Site!$B$33:$G$40,6,FALSE))</f>
        <v/>
      </c>
      <c r="AA597">
        <f>IFERROR(GETPIVOTDATA("DJU(chauffagiste)",BDD_DJU!$P$13,"annee",Tab_Calculs[[#This Row],[ANNEE]],"mois_numero",Tab_Calculs[[#This Row],[MOIS]]),0)</f>
        <v>392.2</v>
      </c>
    </row>
    <row r="598" spans="1:27" x14ac:dyDescent="0.25">
      <c r="A598" s="3">
        <f>DATE(Tab_Calculs[[#This Row],[ANNEE]],Tab_Calculs[[#This Row],[MOIS]],1)</f>
        <v>40575</v>
      </c>
      <c r="B598" s="3">
        <f>EDATE(Tab_Calculs[[#This Row],[Début mois]],1)-1</f>
        <v>40602</v>
      </c>
      <c r="C598">
        <v>2</v>
      </c>
      <c r="D598">
        <v>2011</v>
      </c>
      <c r="E598" t="s">
        <v>83</v>
      </c>
      <c r="F598" t="str">
        <f>SUBSTITUTE(Tab_Calculs[[#This Row],[Compteur]]," ","_")</f>
        <v>Compteur_4</v>
      </c>
      <c r="G598" t="str">
        <f>T(INDEX(Site!$B$33:$G$40, MATCH(Tab_Calculs[[#This Row],[Compteur]], Site!$B$33:$B$40,0),2))</f>
        <v/>
      </c>
      <c r="H598" s="3">
        <f t="array" aca="1" ref="H598" ca="1">MIN(IF(INDIRECT(CONCATENATE(Tab_Calculs[[#This Row],[Colonne1]],"!$B$2:$B$243"))&gt;=Calculs_Consos!$A598,INDIRECT(CONCATENATE(Tab_Calculs[[#This Row],[Colonne1]],"!$B$2:$B$243"))))</f>
        <v>0</v>
      </c>
      <c r="I598" s="3">
        <f ca="1">INDEX(INDIRECT(CONCATENATE("Tab_",Tab_Calculs[[#This Row],[Colonne1]])),Tab_Calculs[[#This Row],[index_date_livraison]],1)</f>
        <v>0</v>
      </c>
      <c r="J598">
        <f ca="1">MATCH(Tab_Calculs[[#This Row],[Date_livraison]],INDIRECT(CONCATENATE("Tab_",Tab_Calculs[[#This Row],[Colonne1]],"[Fin de période]")),0)</f>
        <v>1</v>
      </c>
      <c r="K598" t="e">
        <f ca="1">INDEX(INDIRECT(CONCATENATE("Tab_",Tab_Calculs[[#This Row],[Colonne1]])),Tab_Calculs[[#This Row],[index_date_livraison]]-1,6)*(MAX(Tab_Calculs[[#This Row],[Début periode livraison]],Tab_Calculs[[#This Row],[Début mois]])-Tab_Calculs[[#This Row],[Début mois]])</f>
        <v>#VALUE!</v>
      </c>
      <c r="L598" s="94">
        <f ca="1">INDEX(INDIRECT(CONCATENATE("Tab_",Tab_Calculs[[#This Row],[Colonne1]])),Tab_Calculs[[#This Row],[index_date_livraison]],6)*(1+MIN(Tab_Calculs[[#This Row],[Date_livraison]],Tab_Calculs[[#This Row],[fin mois]])-MAX(Tab_Calculs[[#This Row],[Début mois]],Tab_Calculs[[#This Row],[Début periode livraison]]))</f>
        <v>0</v>
      </c>
      <c r="M598" s="94" t="e">
        <f ca="1">INDEX(INDIRECT(CONCATENATE("Tab_",Tab_Calculs[[#This Row],[Colonne1]])),Tab_Calculs[[#This Row],[index_date_livraison]]+1,6)*(Tab_Calculs[[#This Row],[fin mois]]-MIN(Tab_Calculs[[#This Row],[fin mois]],Tab_Calculs[[#This Row],[Date_livraison]]))</f>
        <v>#VALUE!</v>
      </c>
      <c r="N598" s="231" t="str">
        <f ca="1">IFERROR(Tab_Calculs[[#This Row],[Ratio_jour_après_livr]]+Tab_Calculs[[#This Row],[Ratio_jour_avant_livr]]+Tab_Calculs[[#This Row],[ratio_avant_debut]],"")</f>
        <v/>
      </c>
      <c r="O598" t="e">
        <f ca="1">INDEX(INDIRECT(CONCATENATE("Tab_",Tab_Calculs[[#This Row],[Colonne1]])),Tab_Calculs[[#This Row],[index_date_livraison]]-1,7)*(MAX(Tab_Calculs[[#This Row],[Début periode livraison]],Tab_Calculs[[#This Row],[Début mois]])-Tab_Calculs[[#This Row],[Début mois]])</f>
        <v>#VALUE!</v>
      </c>
      <c r="P598">
        <f ca="1">INDEX(INDIRECT(CONCATENATE("Tab_",Tab_Calculs[[#This Row],[Colonne1]])),Tab_Calculs[[#This Row],[index_date_livraison]],7)*(1+MIN(Tab_Calculs[[#This Row],[Date_livraison]],Tab_Calculs[[#This Row],[fin mois]])-MAX(Tab_Calculs[[#This Row],[Début mois]],Tab_Calculs[[#This Row],[Début periode livraison]]))</f>
        <v>0</v>
      </c>
      <c r="Q598" t="e">
        <f ca="1">INDEX(INDIRECT(CONCATENATE("Tab_",Tab_Calculs[[#This Row],[Colonne1]])),Tab_Calculs[[#This Row],[index_date_livraison]]+1,7)*(Tab_Calculs[[#This Row],[fin mois]]-MIN(Tab_Calculs[[#This Row],[fin mois]],Tab_Calculs[[#This Row],[Date_livraison]]))</f>
        <v>#VALUE!</v>
      </c>
      <c r="R598" t="e">
        <f ca="1">Tab_Calculs[[#This Row],[Ratio_Cout_après_livr]]+Tab_Calculs[[#This Row],[Ratio_Cout_avant_livr]]+Tab_Calculs[[#This Row],[Ratio_Cout_avant_debut]]</f>
        <v>#VALUE!</v>
      </c>
      <c r="S598" t="str">
        <f ca="1">IFERROR(N598*VLOOKUP(Tab_Calculs[[#This Row],[Colonne1]],Controle_des_données!$B$7:$G$14,6,FALSE),"")</f>
        <v/>
      </c>
      <c r="T598" t="str">
        <f ca="1">IF(Tab_Calculs[[#This Row],[Combustible ]]="Electricité (kWh)",Tab_Calculs[[#This Row],[Conso_mois_kWh]]*2.3,Tab_Calculs[[#This Row],[Conso_mois_kWh]])</f>
        <v/>
      </c>
      <c r="U598" t="str">
        <f ca="1">IFERROR(N598*VLOOKUP(Tab_Calculs[[#This Row],[Colonne1]],Controle_des_données!$B$7:$H$14,7,FALSE),"")</f>
        <v/>
      </c>
      <c r="V598">
        <f ca="1">IFERROR(Tab_Calculs[[#This Row],[Cout_mois]]/Tab_Calculs[[#This Row],[Conso_mois_kWh]],0)</f>
        <v>0</v>
      </c>
      <c r="W598" t="str">
        <f>T(VLOOKUP(Tab_Calculs[[#This Row],[Compteur]],Site!$B$33:$G$40,3,FALSE))</f>
        <v/>
      </c>
      <c r="X598" t="str">
        <f>T(VLOOKUP(Tab_Calculs[[#This Row],[Compteur]],Site!$B$33:$G$40,4,FALSE))</f>
        <v/>
      </c>
      <c r="Y598" t="str">
        <f>T(VLOOKUP(Tab_Calculs[[#This Row],[Compteur]],Site!$B$33:$G$40,5,FALSE))</f>
        <v/>
      </c>
      <c r="Z598" t="str">
        <f>T(VLOOKUP(Tab_Calculs[[#This Row],[Compteur]],Site!$B$33:$G$40,6,FALSE))</f>
        <v/>
      </c>
      <c r="AA598">
        <f>IFERROR(GETPIVOTDATA("DJU(chauffagiste)",BDD_DJU!$P$13,"annee",Tab_Calculs[[#This Row],[ANNEE]],"mois_numero",Tab_Calculs[[#This Row],[MOIS]]),0)</f>
        <v>299.10000000000002</v>
      </c>
    </row>
    <row r="599" spans="1:27" x14ac:dyDescent="0.25">
      <c r="A599" s="3">
        <f>DATE(Tab_Calculs[[#This Row],[ANNEE]],Tab_Calculs[[#This Row],[MOIS]],1)</f>
        <v>40603</v>
      </c>
      <c r="B599" s="3">
        <f>EDATE(Tab_Calculs[[#This Row],[Début mois]],1)-1</f>
        <v>40633</v>
      </c>
      <c r="C599">
        <v>3</v>
      </c>
      <c r="D599">
        <v>2011</v>
      </c>
      <c r="E599" t="s">
        <v>83</v>
      </c>
      <c r="F599" t="str">
        <f>SUBSTITUTE(Tab_Calculs[[#This Row],[Compteur]]," ","_")</f>
        <v>Compteur_4</v>
      </c>
      <c r="G599" t="str">
        <f>T(INDEX(Site!$B$33:$G$40, MATCH(Tab_Calculs[[#This Row],[Compteur]], Site!$B$33:$B$40,0),2))</f>
        <v/>
      </c>
      <c r="H599" s="3">
        <f t="array" aca="1" ref="H599" ca="1">MIN(IF(INDIRECT(CONCATENATE(Tab_Calculs[[#This Row],[Colonne1]],"!$B$2:$B$243"))&gt;=Calculs_Consos!$A599,INDIRECT(CONCATENATE(Tab_Calculs[[#This Row],[Colonne1]],"!$B$2:$B$243"))))</f>
        <v>0</v>
      </c>
      <c r="I599" s="3">
        <f ca="1">INDEX(INDIRECT(CONCATENATE("Tab_",Tab_Calculs[[#This Row],[Colonne1]])),Tab_Calculs[[#This Row],[index_date_livraison]],1)</f>
        <v>0</v>
      </c>
      <c r="J599">
        <f ca="1">MATCH(Tab_Calculs[[#This Row],[Date_livraison]],INDIRECT(CONCATENATE("Tab_",Tab_Calculs[[#This Row],[Colonne1]],"[Fin de période]")),0)</f>
        <v>1</v>
      </c>
      <c r="K599" t="e">
        <f ca="1">INDEX(INDIRECT(CONCATENATE("Tab_",Tab_Calculs[[#This Row],[Colonne1]])),Tab_Calculs[[#This Row],[index_date_livraison]]-1,6)*(MAX(Tab_Calculs[[#This Row],[Début periode livraison]],Tab_Calculs[[#This Row],[Début mois]])-Tab_Calculs[[#This Row],[Début mois]])</f>
        <v>#VALUE!</v>
      </c>
      <c r="L599" s="94">
        <f ca="1">INDEX(INDIRECT(CONCATENATE("Tab_",Tab_Calculs[[#This Row],[Colonne1]])),Tab_Calculs[[#This Row],[index_date_livraison]],6)*(1+MIN(Tab_Calculs[[#This Row],[Date_livraison]],Tab_Calculs[[#This Row],[fin mois]])-MAX(Tab_Calculs[[#This Row],[Début mois]],Tab_Calculs[[#This Row],[Début periode livraison]]))</f>
        <v>0</v>
      </c>
      <c r="M599" s="94" t="e">
        <f ca="1">INDEX(INDIRECT(CONCATENATE("Tab_",Tab_Calculs[[#This Row],[Colonne1]])),Tab_Calculs[[#This Row],[index_date_livraison]]+1,6)*(Tab_Calculs[[#This Row],[fin mois]]-MIN(Tab_Calculs[[#This Row],[fin mois]],Tab_Calculs[[#This Row],[Date_livraison]]))</f>
        <v>#VALUE!</v>
      </c>
      <c r="N599" s="231" t="str">
        <f ca="1">IFERROR(Tab_Calculs[[#This Row],[Ratio_jour_après_livr]]+Tab_Calculs[[#This Row],[Ratio_jour_avant_livr]]+Tab_Calculs[[#This Row],[ratio_avant_debut]],"")</f>
        <v/>
      </c>
      <c r="O599" t="e">
        <f ca="1">INDEX(INDIRECT(CONCATENATE("Tab_",Tab_Calculs[[#This Row],[Colonne1]])),Tab_Calculs[[#This Row],[index_date_livraison]]-1,7)*(MAX(Tab_Calculs[[#This Row],[Début periode livraison]],Tab_Calculs[[#This Row],[Début mois]])-Tab_Calculs[[#This Row],[Début mois]])</f>
        <v>#VALUE!</v>
      </c>
      <c r="P599">
        <f ca="1">INDEX(INDIRECT(CONCATENATE("Tab_",Tab_Calculs[[#This Row],[Colonne1]])),Tab_Calculs[[#This Row],[index_date_livraison]],7)*(1+MIN(Tab_Calculs[[#This Row],[Date_livraison]],Tab_Calculs[[#This Row],[fin mois]])-MAX(Tab_Calculs[[#This Row],[Début mois]],Tab_Calculs[[#This Row],[Début periode livraison]]))</f>
        <v>0</v>
      </c>
      <c r="Q599" t="e">
        <f ca="1">INDEX(INDIRECT(CONCATENATE("Tab_",Tab_Calculs[[#This Row],[Colonne1]])),Tab_Calculs[[#This Row],[index_date_livraison]]+1,7)*(Tab_Calculs[[#This Row],[fin mois]]-MIN(Tab_Calculs[[#This Row],[fin mois]],Tab_Calculs[[#This Row],[Date_livraison]]))</f>
        <v>#VALUE!</v>
      </c>
      <c r="R599" t="e">
        <f ca="1">Tab_Calculs[[#This Row],[Ratio_Cout_après_livr]]+Tab_Calculs[[#This Row],[Ratio_Cout_avant_livr]]+Tab_Calculs[[#This Row],[Ratio_Cout_avant_debut]]</f>
        <v>#VALUE!</v>
      </c>
      <c r="S599" t="str">
        <f ca="1">IFERROR(N599*VLOOKUP(Tab_Calculs[[#This Row],[Colonne1]],Controle_des_données!$B$7:$G$14,6,FALSE),"")</f>
        <v/>
      </c>
      <c r="T599" t="str">
        <f ca="1">IF(Tab_Calculs[[#This Row],[Combustible ]]="Electricité (kWh)",Tab_Calculs[[#This Row],[Conso_mois_kWh]]*2.3,Tab_Calculs[[#This Row],[Conso_mois_kWh]])</f>
        <v/>
      </c>
      <c r="U599" t="str">
        <f ca="1">IFERROR(N599*VLOOKUP(Tab_Calculs[[#This Row],[Colonne1]],Controle_des_données!$B$7:$H$14,7,FALSE),"")</f>
        <v/>
      </c>
      <c r="V599">
        <f ca="1">IFERROR(Tab_Calculs[[#This Row],[Cout_mois]]/Tab_Calculs[[#This Row],[Conso_mois_kWh]],0)</f>
        <v>0</v>
      </c>
      <c r="W599" t="str">
        <f>T(VLOOKUP(Tab_Calculs[[#This Row],[Compteur]],Site!$B$33:$G$40,3,FALSE))</f>
        <v/>
      </c>
      <c r="X599" t="str">
        <f>T(VLOOKUP(Tab_Calculs[[#This Row],[Compteur]],Site!$B$33:$G$40,4,FALSE))</f>
        <v/>
      </c>
      <c r="Y599" t="str">
        <f>T(VLOOKUP(Tab_Calculs[[#This Row],[Compteur]],Site!$B$33:$G$40,5,FALSE))</f>
        <v/>
      </c>
      <c r="Z599" t="str">
        <f>T(VLOOKUP(Tab_Calculs[[#This Row],[Compteur]],Site!$B$33:$G$40,6,FALSE))</f>
        <v/>
      </c>
      <c r="AA599">
        <f>IFERROR(GETPIVOTDATA("DJU(chauffagiste)",BDD_DJU!$P$13,"annee",Tab_Calculs[[#This Row],[ANNEE]],"mois_numero",Tab_Calculs[[#This Row],[MOIS]]),0)</f>
        <v>266.5</v>
      </c>
    </row>
    <row r="600" spans="1:27" x14ac:dyDescent="0.25">
      <c r="A600" s="3">
        <f>DATE(Tab_Calculs[[#This Row],[ANNEE]],Tab_Calculs[[#This Row],[MOIS]],1)</f>
        <v>40634</v>
      </c>
      <c r="B600" s="3">
        <f>EDATE(Tab_Calculs[[#This Row],[Début mois]],1)-1</f>
        <v>40663</v>
      </c>
      <c r="C600">
        <v>4</v>
      </c>
      <c r="D600">
        <v>2011</v>
      </c>
      <c r="E600" t="s">
        <v>83</v>
      </c>
      <c r="F600" t="str">
        <f>SUBSTITUTE(Tab_Calculs[[#This Row],[Compteur]]," ","_")</f>
        <v>Compteur_4</v>
      </c>
      <c r="G600" t="str">
        <f>T(INDEX(Site!$B$33:$G$40, MATCH(Tab_Calculs[[#This Row],[Compteur]], Site!$B$33:$B$40,0),2))</f>
        <v/>
      </c>
      <c r="H600" s="3">
        <f t="array" aca="1" ref="H600" ca="1">MIN(IF(INDIRECT(CONCATENATE(Tab_Calculs[[#This Row],[Colonne1]],"!$B$2:$B$243"))&gt;=Calculs_Consos!$A600,INDIRECT(CONCATENATE(Tab_Calculs[[#This Row],[Colonne1]],"!$B$2:$B$243"))))</f>
        <v>0</v>
      </c>
      <c r="I600" s="3">
        <f ca="1">INDEX(INDIRECT(CONCATENATE("Tab_",Tab_Calculs[[#This Row],[Colonne1]])),Tab_Calculs[[#This Row],[index_date_livraison]],1)</f>
        <v>0</v>
      </c>
      <c r="J600">
        <f ca="1">MATCH(Tab_Calculs[[#This Row],[Date_livraison]],INDIRECT(CONCATENATE("Tab_",Tab_Calculs[[#This Row],[Colonne1]],"[Fin de période]")),0)</f>
        <v>1</v>
      </c>
      <c r="K600" t="e">
        <f ca="1">INDEX(INDIRECT(CONCATENATE("Tab_",Tab_Calculs[[#This Row],[Colonne1]])),Tab_Calculs[[#This Row],[index_date_livraison]]-1,6)*(MAX(Tab_Calculs[[#This Row],[Début periode livraison]],Tab_Calculs[[#This Row],[Début mois]])-Tab_Calculs[[#This Row],[Début mois]])</f>
        <v>#VALUE!</v>
      </c>
      <c r="L600" s="94">
        <f ca="1">INDEX(INDIRECT(CONCATENATE("Tab_",Tab_Calculs[[#This Row],[Colonne1]])),Tab_Calculs[[#This Row],[index_date_livraison]],6)*(1+MIN(Tab_Calculs[[#This Row],[Date_livraison]],Tab_Calculs[[#This Row],[fin mois]])-MAX(Tab_Calculs[[#This Row],[Début mois]],Tab_Calculs[[#This Row],[Début periode livraison]]))</f>
        <v>0</v>
      </c>
      <c r="M600" s="94" t="e">
        <f ca="1">INDEX(INDIRECT(CONCATENATE("Tab_",Tab_Calculs[[#This Row],[Colonne1]])),Tab_Calculs[[#This Row],[index_date_livraison]]+1,6)*(Tab_Calculs[[#This Row],[fin mois]]-MIN(Tab_Calculs[[#This Row],[fin mois]],Tab_Calculs[[#This Row],[Date_livraison]]))</f>
        <v>#VALUE!</v>
      </c>
      <c r="N600" s="231" t="str">
        <f ca="1">IFERROR(Tab_Calculs[[#This Row],[Ratio_jour_après_livr]]+Tab_Calculs[[#This Row],[Ratio_jour_avant_livr]]+Tab_Calculs[[#This Row],[ratio_avant_debut]],"")</f>
        <v/>
      </c>
      <c r="O600" t="e">
        <f ca="1">INDEX(INDIRECT(CONCATENATE("Tab_",Tab_Calculs[[#This Row],[Colonne1]])),Tab_Calculs[[#This Row],[index_date_livraison]]-1,7)*(MAX(Tab_Calculs[[#This Row],[Début periode livraison]],Tab_Calculs[[#This Row],[Début mois]])-Tab_Calculs[[#This Row],[Début mois]])</f>
        <v>#VALUE!</v>
      </c>
      <c r="P600">
        <f ca="1">INDEX(INDIRECT(CONCATENATE("Tab_",Tab_Calculs[[#This Row],[Colonne1]])),Tab_Calculs[[#This Row],[index_date_livraison]],7)*(1+MIN(Tab_Calculs[[#This Row],[Date_livraison]],Tab_Calculs[[#This Row],[fin mois]])-MAX(Tab_Calculs[[#This Row],[Début mois]],Tab_Calculs[[#This Row],[Début periode livraison]]))</f>
        <v>0</v>
      </c>
      <c r="Q600" t="e">
        <f ca="1">INDEX(INDIRECT(CONCATENATE("Tab_",Tab_Calculs[[#This Row],[Colonne1]])),Tab_Calculs[[#This Row],[index_date_livraison]]+1,7)*(Tab_Calculs[[#This Row],[fin mois]]-MIN(Tab_Calculs[[#This Row],[fin mois]],Tab_Calculs[[#This Row],[Date_livraison]]))</f>
        <v>#VALUE!</v>
      </c>
      <c r="R600" t="e">
        <f ca="1">Tab_Calculs[[#This Row],[Ratio_Cout_après_livr]]+Tab_Calculs[[#This Row],[Ratio_Cout_avant_livr]]+Tab_Calculs[[#This Row],[Ratio_Cout_avant_debut]]</f>
        <v>#VALUE!</v>
      </c>
      <c r="S600" t="str">
        <f ca="1">IFERROR(N600*VLOOKUP(Tab_Calculs[[#This Row],[Colonne1]],Controle_des_données!$B$7:$G$14,6,FALSE),"")</f>
        <v/>
      </c>
      <c r="T600" t="str">
        <f ca="1">IF(Tab_Calculs[[#This Row],[Combustible ]]="Electricité (kWh)",Tab_Calculs[[#This Row],[Conso_mois_kWh]]*2.3,Tab_Calculs[[#This Row],[Conso_mois_kWh]])</f>
        <v/>
      </c>
      <c r="U600" t="str">
        <f ca="1">IFERROR(N600*VLOOKUP(Tab_Calculs[[#This Row],[Colonne1]],Controle_des_données!$B$7:$H$14,7,FALSE),"")</f>
        <v/>
      </c>
      <c r="V600">
        <f ca="1">IFERROR(Tab_Calculs[[#This Row],[Cout_mois]]/Tab_Calculs[[#This Row],[Conso_mois_kWh]],0)</f>
        <v>0</v>
      </c>
      <c r="W600" t="str">
        <f>T(VLOOKUP(Tab_Calculs[[#This Row],[Compteur]],Site!$B$33:$G$40,3,FALSE))</f>
        <v/>
      </c>
      <c r="X600" t="str">
        <f>T(VLOOKUP(Tab_Calculs[[#This Row],[Compteur]],Site!$B$33:$G$40,4,FALSE))</f>
        <v/>
      </c>
      <c r="Y600" t="str">
        <f>T(VLOOKUP(Tab_Calculs[[#This Row],[Compteur]],Site!$B$33:$G$40,5,FALSE))</f>
        <v/>
      </c>
      <c r="Z600" t="str">
        <f>T(VLOOKUP(Tab_Calculs[[#This Row],[Compteur]],Site!$B$33:$G$40,6,FALSE))</f>
        <v/>
      </c>
      <c r="AA600">
        <f>IFERROR(GETPIVOTDATA("DJU(chauffagiste)",BDD_DJU!$P$13,"annee",Tab_Calculs[[#This Row],[ANNEE]],"mois_numero",Tab_Calculs[[#This Row],[MOIS]]),0)</f>
        <v>136.19999999999999</v>
      </c>
    </row>
    <row r="601" spans="1:27" x14ac:dyDescent="0.25">
      <c r="A601" s="3">
        <f>DATE(Tab_Calculs[[#This Row],[ANNEE]],Tab_Calculs[[#This Row],[MOIS]],1)</f>
        <v>40664</v>
      </c>
      <c r="B601" s="3">
        <f>EDATE(Tab_Calculs[[#This Row],[Début mois]],1)-1</f>
        <v>40694</v>
      </c>
      <c r="C601">
        <v>5</v>
      </c>
      <c r="D601">
        <v>2011</v>
      </c>
      <c r="E601" t="s">
        <v>83</v>
      </c>
      <c r="F601" t="str">
        <f>SUBSTITUTE(Tab_Calculs[[#This Row],[Compteur]]," ","_")</f>
        <v>Compteur_4</v>
      </c>
      <c r="G601" t="str">
        <f>T(INDEX(Site!$B$33:$G$40, MATCH(Tab_Calculs[[#This Row],[Compteur]], Site!$B$33:$B$40,0),2))</f>
        <v/>
      </c>
      <c r="H601" s="3">
        <f t="array" aca="1" ref="H601" ca="1">MIN(IF(INDIRECT(CONCATENATE(Tab_Calculs[[#This Row],[Colonne1]],"!$B$2:$B$243"))&gt;=Calculs_Consos!$A601,INDIRECT(CONCATENATE(Tab_Calculs[[#This Row],[Colonne1]],"!$B$2:$B$243"))))</f>
        <v>0</v>
      </c>
      <c r="I601" s="3">
        <f ca="1">INDEX(INDIRECT(CONCATENATE("Tab_",Tab_Calculs[[#This Row],[Colonne1]])),Tab_Calculs[[#This Row],[index_date_livraison]],1)</f>
        <v>0</v>
      </c>
      <c r="J601">
        <f ca="1">MATCH(Tab_Calculs[[#This Row],[Date_livraison]],INDIRECT(CONCATENATE("Tab_",Tab_Calculs[[#This Row],[Colonne1]],"[Fin de période]")),0)</f>
        <v>1</v>
      </c>
      <c r="K601" t="e">
        <f ca="1">INDEX(INDIRECT(CONCATENATE("Tab_",Tab_Calculs[[#This Row],[Colonne1]])),Tab_Calculs[[#This Row],[index_date_livraison]]-1,6)*(MAX(Tab_Calculs[[#This Row],[Début periode livraison]],Tab_Calculs[[#This Row],[Début mois]])-Tab_Calculs[[#This Row],[Début mois]])</f>
        <v>#VALUE!</v>
      </c>
      <c r="L601" s="94">
        <f ca="1">INDEX(INDIRECT(CONCATENATE("Tab_",Tab_Calculs[[#This Row],[Colonne1]])),Tab_Calculs[[#This Row],[index_date_livraison]],6)*(1+MIN(Tab_Calculs[[#This Row],[Date_livraison]],Tab_Calculs[[#This Row],[fin mois]])-MAX(Tab_Calculs[[#This Row],[Début mois]],Tab_Calculs[[#This Row],[Début periode livraison]]))</f>
        <v>0</v>
      </c>
      <c r="M601" s="94" t="e">
        <f ca="1">INDEX(INDIRECT(CONCATENATE("Tab_",Tab_Calculs[[#This Row],[Colonne1]])),Tab_Calculs[[#This Row],[index_date_livraison]]+1,6)*(Tab_Calculs[[#This Row],[fin mois]]-MIN(Tab_Calculs[[#This Row],[fin mois]],Tab_Calculs[[#This Row],[Date_livraison]]))</f>
        <v>#VALUE!</v>
      </c>
      <c r="N601" s="231" t="str">
        <f ca="1">IFERROR(Tab_Calculs[[#This Row],[Ratio_jour_après_livr]]+Tab_Calculs[[#This Row],[Ratio_jour_avant_livr]]+Tab_Calculs[[#This Row],[ratio_avant_debut]],"")</f>
        <v/>
      </c>
      <c r="O601" t="e">
        <f ca="1">INDEX(INDIRECT(CONCATENATE("Tab_",Tab_Calculs[[#This Row],[Colonne1]])),Tab_Calculs[[#This Row],[index_date_livraison]]-1,7)*(MAX(Tab_Calculs[[#This Row],[Début periode livraison]],Tab_Calculs[[#This Row],[Début mois]])-Tab_Calculs[[#This Row],[Début mois]])</f>
        <v>#VALUE!</v>
      </c>
      <c r="P601">
        <f ca="1">INDEX(INDIRECT(CONCATENATE("Tab_",Tab_Calculs[[#This Row],[Colonne1]])),Tab_Calculs[[#This Row],[index_date_livraison]],7)*(1+MIN(Tab_Calculs[[#This Row],[Date_livraison]],Tab_Calculs[[#This Row],[fin mois]])-MAX(Tab_Calculs[[#This Row],[Début mois]],Tab_Calculs[[#This Row],[Début periode livraison]]))</f>
        <v>0</v>
      </c>
      <c r="Q601" t="e">
        <f ca="1">INDEX(INDIRECT(CONCATENATE("Tab_",Tab_Calculs[[#This Row],[Colonne1]])),Tab_Calculs[[#This Row],[index_date_livraison]]+1,7)*(Tab_Calculs[[#This Row],[fin mois]]-MIN(Tab_Calculs[[#This Row],[fin mois]],Tab_Calculs[[#This Row],[Date_livraison]]))</f>
        <v>#VALUE!</v>
      </c>
      <c r="R601" t="e">
        <f ca="1">Tab_Calculs[[#This Row],[Ratio_Cout_après_livr]]+Tab_Calculs[[#This Row],[Ratio_Cout_avant_livr]]+Tab_Calculs[[#This Row],[Ratio_Cout_avant_debut]]</f>
        <v>#VALUE!</v>
      </c>
      <c r="S601" t="str">
        <f ca="1">IFERROR(N601*VLOOKUP(Tab_Calculs[[#This Row],[Colonne1]],Controle_des_données!$B$7:$G$14,6,FALSE),"")</f>
        <v/>
      </c>
      <c r="T601" t="str">
        <f ca="1">IF(Tab_Calculs[[#This Row],[Combustible ]]="Electricité (kWh)",Tab_Calculs[[#This Row],[Conso_mois_kWh]]*2.3,Tab_Calculs[[#This Row],[Conso_mois_kWh]])</f>
        <v/>
      </c>
      <c r="U601" t="str">
        <f ca="1">IFERROR(N601*VLOOKUP(Tab_Calculs[[#This Row],[Colonne1]],Controle_des_données!$B$7:$H$14,7,FALSE),"")</f>
        <v/>
      </c>
      <c r="V601">
        <f ca="1">IFERROR(Tab_Calculs[[#This Row],[Cout_mois]]/Tab_Calculs[[#This Row],[Conso_mois_kWh]],0)</f>
        <v>0</v>
      </c>
      <c r="W601" t="str">
        <f>T(VLOOKUP(Tab_Calculs[[#This Row],[Compteur]],Site!$B$33:$G$40,3,FALSE))</f>
        <v/>
      </c>
      <c r="X601" t="str">
        <f>T(VLOOKUP(Tab_Calculs[[#This Row],[Compteur]],Site!$B$33:$G$40,4,FALSE))</f>
        <v/>
      </c>
      <c r="Y601" t="str">
        <f>T(VLOOKUP(Tab_Calculs[[#This Row],[Compteur]],Site!$B$33:$G$40,5,FALSE))</f>
        <v/>
      </c>
      <c r="Z601" t="str">
        <f>T(VLOOKUP(Tab_Calculs[[#This Row],[Compteur]],Site!$B$33:$G$40,6,FALSE))</f>
        <v/>
      </c>
      <c r="AA601">
        <f>IFERROR(GETPIVOTDATA("DJU(chauffagiste)",BDD_DJU!$P$13,"annee",Tab_Calculs[[#This Row],[ANNEE]],"mois_numero",Tab_Calculs[[#This Row],[MOIS]]),0)</f>
        <v>91.9</v>
      </c>
    </row>
    <row r="602" spans="1:27" x14ac:dyDescent="0.25">
      <c r="A602" s="3">
        <f>DATE(Tab_Calculs[[#This Row],[ANNEE]],Tab_Calculs[[#This Row],[MOIS]],1)</f>
        <v>40695</v>
      </c>
      <c r="B602" s="3">
        <f>EDATE(Tab_Calculs[[#This Row],[Début mois]],1)-1</f>
        <v>40724</v>
      </c>
      <c r="C602">
        <v>6</v>
      </c>
      <c r="D602">
        <v>2011</v>
      </c>
      <c r="E602" t="s">
        <v>83</v>
      </c>
      <c r="F602" t="str">
        <f>SUBSTITUTE(Tab_Calculs[[#This Row],[Compteur]]," ","_")</f>
        <v>Compteur_4</v>
      </c>
      <c r="G602" t="str">
        <f>T(INDEX(Site!$B$33:$G$40, MATCH(Tab_Calculs[[#This Row],[Compteur]], Site!$B$33:$B$40,0),2))</f>
        <v/>
      </c>
      <c r="H602" s="3">
        <f t="array" aca="1" ref="H602" ca="1">MIN(IF(INDIRECT(CONCATENATE(Tab_Calculs[[#This Row],[Colonne1]],"!$B$2:$B$243"))&gt;=Calculs_Consos!$A602,INDIRECT(CONCATENATE(Tab_Calculs[[#This Row],[Colonne1]],"!$B$2:$B$243"))))</f>
        <v>0</v>
      </c>
      <c r="I602" s="3">
        <f ca="1">INDEX(INDIRECT(CONCATENATE("Tab_",Tab_Calculs[[#This Row],[Colonne1]])),Tab_Calculs[[#This Row],[index_date_livraison]],1)</f>
        <v>0</v>
      </c>
      <c r="J602">
        <f ca="1">MATCH(Tab_Calculs[[#This Row],[Date_livraison]],INDIRECT(CONCATENATE("Tab_",Tab_Calculs[[#This Row],[Colonne1]],"[Fin de période]")),0)</f>
        <v>1</v>
      </c>
      <c r="K602" t="e">
        <f ca="1">INDEX(INDIRECT(CONCATENATE("Tab_",Tab_Calculs[[#This Row],[Colonne1]])),Tab_Calculs[[#This Row],[index_date_livraison]]-1,6)*(MAX(Tab_Calculs[[#This Row],[Début periode livraison]],Tab_Calculs[[#This Row],[Début mois]])-Tab_Calculs[[#This Row],[Début mois]])</f>
        <v>#VALUE!</v>
      </c>
      <c r="L602" s="94">
        <f ca="1">INDEX(INDIRECT(CONCATENATE("Tab_",Tab_Calculs[[#This Row],[Colonne1]])),Tab_Calculs[[#This Row],[index_date_livraison]],6)*(1+MIN(Tab_Calculs[[#This Row],[Date_livraison]],Tab_Calculs[[#This Row],[fin mois]])-MAX(Tab_Calculs[[#This Row],[Début mois]],Tab_Calculs[[#This Row],[Début periode livraison]]))</f>
        <v>0</v>
      </c>
      <c r="M602" s="94" t="e">
        <f ca="1">INDEX(INDIRECT(CONCATENATE("Tab_",Tab_Calculs[[#This Row],[Colonne1]])),Tab_Calculs[[#This Row],[index_date_livraison]]+1,6)*(Tab_Calculs[[#This Row],[fin mois]]-MIN(Tab_Calculs[[#This Row],[fin mois]],Tab_Calculs[[#This Row],[Date_livraison]]))</f>
        <v>#VALUE!</v>
      </c>
      <c r="N602" s="231" t="str">
        <f ca="1">IFERROR(Tab_Calculs[[#This Row],[Ratio_jour_après_livr]]+Tab_Calculs[[#This Row],[Ratio_jour_avant_livr]]+Tab_Calculs[[#This Row],[ratio_avant_debut]],"")</f>
        <v/>
      </c>
      <c r="O602" t="e">
        <f ca="1">INDEX(INDIRECT(CONCATENATE("Tab_",Tab_Calculs[[#This Row],[Colonne1]])),Tab_Calculs[[#This Row],[index_date_livraison]]-1,7)*(MAX(Tab_Calculs[[#This Row],[Début periode livraison]],Tab_Calculs[[#This Row],[Début mois]])-Tab_Calculs[[#This Row],[Début mois]])</f>
        <v>#VALUE!</v>
      </c>
      <c r="P602">
        <f ca="1">INDEX(INDIRECT(CONCATENATE("Tab_",Tab_Calculs[[#This Row],[Colonne1]])),Tab_Calculs[[#This Row],[index_date_livraison]],7)*(1+MIN(Tab_Calculs[[#This Row],[Date_livraison]],Tab_Calculs[[#This Row],[fin mois]])-MAX(Tab_Calculs[[#This Row],[Début mois]],Tab_Calculs[[#This Row],[Début periode livraison]]))</f>
        <v>0</v>
      </c>
      <c r="Q602" t="e">
        <f ca="1">INDEX(INDIRECT(CONCATENATE("Tab_",Tab_Calculs[[#This Row],[Colonne1]])),Tab_Calculs[[#This Row],[index_date_livraison]]+1,7)*(Tab_Calculs[[#This Row],[fin mois]]-MIN(Tab_Calculs[[#This Row],[fin mois]],Tab_Calculs[[#This Row],[Date_livraison]]))</f>
        <v>#VALUE!</v>
      </c>
      <c r="R602" t="e">
        <f ca="1">Tab_Calculs[[#This Row],[Ratio_Cout_après_livr]]+Tab_Calculs[[#This Row],[Ratio_Cout_avant_livr]]+Tab_Calculs[[#This Row],[Ratio_Cout_avant_debut]]</f>
        <v>#VALUE!</v>
      </c>
      <c r="S602" t="str">
        <f ca="1">IFERROR(N602*VLOOKUP(Tab_Calculs[[#This Row],[Colonne1]],Controle_des_données!$B$7:$G$14,6,FALSE),"")</f>
        <v/>
      </c>
      <c r="T602" t="str">
        <f ca="1">IF(Tab_Calculs[[#This Row],[Combustible ]]="Electricité (kWh)",Tab_Calculs[[#This Row],[Conso_mois_kWh]]*2.3,Tab_Calculs[[#This Row],[Conso_mois_kWh]])</f>
        <v/>
      </c>
      <c r="U602" t="str">
        <f ca="1">IFERROR(N602*VLOOKUP(Tab_Calculs[[#This Row],[Colonne1]],Controle_des_données!$B$7:$H$14,7,FALSE),"")</f>
        <v/>
      </c>
      <c r="V602">
        <f ca="1">IFERROR(Tab_Calculs[[#This Row],[Cout_mois]]/Tab_Calculs[[#This Row],[Conso_mois_kWh]],0)</f>
        <v>0</v>
      </c>
      <c r="W602" t="str">
        <f>T(VLOOKUP(Tab_Calculs[[#This Row],[Compteur]],Site!$B$33:$G$40,3,FALSE))</f>
        <v/>
      </c>
      <c r="X602" t="str">
        <f>T(VLOOKUP(Tab_Calculs[[#This Row],[Compteur]],Site!$B$33:$G$40,4,FALSE))</f>
        <v/>
      </c>
      <c r="Y602" t="str">
        <f>T(VLOOKUP(Tab_Calculs[[#This Row],[Compteur]],Site!$B$33:$G$40,5,FALSE))</f>
        <v/>
      </c>
      <c r="Z602" t="str">
        <f>T(VLOOKUP(Tab_Calculs[[#This Row],[Compteur]],Site!$B$33:$G$40,6,FALSE))</f>
        <v/>
      </c>
      <c r="AA602">
        <f>IFERROR(GETPIVOTDATA("DJU(chauffagiste)",BDD_DJU!$P$13,"annee",Tab_Calculs[[#This Row],[ANNEE]],"mois_numero",Tab_Calculs[[#This Row],[MOIS]]),0)</f>
        <v>55.8</v>
      </c>
    </row>
    <row r="603" spans="1:27" x14ac:dyDescent="0.25">
      <c r="A603" s="3">
        <f>DATE(Tab_Calculs[[#This Row],[ANNEE]],Tab_Calculs[[#This Row],[MOIS]],1)</f>
        <v>40725</v>
      </c>
      <c r="B603" s="3">
        <f>EDATE(Tab_Calculs[[#This Row],[Début mois]],1)-1</f>
        <v>40755</v>
      </c>
      <c r="C603">
        <v>7</v>
      </c>
      <c r="D603">
        <v>2011</v>
      </c>
      <c r="E603" t="s">
        <v>83</v>
      </c>
      <c r="F603" t="str">
        <f>SUBSTITUTE(Tab_Calculs[[#This Row],[Compteur]]," ","_")</f>
        <v>Compteur_4</v>
      </c>
      <c r="G603" t="str">
        <f>T(INDEX(Site!$B$33:$G$40, MATCH(Tab_Calculs[[#This Row],[Compteur]], Site!$B$33:$B$40,0),2))</f>
        <v/>
      </c>
      <c r="H603" s="3">
        <f t="array" aca="1" ref="H603" ca="1">MIN(IF(INDIRECT(CONCATENATE(Tab_Calculs[[#This Row],[Colonne1]],"!$B$2:$B$243"))&gt;=Calculs_Consos!$A603,INDIRECT(CONCATENATE(Tab_Calculs[[#This Row],[Colonne1]],"!$B$2:$B$243"))))</f>
        <v>0</v>
      </c>
      <c r="I603" s="3">
        <f ca="1">INDEX(INDIRECT(CONCATENATE("Tab_",Tab_Calculs[[#This Row],[Colonne1]])),Tab_Calculs[[#This Row],[index_date_livraison]],1)</f>
        <v>0</v>
      </c>
      <c r="J603">
        <f ca="1">MATCH(Tab_Calculs[[#This Row],[Date_livraison]],INDIRECT(CONCATENATE("Tab_",Tab_Calculs[[#This Row],[Colonne1]],"[Fin de période]")),0)</f>
        <v>1</v>
      </c>
      <c r="K603" t="e">
        <f ca="1">INDEX(INDIRECT(CONCATENATE("Tab_",Tab_Calculs[[#This Row],[Colonne1]])),Tab_Calculs[[#This Row],[index_date_livraison]]-1,6)*(MAX(Tab_Calculs[[#This Row],[Début periode livraison]],Tab_Calculs[[#This Row],[Début mois]])-Tab_Calculs[[#This Row],[Début mois]])</f>
        <v>#VALUE!</v>
      </c>
      <c r="L603" s="94">
        <f ca="1">INDEX(INDIRECT(CONCATENATE("Tab_",Tab_Calculs[[#This Row],[Colonne1]])),Tab_Calculs[[#This Row],[index_date_livraison]],6)*(1+MIN(Tab_Calculs[[#This Row],[Date_livraison]],Tab_Calculs[[#This Row],[fin mois]])-MAX(Tab_Calculs[[#This Row],[Début mois]],Tab_Calculs[[#This Row],[Début periode livraison]]))</f>
        <v>0</v>
      </c>
      <c r="M603" s="94" t="e">
        <f ca="1">INDEX(INDIRECT(CONCATENATE("Tab_",Tab_Calculs[[#This Row],[Colonne1]])),Tab_Calculs[[#This Row],[index_date_livraison]]+1,6)*(Tab_Calculs[[#This Row],[fin mois]]-MIN(Tab_Calculs[[#This Row],[fin mois]],Tab_Calculs[[#This Row],[Date_livraison]]))</f>
        <v>#VALUE!</v>
      </c>
      <c r="N603" s="231" t="str">
        <f ca="1">IFERROR(Tab_Calculs[[#This Row],[Ratio_jour_après_livr]]+Tab_Calculs[[#This Row],[Ratio_jour_avant_livr]]+Tab_Calculs[[#This Row],[ratio_avant_debut]],"")</f>
        <v/>
      </c>
      <c r="O603" t="e">
        <f ca="1">INDEX(INDIRECT(CONCATENATE("Tab_",Tab_Calculs[[#This Row],[Colonne1]])),Tab_Calculs[[#This Row],[index_date_livraison]]-1,7)*(MAX(Tab_Calculs[[#This Row],[Début periode livraison]],Tab_Calculs[[#This Row],[Début mois]])-Tab_Calculs[[#This Row],[Début mois]])</f>
        <v>#VALUE!</v>
      </c>
      <c r="P603">
        <f ca="1">INDEX(INDIRECT(CONCATENATE("Tab_",Tab_Calculs[[#This Row],[Colonne1]])),Tab_Calculs[[#This Row],[index_date_livraison]],7)*(1+MIN(Tab_Calculs[[#This Row],[Date_livraison]],Tab_Calculs[[#This Row],[fin mois]])-MAX(Tab_Calculs[[#This Row],[Début mois]],Tab_Calculs[[#This Row],[Début periode livraison]]))</f>
        <v>0</v>
      </c>
      <c r="Q603" t="e">
        <f ca="1">INDEX(INDIRECT(CONCATENATE("Tab_",Tab_Calculs[[#This Row],[Colonne1]])),Tab_Calculs[[#This Row],[index_date_livraison]]+1,7)*(Tab_Calculs[[#This Row],[fin mois]]-MIN(Tab_Calculs[[#This Row],[fin mois]],Tab_Calculs[[#This Row],[Date_livraison]]))</f>
        <v>#VALUE!</v>
      </c>
      <c r="R603" t="e">
        <f ca="1">Tab_Calculs[[#This Row],[Ratio_Cout_après_livr]]+Tab_Calculs[[#This Row],[Ratio_Cout_avant_livr]]+Tab_Calculs[[#This Row],[Ratio_Cout_avant_debut]]</f>
        <v>#VALUE!</v>
      </c>
      <c r="S603" t="str">
        <f ca="1">IFERROR(N603*VLOOKUP(Tab_Calculs[[#This Row],[Colonne1]],Controle_des_données!$B$7:$G$14,6,FALSE),"")</f>
        <v/>
      </c>
      <c r="T603" t="str">
        <f ca="1">IF(Tab_Calculs[[#This Row],[Combustible ]]="Electricité (kWh)",Tab_Calculs[[#This Row],[Conso_mois_kWh]]*2.3,Tab_Calculs[[#This Row],[Conso_mois_kWh]])</f>
        <v/>
      </c>
      <c r="U603" t="str">
        <f ca="1">IFERROR(N603*VLOOKUP(Tab_Calculs[[#This Row],[Colonne1]],Controle_des_données!$B$7:$H$14,7,FALSE),"")</f>
        <v/>
      </c>
      <c r="V603">
        <f ca="1">IFERROR(Tab_Calculs[[#This Row],[Cout_mois]]/Tab_Calculs[[#This Row],[Conso_mois_kWh]],0)</f>
        <v>0</v>
      </c>
      <c r="W603" t="str">
        <f>T(VLOOKUP(Tab_Calculs[[#This Row],[Compteur]],Site!$B$33:$G$40,3,FALSE))</f>
        <v/>
      </c>
      <c r="X603" t="str">
        <f>T(VLOOKUP(Tab_Calculs[[#This Row],[Compteur]],Site!$B$33:$G$40,4,FALSE))</f>
        <v/>
      </c>
      <c r="Y603" t="str">
        <f>T(VLOOKUP(Tab_Calculs[[#This Row],[Compteur]],Site!$B$33:$G$40,5,FALSE))</f>
        <v/>
      </c>
      <c r="Z603" t="str">
        <f>T(VLOOKUP(Tab_Calculs[[#This Row],[Compteur]],Site!$B$33:$G$40,6,FALSE))</f>
        <v/>
      </c>
      <c r="AA603">
        <f>IFERROR(GETPIVOTDATA("DJU(chauffagiste)",BDD_DJU!$P$13,"annee",Tab_Calculs[[#This Row],[ANNEE]],"mois_numero",Tab_Calculs[[#This Row],[MOIS]]),0)</f>
        <v>50.8</v>
      </c>
    </row>
    <row r="604" spans="1:27" x14ac:dyDescent="0.25">
      <c r="A604" s="3">
        <f>DATE(Tab_Calculs[[#This Row],[ANNEE]],Tab_Calculs[[#This Row],[MOIS]],1)</f>
        <v>40756</v>
      </c>
      <c r="B604" s="3">
        <f>EDATE(Tab_Calculs[[#This Row],[Début mois]],1)-1</f>
        <v>40786</v>
      </c>
      <c r="C604">
        <v>8</v>
      </c>
      <c r="D604">
        <v>2011</v>
      </c>
      <c r="E604" t="s">
        <v>83</v>
      </c>
      <c r="F604" t="str">
        <f>SUBSTITUTE(Tab_Calculs[[#This Row],[Compteur]]," ","_")</f>
        <v>Compteur_4</v>
      </c>
      <c r="G604" t="str">
        <f>T(INDEX(Site!$B$33:$G$40, MATCH(Tab_Calculs[[#This Row],[Compteur]], Site!$B$33:$B$40,0),2))</f>
        <v/>
      </c>
      <c r="H604" s="3">
        <f t="array" aca="1" ref="H604" ca="1">MIN(IF(INDIRECT(CONCATENATE(Tab_Calculs[[#This Row],[Colonne1]],"!$B$2:$B$243"))&gt;=Calculs_Consos!$A604,INDIRECT(CONCATENATE(Tab_Calculs[[#This Row],[Colonne1]],"!$B$2:$B$243"))))</f>
        <v>0</v>
      </c>
      <c r="I604" s="3">
        <f ca="1">INDEX(INDIRECT(CONCATENATE("Tab_",Tab_Calculs[[#This Row],[Colonne1]])),Tab_Calculs[[#This Row],[index_date_livraison]],1)</f>
        <v>0</v>
      </c>
      <c r="J604">
        <f ca="1">MATCH(Tab_Calculs[[#This Row],[Date_livraison]],INDIRECT(CONCATENATE("Tab_",Tab_Calculs[[#This Row],[Colonne1]],"[Fin de période]")),0)</f>
        <v>1</v>
      </c>
      <c r="K604" t="e">
        <f ca="1">INDEX(INDIRECT(CONCATENATE("Tab_",Tab_Calculs[[#This Row],[Colonne1]])),Tab_Calculs[[#This Row],[index_date_livraison]]-1,6)*(MAX(Tab_Calculs[[#This Row],[Début periode livraison]],Tab_Calculs[[#This Row],[Début mois]])-Tab_Calculs[[#This Row],[Début mois]])</f>
        <v>#VALUE!</v>
      </c>
      <c r="L604" s="94">
        <f ca="1">INDEX(INDIRECT(CONCATENATE("Tab_",Tab_Calculs[[#This Row],[Colonne1]])),Tab_Calculs[[#This Row],[index_date_livraison]],6)*(1+MIN(Tab_Calculs[[#This Row],[Date_livraison]],Tab_Calculs[[#This Row],[fin mois]])-MAX(Tab_Calculs[[#This Row],[Début mois]],Tab_Calculs[[#This Row],[Début periode livraison]]))</f>
        <v>0</v>
      </c>
      <c r="M604" s="94" t="e">
        <f ca="1">INDEX(INDIRECT(CONCATENATE("Tab_",Tab_Calculs[[#This Row],[Colonne1]])),Tab_Calculs[[#This Row],[index_date_livraison]]+1,6)*(Tab_Calculs[[#This Row],[fin mois]]-MIN(Tab_Calculs[[#This Row],[fin mois]],Tab_Calculs[[#This Row],[Date_livraison]]))</f>
        <v>#VALUE!</v>
      </c>
      <c r="N604" s="231" t="str">
        <f ca="1">IFERROR(Tab_Calculs[[#This Row],[Ratio_jour_après_livr]]+Tab_Calculs[[#This Row],[Ratio_jour_avant_livr]]+Tab_Calculs[[#This Row],[ratio_avant_debut]],"")</f>
        <v/>
      </c>
      <c r="O604" t="e">
        <f ca="1">INDEX(INDIRECT(CONCATENATE("Tab_",Tab_Calculs[[#This Row],[Colonne1]])),Tab_Calculs[[#This Row],[index_date_livraison]]-1,7)*(MAX(Tab_Calculs[[#This Row],[Début periode livraison]],Tab_Calculs[[#This Row],[Début mois]])-Tab_Calculs[[#This Row],[Début mois]])</f>
        <v>#VALUE!</v>
      </c>
      <c r="P604">
        <f ca="1">INDEX(INDIRECT(CONCATENATE("Tab_",Tab_Calculs[[#This Row],[Colonne1]])),Tab_Calculs[[#This Row],[index_date_livraison]],7)*(1+MIN(Tab_Calculs[[#This Row],[Date_livraison]],Tab_Calculs[[#This Row],[fin mois]])-MAX(Tab_Calculs[[#This Row],[Début mois]],Tab_Calculs[[#This Row],[Début periode livraison]]))</f>
        <v>0</v>
      </c>
      <c r="Q604" t="e">
        <f ca="1">INDEX(INDIRECT(CONCATENATE("Tab_",Tab_Calculs[[#This Row],[Colonne1]])),Tab_Calculs[[#This Row],[index_date_livraison]]+1,7)*(Tab_Calculs[[#This Row],[fin mois]]-MIN(Tab_Calculs[[#This Row],[fin mois]],Tab_Calculs[[#This Row],[Date_livraison]]))</f>
        <v>#VALUE!</v>
      </c>
      <c r="R604" t="e">
        <f ca="1">Tab_Calculs[[#This Row],[Ratio_Cout_après_livr]]+Tab_Calculs[[#This Row],[Ratio_Cout_avant_livr]]+Tab_Calculs[[#This Row],[Ratio_Cout_avant_debut]]</f>
        <v>#VALUE!</v>
      </c>
      <c r="S604" t="str">
        <f ca="1">IFERROR(N604*VLOOKUP(Tab_Calculs[[#This Row],[Colonne1]],Controle_des_données!$B$7:$G$14,6,FALSE),"")</f>
        <v/>
      </c>
      <c r="T604" t="str">
        <f ca="1">IF(Tab_Calculs[[#This Row],[Combustible ]]="Electricité (kWh)",Tab_Calculs[[#This Row],[Conso_mois_kWh]]*2.3,Tab_Calculs[[#This Row],[Conso_mois_kWh]])</f>
        <v/>
      </c>
      <c r="U604" t="str">
        <f ca="1">IFERROR(N604*VLOOKUP(Tab_Calculs[[#This Row],[Colonne1]],Controle_des_données!$B$7:$H$14,7,FALSE),"")</f>
        <v/>
      </c>
      <c r="V604">
        <f ca="1">IFERROR(Tab_Calculs[[#This Row],[Cout_mois]]/Tab_Calculs[[#This Row],[Conso_mois_kWh]],0)</f>
        <v>0</v>
      </c>
      <c r="W604" t="str">
        <f>T(VLOOKUP(Tab_Calculs[[#This Row],[Compteur]],Site!$B$33:$G$40,3,FALSE))</f>
        <v/>
      </c>
      <c r="X604" t="str">
        <f>T(VLOOKUP(Tab_Calculs[[#This Row],[Compteur]],Site!$B$33:$G$40,4,FALSE))</f>
        <v/>
      </c>
      <c r="Y604" t="str">
        <f>T(VLOOKUP(Tab_Calculs[[#This Row],[Compteur]],Site!$B$33:$G$40,5,FALSE))</f>
        <v/>
      </c>
      <c r="Z604" t="str">
        <f>T(VLOOKUP(Tab_Calculs[[#This Row],[Compteur]],Site!$B$33:$G$40,6,FALSE))</f>
        <v/>
      </c>
      <c r="AA604">
        <f>IFERROR(GETPIVOTDATA("DJU(chauffagiste)",BDD_DJU!$P$13,"annee",Tab_Calculs[[#This Row],[ANNEE]],"mois_numero",Tab_Calculs[[#This Row],[MOIS]]),0)</f>
        <v>34.700000000000003</v>
      </c>
    </row>
    <row r="605" spans="1:27" x14ac:dyDescent="0.25">
      <c r="A605" s="3">
        <f>DATE(Tab_Calculs[[#This Row],[ANNEE]],Tab_Calculs[[#This Row],[MOIS]],1)</f>
        <v>40787</v>
      </c>
      <c r="B605" s="3">
        <f>EDATE(Tab_Calculs[[#This Row],[Début mois]],1)-1</f>
        <v>40816</v>
      </c>
      <c r="C605">
        <v>9</v>
      </c>
      <c r="D605">
        <v>2011</v>
      </c>
      <c r="E605" t="s">
        <v>83</v>
      </c>
      <c r="F605" t="str">
        <f>SUBSTITUTE(Tab_Calculs[[#This Row],[Compteur]]," ","_")</f>
        <v>Compteur_4</v>
      </c>
      <c r="G605" t="str">
        <f>T(INDEX(Site!$B$33:$G$40, MATCH(Tab_Calculs[[#This Row],[Compteur]], Site!$B$33:$B$40,0),2))</f>
        <v/>
      </c>
      <c r="H605" s="3">
        <f t="array" aca="1" ref="H605" ca="1">MIN(IF(INDIRECT(CONCATENATE(Tab_Calculs[[#This Row],[Colonne1]],"!$B$2:$B$243"))&gt;=Calculs_Consos!$A605,INDIRECT(CONCATENATE(Tab_Calculs[[#This Row],[Colonne1]],"!$B$2:$B$243"))))</f>
        <v>0</v>
      </c>
      <c r="I605" s="3">
        <f ca="1">INDEX(INDIRECT(CONCATENATE("Tab_",Tab_Calculs[[#This Row],[Colonne1]])),Tab_Calculs[[#This Row],[index_date_livraison]],1)</f>
        <v>0</v>
      </c>
      <c r="J605">
        <f ca="1">MATCH(Tab_Calculs[[#This Row],[Date_livraison]],INDIRECT(CONCATENATE("Tab_",Tab_Calculs[[#This Row],[Colonne1]],"[Fin de période]")),0)</f>
        <v>1</v>
      </c>
      <c r="K605" t="e">
        <f ca="1">INDEX(INDIRECT(CONCATENATE("Tab_",Tab_Calculs[[#This Row],[Colonne1]])),Tab_Calculs[[#This Row],[index_date_livraison]]-1,6)*(MAX(Tab_Calculs[[#This Row],[Début periode livraison]],Tab_Calculs[[#This Row],[Début mois]])-Tab_Calculs[[#This Row],[Début mois]])</f>
        <v>#VALUE!</v>
      </c>
      <c r="L605" s="94">
        <f ca="1">INDEX(INDIRECT(CONCATENATE("Tab_",Tab_Calculs[[#This Row],[Colonne1]])),Tab_Calculs[[#This Row],[index_date_livraison]],6)*(1+MIN(Tab_Calculs[[#This Row],[Date_livraison]],Tab_Calculs[[#This Row],[fin mois]])-MAX(Tab_Calculs[[#This Row],[Début mois]],Tab_Calculs[[#This Row],[Début periode livraison]]))</f>
        <v>0</v>
      </c>
      <c r="M605" s="94" t="e">
        <f ca="1">INDEX(INDIRECT(CONCATENATE("Tab_",Tab_Calculs[[#This Row],[Colonne1]])),Tab_Calculs[[#This Row],[index_date_livraison]]+1,6)*(Tab_Calculs[[#This Row],[fin mois]]-MIN(Tab_Calculs[[#This Row],[fin mois]],Tab_Calculs[[#This Row],[Date_livraison]]))</f>
        <v>#VALUE!</v>
      </c>
      <c r="N605" s="231" t="str">
        <f ca="1">IFERROR(Tab_Calculs[[#This Row],[Ratio_jour_après_livr]]+Tab_Calculs[[#This Row],[Ratio_jour_avant_livr]]+Tab_Calculs[[#This Row],[ratio_avant_debut]],"")</f>
        <v/>
      </c>
      <c r="O605" t="e">
        <f ca="1">INDEX(INDIRECT(CONCATENATE("Tab_",Tab_Calculs[[#This Row],[Colonne1]])),Tab_Calculs[[#This Row],[index_date_livraison]]-1,7)*(MAX(Tab_Calculs[[#This Row],[Début periode livraison]],Tab_Calculs[[#This Row],[Début mois]])-Tab_Calculs[[#This Row],[Début mois]])</f>
        <v>#VALUE!</v>
      </c>
      <c r="P605">
        <f ca="1">INDEX(INDIRECT(CONCATENATE("Tab_",Tab_Calculs[[#This Row],[Colonne1]])),Tab_Calculs[[#This Row],[index_date_livraison]],7)*(1+MIN(Tab_Calculs[[#This Row],[Date_livraison]],Tab_Calculs[[#This Row],[fin mois]])-MAX(Tab_Calculs[[#This Row],[Début mois]],Tab_Calculs[[#This Row],[Début periode livraison]]))</f>
        <v>0</v>
      </c>
      <c r="Q605" t="e">
        <f ca="1">INDEX(INDIRECT(CONCATENATE("Tab_",Tab_Calculs[[#This Row],[Colonne1]])),Tab_Calculs[[#This Row],[index_date_livraison]]+1,7)*(Tab_Calculs[[#This Row],[fin mois]]-MIN(Tab_Calculs[[#This Row],[fin mois]],Tab_Calculs[[#This Row],[Date_livraison]]))</f>
        <v>#VALUE!</v>
      </c>
      <c r="R605" t="e">
        <f ca="1">Tab_Calculs[[#This Row],[Ratio_Cout_après_livr]]+Tab_Calculs[[#This Row],[Ratio_Cout_avant_livr]]+Tab_Calculs[[#This Row],[Ratio_Cout_avant_debut]]</f>
        <v>#VALUE!</v>
      </c>
      <c r="S605" t="str">
        <f ca="1">IFERROR(N605*VLOOKUP(Tab_Calculs[[#This Row],[Colonne1]],Controle_des_données!$B$7:$G$14,6,FALSE),"")</f>
        <v/>
      </c>
      <c r="T605" t="str">
        <f ca="1">IF(Tab_Calculs[[#This Row],[Combustible ]]="Electricité (kWh)",Tab_Calculs[[#This Row],[Conso_mois_kWh]]*2.3,Tab_Calculs[[#This Row],[Conso_mois_kWh]])</f>
        <v/>
      </c>
      <c r="U605" t="str">
        <f ca="1">IFERROR(N605*VLOOKUP(Tab_Calculs[[#This Row],[Colonne1]],Controle_des_données!$B$7:$H$14,7,FALSE),"")</f>
        <v/>
      </c>
      <c r="V605">
        <f ca="1">IFERROR(Tab_Calculs[[#This Row],[Cout_mois]]/Tab_Calculs[[#This Row],[Conso_mois_kWh]],0)</f>
        <v>0</v>
      </c>
      <c r="W605" t="str">
        <f>T(VLOOKUP(Tab_Calculs[[#This Row],[Compteur]],Site!$B$33:$G$40,3,FALSE))</f>
        <v/>
      </c>
      <c r="X605" t="str">
        <f>T(VLOOKUP(Tab_Calculs[[#This Row],[Compteur]],Site!$B$33:$G$40,4,FALSE))</f>
        <v/>
      </c>
      <c r="Y605" t="str">
        <f>T(VLOOKUP(Tab_Calculs[[#This Row],[Compteur]],Site!$B$33:$G$40,5,FALSE))</f>
        <v/>
      </c>
      <c r="Z605" t="str">
        <f>T(VLOOKUP(Tab_Calculs[[#This Row],[Compteur]],Site!$B$33:$G$40,6,FALSE))</f>
        <v/>
      </c>
      <c r="AA605">
        <f>IFERROR(GETPIVOTDATA("DJU(chauffagiste)",BDD_DJU!$P$13,"annee",Tab_Calculs[[#This Row],[ANNEE]],"mois_numero",Tab_Calculs[[#This Row],[MOIS]]),0)</f>
        <v>51.3</v>
      </c>
    </row>
    <row r="606" spans="1:27" x14ac:dyDescent="0.25">
      <c r="A606" s="3">
        <f>DATE(Tab_Calculs[[#This Row],[ANNEE]],Tab_Calculs[[#This Row],[MOIS]],1)</f>
        <v>40817</v>
      </c>
      <c r="B606" s="3">
        <f>EDATE(Tab_Calculs[[#This Row],[Début mois]],1)-1</f>
        <v>40847</v>
      </c>
      <c r="C606">
        <v>10</v>
      </c>
      <c r="D606">
        <v>2011</v>
      </c>
      <c r="E606" t="s">
        <v>83</v>
      </c>
      <c r="F606" t="str">
        <f>SUBSTITUTE(Tab_Calculs[[#This Row],[Compteur]]," ","_")</f>
        <v>Compteur_4</v>
      </c>
      <c r="G606" t="str">
        <f>T(INDEX(Site!$B$33:$G$40, MATCH(Tab_Calculs[[#This Row],[Compteur]], Site!$B$33:$B$40,0),2))</f>
        <v/>
      </c>
      <c r="H606" s="3">
        <f t="array" aca="1" ref="H606" ca="1">MIN(IF(INDIRECT(CONCATENATE(Tab_Calculs[[#This Row],[Colonne1]],"!$B$2:$B$243"))&gt;=Calculs_Consos!$A606,INDIRECT(CONCATENATE(Tab_Calculs[[#This Row],[Colonne1]],"!$B$2:$B$243"))))</f>
        <v>0</v>
      </c>
      <c r="I606" s="3">
        <f ca="1">INDEX(INDIRECT(CONCATENATE("Tab_",Tab_Calculs[[#This Row],[Colonne1]])),Tab_Calculs[[#This Row],[index_date_livraison]],1)</f>
        <v>0</v>
      </c>
      <c r="J606">
        <f ca="1">MATCH(Tab_Calculs[[#This Row],[Date_livraison]],INDIRECT(CONCATENATE("Tab_",Tab_Calculs[[#This Row],[Colonne1]],"[Fin de période]")),0)</f>
        <v>1</v>
      </c>
      <c r="K606" t="e">
        <f ca="1">INDEX(INDIRECT(CONCATENATE("Tab_",Tab_Calculs[[#This Row],[Colonne1]])),Tab_Calculs[[#This Row],[index_date_livraison]]-1,6)*(MAX(Tab_Calculs[[#This Row],[Début periode livraison]],Tab_Calculs[[#This Row],[Début mois]])-Tab_Calculs[[#This Row],[Début mois]])</f>
        <v>#VALUE!</v>
      </c>
      <c r="L606" s="94">
        <f ca="1">INDEX(INDIRECT(CONCATENATE("Tab_",Tab_Calculs[[#This Row],[Colonne1]])),Tab_Calculs[[#This Row],[index_date_livraison]],6)*(1+MIN(Tab_Calculs[[#This Row],[Date_livraison]],Tab_Calculs[[#This Row],[fin mois]])-MAX(Tab_Calculs[[#This Row],[Début mois]],Tab_Calculs[[#This Row],[Début periode livraison]]))</f>
        <v>0</v>
      </c>
      <c r="M606" s="94" t="e">
        <f ca="1">INDEX(INDIRECT(CONCATENATE("Tab_",Tab_Calculs[[#This Row],[Colonne1]])),Tab_Calculs[[#This Row],[index_date_livraison]]+1,6)*(Tab_Calculs[[#This Row],[fin mois]]-MIN(Tab_Calculs[[#This Row],[fin mois]],Tab_Calculs[[#This Row],[Date_livraison]]))</f>
        <v>#VALUE!</v>
      </c>
      <c r="N606" s="231" t="str">
        <f ca="1">IFERROR(Tab_Calculs[[#This Row],[Ratio_jour_après_livr]]+Tab_Calculs[[#This Row],[Ratio_jour_avant_livr]]+Tab_Calculs[[#This Row],[ratio_avant_debut]],"")</f>
        <v/>
      </c>
      <c r="O606" t="e">
        <f ca="1">INDEX(INDIRECT(CONCATENATE("Tab_",Tab_Calculs[[#This Row],[Colonne1]])),Tab_Calculs[[#This Row],[index_date_livraison]]-1,7)*(MAX(Tab_Calculs[[#This Row],[Début periode livraison]],Tab_Calculs[[#This Row],[Début mois]])-Tab_Calculs[[#This Row],[Début mois]])</f>
        <v>#VALUE!</v>
      </c>
      <c r="P606">
        <f ca="1">INDEX(INDIRECT(CONCATENATE("Tab_",Tab_Calculs[[#This Row],[Colonne1]])),Tab_Calculs[[#This Row],[index_date_livraison]],7)*(1+MIN(Tab_Calculs[[#This Row],[Date_livraison]],Tab_Calculs[[#This Row],[fin mois]])-MAX(Tab_Calculs[[#This Row],[Début mois]],Tab_Calculs[[#This Row],[Début periode livraison]]))</f>
        <v>0</v>
      </c>
      <c r="Q606" t="e">
        <f ca="1">INDEX(INDIRECT(CONCATENATE("Tab_",Tab_Calculs[[#This Row],[Colonne1]])),Tab_Calculs[[#This Row],[index_date_livraison]]+1,7)*(Tab_Calculs[[#This Row],[fin mois]]-MIN(Tab_Calculs[[#This Row],[fin mois]],Tab_Calculs[[#This Row],[Date_livraison]]))</f>
        <v>#VALUE!</v>
      </c>
      <c r="R606" t="e">
        <f ca="1">Tab_Calculs[[#This Row],[Ratio_Cout_après_livr]]+Tab_Calculs[[#This Row],[Ratio_Cout_avant_livr]]+Tab_Calculs[[#This Row],[Ratio_Cout_avant_debut]]</f>
        <v>#VALUE!</v>
      </c>
      <c r="S606" t="str">
        <f ca="1">IFERROR(N606*VLOOKUP(Tab_Calculs[[#This Row],[Colonne1]],Controle_des_données!$B$7:$G$14,6,FALSE),"")</f>
        <v/>
      </c>
      <c r="T606" t="str">
        <f ca="1">IF(Tab_Calculs[[#This Row],[Combustible ]]="Electricité (kWh)",Tab_Calculs[[#This Row],[Conso_mois_kWh]]*2.3,Tab_Calculs[[#This Row],[Conso_mois_kWh]])</f>
        <v/>
      </c>
      <c r="U606" t="str">
        <f ca="1">IFERROR(N606*VLOOKUP(Tab_Calculs[[#This Row],[Colonne1]],Controle_des_données!$B$7:$H$14,7,FALSE),"")</f>
        <v/>
      </c>
      <c r="V606">
        <f ca="1">IFERROR(Tab_Calculs[[#This Row],[Cout_mois]]/Tab_Calculs[[#This Row],[Conso_mois_kWh]],0)</f>
        <v>0</v>
      </c>
      <c r="W606" t="str">
        <f>T(VLOOKUP(Tab_Calculs[[#This Row],[Compteur]],Site!$B$33:$G$40,3,FALSE))</f>
        <v/>
      </c>
      <c r="X606" t="str">
        <f>T(VLOOKUP(Tab_Calculs[[#This Row],[Compteur]],Site!$B$33:$G$40,4,FALSE))</f>
        <v/>
      </c>
      <c r="Y606" t="str">
        <f>T(VLOOKUP(Tab_Calculs[[#This Row],[Compteur]],Site!$B$33:$G$40,5,FALSE))</f>
        <v/>
      </c>
      <c r="Z606" t="str">
        <f>T(VLOOKUP(Tab_Calculs[[#This Row],[Compteur]],Site!$B$33:$G$40,6,FALSE))</f>
        <v/>
      </c>
      <c r="AA606">
        <f>IFERROR(GETPIVOTDATA("DJU(chauffagiste)",BDD_DJU!$P$13,"annee",Tab_Calculs[[#This Row],[ANNEE]],"mois_numero",Tab_Calculs[[#This Row],[MOIS]]),0)</f>
        <v>145.6</v>
      </c>
    </row>
    <row r="607" spans="1:27" x14ac:dyDescent="0.25">
      <c r="A607" s="3">
        <f>DATE(Tab_Calculs[[#This Row],[ANNEE]],Tab_Calculs[[#This Row],[MOIS]],1)</f>
        <v>40848</v>
      </c>
      <c r="B607" s="3">
        <f>EDATE(Tab_Calculs[[#This Row],[Début mois]],1)-1</f>
        <v>40877</v>
      </c>
      <c r="C607">
        <v>11</v>
      </c>
      <c r="D607">
        <v>2011</v>
      </c>
      <c r="E607" t="s">
        <v>83</v>
      </c>
      <c r="F607" t="str">
        <f>SUBSTITUTE(Tab_Calculs[[#This Row],[Compteur]]," ","_")</f>
        <v>Compteur_4</v>
      </c>
      <c r="G607" t="str">
        <f>T(INDEX(Site!$B$33:$G$40, MATCH(Tab_Calculs[[#This Row],[Compteur]], Site!$B$33:$B$40,0),2))</f>
        <v/>
      </c>
      <c r="H607" s="3">
        <f t="array" aca="1" ref="H607" ca="1">MIN(IF(INDIRECT(CONCATENATE(Tab_Calculs[[#This Row],[Colonne1]],"!$B$2:$B$243"))&gt;=Calculs_Consos!$A607,INDIRECT(CONCATENATE(Tab_Calculs[[#This Row],[Colonne1]],"!$B$2:$B$243"))))</f>
        <v>0</v>
      </c>
      <c r="I607" s="3">
        <f ca="1">INDEX(INDIRECT(CONCATENATE("Tab_",Tab_Calculs[[#This Row],[Colonne1]])),Tab_Calculs[[#This Row],[index_date_livraison]],1)</f>
        <v>0</v>
      </c>
      <c r="J607">
        <f ca="1">MATCH(Tab_Calculs[[#This Row],[Date_livraison]],INDIRECT(CONCATENATE("Tab_",Tab_Calculs[[#This Row],[Colonne1]],"[Fin de période]")),0)</f>
        <v>1</v>
      </c>
      <c r="K607" t="e">
        <f ca="1">INDEX(INDIRECT(CONCATENATE("Tab_",Tab_Calculs[[#This Row],[Colonne1]])),Tab_Calculs[[#This Row],[index_date_livraison]]-1,6)*(MAX(Tab_Calculs[[#This Row],[Début periode livraison]],Tab_Calculs[[#This Row],[Début mois]])-Tab_Calculs[[#This Row],[Début mois]])</f>
        <v>#VALUE!</v>
      </c>
      <c r="L607" s="94">
        <f ca="1">INDEX(INDIRECT(CONCATENATE("Tab_",Tab_Calculs[[#This Row],[Colonne1]])),Tab_Calculs[[#This Row],[index_date_livraison]],6)*(1+MIN(Tab_Calculs[[#This Row],[Date_livraison]],Tab_Calculs[[#This Row],[fin mois]])-MAX(Tab_Calculs[[#This Row],[Début mois]],Tab_Calculs[[#This Row],[Début periode livraison]]))</f>
        <v>0</v>
      </c>
      <c r="M607" s="94" t="e">
        <f ca="1">INDEX(INDIRECT(CONCATENATE("Tab_",Tab_Calculs[[#This Row],[Colonne1]])),Tab_Calculs[[#This Row],[index_date_livraison]]+1,6)*(Tab_Calculs[[#This Row],[fin mois]]-MIN(Tab_Calculs[[#This Row],[fin mois]],Tab_Calculs[[#This Row],[Date_livraison]]))</f>
        <v>#VALUE!</v>
      </c>
      <c r="N607" s="231" t="str">
        <f ca="1">IFERROR(Tab_Calculs[[#This Row],[Ratio_jour_après_livr]]+Tab_Calculs[[#This Row],[Ratio_jour_avant_livr]]+Tab_Calculs[[#This Row],[ratio_avant_debut]],"")</f>
        <v/>
      </c>
      <c r="O607" t="e">
        <f ca="1">INDEX(INDIRECT(CONCATENATE("Tab_",Tab_Calculs[[#This Row],[Colonne1]])),Tab_Calculs[[#This Row],[index_date_livraison]]-1,7)*(MAX(Tab_Calculs[[#This Row],[Début periode livraison]],Tab_Calculs[[#This Row],[Début mois]])-Tab_Calculs[[#This Row],[Début mois]])</f>
        <v>#VALUE!</v>
      </c>
      <c r="P607">
        <f ca="1">INDEX(INDIRECT(CONCATENATE("Tab_",Tab_Calculs[[#This Row],[Colonne1]])),Tab_Calculs[[#This Row],[index_date_livraison]],7)*(1+MIN(Tab_Calculs[[#This Row],[Date_livraison]],Tab_Calculs[[#This Row],[fin mois]])-MAX(Tab_Calculs[[#This Row],[Début mois]],Tab_Calculs[[#This Row],[Début periode livraison]]))</f>
        <v>0</v>
      </c>
      <c r="Q607" t="e">
        <f ca="1">INDEX(INDIRECT(CONCATENATE("Tab_",Tab_Calculs[[#This Row],[Colonne1]])),Tab_Calculs[[#This Row],[index_date_livraison]]+1,7)*(Tab_Calculs[[#This Row],[fin mois]]-MIN(Tab_Calculs[[#This Row],[fin mois]],Tab_Calculs[[#This Row],[Date_livraison]]))</f>
        <v>#VALUE!</v>
      </c>
      <c r="R607" t="e">
        <f ca="1">Tab_Calculs[[#This Row],[Ratio_Cout_après_livr]]+Tab_Calculs[[#This Row],[Ratio_Cout_avant_livr]]+Tab_Calculs[[#This Row],[Ratio_Cout_avant_debut]]</f>
        <v>#VALUE!</v>
      </c>
      <c r="S607" t="str">
        <f ca="1">IFERROR(N607*VLOOKUP(Tab_Calculs[[#This Row],[Colonne1]],Controle_des_données!$B$7:$G$14,6,FALSE),"")</f>
        <v/>
      </c>
      <c r="T607" t="str">
        <f ca="1">IF(Tab_Calculs[[#This Row],[Combustible ]]="Electricité (kWh)",Tab_Calculs[[#This Row],[Conso_mois_kWh]]*2.3,Tab_Calculs[[#This Row],[Conso_mois_kWh]])</f>
        <v/>
      </c>
      <c r="U607" t="str">
        <f ca="1">IFERROR(N607*VLOOKUP(Tab_Calculs[[#This Row],[Colonne1]],Controle_des_données!$B$7:$H$14,7,FALSE),"")</f>
        <v/>
      </c>
      <c r="V607">
        <f ca="1">IFERROR(Tab_Calculs[[#This Row],[Cout_mois]]/Tab_Calculs[[#This Row],[Conso_mois_kWh]],0)</f>
        <v>0</v>
      </c>
      <c r="W607" t="str">
        <f>T(VLOOKUP(Tab_Calculs[[#This Row],[Compteur]],Site!$B$33:$G$40,3,FALSE))</f>
        <v/>
      </c>
      <c r="X607" t="str">
        <f>T(VLOOKUP(Tab_Calculs[[#This Row],[Compteur]],Site!$B$33:$G$40,4,FALSE))</f>
        <v/>
      </c>
      <c r="Y607" t="str">
        <f>T(VLOOKUP(Tab_Calculs[[#This Row],[Compteur]],Site!$B$33:$G$40,5,FALSE))</f>
        <v/>
      </c>
      <c r="Z607" t="str">
        <f>T(VLOOKUP(Tab_Calculs[[#This Row],[Compteur]],Site!$B$33:$G$40,6,FALSE))</f>
        <v/>
      </c>
      <c r="AA607">
        <f>IFERROR(GETPIVOTDATA("DJU(chauffagiste)",BDD_DJU!$P$13,"annee",Tab_Calculs[[#This Row],[ANNEE]],"mois_numero",Tab_Calculs[[#This Row],[MOIS]]),0)</f>
        <v>205.3</v>
      </c>
    </row>
    <row r="608" spans="1:27" x14ac:dyDescent="0.25">
      <c r="A608" s="3">
        <f>DATE(Tab_Calculs[[#This Row],[ANNEE]],Tab_Calculs[[#This Row],[MOIS]],1)</f>
        <v>40878</v>
      </c>
      <c r="B608" s="3">
        <f>EDATE(Tab_Calculs[[#This Row],[Début mois]],1)-1</f>
        <v>40908</v>
      </c>
      <c r="C608">
        <v>12</v>
      </c>
      <c r="D608">
        <v>2011</v>
      </c>
      <c r="E608" t="s">
        <v>83</v>
      </c>
      <c r="F608" t="str">
        <f>SUBSTITUTE(Tab_Calculs[[#This Row],[Compteur]]," ","_")</f>
        <v>Compteur_4</v>
      </c>
      <c r="G608" t="str">
        <f>T(INDEX(Site!$B$33:$G$40, MATCH(Tab_Calculs[[#This Row],[Compteur]], Site!$B$33:$B$40,0),2))</f>
        <v/>
      </c>
      <c r="H608" s="3">
        <f t="array" aca="1" ref="H608" ca="1">MIN(IF(INDIRECT(CONCATENATE(Tab_Calculs[[#This Row],[Colonne1]],"!$B$2:$B$243"))&gt;=Calculs_Consos!$A608,INDIRECT(CONCATENATE(Tab_Calculs[[#This Row],[Colonne1]],"!$B$2:$B$243"))))</f>
        <v>0</v>
      </c>
      <c r="I608" s="3">
        <f ca="1">INDEX(INDIRECT(CONCATENATE("Tab_",Tab_Calculs[[#This Row],[Colonne1]])),Tab_Calculs[[#This Row],[index_date_livraison]],1)</f>
        <v>0</v>
      </c>
      <c r="J608">
        <f ca="1">MATCH(Tab_Calculs[[#This Row],[Date_livraison]],INDIRECT(CONCATENATE("Tab_",Tab_Calculs[[#This Row],[Colonne1]],"[Fin de période]")),0)</f>
        <v>1</v>
      </c>
      <c r="K608" t="e">
        <f ca="1">INDEX(INDIRECT(CONCATENATE("Tab_",Tab_Calculs[[#This Row],[Colonne1]])),Tab_Calculs[[#This Row],[index_date_livraison]]-1,6)*(MAX(Tab_Calculs[[#This Row],[Début periode livraison]],Tab_Calculs[[#This Row],[Début mois]])-Tab_Calculs[[#This Row],[Début mois]])</f>
        <v>#VALUE!</v>
      </c>
      <c r="L608" s="94">
        <f ca="1">INDEX(INDIRECT(CONCATENATE("Tab_",Tab_Calculs[[#This Row],[Colonne1]])),Tab_Calculs[[#This Row],[index_date_livraison]],6)*(1+MIN(Tab_Calculs[[#This Row],[Date_livraison]],Tab_Calculs[[#This Row],[fin mois]])-MAX(Tab_Calculs[[#This Row],[Début mois]],Tab_Calculs[[#This Row],[Début periode livraison]]))</f>
        <v>0</v>
      </c>
      <c r="M608" s="94" t="e">
        <f ca="1">INDEX(INDIRECT(CONCATENATE("Tab_",Tab_Calculs[[#This Row],[Colonne1]])),Tab_Calculs[[#This Row],[index_date_livraison]]+1,6)*(Tab_Calculs[[#This Row],[fin mois]]-MIN(Tab_Calculs[[#This Row],[fin mois]],Tab_Calculs[[#This Row],[Date_livraison]]))</f>
        <v>#VALUE!</v>
      </c>
      <c r="N608" s="231" t="str">
        <f ca="1">IFERROR(Tab_Calculs[[#This Row],[Ratio_jour_après_livr]]+Tab_Calculs[[#This Row],[Ratio_jour_avant_livr]]+Tab_Calculs[[#This Row],[ratio_avant_debut]],"")</f>
        <v/>
      </c>
      <c r="O608" t="e">
        <f ca="1">INDEX(INDIRECT(CONCATENATE("Tab_",Tab_Calculs[[#This Row],[Colonne1]])),Tab_Calculs[[#This Row],[index_date_livraison]]-1,7)*(MAX(Tab_Calculs[[#This Row],[Début periode livraison]],Tab_Calculs[[#This Row],[Début mois]])-Tab_Calculs[[#This Row],[Début mois]])</f>
        <v>#VALUE!</v>
      </c>
      <c r="P608">
        <f ca="1">INDEX(INDIRECT(CONCATENATE("Tab_",Tab_Calculs[[#This Row],[Colonne1]])),Tab_Calculs[[#This Row],[index_date_livraison]],7)*(1+MIN(Tab_Calculs[[#This Row],[Date_livraison]],Tab_Calculs[[#This Row],[fin mois]])-MAX(Tab_Calculs[[#This Row],[Début mois]],Tab_Calculs[[#This Row],[Début periode livraison]]))</f>
        <v>0</v>
      </c>
      <c r="Q608" t="e">
        <f ca="1">INDEX(INDIRECT(CONCATENATE("Tab_",Tab_Calculs[[#This Row],[Colonne1]])),Tab_Calculs[[#This Row],[index_date_livraison]]+1,7)*(Tab_Calculs[[#This Row],[fin mois]]-MIN(Tab_Calculs[[#This Row],[fin mois]],Tab_Calculs[[#This Row],[Date_livraison]]))</f>
        <v>#VALUE!</v>
      </c>
      <c r="R608" t="e">
        <f ca="1">Tab_Calculs[[#This Row],[Ratio_Cout_après_livr]]+Tab_Calculs[[#This Row],[Ratio_Cout_avant_livr]]+Tab_Calculs[[#This Row],[Ratio_Cout_avant_debut]]</f>
        <v>#VALUE!</v>
      </c>
      <c r="S608" t="str">
        <f ca="1">IFERROR(N608*VLOOKUP(Tab_Calculs[[#This Row],[Colonne1]],Controle_des_données!$B$7:$G$14,6,FALSE),"")</f>
        <v/>
      </c>
      <c r="T608" t="str">
        <f ca="1">IF(Tab_Calculs[[#This Row],[Combustible ]]="Electricité (kWh)",Tab_Calculs[[#This Row],[Conso_mois_kWh]]*2.3,Tab_Calculs[[#This Row],[Conso_mois_kWh]])</f>
        <v/>
      </c>
      <c r="U608" t="str">
        <f ca="1">IFERROR(N608*VLOOKUP(Tab_Calculs[[#This Row],[Colonne1]],Controle_des_données!$B$7:$H$14,7,FALSE),"")</f>
        <v/>
      </c>
      <c r="V608">
        <f ca="1">IFERROR(Tab_Calculs[[#This Row],[Cout_mois]]/Tab_Calculs[[#This Row],[Conso_mois_kWh]],0)</f>
        <v>0</v>
      </c>
      <c r="W608" t="str">
        <f>T(VLOOKUP(Tab_Calculs[[#This Row],[Compteur]],Site!$B$33:$G$40,3,FALSE))</f>
        <v/>
      </c>
      <c r="X608" t="str">
        <f>T(VLOOKUP(Tab_Calculs[[#This Row],[Compteur]],Site!$B$33:$G$40,4,FALSE))</f>
        <v/>
      </c>
      <c r="Y608" t="str">
        <f>T(VLOOKUP(Tab_Calculs[[#This Row],[Compteur]],Site!$B$33:$G$40,5,FALSE))</f>
        <v/>
      </c>
      <c r="Z608" t="str">
        <f>T(VLOOKUP(Tab_Calculs[[#This Row],[Compteur]],Site!$B$33:$G$40,6,FALSE))</f>
        <v/>
      </c>
      <c r="AA608">
        <f>IFERROR(GETPIVOTDATA("DJU(chauffagiste)",BDD_DJU!$P$13,"annee",Tab_Calculs[[#This Row],[ANNEE]],"mois_numero",Tab_Calculs[[#This Row],[MOIS]]),0)</f>
        <v>307.5</v>
      </c>
    </row>
    <row r="609" spans="1:27" x14ac:dyDescent="0.25">
      <c r="A609" s="3">
        <f>DATE(Tab_Calculs[[#This Row],[ANNEE]],Tab_Calculs[[#This Row],[MOIS]],1)</f>
        <v>40909</v>
      </c>
      <c r="B609" s="3">
        <f>EDATE(Tab_Calculs[[#This Row],[Début mois]],1)-1</f>
        <v>40939</v>
      </c>
      <c r="C609">
        <v>1</v>
      </c>
      <c r="D609">
        <v>2012</v>
      </c>
      <c r="E609" t="s">
        <v>83</v>
      </c>
      <c r="F609" t="str">
        <f>SUBSTITUTE(Tab_Calculs[[#This Row],[Compteur]]," ","_")</f>
        <v>Compteur_4</v>
      </c>
      <c r="G609" t="str">
        <f>T(INDEX(Site!$B$33:$G$40, MATCH(Tab_Calculs[[#This Row],[Compteur]], Site!$B$33:$B$40,0),2))</f>
        <v/>
      </c>
      <c r="H609" s="3">
        <f t="array" aca="1" ref="H609" ca="1">MIN(IF(INDIRECT(CONCATENATE(Tab_Calculs[[#This Row],[Colonne1]],"!$B$2:$B$243"))&gt;=Calculs_Consos!$A609,INDIRECT(CONCATENATE(Tab_Calculs[[#This Row],[Colonne1]],"!$B$2:$B$243"))))</f>
        <v>0</v>
      </c>
      <c r="I609" s="3">
        <f ca="1">INDEX(INDIRECT(CONCATENATE("Tab_",Tab_Calculs[[#This Row],[Colonne1]])),Tab_Calculs[[#This Row],[index_date_livraison]],1)</f>
        <v>0</v>
      </c>
      <c r="J609">
        <f ca="1">MATCH(Tab_Calculs[[#This Row],[Date_livraison]],INDIRECT(CONCATENATE("Tab_",Tab_Calculs[[#This Row],[Colonne1]],"[Fin de période]")),0)</f>
        <v>1</v>
      </c>
      <c r="K609" t="e">
        <f ca="1">INDEX(INDIRECT(CONCATENATE("Tab_",Tab_Calculs[[#This Row],[Colonne1]])),Tab_Calculs[[#This Row],[index_date_livraison]]-1,6)*(MAX(Tab_Calculs[[#This Row],[Début periode livraison]],Tab_Calculs[[#This Row],[Début mois]])-Tab_Calculs[[#This Row],[Début mois]])</f>
        <v>#VALUE!</v>
      </c>
      <c r="L609" s="94">
        <f ca="1">INDEX(INDIRECT(CONCATENATE("Tab_",Tab_Calculs[[#This Row],[Colonne1]])),Tab_Calculs[[#This Row],[index_date_livraison]],6)*(1+MIN(Tab_Calculs[[#This Row],[Date_livraison]],Tab_Calculs[[#This Row],[fin mois]])-MAX(Tab_Calculs[[#This Row],[Début mois]],Tab_Calculs[[#This Row],[Début periode livraison]]))</f>
        <v>0</v>
      </c>
      <c r="M609" s="94" t="e">
        <f ca="1">INDEX(INDIRECT(CONCATENATE("Tab_",Tab_Calculs[[#This Row],[Colonne1]])),Tab_Calculs[[#This Row],[index_date_livraison]]+1,6)*(Tab_Calculs[[#This Row],[fin mois]]-MIN(Tab_Calculs[[#This Row],[fin mois]],Tab_Calculs[[#This Row],[Date_livraison]]))</f>
        <v>#VALUE!</v>
      </c>
      <c r="N609" s="231" t="str">
        <f ca="1">IFERROR(Tab_Calculs[[#This Row],[Ratio_jour_après_livr]]+Tab_Calculs[[#This Row],[Ratio_jour_avant_livr]]+Tab_Calculs[[#This Row],[ratio_avant_debut]],"")</f>
        <v/>
      </c>
      <c r="O609" t="e">
        <f ca="1">INDEX(INDIRECT(CONCATENATE("Tab_",Tab_Calculs[[#This Row],[Colonne1]])),Tab_Calculs[[#This Row],[index_date_livraison]]-1,7)*(MAX(Tab_Calculs[[#This Row],[Début periode livraison]],Tab_Calculs[[#This Row],[Début mois]])-Tab_Calculs[[#This Row],[Début mois]])</f>
        <v>#VALUE!</v>
      </c>
      <c r="P609">
        <f ca="1">INDEX(INDIRECT(CONCATENATE("Tab_",Tab_Calculs[[#This Row],[Colonne1]])),Tab_Calculs[[#This Row],[index_date_livraison]],7)*(1+MIN(Tab_Calculs[[#This Row],[Date_livraison]],Tab_Calculs[[#This Row],[fin mois]])-MAX(Tab_Calculs[[#This Row],[Début mois]],Tab_Calculs[[#This Row],[Début periode livraison]]))</f>
        <v>0</v>
      </c>
      <c r="Q609" t="e">
        <f ca="1">INDEX(INDIRECT(CONCATENATE("Tab_",Tab_Calculs[[#This Row],[Colonne1]])),Tab_Calculs[[#This Row],[index_date_livraison]]+1,7)*(Tab_Calculs[[#This Row],[fin mois]]-MIN(Tab_Calculs[[#This Row],[fin mois]],Tab_Calculs[[#This Row],[Date_livraison]]))</f>
        <v>#VALUE!</v>
      </c>
      <c r="R609" t="e">
        <f ca="1">Tab_Calculs[[#This Row],[Ratio_Cout_après_livr]]+Tab_Calculs[[#This Row],[Ratio_Cout_avant_livr]]+Tab_Calculs[[#This Row],[Ratio_Cout_avant_debut]]</f>
        <v>#VALUE!</v>
      </c>
      <c r="S609" t="str">
        <f ca="1">IFERROR(N609*VLOOKUP(Tab_Calculs[[#This Row],[Colonne1]],Controle_des_données!$B$7:$G$14,6,FALSE),"")</f>
        <v/>
      </c>
      <c r="T609" t="str">
        <f ca="1">IF(Tab_Calculs[[#This Row],[Combustible ]]="Electricité (kWh)",Tab_Calculs[[#This Row],[Conso_mois_kWh]]*2.3,Tab_Calculs[[#This Row],[Conso_mois_kWh]])</f>
        <v/>
      </c>
      <c r="U609" t="str">
        <f ca="1">IFERROR(N609*VLOOKUP(Tab_Calculs[[#This Row],[Colonne1]],Controle_des_données!$B$7:$H$14,7,FALSE),"")</f>
        <v/>
      </c>
      <c r="V609">
        <f ca="1">IFERROR(Tab_Calculs[[#This Row],[Cout_mois]]/Tab_Calculs[[#This Row],[Conso_mois_kWh]],0)</f>
        <v>0</v>
      </c>
      <c r="W609" t="str">
        <f>T(VLOOKUP(Tab_Calculs[[#This Row],[Compteur]],Site!$B$33:$G$40,3,FALSE))</f>
        <v/>
      </c>
      <c r="X609" t="str">
        <f>T(VLOOKUP(Tab_Calculs[[#This Row],[Compteur]],Site!$B$33:$G$40,4,FALSE))</f>
        <v/>
      </c>
      <c r="Y609" t="str">
        <f>T(VLOOKUP(Tab_Calculs[[#This Row],[Compteur]],Site!$B$33:$G$40,5,FALSE))</f>
        <v/>
      </c>
      <c r="Z609" t="str">
        <f>T(VLOOKUP(Tab_Calculs[[#This Row],[Compteur]],Site!$B$33:$G$40,6,FALSE))</f>
        <v/>
      </c>
      <c r="AA609">
        <f>IFERROR(GETPIVOTDATA("DJU(chauffagiste)",BDD_DJU!$P$13,"annee",Tab_Calculs[[#This Row],[ANNEE]],"mois_numero",Tab_Calculs[[#This Row],[MOIS]]),0)</f>
        <v>348.8</v>
      </c>
    </row>
    <row r="610" spans="1:27" x14ac:dyDescent="0.25">
      <c r="A610" s="3">
        <f>DATE(Tab_Calculs[[#This Row],[ANNEE]],Tab_Calculs[[#This Row],[MOIS]],1)</f>
        <v>40940</v>
      </c>
      <c r="B610" s="3">
        <f>EDATE(Tab_Calculs[[#This Row],[Début mois]],1)-1</f>
        <v>40968</v>
      </c>
      <c r="C610">
        <v>2</v>
      </c>
      <c r="D610">
        <v>2012</v>
      </c>
      <c r="E610" t="s">
        <v>83</v>
      </c>
      <c r="F610" t="str">
        <f>SUBSTITUTE(Tab_Calculs[[#This Row],[Compteur]]," ","_")</f>
        <v>Compteur_4</v>
      </c>
      <c r="G610" t="str">
        <f>T(INDEX(Site!$B$33:$G$40, MATCH(Tab_Calculs[[#This Row],[Compteur]], Site!$B$33:$B$40,0),2))</f>
        <v/>
      </c>
      <c r="H610" s="3">
        <f t="array" aca="1" ref="H610" ca="1">MIN(IF(INDIRECT(CONCATENATE(Tab_Calculs[[#This Row],[Colonne1]],"!$B$2:$B$243"))&gt;=Calculs_Consos!$A610,INDIRECT(CONCATENATE(Tab_Calculs[[#This Row],[Colonne1]],"!$B$2:$B$243"))))</f>
        <v>0</v>
      </c>
      <c r="I610" s="3">
        <f ca="1">INDEX(INDIRECT(CONCATENATE("Tab_",Tab_Calculs[[#This Row],[Colonne1]])),Tab_Calculs[[#This Row],[index_date_livraison]],1)</f>
        <v>0</v>
      </c>
      <c r="J610">
        <f ca="1">MATCH(Tab_Calculs[[#This Row],[Date_livraison]],INDIRECT(CONCATENATE("Tab_",Tab_Calculs[[#This Row],[Colonne1]],"[Fin de période]")),0)</f>
        <v>1</v>
      </c>
      <c r="K610" t="e">
        <f ca="1">INDEX(INDIRECT(CONCATENATE("Tab_",Tab_Calculs[[#This Row],[Colonne1]])),Tab_Calculs[[#This Row],[index_date_livraison]]-1,6)*(MAX(Tab_Calculs[[#This Row],[Début periode livraison]],Tab_Calculs[[#This Row],[Début mois]])-Tab_Calculs[[#This Row],[Début mois]])</f>
        <v>#VALUE!</v>
      </c>
      <c r="L610" s="94">
        <f ca="1">INDEX(INDIRECT(CONCATENATE("Tab_",Tab_Calculs[[#This Row],[Colonne1]])),Tab_Calculs[[#This Row],[index_date_livraison]],6)*(1+MIN(Tab_Calculs[[#This Row],[Date_livraison]],Tab_Calculs[[#This Row],[fin mois]])-MAX(Tab_Calculs[[#This Row],[Début mois]],Tab_Calculs[[#This Row],[Début periode livraison]]))</f>
        <v>0</v>
      </c>
      <c r="M610" s="94" t="e">
        <f ca="1">INDEX(INDIRECT(CONCATENATE("Tab_",Tab_Calculs[[#This Row],[Colonne1]])),Tab_Calculs[[#This Row],[index_date_livraison]]+1,6)*(Tab_Calculs[[#This Row],[fin mois]]-MIN(Tab_Calculs[[#This Row],[fin mois]],Tab_Calculs[[#This Row],[Date_livraison]]))</f>
        <v>#VALUE!</v>
      </c>
      <c r="N610" s="231" t="str">
        <f ca="1">IFERROR(Tab_Calculs[[#This Row],[Ratio_jour_après_livr]]+Tab_Calculs[[#This Row],[Ratio_jour_avant_livr]]+Tab_Calculs[[#This Row],[ratio_avant_debut]],"")</f>
        <v/>
      </c>
      <c r="O610" t="e">
        <f ca="1">INDEX(INDIRECT(CONCATENATE("Tab_",Tab_Calculs[[#This Row],[Colonne1]])),Tab_Calculs[[#This Row],[index_date_livraison]]-1,7)*(MAX(Tab_Calculs[[#This Row],[Début periode livraison]],Tab_Calculs[[#This Row],[Début mois]])-Tab_Calculs[[#This Row],[Début mois]])</f>
        <v>#VALUE!</v>
      </c>
      <c r="P610">
        <f ca="1">INDEX(INDIRECT(CONCATENATE("Tab_",Tab_Calculs[[#This Row],[Colonne1]])),Tab_Calculs[[#This Row],[index_date_livraison]],7)*(1+MIN(Tab_Calculs[[#This Row],[Date_livraison]],Tab_Calculs[[#This Row],[fin mois]])-MAX(Tab_Calculs[[#This Row],[Début mois]],Tab_Calculs[[#This Row],[Début periode livraison]]))</f>
        <v>0</v>
      </c>
      <c r="Q610" t="e">
        <f ca="1">INDEX(INDIRECT(CONCATENATE("Tab_",Tab_Calculs[[#This Row],[Colonne1]])),Tab_Calculs[[#This Row],[index_date_livraison]]+1,7)*(Tab_Calculs[[#This Row],[fin mois]]-MIN(Tab_Calculs[[#This Row],[fin mois]],Tab_Calculs[[#This Row],[Date_livraison]]))</f>
        <v>#VALUE!</v>
      </c>
      <c r="R610" t="e">
        <f ca="1">Tab_Calculs[[#This Row],[Ratio_Cout_après_livr]]+Tab_Calculs[[#This Row],[Ratio_Cout_avant_livr]]+Tab_Calculs[[#This Row],[Ratio_Cout_avant_debut]]</f>
        <v>#VALUE!</v>
      </c>
      <c r="S610" t="str">
        <f ca="1">IFERROR(N610*VLOOKUP(Tab_Calculs[[#This Row],[Colonne1]],Controle_des_données!$B$7:$G$14,6,FALSE),"")</f>
        <v/>
      </c>
      <c r="T610" t="str">
        <f ca="1">IF(Tab_Calculs[[#This Row],[Combustible ]]="Electricité (kWh)",Tab_Calculs[[#This Row],[Conso_mois_kWh]]*2.3,Tab_Calculs[[#This Row],[Conso_mois_kWh]])</f>
        <v/>
      </c>
      <c r="U610" t="str">
        <f ca="1">IFERROR(N610*VLOOKUP(Tab_Calculs[[#This Row],[Colonne1]],Controle_des_données!$B$7:$H$14,7,FALSE),"")</f>
        <v/>
      </c>
      <c r="V610">
        <f ca="1">IFERROR(Tab_Calculs[[#This Row],[Cout_mois]]/Tab_Calculs[[#This Row],[Conso_mois_kWh]],0)</f>
        <v>0</v>
      </c>
      <c r="W610" t="str">
        <f>T(VLOOKUP(Tab_Calculs[[#This Row],[Compteur]],Site!$B$33:$G$40,3,FALSE))</f>
        <v/>
      </c>
      <c r="X610" t="str">
        <f>T(VLOOKUP(Tab_Calculs[[#This Row],[Compteur]],Site!$B$33:$G$40,4,FALSE))</f>
        <v/>
      </c>
      <c r="Y610" t="str">
        <f>T(VLOOKUP(Tab_Calculs[[#This Row],[Compteur]],Site!$B$33:$G$40,5,FALSE))</f>
        <v/>
      </c>
      <c r="Z610" t="str">
        <f>T(VLOOKUP(Tab_Calculs[[#This Row],[Compteur]],Site!$B$33:$G$40,6,FALSE))</f>
        <v/>
      </c>
      <c r="AA610">
        <f>IFERROR(GETPIVOTDATA("DJU(chauffagiste)",BDD_DJU!$P$13,"annee",Tab_Calculs[[#This Row],[ANNEE]],"mois_numero",Tab_Calculs[[#This Row],[MOIS]]),0)</f>
        <v>469.8</v>
      </c>
    </row>
    <row r="611" spans="1:27" x14ac:dyDescent="0.25">
      <c r="A611" s="3">
        <f>DATE(Tab_Calculs[[#This Row],[ANNEE]],Tab_Calculs[[#This Row],[MOIS]],1)</f>
        <v>40969</v>
      </c>
      <c r="B611" s="3">
        <f>EDATE(Tab_Calculs[[#This Row],[Début mois]],1)-1</f>
        <v>40999</v>
      </c>
      <c r="C611">
        <v>3</v>
      </c>
      <c r="D611">
        <v>2012</v>
      </c>
      <c r="E611" t="s">
        <v>83</v>
      </c>
      <c r="F611" t="str">
        <f>SUBSTITUTE(Tab_Calculs[[#This Row],[Compteur]]," ","_")</f>
        <v>Compteur_4</v>
      </c>
      <c r="G611" t="str">
        <f>T(INDEX(Site!$B$33:$G$40, MATCH(Tab_Calculs[[#This Row],[Compteur]], Site!$B$33:$B$40,0),2))</f>
        <v/>
      </c>
      <c r="H611" s="3">
        <f t="array" aca="1" ref="H611" ca="1">MIN(IF(INDIRECT(CONCATENATE(Tab_Calculs[[#This Row],[Colonne1]],"!$B$2:$B$243"))&gt;=Calculs_Consos!$A611,INDIRECT(CONCATENATE(Tab_Calculs[[#This Row],[Colonne1]],"!$B$2:$B$243"))))</f>
        <v>0</v>
      </c>
      <c r="I611" s="3">
        <f ca="1">INDEX(INDIRECT(CONCATENATE("Tab_",Tab_Calculs[[#This Row],[Colonne1]])),Tab_Calculs[[#This Row],[index_date_livraison]],1)</f>
        <v>0</v>
      </c>
      <c r="J611">
        <f ca="1">MATCH(Tab_Calculs[[#This Row],[Date_livraison]],INDIRECT(CONCATENATE("Tab_",Tab_Calculs[[#This Row],[Colonne1]],"[Fin de période]")),0)</f>
        <v>1</v>
      </c>
      <c r="K611" t="e">
        <f ca="1">INDEX(INDIRECT(CONCATENATE("Tab_",Tab_Calculs[[#This Row],[Colonne1]])),Tab_Calculs[[#This Row],[index_date_livraison]]-1,6)*(MAX(Tab_Calculs[[#This Row],[Début periode livraison]],Tab_Calculs[[#This Row],[Début mois]])-Tab_Calculs[[#This Row],[Début mois]])</f>
        <v>#VALUE!</v>
      </c>
      <c r="L611" s="94">
        <f ca="1">INDEX(INDIRECT(CONCATENATE("Tab_",Tab_Calculs[[#This Row],[Colonne1]])),Tab_Calculs[[#This Row],[index_date_livraison]],6)*(1+MIN(Tab_Calculs[[#This Row],[Date_livraison]],Tab_Calculs[[#This Row],[fin mois]])-MAX(Tab_Calculs[[#This Row],[Début mois]],Tab_Calculs[[#This Row],[Début periode livraison]]))</f>
        <v>0</v>
      </c>
      <c r="M611" s="94" t="e">
        <f ca="1">INDEX(INDIRECT(CONCATENATE("Tab_",Tab_Calculs[[#This Row],[Colonne1]])),Tab_Calculs[[#This Row],[index_date_livraison]]+1,6)*(Tab_Calculs[[#This Row],[fin mois]]-MIN(Tab_Calculs[[#This Row],[fin mois]],Tab_Calculs[[#This Row],[Date_livraison]]))</f>
        <v>#VALUE!</v>
      </c>
      <c r="N611" s="231" t="str">
        <f ca="1">IFERROR(Tab_Calculs[[#This Row],[Ratio_jour_après_livr]]+Tab_Calculs[[#This Row],[Ratio_jour_avant_livr]]+Tab_Calculs[[#This Row],[ratio_avant_debut]],"")</f>
        <v/>
      </c>
      <c r="O611" t="e">
        <f ca="1">INDEX(INDIRECT(CONCATENATE("Tab_",Tab_Calculs[[#This Row],[Colonne1]])),Tab_Calculs[[#This Row],[index_date_livraison]]-1,7)*(MAX(Tab_Calculs[[#This Row],[Début periode livraison]],Tab_Calculs[[#This Row],[Début mois]])-Tab_Calculs[[#This Row],[Début mois]])</f>
        <v>#VALUE!</v>
      </c>
      <c r="P611">
        <f ca="1">INDEX(INDIRECT(CONCATENATE("Tab_",Tab_Calculs[[#This Row],[Colonne1]])),Tab_Calculs[[#This Row],[index_date_livraison]],7)*(1+MIN(Tab_Calculs[[#This Row],[Date_livraison]],Tab_Calculs[[#This Row],[fin mois]])-MAX(Tab_Calculs[[#This Row],[Début mois]],Tab_Calculs[[#This Row],[Début periode livraison]]))</f>
        <v>0</v>
      </c>
      <c r="Q611" t="e">
        <f ca="1">INDEX(INDIRECT(CONCATENATE("Tab_",Tab_Calculs[[#This Row],[Colonne1]])),Tab_Calculs[[#This Row],[index_date_livraison]]+1,7)*(Tab_Calculs[[#This Row],[fin mois]]-MIN(Tab_Calculs[[#This Row],[fin mois]],Tab_Calculs[[#This Row],[Date_livraison]]))</f>
        <v>#VALUE!</v>
      </c>
      <c r="R611" t="e">
        <f ca="1">Tab_Calculs[[#This Row],[Ratio_Cout_après_livr]]+Tab_Calculs[[#This Row],[Ratio_Cout_avant_livr]]+Tab_Calculs[[#This Row],[Ratio_Cout_avant_debut]]</f>
        <v>#VALUE!</v>
      </c>
      <c r="S611" t="str">
        <f ca="1">IFERROR(N611*VLOOKUP(Tab_Calculs[[#This Row],[Colonne1]],Controle_des_données!$B$7:$G$14,6,FALSE),"")</f>
        <v/>
      </c>
      <c r="T611" t="str">
        <f ca="1">IF(Tab_Calculs[[#This Row],[Combustible ]]="Electricité (kWh)",Tab_Calculs[[#This Row],[Conso_mois_kWh]]*2.3,Tab_Calculs[[#This Row],[Conso_mois_kWh]])</f>
        <v/>
      </c>
      <c r="U611" t="str">
        <f ca="1">IFERROR(N611*VLOOKUP(Tab_Calculs[[#This Row],[Colonne1]],Controle_des_données!$B$7:$H$14,7,FALSE),"")</f>
        <v/>
      </c>
      <c r="V611">
        <f ca="1">IFERROR(Tab_Calculs[[#This Row],[Cout_mois]]/Tab_Calculs[[#This Row],[Conso_mois_kWh]],0)</f>
        <v>0</v>
      </c>
      <c r="W611" t="str">
        <f>T(VLOOKUP(Tab_Calculs[[#This Row],[Compteur]],Site!$B$33:$G$40,3,FALSE))</f>
        <v/>
      </c>
      <c r="X611" t="str">
        <f>T(VLOOKUP(Tab_Calculs[[#This Row],[Compteur]],Site!$B$33:$G$40,4,FALSE))</f>
        <v/>
      </c>
      <c r="Y611" t="str">
        <f>T(VLOOKUP(Tab_Calculs[[#This Row],[Compteur]],Site!$B$33:$G$40,5,FALSE))</f>
        <v/>
      </c>
      <c r="Z611" t="str">
        <f>T(VLOOKUP(Tab_Calculs[[#This Row],[Compteur]],Site!$B$33:$G$40,6,FALSE))</f>
        <v/>
      </c>
      <c r="AA611">
        <f>IFERROR(GETPIVOTDATA("DJU(chauffagiste)",BDD_DJU!$P$13,"annee",Tab_Calculs[[#This Row],[ANNEE]],"mois_numero",Tab_Calculs[[#This Row],[MOIS]]),0)</f>
        <v>247.3</v>
      </c>
    </row>
    <row r="612" spans="1:27" x14ac:dyDescent="0.25">
      <c r="A612" s="3">
        <f>DATE(Tab_Calculs[[#This Row],[ANNEE]],Tab_Calculs[[#This Row],[MOIS]],1)</f>
        <v>41000</v>
      </c>
      <c r="B612" s="3">
        <f>EDATE(Tab_Calculs[[#This Row],[Début mois]],1)-1</f>
        <v>41029</v>
      </c>
      <c r="C612">
        <v>4</v>
      </c>
      <c r="D612">
        <v>2012</v>
      </c>
      <c r="E612" t="s">
        <v>83</v>
      </c>
      <c r="F612" t="str">
        <f>SUBSTITUTE(Tab_Calculs[[#This Row],[Compteur]]," ","_")</f>
        <v>Compteur_4</v>
      </c>
      <c r="G612" t="str">
        <f>T(INDEX(Site!$B$33:$G$40, MATCH(Tab_Calculs[[#This Row],[Compteur]], Site!$B$33:$B$40,0),2))</f>
        <v/>
      </c>
      <c r="H612" s="3">
        <f t="array" aca="1" ref="H612" ca="1">MIN(IF(INDIRECT(CONCATENATE(Tab_Calculs[[#This Row],[Colonne1]],"!$B$2:$B$243"))&gt;=Calculs_Consos!$A612,INDIRECT(CONCATENATE(Tab_Calculs[[#This Row],[Colonne1]],"!$B$2:$B$243"))))</f>
        <v>0</v>
      </c>
      <c r="I612" s="3">
        <f ca="1">INDEX(INDIRECT(CONCATENATE("Tab_",Tab_Calculs[[#This Row],[Colonne1]])),Tab_Calculs[[#This Row],[index_date_livraison]],1)</f>
        <v>0</v>
      </c>
      <c r="J612">
        <f ca="1">MATCH(Tab_Calculs[[#This Row],[Date_livraison]],INDIRECT(CONCATENATE("Tab_",Tab_Calculs[[#This Row],[Colonne1]],"[Fin de période]")),0)</f>
        <v>1</v>
      </c>
      <c r="K612" t="e">
        <f ca="1">INDEX(INDIRECT(CONCATENATE("Tab_",Tab_Calculs[[#This Row],[Colonne1]])),Tab_Calculs[[#This Row],[index_date_livraison]]-1,6)*(MAX(Tab_Calculs[[#This Row],[Début periode livraison]],Tab_Calculs[[#This Row],[Début mois]])-Tab_Calculs[[#This Row],[Début mois]])</f>
        <v>#VALUE!</v>
      </c>
      <c r="L612" s="94">
        <f ca="1">INDEX(INDIRECT(CONCATENATE("Tab_",Tab_Calculs[[#This Row],[Colonne1]])),Tab_Calculs[[#This Row],[index_date_livraison]],6)*(1+MIN(Tab_Calculs[[#This Row],[Date_livraison]],Tab_Calculs[[#This Row],[fin mois]])-MAX(Tab_Calculs[[#This Row],[Début mois]],Tab_Calculs[[#This Row],[Début periode livraison]]))</f>
        <v>0</v>
      </c>
      <c r="M612" s="94" t="e">
        <f ca="1">INDEX(INDIRECT(CONCATENATE("Tab_",Tab_Calculs[[#This Row],[Colonne1]])),Tab_Calculs[[#This Row],[index_date_livraison]]+1,6)*(Tab_Calculs[[#This Row],[fin mois]]-MIN(Tab_Calculs[[#This Row],[fin mois]],Tab_Calculs[[#This Row],[Date_livraison]]))</f>
        <v>#VALUE!</v>
      </c>
      <c r="N612" s="231" t="str">
        <f ca="1">IFERROR(Tab_Calculs[[#This Row],[Ratio_jour_après_livr]]+Tab_Calculs[[#This Row],[Ratio_jour_avant_livr]]+Tab_Calculs[[#This Row],[ratio_avant_debut]],"")</f>
        <v/>
      </c>
      <c r="O612" t="e">
        <f ca="1">INDEX(INDIRECT(CONCATENATE("Tab_",Tab_Calculs[[#This Row],[Colonne1]])),Tab_Calculs[[#This Row],[index_date_livraison]]-1,7)*(MAX(Tab_Calculs[[#This Row],[Début periode livraison]],Tab_Calculs[[#This Row],[Début mois]])-Tab_Calculs[[#This Row],[Début mois]])</f>
        <v>#VALUE!</v>
      </c>
      <c r="P612">
        <f ca="1">INDEX(INDIRECT(CONCATENATE("Tab_",Tab_Calculs[[#This Row],[Colonne1]])),Tab_Calculs[[#This Row],[index_date_livraison]],7)*(1+MIN(Tab_Calculs[[#This Row],[Date_livraison]],Tab_Calculs[[#This Row],[fin mois]])-MAX(Tab_Calculs[[#This Row],[Début mois]],Tab_Calculs[[#This Row],[Début periode livraison]]))</f>
        <v>0</v>
      </c>
      <c r="Q612" t="e">
        <f ca="1">INDEX(INDIRECT(CONCATENATE("Tab_",Tab_Calculs[[#This Row],[Colonne1]])),Tab_Calculs[[#This Row],[index_date_livraison]]+1,7)*(Tab_Calculs[[#This Row],[fin mois]]-MIN(Tab_Calculs[[#This Row],[fin mois]],Tab_Calculs[[#This Row],[Date_livraison]]))</f>
        <v>#VALUE!</v>
      </c>
      <c r="R612" t="e">
        <f ca="1">Tab_Calculs[[#This Row],[Ratio_Cout_après_livr]]+Tab_Calculs[[#This Row],[Ratio_Cout_avant_livr]]+Tab_Calculs[[#This Row],[Ratio_Cout_avant_debut]]</f>
        <v>#VALUE!</v>
      </c>
      <c r="S612" t="str">
        <f ca="1">IFERROR(N612*VLOOKUP(Tab_Calculs[[#This Row],[Colonne1]],Controle_des_données!$B$7:$G$14,6,FALSE),"")</f>
        <v/>
      </c>
      <c r="T612" t="str">
        <f ca="1">IF(Tab_Calculs[[#This Row],[Combustible ]]="Electricité (kWh)",Tab_Calculs[[#This Row],[Conso_mois_kWh]]*2.3,Tab_Calculs[[#This Row],[Conso_mois_kWh]])</f>
        <v/>
      </c>
      <c r="U612" t="str">
        <f ca="1">IFERROR(N612*VLOOKUP(Tab_Calculs[[#This Row],[Colonne1]],Controle_des_données!$B$7:$H$14,7,FALSE),"")</f>
        <v/>
      </c>
      <c r="V612">
        <f ca="1">IFERROR(Tab_Calculs[[#This Row],[Cout_mois]]/Tab_Calculs[[#This Row],[Conso_mois_kWh]],0)</f>
        <v>0</v>
      </c>
      <c r="W612" t="str">
        <f>T(VLOOKUP(Tab_Calculs[[#This Row],[Compteur]],Site!$B$33:$G$40,3,FALSE))</f>
        <v/>
      </c>
      <c r="X612" t="str">
        <f>T(VLOOKUP(Tab_Calculs[[#This Row],[Compteur]],Site!$B$33:$G$40,4,FALSE))</f>
        <v/>
      </c>
      <c r="Y612" t="str">
        <f>T(VLOOKUP(Tab_Calculs[[#This Row],[Compteur]],Site!$B$33:$G$40,5,FALSE))</f>
        <v/>
      </c>
      <c r="Z612" t="str">
        <f>T(VLOOKUP(Tab_Calculs[[#This Row],[Compteur]],Site!$B$33:$G$40,6,FALSE))</f>
        <v/>
      </c>
      <c r="AA612">
        <f>IFERROR(GETPIVOTDATA("DJU(chauffagiste)",BDD_DJU!$P$13,"annee",Tab_Calculs[[#This Row],[ANNEE]],"mois_numero",Tab_Calculs[[#This Row],[MOIS]]),0)</f>
        <v>253.8</v>
      </c>
    </row>
    <row r="613" spans="1:27" x14ac:dyDescent="0.25">
      <c r="A613" s="3">
        <f>DATE(Tab_Calculs[[#This Row],[ANNEE]],Tab_Calculs[[#This Row],[MOIS]],1)</f>
        <v>41030</v>
      </c>
      <c r="B613" s="3">
        <f>EDATE(Tab_Calculs[[#This Row],[Début mois]],1)-1</f>
        <v>41060</v>
      </c>
      <c r="C613">
        <v>5</v>
      </c>
      <c r="D613">
        <v>2012</v>
      </c>
      <c r="E613" t="s">
        <v>83</v>
      </c>
      <c r="F613" t="str">
        <f>SUBSTITUTE(Tab_Calculs[[#This Row],[Compteur]]," ","_")</f>
        <v>Compteur_4</v>
      </c>
      <c r="G613" t="str">
        <f>T(INDEX(Site!$B$33:$G$40, MATCH(Tab_Calculs[[#This Row],[Compteur]], Site!$B$33:$B$40,0),2))</f>
        <v/>
      </c>
      <c r="H613" s="3">
        <f t="array" aca="1" ref="H613" ca="1">MIN(IF(INDIRECT(CONCATENATE(Tab_Calculs[[#This Row],[Colonne1]],"!$B$2:$B$243"))&gt;=Calculs_Consos!$A613,INDIRECT(CONCATENATE(Tab_Calculs[[#This Row],[Colonne1]],"!$B$2:$B$243"))))</f>
        <v>0</v>
      </c>
      <c r="I613" s="3">
        <f ca="1">INDEX(INDIRECT(CONCATENATE("Tab_",Tab_Calculs[[#This Row],[Colonne1]])),Tab_Calculs[[#This Row],[index_date_livraison]],1)</f>
        <v>0</v>
      </c>
      <c r="J613">
        <f ca="1">MATCH(Tab_Calculs[[#This Row],[Date_livraison]],INDIRECT(CONCATENATE("Tab_",Tab_Calculs[[#This Row],[Colonne1]],"[Fin de période]")),0)</f>
        <v>1</v>
      </c>
      <c r="K613" t="e">
        <f ca="1">INDEX(INDIRECT(CONCATENATE("Tab_",Tab_Calculs[[#This Row],[Colonne1]])),Tab_Calculs[[#This Row],[index_date_livraison]]-1,6)*(MAX(Tab_Calculs[[#This Row],[Début periode livraison]],Tab_Calculs[[#This Row],[Début mois]])-Tab_Calculs[[#This Row],[Début mois]])</f>
        <v>#VALUE!</v>
      </c>
      <c r="L613" s="94">
        <f ca="1">INDEX(INDIRECT(CONCATENATE("Tab_",Tab_Calculs[[#This Row],[Colonne1]])),Tab_Calculs[[#This Row],[index_date_livraison]],6)*(1+MIN(Tab_Calculs[[#This Row],[Date_livraison]],Tab_Calculs[[#This Row],[fin mois]])-MAX(Tab_Calculs[[#This Row],[Début mois]],Tab_Calculs[[#This Row],[Début periode livraison]]))</f>
        <v>0</v>
      </c>
      <c r="M613" s="94" t="e">
        <f ca="1">INDEX(INDIRECT(CONCATENATE("Tab_",Tab_Calculs[[#This Row],[Colonne1]])),Tab_Calculs[[#This Row],[index_date_livraison]]+1,6)*(Tab_Calculs[[#This Row],[fin mois]]-MIN(Tab_Calculs[[#This Row],[fin mois]],Tab_Calculs[[#This Row],[Date_livraison]]))</f>
        <v>#VALUE!</v>
      </c>
      <c r="N613" s="231" t="str">
        <f ca="1">IFERROR(Tab_Calculs[[#This Row],[Ratio_jour_après_livr]]+Tab_Calculs[[#This Row],[Ratio_jour_avant_livr]]+Tab_Calculs[[#This Row],[ratio_avant_debut]],"")</f>
        <v/>
      </c>
      <c r="O613" t="e">
        <f ca="1">INDEX(INDIRECT(CONCATENATE("Tab_",Tab_Calculs[[#This Row],[Colonne1]])),Tab_Calculs[[#This Row],[index_date_livraison]]-1,7)*(MAX(Tab_Calculs[[#This Row],[Début periode livraison]],Tab_Calculs[[#This Row],[Début mois]])-Tab_Calculs[[#This Row],[Début mois]])</f>
        <v>#VALUE!</v>
      </c>
      <c r="P613">
        <f ca="1">INDEX(INDIRECT(CONCATENATE("Tab_",Tab_Calculs[[#This Row],[Colonne1]])),Tab_Calculs[[#This Row],[index_date_livraison]],7)*(1+MIN(Tab_Calculs[[#This Row],[Date_livraison]],Tab_Calculs[[#This Row],[fin mois]])-MAX(Tab_Calculs[[#This Row],[Début mois]],Tab_Calculs[[#This Row],[Début periode livraison]]))</f>
        <v>0</v>
      </c>
      <c r="Q613" t="e">
        <f ca="1">INDEX(INDIRECT(CONCATENATE("Tab_",Tab_Calculs[[#This Row],[Colonne1]])),Tab_Calculs[[#This Row],[index_date_livraison]]+1,7)*(Tab_Calculs[[#This Row],[fin mois]]-MIN(Tab_Calculs[[#This Row],[fin mois]],Tab_Calculs[[#This Row],[Date_livraison]]))</f>
        <v>#VALUE!</v>
      </c>
      <c r="R613" t="e">
        <f ca="1">Tab_Calculs[[#This Row],[Ratio_Cout_après_livr]]+Tab_Calculs[[#This Row],[Ratio_Cout_avant_livr]]+Tab_Calculs[[#This Row],[Ratio_Cout_avant_debut]]</f>
        <v>#VALUE!</v>
      </c>
      <c r="S613" t="str">
        <f ca="1">IFERROR(N613*VLOOKUP(Tab_Calculs[[#This Row],[Colonne1]],Controle_des_données!$B$7:$G$14,6,FALSE),"")</f>
        <v/>
      </c>
      <c r="T613" t="str">
        <f ca="1">IF(Tab_Calculs[[#This Row],[Combustible ]]="Electricité (kWh)",Tab_Calculs[[#This Row],[Conso_mois_kWh]]*2.3,Tab_Calculs[[#This Row],[Conso_mois_kWh]])</f>
        <v/>
      </c>
      <c r="U613" t="str">
        <f ca="1">IFERROR(N613*VLOOKUP(Tab_Calculs[[#This Row],[Colonne1]],Controle_des_données!$B$7:$H$14,7,FALSE),"")</f>
        <v/>
      </c>
      <c r="V613">
        <f ca="1">IFERROR(Tab_Calculs[[#This Row],[Cout_mois]]/Tab_Calculs[[#This Row],[Conso_mois_kWh]],0)</f>
        <v>0</v>
      </c>
      <c r="W613" t="str">
        <f>T(VLOOKUP(Tab_Calculs[[#This Row],[Compteur]],Site!$B$33:$G$40,3,FALSE))</f>
        <v/>
      </c>
      <c r="X613" t="str">
        <f>T(VLOOKUP(Tab_Calculs[[#This Row],[Compteur]],Site!$B$33:$G$40,4,FALSE))</f>
        <v/>
      </c>
      <c r="Y613" t="str">
        <f>T(VLOOKUP(Tab_Calculs[[#This Row],[Compteur]],Site!$B$33:$G$40,5,FALSE))</f>
        <v/>
      </c>
      <c r="Z613" t="str">
        <f>T(VLOOKUP(Tab_Calculs[[#This Row],[Compteur]],Site!$B$33:$G$40,6,FALSE))</f>
        <v/>
      </c>
      <c r="AA613">
        <f>IFERROR(GETPIVOTDATA("DJU(chauffagiste)",BDD_DJU!$P$13,"annee",Tab_Calculs[[#This Row],[ANNEE]],"mois_numero",Tab_Calculs[[#This Row],[MOIS]]),0)</f>
        <v>113.8</v>
      </c>
    </row>
    <row r="614" spans="1:27" x14ac:dyDescent="0.25">
      <c r="A614" s="3">
        <f>DATE(Tab_Calculs[[#This Row],[ANNEE]],Tab_Calculs[[#This Row],[MOIS]],1)</f>
        <v>41061</v>
      </c>
      <c r="B614" s="3">
        <f>EDATE(Tab_Calculs[[#This Row],[Début mois]],1)-1</f>
        <v>41090</v>
      </c>
      <c r="C614">
        <v>6</v>
      </c>
      <c r="D614">
        <v>2012</v>
      </c>
      <c r="E614" t="s">
        <v>83</v>
      </c>
      <c r="F614" t="str">
        <f>SUBSTITUTE(Tab_Calculs[[#This Row],[Compteur]]," ","_")</f>
        <v>Compteur_4</v>
      </c>
      <c r="G614" t="str">
        <f>T(INDEX(Site!$B$33:$G$40, MATCH(Tab_Calculs[[#This Row],[Compteur]], Site!$B$33:$B$40,0),2))</f>
        <v/>
      </c>
      <c r="H614" s="3">
        <f t="array" aca="1" ref="H614" ca="1">MIN(IF(INDIRECT(CONCATENATE(Tab_Calculs[[#This Row],[Colonne1]],"!$B$2:$B$243"))&gt;=Calculs_Consos!$A614,INDIRECT(CONCATENATE(Tab_Calculs[[#This Row],[Colonne1]],"!$B$2:$B$243"))))</f>
        <v>0</v>
      </c>
      <c r="I614" s="3">
        <f ca="1">INDEX(INDIRECT(CONCATENATE("Tab_",Tab_Calculs[[#This Row],[Colonne1]])),Tab_Calculs[[#This Row],[index_date_livraison]],1)</f>
        <v>0</v>
      </c>
      <c r="J614">
        <f ca="1">MATCH(Tab_Calculs[[#This Row],[Date_livraison]],INDIRECT(CONCATENATE("Tab_",Tab_Calculs[[#This Row],[Colonne1]],"[Fin de période]")),0)</f>
        <v>1</v>
      </c>
      <c r="K614" t="e">
        <f ca="1">INDEX(INDIRECT(CONCATENATE("Tab_",Tab_Calculs[[#This Row],[Colonne1]])),Tab_Calculs[[#This Row],[index_date_livraison]]-1,6)*(MAX(Tab_Calculs[[#This Row],[Début periode livraison]],Tab_Calculs[[#This Row],[Début mois]])-Tab_Calculs[[#This Row],[Début mois]])</f>
        <v>#VALUE!</v>
      </c>
      <c r="L614" s="94">
        <f ca="1">INDEX(INDIRECT(CONCATENATE("Tab_",Tab_Calculs[[#This Row],[Colonne1]])),Tab_Calculs[[#This Row],[index_date_livraison]],6)*(1+MIN(Tab_Calculs[[#This Row],[Date_livraison]],Tab_Calculs[[#This Row],[fin mois]])-MAX(Tab_Calculs[[#This Row],[Début mois]],Tab_Calculs[[#This Row],[Début periode livraison]]))</f>
        <v>0</v>
      </c>
      <c r="M614" s="94" t="e">
        <f ca="1">INDEX(INDIRECT(CONCATENATE("Tab_",Tab_Calculs[[#This Row],[Colonne1]])),Tab_Calculs[[#This Row],[index_date_livraison]]+1,6)*(Tab_Calculs[[#This Row],[fin mois]]-MIN(Tab_Calculs[[#This Row],[fin mois]],Tab_Calculs[[#This Row],[Date_livraison]]))</f>
        <v>#VALUE!</v>
      </c>
      <c r="N614" s="231" t="str">
        <f ca="1">IFERROR(Tab_Calculs[[#This Row],[Ratio_jour_après_livr]]+Tab_Calculs[[#This Row],[Ratio_jour_avant_livr]]+Tab_Calculs[[#This Row],[ratio_avant_debut]],"")</f>
        <v/>
      </c>
      <c r="O614" t="e">
        <f ca="1">INDEX(INDIRECT(CONCATENATE("Tab_",Tab_Calculs[[#This Row],[Colonne1]])),Tab_Calculs[[#This Row],[index_date_livraison]]-1,7)*(MAX(Tab_Calculs[[#This Row],[Début periode livraison]],Tab_Calculs[[#This Row],[Début mois]])-Tab_Calculs[[#This Row],[Début mois]])</f>
        <v>#VALUE!</v>
      </c>
      <c r="P614">
        <f ca="1">INDEX(INDIRECT(CONCATENATE("Tab_",Tab_Calculs[[#This Row],[Colonne1]])),Tab_Calculs[[#This Row],[index_date_livraison]],7)*(1+MIN(Tab_Calculs[[#This Row],[Date_livraison]],Tab_Calculs[[#This Row],[fin mois]])-MAX(Tab_Calculs[[#This Row],[Début mois]],Tab_Calculs[[#This Row],[Début periode livraison]]))</f>
        <v>0</v>
      </c>
      <c r="Q614" t="e">
        <f ca="1">INDEX(INDIRECT(CONCATENATE("Tab_",Tab_Calculs[[#This Row],[Colonne1]])),Tab_Calculs[[#This Row],[index_date_livraison]]+1,7)*(Tab_Calculs[[#This Row],[fin mois]]-MIN(Tab_Calculs[[#This Row],[fin mois]],Tab_Calculs[[#This Row],[Date_livraison]]))</f>
        <v>#VALUE!</v>
      </c>
      <c r="R614" t="e">
        <f ca="1">Tab_Calculs[[#This Row],[Ratio_Cout_après_livr]]+Tab_Calculs[[#This Row],[Ratio_Cout_avant_livr]]+Tab_Calculs[[#This Row],[Ratio_Cout_avant_debut]]</f>
        <v>#VALUE!</v>
      </c>
      <c r="S614" t="str">
        <f ca="1">IFERROR(N614*VLOOKUP(Tab_Calculs[[#This Row],[Colonne1]],Controle_des_données!$B$7:$G$14,6,FALSE),"")</f>
        <v/>
      </c>
      <c r="T614" t="str">
        <f ca="1">IF(Tab_Calculs[[#This Row],[Combustible ]]="Electricité (kWh)",Tab_Calculs[[#This Row],[Conso_mois_kWh]]*2.3,Tab_Calculs[[#This Row],[Conso_mois_kWh]])</f>
        <v/>
      </c>
      <c r="U614" t="str">
        <f ca="1">IFERROR(N614*VLOOKUP(Tab_Calculs[[#This Row],[Colonne1]],Controle_des_données!$B$7:$H$14,7,FALSE),"")</f>
        <v/>
      </c>
      <c r="V614">
        <f ca="1">IFERROR(Tab_Calculs[[#This Row],[Cout_mois]]/Tab_Calculs[[#This Row],[Conso_mois_kWh]],0)</f>
        <v>0</v>
      </c>
      <c r="W614" t="str">
        <f>T(VLOOKUP(Tab_Calculs[[#This Row],[Compteur]],Site!$B$33:$G$40,3,FALSE))</f>
        <v/>
      </c>
      <c r="X614" t="str">
        <f>T(VLOOKUP(Tab_Calculs[[#This Row],[Compteur]],Site!$B$33:$G$40,4,FALSE))</f>
        <v/>
      </c>
      <c r="Y614" t="str">
        <f>T(VLOOKUP(Tab_Calculs[[#This Row],[Compteur]],Site!$B$33:$G$40,5,FALSE))</f>
        <v/>
      </c>
      <c r="Z614" t="str">
        <f>T(VLOOKUP(Tab_Calculs[[#This Row],[Compteur]],Site!$B$33:$G$40,6,FALSE))</f>
        <v/>
      </c>
      <c r="AA614">
        <f>IFERROR(GETPIVOTDATA("DJU(chauffagiste)",BDD_DJU!$P$13,"annee",Tab_Calculs[[#This Row],[ANNEE]],"mois_numero",Tab_Calculs[[#This Row],[MOIS]]),0)</f>
        <v>59.4</v>
      </c>
    </row>
    <row r="615" spans="1:27" x14ac:dyDescent="0.25">
      <c r="A615" s="3">
        <f>DATE(Tab_Calculs[[#This Row],[ANNEE]],Tab_Calculs[[#This Row],[MOIS]],1)</f>
        <v>41091</v>
      </c>
      <c r="B615" s="3">
        <f>EDATE(Tab_Calculs[[#This Row],[Début mois]],1)-1</f>
        <v>41121</v>
      </c>
      <c r="C615">
        <v>7</v>
      </c>
      <c r="D615">
        <v>2012</v>
      </c>
      <c r="E615" t="s">
        <v>83</v>
      </c>
      <c r="F615" t="str">
        <f>SUBSTITUTE(Tab_Calculs[[#This Row],[Compteur]]," ","_")</f>
        <v>Compteur_4</v>
      </c>
      <c r="G615" t="str">
        <f>T(INDEX(Site!$B$33:$G$40, MATCH(Tab_Calculs[[#This Row],[Compteur]], Site!$B$33:$B$40,0),2))</f>
        <v/>
      </c>
      <c r="H615" s="3">
        <f t="array" aca="1" ref="H615" ca="1">MIN(IF(INDIRECT(CONCATENATE(Tab_Calculs[[#This Row],[Colonne1]],"!$B$2:$B$243"))&gt;=Calculs_Consos!$A615,INDIRECT(CONCATENATE(Tab_Calculs[[#This Row],[Colonne1]],"!$B$2:$B$243"))))</f>
        <v>0</v>
      </c>
      <c r="I615" s="3">
        <f ca="1">INDEX(INDIRECT(CONCATENATE("Tab_",Tab_Calculs[[#This Row],[Colonne1]])),Tab_Calculs[[#This Row],[index_date_livraison]],1)</f>
        <v>0</v>
      </c>
      <c r="J615">
        <f ca="1">MATCH(Tab_Calculs[[#This Row],[Date_livraison]],INDIRECT(CONCATENATE("Tab_",Tab_Calculs[[#This Row],[Colonne1]],"[Fin de période]")),0)</f>
        <v>1</v>
      </c>
      <c r="K615" t="e">
        <f ca="1">INDEX(INDIRECT(CONCATENATE("Tab_",Tab_Calculs[[#This Row],[Colonne1]])),Tab_Calculs[[#This Row],[index_date_livraison]]-1,6)*(MAX(Tab_Calculs[[#This Row],[Début periode livraison]],Tab_Calculs[[#This Row],[Début mois]])-Tab_Calculs[[#This Row],[Début mois]])</f>
        <v>#VALUE!</v>
      </c>
      <c r="L615" s="94">
        <f ca="1">INDEX(INDIRECT(CONCATENATE("Tab_",Tab_Calculs[[#This Row],[Colonne1]])),Tab_Calculs[[#This Row],[index_date_livraison]],6)*(1+MIN(Tab_Calculs[[#This Row],[Date_livraison]],Tab_Calculs[[#This Row],[fin mois]])-MAX(Tab_Calculs[[#This Row],[Début mois]],Tab_Calculs[[#This Row],[Début periode livraison]]))</f>
        <v>0</v>
      </c>
      <c r="M615" s="94" t="e">
        <f ca="1">INDEX(INDIRECT(CONCATENATE("Tab_",Tab_Calculs[[#This Row],[Colonne1]])),Tab_Calculs[[#This Row],[index_date_livraison]]+1,6)*(Tab_Calculs[[#This Row],[fin mois]]-MIN(Tab_Calculs[[#This Row],[fin mois]],Tab_Calculs[[#This Row],[Date_livraison]]))</f>
        <v>#VALUE!</v>
      </c>
      <c r="N615" s="231" t="str">
        <f ca="1">IFERROR(Tab_Calculs[[#This Row],[Ratio_jour_après_livr]]+Tab_Calculs[[#This Row],[Ratio_jour_avant_livr]]+Tab_Calculs[[#This Row],[ratio_avant_debut]],"")</f>
        <v/>
      </c>
      <c r="O615" t="e">
        <f ca="1">INDEX(INDIRECT(CONCATENATE("Tab_",Tab_Calculs[[#This Row],[Colonne1]])),Tab_Calculs[[#This Row],[index_date_livraison]]-1,7)*(MAX(Tab_Calculs[[#This Row],[Début periode livraison]],Tab_Calculs[[#This Row],[Début mois]])-Tab_Calculs[[#This Row],[Début mois]])</f>
        <v>#VALUE!</v>
      </c>
      <c r="P615">
        <f ca="1">INDEX(INDIRECT(CONCATENATE("Tab_",Tab_Calculs[[#This Row],[Colonne1]])),Tab_Calculs[[#This Row],[index_date_livraison]],7)*(1+MIN(Tab_Calculs[[#This Row],[Date_livraison]],Tab_Calculs[[#This Row],[fin mois]])-MAX(Tab_Calculs[[#This Row],[Début mois]],Tab_Calculs[[#This Row],[Début periode livraison]]))</f>
        <v>0</v>
      </c>
      <c r="Q615" t="e">
        <f ca="1">INDEX(INDIRECT(CONCATENATE("Tab_",Tab_Calculs[[#This Row],[Colonne1]])),Tab_Calculs[[#This Row],[index_date_livraison]]+1,7)*(Tab_Calculs[[#This Row],[fin mois]]-MIN(Tab_Calculs[[#This Row],[fin mois]],Tab_Calculs[[#This Row],[Date_livraison]]))</f>
        <v>#VALUE!</v>
      </c>
      <c r="R615" t="e">
        <f ca="1">Tab_Calculs[[#This Row],[Ratio_Cout_après_livr]]+Tab_Calculs[[#This Row],[Ratio_Cout_avant_livr]]+Tab_Calculs[[#This Row],[Ratio_Cout_avant_debut]]</f>
        <v>#VALUE!</v>
      </c>
      <c r="S615" t="str">
        <f ca="1">IFERROR(N615*VLOOKUP(Tab_Calculs[[#This Row],[Colonne1]],Controle_des_données!$B$7:$G$14,6,FALSE),"")</f>
        <v/>
      </c>
      <c r="T615" t="str">
        <f ca="1">IF(Tab_Calculs[[#This Row],[Combustible ]]="Electricité (kWh)",Tab_Calculs[[#This Row],[Conso_mois_kWh]]*2.3,Tab_Calculs[[#This Row],[Conso_mois_kWh]])</f>
        <v/>
      </c>
      <c r="U615" t="str">
        <f ca="1">IFERROR(N615*VLOOKUP(Tab_Calculs[[#This Row],[Colonne1]],Controle_des_données!$B$7:$H$14,7,FALSE),"")</f>
        <v/>
      </c>
      <c r="V615">
        <f ca="1">IFERROR(Tab_Calculs[[#This Row],[Cout_mois]]/Tab_Calculs[[#This Row],[Conso_mois_kWh]],0)</f>
        <v>0</v>
      </c>
      <c r="W615" t="str">
        <f>T(VLOOKUP(Tab_Calculs[[#This Row],[Compteur]],Site!$B$33:$G$40,3,FALSE))</f>
        <v/>
      </c>
      <c r="X615" t="str">
        <f>T(VLOOKUP(Tab_Calculs[[#This Row],[Compteur]],Site!$B$33:$G$40,4,FALSE))</f>
        <v/>
      </c>
      <c r="Y615" t="str">
        <f>T(VLOOKUP(Tab_Calculs[[#This Row],[Compteur]],Site!$B$33:$G$40,5,FALSE))</f>
        <v/>
      </c>
      <c r="Z615" t="str">
        <f>T(VLOOKUP(Tab_Calculs[[#This Row],[Compteur]],Site!$B$33:$G$40,6,FALSE))</f>
        <v/>
      </c>
      <c r="AA615">
        <f>IFERROR(GETPIVOTDATA("DJU(chauffagiste)",BDD_DJU!$P$13,"annee",Tab_Calculs[[#This Row],[ANNEE]],"mois_numero",Tab_Calculs[[#This Row],[MOIS]]),0)</f>
        <v>48.9</v>
      </c>
    </row>
    <row r="616" spans="1:27" x14ac:dyDescent="0.25">
      <c r="A616" s="3">
        <f>DATE(Tab_Calculs[[#This Row],[ANNEE]],Tab_Calculs[[#This Row],[MOIS]],1)</f>
        <v>41122</v>
      </c>
      <c r="B616" s="3">
        <f>EDATE(Tab_Calculs[[#This Row],[Début mois]],1)-1</f>
        <v>41152</v>
      </c>
      <c r="C616">
        <v>8</v>
      </c>
      <c r="D616">
        <v>2012</v>
      </c>
      <c r="E616" t="s">
        <v>83</v>
      </c>
      <c r="F616" t="str">
        <f>SUBSTITUTE(Tab_Calculs[[#This Row],[Compteur]]," ","_")</f>
        <v>Compteur_4</v>
      </c>
      <c r="G616" t="str">
        <f>T(INDEX(Site!$B$33:$G$40, MATCH(Tab_Calculs[[#This Row],[Compteur]], Site!$B$33:$B$40,0),2))</f>
        <v/>
      </c>
      <c r="H616" s="3">
        <f t="array" aca="1" ref="H616" ca="1">MIN(IF(INDIRECT(CONCATENATE(Tab_Calculs[[#This Row],[Colonne1]],"!$B$2:$B$243"))&gt;=Calculs_Consos!$A616,INDIRECT(CONCATENATE(Tab_Calculs[[#This Row],[Colonne1]],"!$B$2:$B$243"))))</f>
        <v>0</v>
      </c>
      <c r="I616" s="3">
        <f ca="1">INDEX(INDIRECT(CONCATENATE("Tab_",Tab_Calculs[[#This Row],[Colonne1]])),Tab_Calculs[[#This Row],[index_date_livraison]],1)</f>
        <v>0</v>
      </c>
      <c r="J616">
        <f ca="1">MATCH(Tab_Calculs[[#This Row],[Date_livraison]],INDIRECT(CONCATENATE("Tab_",Tab_Calculs[[#This Row],[Colonne1]],"[Fin de période]")),0)</f>
        <v>1</v>
      </c>
      <c r="K616" t="e">
        <f ca="1">INDEX(INDIRECT(CONCATENATE("Tab_",Tab_Calculs[[#This Row],[Colonne1]])),Tab_Calculs[[#This Row],[index_date_livraison]]-1,6)*(MAX(Tab_Calculs[[#This Row],[Début periode livraison]],Tab_Calculs[[#This Row],[Début mois]])-Tab_Calculs[[#This Row],[Début mois]])</f>
        <v>#VALUE!</v>
      </c>
      <c r="L616" s="94">
        <f ca="1">INDEX(INDIRECT(CONCATENATE("Tab_",Tab_Calculs[[#This Row],[Colonne1]])),Tab_Calculs[[#This Row],[index_date_livraison]],6)*(1+MIN(Tab_Calculs[[#This Row],[Date_livraison]],Tab_Calculs[[#This Row],[fin mois]])-MAX(Tab_Calculs[[#This Row],[Début mois]],Tab_Calculs[[#This Row],[Début periode livraison]]))</f>
        <v>0</v>
      </c>
      <c r="M616" s="94" t="e">
        <f ca="1">INDEX(INDIRECT(CONCATENATE("Tab_",Tab_Calculs[[#This Row],[Colonne1]])),Tab_Calculs[[#This Row],[index_date_livraison]]+1,6)*(Tab_Calculs[[#This Row],[fin mois]]-MIN(Tab_Calculs[[#This Row],[fin mois]],Tab_Calculs[[#This Row],[Date_livraison]]))</f>
        <v>#VALUE!</v>
      </c>
      <c r="N616" s="231" t="str">
        <f ca="1">IFERROR(Tab_Calculs[[#This Row],[Ratio_jour_après_livr]]+Tab_Calculs[[#This Row],[Ratio_jour_avant_livr]]+Tab_Calculs[[#This Row],[ratio_avant_debut]],"")</f>
        <v/>
      </c>
      <c r="O616" t="e">
        <f ca="1">INDEX(INDIRECT(CONCATENATE("Tab_",Tab_Calculs[[#This Row],[Colonne1]])),Tab_Calculs[[#This Row],[index_date_livraison]]-1,7)*(MAX(Tab_Calculs[[#This Row],[Début periode livraison]],Tab_Calculs[[#This Row],[Début mois]])-Tab_Calculs[[#This Row],[Début mois]])</f>
        <v>#VALUE!</v>
      </c>
      <c r="P616">
        <f ca="1">INDEX(INDIRECT(CONCATENATE("Tab_",Tab_Calculs[[#This Row],[Colonne1]])),Tab_Calculs[[#This Row],[index_date_livraison]],7)*(1+MIN(Tab_Calculs[[#This Row],[Date_livraison]],Tab_Calculs[[#This Row],[fin mois]])-MAX(Tab_Calculs[[#This Row],[Début mois]],Tab_Calculs[[#This Row],[Début periode livraison]]))</f>
        <v>0</v>
      </c>
      <c r="Q616" t="e">
        <f ca="1">INDEX(INDIRECT(CONCATENATE("Tab_",Tab_Calculs[[#This Row],[Colonne1]])),Tab_Calculs[[#This Row],[index_date_livraison]]+1,7)*(Tab_Calculs[[#This Row],[fin mois]]-MIN(Tab_Calculs[[#This Row],[fin mois]],Tab_Calculs[[#This Row],[Date_livraison]]))</f>
        <v>#VALUE!</v>
      </c>
      <c r="R616" t="e">
        <f ca="1">Tab_Calculs[[#This Row],[Ratio_Cout_après_livr]]+Tab_Calculs[[#This Row],[Ratio_Cout_avant_livr]]+Tab_Calculs[[#This Row],[Ratio_Cout_avant_debut]]</f>
        <v>#VALUE!</v>
      </c>
      <c r="S616" t="str">
        <f ca="1">IFERROR(N616*VLOOKUP(Tab_Calculs[[#This Row],[Colonne1]],Controle_des_données!$B$7:$G$14,6,FALSE),"")</f>
        <v/>
      </c>
      <c r="T616" t="str">
        <f ca="1">IF(Tab_Calculs[[#This Row],[Combustible ]]="Electricité (kWh)",Tab_Calculs[[#This Row],[Conso_mois_kWh]]*2.3,Tab_Calculs[[#This Row],[Conso_mois_kWh]])</f>
        <v/>
      </c>
      <c r="U616" t="str">
        <f ca="1">IFERROR(N616*VLOOKUP(Tab_Calculs[[#This Row],[Colonne1]],Controle_des_données!$B$7:$H$14,7,FALSE),"")</f>
        <v/>
      </c>
      <c r="V616">
        <f ca="1">IFERROR(Tab_Calculs[[#This Row],[Cout_mois]]/Tab_Calculs[[#This Row],[Conso_mois_kWh]],0)</f>
        <v>0</v>
      </c>
      <c r="W616" t="str">
        <f>T(VLOOKUP(Tab_Calculs[[#This Row],[Compteur]],Site!$B$33:$G$40,3,FALSE))</f>
        <v/>
      </c>
      <c r="X616" t="str">
        <f>T(VLOOKUP(Tab_Calculs[[#This Row],[Compteur]],Site!$B$33:$G$40,4,FALSE))</f>
        <v/>
      </c>
      <c r="Y616" t="str">
        <f>T(VLOOKUP(Tab_Calculs[[#This Row],[Compteur]],Site!$B$33:$G$40,5,FALSE))</f>
        <v/>
      </c>
      <c r="Z616" t="str">
        <f>T(VLOOKUP(Tab_Calculs[[#This Row],[Compteur]],Site!$B$33:$G$40,6,FALSE))</f>
        <v/>
      </c>
      <c r="AA616">
        <f>IFERROR(GETPIVOTDATA("DJU(chauffagiste)",BDD_DJU!$P$13,"annee",Tab_Calculs[[#This Row],[ANNEE]],"mois_numero",Tab_Calculs[[#This Row],[MOIS]]),0)</f>
        <v>28.8</v>
      </c>
    </row>
    <row r="617" spans="1:27" x14ac:dyDescent="0.25">
      <c r="A617" s="3">
        <f>DATE(Tab_Calculs[[#This Row],[ANNEE]],Tab_Calculs[[#This Row],[MOIS]],1)</f>
        <v>41153</v>
      </c>
      <c r="B617" s="3">
        <f>EDATE(Tab_Calculs[[#This Row],[Début mois]],1)-1</f>
        <v>41182</v>
      </c>
      <c r="C617">
        <v>9</v>
      </c>
      <c r="D617">
        <v>2012</v>
      </c>
      <c r="E617" t="s">
        <v>83</v>
      </c>
      <c r="F617" t="str">
        <f>SUBSTITUTE(Tab_Calculs[[#This Row],[Compteur]]," ","_")</f>
        <v>Compteur_4</v>
      </c>
      <c r="G617" t="str">
        <f>T(INDEX(Site!$B$33:$G$40, MATCH(Tab_Calculs[[#This Row],[Compteur]], Site!$B$33:$B$40,0),2))</f>
        <v/>
      </c>
      <c r="H617" s="3">
        <f t="array" aca="1" ref="H617" ca="1">MIN(IF(INDIRECT(CONCATENATE(Tab_Calculs[[#This Row],[Colonne1]],"!$B$2:$B$243"))&gt;=Calculs_Consos!$A617,INDIRECT(CONCATENATE(Tab_Calculs[[#This Row],[Colonne1]],"!$B$2:$B$243"))))</f>
        <v>0</v>
      </c>
      <c r="I617" s="3">
        <f ca="1">INDEX(INDIRECT(CONCATENATE("Tab_",Tab_Calculs[[#This Row],[Colonne1]])),Tab_Calculs[[#This Row],[index_date_livraison]],1)</f>
        <v>0</v>
      </c>
      <c r="J617">
        <f ca="1">MATCH(Tab_Calculs[[#This Row],[Date_livraison]],INDIRECT(CONCATENATE("Tab_",Tab_Calculs[[#This Row],[Colonne1]],"[Fin de période]")),0)</f>
        <v>1</v>
      </c>
      <c r="K617" t="e">
        <f ca="1">INDEX(INDIRECT(CONCATENATE("Tab_",Tab_Calculs[[#This Row],[Colonne1]])),Tab_Calculs[[#This Row],[index_date_livraison]]-1,6)*(MAX(Tab_Calculs[[#This Row],[Début periode livraison]],Tab_Calculs[[#This Row],[Début mois]])-Tab_Calculs[[#This Row],[Début mois]])</f>
        <v>#VALUE!</v>
      </c>
      <c r="L617" s="94">
        <f ca="1">INDEX(INDIRECT(CONCATENATE("Tab_",Tab_Calculs[[#This Row],[Colonne1]])),Tab_Calculs[[#This Row],[index_date_livraison]],6)*(1+MIN(Tab_Calculs[[#This Row],[Date_livraison]],Tab_Calculs[[#This Row],[fin mois]])-MAX(Tab_Calculs[[#This Row],[Début mois]],Tab_Calculs[[#This Row],[Début periode livraison]]))</f>
        <v>0</v>
      </c>
      <c r="M617" s="94" t="e">
        <f ca="1">INDEX(INDIRECT(CONCATENATE("Tab_",Tab_Calculs[[#This Row],[Colonne1]])),Tab_Calculs[[#This Row],[index_date_livraison]]+1,6)*(Tab_Calculs[[#This Row],[fin mois]]-MIN(Tab_Calculs[[#This Row],[fin mois]],Tab_Calculs[[#This Row],[Date_livraison]]))</f>
        <v>#VALUE!</v>
      </c>
      <c r="N617" s="231" t="str">
        <f ca="1">IFERROR(Tab_Calculs[[#This Row],[Ratio_jour_après_livr]]+Tab_Calculs[[#This Row],[Ratio_jour_avant_livr]]+Tab_Calculs[[#This Row],[ratio_avant_debut]],"")</f>
        <v/>
      </c>
      <c r="O617" t="e">
        <f ca="1">INDEX(INDIRECT(CONCATENATE("Tab_",Tab_Calculs[[#This Row],[Colonne1]])),Tab_Calculs[[#This Row],[index_date_livraison]]-1,7)*(MAX(Tab_Calculs[[#This Row],[Début periode livraison]],Tab_Calculs[[#This Row],[Début mois]])-Tab_Calculs[[#This Row],[Début mois]])</f>
        <v>#VALUE!</v>
      </c>
      <c r="P617">
        <f ca="1">INDEX(INDIRECT(CONCATENATE("Tab_",Tab_Calculs[[#This Row],[Colonne1]])),Tab_Calculs[[#This Row],[index_date_livraison]],7)*(1+MIN(Tab_Calculs[[#This Row],[Date_livraison]],Tab_Calculs[[#This Row],[fin mois]])-MAX(Tab_Calculs[[#This Row],[Début mois]],Tab_Calculs[[#This Row],[Début periode livraison]]))</f>
        <v>0</v>
      </c>
      <c r="Q617" t="e">
        <f ca="1">INDEX(INDIRECT(CONCATENATE("Tab_",Tab_Calculs[[#This Row],[Colonne1]])),Tab_Calculs[[#This Row],[index_date_livraison]]+1,7)*(Tab_Calculs[[#This Row],[fin mois]]-MIN(Tab_Calculs[[#This Row],[fin mois]],Tab_Calculs[[#This Row],[Date_livraison]]))</f>
        <v>#VALUE!</v>
      </c>
      <c r="R617" t="e">
        <f ca="1">Tab_Calculs[[#This Row],[Ratio_Cout_après_livr]]+Tab_Calculs[[#This Row],[Ratio_Cout_avant_livr]]+Tab_Calculs[[#This Row],[Ratio_Cout_avant_debut]]</f>
        <v>#VALUE!</v>
      </c>
      <c r="S617" t="str">
        <f ca="1">IFERROR(N617*VLOOKUP(Tab_Calculs[[#This Row],[Colonne1]],Controle_des_données!$B$7:$G$14,6,FALSE),"")</f>
        <v/>
      </c>
      <c r="T617" t="str">
        <f ca="1">IF(Tab_Calculs[[#This Row],[Combustible ]]="Electricité (kWh)",Tab_Calculs[[#This Row],[Conso_mois_kWh]]*2.3,Tab_Calculs[[#This Row],[Conso_mois_kWh]])</f>
        <v/>
      </c>
      <c r="U617" t="str">
        <f ca="1">IFERROR(N617*VLOOKUP(Tab_Calculs[[#This Row],[Colonne1]],Controle_des_données!$B$7:$H$14,7,FALSE),"")</f>
        <v/>
      </c>
      <c r="V617">
        <f ca="1">IFERROR(Tab_Calculs[[#This Row],[Cout_mois]]/Tab_Calculs[[#This Row],[Conso_mois_kWh]],0)</f>
        <v>0</v>
      </c>
      <c r="W617" t="str">
        <f>T(VLOOKUP(Tab_Calculs[[#This Row],[Compteur]],Site!$B$33:$G$40,3,FALSE))</f>
        <v/>
      </c>
      <c r="X617" t="str">
        <f>T(VLOOKUP(Tab_Calculs[[#This Row],[Compteur]],Site!$B$33:$G$40,4,FALSE))</f>
        <v/>
      </c>
      <c r="Y617" t="str">
        <f>T(VLOOKUP(Tab_Calculs[[#This Row],[Compteur]],Site!$B$33:$G$40,5,FALSE))</f>
        <v/>
      </c>
      <c r="Z617" t="str">
        <f>T(VLOOKUP(Tab_Calculs[[#This Row],[Compteur]],Site!$B$33:$G$40,6,FALSE))</f>
        <v/>
      </c>
      <c r="AA617">
        <f>IFERROR(GETPIVOTDATA("DJU(chauffagiste)",BDD_DJU!$P$13,"annee",Tab_Calculs[[#This Row],[ANNEE]],"mois_numero",Tab_Calculs[[#This Row],[MOIS]]),0)</f>
        <v>108.1</v>
      </c>
    </row>
    <row r="618" spans="1:27" x14ac:dyDescent="0.25">
      <c r="A618" s="3">
        <f>DATE(Tab_Calculs[[#This Row],[ANNEE]],Tab_Calculs[[#This Row],[MOIS]],1)</f>
        <v>41183</v>
      </c>
      <c r="B618" s="3">
        <f>EDATE(Tab_Calculs[[#This Row],[Début mois]],1)-1</f>
        <v>41213</v>
      </c>
      <c r="C618">
        <v>10</v>
      </c>
      <c r="D618">
        <v>2012</v>
      </c>
      <c r="E618" t="s">
        <v>83</v>
      </c>
      <c r="F618" t="str">
        <f>SUBSTITUTE(Tab_Calculs[[#This Row],[Compteur]]," ","_")</f>
        <v>Compteur_4</v>
      </c>
      <c r="G618" t="str">
        <f>T(INDEX(Site!$B$33:$G$40, MATCH(Tab_Calculs[[#This Row],[Compteur]], Site!$B$33:$B$40,0),2))</f>
        <v/>
      </c>
      <c r="H618" s="3">
        <f t="array" aca="1" ref="H618" ca="1">MIN(IF(INDIRECT(CONCATENATE(Tab_Calculs[[#This Row],[Colonne1]],"!$B$2:$B$243"))&gt;=Calculs_Consos!$A618,INDIRECT(CONCATENATE(Tab_Calculs[[#This Row],[Colonne1]],"!$B$2:$B$243"))))</f>
        <v>0</v>
      </c>
      <c r="I618" s="3">
        <f ca="1">INDEX(INDIRECT(CONCATENATE("Tab_",Tab_Calculs[[#This Row],[Colonne1]])),Tab_Calculs[[#This Row],[index_date_livraison]],1)</f>
        <v>0</v>
      </c>
      <c r="J618">
        <f ca="1">MATCH(Tab_Calculs[[#This Row],[Date_livraison]],INDIRECT(CONCATENATE("Tab_",Tab_Calculs[[#This Row],[Colonne1]],"[Fin de période]")),0)</f>
        <v>1</v>
      </c>
      <c r="K618" t="e">
        <f ca="1">INDEX(INDIRECT(CONCATENATE("Tab_",Tab_Calculs[[#This Row],[Colonne1]])),Tab_Calculs[[#This Row],[index_date_livraison]]-1,6)*(MAX(Tab_Calculs[[#This Row],[Début periode livraison]],Tab_Calculs[[#This Row],[Début mois]])-Tab_Calculs[[#This Row],[Début mois]])</f>
        <v>#VALUE!</v>
      </c>
      <c r="L618" s="94">
        <f ca="1">INDEX(INDIRECT(CONCATENATE("Tab_",Tab_Calculs[[#This Row],[Colonne1]])),Tab_Calculs[[#This Row],[index_date_livraison]],6)*(1+MIN(Tab_Calculs[[#This Row],[Date_livraison]],Tab_Calculs[[#This Row],[fin mois]])-MAX(Tab_Calculs[[#This Row],[Début mois]],Tab_Calculs[[#This Row],[Début periode livraison]]))</f>
        <v>0</v>
      </c>
      <c r="M618" s="94" t="e">
        <f ca="1">INDEX(INDIRECT(CONCATENATE("Tab_",Tab_Calculs[[#This Row],[Colonne1]])),Tab_Calculs[[#This Row],[index_date_livraison]]+1,6)*(Tab_Calculs[[#This Row],[fin mois]]-MIN(Tab_Calculs[[#This Row],[fin mois]],Tab_Calculs[[#This Row],[Date_livraison]]))</f>
        <v>#VALUE!</v>
      </c>
      <c r="N618" s="231" t="str">
        <f ca="1">IFERROR(Tab_Calculs[[#This Row],[Ratio_jour_après_livr]]+Tab_Calculs[[#This Row],[Ratio_jour_avant_livr]]+Tab_Calculs[[#This Row],[ratio_avant_debut]],"")</f>
        <v/>
      </c>
      <c r="O618" t="e">
        <f ca="1">INDEX(INDIRECT(CONCATENATE("Tab_",Tab_Calculs[[#This Row],[Colonne1]])),Tab_Calculs[[#This Row],[index_date_livraison]]-1,7)*(MAX(Tab_Calculs[[#This Row],[Début periode livraison]],Tab_Calculs[[#This Row],[Début mois]])-Tab_Calculs[[#This Row],[Début mois]])</f>
        <v>#VALUE!</v>
      </c>
      <c r="P618">
        <f ca="1">INDEX(INDIRECT(CONCATENATE("Tab_",Tab_Calculs[[#This Row],[Colonne1]])),Tab_Calculs[[#This Row],[index_date_livraison]],7)*(1+MIN(Tab_Calculs[[#This Row],[Date_livraison]],Tab_Calculs[[#This Row],[fin mois]])-MAX(Tab_Calculs[[#This Row],[Début mois]],Tab_Calculs[[#This Row],[Début periode livraison]]))</f>
        <v>0</v>
      </c>
      <c r="Q618" t="e">
        <f ca="1">INDEX(INDIRECT(CONCATENATE("Tab_",Tab_Calculs[[#This Row],[Colonne1]])),Tab_Calculs[[#This Row],[index_date_livraison]]+1,7)*(Tab_Calculs[[#This Row],[fin mois]]-MIN(Tab_Calculs[[#This Row],[fin mois]],Tab_Calculs[[#This Row],[Date_livraison]]))</f>
        <v>#VALUE!</v>
      </c>
      <c r="R618" t="e">
        <f ca="1">Tab_Calculs[[#This Row],[Ratio_Cout_après_livr]]+Tab_Calculs[[#This Row],[Ratio_Cout_avant_livr]]+Tab_Calculs[[#This Row],[Ratio_Cout_avant_debut]]</f>
        <v>#VALUE!</v>
      </c>
      <c r="S618" t="str">
        <f ca="1">IFERROR(N618*VLOOKUP(Tab_Calculs[[#This Row],[Colonne1]],Controle_des_données!$B$7:$G$14,6,FALSE),"")</f>
        <v/>
      </c>
      <c r="T618" t="str">
        <f ca="1">IF(Tab_Calculs[[#This Row],[Combustible ]]="Electricité (kWh)",Tab_Calculs[[#This Row],[Conso_mois_kWh]]*2.3,Tab_Calculs[[#This Row],[Conso_mois_kWh]])</f>
        <v/>
      </c>
      <c r="U618" t="str">
        <f ca="1">IFERROR(N618*VLOOKUP(Tab_Calculs[[#This Row],[Colonne1]],Controle_des_données!$B$7:$H$14,7,FALSE),"")</f>
        <v/>
      </c>
      <c r="V618">
        <f ca="1">IFERROR(Tab_Calculs[[#This Row],[Cout_mois]]/Tab_Calculs[[#This Row],[Conso_mois_kWh]],0)</f>
        <v>0</v>
      </c>
      <c r="W618" t="str">
        <f>T(VLOOKUP(Tab_Calculs[[#This Row],[Compteur]],Site!$B$33:$G$40,3,FALSE))</f>
        <v/>
      </c>
      <c r="X618" t="str">
        <f>T(VLOOKUP(Tab_Calculs[[#This Row],[Compteur]],Site!$B$33:$G$40,4,FALSE))</f>
        <v/>
      </c>
      <c r="Y618" t="str">
        <f>T(VLOOKUP(Tab_Calculs[[#This Row],[Compteur]],Site!$B$33:$G$40,5,FALSE))</f>
        <v/>
      </c>
      <c r="Z618" t="str">
        <f>T(VLOOKUP(Tab_Calculs[[#This Row],[Compteur]],Site!$B$33:$G$40,6,FALSE))</f>
        <v/>
      </c>
      <c r="AA618">
        <f>IFERROR(GETPIVOTDATA("DJU(chauffagiste)",BDD_DJU!$P$13,"annee",Tab_Calculs[[#This Row],[ANNEE]],"mois_numero",Tab_Calculs[[#This Row],[MOIS]]),0)</f>
        <v>161.69999999999999</v>
      </c>
    </row>
    <row r="619" spans="1:27" x14ac:dyDescent="0.25">
      <c r="A619" s="3">
        <f>DATE(Tab_Calculs[[#This Row],[ANNEE]],Tab_Calculs[[#This Row],[MOIS]],1)</f>
        <v>41214</v>
      </c>
      <c r="B619" s="3">
        <f>EDATE(Tab_Calculs[[#This Row],[Début mois]],1)-1</f>
        <v>41243</v>
      </c>
      <c r="C619">
        <v>11</v>
      </c>
      <c r="D619">
        <v>2012</v>
      </c>
      <c r="E619" t="s">
        <v>83</v>
      </c>
      <c r="F619" t="str">
        <f>SUBSTITUTE(Tab_Calculs[[#This Row],[Compteur]]," ","_")</f>
        <v>Compteur_4</v>
      </c>
      <c r="G619" t="str">
        <f>T(INDEX(Site!$B$33:$G$40, MATCH(Tab_Calculs[[#This Row],[Compteur]], Site!$B$33:$B$40,0),2))</f>
        <v/>
      </c>
      <c r="H619" s="3">
        <f t="array" aca="1" ref="H619" ca="1">MIN(IF(INDIRECT(CONCATENATE(Tab_Calculs[[#This Row],[Colonne1]],"!$B$2:$B$243"))&gt;=Calculs_Consos!$A619,INDIRECT(CONCATENATE(Tab_Calculs[[#This Row],[Colonne1]],"!$B$2:$B$243"))))</f>
        <v>0</v>
      </c>
      <c r="I619" s="3">
        <f ca="1">INDEX(INDIRECT(CONCATENATE("Tab_",Tab_Calculs[[#This Row],[Colonne1]])),Tab_Calculs[[#This Row],[index_date_livraison]],1)</f>
        <v>0</v>
      </c>
      <c r="J619">
        <f ca="1">MATCH(Tab_Calculs[[#This Row],[Date_livraison]],INDIRECT(CONCATENATE("Tab_",Tab_Calculs[[#This Row],[Colonne1]],"[Fin de période]")),0)</f>
        <v>1</v>
      </c>
      <c r="K619" t="e">
        <f ca="1">INDEX(INDIRECT(CONCATENATE("Tab_",Tab_Calculs[[#This Row],[Colonne1]])),Tab_Calculs[[#This Row],[index_date_livraison]]-1,6)*(MAX(Tab_Calculs[[#This Row],[Début periode livraison]],Tab_Calculs[[#This Row],[Début mois]])-Tab_Calculs[[#This Row],[Début mois]])</f>
        <v>#VALUE!</v>
      </c>
      <c r="L619" s="94">
        <f ca="1">INDEX(INDIRECT(CONCATENATE("Tab_",Tab_Calculs[[#This Row],[Colonne1]])),Tab_Calculs[[#This Row],[index_date_livraison]],6)*(1+MIN(Tab_Calculs[[#This Row],[Date_livraison]],Tab_Calculs[[#This Row],[fin mois]])-MAX(Tab_Calculs[[#This Row],[Début mois]],Tab_Calculs[[#This Row],[Début periode livraison]]))</f>
        <v>0</v>
      </c>
      <c r="M619" s="94" t="e">
        <f ca="1">INDEX(INDIRECT(CONCATENATE("Tab_",Tab_Calculs[[#This Row],[Colonne1]])),Tab_Calculs[[#This Row],[index_date_livraison]]+1,6)*(Tab_Calculs[[#This Row],[fin mois]]-MIN(Tab_Calculs[[#This Row],[fin mois]],Tab_Calculs[[#This Row],[Date_livraison]]))</f>
        <v>#VALUE!</v>
      </c>
      <c r="N619" s="231" t="str">
        <f ca="1">IFERROR(Tab_Calculs[[#This Row],[Ratio_jour_après_livr]]+Tab_Calculs[[#This Row],[Ratio_jour_avant_livr]]+Tab_Calculs[[#This Row],[ratio_avant_debut]],"")</f>
        <v/>
      </c>
      <c r="O619" t="e">
        <f ca="1">INDEX(INDIRECT(CONCATENATE("Tab_",Tab_Calculs[[#This Row],[Colonne1]])),Tab_Calculs[[#This Row],[index_date_livraison]]-1,7)*(MAX(Tab_Calculs[[#This Row],[Début periode livraison]],Tab_Calculs[[#This Row],[Début mois]])-Tab_Calculs[[#This Row],[Début mois]])</f>
        <v>#VALUE!</v>
      </c>
      <c r="P619">
        <f ca="1">INDEX(INDIRECT(CONCATENATE("Tab_",Tab_Calculs[[#This Row],[Colonne1]])),Tab_Calculs[[#This Row],[index_date_livraison]],7)*(1+MIN(Tab_Calculs[[#This Row],[Date_livraison]],Tab_Calculs[[#This Row],[fin mois]])-MAX(Tab_Calculs[[#This Row],[Début mois]],Tab_Calculs[[#This Row],[Début periode livraison]]))</f>
        <v>0</v>
      </c>
      <c r="Q619" t="e">
        <f ca="1">INDEX(INDIRECT(CONCATENATE("Tab_",Tab_Calculs[[#This Row],[Colonne1]])),Tab_Calculs[[#This Row],[index_date_livraison]]+1,7)*(Tab_Calculs[[#This Row],[fin mois]]-MIN(Tab_Calculs[[#This Row],[fin mois]],Tab_Calculs[[#This Row],[Date_livraison]]))</f>
        <v>#VALUE!</v>
      </c>
      <c r="R619" t="e">
        <f ca="1">Tab_Calculs[[#This Row],[Ratio_Cout_après_livr]]+Tab_Calculs[[#This Row],[Ratio_Cout_avant_livr]]+Tab_Calculs[[#This Row],[Ratio_Cout_avant_debut]]</f>
        <v>#VALUE!</v>
      </c>
      <c r="S619" t="str">
        <f ca="1">IFERROR(N619*VLOOKUP(Tab_Calculs[[#This Row],[Colonne1]],Controle_des_données!$B$7:$G$14,6,FALSE),"")</f>
        <v/>
      </c>
      <c r="T619" t="str">
        <f ca="1">IF(Tab_Calculs[[#This Row],[Combustible ]]="Electricité (kWh)",Tab_Calculs[[#This Row],[Conso_mois_kWh]]*2.3,Tab_Calculs[[#This Row],[Conso_mois_kWh]])</f>
        <v/>
      </c>
      <c r="U619" t="str">
        <f ca="1">IFERROR(N619*VLOOKUP(Tab_Calculs[[#This Row],[Colonne1]],Controle_des_données!$B$7:$H$14,7,FALSE),"")</f>
        <v/>
      </c>
      <c r="V619">
        <f ca="1">IFERROR(Tab_Calculs[[#This Row],[Cout_mois]]/Tab_Calculs[[#This Row],[Conso_mois_kWh]],0)</f>
        <v>0</v>
      </c>
      <c r="W619" t="str">
        <f>T(VLOOKUP(Tab_Calculs[[#This Row],[Compteur]],Site!$B$33:$G$40,3,FALSE))</f>
        <v/>
      </c>
      <c r="X619" t="str">
        <f>T(VLOOKUP(Tab_Calculs[[#This Row],[Compteur]],Site!$B$33:$G$40,4,FALSE))</f>
        <v/>
      </c>
      <c r="Y619" t="str">
        <f>T(VLOOKUP(Tab_Calculs[[#This Row],[Compteur]],Site!$B$33:$G$40,5,FALSE))</f>
        <v/>
      </c>
      <c r="Z619" t="str">
        <f>T(VLOOKUP(Tab_Calculs[[#This Row],[Compteur]],Site!$B$33:$G$40,6,FALSE))</f>
        <v/>
      </c>
      <c r="AA619">
        <f>IFERROR(GETPIVOTDATA("DJU(chauffagiste)",BDD_DJU!$P$13,"annee",Tab_Calculs[[#This Row],[ANNEE]],"mois_numero",Tab_Calculs[[#This Row],[MOIS]]),0)</f>
        <v>300.39999999999998</v>
      </c>
    </row>
    <row r="620" spans="1:27" x14ac:dyDescent="0.25">
      <c r="A620" s="3">
        <f>DATE(Tab_Calculs[[#This Row],[ANNEE]],Tab_Calculs[[#This Row],[MOIS]],1)</f>
        <v>41244</v>
      </c>
      <c r="B620" s="3">
        <f>EDATE(Tab_Calculs[[#This Row],[Début mois]],1)-1</f>
        <v>41274</v>
      </c>
      <c r="C620">
        <v>12</v>
      </c>
      <c r="D620">
        <v>2012</v>
      </c>
      <c r="E620" t="s">
        <v>83</v>
      </c>
      <c r="F620" t="str">
        <f>SUBSTITUTE(Tab_Calculs[[#This Row],[Compteur]]," ","_")</f>
        <v>Compteur_4</v>
      </c>
      <c r="G620" t="str">
        <f>T(INDEX(Site!$B$33:$G$40, MATCH(Tab_Calculs[[#This Row],[Compteur]], Site!$B$33:$B$40,0),2))</f>
        <v/>
      </c>
      <c r="H620" s="3">
        <f t="array" aca="1" ref="H620" ca="1">MIN(IF(INDIRECT(CONCATENATE(Tab_Calculs[[#This Row],[Colonne1]],"!$B$2:$B$243"))&gt;=Calculs_Consos!$A620,INDIRECT(CONCATENATE(Tab_Calculs[[#This Row],[Colonne1]],"!$B$2:$B$243"))))</f>
        <v>0</v>
      </c>
      <c r="I620" s="3">
        <f ca="1">INDEX(INDIRECT(CONCATENATE("Tab_",Tab_Calculs[[#This Row],[Colonne1]])),Tab_Calculs[[#This Row],[index_date_livraison]],1)</f>
        <v>0</v>
      </c>
      <c r="J620">
        <f ca="1">MATCH(Tab_Calculs[[#This Row],[Date_livraison]],INDIRECT(CONCATENATE("Tab_",Tab_Calculs[[#This Row],[Colonne1]],"[Fin de période]")),0)</f>
        <v>1</v>
      </c>
      <c r="K620" t="e">
        <f ca="1">INDEX(INDIRECT(CONCATENATE("Tab_",Tab_Calculs[[#This Row],[Colonne1]])),Tab_Calculs[[#This Row],[index_date_livraison]]-1,6)*(MAX(Tab_Calculs[[#This Row],[Début periode livraison]],Tab_Calculs[[#This Row],[Début mois]])-Tab_Calculs[[#This Row],[Début mois]])</f>
        <v>#VALUE!</v>
      </c>
      <c r="L620" s="94">
        <f ca="1">INDEX(INDIRECT(CONCATENATE("Tab_",Tab_Calculs[[#This Row],[Colonne1]])),Tab_Calculs[[#This Row],[index_date_livraison]],6)*(1+MIN(Tab_Calculs[[#This Row],[Date_livraison]],Tab_Calculs[[#This Row],[fin mois]])-MAX(Tab_Calculs[[#This Row],[Début mois]],Tab_Calculs[[#This Row],[Début periode livraison]]))</f>
        <v>0</v>
      </c>
      <c r="M620" s="94" t="e">
        <f ca="1">INDEX(INDIRECT(CONCATENATE("Tab_",Tab_Calculs[[#This Row],[Colonne1]])),Tab_Calculs[[#This Row],[index_date_livraison]]+1,6)*(Tab_Calculs[[#This Row],[fin mois]]-MIN(Tab_Calculs[[#This Row],[fin mois]],Tab_Calculs[[#This Row],[Date_livraison]]))</f>
        <v>#VALUE!</v>
      </c>
      <c r="N620" s="231" t="str">
        <f ca="1">IFERROR(Tab_Calculs[[#This Row],[Ratio_jour_après_livr]]+Tab_Calculs[[#This Row],[Ratio_jour_avant_livr]]+Tab_Calculs[[#This Row],[ratio_avant_debut]],"")</f>
        <v/>
      </c>
      <c r="O620" t="e">
        <f ca="1">INDEX(INDIRECT(CONCATENATE("Tab_",Tab_Calculs[[#This Row],[Colonne1]])),Tab_Calculs[[#This Row],[index_date_livraison]]-1,7)*(MAX(Tab_Calculs[[#This Row],[Début periode livraison]],Tab_Calculs[[#This Row],[Début mois]])-Tab_Calculs[[#This Row],[Début mois]])</f>
        <v>#VALUE!</v>
      </c>
      <c r="P620">
        <f ca="1">INDEX(INDIRECT(CONCATENATE("Tab_",Tab_Calculs[[#This Row],[Colonne1]])),Tab_Calculs[[#This Row],[index_date_livraison]],7)*(1+MIN(Tab_Calculs[[#This Row],[Date_livraison]],Tab_Calculs[[#This Row],[fin mois]])-MAX(Tab_Calculs[[#This Row],[Début mois]],Tab_Calculs[[#This Row],[Début periode livraison]]))</f>
        <v>0</v>
      </c>
      <c r="Q620" t="e">
        <f ca="1">INDEX(INDIRECT(CONCATENATE("Tab_",Tab_Calculs[[#This Row],[Colonne1]])),Tab_Calculs[[#This Row],[index_date_livraison]]+1,7)*(Tab_Calculs[[#This Row],[fin mois]]-MIN(Tab_Calculs[[#This Row],[fin mois]],Tab_Calculs[[#This Row],[Date_livraison]]))</f>
        <v>#VALUE!</v>
      </c>
      <c r="R620" t="e">
        <f ca="1">Tab_Calculs[[#This Row],[Ratio_Cout_après_livr]]+Tab_Calculs[[#This Row],[Ratio_Cout_avant_livr]]+Tab_Calculs[[#This Row],[Ratio_Cout_avant_debut]]</f>
        <v>#VALUE!</v>
      </c>
      <c r="S620" t="str">
        <f ca="1">IFERROR(N620*VLOOKUP(Tab_Calculs[[#This Row],[Colonne1]],Controle_des_données!$B$7:$G$14,6,FALSE),"")</f>
        <v/>
      </c>
      <c r="T620" t="str">
        <f ca="1">IF(Tab_Calculs[[#This Row],[Combustible ]]="Electricité (kWh)",Tab_Calculs[[#This Row],[Conso_mois_kWh]]*2.3,Tab_Calculs[[#This Row],[Conso_mois_kWh]])</f>
        <v/>
      </c>
      <c r="U620" t="str">
        <f ca="1">IFERROR(N620*VLOOKUP(Tab_Calculs[[#This Row],[Colonne1]],Controle_des_données!$B$7:$H$14,7,FALSE),"")</f>
        <v/>
      </c>
      <c r="V620">
        <f ca="1">IFERROR(Tab_Calculs[[#This Row],[Cout_mois]]/Tab_Calculs[[#This Row],[Conso_mois_kWh]],0)</f>
        <v>0</v>
      </c>
      <c r="W620" t="str">
        <f>T(VLOOKUP(Tab_Calculs[[#This Row],[Compteur]],Site!$B$33:$G$40,3,FALSE))</f>
        <v/>
      </c>
      <c r="X620" t="str">
        <f>T(VLOOKUP(Tab_Calculs[[#This Row],[Compteur]],Site!$B$33:$G$40,4,FALSE))</f>
        <v/>
      </c>
      <c r="Y620" t="str">
        <f>T(VLOOKUP(Tab_Calculs[[#This Row],[Compteur]],Site!$B$33:$G$40,5,FALSE))</f>
        <v/>
      </c>
      <c r="Z620" t="str">
        <f>T(VLOOKUP(Tab_Calculs[[#This Row],[Compteur]],Site!$B$33:$G$40,6,FALSE))</f>
        <v/>
      </c>
      <c r="AA620">
        <f>IFERROR(GETPIVOTDATA("DJU(chauffagiste)",BDD_DJU!$P$13,"annee",Tab_Calculs[[#This Row],[ANNEE]],"mois_numero",Tab_Calculs[[#This Row],[MOIS]]),0)</f>
        <v>333.7</v>
      </c>
    </row>
    <row r="621" spans="1:27" x14ac:dyDescent="0.25">
      <c r="A621" s="3">
        <f>DATE(Tab_Calculs[[#This Row],[ANNEE]],Tab_Calculs[[#This Row],[MOIS]],1)</f>
        <v>41275</v>
      </c>
      <c r="B621" s="3">
        <f>EDATE(Tab_Calculs[[#This Row],[Début mois]],1)-1</f>
        <v>41305</v>
      </c>
      <c r="C621">
        <v>1</v>
      </c>
      <c r="D621">
        <v>2013</v>
      </c>
      <c r="E621" t="s">
        <v>83</v>
      </c>
      <c r="F621" t="str">
        <f>SUBSTITUTE(Tab_Calculs[[#This Row],[Compteur]]," ","_")</f>
        <v>Compteur_4</v>
      </c>
      <c r="G621" t="str">
        <f>T(INDEX(Site!$B$33:$G$40, MATCH(Tab_Calculs[[#This Row],[Compteur]], Site!$B$33:$B$40,0),2))</f>
        <v/>
      </c>
      <c r="H621" s="3">
        <f t="array" aca="1" ref="H621" ca="1">MIN(IF(INDIRECT(CONCATENATE(Tab_Calculs[[#This Row],[Colonne1]],"!$B$2:$B$243"))&gt;=Calculs_Consos!$A621,INDIRECT(CONCATENATE(Tab_Calculs[[#This Row],[Colonne1]],"!$B$2:$B$243"))))</f>
        <v>0</v>
      </c>
      <c r="I621" s="3">
        <f ca="1">INDEX(INDIRECT(CONCATENATE("Tab_",Tab_Calculs[[#This Row],[Colonne1]])),Tab_Calculs[[#This Row],[index_date_livraison]],1)</f>
        <v>0</v>
      </c>
      <c r="J621">
        <f ca="1">MATCH(Tab_Calculs[[#This Row],[Date_livraison]],INDIRECT(CONCATENATE("Tab_",Tab_Calculs[[#This Row],[Colonne1]],"[Fin de période]")),0)</f>
        <v>1</v>
      </c>
      <c r="K621" t="e">
        <f ca="1">INDEX(INDIRECT(CONCATENATE("Tab_",Tab_Calculs[[#This Row],[Colonne1]])),Tab_Calculs[[#This Row],[index_date_livraison]]-1,6)*(MAX(Tab_Calculs[[#This Row],[Début periode livraison]],Tab_Calculs[[#This Row],[Début mois]])-Tab_Calculs[[#This Row],[Début mois]])</f>
        <v>#VALUE!</v>
      </c>
      <c r="L621" s="94">
        <f ca="1">INDEX(INDIRECT(CONCATENATE("Tab_",Tab_Calculs[[#This Row],[Colonne1]])),Tab_Calculs[[#This Row],[index_date_livraison]],6)*(1+MIN(Tab_Calculs[[#This Row],[Date_livraison]],Tab_Calculs[[#This Row],[fin mois]])-MAX(Tab_Calculs[[#This Row],[Début mois]],Tab_Calculs[[#This Row],[Début periode livraison]]))</f>
        <v>0</v>
      </c>
      <c r="M621" s="94" t="e">
        <f ca="1">INDEX(INDIRECT(CONCATENATE("Tab_",Tab_Calculs[[#This Row],[Colonne1]])),Tab_Calculs[[#This Row],[index_date_livraison]]+1,6)*(Tab_Calculs[[#This Row],[fin mois]]-MIN(Tab_Calculs[[#This Row],[fin mois]],Tab_Calculs[[#This Row],[Date_livraison]]))</f>
        <v>#VALUE!</v>
      </c>
      <c r="N621" s="231" t="str">
        <f ca="1">IFERROR(Tab_Calculs[[#This Row],[Ratio_jour_après_livr]]+Tab_Calculs[[#This Row],[Ratio_jour_avant_livr]]+Tab_Calculs[[#This Row],[ratio_avant_debut]],"")</f>
        <v/>
      </c>
      <c r="O621" t="e">
        <f ca="1">INDEX(INDIRECT(CONCATENATE("Tab_",Tab_Calculs[[#This Row],[Colonne1]])),Tab_Calculs[[#This Row],[index_date_livraison]]-1,7)*(MAX(Tab_Calculs[[#This Row],[Début periode livraison]],Tab_Calculs[[#This Row],[Début mois]])-Tab_Calculs[[#This Row],[Début mois]])</f>
        <v>#VALUE!</v>
      </c>
      <c r="P621">
        <f ca="1">INDEX(INDIRECT(CONCATENATE("Tab_",Tab_Calculs[[#This Row],[Colonne1]])),Tab_Calculs[[#This Row],[index_date_livraison]],7)*(1+MIN(Tab_Calculs[[#This Row],[Date_livraison]],Tab_Calculs[[#This Row],[fin mois]])-MAX(Tab_Calculs[[#This Row],[Début mois]],Tab_Calculs[[#This Row],[Début periode livraison]]))</f>
        <v>0</v>
      </c>
      <c r="Q621" t="e">
        <f ca="1">INDEX(INDIRECT(CONCATENATE("Tab_",Tab_Calculs[[#This Row],[Colonne1]])),Tab_Calculs[[#This Row],[index_date_livraison]]+1,7)*(Tab_Calculs[[#This Row],[fin mois]]-MIN(Tab_Calculs[[#This Row],[fin mois]],Tab_Calculs[[#This Row],[Date_livraison]]))</f>
        <v>#VALUE!</v>
      </c>
      <c r="R621" t="e">
        <f ca="1">Tab_Calculs[[#This Row],[Ratio_Cout_après_livr]]+Tab_Calculs[[#This Row],[Ratio_Cout_avant_livr]]+Tab_Calculs[[#This Row],[Ratio_Cout_avant_debut]]</f>
        <v>#VALUE!</v>
      </c>
      <c r="S621" t="str">
        <f ca="1">IFERROR(N621*VLOOKUP(Tab_Calculs[[#This Row],[Colonne1]],Controle_des_données!$B$7:$G$14,6,FALSE),"")</f>
        <v/>
      </c>
      <c r="T621" t="str">
        <f ca="1">IF(Tab_Calculs[[#This Row],[Combustible ]]="Electricité (kWh)",Tab_Calculs[[#This Row],[Conso_mois_kWh]]*2.3,Tab_Calculs[[#This Row],[Conso_mois_kWh]])</f>
        <v/>
      </c>
      <c r="U621" t="str">
        <f ca="1">IFERROR(N621*VLOOKUP(Tab_Calculs[[#This Row],[Colonne1]],Controle_des_données!$B$7:$H$14,7,FALSE),"")</f>
        <v/>
      </c>
      <c r="V621">
        <f ca="1">IFERROR(Tab_Calculs[[#This Row],[Cout_mois]]/Tab_Calculs[[#This Row],[Conso_mois_kWh]],0)</f>
        <v>0</v>
      </c>
      <c r="W621" t="str">
        <f>T(VLOOKUP(Tab_Calculs[[#This Row],[Compteur]],Site!$B$33:$G$40,3,FALSE))</f>
        <v/>
      </c>
      <c r="X621" t="str">
        <f>T(VLOOKUP(Tab_Calculs[[#This Row],[Compteur]],Site!$B$33:$G$40,4,FALSE))</f>
        <v/>
      </c>
      <c r="Y621" t="str">
        <f>T(VLOOKUP(Tab_Calculs[[#This Row],[Compteur]],Site!$B$33:$G$40,5,FALSE))</f>
        <v/>
      </c>
      <c r="Z621" t="str">
        <f>T(VLOOKUP(Tab_Calculs[[#This Row],[Compteur]],Site!$B$33:$G$40,6,FALSE))</f>
        <v/>
      </c>
      <c r="AA621">
        <f>IFERROR(GETPIVOTDATA("DJU(chauffagiste)",BDD_DJU!$P$13,"annee",Tab_Calculs[[#This Row],[ANNEE]],"mois_numero",Tab_Calculs[[#This Row],[MOIS]]),0)</f>
        <v>409.5</v>
      </c>
    </row>
    <row r="622" spans="1:27" x14ac:dyDescent="0.25">
      <c r="A622" s="3">
        <f>DATE(Tab_Calculs[[#This Row],[ANNEE]],Tab_Calculs[[#This Row],[MOIS]],1)</f>
        <v>41306</v>
      </c>
      <c r="B622" s="3">
        <f>EDATE(Tab_Calculs[[#This Row],[Début mois]],1)-1</f>
        <v>41333</v>
      </c>
      <c r="C622">
        <v>2</v>
      </c>
      <c r="D622">
        <v>2013</v>
      </c>
      <c r="E622" t="s">
        <v>83</v>
      </c>
      <c r="F622" t="str">
        <f>SUBSTITUTE(Tab_Calculs[[#This Row],[Compteur]]," ","_")</f>
        <v>Compteur_4</v>
      </c>
      <c r="G622" t="str">
        <f>T(INDEX(Site!$B$33:$G$40, MATCH(Tab_Calculs[[#This Row],[Compteur]], Site!$B$33:$B$40,0),2))</f>
        <v/>
      </c>
      <c r="H622" s="3">
        <f t="array" aca="1" ref="H622" ca="1">MIN(IF(INDIRECT(CONCATENATE(Tab_Calculs[[#This Row],[Colonne1]],"!$B$2:$B$243"))&gt;=Calculs_Consos!$A622,INDIRECT(CONCATENATE(Tab_Calculs[[#This Row],[Colonne1]],"!$B$2:$B$243"))))</f>
        <v>0</v>
      </c>
      <c r="I622" s="3">
        <f ca="1">INDEX(INDIRECT(CONCATENATE("Tab_",Tab_Calculs[[#This Row],[Colonne1]])),Tab_Calculs[[#This Row],[index_date_livraison]],1)</f>
        <v>0</v>
      </c>
      <c r="J622">
        <f ca="1">MATCH(Tab_Calculs[[#This Row],[Date_livraison]],INDIRECT(CONCATENATE("Tab_",Tab_Calculs[[#This Row],[Colonne1]],"[Fin de période]")),0)</f>
        <v>1</v>
      </c>
      <c r="K622" t="e">
        <f ca="1">INDEX(INDIRECT(CONCATENATE("Tab_",Tab_Calculs[[#This Row],[Colonne1]])),Tab_Calculs[[#This Row],[index_date_livraison]]-1,6)*(MAX(Tab_Calculs[[#This Row],[Début periode livraison]],Tab_Calculs[[#This Row],[Début mois]])-Tab_Calculs[[#This Row],[Début mois]])</f>
        <v>#VALUE!</v>
      </c>
      <c r="L622" s="94">
        <f ca="1">INDEX(INDIRECT(CONCATENATE("Tab_",Tab_Calculs[[#This Row],[Colonne1]])),Tab_Calculs[[#This Row],[index_date_livraison]],6)*(1+MIN(Tab_Calculs[[#This Row],[Date_livraison]],Tab_Calculs[[#This Row],[fin mois]])-MAX(Tab_Calculs[[#This Row],[Début mois]],Tab_Calculs[[#This Row],[Début periode livraison]]))</f>
        <v>0</v>
      </c>
      <c r="M622" s="94" t="e">
        <f ca="1">INDEX(INDIRECT(CONCATENATE("Tab_",Tab_Calculs[[#This Row],[Colonne1]])),Tab_Calculs[[#This Row],[index_date_livraison]]+1,6)*(Tab_Calculs[[#This Row],[fin mois]]-MIN(Tab_Calculs[[#This Row],[fin mois]],Tab_Calculs[[#This Row],[Date_livraison]]))</f>
        <v>#VALUE!</v>
      </c>
      <c r="N622" s="231" t="str">
        <f ca="1">IFERROR(Tab_Calculs[[#This Row],[Ratio_jour_après_livr]]+Tab_Calculs[[#This Row],[Ratio_jour_avant_livr]]+Tab_Calculs[[#This Row],[ratio_avant_debut]],"")</f>
        <v/>
      </c>
      <c r="O622" t="e">
        <f ca="1">INDEX(INDIRECT(CONCATENATE("Tab_",Tab_Calculs[[#This Row],[Colonne1]])),Tab_Calculs[[#This Row],[index_date_livraison]]-1,7)*(MAX(Tab_Calculs[[#This Row],[Début periode livraison]],Tab_Calculs[[#This Row],[Début mois]])-Tab_Calculs[[#This Row],[Début mois]])</f>
        <v>#VALUE!</v>
      </c>
      <c r="P622">
        <f ca="1">INDEX(INDIRECT(CONCATENATE("Tab_",Tab_Calculs[[#This Row],[Colonne1]])),Tab_Calculs[[#This Row],[index_date_livraison]],7)*(1+MIN(Tab_Calculs[[#This Row],[Date_livraison]],Tab_Calculs[[#This Row],[fin mois]])-MAX(Tab_Calculs[[#This Row],[Début mois]],Tab_Calculs[[#This Row],[Début periode livraison]]))</f>
        <v>0</v>
      </c>
      <c r="Q622" t="e">
        <f ca="1">INDEX(INDIRECT(CONCATENATE("Tab_",Tab_Calculs[[#This Row],[Colonne1]])),Tab_Calculs[[#This Row],[index_date_livraison]]+1,7)*(Tab_Calculs[[#This Row],[fin mois]]-MIN(Tab_Calculs[[#This Row],[fin mois]],Tab_Calculs[[#This Row],[Date_livraison]]))</f>
        <v>#VALUE!</v>
      </c>
      <c r="R622" t="e">
        <f ca="1">Tab_Calculs[[#This Row],[Ratio_Cout_après_livr]]+Tab_Calculs[[#This Row],[Ratio_Cout_avant_livr]]+Tab_Calculs[[#This Row],[Ratio_Cout_avant_debut]]</f>
        <v>#VALUE!</v>
      </c>
      <c r="S622" t="str">
        <f ca="1">IFERROR(N622*VLOOKUP(Tab_Calculs[[#This Row],[Colonne1]],Controle_des_données!$B$7:$G$14,6,FALSE),"")</f>
        <v/>
      </c>
      <c r="T622" t="str">
        <f ca="1">IF(Tab_Calculs[[#This Row],[Combustible ]]="Electricité (kWh)",Tab_Calculs[[#This Row],[Conso_mois_kWh]]*2.3,Tab_Calculs[[#This Row],[Conso_mois_kWh]])</f>
        <v/>
      </c>
      <c r="U622" t="str">
        <f ca="1">IFERROR(N622*VLOOKUP(Tab_Calculs[[#This Row],[Colonne1]],Controle_des_données!$B$7:$H$14,7,FALSE),"")</f>
        <v/>
      </c>
      <c r="V622">
        <f ca="1">IFERROR(Tab_Calculs[[#This Row],[Cout_mois]]/Tab_Calculs[[#This Row],[Conso_mois_kWh]],0)</f>
        <v>0</v>
      </c>
      <c r="W622" t="str">
        <f>T(VLOOKUP(Tab_Calculs[[#This Row],[Compteur]],Site!$B$33:$G$40,3,FALSE))</f>
        <v/>
      </c>
      <c r="X622" t="str">
        <f>T(VLOOKUP(Tab_Calculs[[#This Row],[Compteur]],Site!$B$33:$G$40,4,FALSE))</f>
        <v/>
      </c>
      <c r="Y622" t="str">
        <f>T(VLOOKUP(Tab_Calculs[[#This Row],[Compteur]],Site!$B$33:$G$40,5,FALSE))</f>
        <v/>
      </c>
      <c r="Z622" t="str">
        <f>T(VLOOKUP(Tab_Calculs[[#This Row],[Compteur]],Site!$B$33:$G$40,6,FALSE))</f>
        <v/>
      </c>
      <c r="AA622">
        <f>IFERROR(GETPIVOTDATA("DJU(chauffagiste)",BDD_DJU!$P$13,"annee",Tab_Calculs[[#This Row],[ANNEE]],"mois_numero",Tab_Calculs[[#This Row],[MOIS]]),0)</f>
        <v>389.8</v>
      </c>
    </row>
    <row r="623" spans="1:27" x14ac:dyDescent="0.25">
      <c r="A623" s="3">
        <f>DATE(Tab_Calculs[[#This Row],[ANNEE]],Tab_Calculs[[#This Row],[MOIS]],1)</f>
        <v>41334</v>
      </c>
      <c r="B623" s="3">
        <f>EDATE(Tab_Calculs[[#This Row],[Début mois]],1)-1</f>
        <v>41364</v>
      </c>
      <c r="C623">
        <v>3</v>
      </c>
      <c r="D623">
        <v>2013</v>
      </c>
      <c r="E623" t="s">
        <v>83</v>
      </c>
      <c r="F623" t="str">
        <f>SUBSTITUTE(Tab_Calculs[[#This Row],[Compteur]]," ","_")</f>
        <v>Compteur_4</v>
      </c>
      <c r="G623" t="str">
        <f>T(INDEX(Site!$B$33:$G$40, MATCH(Tab_Calculs[[#This Row],[Compteur]], Site!$B$33:$B$40,0),2))</f>
        <v/>
      </c>
      <c r="H623" s="3">
        <f t="array" aca="1" ref="H623" ca="1">MIN(IF(INDIRECT(CONCATENATE(Tab_Calculs[[#This Row],[Colonne1]],"!$B$2:$B$243"))&gt;=Calculs_Consos!$A623,INDIRECT(CONCATENATE(Tab_Calculs[[#This Row],[Colonne1]],"!$B$2:$B$243"))))</f>
        <v>0</v>
      </c>
      <c r="I623" s="3">
        <f ca="1">INDEX(INDIRECT(CONCATENATE("Tab_",Tab_Calculs[[#This Row],[Colonne1]])),Tab_Calculs[[#This Row],[index_date_livraison]],1)</f>
        <v>0</v>
      </c>
      <c r="J623">
        <f ca="1">MATCH(Tab_Calculs[[#This Row],[Date_livraison]],INDIRECT(CONCATENATE("Tab_",Tab_Calculs[[#This Row],[Colonne1]],"[Fin de période]")),0)</f>
        <v>1</v>
      </c>
      <c r="K623" t="e">
        <f ca="1">INDEX(INDIRECT(CONCATENATE("Tab_",Tab_Calculs[[#This Row],[Colonne1]])),Tab_Calculs[[#This Row],[index_date_livraison]]-1,6)*(MAX(Tab_Calculs[[#This Row],[Début periode livraison]],Tab_Calculs[[#This Row],[Début mois]])-Tab_Calculs[[#This Row],[Début mois]])</f>
        <v>#VALUE!</v>
      </c>
      <c r="L623" s="94">
        <f ca="1">INDEX(INDIRECT(CONCATENATE("Tab_",Tab_Calculs[[#This Row],[Colonne1]])),Tab_Calculs[[#This Row],[index_date_livraison]],6)*(1+MIN(Tab_Calculs[[#This Row],[Date_livraison]],Tab_Calculs[[#This Row],[fin mois]])-MAX(Tab_Calculs[[#This Row],[Début mois]],Tab_Calculs[[#This Row],[Début periode livraison]]))</f>
        <v>0</v>
      </c>
      <c r="M623" s="94" t="e">
        <f ca="1">INDEX(INDIRECT(CONCATENATE("Tab_",Tab_Calculs[[#This Row],[Colonne1]])),Tab_Calculs[[#This Row],[index_date_livraison]]+1,6)*(Tab_Calculs[[#This Row],[fin mois]]-MIN(Tab_Calculs[[#This Row],[fin mois]],Tab_Calculs[[#This Row],[Date_livraison]]))</f>
        <v>#VALUE!</v>
      </c>
      <c r="N623" s="231" t="str">
        <f ca="1">IFERROR(Tab_Calculs[[#This Row],[Ratio_jour_après_livr]]+Tab_Calculs[[#This Row],[Ratio_jour_avant_livr]]+Tab_Calculs[[#This Row],[ratio_avant_debut]],"")</f>
        <v/>
      </c>
      <c r="O623" t="e">
        <f ca="1">INDEX(INDIRECT(CONCATENATE("Tab_",Tab_Calculs[[#This Row],[Colonne1]])),Tab_Calculs[[#This Row],[index_date_livraison]]-1,7)*(MAX(Tab_Calculs[[#This Row],[Début periode livraison]],Tab_Calculs[[#This Row],[Début mois]])-Tab_Calculs[[#This Row],[Début mois]])</f>
        <v>#VALUE!</v>
      </c>
      <c r="P623">
        <f ca="1">INDEX(INDIRECT(CONCATENATE("Tab_",Tab_Calculs[[#This Row],[Colonne1]])),Tab_Calculs[[#This Row],[index_date_livraison]],7)*(1+MIN(Tab_Calculs[[#This Row],[Date_livraison]],Tab_Calculs[[#This Row],[fin mois]])-MAX(Tab_Calculs[[#This Row],[Début mois]],Tab_Calculs[[#This Row],[Début periode livraison]]))</f>
        <v>0</v>
      </c>
      <c r="Q623" t="e">
        <f ca="1">INDEX(INDIRECT(CONCATENATE("Tab_",Tab_Calculs[[#This Row],[Colonne1]])),Tab_Calculs[[#This Row],[index_date_livraison]]+1,7)*(Tab_Calculs[[#This Row],[fin mois]]-MIN(Tab_Calculs[[#This Row],[fin mois]],Tab_Calculs[[#This Row],[Date_livraison]]))</f>
        <v>#VALUE!</v>
      </c>
      <c r="R623" t="e">
        <f ca="1">Tab_Calculs[[#This Row],[Ratio_Cout_après_livr]]+Tab_Calculs[[#This Row],[Ratio_Cout_avant_livr]]+Tab_Calculs[[#This Row],[Ratio_Cout_avant_debut]]</f>
        <v>#VALUE!</v>
      </c>
      <c r="S623" t="str">
        <f ca="1">IFERROR(N623*VLOOKUP(Tab_Calculs[[#This Row],[Colonne1]],Controle_des_données!$B$7:$G$14,6,FALSE),"")</f>
        <v/>
      </c>
      <c r="T623" t="str">
        <f ca="1">IF(Tab_Calculs[[#This Row],[Combustible ]]="Electricité (kWh)",Tab_Calculs[[#This Row],[Conso_mois_kWh]]*2.3,Tab_Calculs[[#This Row],[Conso_mois_kWh]])</f>
        <v/>
      </c>
      <c r="U623" t="str">
        <f ca="1">IFERROR(N623*VLOOKUP(Tab_Calculs[[#This Row],[Colonne1]],Controle_des_données!$B$7:$H$14,7,FALSE),"")</f>
        <v/>
      </c>
      <c r="V623">
        <f ca="1">IFERROR(Tab_Calculs[[#This Row],[Cout_mois]]/Tab_Calculs[[#This Row],[Conso_mois_kWh]],0)</f>
        <v>0</v>
      </c>
      <c r="W623" t="str">
        <f>T(VLOOKUP(Tab_Calculs[[#This Row],[Compteur]],Site!$B$33:$G$40,3,FALSE))</f>
        <v/>
      </c>
      <c r="X623" t="str">
        <f>T(VLOOKUP(Tab_Calculs[[#This Row],[Compteur]],Site!$B$33:$G$40,4,FALSE))</f>
        <v/>
      </c>
      <c r="Y623" t="str">
        <f>T(VLOOKUP(Tab_Calculs[[#This Row],[Compteur]],Site!$B$33:$G$40,5,FALSE))</f>
        <v/>
      </c>
      <c r="Z623" t="str">
        <f>T(VLOOKUP(Tab_Calculs[[#This Row],[Compteur]],Site!$B$33:$G$40,6,FALSE))</f>
        <v/>
      </c>
      <c r="AA623">
        <f>IFERROR(GETPIVOTDATA("DJU(chauffagiste)",BDD_DJU!$P$13,"annee",Tab_Calculs[[#This Row],[ANNEE]],"mois_numero",Tab_Calculs[[#This Row],[MOIS]]),0)</f>
        <v>360.4</v>
      </c>
    </row>
    <row r="624" spans="1:27" x14ac:dyDescent="0.25">
      <c r="A624" s="3">
        <f>DATE(Tab_Calculs[[#This Row],[ANNEE]],Tab_Calculs[[#This Row],[MOIS]],1)</f>
        <v>41365</v>
      </c>
      <c r="B624" s="3">
        <f>EDATE(Tab_Calculs[[#This Row],[Début mois]],1)-1</f>
        <v>41394</v>
      </c>
      <c r="C624">
        <v>4</v>
      </c>
      <c r="D624">
        <v>2013</v>
      </c>
      <c r="E624" t="s">
        <v>83</v>
      </c>
      <c r="F624" t="str">
        <f>SUBSTITUTE(Tab_Calculs[[#This Row],[Compteur]]," ","_")</f>
        <v>Compteur_4</v>
      </c>
      <c r="G624" t="str">
        <f>T(INDEX(Site!$B$33:$G$40, MATCH(Tab_Calculs[[#This Row],[Compteur]], Site!$B$33:$B$40,0),2))</f>
        <v/>
      </c>
      <c r="H624" s="3">
        <f t="array" aca="1" ref="H624" ca="1">MIN(IF(INDIRECT(CONCATENATE(Tab_Calculs[[#This Row],[Colonne1]],"!$B$2:$B$243"))&gt;=Calculs_Consos!$A624,INDIRECT(CONCATENATE(Tab_Calculs[[#This Row],[Colonne1]],"!$B$2:$B$243"))))</f>
        <v>0</v>
      </c>
      <c r="I624" s="3">
        <f ca="1">INDEX(INDIRECT(CONCATENATE("Tab_",Tab_Calculs[[#This Row],[Colonne1]])),Tab_Calculs[[#This Row],[index_date_livraison]],1)</f>
        <v>0</v>
      </c>
      <c r="J624">
        <f ca="1">MATCH(Tab_Calculs[[#This Row],[Date_livraison]],INDIRECT(CONCATENATE("Tab_",Tab_Calculs[[#This Row],[Colonne1]],"[Fin de période]")),0)</f>
        <v>1</v>
      </c>
      <c r="K624" t="e">
        <f ca="1">INDEX(INDIRECT(CONCATENATE("Tab_",Tab_Calculs[[#This Row],[Colonne1]])),Tab_Calculs[[#This Row],[index_date_livraison]]-1,6)*(MAX(Tab_Calculs[[#This Row],[Début periode livraison]],Tab_Calculs[[#This Row],[Début mois]])-Tab_Calculs[[#This Row],[Début mois]])</f>
        <v>#VALUE!</v>
      </c>
      <c r="L624" s="94">
        <f ca="1">INDEX(INDIRECT(CONCATENATE("Tab_",Tab_Calculs[[#This Row],[Colonne1]])),Tab_Calculs[[#This Row],[index_date_livraison]],6)*(1+MIN(Tab_Calculs[[#This Row],[Date_livraison]],Tab_Calculs[[#This Row],[fin mois]])-MAX(Tab_Calculs[[#This Row],[Début mois]],Tab_Calculs[[#This Row],[Début periode livraison]]))</f>
        <v>0</v>
      </c>
      <c r="M624" s="94" t="e">
        <f ca="1">INDEX(INDIRECT(CONCATENATE("Tab_",Tab_Calculs[[#This Row],[Colonne1]])),Tab_Calculs[[#This Row],[index_date_livraison]]+1,6)*(Tab_Calculs[[#This Row],[fin mois]]-MIN(Tab_Calculs[[#This Row],[fin mois]],Tab_Calculs[[#This Row],[Date_livraison]]))</f>
        <v>#VALUE!</v>
      </c>
      <c r="N624" s="231" t="str">
        <f ca="1">IFERROR(Tab_Calculs[[#This Row],[Ratio_jour_après_livr]]+Tab_Calculs[[#This Row],[Ratio_jour_avant_livr]]+Tab_Calculs[[#This Row],[ratio_avant_debut]],"")</f>
        <v/>
      </c>
      <c r="O624" t="e">
        <f ca="1">INDEX(INDIRECT(CONCATENATE("Tab_",Tab_Calculs[[#This Row],[Colonne1]])),Tab_Calculs[[#This Row],[index_date_livraison]]-1,7)*(MAX(Tab_Calculs[[#This Row],[Début periode livraison]],Tab_Calculs[[#This Row],[Début mois]])-Tab_Calculs[[#This Row],[Début mois]])</f>
        <v>#VALUE!</v>
      </c>
      <c r="P624">
        <f ca="1">INDEX(INDIRECT(CONCATENATE("Tab_",Tab_Calculs[[#This Row],[Colonne1]])),Tab_Calculs[[#This Row],[index_date_livraison]],7)*(1+MIN(Tab_Calculs[[#This Row],[Date_livraison]],Tab_Calculs[[#This Row],[fin mois]])-MAX(Tab_Calculs[[#This Row],[Début mois]],Tab_Calculs[[#This Row],[Début periode livraison]]))</f>
        <v>0</v>
      </c>
      <c r="Q624" t="e">
        <f ca="1">INDEX(INDIRECT(CONCATENATE("Tab_",Tab_Calculs[[#This Row],[Colonne1]])),Tab_Calculs[[#This Row],[index_date_livraison]]+1,7)*(Tab_Calculs[[#This Row],[fin mois]]-MIN(Tab_Calculs[[#This Row],[fin mois]],Tab_Calculs[[#This Row],[Date_livraison]]))</f>
        <v>#VALUE!</v>
      </c>
      <c r="R624" t="e">
        <f ca="1">Tab_Calculs[[#This Row],[Ratio_Cout_après_livr]]+Tab_Calculs[[#This Row],[Ratio_Cout_avant_livr]]+Tab_Calculs[[#This Row],[Ratio_Cout_avant_debut]]</f>
        <v>#VALUE!</v>
      </c>
      <c r="S624" t="str">
        <f ca="1">IFERROR(N624*VLOOKUP(Tab_Calculs[[#This Row],[Colonne1]],Controle_des_données!$B$7:$G$14,6,FALSE),"")</f>
        <v/>
      </c>
      <c r="T624" t="str">
        <f ca="1">IF(Tab_Calculs[[#This Row],[Combustible ]]="Electricité (kWh)",Tab_Calculs[[#This Row],[Conso_mois_kWh]]*2.3,Tab_Calculs[[#This Row],[Conso_mois_kWh]])</f>
        <v/>
      </c>
      <c r="U624" t="str">
        <f ca="1">IFERROR(N624*VLOOKUP(Tab_Calculs[[#This Row],[Colonne1]],Controle_des_données!$B$7:$H$14,7,FALSE),"")</f>
        <v/>
      </c>
      <c r="V624">
        <f ca="1">IFERROR(Tab_Calculs[[#This Row],[Cout_mois]]/Tab_Calculs[[#This Row],[Conso_mois_kWh]],0)</f>
        <v>0</v>
      </c>
      <c r="W624" t="str">
        <f>T(VLOOKUP(Tab_Calculs[[#This Row],[Compteur]],Site!$B$33:$G$40,3,FALSE))</f>
        <v/>
      </c>
      <c r="X624" t="str">
        <f>T(VLOOKUP(Tab_Calculs[[#This Row],[Compteur]],Site!$B$33:$G$40,4,FALSE))</f>
        <v/>
      </c>
      <c r="Y624" t="str">
        <f>T(VLOOKUP(Tab_Calculs[[#This Row],[Compteur]],Site!$B$33:$G$40,5,FALSE))</f>
        <v/>
      </c>
      <c r="Z624" t="str">
        <f>T(VLOOKUP(Tab_Calculs[[#This Row],[Compteur]],Site!$B$33:$G$40,6,FALSE))</f>
        <v/>
      </c>
      <c r="AA624">
        <f>IFERROR(GETPIVOTDATA("DJU(chauffagiste)",BDD_DJU!$P$13,"annee",Tab_Calculs[[#This Row],[ANNEE]],"mois_numero",Tab_Calculs[[#This Row],[MOIS]]),0)</f>
        <v>247.2</v>
      </c>
    </row>
    <row r="625" spans="1:27" x14ac:dyDescent="0.25">
      <c r="A625" s="3">
        <f>DATE(Tab_Calculs[[#This Row],[ANNEE]],Tab_Calculs[[#This Row],[MOIS]],1)</f>
        <v>41395</v>
      </c>
      <c r="B625" s="3">
        <f>EDATE(Tab_Calculs[[#This Row],[Début mois]],1)-1</f>
        <v>41425</v>
      </c>
      <c r="C625">
        <v>5</v>
      </c>
      <c r="D625">
        <v>2013</v>
      </c>
      <c r="E625" t="s">
        <v>83</v>
      </c>
      <c r="F625" t="str">
        <f>SUBSTITUTE(Tab_Calculs[[#This Row],[Compteur]]," ","_")</f>
        <v>Compteur_4</v>
      </c>
      <c r="G625" t="str">
        <f>T(INDEX(Site!$B$33:$G$40, MATCH(Tab_Calculs[[#This Row],[Compteur]], Site!$B$33:$B$40,0),2))</f>
        <v/>
      </c>
      <c r="H625" s="3">
        <f t="array" aca="1" ref="H625" ca="1">MIN(IF(INDIRECT(CONCATENATE(Tab_Calculs[[#This Row],[Colonne1]],"!$B$2:$B$243"))&gt;=Calculs_Consos!$A625,INDIRECT(CONCATENATE(Tab_Calculs[[#This Row],[Colonne1]],"!$B$2:$B$243"))))</f>
        <v>0</v>
      </c>
      <c r="I625" s="3">
        <f ca="1">INDEX(INDIRECT(CONCATENATE("Tab_",Tab_Calculs[[#This Row],[Colonne1]])),Tab_Calculs[[#This Row],[index_date_livraison]],1)</f>
        <v>0</v>
      </c>
      <c r="J625">
        <f ca="1">MATCH(Tab_Calculs[[#This Row],[Date_livraison]],INDIRECT(CONCATENATE("Tab_",Tab_Calculs[[#This Row],[Colonne1]],"[Fin de période]")),0)</f>
        <v>1</v>
      </c>
      <c r="K625" t="e">
        <f ca="1">INDEX(INDIRECT(CONCATENATE("Tab_",Tab_Calculs[[#This Row],[Colonne1]])),Tab_Calculs[[#This Row],[index_date_livraison]]-1,6)*(MAX(Tab_Calculs[[#This Row],[Début periode livraison]],Tab_Calculs[[#This Row],[Début mois]])-Tab_Calculs[[#This Row],[Début mois]])</f>
        <v>#VALUE!</v>
      </c>
      <c r="L625" s="94">
        <f ca="1">INDEX(INDIRECT(CONCATENATE("Tab_",Tab_Calculs[[#This Row],[Colonne1]])),Tab_Calculs[[#This Row],[index_date_livraison]],6)*(1+MIN(Tab_Calculs[[#This Row],[Date_livraison]],Tab_Calculs[[#This Row],[fin mois]])-MAX(Tab_Calculs[[#This Row],[Début mois]],Tab_Calculs[[#This Row],[Début periode livraison]]))</f>
        <v>0</v>
      </c>
      <c r="M625" s="94" t="e">
        <f ca="1">INDEX(INDIRECT(CONCATENATE("Tab_",Tab_Calculs[[#This Row],[Colonne1]])),Tab_Calculs[[#This Row],[index_date_livraison]]+1,6)*(Tab_Calculs[[#This Row],[fin mois]]-MIN(Tab_Calculs[[#This Row],[fin mois]],Tab_Calculs[[#This Row],[Date_livraison]]))</f>
        <v>#VALUE!</v>
      </c>
      <c r="N625" s="231" t="str">
        <f ca="1">IFERROR(Tab_Calculs[[#This Row],[Ratio_jour_après_livr]]+Tab_Calculs[[#This Row],[Ratio_jour_avant_livr]]+Tab_Calculs[[#This Row],[ratio_avant_debut]],"")</f>
        <v/>
      </c>
      <c r="O625" t="e">
        <f ca="1">INDEX(INDIRECT(CONCATENATE("Tab_",Tab_Calculs[[#This Row],[Colonne1]])),Tab_Calculs[[#This Row],[index_date_livraison]]-1,7)*(MAX(Tab_Calculs[[#This Row],[Début periode livraison]],Tab_Calculs[[#This Row],[Début mois]])-Tab_Calculs[[#This Row],[Début mois]])</f>
        <v>#VALUE!</v>
      </c>
      <c r="P625">
        <f ca="1">INDEX(INDIRECT(CONCATENATE("Tab_",Tab_Calculs[[#This Row],[Colonne1]])),Tab_Calculs[[#This Row],[index_date_livraison]],7)*(1+MIN(Tab_Calculs[[#This Row],[Date_livraison]],Tab_Calculs[[#This Row],[fin mois]])-MAX(Tab_Calculs[[#This Row],[Début mois]],Tab_Calculs[[#This Row],[Début periode livraison]]))</f>
        <v>0</v>
      </c>
      <c r="Q625" t="e">
        <f ca="1">INDEX(INDIRECT(CONCATENATE("Tab_",Tab_Calculs[[#This Row],[Colonne1]])),Tab_Calculs[[#This Row],[index_date_livraison]]+1,7)*(Tab_Calculs[[#This Row],[fin mois]]-MIN(Tab_Calculs[[#This Row],[fin mois]],Tab_Calculs[[#This Row],[Date_livraison]]))</f>
        <v>#VALUE!</v>
      </c>
      <c r="R625" t="e">
        <f ca="1">Tab_Calculs[[#This Row],[Ratio_Cout_après_livr]]+Tab_Calculs[[#This Row],[Ratio_Cout_avant_livr]]+Tab_Calculs[[#This Row],[Ratio_Cout_avant_debut]]</f>
        <v>#VALUE!</v>
      </c>
      <c r="S625" t="str">
        <f ca="1">IFERROR(N625*VLOOKUP(Tab_Calculs[[#This Row],[Colonne1]],Controle_des_données!$B$7:$G$14,6,FALSE),"")</f>
        <v/>
      </c>
      <c r="T625" t="str">
        <f ca="1">IF(Tab_Calculs[[#This Row],[Combustible ]]="Electricité (kWh)",Tab_Calculs[[#This Row],[Conso_mois_kWh]]*2.3,Tab_Calculs[[#This Row],[Conso_mois_kWh]])</f>
        <v/>
      </c>
      <c r="U625" t="str">
        <f ca="1">IFERROR(N625*VLOOKUP(Tab_Calculs[[#This Row],[Colonne1]],Controle_des_données!$B$7:$H$14,7,FALSE),"")</f>
        <v/>
      </c>
      <c r="V625">
        <f ca="1">IFERROR(Tab_Calculs[[#This Row],[Cout_mois]]/Tab_Calculs[[#This Row],[Conso_mois_kWh]],0)</f>
        <v>0</v>
      </c>
      <c r="W625" t="str">
        <f>T(VLOOKUP(Tab_Calculs[[#This Row],[Compteur]],Site!$B$33:$G$40,3,FALSE))</f>
        <v/>
      </c>
      <c r="X625" t="str">
        <f>T(VLOOKUP(Tab_Calculs[[#This Row],[Compteur]],Site!$B$33:$G$40,4,FALSE))</f>
        <v/>
      </c>
      <c r="Y625" t="str">
        <f>T(VLOOKUP(Tab_Calculs[[#This Row],[Compteur]],Site!$B$33:$G$40,5,FALSE))</f>
        <v/>
      </c>
      <c r="Z625" t="str">
        <f>T(VLOOKUP(Tab_Calculs[[#This Row],[Compteur]],Site!$B$33:$G$40,6,FALSE))</f>
        <v/>
      </c>
      <c r="AA625">
        <f>IFERROR(GETPIVOTDATA("DJU(chauffagiste)",BDD_DJU!$P$13,"annee",Tab_Calculs[[#This Row],[ANNEE]],"mois_numero",Tab_Calculs[[#This Row],[MOIS]]),0)</f>
        <v>175.2</v>
      </c>
    </row>
    <row r="626" spans="1:27" x14ac:dyDescent="0.25">
      <c r="A626" s="3">
        <f>DATE(Tab_Calculs[[#This Row],[ANNEE]],Tab_Calculs[[#This Row],[MOIS]],1)</f>
        <v>41426</v>
      </c>
      <c r="B626" s="3">
        <f>EDATE(Tab_Calculs[[#This Row],[Début mois]],1)-1</f>
        <v>41455</v>
      </c>
      <c r="C626">
        <v>6</v>
      </c>
      <c r="D626">
        <v>2013</v>
      </c>
      <c r="E626" t="s">
        <v>83</v>
      </c>
      <c r="F626" t="str">
        <f>SUBSTITUTE(Tab_Calculs[[#This Row],[Compteur]]," ","_")</f>
        <v>Compteur_4</v>
      </c>
      <c r="G626" t="str">
        <f>T(INDEX(Site!$B$33:$G$40, MATCH(Tab_Calculs[[#This Row],[Compteur]], Site!$B$33:$B$40,0),2))</f>
        <v/>
      </c>
      <c r="H626" s="3">
        <f t="array" aca="1" ref="H626" ca="1">MIN(IF(INDIRECT(CONCATENATE(Tab_Calculs[[#This Row],[Colonne1]],"!$B$2:$B$243"))&gt;=Calculs_Consos!$A626,INDIRECT(CONCATENATE(Tab_Calculs[[#This Row],[Colonne1]],"!$B$2:$B$243"))))</f>
        <v>0</v>
      </c>
      <c r="I626" s="3">
        <f ca="1">INDEX(INDIRECT(CONCATENATE("Tab_",Tab_Calculs[[#This Row],[Colonne1]])),Tab_Calculs[[#This Row],[index_date_livraison]],1)</f>
        <v>0</v>
      </c>
      <c r="J626">
        <f ca="1">MATCH(Tab_Calculs[[#This Row],[Date_livraison]],INDIRECT(CONCATENATE("Tab_",Tab_Calculs[[#This Row],[Colonne1]],"[Fin de période]")),0)</f>
        <v>1</v>
      </c>
      <c r="K626" t="e">
        <f ca="1">INDEX(INDIRECT(CONCATENATE("Tab_",Tab_Calculs[[#This Row],[Colonne1]])),Tab_Calculs[[#This Row],[index_date_livraison]]-1,6)*(MAX(Tab_Calculs[[#This Row],[Début periode livraison]],Tab_Calculs[[#This Row],[Début mois]])-Tab_Calculs[[#This Row],[Début mois]])</f>
        <v>#VALUE!</v>
      </c>
      <c r="L626" s="94">
        <f ca="1">INDEX(INDIRECT(CONCATENATE("Tab_",Tab_Calculs[[#This Row],[Colonne1]])),Tab_Calculs[[#This Row],[index_date_livraison]],6)*(1+MIN(Tab_Calculs[[#This Row],[Date_livraison]],Tab_Calculs[[#This Row],[fin mois]])-MAX(Tab_Calculs[[#This Row],[Début mois]],Tab_Calculs[[#This Row],[Début periode livraison]]))</f>
        <v>0</v>
      </c>
      <c r="M626" s="94" t="e">
        <f ca="1">INDEX(INDIRECT(CONCATENATE("Tab_",Tab_Calculs[[#This Row],[Colonne1]])),Tab_Calculs[[#This Row],[index_date_livraison]]+1,6)*(Tab_Calculs[[#This Row],[fin mois]]-MIN(Tab_Calculs[[#This Row],[fin mois]],Tab_Calculs[[#This Row],[Date_livraison]]))</f>
        <v>#VALUE!</v>
      </c>
      <c r="N626" s="231" t="str">
        <f ca="1">IFERROR(Tab_Calculs[[#This Row],[Ratio_jour_après_livr]]+Tab_Calculs[[#This Row],[Ratio_jour_avant_livr]]+Tab_Calculs[[#This Row],[ratio_avant_debut]],"")</f>
        <v/>
      </c>
      <c r="O626" t="e">
        <f ca="1">INDEX(INDIRECT(CONCATENATE("Tab_",Tab_Calculs[[#This Row],[Colonne1]])),Tab_Calculs[[#This Row],[index_date_livraison]]-1,7)*(MAX(Tab_Calculs[[#This Row],[Début periode livraison]],Tab_Calculs[[#This Row],[Début mois]])-Tab_Calculs[[#This Row],[Début mois]])</f>
        <v>#VALUE!</v>
      </c>
      <c r="P626">
        <f ca="1">INDEX(INDIRECT(CONCATENATE("Tab_",Tab_Calculs[[#This Row],[Colonne1]])),Tab_Calculs[[#This Row],[index_date_livraison]],7)*(1+MIN(Tab_Calculs[[#This Row],[Date_livraison]],Tab_Calculs[[#This Row],[fin mois]])-MAX(Tab_Calculs[[#This Row],[Début mois]],Tab_Calculs[[#This Row],[Début periode livraison]]))</f>
        <v>0</v>
      </c>
      <c r="Q626" t="e">
        <f ca="1">INDEX(INDIRECT(CONCATENATE("Tab_",Tab_Calculs[[#This Row],[Colonne1]])),Tab_Calculs[[#This Row],[index_date_livraison]]+1,7)*(Tab_Calculs[[#This Row],[fin mois]]-MIN(Tab_Calculs[[#This Row],[fin mois]],Tab_Calculs[[#This Row],[Date_livraison]]))</f>
        <v>#VALUE!</v>
      </c>
      <c r="R626" t="e">
        <f ca="1">Tab_Calculs[[#This Row],[Ratio_Cout_après_livr]]+Tab_Calculs[[#This Row],[Ratio_Cout_avant_livr]]+Tab_Calculs[[#This Row],[Ratio_Cout_avant_debut]]</f>
        <v>#VALUE!</v>
      </c>
      <c r="S626" t="str">
        <f ca="1">IFERROR(N626*VLOOKUP(Tab_Calculs[[#This Row],[Colonne1]],Controle_des_données!$B$7:$G$14,6,FALSE),"")</f>
        <v/>
      </c>
      <c r="T626" t="str">
        <f ca="1">IF(Tab_Calculs[[#This Row],[Combustible ]]="Electricité (kWh)",Tab_Calculs[[#This Row],[Conso_mois_kWh]]*2.3,Tab_Calculs[[#This Row],[Conso_mois_kWh]])</f>
        <v/>
      </c>
      <c r="U626" t="str">
        <f ca="1">IFERROR(N626*VLOOKUP(Tab_Calculs[[#This Row],[Colonne1]],Controle_des_données!$B$7:$H$14,7,FALSE),"")</f>
        <v/>
      </c>
      <c r="V626">
        <f ca="1">IFERROR(Tab_Calculs[[#This Row],[Cout_mois]]/Tab_Calculs[[#This Row],[Conso_mois_kWh]],0)</f>
        <v>0</v>
      </c>
      <c r="W626" t="str">
        <f>T(VLOOKUP(Tab_Calculs[[#This Row],[Compteur]],Site!$B$33:$G$40,3,FALSE))</f>
        <v/>
      </c>
      <c r="X626" t="str">
        <f>T(VLOOKUP(Tab_Calculs[[#This Row],[Compteur]],Site!$B$33:$G$40,4,FALSE))</f>
        <v/>
      </c>
      <c r="Y626" t="str">
        <f>T(VLOOKUP(Tab_Calculs[[#This Row],[Compteur]],Site!$B$33:$G$40,5,FALSE))</f>
        <v/>
      </c>
      <c r="Z626" t="str">
        <f>T(VLOOKUP(Tab_Calculs[[#This Row],[Compteur]],Site!$B$33:$G$40,6,FALSE))</f>
        <v/>
      </c>
      <c r="AA626">
        <f>IFERROR(GETPIVOTDATA("DJU(chauffagiste)",BDD_DJU!$P$13,"annee",Tab_Calculs[[#This Row],[ANNEE]],"mois_numero",Tab_Calculs[[#This Row],[MOIS]]),0)</f>
        <v>68</v>
      </c>
    </row>
    <row r="627" spans="1:27" x14ac:dyDescent="0.25">
      <c r="A627" s="3">
        <f>DATE(Tab_Calculs[[#This Row],[ANNEE]],Tab_Calculs[[#This Row],[MOIS]],1)</f>
        <v>41456</v>
      </c>
      <c r="B627" s="3">
        <f>EDATE(Tab_Calculs[[#This Row],[Début mois]],1)-1</f>
        <v>41486</v>
      </c>
      <c r="C627">
        <v>7</v>
      </c>
      <c r="D627">
        <v>2013</v>
      </c>
      <c r="E627" t="s">
        <v>83</v>
      </c>
      <c r="F627" t="str">
        <f>SUBSTITUTE(Tab_Calculs[[#This Row],[Compteur]]," ","_")</f>
        <v>Compteur_4</v>
      </c>
      <c r="G627" t="str">
        <f>T(INDEX(Site!$B$33:$G$40, MATCH(Tab_Calculs[[#This Row],[Compteur]], Site!$B$33:$B$40,0),2))</f>
        <v/>
      </c>
      <c r="H627" s="3">
        <f t="array" aca="1" ref="H627" ca="1">MIN(IF(INDIRECT(CONCATENATE(Tab_Calculs[[#This Row],[Colonne1]],"!$B$2:$B$243"))&gt;=Calculs_Consos!$A627,INDIRECT(CONCATENATE(Tab_Calculs[[#This Row],[Colonne1]],"!$B$2:$B$243"))))</f>
        <v>0</v>
      </c>
      <c r="I627" s="3">
        <f ca="1">INDEX(INDIRECT(CONCATENATE("Tab_",Tab_Calculs[[#This Row],[Colonne1]])),Tab_Calculs[[#This Row],[index_date_livraison]],1)</f>
        <v>0</v>
      </c>
      <c r="J627">
        <f ca="1">MATCH(Tab_Calculs[[#This Row],[Date_livraison]],INDIRECT(CONCATENATE("Tab_",Tab_Calculs[[#This Row],[Colonne1]],"[Fin de période]")),0)</f>
        <v>1</v>
      </c>
      <c r="K627" t="e">
        <f ca="1">INDEX(INDIRECT(CONCATENATE("Tab_",Tab_Calculs[[#This Row],[Colonne1]])),Tab_Calculs[[#This Row],[index_date_livraison]]-1,6)*(MAX(Tab_Calculs[[#This Row],[Début periode livraison]],Tab_Calculs[[#This Row],[Début mois]])-Tab_Calculs[[#This Row],[Début mois]])</f>
        <v>#VALUE!</v>
      </c>
      <c r="L627" s="94">
        <f ca="1">INDEX(INDIRECT(CONCATENATE("Tab_",Tab_Calculs[[#This Row],[Colonne1]])),Tab_Calculs[[#This Row],[index_date_livraison]],6)*(1+MIN(Tab_Calculs[[#This Row],[Date_livraison]],Tab_Calculs[[#This Row],[fin mois]])-MAX(Tab_Calculs[[#This Row],[Début mois]],Tab_Calculs[[#This Row],[Début periode livraison]]))</f>
        <v>0</v>
      </c>
      <c r="M627" s="94" t="e">
        <f ca="1">INDEX(INDIRECT(CONCATENATE("Tab_",Tab_Calculs[[#This Row],[Colonne1]])),Tab_Calculs[[#This Row],[index_date_livraison]]+1,6)*(Tab_Calculs[[#This Row],[fin mois]]-MIN(Tab_Calculs[[#This Row],[fin mois]],Tab_Calculs[[#This Row],[Date_livraison]]))</f>
        <v>#VALUE!</v>
      </c>
      <c r="N627" s="231" t="str">
        <f ca="1">IFERROR(Tab_Calculs[[#This Row],[Ratio_jour_après_livr]]+Tab_Calculs[[#This Row],[Ratio_jour_avant_livr]]+Tab_Calculs[[#This Row],[ratio_avant_debut]],"")</f>
        <v/>
      </c>
      <c r="O627" t="e">
        <f ca="1">INDEX(INDIRECT(CONCATENATE("Tab_",Tab_Calculs[[#This Row],[Colonne1]])),Tab_Calculs[[#This Row],[index_date_livraison]]-1,7)*(MAX(Tab_Calculs[[#This Row],[Début periode livraison]],Tab_Calculs[[#This Row],[Début mois]])-Tab_Calculs[[#This Row],[Début mois]])</f>
        <v>#VALUE!</v>
      </c>
      <c r="P627">
        <f ca="1">INDEX(INDIRECT(CONCATENATE("Tab_",Tab_Calculs[[#This Row],[Colonne1]])),Tab_Calculs[[#This Row],[index_date_livraison]],7)*(1+MIN(Tab_Calculs[[#This Row],[Date_livraison]],Tab_Calculs[[#This Row],[fin mois]])-MAX(Tab_Calculs[[#This Row],[Début mois]],Tab_Calculs[[#This Row],[Début periode livraison]]))</f>
        <v>0</v>
      </c>
      <c r="Q627" t="e">
        <f ca="1">INDEX(INDIRECT(CONCATENATE("Tab_",Tab_Calculs[[#This Row],[Colonne1]])),Tab_Calculs[[#This Row],[index_date_livraison]]+1,7)*(Tab_Calculs[[#This Row],[fin mois]]-MIN(Tab_Calculs[[#This Row],[fin mois]],Tab_Calculs[[#This Row],[Date_livraison]]))</f>
        <v>#VALUE!</v>
      </c>
      <c r="R627" t="e">
        <f ca="1">Tab_Calculs[[#This Row],[Ratio_Cout_après_livr]]+Tab_Calculs[[#This Row],[Ratio_Cout_avant_livr]]+Tab_Calculs[[#This Row],[Ratio_Cout_avant_debut]]</f>
        <v>#VALUE!</v>
      </c>
      <c r="S627" t="str">
        <f ca="1">IFERROR(N627*VLOOKUP(Tab_Calculs[[#This Row],[Colonne1]],Controle_des_données!$B$7:$G$14,6,FALSE),"")</f>
        <v/>
      </c>
      <c r="T627" t="str">
        <f ca="1">IF(Tab_Calculs[[#This Row],[Combustible ]]="Electricité (kWh)",Tab_Calculs[[#This Row],[Conso_mois_kWh]]*2.3,Tab_Calculs[[#This Row],[Conso_mois_kWh]])</f>
        <v/>
      </c>
      <c r="U627" t="str">
        <f ca="1">IFERROR(N627*VLOOKUP(Tab_Calculs[[#This Row],[Colonne1]],Controle_des_données!$B$7:$H$14,7,FALSE),"")</f>
        <v/>
      </c>
      <c r="V627">
        <f ca="1">IFERROR(Tab_Calculs[[#This Row],[Cout_mois]]/Tab_Calculs[[#This Row],[Conso_mois_kWh]],0)</f>
        <v>0</v>
      </c>
      <c r="W627" t="str">
        <f>T(VLOOKUP(Tab_Calculs[[#This Row],[Compteur]],Site!$B$33:$G$40,3,FALSE))</f>
        <v/>
      </c>
      <c r="X627" t="str">
        <f>T(VLOOKUP(Tab_Calculs[[#This Row],[Compteur]],Site!$B$33:$G$40,4,FALSE))</f>
        <v/>
      </c>
      <c r="Y627" t="str">
        <f>T(VLOOKUP(Tab_Calculs[[#This Row],[Compteur]],Site!$B$33:$G$40,5,FALSE))</f>
        <v/>
      </c>
      <c r="Z627" t="str">
        <f>T(VLOOKUP(Tab_Calculs[[#This Row],[Compteur]],Site!$B$33:$G$40,6,FALSE))</f>
        <v/>
      </c>
      <c r="AA627">
        <f>IFERROR(GETPIVOTDATA("DJU(chauffagiste)",BDD_DJU!$P$13,"annee",Tab_Calculs[[#This Row],[ANNEE]],"mois_numero",Tab_Calculs[[#This Row],[MOIS]]),0)</f>
        <v>13.3</v>
      </c>
    </row>
    <row r="628" spans="1:27" x14ac:dyDescent="0.25">
      <c r="A628" s="3">
        <f>DATE(Tab_Calculs[[#This Row],[ANNEE]],Tab_Calculs[[#This Row],[MOIS]],1)</f>
        <v>41487</v>
      </c>
      <c r="B628" s="3">
        <f>EDATE(Tab_Calculs[[#This Row],[Début mois]],1)-1</f>
        <v>41517</v>
      </c>
      <c r="C628">
        <v>8</v>
      </c>
      <c r="D628">
        <v>2013</v>
      </c>
      <c r="E628" t="s">
        <v>83</v>
      </c>
      <c r="F628" t="str">
        <f>SUBSTITUTE(Tab_Calculs[[#This Row],[Compteur]]," ","_")</f>
        <v>Compteur_4</v>
      </c>
      <c r="G628" t="str">
        <f>T(INDEX(Site!$B$33:$G$40, MATCH(Tab_Calculs[[#This Row],[Compteur]], Site!$B$33:$B$40,0),2))</f>
        <v/>
      </c>
      <c r="H628" s="3">
        <f t="array" aca="1" ref="H628" ca="1">MIN(IF(INDIRECT(CONCATENATE(Tab_Calculs[[#This Row],[Colonne1]],"!$B$2:$B$243"))&gt;=Calculs_Consos!$A628,INDIRECT(CONCATENATE(Tab_Calculs[[#This Row],[Colonne1]],"!$B$2:$B$243"))))</f>
        <v>0</v>
      </c>
      <c r="I628" s="3">
        <f ca="1">INDEX(INDIRECT(CONCATENATE("Tab_",Tab_Calculs[[#This Row],[Colonne1]])),Tab_Calculs[[#This Row],[index_date_livraison]],1)</f>
        <v>0</v>
      </c>
      <c r="J628">
        <f ca="1">MATCH(Tab_Calculs[[#This Row],[Date_livraison]],INDIRECT(CONCATENATE("Tab_",Tab_Calculs[[#This Row],[Colonne1]],"[Fin de période]")),0)</f>
        <v>1</v>
      </c>
      <c r="K628" t="e">
        <f ca="1">INDEX(INDIRECT(CONCATENATE("Tab_",Tab_Calculs[[#This Row],[Colonne1]])),Tab_Calculs[[#This Row],[index_date_livraison]]-1,6)*(MAX(Tab_Calculs[[#This Row],[Début periode livraison]],Tab_Calculs[[#This Row],[Début mois]])-Tab_Calculs[[#This Row],[Début mois]])</f>
        <v>#VALUE!</v>
      </c>
      <c r="L628" s="94">
        <f ca="1">INDEX(INDIRECT(CONCATENATE("Tab_",Tab_Calculs[[#This Row],[Colonne1]])),Tab_Calculs[[#This Row],[index_date_livraison]],6)*(1+MIN(Tab_Calculs[[#This Row],[Date_livraison]],Tab_Calculs[[#This Row],[fin mois]])-MAX(Tab_Calculs[[#This Row],[Début mois]],Tab_Calculs[[#This Row],[Début periode livraison]]))</f>
        <v>0</v>
      </c>
      <c r="M628" s="94" t="e">
        <f ca="1">INDEX(INDIRECT(CONCATENATE("Tab_",Tab_Calculs[[#This Row],[Colonne1]])),Tab_Calculs[[#This Row],[index_date_livraison]]+1,6)*(Tab_Calculs[[#This Row],[fin mois]]-MIN(Tab_Calculs[[#This Row],[fin mois]],Tab_Calculs[[#This Row],[Date_livraison]]))</f>
        <v>#VALUE!</v>
      </c>
      <c r="N628" s="231" t="str">
        <f ca="1">IFERROR(Tab_Calculs[[#This Row],[Ratio_jour_après_livr]]+Tab_Calculs[[#This Row],[Ratio_jour_avant_livr]]+Tab_Calculs[[#This Row],[ratio_avant_debut]],"")</f>
        <v/>
      </c>
      <c r="O628" t="e">
        <f ca="1">INDEX(INDIRECT(CONCATENATE("Tab_",Tab_Calculs[[#This Row],[Colonne1]])),Tab_Calculs[[#This Row],[index_date_livraison]]-1,7)*(MAX(Tab_Calculs[[#This Row],[Début periode livraison]],Tab_Calculs[[#This Row],[Début mois]])-Tab_Calculs[[#This Row],[Début mois]])</f>
        <v>#VALUE!</v>
      </c>
      <c r="P628">
        <f ca="1">INDEX(INDIRECT(CONCATENATE("Tab_",Tab_Calculs[[#This Row],[Colonne1]])),Tab_Calculs[[#This Row],[index_date_livraison]],7)*(1+MIN(Tab_Calculs[[#This Row],[Date_livraison]],Tab_Calculs[[#This Row],[fin mois]])-MAX(Tab_Calculs[[#This Row],[Début mois]],Tab_Calculs[[#This Row],[Début periode livraison]]))</f>
        <v>0</v>
      </c>
      <c r="Q628" t="e">
        <f ca="1">INDEX(INDIRECT(CONCATENATE("Tab_",Tab_Calculs[[#This Row],[Colonne1]])),Tab_Calculs[[#This Row],[index_date_livraison]]+1,7)*(Tab_Calculs[[#This Row],[fin mois]]-MIN(Tab_Calculs[[#This Row],[fin mois]],Tab_Calculs[[#This Row],[Date_livraison]]))</f>
        <v>#VALUE!</v>
      </c>
      <c r="R628" t="e">
        <f ca="1">Tab_Calculs[[#This Row],[Ratio_Cout_après_livr]]+Tab_Calculs[[#This Row],[Ratio_Cout_avant_livr]]+Tab_Calculs[[#This Row],[Ratio_Cout_avant_debut]]</f>
        <v>#VALUE!</v>
      </c>
      <c r="S628" t="str">
        <f ca="1">IFERROR(N628*VLOOKUP(Tab_Calculs[[#This Row],[Colonne1]],Controle_des_données!$B$7:$G$14,6,FALSE),"")</f>
        <v/>
      </c>
      <c r="T628" t="str">
        <f ca="1">IF(Tab_Calculs[[#This Row],[Combustible ]]="Electricité (kWh)",Tab_Calculs[[#This Row],[Conso_mois_kWh]]*2.3,Tab_Calculs[[#This Row],[Conso_mois_kWh]])</f>
        <v/>
      </c>
      <c r="U628" t="str">
        <f ca="1">IFERROR(N628*VLOOKUP(Tab_Calculs[[#This Row],[Colonne1]],Controle_des_données!$B$7:$H$14,7,FALSE),"")</f>
        <v/>
      </c>
      <c r="V628">
        <f ca="1">IFERROR(Tab_Calculs[[#This Row],[Cout_mois]]/Tab_Calculs[[#This Row],[Conso_mois_kWh]],0)</f>
        <v>0</v>
      </c>
      <c r="W628" t="str">
        <f>T(VLOOKUP(Tab_Calculs[[#This Row],[Compteur]],Site!$B$33:$G$40,3,FALSE))</f>
        <v/>
      </c>
      <c r="X628" t="str">
        <f>T(VLOOKUP(Tab_Calculs[[#This Row],[Compteur]],Site!$B$33:$G$40,4,FALSE))</f>
        <v/>
      </c>
      <c r="Y628" t="str">
        <f>T(VLOOKUP(Tab_Calculs[[#This Row],[Compteur]],Site!$B$33:$G$40,5,FALSE))</f>
        <v/>
      </c>
      <c r="Z628" t="str">
        <f>T(VLOOKUP(Tab_Calculs[[#This Row],[Compteur]],Site!$B$33:$G$40,6,FALSE))</f>
        <v/>
      </c>
      <c r="AA628">
        <f>IFERROR(GETPIVOTDATA("DJU(chauffagiste)",BDD_DJU!$P$13,"annee",Tab_Calculs[[#This Row],[ANNEE]],"mois_numero",Tab_Calculs[[#This Row],[MOIS]]),0)</f>
        <v>38.5</v>
      </c>
    </row>
    <row r="629" spans="1:27" x14ac:dyDescent="0.25">
      <c r="A629" s="3">
        <f>DATE(Tab_Calculs[[#This Row],[ANNEE]],Tab_Calculs[[#This Row],[MOIS]],1)</f>
        <v>41518</v>
      </c>
      <c r="B629" s="3">
        <f>EDATE(Tab_Calculs[[#This Row],[Début mois]],1)-1</f>
        <v>41547</v>
      </c>
      <c r="C629">
        <v>9</v>
      </c>
      <c r="D629">
        <v>2013</v>
      </c>
      <c r="E629" t="s">
        <v>83</v>
      </c>
      <c r="F629" t="str">
        <f>SUBSTITUTE(Tab_Calculs[[#This Row],[Compteur]]," ","_")</f>
        <v>Compteur_4</v>
      </c>
      <c r="G629" t="str">
        <f>T(INDEX(Site!$B$33:$G$40, MATCH(Tab_Calculs[[#This Row],[Compteur]], Site!$B$33:$B$40,0),2))</f>
        <v/>
      </c>
      <c r="H629" s="3">
        <f t="array" aca="1" ref="H629" ca="1">MIN(IF(INDIRECT(CONCATENATE(Tab_Calculs[[#This Row],[Colonne1]],"!$B$2:$B$243"))&gt;=Calculs_Consos!$A629,INDIRECT(CONCATENATE(Tab_Calculs[[#This Row],[Colonne1]],"!$B$2:$B$243"))))</f>
        <v>0</v>
      </c>
      <c r="I629" s="3">
        <f ca="1">INDEX(INDIRECT(CONCATENATE("Tab_",Tab_Calculs[[#This Row],[Colonne1]])),Tab_Calculs[[#This Row],[index_date_livraison]],1)</f>
        <v>0</v>
      </c>
      <c r="J629">
        <f ca="1">MATCH(Tab_Calculs[[#This Row],[Date_livraison]],INDIRECT(CONCATENATE("Tab_",Tab_Calculs[[#This Row],[Colonne1]],"[Fin de période]")),0)</f>
        <v>1</v>
      </c>
      <c r="K629" t="e">
        <f ca="1">INDEX(INDIRECT(CONCATENATE("Tab_",Tab_Calculs[[#This Row],[Colonne1]])),Tab_Calculs[[#This Row],[index_date_livraison]]-1,6)*(MAX(Tab_Calculs[[#This Row],[Début periode livraison]],Tab_Calculs[[#This Row],[Début mois]])-Tab_Calculs[[#This Row],[Début mois]])</f>
        <v>#VALUE!</v>
      </c>
      <c r="L629" s="94">
        <f ca="1">INDEX(INDIRECT(CONCATENATE("Tab_",Tab_Calculs[[#This Row],[Colonne1]])),Tab_Calculs[[#This Row],[index_date_livraison]],6)*(1+MIN(Tab_Calculs[[#This Row],[Date_livraison]],Tab_Calculs[[#This Row],[fin mois]])-MAX(Tab_Calculs[[#This Row],[Début mois]],Tab_Calculs[[#This Row],[Début periode livraison]]))</f>
        <v>0</v>
      </c>
      <c r="M629" s="94" t="e">
        <f ca="1">INDEX(INDIRECT(CONCATENATE("Tab_",Tab_Calculs[[#This Row],[Colonne1]])),Tab_Calculs[[#This Row],[index_date_livraison]]+1,6)*(Tab_Calculs[[#This Row],[fin mois]]-MIN(Tab_Calculs[[#This Row],[fin mois]],Tab_Calculs[[#This Row],[Date_livraison]]))</f>
        <v>#VALUE!</v>
      </c>
      <c r="N629" s="231" t="str">
        <f ca="1">IFERROR(Tab_Calculs[[#This Row],[Ratio_jour_après_livr]]+Tab_Calculs[[#This Row],[Ratio_jour_avant_livr]]+Tab_Calculs[[#This Row],[ratio_avant_debut]],"")</f>
        <v/>
      </c>
      <c r="O629" t="e">
        <f ca="1">INDEX(INDIRECT(CONCATENATE("Tab_",Tab_Calculs[[#This Row],[Colonne1]])),Tab_Calculs[[#This Row],[index_date_livraison]]-1,7)*(MAX(Tab_Calculs[[#This Row],[Début periode livraison]],Tab_Calculs[[#This Row],[Début mois]])-Tab_Calculs[[#This Row],[Début mois]])</f>
        <v>#VALUE!</v>
      </c>
      <c r="P629">
        <f ca="1">INDEX(INDIRECT(CONCATENATE("Tab_",Tab_Calculs[[#This Row],[Colonne1]])),Tab_Calculs[[#This Row],[index_date_livraison]],7)*(1+MIN(Tab_Calculs[[#This Row],[Date_livraison]],Tab_Calculs[[#This Row],[fin mois]])-MAX(Tab_Calculs[[#This Row],[Début mois]],Tab_Calculs[[#This Row],[Début periode livraison]]))</f>
        <v>0</v>
      </c>
      <c r="Q629" t="e">
        <f ca="1">INDEX(INDIRECT(CONCATENATE("Tab_",Tab_Calculs[[#This Row],[Colonne1]])),Tab_Calculs[[#This Row],[index_date_livraison]]+1,7)*(Tab_Calculs[[#This Row],[fin mois]]-MIN(Tab_Calculs[[#This Row],[fin mois]],Tab_Calculs[[#This Row],[Date_livraison]]))</f>
        <v>#VALUE!</v>
      </c>
      <c r="R629" t="e">
        <f ca="1">Tab_Calculs[[#This Row],[Ratio_Cout_après_livr]]+Tab_Calculs[[#This Row],[Ratio_Cout_avant_livr]]+Tab_Calculs[[#This Row],[Ratio_Cout_avant_debut]]</f>
        <v>#VALUE!</v>
      </c>
      <c r="S629" t="str">
        <f ca="1">IFERROR(N629*VLOOKUP(Tab_Calculs[[#This Row],[Colonne1]],Controle_des_données!$B$7:$G$14,6,FALSE),"")</f>
        <v/>
      </c>
      <c r="T629" t="str">
        <f ca="1">IF(Tab_Calculs[[#This Row],[Combustible ]]="Electricité (kWh)",Tab_Calculs[[#This Row],[Conso_mois_kWh]]*2.3,Tab_Calculs[[#This Row],[Conso_mois_kWh]])</f>
        <v/>
      </c>
      <c r="U629" t="str">
        <f ca="1">IFERROR(N629*VLOOKUP(Tab_Calculs[[#This Row],[Colonne1]],Controle_des_données!$B$7:$H$14,7,FALSE),"")</f>
        <v/>
      </c>
      <c r="V629">
        <f ca="1">IFERROR(Tab_Calculs[[#This Row],[Cout_mois]]/Tab_Calculs[[#This Row],[Conso_mois_kWh]],0)</f>
        <v>0</v>
      </c>
      <c r="W629" t="str">
        <f>T(VLOOKUP(Tab_Calculs[[#This Row],[Compteur]],Site!$B$33:$G$40,3,FALSE))</f>
        <v/>
      </c>
      <c r="X629" t="str">
        <f>T(VLOOKUP(Tab_Calculs[[#This Row],[Compteur]],Site!$B$33:$G$40,4,FALSE))</f>
        <v/>
      </c>
      <c r="Y629" t="str">
        <f>T(VLOOKUP(Tab_Calculs[[#This Row],[Compteur]],Site!$B$33:$G$40,5,FALSE))</f>
        <v/>
      </c>
      <c r="Z629" t="str">
        <f>T(VLOOKUP(Tab_Calculs[[#This Row],[Compteur]],Site!$B$33:$G$40,6,FALSE))</f>
        <v/>
      </c>
      <c r="AA629">
        <f>IFERROR(GETPIVOTDATA("DJU(chauffagiste)",BDD_DJU!$P$13,"annee",Tab_Calculs[[#This Row],[ANNEE]],"mois_numero",Tab_Calculs[[#This Row],[MOIS]]),0)</f>
        <v>69.2</v>
      </c>
    </row>
    <row r="630" spans="1:27" x14ac:dyDescent="0.25">
      <c r="A630" s="3">
        <f>DATE(Tab_Calculs[[#This Row],[ANNEE]],Tab_Calculs[[#This Row],[MOIS]],1)</f>
        <v>41548</v>
      </c>
      <c r="B630" s="3">
        <f>EDATE(Tab_Calculs[[#This Row],[Début mois]],1)-1</f>
        <v>41578</v>
      </c>
      <c r="C630">
        <v>10</v>
      </c>
      <c r="D630">
        <v>2013</v>
      </c>
      <c r="E630" t="s">
        <v>83</v>
      </c>
      <c r="F630" t="str">
        <f>SUBSTITUTE(Tab_Calculs[[#This Row],[Compteur]]," ","_")</f>
        <v>Compteur_4</v>
      </c>
      <c r="G630" t="str">
        <f>T(INDEX(Site!$B$33:$G$40, MATCH(Tab_Calculs[[#This Row],[Compteur]], Site!$B$33:$B$40,0),2))</f>
        <v/>
      </c>
      <c r="H630" s="3">
        <f t="array" aca="1" ref="H630" ca="1">MIN(IF(INDIRECT(CONCATENATE(Tab_Calculs[[#This Row],[Colonne1]],"!$B$2:$B$243"))&gt;=Calculs_Consos!$A630,INDIRECT(CONCATENATE(Tab_Calculs[[#This Row],[Colonne1]],"!$B$2:$B$243"))))</f>
        <v>0</v>
      </c>
      <c r="I630" s="3">
        <f ca="1">INDEX(INDIRECT(CONCATENATE("Tab_",Tab_Calculs[[#This Row],[Colonne1]])),Tab_Calculs[[#This Row],[index_date_livraison]],1)</f>
        <v>0</v>
      </c>
      <c r="J630">
        <f ca="1">MATCH(Tab_Calculs[[#This Row],[Date_livraison]],INDIRECT(CONCATENATE("Tab_",Tab_Calculs[[#This Row],[Colonne1]],"[Fin de période]")),0)</f>
        <v>1</v>
      </c>
      <c r="K630" t="e">
        <f ca="1">INDEX(INDIRECT(CONCATENATE("Tab_",Tab_Calculs[[#This Row],[Colonne1]])),Tab_Calculs[[#This Row],[index_date_livraison]]-1,6)*(MAX(Tab_Calculs[[#This Row],[Début periode livraison]],Tab_Calculs[[#This Row],[Début mois]])-Tab_Calculs[[#This Row],[Début mois]])</f>
        <v>#VALUE!</v>
      </c>
      <c r="L630" s="94">
        <f ca="1">INDEX(INDIRECT(CONCATENATE("Tab_",Tab_Calculs[[#This Row],[Colonne1]])),Tab_Calculs[[#This Row],[index_date_livraison]],6)*(1+MIN(Tab_Calculs[[#This Row],[Date_livraison]],Tab_Calculs[[#This Row],[fin mois]])-MAX(Tab_Calculs[[#This Row],[Début mois]],Tab_Calculs[[#This Row],[Début periode livraison]]))</f>
        <v>0</v>
      </c>
      <c r="M630" s="94" t="e">
        <f ca="1">INDEX(INDIRECT(CONCATENATE("Tab_",Tab_Calculs[[#This Row],[Colonne1]])),Tab_Calculs[[#This Row],[index_date_livraison]]+1,6)*(Tab_Calculs[[#This Row],[fin mois]]-MIN(Tab_Calculs[[#This Row],[fin mois]],Tab_Calculs[[#This Row],[Date_livraison]]))</f>
        <v>#VALUE!</v>
      </c>
      <c r="N630" s="231" t="str">
        <f ca="1">IFERROR(Tab_Calculs[[#This Row],[Ratio_jour_après_livr]]+Tab_Calculs[[#This Row],[Ratio_jour_avant_livr]]+Tab_Calculs[[#This Row],[ratio_avant_debut]],"")</f>
        <v/>
      </c>
      <c r="O630" t="e">
        <f ca="1">INDEX(INDIRECT(CONCATENATE("Tab_",Tab_Calculs[[#This Row],[Colonne1]])),Tab_Calculs[[#This Row],[index_date_livraison]]-1,7)*(MAX(Tab_Calculs[[#This Row],[Début periode livraison]],Tab_Calculs[[#This Row],[Début mois]])-Tab_Calculs[[#This Row],[Début mois]])</f>
        <v>#VALUE!</v>
      </c>
      <c r="P630">
        <f ca="1">INDEX(INDIRECT(CONCATENATE("Tab_",Tab_Calculs[[#This Row],[Colonne1]])),Tab_Calculs[[#This Row],[index_date_livraison]],7)*(1+MIN(Tab_Calculs[[#This Row],[Date_livraison]],Tab_Calculs[[#This Row],[fin mois]])-MAX(Tab_Calculs[[#This Row],[Début mois]],Tab_Calculs[[#This Row],[Début periode livraison]]))</f>
        <v>0</v>
      </c>
      <c r="Q630" t="e">
        <f ca="1">INDEX(INDIRECT(CONCATENATE("Tab_",Tab_Calculs[[#This Row],[Colonne1]])),Tab_Calculs[[#This Row],[index_date_livraison]]+1,7)*(Tab_Calculs[[#This Row],[fin mois]]-MIN(Tab_Calculs[[#This Row],[fin mois]],Tab_Calculs[[#This Row],[Date_livraison]]))</f>
        <v>#VALUE!</v>
      </c>
      <c r="R630" t="e">
        <f ca="1">Tab_Calculs[[#This Row],[Ratio_Cout_après_livr]]+Tab_Calculs[[#This Row],[Ratio_Cout_avant_livr]]+Tab_Calculs[[#This Row],[Ratio_Cout_avant_debut]]</f>
        <v>#VALUE!</v>
      </c>
      <c r="S630" t="str">
        <f ca="1">IFERROR(N630*VLOOKUP(Tab_Calculs[[#This Row],[Colonne1]],Controle_des_données!$B$7:$G$14,6,FALSE),"")</f>
        <v/>
      </c>
      <c r="T630" t="str">
        <f ca="1">IF(Tab_Calculs[[#This Row],[Combustible ]]="Electricité (kWh)",Tab_Calculs[[#This Row],[Conso_mois_kWh]]*2.3,Tab_Calculs[[#This Row],[Conso_mois_kWh]])</f>
        <v/>
      </c>
      <c r="U630" t="str">
        <f ca="1">IFERROR(N630*VLOOKUP(Tab_Calculs[[#This Row],[Colonne1]],Controle_des_données!$B$7:$H$14,7,FALSE),"")</f>
        <v/>
      </c>
      <c r="V630">
        <f ca="1">IFERROR(Tab_Calculs[[#This Row],[Cout_mois]]/Tab_Calculs[[#This Row],[Conso_mois_kWh]],0)</f>
        <v>0</v>
      </c>
      <c r="W630" t="str">
        <f>T(VLOOKUP(Tab_Calculs[[#This Row],[Compteur]],Site!$B$33:$G$40,3,FALSE))</f>
        <v/>
      </c>
      <c r="X630" t="str">
        <f>T(VLOOKUP(Tab_Calculs[[#This Row],[Compteur]],Site!$B$33:$G$40,4,FALSE))</f>
        <v/>
      </c>
      <c r="Y630" t="str">
        <f>T(VLOOKUP(Tab_Calculs[[#This Row],[Compteur]],Site!$B$33:$G$40,5,FALSE))</f>
        <v/>
      </c>
      <c r="Z630" t="str">
        <f>T(VLOOKUP(Tab_Calculs[[#This Row],[Compteur]],Site!$B$33:$G$40,6,FALSE))</f>
        <v/>
      </c>
      <c r="AA630">
        <f>IFERROR(GETPIVOTDATA("DJU(chauffagiste)",BDD_DJU!$P$13,"annee",Tab_Calculs[[#This Row],[ANNEE]],"mois_numero",Tab_Calculs[[#This Row],[MOIS]]),0)</f>
        <v>122.6</v>
      </c>
    </row>
    <row r="631" spans="1:27" x14ac:dyDescent="0.25">
      <c r="A631" s="3">
        <f>DATE(Tab_Calculs[[#This Row],[ANNEE]],Tab_Calculs[[#This Row],[MOIS]],1)</f>
        <v>41579</v>
      </c>
      <c r="B631" s="3">
        <f>EDATE(Tab_Calculs[[#This Row],[Début mois]],1)-1</f>
        <v>41608</v>
      </c>
      <c r="C631">
        <v>11</v>
      </c>
      <c r="D631">
        <v>2013</v>
      </c>
      <c r="E631" t="s">
        <v>83</v>
      </c>
      <c r="F631" t="str">
        <f>SUBSTITUTE(Tab_Calculs[[#This Row],[Compteur]]," ","_")</f>
        <v>Compteur_4</v>
      </c>
      <c r="G631" t="str">
        <f>T(INDEX(Site!$B$33:$G$40, MATCH(Tab_Calculs[[#This Row],[Compteur]], Site!$B$33:$B$40,0),2))</f>
        <v/>
      </c>
      <c r="H631" s="3">
        <f t="array" aca="1" ref="H631" ca="1">MIN(IF(INDIRECT(CONCATENATE(Tab_Calculs[[#This Row],[Colonne1]],"!$B$2:$B$243"))&gt;=Calculs_Consos!$A631,INDIRECT(CONCATENATE(Tab_Calculs[[#This Row],[Colonne1]],"!$B$2:$B$243"))))</f>
        <v>0</v>
      </c>
      <c r="I631" s="3">
        <f ca="1">INDEX(INDIRECT(CONCATENATE("Tab_",Tab_Calculs[[#This Row],[Colonne1]])),Tab_Calculs[[#This Row],[index_date_livraison]],1)</f>
        <v>0</v>
      </c>
      <c r="J631">
        <f ca="1">MATCH(Tab_Calculs[[#This Row],[Date_livraison]],INDIRECT(CONCATENATE("Tab_",Tab_Calculs[[#This Row],[Colonne1]],"[Fin de période]")),0)</f>
        <v>1</v>
      </c>
      <c r="K631" t="e">
        <f ca="1">INDEX(INDIRECT(CONCATENATE("Tab_",Tab_Calculs[[#This Row],[Colonne1]])),Tab_Calculs[[#This Row],[index_date_livraison]]-1,6)*(MAX(Tab_Calculs[[#This Row],[Début periode livraison]],Tab_Calculs[[#This Row],[Début mois]])-Tab_Calculs[[#This Row],[Début mois]])</f>
        <v>#VALUE!</v>
      </c>
      <c r="L631" s="94">
        <f ca="1">INDEX(INDIRECT(CONCATENATE("Tab_",Tab_Calculs[[#This Row],[Colonne1]])),Tab_Calculs[[#This Row],[index_date_livraison]],6)*(1+MIN(Tab_Calculs[[#This Row],[Date_livraison]],Tab_Calculs[[#This Row],[fin mois]])-MAX(Tab_Calculs[[#This Row],[Début mois]],Tab_Calculs[[#This Row],[Début periode livraison]]))</f>
        <v>0</v>
      </c>
      <c r="M631" s="94" t="e">
        <f ca="1">INDEX(INDIRECT(CONCATENATE("Tab_",Tab_Calculs[[#This Row],[Colonne1]])),Tab_Calculs[[#This Row],[index_date_livraison]]+1,6)*(Tab_Calculs[[#This Row],[fin mois]]-MIN(Tab_Calculs[[#This Row],[fin mois]],Tab_Calculs[[#This Row],[Date_livraison]]))</f>
        <v>#VALUE!</v>
      </c>
      <c r="N631" s="231" t="str">
        <f ca="1">IFERROR(Tab_Calculs[[#This Row],[Ratio_jour_après_livr]]+Tab_Calculs[[#This Row],[Ratio_jour_avant_livr]]+Tab_Calculs[[#This Row],[ratio_avant_debut]],"")</f>
        <v/>
      </c>
      <c r="O631" t="e">
        <f ca="1">INDEX(INDIRECT(CONCATENATE("Tab_",Tab_Calculs[[#This Row],[Colonne1]])),Tab_Calculs[[#This Row],[index_date_livraison]]-1,7)*(MAX(Tab_Calculs[[#This Row],[Début periode livraison]],Tab_Calculs[[#This Row],[Début mois]])-Tab_Calculs[[#This Row],[Début mois]])</f>
        <v>#VALUE!</v>
      </c>
      <c r="P631">
        <f ca="1">INDEX(INDIRECT(CONCATENATE("Tab_",Tab_Calculs[[#This Row],[Colonne1]])),Tab_Calculs[[#This Row],[index_date_livraison]],7)*(1+MIN(Tab_Calculs[[#This Row],[Date_livraison]],Tab_Calculs[[#This Row],[fin mois]])-MAX(Tab_Calculs[[#This Row],[Début mois]],Tab_Calculs[[#This Row],[Début periode livraison]]))</f>
        <v>0</v>
      </c>
      <c r="Q631" t="e">
        <f ca="1">INDEX(INDIRECT(CONCATENATE("Tab_",Tab_Calculs[[#This Row],[Colonne1]])),Tab_Calculs[[#This Row],[index_date_livraison]]+1,7)*(Tab_Calculs[[#This Row],[fin mois]]-MIN(Tab_Calculs[[#This Row],[fin mois]],Tab_Calculs[[#This Row],[Date_livraison]]))</f>
        <v>#VALUE!</v>
      </c>
      <c r="R631" t="e">
        <f ca="1">Tab_Calculs[[#This Row],[Ratio_Cout_après_livr]]+Tab_Calculs[[#This Row],[Ratio_Cout_avant_livr]]+Tab_Calculs[[#This Row],[Ratio_Cout_avant_debut]]</f>
        <v>#VALUE!</v>
      </c>
      <c r="S631" t="str">
        <f ca="1">IFERROR(N631*VLOOKUP(Tab_Calculs[[#This Row],[Colonne1]],Controle_des_données!$B$7:$G$14,6,FALSE),"")</f>
        <v/>
      </c>
      <c r="T631" t="str">
        <f ca="1">IF(Tab_Calculs[[#This Row],[Combustible ]]="Electricité (kWh)",Tab_Calculs[[#This Row],[Conso_mois_kWh]]*2.3,Tab_Calculs[[#This Row],[Conso_mois_kWh]])</f>
        <v/>
      </c>
      <c r="U631" t="str">
        <f ca="1">IFERROR(N631*VLOOKUP(Tab_Calculs[[#This Row],[Colonne1]],Controle_des_données!$B$7:$H$14,7,FALSE),"")</f>
        <v/>
      </c>
      <c r="V631">
        <f ca="1">IFERROR(Tab_Calculs[[#This Row],[Cout_mois]]/Tab_Calculs[[#This Row],[Conso_mois_kWh]],0)</f>
        <v>0</v>
      </c>
      <c r="W631" t="str">
        <f>T(VLOOKUP(Tab_Calculs[[#This Row],[Compteur]],Site!$B$33:$G$40,3,FALSE))</f>
        <v/>
      </c>
      <c r="X631" t="str">
        <f>T(VLOOKUP(Tab_Calculs[[#This Row],[Compteur]],Site!$B$33:$G$40,4,FALSE))</f>
        <v/>
      </c>
      <c r="Y631" t="str">
        <f>T(VLOOKUP(Tab_Calculs[[#This Row],[Compteur]],Site!$B$33:$G$40,5,FALSE))</f>
        <v/>
      </c>
      <c r="Z631" t="str">
        <f>T(VLOOKUP(Tab_Calculs[[#This Row],[Compteur]],Site!$B$33:$G$40,6,FALSE))</f>
        <v/>
      </c>
      <c r="AA631">
        <f>IFERROR(GETPIVOTDATA("DJU(chauffagiste)",BDD_DJU!$P$13,"annee",Tab_Calculs[[#This Row],[ANNEE]],"mois_numero",Tab_Calculs[[#This Row],[MOIS]]),0)</f>
        <v>311.10000000000002</v>
      </c>
    </row>
    <row r="632" spans="1:27" x14ac:dyDescent="0.25">
      <c r="A632" s="3">
        <f>DATE(Tab_Calculs[[#This Row],[ANNEE]],Tab_Calculs[[#This Row],[MOIS]],1)</f>
        <v>41609</v>
      </c>
      <c r="B632" s="3">
        <f>EDATE(Tab_Calculs[[#This Row],[Début mois]],1)-1</f>
        <v>41639</v>
      </c>
      <c r="C632">
        <v>12</v>
      </c>
      <c r="D632">
        <v>2013</v>
      </c>
      <c r="E632" t="s">
        <v>83</v>
      </c>
      <c r="F632" t="str">
        <f>SUBSTITUTE(Tab_Calculs[[#This Row],[Compteur]]," ","_")</f>
        <v>Compteur_4</v>
      </c>
      <c r="G632" t="str">
        <f>T(INDEX(Site!$B$33:$G$40, MATCH(Tab_Calculs[[#This Row],[Compteur]], Site!$B$33:$B$40,0),2))</f>
        <v/>
      </c>
      <c r="H632" s="3">
        <f t="array" aca="1" ref="H632" ca="1">MIN(IF(INDIRECT(CONCATENATE(Tab_Calculs[[#This Row],[Colonne1]],"!$B$2:$B$243"))&gt;=Calculs_Consos!$A632,INDIRECT(CONCATENATE(Tab_Calculs[[#This Row],[Colonne1]],"!$B$2:$B$243"))))</f>
        <v>0</v>
      </c>
      <c r="I632" s="3">
        <f ca="1">INDEX(INDIRECT(CONCATENATE("Tab_",Tab_Calculs[[#This Row],[Colonne1]])),Tab_Calculs[[#This Row],[index_date_livraison]],1)</f>
        <v>0</v>
      </c>
      <c r="J632">
        <f ca="1">MATCH(Tab_Calculs[[#This Row],[Date_livraison]],INDIRECT(CONCATENATE("Tab_",Tab_Calculs[[#This Row],[Colonne1]],"[Fin de période]")),0)</f>
        <v>1</v>
      </c>
      <c r="K632" t="e">
        <f ca="1">INDEX(INDIRECT(CONCATENATE("Tab_",Tab_Calculs[[#This Row],[Colonne1]])),Tab_Calculs[[#This Row],[index_date_livraison]]-1,6)*(MAX(Tab_Calculs[[#This Row],[Début periode livraison]],Tab_Calculs[[#This Row],[Début mois]])-Tab_Calculs[[#This Row],[Début mois]])</f>
        <v>#VALUE!</v>
      </c>
      <c r="L632" s="94">
        <f ca="1">INDEX(INDIRECT(CONCATENATE("Tab_",Tab_Calculs[[#This Row],[Colonne1]])),Tab_Calculs[[#This Row],[index_date_livraison]],6)*(1+MIN(Tab_Calculs[[#This Row],[Date_livraison]],Tab_Calculs[[#This Row],[fin mois]])-MAX(Tab_Calculs[[#This Row],[Début mois]],Tab_Calculs[[#This Row],[Début periode livraison]]))</f>
        <v>0</v>
      </c>
      <c r="M632" s="94" t="e">
        <f ca="1">INDEX(INDIRECT(CONCATENATE("Tab_",Tab_Calculs[[#This Row],[Colonne1]])),Tab_Calculs[[#This Row],[index_date_livraison]]+1,6)*(Tab_Calculs[[#This Row],[fin mois]]-MIN(Tab_Calculs[[#This Row],[fin mois]],Tab_Calculs[[#This Row],[Date_livraison]]))</f>
        <v>#VALUE!</v>
      </c>
      <c r="N632" s="231" t="str">
        <f ca="1">IFERROR(Tab_Calculs[[#This Row],[Ratio_jour_après_livr]]+Tab_Calculs[[#This Row],[Ratio_jour_avant_livr]]+Tab_Calculs[[#This Row],[ratio_avant_debut]],"")</f>
        <v/>
      </c>
      <c r="O632" t="e">
        <f ca="1">INDEX(INDIRECT(CONCATENATE("Tab_",Tab_Calculs[[#This Row],[Colonne1]])),Tab_Calculs[[#This Row],[index_date_livraison]]-1,7)*(MAX(Tab_Calculs[[#This Row],[Début periode livraison]],Tab_Calculs[[#This Row],[Début mois]])-Tab_Calculs[[#This Row],[Début mois]])</f>
        <v>#VALUE!</v>
      </c>
      <c r="P632">
        <f ca="1">INDEX(INDIRECT(CONCATENATE("Tab_",Tab_Calculs[[#This Row],[Colonne1]])),Tab_Calculs[[#This Row],[index_date_livraison]],7)*(1+MIN(Tab_Calculs[[#This Row],[Date_livraison]],Tab_Calculs[[#This Row],[fin mois]])-MAX(Tab_Calculs[[#This Row],[Début mois]],Tab_Calculs[[#This Row],[Début periode livraison]]))</f>
        <v>0</v>
      </c>
      <c r="Q632" t="e">
        <f ca="1">INDEX(INDIRECT(CONCATENATE("Tab_",Tab_Calculs[[#This Row],[Colonne1]])),Tab_Calculs[[#This Row],[index_date_livraison]]+1,7)*(Tab_Calculs[[#This Row],[fin mois]]-MIN(Tab_Calculs[[#This Row],[fin mois]],Tab_Calculs[[#This Row],[Date_livraison]]))</f>
        <v>#VALUE!</v>
      </c>
      <c r="R632" t="e">
        <f ca="1">Tab_Calculs[[#This Row],[Ratio_Cout_après_livr]]+Tab_Calculs[[#This Row],[Ratio_Cout_avant_livr]]+Tab_Calculs[[#This Row],[Ratio_Cout_avant_debut]]</f>
        <v>#VALUE!</v>
      </c>
      <c r="S632" t="str">
        <f ca="1">IFERROR(N632*VLOOKUP(Tab_Calculs[[#This Row],[Colonne1]],Controle_des_données!$B$7:$G$14,6,FALSE),"")</f>
        <v/>
      </c>
      <c r="T632" t="str">
        <f ca="1">IF(Tab_Calculs[[#This Row],[Combustible ]]="Electricité (kWh)",Tab_Calculs[[#This Row],[Conso_mois_kWh]]*2.3,Tab_Calculs[[#This Row],[Conso_mois_kWh]])</f>
        <v/>
      </c>
      <c r="U632" t="str">
        <f ca="1">IFERROR(N632*VLOOKUP(Tab_Calculs[[#This Row],[Colonne1]],Controle_des_données!$B$7:$H$14,7,FALSE),"")</f>
        <v/>
      </c>
      <c r="V632">
        <f ca="1">IFERROR(Tab_Calculs[[#This Row],[Cout_mois]]/Tab_Calculs[[#This Row],[Conso_mois_kWh]],0)</f>
        <v>0</v>
      </c>
      <c r="W632" t="str">
        <f>T(VLOOKUP(Tab_Calculs[[#This Row],[Compteur]],Site!$B$33:$G$40,3,FALSE))</f>
        <v/>
      </c>
      <c r="X632" t="str">
        <f>T(VLOOKUP(Tab_Calculs[[#This Row],[Compteur]],Site!$B$33:$G$40,4,FALSE))</f>
        <v/>
      </c>
      <c r="Y632" t="str">
        <f>T(VLOOKUP(Tab_Calculs[[#This Row],[Compteur]],Site!$B$33:$G$40,5,FALSE))</f>
        <v/>
      </c>
      <c r="Z632" t="str">
        <f>T(VLOOKUP(Tab_Calculs[[#This Row],[Compteur]],Site!$B$33:$G$40,6,FALSE))</f>
        <v/>
      </c>
      <c r="AA632">
        <f>IFERROR(GETPIVOTDATA("DJU(chauffagiste)",BDD_DJU!$P$13,"annee",Tab_Calculs[[#This Row],[ANNEE]],"mois_numero",Tab_Calculs[[#This Row],[MOIS]]),0)</f>
        <v>380.4</v>
      </c>
    </row>
    <row r="633" spans="1:27" x14ac:dyDescent="0.25">
      <c r="A633" s="3">
        <f>DATE(Tab_Calculs[[#This Row],[ANNEE]],Tab_Calculs[[#This Row],[MOIS]],1)</f>
        <v>41640</v>
      </c>
      <c r="B633" s="3">
        <f>EDATE(Tab_Calculs[[#This Row],[Début mois]],1)-1</f>
        <v>41670</v>
      </c>
      <c r="C633">
        <v>1</v>
      </c>
      <c r="D633">
        <v>2014</v>
      </c>
      <c r="E633" t="s">
        <v>83</v>
      </c>
      <c r="F633" t="str">
        <f>SUBSTITUTE(Tab_Calculs[[#This Row],[Compteur]]," ","_")</f>
        <v>Compteur_4</v>
      </c>
      <c r="G633" t="str">
        <f>T(INDEX(Site!$B$33:$G$40, MATCH(Tab_Calculs[[#This Row],[Compteur]], Site!$B$33:$B$40,0),2))</f>
        <v/>
      </c>
      <c r="H633" s="3">
        <f t="array" aca="1" ref="H633" ca="1">MIN(IF(INDIRECT(CONCATENATE(Tab_Calculs[[#This Row],[Colonne1]],"!$B$2:$B$243"))&gt;=Calculs_Consos!$A633,INDIRECT(CONCATENATE(Tab_Calculs[[#This Row],[Colonne1]],"!$B$2:$B$243"))))</f>
        <v>0</v>
      </c>
      <c r="I633" s="3">
        <f ca="1">INDEX(INDIRECT(CONCATENATE("Tab_",Tab_Calculs[[#This Row],[Colonne1]])),Tab_Calculs[[#This Row],[index_date_livraison]],1)</f>
        <v>0</v>
      </c>
      <c r="J633">
        <f ca="1">MATCH(Tab_Calculs[[#This Row],[Date_livraison]],INDIRECT(CONCATENATE("Tab_",Tab_Calculs[[#This Row],[Colonne1]],"[Fin de période]")),0)</f>
        <v>1</v>
      </c>
      <c r="K633" t="e">
        <f ca="1">INDEX(INDIRECT(CONCATENATE("Tab_",Tab_Calculs[[#This Row],[Colonne1]])),Tab_Calculs[[#This Row],[index_date_livraison]]-1,6)*(MAX(Tab_Calculs[[#This Row],[Début periode livraison]],Tab_Calculs[[#This Row],[Début mois]])-Tab_Calculs[[#This Row],[Début mois]])</f>
        <v>#VALUE!</v>
      </c>
      <c r="L633" s="94">
        <f ca="1">INDEX(INDIRECT(CONCATENATE("Tab_",Tab_Calculs[[#This Row],[Colonne1]])),Tab_Calculs[[#This Row],[index_date_livraison]],6)*(1+MIN(Tab_Calculs[[#This Row],[Date_livraison]],Tab_Calculs[[#This Row],[fin mois]])-MAX(Tab_Calculs[[#This Row],[Début mois]],Tab_Calculs[[#This Row],[Début periode livraison]]))</f>
        <v>0</v>
      </c>
      <c r="M633" s="94" t="e">
        <f ca="1">INDEX(INDIRECT(CONCATENATE("Tab_",Tab_Calculs[[#This Row],[Colonne1]])),Tab_Calculs[[#This Row],[index_date_livraison]]+1,6)*(Tab_Calculs[[#This Row],[fin mois]]-MIN(Tab_Calculs[[#This Row],[fin mois]],Tab_Calculs[[#This Row],[Date_livraison]]))</f>
        <v>#VALUE!</v>
      </c>
      <c r="N633" s="231" t="str">
        <f ca="1">IFERROR(Tab_Calculs[[#This Row],[Ratio_jour_après_livr]]+Tab_Calculs[[#This Row],[Ratio_jour_avant_livr]]+Tab_Calculs[[#This Row],[ratio_avant_debut]],"")</f>
        <v/>
      </c>
      <c r="O633" t="e">
        <f ca="1">INDEX(INDIRECT(CONCATENATE("Tab_",Tab_Calculs[[#This Row],[Colonne1]])),Tab_Calculs[[#This Row],[index_date_livraison]]-1,7)*(MAX(Tab_Calculs[[#This Row],[Début periode livraison]],Tab_Calculs[[#This Row],[Début mois]])-Tab_Calculs[[#This Row],[Début mois]])</f>
        <v>#VALUE!</v>
      </c>
      <c r="P633">
        <f ca="1">INDEX(INDIRECT(CONCATENATE("Tab_",Tab_Calculs[[#This Row],[Colonne1]])),Tab_Calculs[[#This Row],[index_date_livraison]],7)*(1+MIN(Tab_Calculs[[#This Row],[Date_livraison]],Tab_Calculs[[#This Row],[fin mois]])-MAX(Tab_Calculs[[#This Row],[Début mois]],Tab_Calculs[[#This Row],[Début periode livraison]]))</f>
        <v>0</v>
      </c>
      <c r="Q633" t="e">
        <f ca="1">INDEX(INDIRECT(CONCATENATE("Tab_",Tab_Calculs[[#This Row],[Colonne1]])),Tab_Calculs[[#This Row],[index_date_livraison]]+1,7)*(Tab_Calculs[[#This Row],[fin mois]]-MIN(Tab_Calculs[[#This Row],[fin mois]],Tab_Calculs[[#This Row],[Date_livraison]]))</f>
        <v>#VALUE!</v>
      </c>
      <c r="R633" t="e">
        <f ca="1">Tab_Calculs[[#This Row],[Ratio_Cout_après_livr]]+Tab_Calculs[[#This Row],[Ratio_Cout_avant_livr]]+Tab_Calculs[[#This Row],[Ratio_Cout_avant_debut]]</f>
        <v>#VALUE!</v>
      </c>
      <c r="S633" t="str">
        <f ca="1">IFERROR(N633*VLOOKUP(Tab_Calculs[[#This Row],[Colonne1]],Controle_des_données!$B$7:$G$14,6,FALSE),"")</f>
        <v/>
      </c>
      <c r="T633" t="str">
        <f ca="1">IF(Tab_Calculs[[#This Row],[Combustible ]]="Electricité (kWh)",Tab_Calculs[[#This Row],[Conso_mois_kWh]]*2.3,Tab_Calculs[[#This Row],[Conso_mois_kWh]])</f>
        <v/>
      </c>
      <c r="U633" t="str">
        <f ca="1">IFERROR(N633*VLOOKUP(Tab_Calculs[[#This Row],[Colonne1]],Controle_des_données!$B$7:$H$14,7,FALSE),"")</f>
        <v/>
      </c>
      <c r="V633">
        <f ca="1">IFERROR(Tab_Calculs[[#This Row],[Cout_mois]]/Tab_Calculs[[#This Row],[Conso_mois_kWh]],0)</f>
        <v>0</v>
      </c>
      <c r="W633" t="str">
        <f>T(VLOOKUP(Tab_Calculs[[#This Row],[Compteur]],Site!$B$33:$G$40,3,FALSE))</f>
        <v/>
      </c>
      <c r="X633" t="str">
        <f>T(VLOOKUP(Tab_Calculs[[#This Row],[Compteur]],Site!$B$33:$G$40,4,FALSE))</f>
        <v/>
      </c>
      <c r="Y633" t="str">
        <f>T(VLOOKUP(Tab_Calculs[[#This Row],[Compteur]],Site!$B$33:$G$40,5,FALSE))</f>
        <v/>
      </c>
      <c r="Z633" t="str">
        <f>T(VLOOKUP(Tab_Calculs[[#This Row],[Compteur]],Site!$B$33:$G$40,6,FALSE))</f>
        <v/>
      </c>
      <c r="AA633">
        <f>IFERROR(GETPIVOTDATA("DJU(chauffagiste)",BDD_DJU!$P$13,"annee",Tab_Calculs[[#This Row],[ANNEE]],"mois_numero",Tab_Calculs[[#This Row],[MOIS]]),0)</f>
        <v>320.5</v>
      </c>
    </row>
    <row r="634" spans="1:27" x14ac:dyDescent="0.25">
      <c r="A634" s="3">
        <f>DATE(Tab_Calculs[[#This Row],[ANNEE]],Tab_Calculs[[#This Row],[MOIS]],1)</f>
        <v>41671</v>
      </c>
      <c r="B634" s="3">
        <f>EDATE(Tab_Calculs[[#This Row],[Début mois]],1)-1</f>
        <v>41698</v>
      </c>
      <c r="C634">
        <v>2</v>
      </c>
      <c r="D634">
        <v>2014</v>
      </c>
      <c r="E634" t="s">
        <v>83</v>
      </c>
      <c r="F634" t="str">
        <f>SUBSTITUTE(Tab_Calculs[[#This Row],[Compteur]]," ","_")</f>
        <v>Compteur_4</v>
      </c>
      <c r="G634" t="str">
        <f>T(INDEX(Site!$B$33:$G$40, MATCH(Tab_Calculs[[#This Row],[Compteur]], Site!$B$33:$B$40,0),2))</f>
        <v/>
      </c>
      <c r="H634" s="3">
        <f t="array" aca="1" ref="H634" ca="1">MIN(IF(INDIRECT(CONCATENATE(Tab_Calculs[[#This Row],[Colonne1]],"!$B$2:$B$243"))&gt;=Calculs_Consos!$A634,INDIRECT(CONCATENATE(Tab_Calculs[[#This Row],[Colonne1]],"!$B$2:$B$243"))))</f>
        <v>0</v>
      </c>
      <c r="I634" s="3">
        <f ca="1">INDEX(INDIRECT(CONCATENATE("Tab_",Tab_Calculs[[#This Row],[Colonne1]])),Tab_Calculs[[#This Row],[index_date_livraison]],1)</f>
        <v>0</v>
      </c>
      <c r="J634">
        <f ca="1">MATCH(Tab_Calculs[[#This Row],[Date_livraison]],INDIRECT(CONCATENATE("Tab_",Tab_Calculs[[#This Row],[Colonne1]],"[Fin de période]")),0)</f>
        <v>1</v>
      </c>
      <c r="K634" t="e">
        <f ca="1">INDEX(INDIRECT(CONCATENATE("Tab_",Tab_Calculs[[#This Row],[Colonne1]])),Tab_Calculs[[#This Row],[index_date_livraison]]-1,6)*(MAX(Tab_Calculs[[#This Row],[Début periode livraison]],Tab_Calculs[[#This Row],[Début mois]])-Tab_Calculs[[#This Row],[Début mois]])</f>
        <v>#VALUE!</v>
      </c>
      <c r="L634" s="94">
        <f ca="1">INDEX(INDIRECT(CONCATENATE("Tab_",Tab_Calculs[[#This Row],[Colonne1]])),Tab_Calculs[[#This Row],[index_date_livraison]],6)*(1+MIN(Tab_Calculs[[#This Row],[Date_livraison]],Tab_Calculs[[#This Row],[fin mois]])-MAX(Tab_Calculs[[#This Row],[Début mois]],Tab_Calculs[[#This Row],[Début periode livraison]]))</f>
        <v>0</v>
      </c>
      <c r="M634" s="94" t="e">
        <f ca="1">INDEX(INDIRECT(CONCATENATE("Tab_",Tab_Calculs[[#This Row],[Colonne1]])),Tab_Calculs[[#This Row],[index_date_livraison]]+1,6)*(Tab_Calculs[[#This Row],[fin mois]]-MIN(Tab_Calculs[[#This Row],[fin mois]],Tab_Calculs[[#This Row],[Date_livraison]]))</f>
        <v>#VALUE!</v>
      </c>
      <c r="N634" s="231" t="str">
        <f ca="1">IFERROR(Tab_Calculs[[#This Row],[Ratio_jour_après_livr]]+Tab_Calculs[[#This Row],[Ratio_jour_avant_livr]]+Tab_Calculs[[#This Row],[ratio_avant_debut]],"")</f>
        <v/>
      </c>
      <c r="O634" t="e">
        <f ca="1">INDEX(INDIRECT(CONCATENATE("Tab_",Tab_Calculs[[#This Row],[Colonne1]])),Tab_Calculs[[#This Row],[index_date_livraison]]-1,7)*(MAX(Tab_Calculs[[#This Row],[Début periode livraison]],Tab_Calculs[[#This Row],[Début mois]])-Tab_Calculs[[#This Row],[Début mois]])</f>
        <v>#VALUE!</v>
      </c>
      <c r="P634">
        <f ca="1">INDEX(INDIRECT(CONCATENATE("Tab_",Tab_Calculs[[#This Row],[Colonne1]])),Tab_Calculs[[#This Row],[index_date_livraison]],7)*(1+MIN(Tab_Calculs[[#This Row],[Date_livraison]],Tab_Calculs[[#This Row],[fin mois]])-MAX(Tab_Calculs[[#This Row],[Début mois]],Tab_Calculs[[#This Row],[Début periode livraison]]))</f>
        <v>0</v>
      </c>
      <c r="Q634" t="e">
        <f ca="1">INDEX(INDIRECT(CONCATENATE("Tab_",Tab_Calculs[[#This Row],[Colonne1]])),Tab_Calculs[[#This Row],[index_date_livraison]]+1,7)*(Tab_Calculs[[#This Row],[fin mois]]-MIN(Tab_Calculs[[#This Row],[fin mois]],Tab_Calculs[[#This Row],[Date_livraison]]))</f>
        <v>#VALUE!</v>
      </c>
      <c r="R634" t="e">
        <f ca="1">Tab_Calculs[[#This Row],[Ratio_Cout_après_livr]]+Tab_Calculs[[#This Row],[Ratio_Cout_avant_livr]]+Tab_Calculs[[#This Row],[Ratio_Cout_avant_debut]]</f>
        <v>#VALUE!</v>
      </c>
      <c r="S634" t="str">
        <f ca="1">IFERROR(N634*VLOOKUP(Tab_Calculs[[#This Row],[Colonne1]],Controle_des_données!$B$7:$G$14,6,FALSE),"")</f>
        <v/>
      </c>
      <c r="T634" t="str">
        <f ca="1">IF(Tab_Calculs[[#This Row],[Combustible ]]="Electricité (kWh)",Tab_Calculs[[#This Row],[Conso_mois_kWh]]*2.3,Tab_Calculs[[#This Row],[Conso_mois_kWh]])</f>
        <v/>
      </c>
      <c r="U634" t="str">
        <f ca="1">IFERROR(N634*VLOOKUP(Tab_Calculs[[#This Row],[Colonne1]],Controle_des_données!$B$7:$H$14,7,FALSE),"")</f>
        <v/>
      </c>
      <c r="V634">
        <f ca="1">IFERROR(Tab_Calculs[[#This Row],[Cout_mois]]/Tab_Calculs[[#This Row],[Conso_mois_kWh]],0)</f>
        <v>0</v>
      </c>
      <c r="W634" t="str">
        <f>T(VLOOKUP(Tab_Calculs[[#This Row],[Compteur]],Site!$B$33:$G$40,3,FALSE))</f>
        <v/>
      </c>
      <c r="X634" t="str">
        <f>T(VLOOKUP(Tab_Calculs[[#This Row],[Compteur]],Site!$B$33:$G$40,4,FALSE))</f>
        <v/>
      </c>
      <c r="Y634" t="str">
        <f>T(VLOOKUP(Tab_Calculs[[#This Row],[Compteur]],Site!$B$33:$G$40,5,FALSE))</f>
        <v/>
      </c>
      <c r="Z634" t="str">
        <f>T(VLOOKUP(Tab_Calculs[[#This Row],[Compteur]],Site!$B$33:$G$40,6,FALSE))</f>
        <v/>
      </c>
      <c r="AA634">
        <f>IFERROR(GETPIVOTDATA("DJU(chauffagiste)",BDD_DJU!$P$13,"annee",Tab_Calculs[[#This Row],[ANNEE]],"mois_numero",Tab_Calculs[[#This Row],[MOIS]]),0)</f>
        <v>281.3</v>
      </c>
    </row>
    <row r="635" spans="1:27" x14ac:dyDescent="0.25">
      <c r="A635" s="3">
        <f>DATE(Tab_Calculs[[#This Row],[ANNEE]],Tab_Calculs[[#This Row],[MOIS]],1)</f>
        <v>41699</v>
      </c>
      <c r="B635" s="3">
        <f>EDATE(Tab_Calculs[[#This Row],[Début mois]],1)-1</f>
        <v>41729</v>
      </c>
      <c r="C635">
        <v>3</v>
      </c>
      <c r="D635">
        <v>2014</v>
      </c>
      <c r="E635" t="s">
        <v>83</v>
      </c>
      <c r="F635" t="str">
        <f>SUBSTITUTE(Tab_Calculs[[#This Row],[Compteur]]," ","_")</f>
        <v>Compteur_4</v>
      </c>
      <c r="G635" t="str">
        <f>T(INDEX(Site!$B$33:$G$40, MATCH(Tab_Calculs[[#This Row],[Compteur]], Site!$B$33:$B$40,0),2))</f>
        <v/>
      </c>
      <c r="H635" s="3">
        <f t="array" aca="1" ref="H635" ca="1">MIN(IF(INDIRECT(CONCATENATE(Tab_Calculs[[#This Row],[Colonne1]],"!$B$2:$B$243"))&gt;=Calculs_Consos!$A635,INDIRECT(CONCATENATE(Tab_Calculs[[#This Row],[Colonne1]],"!$B$2:$B$243"))))</f>
        <v>0</v>
      </c>
      <c r="I635" s="3">
        <f ca="1">INDEX(INDIRECT(CONCATENATE("Tab_",Tab_Calculs[[#This Row],[Colonne1]])),Tab_Calculs[[#This Row],[index_date_livraison]],1)</f>
        <v>0</v>
      </c>
      <c r="J635">
        <f ca="1">MATCH(Tab_Calculs[[#This Row],[Date_livraison]],INDIRECT(CONCATENATE("Tab_",Tab_Calculs[[#This Row],[Colonne1]],"[Fin de période]")),0)</f>
        <v>1</v>
      </c>
      <c r="K635" t="e">
        <f ca="1">INDEX(INDIRECT(CONCATENATE("Tab_",Tab_Calculs[[#This Row],[Colonne1]])),Tab_Calculs[[#This Row],[index_date_livraison]]-1,6)*(MAX(Tab_Calculs[[#This Row],[Début periode livraison]],Tab_Calculs[[#This Row],[Début mois]])-Tab_Calculs[[#This Row],[Début mois]])</f>
        <v>#VALUE!</v>
      </c>
      <c r="L635" s="94">
        <f ca="1">INDEX(INDIRECT(CONCATENATE("Tab_",Tab_Calculs[[#This Row],[Colonne1]])),Tab_Calculs[[#This Row],[index_date_livraison]],6)*(1+MIN(Tab_Calculs[[#This Row],[Date_livraison]],Tab_Calculs[[#This Row],[fin mois]])-MAX(Tab_Calculs[[#This Row],[Début mois]],Tab_Calculs[[#This Row],[Début periode livraison]]))</f>
        <v>0</v>
      </c>
      <c r="M635" s="94" t="e">
        <f ca="1">INDEX(INDIRECT(CONCATENATE("Tab_",Tab_Calculs[[#This Row],[Colonne1]])),Tab_Calculs[[#This Row],[index_date_livraison]]+1,6)*(Tab_Calculs[[#This Row],[fin mois]]-MIN(Tab_Calculs[[#This Row],[fin mois]],Tab_Calculs[[#This Row],[Date_livraison]]))</f>
        <v>#VALUE!</v>
      </c>
      <c r="N635" s="231" t="str">
        <f ca="1">IFERROR(Tab_Calculs[[#This Row],[Ratio_jour_après_livr]]+Tab_Calculs[[#This Row],[Ratio_jour_avant_livr]]+Tab_Calculs[[#This Row],[ratio_avant_debut]],"")</f>
        <v/>
      </c>
      <c r="O635" t="e">
        <f ca="1">INDEX(INDIRECT(CONCATENATE("Tab_",Tab_Calculs[[#This Row],[Colonne1]])),Tab_Calculs[[#This Row],[index_date_livraison]]-1,7)*(MAX(Tab_Calculs[[#This Row],[Début periode livraison]],Tab_Calculs[[#This Row],[Début mois]])-Tab_Calculs[[#This Row],[Début mois]])</f>
        <v>#VALUE!</v>
      </c>
      <c r="P635">
        <f ca="1">INDEX(INDIRECT(CONCATENATE("Tab_",Tab_Calculs[[#This Row],[Colonne1]])),Tab_Calculs[[#This Row],[index_date_livraison]],7)*(1+MIN(Tab_Calculs[[#This Row],[Date_livraison]],Tab_Calculs[[#This Row],[fin mois]])-MAX(Tab_Calculs[[#This Row],[Début mois]],Tab_Calculs[[#This Row],[Début periode livraison]]))</f>
        <v>0</v>
      </c>
      <c r="Q635" t="e">
        <f ca="1">INDEX(INDIRECT(CONCATENATE("Tab_",Tab_Calculs[[#This Row],[Colonne1]])),Tab_Calculs[[#This Row],[index_date_livraison]]+1,7)*(Tab_Calculs[[#This Row],[fin mois]]-MIN(Tab_Calculs[[#This Row],[fin mois]],Tab_Calculs[[#This Row],[Date_livraison]]))</f>
        <v>#VALUE!</v>
      </c>
      <c r="R635" t="e">
        <f ca="1">Tab_Calculs[[#This Row],[Ratio_Cout_après_livr]]+Tab_Calculs[[#This Row],[Ratio_Cout_avant_livr]]+Tab_Calculs[[#This Row],[Ratio_Cout_avant_debut]]</f>
        <v>#VALUE!</v>
      </c>
      <c r="S635" t="str">
        <f ca="1">IFERROR(N635*VLOOKUP(Tab_Calculs[[#This Row],[Colonne1]],Controle_des_données!$B$7:$G$14,6,FALSE),"")</f>
        <v/>
      </c>
      <c r="T635" t="str">
        <f ca="1">IF(Tab_Calculs[[#This Row],[Combustible ]]="Electricité (kWh)",Tab_Calculs[[#This Row],[Conso_mois_kWh]]*2.3,Tab_Calculs[[#This Row],[Conso_mois_kWh]])</f>
        <v/>
      </c>
      <c r="U635" t="str">
        <f ca="1">IFERROR(N635*VLOOKUP(Tab_Calculs[[#This Row],[Colonne1]],Controle_des_données!$B$7:$H$14,7,FALSE),"")</f>
        <v/>
      </c>
      <c r="V635">
        <f ca="1">IFERROR(Tab_Calculs[[#This Row],[Cout_mois]]/Tab_Calculs[[#This Row],[Conso_mois_kWh]],0)</f>
        <v>0</v>
      </c>
      <c r="W635" t="str">
        <f>T(VLOOKUP(Tab_Calculs[[#This Row],[Compteur]],Site!$B$33:$G$40,3,FALSE))</f>
        <v/>
      </c>
      <c r="X635" t="str">
        <f>T(VLOOKUP(Tab_Calculs[[#This Row],[Compteur]],Site!$B$33:$G$40,4,FALSE))</f>
        <v/>
      </c>
      <c r="Y635" t="str">
        <f>T(VLOOKUP(Tab_Calculs[[#This Row],[Compteur]],Site!$B$33:$G$40,5,FALSE))</f>
        <v/>
      </c>
      <c r="Z635" t="str">
        <f>T(VLOOKUP(Tab_Calculs[[#This Row],[Compteur]],Site!$B$33:$G$40,6,FALSE))</f>
        <v/>
      </c>
      <c r="AA635">
        <f>IFERROR(GETPIVOTDATA("DJU(chauffagiste)",BDD_DJU!$P$13,"annee",Tab_Calculs[[#This Row],[ANNEE]],"mois_numero",Tab_Calculs[[#This Row],[MOIS]]),0)</f>
        <v>263.89999999999998</v>
      </c>
    </row>
    <row r="636" spans="1:27" x14ac:dyDescent="0.25">
      <c r="A636" s="3">
        <f>DATE(Tab_Calculs[[#This Row],[ANNEE]],Tab_Calculs[[#This Row],[MOIS]],1)</f>
        <v>41730</v>
      </c>
      <c r="B636" s="3">
        <f>EDATE(Tab_Calculs[[#This Row],[Début mois]],1)-1</f>
        <v>41759</v>
      </c>
      <c r="C636">
        <v>4</v>
      </c>
      <c r="D636">
        <v>2014</v>
      </c>
      <c r="E636" t="s">
        <v>83</v>
      </c>
      <c r="F636" t="str">
        <f>SUBSTITUTE(Tab_Calculs[[#This Row],[Compteur]]," ","_")</f>
        <v>Compteur_4</v>
      </c>
      <c r="G636" t="str">
        <f>T(INDEX(Site!$B$33:$G$40, MATCH(Tab_Calculs[[#This Row],[Compteur]], Site!$B$33:$B$40,0),2))</f>
        <v/>
      </c>
      <c r="H636" s="3">
        <f t="array" aca="1" ref="H636" ca="1">MIN(IF(INDIRECT(CONCATENATE(Tab_Calculs[[#This Row],[Colonne1]],"!$B$2:$B$243"))&gt;=Calculs_Consos!$A636,INDIRECT(CONCATENATE(Tab_Calculs[[#This Row],[Colonne1]],"!$B$2:$B$243"))))</f>
        <v>0</v>
      </c>
      <c r="I636" s="3">
        <f ca="1">INDEX(INDIRECT(CONCATENATE("Tab_",Tab_Calculs[[#This Row],[Colonne1]])),Tab_Calculs[[#This Row],[index_date_livraison]],1)</f>
        <v>0</v>
      </c>
      <c r="J636">
        <f ca="1">MATCH(Tab_Calculs[[#This Row],[Date_livraison]],INDIRECT(CONCATENATE("Tab_",Tab_Calculs[[#This Row],[Colonne1]],"[Fin de période]")),0)</f>
        <v>1</v>
      </c>
      <c r="K636" t="e">
        <f ca="1">INDEX(INDIRECT(CONCATENATE("Tab_",Tab_Calculs[[#This Row],[Colonne1]])),Tab_Calculs[[#This Row],[index_date_livraison]]-1,6)*(MAX(Tab_Calculs[[#This Row],[Début periode livraison]],Tab_Calculs[[#This Row],[Début mois]])-Tab_Calculs[[#This Row],[Début mois]])</f>
        <v>#VALUE!</v>
      </c>
      <c r="L636" s="94">
        <f ca="1">INDEX(INDIRECT(CONCATENATE("Tab_",Tab_Calculs[[#This Row],[Colonne1]])),Tab_Calculs[[#This Row],[index_date_livraison]],6)*(1+MIN(Tab_Calculs[[#This Row],[Date_livraison]],Tab_Calculs[[#This Row],[fin mois]])-MAX(Tab_Calculs[[#This Row],[Début mois]],Tab_Calculs[[#This Row],[Début periode livraison]]))</f>
        <v>0</v>
      </c>
      <c r="M636" s="94" t="e">
        <f ca="1">INDEX(INDIRECT(CONCATENATE("Tab_",Tab_Calculs[[#This Row],[Colonne1]])),Tab_Calculs[[#This Row],[index_date_livraison]]+1,6)*(Tab_Calculs[[#This Row],[fin mois]]-MIN(Tab_Calculs[[#This Row],[fin mois]],Tab_Calculs[[#This Row],[Date_livraison]]))</f>
        <v>#VALUE!</v>
      </c>
      <c r="N636" s="231" t="str">
        <f ca="1">IFERROR(Tab_Calculs[[#This Row],[Ratio_jour_après_livr]]+Tab_Calculs[[#This Row],[Ratio_jour_avant_livr]]+Tab_Calculs[[#This Row],[ratio_avant_debut]],"")</f>
        <v/>
      </c>
      <c r="O636" t="e">
        <f ca="1">INDEX(INDIRECT(CONCATENATE("Tab_",Tab_Calculs[[#This Row],[Colonne1]])),Tab_Calculs[[#This Row],[index_date_livraison]]-1,7)*(MAX(Tab_Calculs[[#This Row],[Début periode livraison]],Tab_Calculs[[#This Row],[Début mois]])-Tab_Calculs[[#This Row],[Début mois]])</f>
        <v>#VALUE!</v>
      </c>
      <c r="P636">
        <f ca="1">INDEX(INDIRECT(CONCATENATE("Tab_",Tab_Calculs[[#This Row],[Colonne1]])),Tab_Calculs[[#This Row],[index_date_livraison]],7)*(1+MIN(Tab_Calculs[[#This Row],[Date_livraison]],Tab_Calculs[[#This Row],[fin mois]])-MAX(Tab_Calculs[[#This Row],[Début mois]],Tab_Calculs[[#This Row],[Début periode livraison]]))</f>
        <v>0</v>
      </c>
      <c r="Q636" t="e">
        <f ca="1">INDEX(INDIRECT(CONCATENATE("Tab_",Tab_Calculs[[#This Row],[Colonne1]])),Tab_Calculs[[#This Row],[index_date_livraison]]+1,7)*(Tab_Calculs[[#This Row],[fin mois]]-MIN(Tab_Calculs[[#This Row],[fin mois]],Tab_Calculs[[#This Row],[Date_livraison]]))</f>
        <v>#VALUE!</v>
      </c>
      <c r="R636" t="e">
        <f ca="1">Tab_Calculs[[#This Row],[Ratio_Cout_après_livr]]+Tab_Calculs[[#This Row],[Ratio_Cout_avant_livr]]+Tab_Calculs[[#This Row],[Ratio_Cout_avant_debut]]</f>
        <v>#VALUE!</v>
      </c>
      <c r="S636" t="str">
        <f ca="1">IFERROR(N636*VLOOKUP(Tab_Calculs[[#This Row],[Colonne1]],Controle_des_données!$B$7:$G$14,6,FALSE),"")</f>
        <v/>
      </c>
      <c r="T636" t="str">
        <f ca="1">IF(Tab_Calculs[[#This Row],[Combustible ]]="Electricité (kWh)",Tab_Calculs[[#This Row],[Conso_mois_kWh]]*2.3,Tab_Calculs[[#This Row],[Conso_mois_kWh]])</f>
        <v/>
      </c>
      <c r="U636" t="str">
        <f ca="1">IFERROR(N636*VLOOKUP(Tab_Calculs[[#This Row],[Colonne1]],Controle_des_données!$B$7:$H$14,7,FALSE),"")</f>
        <v/>
      </c>
      <c r="V636">
        <f ca="1">IFERROR(Tab_Calculs[[#This Row],[Cout_mois]]/Tab_Calculs[[#This Row],[Conso_mois_kWh]],0)</f>
        <v>0</v>
      </c>
      <c r="W636" t="str">
        <f>T(VLOOKUP(Tab_Calculs[[#This Row],[Compteur]],Site!$B$33:$G$40,3,FALSE))</f>
        <v/>
      </c>
      <c r="X636" t="str">
        <f>T(VLOOKUP(Tab_Calculs[[#This Row],[Compteur]],Site!$B$33:$G$40,4,FALSE))</f>
        <v/>
      </c>
      <c r="Y636" t="str">
        <f>T(VLOOKUP(Tab_Calculs[[#This Row],[Compteur]],Site!$B$33:$G$40,5,FALSE))</f>
        <v/>
      </c>
      <c r="Z636" t="str">
        <f>T(VLOOKUP(Tab_Calculs[[#This Row],[Compteur]],Site!$B$33:$G$40,6,FALSE))</f>
        <v/>
      </c>
      <c r="AA636">
        <f>IFERROR(GETPIVOTDATA("DJU(chauffagiste)",BDD_DJU!$P$13,"annee",Tab_Calculs[[#This Row],[ANNEE]],"mois_numero",Tab_Calculs[[#This Row],[MOIS]]),0)</f>
        <v>174.2</v>
      </c>
    </row>
    <row r="637" spans="1:27" x14ac:dyDescent="0.25">
      <c r="A637" s="3">
        <f>DATE(Tab_Calculs[[#This Row],[ANNEE]],Tab_Calculs[[#This Row],[MOIS]],1)</f>
        <v>41760</v>
      </c>
      <c r="B637" s="3">
        <f>EDATE(Tab_Calculs[[#This Row],[Début mois]],1)-1</f>
        <v>41790</v>
      </c>
      <c r="C637">
        <v>5</v>
      </c>
      <c r="D637">
        <v>2014</v>
      </c>
      <c r="E637" t="s">
        <v>83</v>
      </c>
      <c r="F637" t="str">
        <f>SUBSTITUTE(Tab_Calculs[[#This Row],[Compteur]]," ","_")</f>
        <v>Compteur_4</v>
      </c>
      <c r="G637" t="str">
        <f>T(INDEX(Site!$B$33:$G$40, MATCH(Tab_Calculs[[#This Row],[Compteur]], Site!$B$33:$B$40,0),2))</f>
        <v/>
      </c>
      <c r="H637" s="3">
        <f t="array" aca="1" ref="H637" ca="1">MIN(IF(INDIRECT(CONCATENATE(Tab_Calculs[[#This Row],[Colonne1]],"!$B$2:$B$243"))&gt;=Calculs_Consos!$A637,INDIRECT(CONCATENATE(Tab_Calculs[[#This Row],[Colonne1]],"!$B$2:$B$243"))))</f>
        <v>0</v>
      </c>
      <c r="I637" s="3">
        <f ca="1">INDEX(INDIRECT(CONCATENATE("Tab_",Tab_Calculs[[#This Row],[Colonne1]])),Tab_Calculs[[#This Row],[index_date_livraison]],1)</f>
        <v>0</v>
      </c>
      <c r="J637">
        <f ca="1">MATCH(Tab_Calculs[[#This Row],[Date_livraison]],INDIRECT(CONCATENATE("Tab_",Tab_Calculs[[#This Row],[Colonne1]],"[Fin de période]")),0)</f>
        <v>1</v>
      </c>
      <c r="K637" t="e">
        <f ca="1">INDEX(INDIRECT(CONCATENATE("Tab_",Tab_Calculs[[#This Row],[Colonne1]])),Tab_Calculs[[#This Row],[index_date_livraison]]-1,6)*(MAX(Tab_Calculs[[#This Row],[Début periode livraison]],Tab_Calculs[[#This Row],[Début mois]])-Tab_Calculs[[#This Row],[Début mois]])</f>
        <v>#VALUE!</v>
      </c>
      <c r="L637" s="94">
        <f ca="1">INDEX(INDIRECT(CONCATENATE("Tab_",Tab_Calculs[[#This Row],[Colonne1]])),Tab_Calculs[[#This Row],[index_date_livraison]],6)*(1+MIN(Tab_Calculs[[#This Row],[Date_livraison]],Tab_Calculs[[#This Row],[fin mois]])-MAX(Tab_Calculs[[#This Row],[Début mois]],Tab_Calculs[[#This Row],[Début periode livraison]]))</f>
        <v>0</v>
      </c>
      <c r="M637" s="94" t="e">
        <f ca="1">INDEX(INDIRECT(CONCATENATE("Tab_",Tab_Calculs[[#This Row],[Colonne1]])),Tab_Calculs[[#This Row],[index_date_livraison]]+1,6)*(Tab_Calculs[[#This Row],[fin mois]]-MIN(Tab_Calculs[[#This Row],[fin mois]],Tab_Calculs[[#This Row],[Date_livraison]]))</f>
        <v>#VALUE!</v>
      </c>
      <c r="N637" s="231" t="str">
        <f ca="1">IFERROR(Tab_Calculs[[#This Row],[Ratio_jour_après_livr]]+Tab_Calculs[[#This Row],[Ratio_jour_avant_livr]]+Tab_Calculs[[#This Row],[ratio_avant_debut]],"")</f>
        <v/>
      </c>
      <c r="O637" t="e">
        <f ca="1">INDEX(INDIRECT(CONCATENATE("Tab_",Tab_Calculs[[#This Row],[Colonne1]])),Tab_Calculs[[#This Row],[index_date_livraison]]-1,7)*(MAX(Tab_Calculs[[#This Row],[Début periode livraison]],Tab_Calculs[[#This Row],[Début mois]])-Tab_Calculs[[#This Row],[Début mois]])</f>
        <v>#VALUE!</v>
      </c>
      <c r="P637">
        <f ca="1">INDEX(INDIRECT(CONCATENATE("Tab_",Tab_Calculs[[#This Row],[Colonne1]])),Tab_Calculs[[#This Row],[index_date_livraison]],7)*(1+MIN(Tab_Calculs[[#This Row],[Date_livraison]],Tab_Calculs[[#This Row],[fin mois]])-MAX(Tab_Calculs[[#This Row],[Début mois]],Tab_Calculs[[#This Row],[Début periode livraison]]))</f>
        <v>0</v>
      </c>
      <c r="Q637" t="e">
        <f ca="1">INDEX(INDIRECT(CONCATENATE("Tab_",Tab_Calculs[[#This Row],[Colonne1]])),Tab_Calculs[[#This Row],[index_date_livraison]]+1,7)*(Tab_Calculs[[#This Row],[fin mois]]-MIN(Tab_Calculs[[#This Row],[fin mois]],Tab_Calculs[[#This Row],[Date_livraison]]))</f>
        <v>#VALUE!</v>
      </c>
      <c r="R637" t="e">
        <f ca="1">Tab_Calculs[[#This Row],[Ratio_Cout_après_livr]]+Tab_Calculs[[#This Row],[Ratio_Cout_avant_livr]]+Tab_Calculs[[#This Row],[Ratio_Cout_avant_debut]]</f>
        <v>#VALUE!</v>
      </c>
      <c r="S637" t="str">
        <f ca="1">IFERROR(N637*VLOOKUP(Tab_Calculs[[#This Row],[Colonne1]],Controle_des_données!$B$7:$G$14,6,FALSE),"")</f>
        <v/>
      </c>
      <c r="T637" t="str">
        <f ca="1">IF(Tab_Calculs[[#This Row],[Combustible ]]="Electricité (kWh)",Tab_Calculs[[#This Row],[Conso_mois_kWh]]*2.3,Tab_Calculs[[#This Row],[Conso_mois_kWh]])</f>
        <v/>
      </c>
      <c r="U637" t="str">
        <f ca="1">IFERROR(N637*VLOOKUP(Tab_Calculs[[#This Row],[Colonne1]],Controle_des_données!$B$7:$H$14,7,FALSE),"")</f>
        <v/>
      </c>
      <c r="V637">
        <f ca="1">IFERROR(Tab_Calculs[[#This Row],[Cout_mois]]/Tab_Calculs[[#This Row],[Conso_mois_kWh]],0)</f>
        <v>0</v>
      </c>
      <c r="W637" t="str">
        <f>T(VLOOKUP(Tab_Calculs[[#This Row],[Compteur]],Site!$B$33:$G$40,3,FALSE))</f>
        <v/>
      </c>
      <c r="X637" t="str">
        <f>T(VLOOKUP(Tab_Calculs[[#This Row],[Compteur]],Site!$B$33:$G$40,4,FALSE))</f>
        <v/>
      </c>
      <c r="Y637" t="str">
        <f>T(VLOOKUP(Tab_Calculs[[#This Row],[Compteur]],Site!$B$33:$G$40,5,FALSE))</f>
        <v/>
      </c>
      <c r="Z637" t="str">
        <f>T(VLOOKUP(Tab_Calculs[[#This Row],[Compteur]],Site!$B$33:$G$40,6,FALSE))</f>
        <v/>
      </c>
      <c r="AA637">
        <f>IFERROR(GETPIVOTDATA("DJU(chauffagiste)",BDD_DJU!$P$13,"annee",Tab_Calculs[[#This Row],[ANNEE]],"mois_numero",Tab_Calculs[[#This Row],[MOIS]]),0)</f>
        <v>134.5</v>
      </c>
    </row>
    <row r="638" spans="1:27" x14ac:dyDescent="0.25">
      <c r="A638" s="3">
        <f>DATE(Tab_Calculs[[#This Row],[ANNEE]],Tab_Calculs[[#This Row],[MOIS]],1)</f>
        <v>41791</v>
      </c>
      <c r="B638" s="3">
        <f>EDATE(Tab_Calculs[[#This Row],[Début mois]],1)-1</f>
        <v>41820</v>
      </c>
      <c r="C638">
        <v>6</v>
      </c>
      <c r="D638">
        <v>2014</v>
      </c>
      <c r="E638" t="s">
        <v>83</v>
      </c>
      <c r="F638" t="str">
        <f>SUBSTITUTE(Tab_Calculs[[#This Row],[Compteur]]," ","_")</f>
        <v>Compteur_4</v>
      </c>
      <c r="G638" t="str">
        <f>T(INDEX(Site!$B$33:$G$40, MATCH(Tab_Calculs[[#This Row],[Compteur]], Site!$B$33:$B$40,0),2))</f>
        <v/>
      </c>
      <c r="H638" s="3">
        <f t="array" aca="1" ref="H638" ca="1">MIN(IF(INDIRECT(CONCATENATE(Tab_Calculs[[#This Row],[Colonne1]],"!$B$2:$B$243"))&gt;=Calculs_Consos!$A638,INDIRECT(CONCATENATE(Tab_Calculs[[#This Row],[Colonne1]],"!$B$2:$B$243"))))</f>
        <v>0</v>
      </c>
      <c r="I638" s="3">
        <f ca="1">INDEX(INDIRECT(CONCATENATE("Tab_",Tab_Calculs[[#This Row],[Colonne1]])),Tab_Calculs[[#This Row],[index_date_livraison]],1)</f>
        <v>0</v>
      </c>
      <c r="J638">
        <f ca="1">MATCH(Tab_Calculs[[#This Row],[Date_livraison]],INDIRECT(CONCATENATE("Tab_",Tab_Calculs[[#This Row],[Colonne1]],"[Fin de période]")),0)</f>
        <v>1</v>
      </c>
      <c r="K638" t="e">
        <f ca="1">INDEX(INDIRECT(CONCATENATE("Tab_",Tab_Calculs[[#This Row],[Colonne1]])),Tab_Calculs[[#This Row],[index_date_livraison]]-1,6)*(MAX(Tab_Calculs[[#This Row],[Début periode livraison]],Tab_Calculs[[#This Row],[Début mois]])-Tab_Calculs[[#This Row],[Début mois]])</f>
        <v>#VALUE!</v>
      </c>
      <c r="L638" s="94">
        <f ca="1">INDEX(INDIRECT(CONCATENATE("Tab_",Tab_Calculs[[#This Row],[Colonne1]])),Tab_Calculs[[#This Row],[index_date_livraison]],6)*(1+MIN(Tab_Calculs[[#This Row],[Date_livraison]],Tab_Calculs[[#This Row],[fin mois]])-MAX(Tab_Calculs[[#This Row],[Début mois]],Tab_Calculs[[#This Row],[Début periode livraison]]))</f>
        <v>0</v>
      </c>
      <c r="M638" s="94" t="e">
        <f ca="1">INDEX(INDIRECT(CONCATENATE("Tab_",Tab_Calculs[[#This Row],[Colonne1]])),Tab_Calculs[[#This Row],[index_date_livraison]]+1,6)*(Tab_Calculs[[#This Row],[fin mois]]-MIN(Tab_Calculs[[#This Row],[fin mois]],Tab_Calculs[[#This Row],[Date_livraison]]))</f>
        <v>#VALUE!</v>
      </c>
      <c r="N638" s="231" t="str">
        <f ca="1">IFERROR(Tab_Calculs[[#This Row],[Ratio_jour_après_livr]]+Tab_Calculs[[#This Row],[Ratio_jour_avant_livr]]+Tab_Calculs[[#This Row],[ratio_avant_debut]],"")</f>
        <v/>
      </c>
      <c r="O638" t="e">
        <f ca="1">INDEX(INDIRECT(CONCATENATE("Tab_",Tab_Calculs[[#This Row],[Colonne1]])),Tab_Calculs[[#This Row],[index_date_livraison]]-1,7)*(MAX(Tab_Calculs[[#This Row],[Début periode livraison]],Tab_Calculs[[#This Row],[Début mois]])-Tab_Calculs[[#This Row],[Début mois]])</f>
        <v>#VALUE!</v>
      </c>
      <c r="P638">
        <f ca="1">INDEX(INDIRECT(CONCATENATE("Tab_",Tab_Calculs[[#This Row],[Colonne1]])),Tab_Calculs[[#This Row],[index_date_livraison]],7)*(1+MIN(Tab_Calculs[[#This Row],[Date_livraison]],Tab_Calculs[[#This Row],[fin mois]])-MAX(Tab_Calculs[[#This Row],[Début mois]],Tab_Calculs[[#This Row],[Début periode livraison]]))</f>
        <v>0</v>
      </c>
      <c r="Q638" t="e">
        <f ca="1">INDEX(INDIRECT(CONCATENATE("Tab_",Tab_Calculs[[#This Row],[Colonne1]])),Tab_Calculs[[#This Row],[index_date_livraison]]+1,7)*(Tab_Calculs[[#This Row],[fin mois]]-MIN(Tab_Calculs[[#This Row],[fin mois]],Tab_Calculs[[#This Row],[Date_livraison]]))</f>
        <v>#VALUE!</v>
      </c>
      <c r="R638" t="e">
        <f ca="1">Tab_Calculs[[#This Row],[Ratio_Cout_après_livr]]+Tab_Calculs[[#This Row],[Ratio_Cout_avant_livr]]+Tab_Calculs[[#This Row],[Ratio_Cout_avant_debut]]</f>
        <v>#VALUE!</v>
      </c>
      <c r="S638" t="str">
        <f ca="1">IFERROR(N638*VLOOKUP(Tab_Calculs[[#This Row],[Colonne1]],Controle_des_données!$B$7:$G$14,6,FALSE),"")</f>
        <v/>
      </c>
      <c r="T638" t="str">
        <f ca="1">IF(Tab_Calculs[[#This Row],[Combustible ]]="Electricité (kWh)",Tab_Calculs[[#This Row],[Conso_mois_kWh]]*2.3,Tab_Calculs[[#This Row],[Conso_mois_kWh]])</f>
        <v/>
      </c>
      <c r="U638" t="str">
        <f ca="1">IFERROR(N638*VLOOKUP(Tab_Calculs[[#This Row],[Colonne1]],Controle_des_données!$B$7:$H$14,7,FALSE),"")</f>
        <v/>
      </c>
      <c r="V638">
        <f ca="1">IFERROR(Tab_Calculs[[#This Row],[Cout_mois]]/Tab_Calculs[[#This Row],[Conso_mois_kWh]],0)</f>
        <v>0</v>
      </c>
      <c r="W638" t="str">
        <f>T(VLOOKUP(Tab_Calculs[[#This Row],[Compteur]],Site!$B$33:$G$40,3,FALSE))</f>
        <v/>
      </c>
      <c r="X638" t="str">
        <f>T(VLOOKUP(Tab_Calculs[[#This Row],[Compteur]],Site!$B$33:$G$40,4,FALSE))</f>
        <v/>
      </c>
      <c r="Y638" t="str">
        <f>T(VLOOKUP(Tab_Calculs[[#This Row],[Compteur]],Site!$B$33:$G$40,5,FALSE))</f>
        <v/>
      </c>
      <c r="Z638" t="str">
        <f>T(VLOOKUP(Tab_Calculs[[#This Row],[Compteur]],Site!$B$33:$G$40,6,FALSE))</f>
        <v/>
      </c>
      <c r="AA638">
        <f>IFERROR(GETPIVOTDATA("DJU(chauffagiste)",BDD_DJU!$P$13,"annee",Tab_Calculs[[#This Row],[ANNEE]],"mois_numero",Tab_Calculs[[#This Row],[MOIS]]),0)</f>
        <v>48.5</v>
      </c>
    </row>
    <row r="639" spans="1:27" x14ac:dyDescent="0.25">
      <c r="A639" s="3">
        <f>DATE(Tab_Calculs[[#This Row],[ANNEE]],Tab_Calculs[[#This Row],[MOIS]],1)</f>
        <v>41821</v>
      </c>
      <c r="B639" s="3">
        <f>EDATE(Tab_Calculs[[#This Row],[Début mois]],1)-1</f>
        <v>41851</v>
      </c>
      <c r="C639">
        <v>7</v>
      </c>
      <c r="D639">
        <v>2014</v>
      </c>
      <c r="E639" t="s">
        <v>83</v>
      </c>
      <c r="F639" t="str">
        <f>SUBSTITUTE(Tab_Calculs[[#This Row],[Compteur]]," ","_")</f>
        <v>Compteur_4</v>
      </c>
      <c r="G639" t="str">
        <f>T(INDEX(Site!$B$33:$G$40, MATCH(Tab_Calculs[[#This Row],[Compteur]], Site!$B$33:$B$40,0),2))</f>
        <v/>
      </c>
      <c r="H639" s="3">
        <f t="array" aca="1" ref="H639" ca="1">MIN(IF(INDIRECT(CONCATENATE(Tab_Calculs[[#This Row],[Colonne1]],"!$B$2:$B$243"))&gt;=Calculs_Consos!$A639,INDIRECT(CONCATENATE(Tab_Calculs[[#This Row],[Colonne1]],"!$B$2:$B$243"))))</f>
        <v>0</v>
      </c>
      <c r="I639" s="3">
        <f ca="1">INDEX(INDIRECT(CONCATENATE("Tab_",Tab_Calculs[[#This Row],[Colonne1]])),Tab_Calculs[[#This Row],[index_date_livraison]],1)</f>
        <v>0</v>
      </c>
      <c r="J639">
        <f ca="1">MATCH(Tab_Calculs[[#This Row],[Date_livraison]],INDIRECT(CONCATENATE("Tab_",Tab_Calculs[[#This Row],[Colonne1]],"[Fin de période]")),0)</f>
        <v>1</v>
      </c>
      <c r="K639" t="e">
        <f ca="1">INDEX(INDIRECT(CONCATENATE("Tab_",Tab_Calculs[[#This Row],[Colonne1]])),Tab_Calculs[[#This Row],[index_date_livraison]]-1,6)*(MAX(Tab_Calculs[[#This Row],[Début periode livraison]],Tab_Calculs[[#This Row],[Début mois]])-Tab_Calculs[[#This Row],[Début mois]])</f>
        <v>#VALUE!</v>
      </c>
      <c r="L639" s="94">
        <f ca="1">INDEX(INDIRECT(CONCATENATE("Tab_",Tab_Calculs[[#This Row],[Colonne1]])),Tab_Calculs[[#This Row],[index_date_livraison]],6)*(1+MIN(Tab_Calculs[[#This Row],[Date_livraison]],Tab_Calculs[[#This Row],[fin mois]])-MAX(Tab_Calculs[[#This Row],[Début mois]],Tab_Calculs[[#This Row],[Début periode livraison]]))</f>
        <v>0</v>
      </c>
      <c r="M639" s="94" t="e">
        <f ca="1">INDEX(INDIRECT(CONCATENATE("Tab_",Tab_Calculs[[#This Row],[Colonne1]])),Tab_Calculs[[#This Row],[index_date_livraison]]+1,6)*(Tab_Calculs[[#This Row],[fin mois]]-MIN(Tab_Calculs[[#This Row],[fin mois]],Tab_Calculs[[#This Row],[Date_livraison]]))</f>
        <v>#VALUE!</v>
      </c>
      <c r="N639" s="231" t="str">
        <f ca="1">IFERROR(Tab_Calculs[[#This Row],[Ratio_jour_après_livr]]+Tab_Calculs[[#This Row],[Ratio_jour_avant_livr]]+Tab_Calculs[[#This Row],[ratio_avant_debut]],"")</f>
        <v/>
      </c>
      <c r="O639" t="e">
        <f ca="1">INDEX(INDIRECT(CONCATENATE("Tab_",Tab_Calculs[[#This Row],[Colonne1]])),Tab_Calculs[[#This Row],[index_date_livraison]]-1,7)*(MAX(Tab_Calculs[[#This Row],[Début periode livraison]],Tab_Calculs[[#This Row],[Début mois]])-Tab_Calculs[[#This Row],[Début mois]])</f>
        <v>#VALUE!</v>
      </c>
      <c r="P639">
        <f ca="1">INDEX(INDIRECT(CONCATENATE("Tab_",Tab_Calculs[[#This Row],[Colonne1]])),Tab_Calculs[[#This Row],[index_date_livraison]],7)*(1+MIN(Tab_Calculs[[#This Row],[Date_livraison]],Tab_Calculs[[#This Row],[fin mois]])-MAX(Tab_Calculs[[#This Row],[Début mois]],Tab_Calculs[[#This Row],[Début periode livraison]]))</f>
        <v>0</v>
      </c>
      <c r="Q639" t="e">
        <f ca="1">INDEX(INDIRECT(CONCATENATE("Tab_",Tab_Calculs[[#This Row],[Colonne1]])),Tab_Calculs[[#This Row],[index_date_livraison]]+1,7)*(Tab_Calculs[[#This Row],[fin mois]]-MIN(Tab_Calculs[[#This Row],[fin mois]],Tab_Calculs[[#This Row],[Date_livraison]]))</f>
        <v>#VALUE!</v>
      </c>
      <c r="R639" t="e">
        <f ca="1">Tab_Calculs[[#This Row],[Ratio_Cout_après_livr]]+Tab_Calculs[[#This Row],[Ratio_Cout_avant_livr]]+Tab_Calculs[[#This Row],[Ratio_Cout_avant_debut]]</f>
        <v>#VALUE!</v>
      </c>
      <c r="S639" t="str">
        <f ca="1">IFERROR(N639*VLOOKUP(Tab_Calculs[[#This Row],[Colonne1]],Controle_des_données!$B$7:$G$14,6,FALSE),"")</f>
        <v/>
      </c>
      <c r="T639" t="str">
        <f ca="1">IF(Tab_Calculs[[#This Row],[Combustible ]]="Electricité (kWh)",Tab_Calculs[[#This Row],[Conso_mois_kWh]]*2.3,Tab_Calculs[[#This Row],[Conso_mois_kWh]])</f>
        <v/>
      </c>
      <c r="U639" t="str">
        <f ca="1">IFERROR(N639*VLOOKUP(Tab_Calculs[[#This Row],[Colonne1]],Controle_des_données!$B$7:$H$14,7,FALSE),"")</f>
        <v/>
      </c>
      <c r="V639">
        <f ca="1">IFERROR(Tab_Calculs[[#This Row],[Cout_mois]]/Tab_Calculs[[#This Row],[Conso_mois_kWh]],0)</f>
        <v>0</v>
      </c>
      <c r="W639" t="str">
        <f>T(VLOOKUP(Tab_Calculs[[#This Row],[Compteur]],Site!$B$33:$G$40,3,FALSE))</f>
        <v/>
      </c>
      <c r="X639" t="str">
        <f>T(VLOOKUP(Tab_Calculs[[#This Row],[Compteur]],Site!$B$33:$G$40,4,FALSE))</f>
        <v/>
      </c>
      <c r="Y639" t="str">
        <f>T(VLOOKUP(Tab_Calculs[[#This Row],[Compteur]],Site!$B$33:$G$40,5,FALSE))</f>
        <v/>
      </c>
      <c r="Z639" t="str">
        <f>T(VLOOKUP(Tab_Calculs[[#This Row],[Compteur]],Site!$B$33:$G$40,6,FALSE))</f>
        <v/>
      </c>
      <c r="AA639">
        <f>IFERROR(GETPIVOTDATA("DJU(chauffagiste)",BDD_DJU!$P$13,"annee",Tab_Calculs[[#This Row],[ANNEE]],"mois_numero",Tab_Calculs[[#This Row],[MOIS]]),0)</f>
        <v>22.6</v>
      </c>
    </row>
    <row r="640" spans="1:27" x14ac:dyDescent="0.25">
      <c r="A640" s="3">
        <f>DATE(Tab_Calculs[[#This Row],[ANNEE]],Tab_Calculs[[#This Row],[MOIS]],1)</f>
        <v>41852</v>
      </c>
      <c r="B640" s="3">
        <f>EDATE(Tab_Calculs[[#This Row],[Début mois]],1)-1</f>
        <v>41882</v>
      </c>
      <c r="C640">
        <v>8</v>
      </c>
      <c r="D640">
        <v>2014</v>
      </c>
      <c r="E640" t="s">
        <v>83</v>
      </c>
      <c r="F640" t="str">
        <f>SUBSTITUTE(Tab_Calculs[[#This Row],[Compteur]]," ","_")</f>
        <v>Compteur_4</v>
      </c>
      <c r="G640" t="str">
        <f>T(INDEX(Site!$B$33:$G$40, MATCH(Tab_Calculs[[#This Row],[Compteur]], Site!$B$33:$B$40,0),2))</f>
        <v/>
      </c>
      <c r="H640" s="3">
        <f t="array" aca="1" ref="H640" ca="1">MIN(IF(INDIRECT(CONCATENATE(Tab_Calculs[[#This Row],[Colonne1]],"!$B$2:$B$243"))&gt;=Calculs_Consos!$A640,INDIRECT(CONCATENATE(Tab_Calculs[[#This Row],[Colonne1]],"!$B$2:$B$243"))))</f>
        <v>0</v>
      </c>
      <c r="I640" s="3">
        <f ca="1">INDEX(INDIRECT(CONCATENATE("Tab_",Tab_Calculs[[#This Row],[Colonne1]])),Tab_Calculs[[#This Row],[index_date_livraison]],1)</f>
        <v>0</v>
      </c>
      <c r="J640">
        <f ca="1">MATCH(Tab_Calculs[[#This Row],[Date_livraison]],INDIRECT(CONCATENATE("Tab_",Tab_Calculs[[#This Row],[Colonne1]],"[Fin de période]")),0)</f>
        <v>1</v>
      </c>
      <c r="K640" t="e">
        <f ca="1">INDEX(INDIRECT(CONCATENATE("Tab_",Tab_Calculs[[#This Row],[Colonne1]])),Tab_Calculs[[#This Row],[index_date_livraison]]-1,6)*(MAX(Tab_Calculs[[#This Row],[Début periode livraison]],Tab_Calculs[[#This Row],[Début mois]])-Tab_Calculs[[#This Row],[Début mois]])</f>
        <v>#VALUE!</v>
      </c>
      <c r="L640" s="94">
        <f ca="1">INDEX(INDIRECT(CONCATENATE("Tab_",Tab_Calculs[[#This Row],[Colonne1]])),Tab_Calculs[[#This Row],[index_date_livraison]],6)*(1+MIN(Tab_Calculs[[#This Row],[Date_livraison]],Tab_Calculs[[#This Row],[fin mois]])-MAX(Tab_Calculs[[#This Row],[Début mois]],Tab_Calculs[[#This Row],[Début periode livraison]]))</f>
        <v>0</v>
      </c>
      <c r="M640" s="94" t="e">
        <f ca="1">INDEX(INDIRECT(CONCATENATE("Tab_",Tab_Calculs[[#This Row],[Colonne1]])),Tab_Calculs[[#This Row],[index_date_livraison]]+1,6)*(Tab_Calculs[[#This Row],[fin mois]]-MIN(Tab_Calculs[[#This Row],[fin mois]],Tab_Calculs[[#This Row],[Date_livraison]]))</f>
        <v>#VALUE!</v>
      </c>
      <c r="N640" s="231" t="str">
        <f ca="1">IFERROR(Tab_Calculs[[#This Row],[Ratio_jour_après_livr]]+Tab_Calculs[[#This Row],[Ratio_jour_avant_livr]]+Tab_Calculs[[#This Row],[ratio_avant_debut]],"")</f>
        <v/>
      </c>
      <c r="O640" t="e">
        <f ca="1">INDEX(INDIRECT(CONCATENATE("Tab_",Tab_Calculs[[#This Row],[Colonne1]])),Tab_Calculs[[#This Row],[index_date_livraison]]-1,7)*(MAX(Tab_Calculs[[#This Row],[Début periode livraison]],Tab_Calculs[[#This Row],[Début mois]])-Tab_Calculs[[#This Row],[Début mois]])</f>
        <v>#VALUE!</v>
      </c>
      <c r="P640">
        <f ca="1">INDEX(INDIRECT(CONCATENATE("Tab_",Tab_Calculs[[#This Row],[Colonne1]])),Tab_Calculs[[#This Row],[index_date_livraison]],7)*(1+MIN(Tab_Calculs[[#This Row],[Date_livraison]],Tab_Calculs[[#This Row],[fin mois]])-MAX(Tab_Calculs[[#This Row],[Début mois]],Tab_Calculs[[#This Row],[Début periode livraison]]))</f>
        <v>0</v>
      </c>
      <c r="Q640" t="e">
        <f ca="1">INDEX(INDIRECT(CONCATENATE("Tab_",Tab_Calculs[[#This Row],[Colonne1]])),Tab_Calculs[[#This Row],[index_date_livraison]]+1,7)*(Tab_Calculs[[#This Row],[fin mois]]-MIN(Tab_Calculs[[#This Row],[fin mois]],Tab_Calculs[[#This Row],[Date_livraison]]))</f>
        <v>#VALUE!</v>
      </c>
      <c r="R640" t="e">
        <f ca="1">Tab_Calculs[[#This Row],[Ratio_Cout_après_livr]]+Tab_Calculs[[#This Row],[Ratio_Cout_avant_livr]]+Tab_Calculs[[#This Row],[Ratio_Cout_avant_debut]]</f>
        <v>#VALUE!</v>
      </c>
      <c r="S640" t="str">
        <f ca="1">IFERROR(N640*VLOOKUP(Tab_Calculs[[#This Row],[Colonne1]],Controle_des_données!$B$7:$G$14,6,FALSE),"")</f>
        <v/>
      </c>
      <c r="T640" t="str">
        <f ca="1">IF(Tab_Calculs[[#This Row],[Combustible ]]="Electricité (kWh)",Tab_Calculs[[#This Row],[Conso_mois_kWh]]*2.3,Tab_Calculs[[#This Row],[Conso_mois_kWh]])</f>
        <v/>
      </c>
      <c r="U640" t="str">
        <f ca="1">IFERROR(N640*VLOOKUP(Tab_Calculs[[#This Row],[Colonne1]],Controle_des_données!$B$7:$H$14,7,FALSE),"")</f>
        <v/>
      </c>
      <c r="V640">
        <f ca="1">IFERROR(Tab_Calculs[[#This Row],[Cout_mois]]/Tab_Calculs[[#This Row],[Conso_mois_kWh]],0)</f>
        <v>0</v>
      </c>
      <c r="W640" t="str">
        <f>T(VLOOKUP(Tab_Calculs[[#This Row],[Compteur]],Site!$B$33:$G$40,3,FALSE))</f>
        <v/>
      </c>
      <c r="X640" t="str">
        <f>T(VLOOKUP(Tab_Calculs[[#This Row],[Compteur]],Site!$B$33:$G$40,4,FALSE))</f>
        <v/>
      </c>
      <c r="Y640" t="str">
        <f>T(VLOOKUP(Tab_Calculs[[#This Row],[Compteur]],Site!$B$33:$G$40,5,FALSE))</f>
        <v/>
      </c>
      <c r="Z640" t="str">
        <f>T(VLOOKUP(Tab_Calculs[[#This Row],[Compteur]],Site!$B$33:$G$40,6,FALSE))</f>
        <v/>
      </c>
      <c r="AA640">
        <f>IFERROR(GETPIVOTDATA("DJU(chauffagiste)",BDD_DJU!$P$13,"annee",Tab_Calculs[[#This Row],[ANNEE]],"mois_numero",Tab_Calculs[[#This Row],[MOIS]]),0)</f>
        <v>51.9</v>
      </c>
    </row>
    <row r="641" spans="1:27" x14ac:dyDescent="0.25">
      <c r="A641" s="3">
        <f>DATE(Tab_Calculs[[#This Row],[ANNEE]],Tab_Calculs[[#This Row],[MOIS]],1)</f>
        <v>41883</v>
      </c>
      <c r="B641" s="3">
        <f>EDATE(Tab_Calculs[[#This Row],[Début mois]],1)-1</f>
        <v>41912</v>
      </c>
      <c r="C641">
        <v>9</v>
      </c>
      <c r="D641">
        <v>2014</v>
      </c>
      <c r="E641" t="s">
        <v>83</v>
      </c>
      <c r="F641" t="str">
        <f>SUBSTITUTE(Tab_Calculs[[#This Row],[Compteur]]," ","_")</f>
        <v>Compteur_4</v>
      </c>
      <c r="G641" t="str">
        <f>T(INDEX(Site!$B$33:$G$40, MATCH(Tab_Calculs[[#This Row],[Compteur]], Site!$B$33:$B$40,0),2))</f>
        <v/>
      </c>
      <c r="H641" s="3">
        <f t="array" aca="1" ref="H641" ca="1">MIN(IF(INDIRECT(CONCATENATE(Tab_Calculs[[#This Row],[Colonne1]],"!$B$2:$B$243"))&gt;=Calculs_Consos!$A641,INDIRECT(CONCATENATE(Tab_Calculs[[#This Row],[Colonne1]],"!$B$2:$B$243"))))</f>
        <v>0</v>
      </c>
      <c r="I641" s="3">
        <f ca="1">INDEX(INDIRECT(CONCATENATE("Tab_",Tab_Calculs[[#This Row],[Colonne1]])),Tab_Calculs[[#This Row],[index_date_livraison]],1)</f>
        <v>0</v>
      </c>
      <c r="J641">
        <f ca="1">MATCH(Tab_Calculs[[#This Row],[Date_livraison]],INDIRECT(CONCATENATE("Tab_",Tab_Calculs[[#This Row],[Colonne1]],"[Fin de période]")),0)</f>
        <v>1</v>
      </c>
      <c r="K641" t="e">
        <f ca="1">INDEX(INDIRECT(CONCATENATE("Tab_",Tab_Calculs[[#This Row],[Colonne1]])),Tab_Calculs[[#This Row],[index_date_livraison]]-1,6)*(MAX(Tab_Calculs[[#This Row],[Début periode livraison]],Tab_Calculs[[#This Row],[Début mois]])-Tab_Calculs[[#This Row],[Début mois]])</f>
        <v>#VALUE!</v>
      </c>
      <c r="L641" s="94">
        <f ca="1">INDEX(INDIRECT(CONCATENATE("Tab_",Tab_Calculs[[#This Row],[Colonne1]])),Tab_Calculs[[#This Row],[index_date_livraison]],6)*(1+MIN(Tab_Calculs[[#This Row],[Date_livraison]],Tab_Calculs[[#This Row],[fin mois]])-MAX(Tab_Calculs[[#This Row],[Début mois]],Tab_Calculs[[#This Row],[Début periode livraison]]))</f>
        <v>0</v>
      </c>
      <c r="M641" s="94" t="e">
        <f ca="1">INDEX(INDIRECT(CONCATENATE("Tab_",Tab_Calculs[[#This Row],[Colonne1]])),Tab_Calculs[[#This Row],[index_date_livraison]]+1,6)*(Tab_Calculs[[#This Row],[fin mois]]-MIN(Tab_Calculs[[#This Row],[fin mois]],Tab_Calculs[[#This Row],[Date_livraison]]))</f>
        <v>#VALUE!</v>
      </c>
      <c r="N641" s="231" t="str">
        <f ca="1">IFERROR(Tab_Calculs[[#This Row],[Ratio_jour_après_livr]]+Tab_Calculs[[#This Row],[Ratio_jour_avant_livr]]+Tab_Calculs[[#This Row],[ratio_avant_debut]],"")</f>
        <v/>
      </c>
      <c r="O641" t="e">
        <f ca="1">INDEX(INDIRECT(CONCATENATE("Tab_",Tab_Calculs[[#This Row],[Colonne1]])),Tab_Calculs[[#This Row],[index_date_livraison]]-1,7)*(MAX(Tab_Calculs[[#This Row],[Début periode livraison]],Tab_Calculs[[#This Row],[Début mois]])-Tab_Calculs[[#This Row],[Début mois]])</f>
        <v>#VALUE!</v>
      </c>
      <c r="P641">
        <f ca="1">INDEX(INDIRECT(CONCATENATE("Tab_",Tab_Calculs[[#This Row],[Colonne1]])),Tab_Calculs[[#This Row],[index_date_livraison]],7)*(1+MIN(Tab_Calculs[[#This Row],[Date_livraison]],Tab_Calculs[[#This Row],[fin mois]])-MAX(Tab_Calculs[[#This Row],[Début mois]],Tab_Calculs[[#This Row],[Début periode livraison]]))</f>
        <v>0</v>
      </c>
      <c r="Q641" t="e">
        <f ca="1">INDEX(INDIRECT(CONCATENATE("Tab_",Tab_Calculs[[#This Row],[Colonne1]])),Tab_Calculs[[#This Row],[index_date_livraison]]+1,7)*(Tab_Calculs[[#This Row],[fin mois]]-MIN(Tab_Calculs[[#This Row],[fin mois]],Tab_Calculs[[#This Row],[Date_livraison]]))</f>
        <v>#VALUE!</v>
      </c>
      <c r="R641" t="e">
        <f ca="1">Tab_Calculs[[#This Row],[Ratio_Cout_après_livr]]+Tab_Calculs[[#This Row],[Ratio_Cout_avant_livr]]+Tab_Calculs[[#This Row],[Ratio_Cout_avant_debut]]</f>
        <v>#VALUE!</v>
      </c>
      <c r="S641" t="str">
        <f ca="1">IFERROR(N641*VLOOKUP(Tab_Calculs[[#This Row],[Colonne1]],Controle_des_données!$B$7:$G$14,6,FALSE),"")</f>
        <v/>
      </c>
      <c r="T641" t="str">
        <f ca="1">IF(Tab_Calculs[[#This Row],[Combustible ]]="Electricité (kWh)",Tab_Calculs[[#This Row],[Conso_mois_kWh]]*2.3,Tab_Calculs[[#This Row],[Conso_mois_kWh]])</f>
        <v/>
      </c>
      <c r="U641" t="str">
        <f ca="1">IFERROR(N641*VLOOKUP(Tab_Calculs[[#This Row],[Colonne1]],Controle_des_données!$B$7:$H$14,7,FALSE),"")</f>
        <v/>
      </c>
      <c r="V641">
        <f ca="1">IFERROR(Tab_Calculs[[#This Row],[Cout_mois]]/Tab_Calculs[[#This Row],[Conso_mois_kWh]],0)</f>
        <v>0</v>
      </c>
      <c r="W641" t="str">
        <f>T(VLOOKUP(Tab_Calculs[[#This Row],[Compteur]],Site!$B$33:$G$40,3,FALSE))</f>
        <v/>
      </c>
      <c r="X641" t="str">
        <f>T(VLOOKUP(Tab_Calculs[[#This Row],[Compteur]],Site!$B$33:$G$40,4,FALSE))</f>
        <v/>
      </c>
      <c r="Y641" t="str">
        <f>T(VLOOKUP(Tab_Calculs[[#This Row],[Compteur]],Site!$B$33:$G$40,5,FALSE))</f>
        <v/>
      </c>
      <c r="Z641" t="str">
        <f>T(VLOOKUP(Tab_Calculs[[#This Row],[Compteur]],Site!$B$33:$G$40,6,FALSE))</f>
        <v/>
      </c>
      <c r="AA641">
        <f>IFERROR(GETPIVOTDATA("DJU(chauffagiste)",BDD_DJU!$P$13,"annee",Tab_Calculs[[#This Row],[ANNEE]],"mois_numero",Tab_Calculs[[#This Row],[MOIS]]),0)</f>
        <v>54.3</v>
      </c>
    </row>
    <row r="642" spans="1:27" x14ac:dyDescent="0.25">
      <c r="A642" s="3">
        <f>DATE(Tab_Calculs[[#This Row],[ANNEE]],Tab_Calculs[[#This Row],[MOIS]],1)</f>
        <v>41913</v>
      </c>
      <c r="B642" s="3">
        <f>EDATE(Tab_Calculs[[#This Row],[Début mois]],1)-1</f>
        <v>41943</v>
      </c>
      <c r="C642">
        <v>10</v>
      </c>
      <c r="D642">
        <v>2014</v>
      </c>
      <c r="E642" t="s">
        <v>83</v>
      </c>
      <c r="F642" t="str">
        <f>SUBSTITUTE(Tab_Calculs[[#This Row],[Compteur]]," ","_")</f>
        <v>Compteur_4</v>
      </c>
      <c r="G642" t="str">
        <f>T(INDEX(Site!$B$33:$G$40, MATCH(Tab_Calculs[[#This Row],[Compteur]], Site!$B$33:$B$40,0),2))</f>
        <v/>
      </c>
      <c r="H642" s="3">
        <f t="array" aca="1" ref="H642" ca="1">MIN(IF(INDIRECT(CONCATENATE(Tab_Calculs[[#This Row],[Colonne1]],"!$B$2:$B$243"))&gt;=Calculs_Consos!$A642,INDIRECT(CONCATENATE(Tab_Calculs[[#This Row],[Colonne1]],"!$B$2:$B$243"))))</f>
        <v>0</v>
      </c>
      <c r="I642" s="3">
        <f ca="1">INDEX(INDIRECT(CONCATENATE("Tab_",Tab_Calculs[[#This Row],[Colonne1]])),Tab_Calculs[[#This Row],[index_date_livraison]],1)</f>
        <v>0</v>
      </c>
      <c r="J642">
        <f ca="1">MATCH(Tab_Calculs[[#This Row],[Date_livraison]],INDIRECT(CONCATENATE("Tab_",Tab_Calculs[[#This Row],[Colonne1]],"[Fin de période]")),0)</f>
        <v>1</v>
      </c>
      <c r="K642" t="e">
        <f ca="1">INDEX(INDIRECT(CONCATENATE("Tab_",Tab_Calculs[[#This Row],[Colonne1]])),Tab_Calculs[[#This Row],[index_date_livraison]]-1,6)*(MAX(Tab_Calculs[[#This Row],[Début periode livraison]],Tab_Calculs[[#This Row],[Début mois]])-Tab_Calculs[[#This Row],[Début mois]])</f>
        <v>#VALUE!</v>
      </c>
      <c r="L642" s="94">
        <f ca="1">INDEX(INDIRECT(CONCATENATE("Tab_",Tab_Calculs[[#This Row],[Colonne1]])),Tab_Calculs[[#This Row],[index_date_livraison]],6)*(1+MIN(Tab_Calculs[[#This Row],[Date_livraison]],Tab_Calculs[[#This Row],[fin mois]])-MAX(Tab_Calculs[[#This Row],[Début mois]],Tab_Calculs[[#This Row],[Début periode livraison]]))</f>
        <v>0</v>
      </c>
      <c r="M642" s="94" t="e">
        <f ca="1">INDEX(INDIRECT(CONCATENATE("Tab_",Tab_Calculs[[#This Row],[Colonne1]])),Tab_Calculs[[#This Row],[index_date_livraison]]+1,6)*(Tab_Calculs[[#This Row],[fin mois]]-MIN(Tab_Calculs[[#This Row],[fin mois]],Tab_Calculs[[#This Row],[Date_livraison]]))</f>
        <v>#VALUE!</v>
      </c>
      <c r="N642" s="231" t="str">
        <f ca="1">IFERROR(Tab_Calculs[[#This Row],[Ratio_jour_après_livr]]+Tab_Calculs[[#This Row],[Ratio_jour_avant_livr]]+Tab_Calculs[[#This Row],[ratio_avant_debut]],"")</f>
        <v/>
      </c>
      <c r="O642" t="e">
        <f ca="1">INDEX(INDIRECT(CONCATENATE("Tab_",Tab_Calculs[[#This Row],[Colonne1]])),Tab_Calculs[[#This Row],[index_date_livraison]]-1,7)*(MAX(Tab_Calculs[[#This Row],[Début periode livraison]],Tab_Calculs[[#This Row],[Début mois]])-Tab_Calculs[[#This Row],[Début mois]])</f>
        <v>#VALUE!</v>
      </c>
      <c r="P642">
        <f ca="1">INDEX(INDIRECT(CONCATENATE("Tab_",Tab_Calculs[[#This Row],[Colonne1]])),Tab_Calculs[[#This Row],[index_date_livraison]],7)*(1+MIN(Tab_Calculs[[#This Row],[Date_livraison]],Tab_Calculs[[#This Row],[fin mois]])-MAX(Tab_Calculs[[#This Row],[Début mois]],Tab_Calculs[[#This Row],[Début periode livraison]]))</f>
        <v>0</v>
      </c>
      <c r="Q642" t="e">
        <f ca="1">INDEX(INDIRECT(CONCATENATE("Tab_",Tab_Calculs[[#This Row],[Colonne1]])),Tab_Calculs[[#This Row],[index_date_livraison]]+1,7)*(Tab_Calculs[[#This Row],[fin mois]]-MIN(Tab_Calculs[[#This Row],[fin mois]],Tab_Calculs[[#This Row],[Date_livraison]]))</f>
        <v>#VALUE!</v>
      </c>
      <c r="R642" t="e">
        <f ca="1">Tab_Calculs[[#This Row],[Ratio_Cout_après_livr]]+Tab_Calculs[[#This Row],[Ratio_Cout_avant_livr]]+Tab_Calculs[[#This Row],[Ratio_Cout_avant_debut]]</f>
        <v>#VALUE!</v>
      </c>
      <c r="S642" t="str">
        <f ca="1">IFERROR(N642*VLOOKUP(Tab_Calculs[[#This Row],[Colonne1]],Controle_des_données!$B$7:$G$14,6,FALSE),"")</f>
        <v/>
      </c>
      <c r="T642" t="str">
        <f ca="1">IF(Tab_Calculs[[#This Row],[Combustible ]]="Electricité (kWh)",Tab_Calculs[[#This Row],[Conso_mois_kWh]]*2.3,Tab_Calculs[[#This Row],[Conso_mois_kWh]])</f>
        <v/>
      </c>
      <c r="U642" t="str">
        <f ca="1">IFERROR(N642*VLOOKUP(Tab_Calculs[[#This Row],[Colonne1]],Controle_des_données!$B$7:$H$14,7,FALSE),"")</f>
        <v/>
      </c>
      <c r="V642">
        <f ca="1">IFERROR(Tab_Calculs[[#This Row],[Cout_mois]]/Tab_Calculs[[#This Row],[Conso_mois_kWh]],0)</f>
        <v>0</v>
      </c>
      <c r="W642" t="str">
        <f>T(VLOOKUP(Tab_Calculs[[#This Row],[Compteur]],Site!$B$33:$G$40,3,FALSE))</f>
        <v/>
      </c>
      <c r="X642" t="str">
        <f>T(VLOOKUP(Tab_Calculs[[#This Row],[Compteur]],Site!$B$33:$G$40,4,FALSE))</f>
        <v/>
      </c>
      <c r="Y642" t="str">
        <f>T(VLOOKUP(Tab_Calculs[[#This Row],[Compteur]],Site!$B$33:$G$40,5,FALSE))</f>
        <v/>
      </c>
      <c r="Z642" t="str">
        <f>T(VLOOKUP(Tab_Calculs[[#This Row],[Compteur]],Site!$B$33:$G$40,6,FALSE))</f>
        <v/>
      </c>
      <c r="AA642">
        <f>IFERROR(GETPIVOTDATA("DJU(chauffagiste)",BDD_DJU!$P$13,"annee",Tab_Calculs[[#This Row],[ANNEE]],"mois_numero",Tab_Calculs[[#This Row],[MOIS]]),0)</f>
        <v>124.2</v>
      </c>
    </row>
    <row r="643" spans="1:27" x14ac:dyDescent="0.25">
      <c r="A643" s="3">
        <f>DATE(Tab_Calculs[[#This Row],[ANNEE]],Tab_Calculs[[#This Row],[MOIS]],1)</f>
        <v>41944</v>
      </c>
      <c r="B643" s="3">
        <f>EDATE(Tab_Calculs[[#This Row],[Début mois]],1)-1</f>
        <v>41973</v>
      </c>
      <c r="C643">
        <v>11</v>
      </c>
      <c r="D643">
        <v>2014</v>
      </c>
      <c r="E643" t="s">
        <v>83</v>
      </c>
      <c r="F643" t="str">
        <f>SUBSTITUTE(Tab_Calculs[[#This Row],[Compteur]]," ","_")</f>
        <v>Compteur_4</v>
      </c>
      <c r="G643" t="str">
        <f>T(INDEX(Site!$B$33:$G$40, MATCH(Tab_Calculs[[#This Row],[Compteur]], Site!$B$33:$B$40,0),2))</f>
        <v/>
      </c>
      <c r="H643" s="3">
        <f t="array" aca="1" ref="H643" ca="1">MIN(IF(INDIRECT(CONCATENATE(Tab_Calculs[[#This Row],[Colonne1]],"!$B$2:$B$243"))&gt;=Calculs_Consos!$A643,INDIRECT(CONCATENATE(Tab_Calculs[[#This Row],[Colonne1]],"!$B$2:$B$243"))))</f>
        <v>0</v>
      </c>
      <c r="I643" s="3">
        <f ca="1">INDEX(INDIRECT(CONCATENATE("Tab_",Tab_Calculs[[#This Row],[Colonne1]])),Tab_Calculs[[#This Row],[index_date_livraison]],1)</f>
        <v>0</v>
      </c>
      <c r="J643">
        <f ca="1">MATCH(Tab_Calculs[[#This Row],[Date_livraison]],INDIRECT(CONCATENATE("Tab_",Tab_Calculs[[#This Row],[Colonne1]],"[Fin de période]")),0)</f>
        <v>1</v>
      </c>
      <c r="K643" t="e">
        <f ca="1">INDEX(INDIRECT(CONCATENATE("Tab_",Tab_Calculs[[#This Row],[Colonne1]])),Tab_Calculs[[#This Row],[index_date_livraison]]-1,6)*(MAX(Tab_Calculs[[#This Row],[Début periode livraison]],Tab_Calculs[[#This Row],[Début mois]])-Tab_Calculs[[#This Row],[Début mois]])</f>
        <v>#VALUE!</v>
      </c>
      <c r="L643" s="94">
        <f ca="1">INDEX(INDIRECT(CONCATENATE("Tab_",Tab_Calculs[[#This Row],[Colonne1]])),Tab_Calculs[[#This Row],[index_date_livraison]],6)*(1+MIN(Tab_Calculs[[#This Row],[Date_livraison]],Tab_Calculs[[#This Row],[fin mois]])-MAX(Tab_Calculs[[#This Row],[Début mois]],Tab_Calculs[[#This Row],[Début periode livraison]]))</f>
        <v>0</v>
      </c>
      <c r="M643" s="94" t="e">
        <f ca="1">INDEX(INDIRECT(CONCATENATE("Tab_",Tab_Calculs[[#This Row],[Colonne1]])),Tab_Calculs[[#This Row],[index_date_livraison]]+1,6)*(Tab_Calculs[[#This Row],[fin mois]]-MIN(Tab_Calculs[[#This Row],[fin mois]],Tab_Calculs[[#This Row],[Date_livraison]]))</f>
        <v>#VALUE!</v>
      </c>
      <c r="N643" s="231" t="str">
        <f ca="1">IFERROR(Tab_Calculs[[#This Row],[Ratio_jour_après_livr]]+Tab_Calculs[[#This Row],[Ratio_jour_avant_livr]]+Tab_Calculs[[#This Row],[ratio_avant_debut]],"")</f>
        <v/>
      </c>
      <c r="O643" t="e">
        <f ca="1">INDEX(INDIRECT(CONCATENATE("Tab_",Tab_Calculs[[#This Row],[Colonne1]])),Tab_Calculs[[#This Row],[index_date_livraison]]-1,7)*(MAX(Tab_Calculs[[#This Row],[Début periode livraison]],Tab_Calculs[[#This Row],[Début mois]])-Tab_Calculs[[#This Row],[Début mois]])</f>
        <v>#VALUE!</v>
      </c>
      <c r="P643">
        <f ca="1">INDEX(INDIRECT(CONCATENATE("Tab_",Tab_Calculs[[#This Row],[Colonne1]])),Tab_Calculs[[#This Row],[index_date_livraison]],7)*(1+MIN(Tab_Calculs[[#This Row],[Date_livraison]],Tab_Calculs[[#This Row],[fin mois]])-MAX(Tab_Calculs[[#This Row],[Début mois]],Tab_Calculs[[#This Row],[Début periode livraison]]))</f>
        <v>0</v>
      </c>
      <c r="Q643" t="e">
        <f ca="1">INDEX(INDIRECT(CONCATENATE("Tab_",Tab_Calculs[[#This Row],[Colonne1]])),Tab_Calculs[[#This Row],[index_date_livraison]]+1,7)*(Tab_Calculs[[#This Row],[fin mois]]-MIN(Tab_Calculs[[#This Row],[fin mois]],Tab_Calculs[[#This Row],[Date_livraison]]))</f>
        <v>#VALUE!</v>
      </c>
      <c r="R643" t="e">
        <f ca="1">Tab_Calculs[[#This Row],[Ratio_Cout_après_livr]]+Tab_Calculs[[#This Row],[Ratio_Cout_avant_livr]]+Tab_Calculs[[#This Row],[Ratio_Cout_avant_debut]]</f>
        <v>#VALUE!</v>
      </c>
      <c r="S643" t="str">
        <f ca="1">IFERROR(N643*VLOOKUP(Tab_Calculs[[#This Row],[Colonne1]],Controle_des_données!$B$7:$G$14,6,FALSE),"")</f>
        <v/>
      </c>
      <c r="T643" t="str">
        <f ca="1">IF(Tab_Calculs[[#This Row],[Combustible ]]="Electricité (kWh)",Tab_Calculs[[#This Row],[Conso_mois_kWh]]*2.3,Tab_Calculs[[#This Row],[Conso_mois_kWh]])</f>
        <v/>
      </c>
      <c r="U643" t="str">
        <f ca="1">IFERROR(N643*VLOOKUP(Tab_Calculs[[#This Row],[Colonne1]],Controle_des_données!$B$7:$H$14,7,FALSE),"")</f>
        <v/>
      </c>
      <c r="V643">
        <f ca="1">IFERROR(Tab_Calculs[[#This Row],[Cout_mois]]/Tab_Calculs[[#This Row],[Conso_mois_kWh]],0)</f>
        <v>0</v>
      </c>
      <c r="W643" t="str">
        <f>T(VLOOKUP(Tab_Calculs[[#This Row],[Compteur]],Site!$B$33:$G$40,3,FALSE))</f>
        <v/>
      </c>
      <c r="X643" t="str">
        <f>T(VLOOKUP(Tab_Calculs[[#This Row],[Compteur]],Site!$B$33:$G$40,4,FALSE))</f>
        <v/>
      </c>
      <c r="Y643" t="str">
        <f>T(VLOOKUP(Tab_Calculs[[#This Row],[Compteur]],Site!$B$33:$G$40,5,FALSE))</f>
        <v/>
      </c>
      <c r="Z643" t="str">
        <f>T(VLOOKUP(Tab_Calculs[[#This Row],[Compteur]],Site!$B$33:$G$40,6,FALSE))</f>
        <v/>
      </c>
      <c r="AA643">
        <f>IFERROR(GETPIVOTDATA("DJU(chauffagiste)",BDD_DJU!$P$13,"annee",Tab_Calculs[[#This Row],[ANNEE]],"mois_numero",Tab_Calculs[[#This Row],[MOIS]]),0)</f>
        <v>219.5</v>
      </c>
    </row>
    <row r="644" spans="1:27" x14ac:dyDescent="0.25">
      <c r="A644" s="3">
        <f>DATE(Tab_Calculs[[#This Row],[ANNEE]],Tab_Calculs[[#This Row],[MOIS]],1)</f>
        <v>41974</v>
      </c>
      <c r="B644" s="3">
        <f>EDATE(Tab_Calculs[[#This Row],[Début mois]],1)-1</f>
        <v>42004</v>
      </c>
      <c r="C644">
        <v>12</v>
      </c>
      <c r="D644">
        <v>2014</v>
      </c>
      <c r="E644" t="s">
        <v>83</v>
      </c>
      <c r="F644" t="str">
        <f>SUBSTITUTE(Tab_Calculs[[#This Row],[Compteur]]," ","_")</f>
        <v>Compteur_4</v>
      </c>
      <c r="G644" t="str">
        <f>T(INDEX(Site!$B$33:$G$40, MATCH(Tab_Calculs[[#This Row],[Compteur]], Site!$B$33:$B$40,0),2))</f>
        <v/>
      </c>
      <c r="H644" s="3">
        <f t="array" aca="1" ref="H644" ca="1">MIN(IF(INDIRECT(CONCATENATE(Tab_Calculs[[#This Row],[Colonne1]],"!$B$2:$B$243"))&gt;=Calculs_Consos!$A644,INDIRECT(CONCATENATE(Tab_Calculs[[#This Row],[Colonne1]],"!$B$2:$B$243"))))</f>
        <v>0</v>
      </c>
      <c r="I644" s="3">
        <f ca="1">INDEX(INDIRECT(CONCATENATE("Tab_",Tab_Calculs[[#This Row],[Colonne1]])),Tab_Calculs[[#This Row],[index_date_livraison]],1)</f>
        <v>0</v>
      </c>
      <c r="J644">
        <f ca="1">MATCH(Tab_Calculs[[#This Row],[Date_livraison]],INDIRECT(CONCATENATE("Tab_",Tab_Calculs[[#This Row],[Colonne1]],"[Fin de période]")),0)</f>
        <v>1</v>
      </c>
      <c r="K644" t="e">
        <f ca="1">INDEX(INDIRECT(CONCATENATE("Tab_",Tab_Calculs[[#This Row],[Colonne1]])),Tab_Calculs[[#This Row],[index_date_livraison]]-1,6)*(MAX(Tab_Calculs[[#This Row],[Début periode livraison]],Tab_Calculs[[#This Row],[Début mois]])-Tab_Calculs[[#This Row],[Début mois]])</f>
        <v>#VALUE!</v>
      </c>
      <c r="L644" s="94">
        <f ca="1">INDEX(INDIRECT(CONCATENATE("Tab_",Tab_Calculs[[#This Row],[Colonne1]])),Tab_Calculs[[#This Row],[index_date_livraison]],6)*(1+MIN(Tab_Calculs[[#This Row],[Date_livraison]],Tab_Calculs[[#This Row],[fin mois]])-MAX(Tab_Calculs[[#This Row],[Début mois]],Tab_Calculs[[#This Row],[Début periode livraison]]))</f>
        <v>0</v>
      </c>
      <c r="M644" s="94" t="e">
        <f ca="1">INDEX(INDIRECT(CONCATENATE("Tab_",Tab_Calculs[[#This Row],[Colonne1]])),Tab_Calculs[[#This Row],[index_date_livraison]]+1,6)*(Tab_Calculs[[#This Row],[fin mois]]-MIN(Tab_Calculs[[#This Row],[fin mois]],Tab_Calculs[[#This Row],[Date_livraison]]))</f>
        <v>#VALUE!</v>
      </c>
      <c r="N644" s="231" t="str">
        <f ca="1">IFERROR(Tab_Calculs[[#This Row],[Ratio_jour_après_livr]]+Tab_Calculs[[#This Row],[Ratio_jour_avant_livr]]+Tab_Calculs[[#This Row],[ratio_avant_debut]],"")</f>
        <v/>
      </c>
      <c r="O644" t="e">
        <f ca="1">INDEX(INDIRECT(CONCATENATE("Tab_",Tab_Calculs[[#This Row],[Colonne1]])),Tab_Calculs[[#This Row],[index_date_livraison]]-1,7)*(MAX(Tab_Calculs[[#This Row],[Début periode livraison]],Tab_Calculs[[#This Row],[Début mois]])-Tab_Calculs[[#This Row],[Début mois]])</f>
        <v>#VALUE!</v>
      </c>
      <c r="P644">
        <f ca="1">INDEX(INDIRECT(CONCATENATE("Tab_",Tab_Calculs[[#This Row],[Colonne1]])),Tab_Calculs[[#This Row],[index_date_livraison]],7)*(1+MIN(Tab_Calculs[[#This Row],[Date_livraison]],Tab_Calculs[[#This Row],[fin mois]])-MAX(Tab_Calculs[[#This Row],[Début mois]],Tab_Calculs[[#This Row],[Début periode livraison]]))</f>
        <v>0</v>
      </c>
      <c r="Q644" t="e">
        <f ca="1">INDEX(INDIRECT(CONCATENATE("Tab_",Tab_Calculs[[#This Row],[Colonne1]])),Tab_Calculs[[#This Row],[index_date_livraison]]+1,7)*(Tab_Calculs[[#This Row],[fin mois]]-MIN(Tab_Calculs[[#This Row],[fin mois]],Tab_Calculs[[#This Row],[Date_livraison]]))</f>
        <v>#VALUE!</v>
      </c>
      <c r="R644" t="e">
        <f ca="1">Tab_Calculs[[#This Row],[Ratio_Cout_après_livr]]+Tab_Calculs[[#This Row],[Ratio_Cout_avant_livr]]+Tab_Calculs[[#This Row],[Ratio_Cout_avant_debut]]</f>
        <v>#VALUE!</v>
      </c>
      <c r="S644" t="str">
        <f ca="1">IFERROR(N644*VLOOKUP(Tab_Calculs[[#This Row],[Colonne1]],Controle_des_données!$B$7:$G$14,6,FALSE),"")</f>
        <v/>
      </c>
      <c r="T644" t="str">
        <f ca="1">IF(Tab_Calculs[[#This Row],[Combustible ]]="Electricité (kWh)",Tab_Calculs[[#This Row],[Conso_mois_kWh]]*2.3,Tab_Calculs[[#This Row],[Conso_mois_kWh]])</f>
        <v/>
      </c>
      <c r="U644" t="str">
        <f ca="1">IFERROR(N644*VLOOKUP(Tab_Calculs[[#This Row],[Colonne1]],Controle_des_données!$B$7:$H$14,7,FALSE),"")</f>
        <v/>
      </c>
      <c r="V644">
        <f ca="1">IFERROR(Tab_Calculs[[#This Row],[Cout_mois]]/Tab_Calculs[[#This Row],[Conso_mois_kWh]],0)</f>
        <v>0</v>
      </c>
      <c r="W644" t="str">
        <f>T(VLOOKUP(Tab_Calculs[[#This Row],[Compteur]],Site!$B$33:$G$40,3,FALSE))</f>
        <v/>
      </c>
      <c r="X644" t="str">
        <f>T(VLOOKUP(Tab_Calculs[[#This Row],[Compteur]],Site!$B$33:$G$40,4,FALSE))</f>
        <v/>
      </c>
      <c r="Y644" t="str">
        <f>T(VLOOKUP(Tab_Calculs[[#This Row],[Compteur]],Site!$B$33:$G$40,5,FALSE))</f>
        <v/>
      </c>
      <c r="Z644" t="str">
        <f>T(VLOOKUP(Tab_Calculs[[#This Row],[Compteur]],Site!$B$33:$G$40,6,FALSE))</f>
        <v/>
      </c>
      <c r="AA644">
        <f>IFERROR(GETPIVOTDATA("DJU(chauffagiste)",BDD_DJU!$P$13,"annee",Tab_Calculs[[#This Row],[ANNEE]],"mois_numero",Tab_Calculs[[#This Row],[MOIS]]),0)</f>
        <v>374.8</v>
      </c>
    </row>
    <row r="645" spans="1:27" x14ac:dyDescent="0.25">
      <c r="A645" s="3">
        <f>DATE(Tab_Calculs[[#This Row],[ANNEE]],Tab_Calculs[[#This Row],[MOIS]],1)</f>
        <v>42005</v>
      </c>
      <c r="B645" s="3">
        <f>EDATE(Tab_Calculs[[#This Row],[Début mois]],1)-1</f>
        <v>42035</v>
      </c>
      <c r="C645">
        <v>1</v>
      </c>
      <c r="D645">
        <f>D633+1</f>
        <v>2015</v>
      </c>
      <c r="E645" t="s">
        <v>83</v>
      </c>
      <c r="F645" t="str">
        <f>SUBSTITUTE(Tab_Calculs[[#This Row],[Compteur]]," ","_")</f>
        <v>Compteur_4</v>
      </c>
      <c r="G645" t="str">
        <f>T(INDEX(Site!$B$33:$G$40, MATCH(Tab_Calculs[[#This Row],[Compteur]], Site!$B$33:$B$40,0),2))</f>
        <v/>
      </c>
      <c r="H645" s="3">
        <f t="array" aca="1" ref="H645" ca="1">MIN(IF(INDIRECT(CONCATENATE(Tab_Calculs[[#This Row],[Colonne1]],"!$B$2:$B$243"))&gt;=Calculs_Consos!$A645,INDIRECT(CONCATENATE(Tab_Calculs[[#This Row],[Colonne1]],"!$B$2:$B$243"))))</f>
        <v>0</v>
      </c>
      <c r="I645" s="3">
        <f ca="1">INDEX(INDIRECT(CONCATENATE("Tab_",Tab_Calculs[[#This Row],[Colonne1]])),Tab_Calculs[[#This Row],[index_date_livraison]],1)</f>
        <v>0</v>
      </c>
      <c r="J645">
        <f ca="1">MATCH(Tab_Calculs[[#This Row],[Date_livraison]],INDIRECT(CONCATENATE("Tab_",Tab_Calculs[[#This Row],[Colonne1]],"[Fin de période]")),0)</f>
        <v>1</v>
      </c>
      <c r="K645" t="e">
        <f ca="1">INDEX(INDIRECT(CONCATENATE("Tab_",Tab_Calculs[[#This Row],[Colonne1]])),Tab_Calculs[[#This Row],[index_date_livraison]]-1,6)*(MAX(Tab_Calculs[[#This Row],[Début periode livraison]],Tab_Calculs[[#This Row],[Début mois]])-Tab_Calculs[[#This Row],[Début mois]])</f>
        <v>#VALUE!</v>
      </c>
      <c r="L645" s="94">
        <f ca="1">INDEX(INDIRECT(CONCATENATE("Tab_",Tab_Calculs[[#This Row],[Colonne1]])),Tab_Calculs[[#This Row],[index_date_livraison]],6)*(1+MIN(Tab_Calculs[[#This Row],[Date_livraison]],Tab_Calculs[[#This Row],[fin mois]])-MAX(Tab_Calculs[[#This Row],[Début mois]],Tab_Calculs[[#This Row],[Début periode livraison]]))</f>
        <v>0</v>
      </c>
      <c r="M645" s="94" t="e">
        <f ca="1">INDEX(INDIRECT(CONCATENATE("Tab_",Tab_Calculs[[#This Row],[Colonne1]])),Tab_Calculs[[#This Row],[index_date_livraison]]+1,6)*(Tab_Calculs[[#This Row],[fin mois]]-MIN(Tab_Calculs[[#This Row],[fin mois]],Tab_Calculs[[#This Row],[Date_livraison]]))</f>
        <v>#VALUE!</v>
      </c>
      <c r="N645" s="231" t="str">
        <f ca="1">IFERROR(Tab_Calculs[[#This Row],[Ratio_jour_après_livr]]+Tab_Calculs[[#This Row],[Ratio_jour_avant_livr]]+Tab_Calculs[[#This Row],[ratio_avant_debut]],"")</f>
        <v/>
      </c>
      <c r="O645" t="e">
        <f ca="1">INDEX(INDIRECT(CONCATENATE("Tab_",Tab_Calculs[[#This Row],[Colonne1]])),Tab_Calculs[[#This Row],[index_date_livraison]]-1,7)*(MAX(Tab_Calculs[[#This Row],[Début periode livraison]],Tab_Calculs[[#This Row],[Début mois]])-Tab_Calculs[[#This Row],[Début mois]])</f>
        <v>#VALUE!</v>
      </c>
      <c r="P645">
        <f ca="1">INDEX(INDIRECT(CONCATENATE("Tab_",Tab_Calculs[[#This Row],[Colonne1]])),Tab_Calculs[[#This Row],[index_date_livraison]],7)*(1+MIN(Tab_Calculs[[#This Row],[Date_livraison]],Tab_Calculs[[#This Row],[fin mois]])-MAX(Tab_Calculs[[#This Row],[Début mois]],Tab_Calculs[[#This Row],[Début periode livraison]]))</f>
        <v>0</v>
      </c>
      <c r="Q645" t="e">
        <f ca="1">INDEX(INDIRECT(CONCATENATE("Tab_",Tab_Calculs[[#This Row],[Colonne1]])),Tab_Calculs[[#This Row],[index_date_livraison]]+1,7)*(Tab_Calculs[[#This Row],[fin mois]]-MIN(Tab_Calculs[[#This Row],[fin mois]],Tab_Calculs[[#This Row],[Date_livraison]]))</f>
        <v>#VALUE!</v>
      </c>
      <c r="R645" t="e">
        <f ca="1">Tab_Calculs[[#This Row],[Ratio_Cout_après_livr]]+Tab_Calculs[[#This Row],[Ratio_Cout_avant_livr]]+Tab_Calculs[[#This Row],[Ratio_Cout_avant_debut]]</f>
        <v>#VALUE!</v>
      </c>
      <c r="S645" t="str">
        <f ca="1">IFERROR(N645*VLOOKUP(Tab_Calculs[[#This Row],[Colonne1]],Controle_des_données!$B$7:$G$14,6,FALSE),"")</f>
        <v/>
      </c>
      <c r="T645" t="str">
        <f ca="1">IF(Tab_Calculs[[#This Row],[Combustible ]]="Electricité (kWh)",Tab_Calculs[[#This Row],[Conso_mois_kWh]]*2.3,Tab_Calculs[[#This Row],[Conso_mois_kWh]])</f>
        <v/>
      </c>
      <c r="U645" t="str">
        <f ca="1">IFERROR(N645*VLOOKUP(Tab_Calculs[[#This Row],[Colonne1]],Controle_des_données!$B$7:$H$14,7,FALSE),"")</f>
        <v/>
      </c>
      <c r="V645">
        <f ca="1">IFERROR(Tab_Calculs[[#This Row],[Cout_mois]]/Tab_Calculs[[#This Row],[Conso_mois_kWh]],0)</f>
        <v>0</v>
      </c>
      <c r="W645" t="str">
        <f>T(VLOOKUP(Tab_Calculs[[#This Row],[Compteur]],Site!$B$33:$G$40,3,FALSE))</f>
        <v/>
      </c>
      <c r="X645" t="str">
        <f>T(VLOOKUP(Tab_Calculs[[#This Row],[Compteur]],Site!$B$33:$G$40,4,FALSE))</f>
        <v/>
      </c>
      <c r="Y645" t="str">
        <f>T(VLOOKUP(Tab_Calculs[[#This Row],[Compteur]],Site!$B$33:$G$40,5,FALSE))</f>
        <v/>
      </c>
      <c r="Z645" t="str">
        <f>T(VLOOKUP(Tab_Calculs[[#This Row],[Compteur]],Site!$B$33:$G$40,6,FALSE))</f>
        <v/>
      </c>
      <c r="AA645">
        <f>IFERROR(GETPIVOTDATA("DJU(chauffagiste)",BDD_DJU!$P$13,"annee",Tab_Calculs[[#This Row],[ANNEE]],"mois_numero",Tab_Calculs[[#This Row],[MOIS]]),0)</f>
        <v>392.1</v>
      </c>
    </row>
    <row r="646" spans="1:27" x14ac:dyDescent="0.25">
      <c r="A646" s="3">
        <f>DATE(Tab_Calculs[[#This Row],[ANNEE]],Tab_Calculs[[#This Row],[MOIS]],1)</f>
        <v>42036</v>
      </c>
      <c r="B646" s="3">
        <f>EDATE(Tab_Calculs[[#This Row],[Début mois]],1)-1</f>
        <v>42063</v>
      </c>
      <c r="C646">
        <v>2</v>
      </c>
      <c r="D646">
        <f t="shared" ref="D646:D709" si="21">D634+1</f>
        <v>2015</v>
      </c>
      <c r="E646" t="s">
        <v>83</v>
      </c>
      <c r="F646" t="str">
        <f>SUBSTITUTE(Tab_Calculs[[#This Row],[Compteur]]," ","_")</f>
        <v>Compteur_4</v>
      </c>
      <c r="G646" t="str">
        <f>T(INDEX(Site!$B$33:$G$40, MATCH(Tab_Calculs[[#This Row],[Compteur]], Site!$B$33:$B$40,0),2))</f>
        <v/>
      </c>
      <c r="H646" s="3">
        <f t="array" aca="1" ref="H646" ca="1">MIN(IF(INDIRECT(CONCATENATE(Tab_Calculs[[#This Row],[Colonne1]],"!$B$2:$B$243"))&gt;=Calculs_Consos!$A646,INDIRECT(CONCATENATE(Tab_Calculs[[#This Row],[Colonne1]],"!$B$2:$B$243"))))</f>
        <v>0</v>
      </c>
      <c r="I646" s="3">
        <f ca="1">INDEX(INDIRECT(CONCATENATE("Tab_",Tab_Calculs[[#This Row],[Colonne1]])),Tab_Calculs[[#This Row],[index_date_livraison]],1)</f>
        <v>0</v>
      </c>
      <c r="J646">
        <f ca="1">MATCH(Tab_Calculs[[#This Row],[Date_livraison]],INDIRECT(CONCATENATE("Tab_",Tab_Calculs[[#This Row],[Colonne1]],"[Fin de période]")),0)</f>
        <v>1</v>
      </c>
      <c r="K646" t="e">
        <f ca="1">INDEX(INDIRECT(CONCATENATE("Tab_",Tab_Calculs[[#This Row],[Colonne1]])),Tab_Calculs[[#This Row],[index_date_livraison]]-1,6)*(MAX(Tab_Calculs[[#This Row],[Début periode livraison]],Tab_Calculs[[#This Row],[Début mois]])-Tab_Calculs[[#This Row],[Début mois]])</f>
        <v>#VALUE!</v>
      </c>
      <c r="L646" s="94">
        <f ca="1">INDEX(INDIRECT(CONCATENATE("Tab_",Tab_Calculs[[#This Row],[Colonne1]])),Tab_Calculs[[#This Row],[index_date_livraison]],6)*(1+MIN(Tab_Calculs[[#This Row],[Date_livraison]],Tab_Calculs[[#This Row],[fin mois]])-MAX(Tab_Calculs[[#This Row],[Début mois]],Tab_Calculs[[#This Row],[Début periode livraison]]))</f>
        <v>0</v>
      </c>
      <c r="M646" s="94" t="e">
        <f ca="1">INDEX(INDIRECT(CONCATENATE("Tab_",Tab_Calculs[[#This Row],[Colonne1]])),Tab_Calculs[[#This Row],[index_date_livraison]]+1,6)*(Tab_Calculs[[#This Row],[fin mois]]-MIN(Tab_Calculs[[#This Row],[fin mois]],Tab_Calculs[[#This Row],[Date_livraison]]))</f>
        <v>#VALUE!</v>
      </c>
      <c r="N646" s="231" t="str">
        <f ca="1">IFERROR(Tab_Calculs[[#This Row],[Ratio_jour_après_livr]]+Tab_Calculs[[#This Row],[Ratio_jour_avant_livr]]+Tab_Calculs[[#This Row],[ratio_avant_debut]],"")</f>
        <v/>
      </c>
      <c r="O646" t="e">
        <f ca="1">INDEX(INDIRECT(CONCATENATE("Tab_",Tab_Calculs[[#This Row],[Colonne1]])),Tab_Calculs[[#This Row],[index_date_livraison]]-1,7)*(MAX(Tab_Calculs[[#This Row],[Début periode livraison]],Tab_Calculs[[#This Row],[Début mois]])-Tab_Calculs[[#This Row],[Début mois]])</f>
        <v>#VALUE!</v>
      </c>
      <c r="P646">
        <f ca="1">INDEX(INDIRECT(CONCATENATE("Tab_",Tab_Calculs[[#This Row],[Colonne1]])),Tab_Calculs[[#This Row],[index_date_livraison]],7)*(1+MIN(Tab_Calculs[[#This Row],[Date_livraison]],Tab_Calculs[[#This Row],[fin mois]])-MAX(Tab_Calculs[[#This Row],[Début mois]],Tab_Calculs[[#This Row],[Début periode livraison]]))</f>
        <v>0</v>
      </c>
      <c r="Q646" t="e">
        <f ca="1">INDEX(INDIRECT(CONCATENATE("Tab_",Tab_Calculs[[#This Row],[Colonne1]])),Tab_Calculs[[#This Row],[index_date_livraison]]+1,7)*(Tab_Calculs[[#This Row],[fin mois]]-MIN(Tab_Calculs[[#This Row],[fin mois]],Tab_Calculs[[#This Row],[Date_livraison]]))</f>
        <v>#VALUE!</v>
      </c>
      <c r="R646" t="e">
        <f ca="1">Tab_Calculs[[#This Row],[Ratio_Cout_après_livr]]+Tab_Calculs[[#This Row],[Ratio_Cout_avant_livr]]+Tab_Calculs[[#This Row],[Ratio_Cout_avant_debut]]</f>
        <v>#VALUE!</v>
      </c>
      <c r="S646" t="str">
        <f ca="1">IFERROR(N646*VLOOKUP(Tab_Calculs[[#This Row],[Colonne1]],Controle_des_données!$B$7:$G$14,6,FALSE),"")</f>
        <v/>
      </c>
      <c r="T646" t="str">
        <f ca="1">IF(Tab_Calculs[[#This Row],[Combustible ]]="Electricité (kWh)",Tab_Calculs[[#This Row],[Conso_mois_kWh]]*2.3,Tab_Calculs[[#This Row],[Conso_mois_kWh]])</f>
        <v/>
      </c>
      <c r="U646" t="str">
        <f ca="1">IFERROR(N646*VLOOKUP(Tab_Calculs[[#This Row],[Colonne1]],Controle_des_données!$B$7:$H$14,7,FALSE),"")</f>
        <v/>
      </c>
      <c r="V646">
        <f ca="1">IFERROR(Tab_Calculs[[#This Row],[Cout_mois]]/Tab_Calculs[[#This Row],[Conso_mois_kWh]],0)</f>
        <v>0</v>
      </c>
      <c r="W646" t="str">
        <f>T(VLOOKUP(Tab_Calculs[[#This Row],[Compteur]],Site!$B$33:$G$40,3,FALSE))</f>
        <v/>
      </c>
      <c r="X646" t="str">
        <f>T(VLOOKUP(Tab_Calculs[[#This Row],[Compteur]],Site!$B$33:$G$40,4,FALSE))</f>
        <v/>
      </c>
      <c r="Y646" t="str">
        <f>T(VLOOKUP(Tab_Calculs[[#This Row],[Compteur]],Site!$B$33:$G$40,5,FALSE))</f>
        <v/>
      </c>
      <c r="Z646" t="str">
        <f>T(VLOOKUP(Tab_Calculs[[#This Row],[Compteur]],Site!$B$33:$G$40,6,FALSE))</f>
        <v/>
      </c>
      <c r="AA646">
        <f>IFERROR(GETPIVOTDATA("DJU(chauffagiste)",BDD_DJU!$P$13,"annee",Tab_Calculs[[#This Row],[ANNEE]],"mois_numero",Tab_Calculs[[#This Row],[MOIS]]),0)</f>
        <v>366.9</v>
      </c>
    </row>
    <row r="647" spans="1:27" x14ac:dyDescent="0.25">
      <c r="A647" s="3">
        <f>DATE(Tab_Calculs[[#This Row],[ANNEE]],Tab_Calculs[[#This Row],[MOIS]],1)</f>
        <v>42064</v>
      </c>
      <c r="B647" s="3">
        <f>EDATE(Tab_Calculs[[#This Row],[Début mois]],1)-1</f>
        <v>42094</v>
      </c>
      <c r="C647">
        <v>3</v>
      </c>
      <c r="D647">
        <f t="shared" si="21"/>
        <v>2015</v>
      </c>
      <c r="E647" t="s">
        <v>83</v>
      </c>
      <c r="F647" t="str">
        <f>SUBSTITUTE(Tab_Calculs[[#This Row],[Compteur]]," ","_")</f>
        <v>Compteur_4</v>
      </c>
      <c r="G647" t="str">
        <f>T(INDEX(Site!$B$33:$G$40, MATCH(Tab_Calculs[[#This Row],[Compteur]], Site!$B$33:$B$40,0),2))</f>
        <v/>
      </c>
      <c r="H647" s="3">
        <f t="array" aca="1" ref="H647" ca="1">MIN(IF(INDIRECT(CONCATENATE(Tab_Calculs[[#This Row],[Colonne1]],"!$B$2:$B$243"))&gt;=Calculs_Consos!$A647,INDIRECT(CONCATENATE(Tab_Calculs[[#This Row],[Colonne1]],"!$B$2:$B$243"))))</f>
        <v>0</v>
      </c>
      <c r="I647" s="3">
        <f ca="1">INDEX(INDIRECT(CONCATENATE("Tab_",Tab_Calculs[[#This Row],[Colonne1]])),Tab_Calculs[[#This Row],[index_date_livraison]],1)</f>
        <v>0</v>
      </c>
      <c r="J647">
        <f ca="1">MATCH(Tab_Calculs[[#This Row],[Date_livraison]],INDIRECT(CONCATENATE("Tab_",Tab_Calculs[[#This Row],[Colonne1]],"[Fin de période]")),0)</f>
        <v>1</v>
      </c>
      <c r="K647" t="e">
        <f ca="1">INDEX(INDIRECT(CONCATENATE("Tab_",Tab_Calculs[[#This Row],[Colonne1]])),Tab_Calculs[[#This Row],[index_date_livraison]]-1,6)*(MAX(Tab_Calculs[[#This Row],[Début periode livraison]],Tab_Calculs[[#This Row],[Début mois]])-Tab_Calculs[[#This Row],[Début mois]])</f>
        <v>#VALUE!</v>
      </c>
      <c r="L647" s="94">
        <f ca="1">INDEX(INDIRECT(CONCATENATE("Tab_",Tab_Calculs[[#This Row],[Colonne1]])),Tab_Calculs[[#This Row],[index_date_livraison]],6)*(1+MIN(Tab_Calculs[[#This Row],[Date_livraison]],Tab_Calculs[[#This Row],[fin mois]])-MAX(Tab_Calculs[[#This Row],[Début mois]],Tab_Calculs[[#This Row],[Début periode livraison]]))</f>
        <v>0</v>
      </c>
      <c r="M647" s="94" t="e">
        <f ca="1">INDEX(INDIRECT(CONCATENATE("Tab_",Tab_Calculs[[#This Row],[Colonne1]])),Tab_Calculs[[#This Row],[index_date_livraison]]+1,6)*(Tab_Calculs[[#This Row],[fin mois]]-MIN(Tab_Calculs[[#This Row],[fin mois]],Tab_Calculs[[#This Row],[Date_livraison]]))</f>
        <v>#VALUE!</v>
      </c>
      <c r="N647" s="231" t="str">
        <f ca="1">IFERROR(Tab_Calculs[[#This Row],[Ratio_jour_après_livr]]+Tab_Calculs[[#This Row],[Ratio_jour_avant_livr]]+Tab_Calculs[[#This Row],[ratio_avant_debut]],"")</f>
        <v/>
      </c>
      <c r="O647" t="e">
        <f ca="1">INDEX(INDIRECT(CONCATENATE("Tab_",Tab_Calculs[[#This Row],[Colonne1]])),Tab_Calculs[[#This Row],[index_date_livraison]]-1,7)*(MAX(Tab_Calculs[[#This Row],[Début periode livraison]],Tab_Calculs[[#This Row],[Début mois]])-Tab_Calculs[[#This Row],[Début mois]])</f>
        <v>#VALUE!</v>
      </c>
      <c r="P647">
        <f ca="1">INDEX(INDIRECT(CONCATENATE("Tab_",Tab_Calculs[[#This Row],[Colonne1]])),Tab_Calculs[[#This Row],[index_date_livraison]],7)*(1+MIN(Tab_Calculs[[#This Row],[Date_livraison]],Tab_Calculs[[#This Row],[fin mois]])-MAX(Tab_Calculs[[#This Row],[Début mois]],Tab_Calculs[[#This Row],[Début periode livraison]]))</f>
        <v>0</v>
      </c>
      <c r="Q647" t="e">
        <f ca="1">INDEX(INDIRECT(CONCATENATE("Tab_",Tab_Calculs[[#This Row],[Colonne1]])),Tab_Calculs[[#This Row],[index_date_livraison]]+1,7)*(Tab_Calculs[[#This Row],[fin mois]]-MIN(Tab_Calculs[[#This Row],[fin mois]],Tab_Calculs[[#This Row],[Date_livraison]]))</f>
        <v>#VALUE!</v>
      </c>
      <c r="R647" t="e">
        <f ca="1">Tab_Calculs[[#This Row],[Ratio_Cout_après_livr]]+Tab_Calculs[[#This Row],[Ratio_Cout_avant_livr]]+Tab_Calculs[[#This Row],[Ratio_Cout_avant_debut]]</f>
        <v>#VALUE!</v>
      </c>
      <c r="S647" t="str">
        <f ca="1">IFERROR(N647*VLOOKUP(Tab_Calculs[[#This Row],[Colonne1]],Controle_des_données!$B$7:$G$14,6,FALSE),"")</f>
        <v/>
      </c>
      <c r="T647" t="str">
        <f ca="1">IF(Tab_Calculs[[#This Row],[Combustible ]]="Electricité (kWh)",Tab_Calculs[[#This Row],[Conso_mois_kWh]]*2.3,Tab_Calculs[[#This Row],[Conso_mois_kWh]])</f>
        <v/>
      </c>
      <c r="U647" t="str">
        <f ca="1">IFERROR(N647*VLOOKUP(Tab_Calculs[[#This Row],[Colonne1]],Controle_des_données!$B$7:$H$14,7,FALSE),"")</f>
        <v/>
      </c>
      <c r="V647">
        <f ca="1">IFERROR(Tab_Calculs[[#This Row],[Cout_mois]]/Tab_Calculs[[#This Row],[Conso_mois_kWh]],0)</f>
        <v>0</v>
      </c>
      <c r="W647" t="str">
        <f>T(VLOOKUP(Tab_Calculs[[#This Row],[Compteur]],Site!$B$33:$G$40,3,FALSE))</f>
        <v/>
      </c>
      <c r="X647" t="str">
        <f>T(VLOOKUP(Tab_Calculs[[#This Row],[Compteur]],Site!$B$33:$G$40,4,FALSE))</f>
        <v/>
      </c>
      <c r="Y647" t="str">
        <f>T(VLOOKUP(Tab_Calculs[[#This Row],[Compteur]],Site!$B$33:$G$40,5,FALSE))</f>
        <v/>
      </c>
      <c r="Z647" t="str">
        <f>T(VLOOKUP(Tab_Calculs[[#This Row],[Compteur]],Site!$B$33:$G$40,6,FALSE))</f>
        <v/>
      </c>
      <c r="AA647">
        <f>IFERROR(GETPIVOTDATA("DJU(chauffagiste)",BDD_DJU!$P$13,"annee",Tab_Calculs[[#This Row],[ANNEE]],"mois_numero",Tab_Calculs[[#This Row],[MOIS]]),0)</f>
        <v>303.8</v>
      </c>
    </row>
    <row r="648" spans="1:27" x14ac:dyDescent="0.25">
      <c r="A648" s="3">
        <f>DATE(Tab_Calculs[[#This Row],[ANNEE]],Tab_Calculs[[#This Row],[MOIS]],1)</f>
        <v>42095</v>
      </c>
      <c r="B648" s="3">
        <f>EDATE(Tab_Calculs[[#This Row],[Début mois]],1)-1</f>
        <v>42124</v>
      </c>
      <c r="C648">
        <v>4</v>
      </c>
      <c r="D648">
        <f t="shared" si="21"/>
        <v>2015</v>
      </c>
      <c r="E648" t="s">
        <v>83</v>
      </c>
      <c r="F648" t="str">
        <f>SUBSTITUTE(Tab_Calculs[[#This Row],[Compteur]]," ","_")</f>
        <v>Compteur_4</v>
      </c>
      <c r="G648" t="str">
        <f>T(INDEX(Site!$B$33:$G$40, MATCH(Tab_Calculs[[#This Row],[Compteur]], Site!$B$33:$B$40,0),2))</f>
        <v/>
      </c>
      <c r="H648" s="3">
        <f t="array" aca="1" ref="H648" ca="1">MIN(IF(INDIRECT(CONCATENATE(Tab_Calculs[[#This Row],[Colonne1]],"!$B$2:$B$243"))&gt;=Calculs_Consos!$A648,INDIRECT(CONCATENATE(Tab_Calculs[[#This Row],[Colonne1]],"!$B$2:$B$243"))))</f>
        <v>0</v>
      </c>
      <c r="I648" s="3">
        <f ca="1">INDEX(INDIRECT(CONCATENATE("Tab_",Tab_Calculs[[#This Row],[Colonne1]])),Tab_Calculs[[#This Row],[index_date_livraison]],1)</f>
        <v>0</v>
      </c>
      <c r="J648">
        <f ca="1">MATCH(Tab_Calculs[[#This Row],[Date_livraison]],INDIRECT(CONCATENATE("Tab_",Tab_Calculs[[#This Row],[Colonne1]],"[Fin de période]")),0)</f>
        <v>1</v>
      </c>
      <c r="K648" t="e">
        <f ca="1">INDEX(INDIRECT(CONCATENATE("Tab_",Tab_Calculs[[#This Row],[Colonne1]])),Tab_Calculs[[#This Row],[index_date_livraison]]-1,6)*(MAX(Tab_Calculs[[#This Row],[Début periode livraison]],Tab_Calculs[[#This Row],[Début mois]])-Tab_Calculs[[#This Row],[Début mois]])</f>
        <v>#VALUE!</v>
      </c>
      <c r="L648" s="94">
        <f ca="1">INDEX(INDIRECT(CONCATENATE("Tab_",Tab_Calculs[[#This Row],[Colonne1]])),Tab_Calculs[[#This Row],[index_date_livraison]],6)*(1+MIN(Tab_Calculs[[#This Row],[Date_livraison]],Tab_Calculs[[#This Row],[fin mois]])-MAX(Tab_Calculs[[#This Row],[Début mois]],Tab_Calculs[[#This Row],[Début periode livraison]]))</f>
        <v>0</v>
      </c>
      <c r="M648" s="94" t="e">
        <f ca="1">INDEX(INDIRECT(CONCATENATE("Tab_",Tab_Calculs[[#This Row],[Colonne1]])),Tab_Calculs[[#This Row],[index_date_livraison]]+1,6)*(Tab_Calculs[[#This Row],[fin mois]]-MIN(Tab_Calculs[[#This Row],[fin mois]],Tab_Calculs[[#This Row],[Date_livraison]]))</f>
        <v>#VALUE!</v>
      </c>
      <c r="N648" s="231" t="str">
        <f ca="1">IFERROR(Tab_Calculs[[#This Row],[Ratio_jour_après_livr]]+Tab_Calculs[[#This Row],[Ratio_jour_avant_livr]]+Tab_Calculs[[#This Row],[ratio_avant_debut]],"")</f>
        <v/>
      </c>
      <c r="O648" t="e">
        <f ca="1">INDEX(INDIRECT(CONCATENATE("Tab_",Tab_Calculs[[#This Row],[Colonne1]])),Tab_Calculs[[#This Row],[index_date_livraison]]-1,7)*(MAX(Tab_Calculs[[#This Row],[Début periode livraison]],Tab_Calculs[[#This Row],[Début mois]])-Tab_Calculs[[#This Row],[Début mois]])</f>
        <v>#VALUE!</v>
      </c>
      <c r="P648">
        <f ca="1">INDEX(INDIRECT(CONCATENATE("Tab_",Tab_Calculs[[#This Row],[Colonne1]])),Tab_Calculs[[#This Row],[index_date_livraison]],7)*(1+MIN(Tab_Calculs[[#This Row],[Date_livraison]],Tab_Calculs[[#This Row],[fin mois]])-MAX(Tab_Calculs[[#This Row],[Début mois]],Tab_Calculs[[#This Row],[Début periode livraison]]))</f>
        <v>0</v>
      </c>
      <c r="Q648" t="e">
        <f ca="1">INDEX(INDIRECT(CONCATENATE("Tab_",Tab_Calculs[[#This Row],[Colonne1]])),Tab_Calculs[[#This Row],[index_date_livraison]]+1,7)*(Tab_Calculs[[#This Row],[fin mois]]-MIN(Tab_Calculs[[#This Row],[fin mois]],Tab_Calculs[[#This Row],[Date_livraison]]))</f>
        <v>#VALUE!</v>
      </c>
      <c r="R648" t="e">
        <f ca="1">Tab_Calculs[[#This Row],[Ratio_Cout_après_livr]]+Tab_Calculs[[#This Row],[Ratio_Cout_avant_livr]]+Tab_Calculs[[#This Row],[Ratio_Cout_avant_debut]]</f>
        <v>#VALUE!</v>
      </c>
      <c r="S648" t="str">
        <f ca="1">IFERROR(N648*VLOOKUP(Tab_Calculs[[#This Row],[Colonne1]],Controle_des_données!$B$7:$G$14,6,FALSE),"")</f>
        <v/>
      </c>
      <c r="T648" t="str">
        <f ca="1">IF(Tab_Calculs[[#This Row],[Combustible ]]="Electricité (kWh)",Tab_Calculs[[#This Row],[Conso_mois_kWh]]*2.3,Tab_Calculs[[#This Row],[Conso_mois_kWh]])</f>
        <v/>
      </c>
      <c r="U648" t="str">
        <f ca="1">IFERROR(N648*VLOOKUP(Tab_Calculs[[#This Row],[Colonne1]],Controle_des_données!$B$7:$H$14,7,FALSE),"")</f>
        <v/>
      </c>
      <c r="V648">
        <f ca="1">IFERROR(Tab_Calculs[[#This Row],[Cout_mois]]/Tab_Calculs[[#This Row],[Conso_mois_kWh]],0)</f>
        <v>0</v>
      </c>
      <c r="W648" t="str">
        <f>T(VLOOKUP(Tab_Calculs[[#This Row],[Compteur]],Site!$B$33:$G$40,3,FALSE))</f>
        <v/>
      </c>
      <c r="X648" t="str">
        <f>T(VLOOKUP(Tab_Calculs[[#This Row],[Compteur]],Site!$B$33:$G$40,4,FALSE))</f>
        <v/>
      </c>
      <c r="Y648" t="str">
        <f>T(VLOOKUP(Tab_Calculs[[#This Row],[Compteur]],Site!$B$33:$G$40,5,FALSE))</f>
        <v/>
      </c>
      <c r="Z648" t="str">
        <f>T(VLOOKUP(Tab_Calculs[[#This Row],[Compteur]],Site!$B$33:$G$40,6,FALSE))</f>
        <v/>
      </c>
      <c r="AA648">
        <f>IFERROR(GETPIVOTDATA("DJU(chauffagiste)",BDD_DJU!$P$13,"annee",Tab_Calculs[[#This Row],[ANNEE]],"mois_numero",Tab_Calculs[[#This Row],[MOIS]]),0)</f>
        <v>166.6</v>
      </c>
    </row>
    <row r="649" spans="1:27" x14ac:dyDescent="0.25">
      <c r="A649" s="3">
        <f>DATE(Tab_Calculs[[#This Row],[ANNEE]],Tab_Calculs[[#This Row],[MOIS]],1)</f>
        <v>42125</v>
      </c>
      <c r="B649" s="3">
        <f>EDATE(Tab_Calculs[[#This Row],[Début mois]],1)-1</f>
        <v>42155</v>
      </c>
      <c r="C649">
        <v>5</v>
      </c>
      <c r="D649">
        <f t="shared" si="21"/>
        <v>2015</v>
      </c>
      <c r="E649" t="s">
        <v>83</v>
      </c>
      <c r="F649" t="str">
        <f>SUBSTITUTE(Tab_Calculs[[#This Row],[Compteur]]," ","_")</f>
        <v>Compteur_4</v>
      </c>
      <c r="G649" t="str">
        <f>T(INDEX(Site!$B$33:$G$40, MATCH(Tab_Calculs[[#This Row],[Compteur]], Site!$B$33:$B$40,0),2))</f>
        <v/>
      </c>
      <c r="H649" s="3">
        <f t="array" aca="1" ref="H649" ca="1">MIN(IF(INDIRECT(CONCATENATE(Tab_Calculs[[#This Row],[Colonne1]],"!$B$2:$B$243"))&gt;=Calculs_Consos!$A649,INDIRECT(CONCATENATE(Tab_Calculs[[#This Row],[Colonne1]],"!$B$2:$B$243"))))</f>
        <v>0</v>
      </c>
      <c r="I649" s="3">
        <f ca="1">INDEX(INDIRECT(CONCATENATE("Tab_",Tab_Calculs[[#This Row],[Colonne1]])),Tab_Calculs[[#This Row],[index_date_livraison]],1)</f>
        <v>0</v>
      </c>
      <c r="J649">
        <f ca="1">MATCH(Tab_Calculs[[#This Row],[Date_livraison]],INDIRECT(CONCATENATE("Tab_",Tab_Calculs[[#This Row],[Colonne1]],"[Fin de période]")),0)</f>
        <v>1</v>
      </c>
      <c r="K649" t="e">
        <f ca="1">INDEX(INDIRECT(CONCATENATE("Tab_",Tab_Calculs[[#This Row],[Colonne1]])),Tab_Calculs[[#This Row],[index_date_livraison]]-1,6)*(MAX(Tab_Calculs[[#This Row],[Début periode livraison]],Tab_Calculs[[#This Row],[Début mois]])-Tab_Calculs[[#This Row],[Début mois]])</f>
        <v>#VALUE!</v>
      </c>
      <c r="L649" s="94">
        <f ca="1">INDEX(INDIRECT(CONCATENATE("Tab_",Tab_Calculs[[#This Row],[Colonne1]])),Tab_Calculs[[#This Row],[index_date_livraison]],6)*(1+MIN(Tab_Calculs[[#This Row],[Date_livraison]],Tab_Calculs[[#This Row],[fin mois]])-MAX(Tab_Calculs[[#This Row],[Début mois]],Tab_Calculs[[#This Row],[Début periode livraison]]))</f>
        <v>0</v>
      </c>
      <c r="M649" s="94" t="e">
        <f ca="1">INDEX(INDIRECT(CONCATENATE("Tab_",Tab_Calculs[[#This Row],[Colonne1]])),Tab_Calculs[[#This Row],[index_date_livraison]]+1,6)*(Tab_Calculs[[#This Row],[fin mois]]-MIN(Tab_Calculs[[#This Row],[fin mois]],Tab_Calculs[[#This Row],[Date_livraison]]))</f>
        <v>#VALUE!</v>
      </c>
      <c r="N649" s="231" t="str">
        <f ca="1">IFERROR(Tab_Calculs[[#This Row],[Ratio_jour_après_livr]]+Tab_Calculs[[#This Row],[Ratio_jour_avant_livr]]+Tab_Calculs[[#This Row],[ratio_avant_debut]],"")</f>
        <v/>
      </c>
      <c r="O649" t="e">
        <f ca="1">INDEX(INDIRECT(CONCATENATE("Tab_",Tab_Calculs[[#This Row],[Colonne1]])),Tab_Calculs[[#This Row],[index_date_livraison]]-1,7)*(MAX(Tab_Calculs[[#This Row],[Début periode livraison]],Tab_Calculs[[#This Row],[Début mois]])-Tab_Calculs[[#This Row],[Début mois]])</f>
        <v>#VALUE!</v>
      </c>
      <c r="P649">
        <f ca="1">INDEX(INDIRECT(CONCATENATE("Tab_",Tab_Calculs[[#This Row],[Colonne1]])),Tab_Calculs[[#This Row],[index_date_livraison]],7)*(1+MIN(Tab_Calculs[[#This Row],[Date_livraison]],Tab_Calculs[[#This Row],[fin mois]])-MAX(Tab_Calculs[[#This Row],[Début mois]],Tab_Calculs[[#This Row],[Début periode livraison]]))</f>
        <v>0</v>
      </c>
      <c r="Q649" t="e">
        <f ca="1">INDEX(INDIRECT(CONCATENATE("Tab_",Tab_Calculs[[#This Row],[Colonne1]])),Tab_Calculs[[#This Row],[index_date_livraison]]+1,7)*(Tab_Calculs[[#This Row],[fin mois]]-MIN(Tab_Calculs[[#This Row],[fin mois]],Tab_Calculs[[#This Row],[Date_livraison]]))</f>
        <v>#VALUE!</v>
      </c>
      <c r="R649" t="e">
        <f ca="1">Tab_Calculs[[#This Row],[Ratio_Cout_après_livr]]+Tab_Calculs[[#This Row],[Ratio_Cout_avant_livr]]+Tab_Calculs[[#This Row],[Ratio_Cout_avant_debut]]</f>
        <v>#VALUE!</v>
      </c>
      <c r="S649" t="str">
        <f ca="1">IFERROR(N649*VLOOKUP(Tab_Calculs[[#This Row],[Colonne1]],Controle_des_données!$B$7:$G$14,6,FALSE),"")</f>
        <v/>
      </c>
      <c r="T649" t="str">
        <f ca="1">IF(Tab_Calculs[[#This Row],[Combustible ]]="Electricité (kWh)",Tab_Calculs[[#This Row],[Conso_mois_kWh]]*2.3,Tab_Calculs[[#This Row],[Conso_mois_kWh]])</f>
        <v/>
      </c>
      <c r="U649" t="str">
        <f ca="1">IFERROR(N649*VLOOKUP(Tab_Calculs[[#This Row],[Colonne1]],Controle_des_données!$B$7:$H$14,7,FALSE),"")</f>
        <v/>
      </c>
      <c r="V649">
        <f ca="1">IFERROR(Tab_Calculs[[#This Row],[Cout_mois]]/Tab_Calculs[[#This Row],[Conso_mois_kWh]],0)</f>
        <v>0</v>
      </c>
      <c r="W649" t="str">
        <f>T(VLOOKUP(Tab_Calculs[[#This Row],[Compteur]],Site!$B$33:$G$40,3,FALSE))</f>
        <v/>
      </c>
      <c r="X649" t="str">
        <f>T(VLOOKUP(Tab_Calculs[[#This Row],[Compteur]],Site!$B$33:$G$40,4,FALSE))</f>
        <v/>
      </c>
      <c r="Y649" t="str">
        <f>T(VLOOKUP(Tab_Calculs[[#This Row],[Compteur]],Site!$B$33:$G$40,5,FALSE))</f>
        <v/>
      </c>
      <c r="Z649" t="str">
        <f>T(VLOOKUP(Tab_Calculs[[#This Row],[Compteur]],Site!$B$33:$G$40,6,FALSE))</f>
        <v/>
      </c>
      <c r="AA649">
        <f>IFERROR(GETPIVOTDATA("DJU(chauffagiste)",BDD_DJU!$P$13,"annee",Tab_Calculs[[#This Row],[ANNEE]],"mois_numero",Tab_Calculs[[#This Row],[MOIS]]),0)</f>
        <v>119.9</v>
      </c>
    </row>
    <row r="650" spans="1:27" x14ac:dyDescent="0.25">
      <c r="A650" s="3">
        <f>DATE(Tab_Calculs[[#This Row],[ANNEE]],Tab_Calculs[[#This Row],[MOIS]],1)</f>
        <v>42156</v>
      </c>
      <c r="B650" s="3">
        <f>EDATE(Tab_Calculs[[#This Row],[Début mois]],1)-1</f>
        <v>42185</v>
      </c>
      <c r="C650">
        <v>6</v>
      </c>
      <c r="D650">
        <f t="shared" si="21"/>
        <v>2015</v>
      </c>
      <c r="E650" t="s">
        <v>83</v>
      </c>
      <c r="F650" t="str">
        <f>SUBSTITUTE(Tab_Calculs[[#This Row],[Compteur]]," ","_")</f>
        <v>Compteur_4</v>
      </c>
      <c r="G650" t="str">
        <f>T(INDEX(Site!$B$33:$G$40, MATCH(Tab_Calculs[[#This Row],[Compteur]], Site!$B$33:$B$40,0),2))</f>
        <v/>
      </c>
      <c r="H650" s="3">
        <f t="array" aca="1" ref="H650" ca="1">MIN(IF(INDIRECT(CONCATENATE(Tab_Calculs[[#This Row],[Colonne1]],"!$B$2:$B$243"))&gt;=Calculs_Consos!$A650,INDIRECT(CONCATENATE(Tab_Calculs[[#This Row],[Colonne1]],"!$B$2:$B$243"))))</f>
        <v>0</v>
      </c>
      <c r="I650" s="3">
        <f ca="1">INDEX(INDIRECT(CONCATENATE("Tab_",Tab_Calculs[[#This Row],[Colonne1]])),Tab_Calculs[[#This Row],[index_date_livraison]],1)</f>
        <v>0</v>
      </c>
      <c r="J650">
        <f ca="1">MATCH(Tab_Calculs[[#This Row],[Date_livraison]],INDIRECT(CONCATENATE("Tab_",Tab_Calculs[[#This Row],[Colonne1]],"[Fin de période]")),0)</f>
        <v>1</v>
      </c>
      <c r="K650" t="e">
        <f ca="1">INDEX(INDIRECT(CONCATENATE("Tab_",Tab_Calculs[[#This Row],[Colonne1]])),Tab_Calculs[[#This Row],[index_date_livraison]]-1,6)*(MAX(Tab_Calculs[[#This Row],[Début periode livraison]],Tab_Calculs[[#This Row],[Début mois]])-Tab_Calculs[[#This Row],[Début mois]])</f>
        <v>#VALUE!</v>
      </c>
      <c r="L650" s="94">
        <f ca="1">INDEX(INDIRECT(CONCATENATE("Tab_",Tab_Calculs[[#This Row],[Colonne1]])),Tab_Calculs[[#This Row],[index_date_livraison]],6)*(1+MIN(Tab_Calculs[[#This Row],[Date_livraison]],Tab_Calculs[[#This Row],[fin mois]])-MAX(Tab_Calculs[[#This Row],[Début mois]],Tab_Calculs[[#This Row],[Début periode livraison]]))</f>
        <v>0</v>
      </c>
      <c r="M650" s="94" t="e">
        <f ca="1">INDEX(INDIRECT(CONCATENATE("Tab_",Tab_Calculs[[#This Row],[Colonne1]])),Tab_Calculs[[#This Row],[index_date_livraison]]+1,6)*(Tab_Calculs[[#This Row],[fin mois]]-MIN(Tab_Calculs[[#This Row],[fin mois]],Tab_Calculs[[#This Row],[Date_livraison]]))</f>
        <v>#VALUE!</v>
      </c>
      <c r="N650" s="231" t="str">
        <f ca="1">IFERROR(Tab_Calculs[[#This Row],[Ratio_jour_après_livr]]+Tab_Calculs[[#This Row],[Ratio_jour_avant_livr]]+Tab_Calculs[[#This Row],[ratio_avant_debut]],"")</f>
        <v/>
      </c>
      <c r="O650" t="e">
        <f ca="1">INDEX(INDIRECT(CONCATENATE("Tab_",Tab_Calculs[[#This Row],[Colonne1]])),Tab_Calculs[[#This Row],[index_date_livraison]]-1,7)*(MAX(Tab_Calculs[[#This Row],[Début periode livraison]],Tab_Calculs[[#This Row],[Début mois]])-Tab_Calculs[[#This Row],[Début mois]])</f>
        <v>#VALUE!</v>
      </c>
      <c r="P650">
        <f ca="1">INDEX(INDIRECT(CONCATENATE("Tab_",Tab_Calculs[[#This Row],[Colonne1]])),Tab_Calculs[[#This Row],[index_date_livraison]],7)*(1+MIN(Tab_Calculs[[#This Row],[Date_livraison]],Tab_Calculs[[#This Row],[fin mois]])-MAX(Tab_Calculs[[#This Row],[Début mois]],Tab_Calculs[[#This Row],[Début periode livraison]]))</f>
        <v>0</v>
      </c>
      <c r="Q650" t="e">
        <f ca="1">INDEX(INDIRECT(CONCATENATE("Tab_",Tab_Calculs[[#This Row],[Colonne1]])),Tab_Calculs[[#This Row],[index_date_livraison]]+1,7)*(Tab_Calculs[[#This Row],[fin mois]]-MIN(Tab_Calculs[[#This Row],[fin mois]],Tab_Calculs[[#This Row],[Date_livraison]]))</f>
        <v>#VALUE!</v>
      </c>
      <c r="R650" t="e">
        <f ca="1">Tab_Calculs[[#This Row],[Ratio_Cout_après_livr]]+Tab_Calculs[[#This Row],[Ratio_Cout_avant_livr]]+Tab_Calculs[[#This Row],[Ratio_Cout_avant_debut]]</f>
        <v>#VALUE!</v>
      </c>
      <c r="S650" t="str">
        <f ca="1">IFERROR(N650*VLOOKUP(Tab_Calculs[[#This Row],[Colonne1]],Controle_des_données!$B$7:$G$14,6,FALSE),"")</f>
        <v/>
      </c>
      <c r="T650" t="str">
        <f ca="1">IF(Tab_Calculs[[#This Row],[Combustible ]]="Electricité (kWh)",Tab_Calculs[[#This Row],[Conso_mois_kWh]]*2.3,Tab_Calculs[[#This Row],[Conso_mois_kWh]])</f>
        <v/>
      </c>
      <c r="U650" t="str">
        <f ca="1">IFERROR(N650*VLOOKUP(Tab_Calculs[[#This Row],[Colonne1]],Controle_des_données!$B$7:$H$14,7,FALSE),"")</f>
        <v/>
      </c>
      <c r="V650">
        <f ca="1">IFERROR(Tab_Calculs[[#This Row],[Cout_mois]]/Tab_Calculs[[#This Row],[Conso_mois_kWh]],0)</f>
        <v>0</v>
      </c>
      <c r="W650" t="str">
        <f>T(VLOOKUP(Tab_Calculs[[#This Row],[Compteur]],Site!$B$33:$G$40,3,FALSE))</f>
        <v/>
      </c>
      <c r="X650" t="str">
        <f>T(VLOOKUP(Tab_Calculs[[#This Row],[Compteur]],Site!$B$33:$G$40,4,FALSE))</f>
        <v/>
      </c>
      <c r="Y650" t="str">
        <f>T(VLOOKUP(Tab_Calculs[[#This Row],[Compteur]],Site!$B$33:$G$40,5,FALSE))</f>
        <v/>
      </c>
      <c r="Z650" t="str">
        <f>T(VLOOKUP(Tab_Calculs[[#This Row],[Compteur]],Site!$B$33:$G$40,6,FALSE))</f>
        <v/>
      </c>
      <c r="AA650">
        <f>IFERROR(GETPIVOTDATA("DJU(chauffagiste)",BDD_DJU!$P$13,"annee",Tab_Calculs[[#This Row],[ANNEE]],"mois_numero",Tab_Calculs[[#This Row],[MOIS]]),0)</f>
        <v>51.8</v>
      </c>
    </row>
    <row r="651" spans="1:27" x14ac:dyDescent="0.25">
      <c r="A651" s="3">
        <f>DATE(Tab_Calculs[[#This Row],[ANNEE]],Tab_Calculs[[#This Row],[MOIS]],1)</f>
        <v>42186</v>
      </c>
      <c r="B651" s="3">
        <f>EDATE(Tab_Calculs[[#This Row],[Début mois]],1)-1</f>
        <v>42216</v>
      </c>
      <c r="C651">
        <v>7</v>
      </c>
      <c r="D651">
        <f t="shared" si="21"/>
        <v>2015</v>
      </c>
      <c r="E651" t="s">
        <v>83</v>
      </c>
      <c r="F651" t="str">
        <f>SUBSTITUTE(Tab_Calculs[[#This Row],[Compteur]]," ","_")</f>
        <v>Compteur_4</v>
      </c>
      <c r="G651" t="str">
        <f>T(INDEX(Site!$B$33:$G$40, MATCH(Tab_Calculs[[#This Row],[Compteur]], Site!$B$33:$B$40,0),2))</f>
        <v/>
      </c>
      <c r="H651" s="3">
        <f t="array" aca="1" ref="H651" ca="1">MIN(IF(INDIRECT(CONCATENATE(Tab_Calculs[[#This Row],[Colonne1]],"!$B$2:$B$243"))&gt;=Calculs_Consos!$A651,INDIRECT(CONCATENATE(Tab_Calculs[[#This Row],[Colonne1]],"!$B$2:$B$243"))))</f>
        <v>0</v>
      </c>
      <c r="I651" s="3">
        <f ca="1">INDEX(INDIRECT(CONCATENATE("Tab_",Tab_Calculs[[#This Row],[Colonne1]])),Tab_Calculs[[#This Row],[index_date_livraison]],1)</f>
        <v>0</v>
      </c>
      <c r="J651">
        <f ca="1">MATCH(Tab_Calculs[[#This Row],[Date_livraison]],INDIRECT(CONCATENATE("Tab_",Tab_Calculs[[#This Row],[Colonne1]],"[Fin de période]")),0)</f>
        <v>1</v>
      </c>
      <c r="K651" t="e">
        <f ca="1">INDEX(INDIRECT(CONCATENATE("Tab_",Tab_Calculs[[#This Row],[Colonne1]])),Tab_Calculs[[#This Row],[index_date_livraison]]-1,6)*(MAX(Tab_Calculs[[#This Row],[Début periode livraison]],Tab_Calculs[[#This Row],[Début mois]])-Tab_Calculs[[#This Row],[Début mois]])</f>
        <v>#VALUE!</v>
      </c>
      <c r="L651" s="94">
        <f ca="1">INDEX(INDIRECT(CONCATENATE("Tab_",Tab_Calculs[[#This Row],[Colonne1]])),Tab_Calculs[[#This Row],[index_date_livraison]],6)*(1+MIN(Tab_Calculs[[#This Row],[Date_livraison]],Tab_Calculs[[#This Row],[fin mois]])-MAX(Tab_Calculs[[#This Row],[Début mois]],Tab_Calculs[[#This Row],[Début periode livraison]]))</f>
        <v>0</v>
      </c>
      <c r="M651" s="94" t="e">
        <f ca="1">INDEX(INDIRECT(CONCATENATE("Tab_",Tab_Calculs[[#This Row],[Colonne1]])),Tab_Calculs[[#This Row],[index_date_livraison]]+1,6)*(Tab_Calculs[[#This Row],[fin mois]]-MIN(Tab_Calculs[[#This Row],[fin mois]],Tab_Calculs[[#This Row],[Date_livraison]]))</f>
        <v>#VALUE!</v>
      </c>
      <c r="N651" s="231" t="str">
        <f ca="1">IFERROR(Tab_Calculs[[#This Row],[Ratio_jour_après_livr]]+Tab_Calculs[[#This Row],[Ratio_jour_avant_livr]]+Tab_Calculs[[#This Row],[ratio_avant_debut]],"")</f>
        <v/>
      </c>
      <c r="O651" t="e">
        <f ca="1">INDEX(INDIRECT(CONCATENATE("Tab_",Tab_Calculs[[#This Row],[Colonne1]])),Tab_Calculs[[#This Row],[index_date_livraison]]-1,7)*(MAX(Tab_Calculs[[#This Row],[Début periode livraison]],Tab_Calculs[[#This Row],[Début mois]])-Tab_Calculs[[#This Row],[Début mois]])</f>
        <v>#VALUE!</v>
      </c>
      <c r="P651">
        <f ca="1">INDEX(INDIRECT(CONCATENATE("Tab_",Tab_Calculs[[#This Row],[Colonne1]])),Tab_Calculs[[#This Row],[index_date_livraison]],7)*(1+MIN(Tab_Calculs[[#This Row],[Date_livraison]],Tab_Calculs[[#This Row],[fin mois]])-MAX(Tab_Calculs[[#This Row],[Début mois]],Tab_Calculs[[#This Row],[Début periode livraison]]))</f>
        <v>0</v>
      </c>
      <c r="Q651" t="e">
        <f ca="1">INDEX(INDIRECT(CONCATENATE("Tab_",Tab_Calculs[[#This Row],[Colonne1]])),Tab_Calculs[[#This Row],[index_date_livraison]]+1,7)*(Tab_Calculs[[#This Row],[fin mois]]-MIN(Tab_Calculs[[#This Row],[fin mois]],Tab_Calculs[[#This Row],[Date_livraison]]))</f>
        <v>#VALUE!</v>
      </c>
      <c r="R651" t="e">
        <f ca="1">Tab_Calculs[[#This Row],[Ratio_Cout_après_livr]]+Tab_Calculs[[#This Row],[Ratio_Cout_avant_livr]]+Tab_Calculs[[#This Row],[Ratio_Cout_avant_debut]]</f>
        <v>#VALUE!</v>
      </c>
      <c r="S651" t="str">
        <f ca="1">IFERROR(N651*VLOOKUP(Tab_Calculs[[#This Row],[Colonne1]],Controle_des_données!$B$7:$G$14,6,FALSE),"")</f>
        <v/>
      </c>
      <c r="T651" t="str">
        <f ca="1">IF(Tab_Calculs[[#This Row],[Combustible ]]="Electricité (kWh)",Tab_Calculs[[#This Row],[Conso_mois_kWh]]*2.3,Tab_Calculs[[#This Row],[Conso_mois_kWh]])</f>
        <v/>
      </c>
      <c r="U651" t="str">
        <f ca="1">IFERROR(N651*VLOOKUP(Tab_Calculs[[#This Row],[Colonne1]],Controle_des_données!$B$7:$H$14,7,FALSE),"")</f>
        <v/>
      </c>
      <c r="V651">
        <f ca="1">IFERROR(Tab_Calculs[[#This Row],[Cout_mois]]/Tab_Calculs[[#This Row],[Conso_mois_kWh]],0)</f>
        <v>0</v>
      </c>
      <c r="W651" t="str">
        <f>T(VLOOKUP(Tab_Calculs[[#This Row],[Compteur]],Site!$B$33:$G$40,3,FALSE))</f>
        <v/>
      </c>
      <c r="X651" t="str">
        <f>T(VLOOKUP(Tab_Calculs[[#This Row],[Compteur]],Site!$B$33:$G$40,4,FALSE))</f>
        <v/>
      </c>
      <c r="Y651" t="str">
        <f>T(VLOOKUP(Tab_Calculs[[#This Row],[Compteur]],Site!$B$33:$G$40,5,FALSE))</f>
        <v/>
      </c>
      <c r="Z651" t="str">
        <f>T(VLOOKUP(Tab_Calculs[[#This Row],[Compteur]],Site!$B$33:$G$40,6,FALSE))</f>
        <v/>
      </c>
      <c r="AA651">
        <f>IFERROR(GETPIVOTDATA("DJU(chauffagiste)",BDD_DJU!$P$13,"annee",Tab_Calculs[[#This Row],[ANNEE]],"mois_numero",Tab_Calculs[[#This Row],[MOIS]]),0)</f>
        <v>29</v>
      </c>
    </row>
    <row r="652" spans="1:27" x14ac:dyDescent="0.25">
      <c r="A652" s="3">
        <f>DATE(Tab_Calculs[[#This Row],[ANNEE]],Tab_Calculs[[#This Row],[MOIS]],1)</f>
        <v>42217</v>
      </c>
      <c r="B652" s="3">
        <f>EDATE(Tab_Calculs[[#This Row],[Début mois]],1)-1</f>
        <v>42247</v>
      </c>
      <c r="C652">
        <v>8</v>
      </c>
      <c r="D652">
        <f t="shared" si="21"/>
        <v>2015</v>
      </c>
      <c r="E652" t="s">
        <v>83</v>
      </c>
      <c r="F652" t="str">
        <f>SUBSTITUTE(Tab_Calculs[[#This Row],[Compteur]]," ","_")</f>
        <v>Compteur_4</v>
      </c>
      <c r="G652" t="str">
        <f>T(INDEX(Site!$B$33:$G$40, MATCH(Tab_Calculs[[#This Row],[Compteur]], Site!$B$33:$B$40,0),2))</f>
        <v/>
      </c>
      <c r="H652" s="3">
        <f t="array" aca="1" ref="H652" ca="1">MIN(IF(INDIRECT(CONCATENATE(Tab_Calculs[[#This Row],[Colonne1]],"!$B$2:$B$243"))&gt;=Calculs_Consos!$A652,INDIRECT(CONCATENATE(Tab_Calculs[[#This Row],[Colonne1]],"!$B$2:$B$243"))))</f>
        <v>0</v>
      </c>
      <c r="I652" s="3">
        <f ca="1">INDEX(INDIRECT(CONCATENATE("Tab_",Tab_Calculs[[#This Row],[Colonne1]])),Tab_Calculs[[#This Row],[index_date_livraison]],1)</f>
        <v>0</v>
      </c>
      <c r="J652">
        <f ca="1">MATCH(Tab_Calculs[[#This Row],[Date_livraison]],INDIRECT(CONCATENATE("Tab_",Tab_Calculs[[#This Row],[Colonne1]],"[Fin de période]")),0)</f>
        <v>1</v>
      </c>
      <c r="K652" t="e">
        <f ca="1">INDEX(INDIRECT(CONCATENATE("Tab_",Tab_Calculs[[#This Row],[Colonne1]])),Tab_Calculs[[#This Row],[index_date_livraison]]-1,6)*(MAX(Tab_Calculs[[#This Row],[Début periode livraison]],Tab_Calculs[[#This Row],[Début mois]])-Tab_Calculs[[#This Row],[Début mois]])</f>
        <v>#VALUE!</v>
      </c>
      <c r="L652" s="94">
        <f ca="1">INDEX(INDIRECT(CONCATENATE("Tab_",Tab_Calculs[[#This Row],[Colonne1]])),Tab_Calculs[[#This Row],[index_date_livraison]],6)*(1+MIN(Tab_Calculs[[#This Row],[Date_livraison]],Tab_Calculs[[#This Row],[fin mois]])-MAX(Tab_Calculs[[#This Row],[Début mois]],Tab_Calculs[[#This Row],[Début periode livraison]]))</f>
        <v>0</v>
      </c>
      <c r="M652" s="94" t="e">
        <f ca="1">INDEX(INDIRECT(CONCATENATE("Tab_",Tab_Calculs[[#This Row],[Colonne1]])),Tab_Calculs[[#This Row],[index_date_livraison]]+1,6)*(Tab_Calculs[[#This Row],[fin mois]]-MIN(Tab_Calculs[[#This Row],[fin mois]],Tab_Calculs[[#This Row],[Date_livraison]]))</f>
        <v>#VALUE!</v>
      </c>
      <c r="N652" s="231" t="str">
        <f ca="1">IFERROR(Tab_Calculs[[#This Row],[Ratio_jour_après_livr]]+Tab_Calculs[[#This Row],[Ratio_jour_avant_livr]]+Tab_Calculs[[#This Row],[ratio_avant_debut]],"")</f>
        <v/>
      </c>
      <c r="O652" t="e">
        <f ca="1">INDEX(INDIRECT(CONCATENATE("Tab_",Tab_Calculs[[#This Row],[Colonne1]])),Tab_Calculs[[#This Row],[index_date_livraison]]-1,7)*(MAX(Tab_Calculs[[#This Row],[Début periode livraison]],Tab_Calculs[[#This Row],[Début mois]])-Tab_Calculs[[#This Row],[Début mois]])</f>
        <v>#VALUE!</v>
      </c>
      <c r="P652">
        <f ca="1">INDEX(INDIRECT(CONCATENATE("Tab_",Tab_Calculs[[#This Row],[Colonne1]])),Tab_Calculs[[#This Row],[index_date_livraison]],7)*(1+MIN(Tab_Calculs[[#This Row],[Date_livraison]],Tab_Calculs[[#This Row],[fin mois]])-MAX(Tab_Calculs[[#This Row],[Début mois]],Tab_Calculs[[#This Row],[Début periode livraison]]))</f>
        <v>0</v>
      </c>
      <c r="Q652" t="e">
        <f ca="1">INDEX(INDIRECT(CONCATENATE("Tab_",Tab_Calculs[[#This Row],[Colonne1]])),Tab_Calculs[[#This Row],[index_date_livraison]]+1,7)*(Tab_Calculs[[#This Row],[fin mois]]-MIN(Tab_Calculs[[#This Row],[fin mois]],Tab_Calculs[[#This Row],[Date_livraison]]))</f>
        <v>#VALUE!</v>
      </c>
      <c r="R652" t="e">
        <f ca="1">Tab_Calculs[[#This Row],[Ratio_Cout_après_livr]]+Tab_Calculs[[#This Row],[Ratio_Cout_avant_livr]]+Tab_Calculs[[#This Row],[Ratio_Cout_avant_debut]]</f>
        <v>#VALUE!</v>
      </c>
      <c r="S652" t="str">
        <f ca="1">IFERROR(N652*VLOOKUP(Tab_Calculs[[#This Row],[Colonne1]],Controle_des_données!$B$7:$G$14,6,FALSE),"")</f>
        <v/>
      </c>
      <c r="T652" t="str">
        <f ca="1">IF(Tab_Calculs[[#This Row],[Combustible ]]="Electricité (kWh)",Tab_Calculs[[#This Row],[Conso_mois_kWh]]*2.3,Tab_Calculs[[#This Row],[Conso_mois_kWh]])</f>
        <v/>
      </c>
      <c r="U652" t="str">
        <f ca="1">IFERROR(N652*VLOOKUP(Tab_Calculs[[#This Row],[Colonne1]],Controle_des_données!$B$7:$H$14,7,FALSE),"")</f>
        <v/>
      </c>
      <c r="V652">
        <f ca="1">IFERROR(Tab_Calculs[[#This Row],[Cout_mois]]/Tab_Calculs[[#This Row],[Conso_mois_kWh]],0)</f>
        <v>0</v>
      </c>
      <c r="W652" t="str">
        <f>T(VLOOKUP(Tab_Calculs[[#This Row],[Compteur]],Site!$B$33:$G$40,3,FALSE))</f>
        <v/>
      </c>
      <c r="X652" t="str">
        <f>T(VLOOKUP(Tab_Calculs[[#This Row],[Compteur]],Site!$B$33:$G$40,4,FALSE))</f>
        <v/>
      </c>
      <c r="Y652" t="str">
        <f>T(VLOOKUP(Tab_Calculs[[#This Row],[Compteur]],Site!$B$33:$G$40,5,FALSE))</f>
        <v/>
      </c>
      <c r="Z652" t="str">
        <f>T(VLOOKUP(Tab_Calculs[[#This Row],[Compteur]],Site!$B$33:$G$40,6,FALSE))</f>
        <v/>
      </c>
      <c r="AA652">
        <f>IFERROR(GETPIVOTDATA("DJU(chauffagiste)",BDD_DJU!$P$13,"annee",Tab_Calculs[[#This Row],[ANNEE]],"mois_numero",Tab_Calculs[[#This Row],[MOIS]]),0)</f>
        <v>32</v>
      </c>
    </row>
    <row r="653" spans="1:27" x14ac:dyDescent="0.25">
      <c r="A653" s="3">
        <f>DATE(Tab_Calculs[[#This Row],[ANNEE]],Tab_Calculs[[#This Row],[MOIS]],1)</f>
        <v>42248</v>
      </c>
      <c r="B653" s="3">
        <f>EDATE(Tab_Calculs[[#This Row],[Début mois]],1)-1</f>
        <v>42277</v>
      </c>
      <c r="C653">
        <v>9</v>
      </c>
      <c r="D653">
        <f t="shared" si="21"/>
        <v>2015</v>
      </c>
      <c r="E653" t="s">
        <v>83</v>
      </c>
      <c r="F653" t="str">
        <f>SUBSTITUTE(Tab_Calculs[[#This Row],[Compteur]]," ","_")</f>
        <v>Compteur_4</v>
      </c>
      <c r="G653" t="str">
        <f>T(INDEX(Site!$B$33:$G$40, MATCH(Tab_Calculs[[#This Row],[Compteur]], Site!$B$33:$B$40,0),2))</f>
        <v/>
      </c>
      <c r="H653" s="3">
        <f t="array" aca="1" ref="H653" ca="1">MIN(IF(INDIRECT(CONCATENATE(Tab_Calculs[[#This Row],[Colonne1]],"!$B$2:$B$243"))&gt;=Calculs_Consos!$A653,INDIRECT(CONCATENATE(Tab_Calculs[[#This Row],[Colonne1]],"!$B$2:$B$243"))))</f>
        <v>0</v>
      </c>
      <c r="I653" s="3">
        <f ca="1">INDEX(INDIRECT(CONCATENATE("Tab_",Tab_Calculs[[#This Row],[Colonne1]])),Tab_Calculs[[#This Row],[index_date_livraison]],1)</f>
        <v>0</v>
      </c>
      <c r="J653">
        <f ca="1">MATCH(Tab_Calculs[[#This Row],[Date_livraison]],INDIRECT(CONCATENATE("Tab_",Tab_Calculs[[#This Row],[Colonne1]],"[Fin de période]")),0)</f>
        <v>1</v>
      </c>
      <c r="K653" t="e">
        <f ca="1">INDEX(INDIRECT(CONCATENATE("Tab_",Tab_Calculs[[#This Row],[Colonne1]])),Tab_Calculs[[#This Row],[index_date_livraison]]-1,6)*(MAX(Tab_Calculs[[#This Row],[Début periode livraison]],Tab_Calculs[[#This Row],[Début mois]])-Tab_Calculs[[#This Row],[Début mois]])</f>
        <v>#VALUE!</v>
      </c>
      <c r="L653" s="94">
        <f ca="1">INDEX(INDIRECT(CONCATENATE("Tab_",Tab_Calculs[[#This Row],[Colonne1]])),Tab_Calculs[[#This Row],[index_date_livraison]],6)*(1+MIN(Tab_Calculs[[#This Row],[Date_livraison]],Tab_Calculs[[#This Row],[fin mois]])-MAX(Tab_Calculs[[#This Row],[Début mois]],Tab_Calculs[[#This Row],[Début periode livraison]]))</f>
        <v>0</v>
      </c>
      <c r="M653" s="94" t="e">
        <f ca="1">INDEX(INDIRECT(CONCATENATE("Tab_",Tab_Calculs[[#This Row],[Colonne1]])),Tab_Calculs[[#This Row],[index_date_livraison]]+1,6)*(Tab_Calculs[[#This Row],[fin mois]]-MIN(Tab_Calculs[[#This Row],[fin mois]],Tab_Calculs[[#This Row],[Date_livraison]]))</f>
        <v>#VALUE!</v>
      </c>
      <c r="N653" s="231" t="str">
        <f ca="1">IFERROR(Tab_Calculs[[#This Row],[Ratio_jour_après_livr]]+Tab_Calculs[[#This Row],[Ratio_jour_avant_livr]]+Tab_Calculs[[#This Row],[ratio_avant_debut]],"")</f>
        <v/>
      </c>
      <c r="O653" t="e">
        <f ca="1">INDEX(INDIRECT(CONCATENATE("Tab_",Tab_Calculs[[#This Row],[Colonne1]])),Tab_Calculs[[#This Row],[index_date_livraison]]-1,7)*(MAX(Tab_Calculs[[#This Row],[Début periode livraison]],Tab_Calculs[[#This Row],[Début mois]])-Tab_Calculs[[#This Row],[Début mois]])</f>
        <v>#VALUE!</v>
      </c>
      <c r="P653">
        <f ca="1">INDEX(INDIRECT(CONCATENATE("Tab_",Tab_Calculs[[#This Row],[Colonne1]])),Tab_Calculs[[#This Row],[index_date_livraison]],7)*(1+MIN(Tab_Calculs[[#This Row],[Date_livraison]],Tab_Calculs[[#This Row],[fin mois]])-MAX(Tab_Calculs[[#This Row],[Début mois]],Tab_Calculs[[#This Row],[Début periode livraison]]))</f>
        <v>0</v>
      </c>
      <c r="Q653" t="e">
        <f ca="1">INDEX(INDIRECT(CONCATENATE("Tab_",Tab_Calculs[[#This Row],[Colonne1]])),Tab_Calculs[[#This Row],[index_date_livraison]]+1,7)*(Tab_Calculs[[#This Row],[fin mois]]-MIN(Tab_Calculs[[#This Row],[fin mois]],Tab_Calculs[[#This Row],[Date_livraison]]))</f>
        <v>#VALUE!</v>
      </c>
      <c r="R653" t="e">
        <f ca="1">Tab_Calculs[[#This Row],[Ratio_Cout_après_livr]]+Tab_Calculs[[#This Row],[Ratio_Cout_avant_livr]]+Tab_Calculs[[#This Row],[Ratio_Cout_avant_debut]]</f>
        <v>#VALUE!</v>
      </c>
      <c r="S653" t="str">
        <f ca="1">IFERROR(N653*VLOOKUP(Tab_Calculs[[#This Row],[Colonne1]],Controle_des_données!$B$7:$G$14,6,FALSE),"")</f>
        <v/>
      </c>
      <c r="T653" t="str">
        <f ca="1">IF(Tab_Calculs[[#This Row],[Combustible ]]="Electricité (kWh)",Tab_Calculs[[#This Row],[Conso_mois_kWh]]*2.3,Tab_Calculs[[#This Row],[Conso_mois_kWh]])</f>
        <v/>
      </c>
      <c r="U653" t="str">
        <f ca="1">IFERROR(N653*VLOOKUP(Tab_Calculs[[#This Row],[Colonne1]],Controle_des_données!$B$7:$H$14,7,FALSE),"")</f>
        <v/>
      </c>
      <c r="V653">
        <f ca="1">IFERROR(Tab_Calculs[[#This Row],[Cout_mois]]/Tab_Calculs[[#This Row],[Conso_mois_kWh]],0)</f>
        <v>0</v>
      </c>
      <c r="W653" t="str">
        <f>T(VLOOKUP(Tab_Calculs[[#This Row],[Compteur]],Site!$B$33:$G$40,3,FALSE))</f>
        <v/>
      </c>
      <c r="X653" t="str">
        <f>T(VLOOKUP(Tab_Calculs[[#This Row],[Compteur]],Site!$B$33:$G$40,4,FALSE))</f>
        <v/>
      </c>
      <c r="Y653" t="str">
        <f>T(VLOOKUP(Tab_Calculs[[#This Row],[Compteur]],Site!$B$33:$G$40,5,FALSE))</f>
        <v/>
      </c>
      <c r="Z653" t="str">
        <f>T(VLOOKUP(Tab_Calculs[[#This Row],[Compteur]],Site!$B$33:$G$40,6,FALSE))</f>
        <v/>
      </c>
      <c r="AA653">
        <f>IFERROR(GETPIVOTDATA("DJU(chauffagiste)",BDD_DJU!$P$13,"annee",Tab_Calculs[[#This Row],[ANNEE]],"mois_numero",Tab_Calculs[[#This Row],[MOIS]]),0)</f>
        <v>96.9</v>
      </c>
    </row>
    <row r="654" spans="1:27" x14ac:dyDescent="0.25">
      <c r="A654" s="3">
        <f>DATE(Tab_Calculs[[#This Row],[ANNEE]],Tab_Calculs[[#This Row],[MOIS]],1)</f>
        <v>42278</v>
      </c>
      <c r="B654" s="3">
        <f>EDATE(Tab_Calculs[[#This Row],[Début mois]],1)-1</f>
        <v>42308</v>
      </c>
      <c r="C654">
        <v>10</v>
      </c>
      <c r="D654">
        <f t="shared" si="21"/>
        <v>2015</v>
      </c>
      <c r="E654" t="s">
        <v>83</v>
      </c>
      <c r="F654" t="str">
        <f>SUBSTITUTE(Tab_Calculs[[#This Row],[Compteur]]," ","_")</f>
        <v>Compteur_4</v>
      </c>
      <c r="G654" t="str">
        <f>T(INDEX(Site!$B$33:$G$40, MATCH(Tab_Calculs[[#This Row],[Compteur]], Site!$B$33:$B$40,0),2))</f>
        <v/>
      </c>
      <c r="H654" s="3">
        <f t="array" aca="1" ref="H654" ca="1">MIN(IF(INDIRECT(CONCATENATE(Tab_Calculs[[#This Row],[Colonne1]],"!$B$2:$B$243"))&gt;=Calculs_Consos!$A654,INDIRECT(CONCATENATE(Tab_Calculs[[#This Row],[Colonne1]],"!$B$2:$B$243"))))</f>
        <v>0</v>
      </c>
      <c r="I654" s="3">
        <f ca="1">INDEX(INDIRECT(CONCATENATE("Tab_",Tab_Calculs[[#This Row],[Colonne1]])),Tab_Calculs[[#This Row],[index_date_livraison]],1)</f>
        <v>0</v>
      </c>
      <c r="J654">
        <f ca="1">MATCH(Tab_Calculs[[#This Row],[Date_livraison]],INDIRECT(CONCATENATE("Tab_",Tab_Calculs[[#This Row],[Colonne1]],"[Fin de période]")),0)</f>
        <v>1</v>
      </c>
      <c r="K654" t="e">
        <f ca="1">INDEX(INDIRECT(CONCATENATE("Tab_",Tab_Calculs[[#This Row],[Colonne1]])),Tab_Calculs[[#This Row],[index_date_livraison]]-1,6)*(MAX(Tab_Calculs[[#This Row],[Début periode livraison]],Tab_Calculs[[#This Row],[Début mois]])-Tab_Calculs[[#This Row],[Début mois]])</f>
        <v>#VALUE!</v>
      </c>
      <c r="L654" s="94">
        <f ca="1">INDEX(INDIRECT(CONCATENATE("Tab_",Tab_Calculs[[#This Row],[Colonne1]])),Tab_Calculs[[#This Row],[index_date_livraison]],6)*(1+MIN(Tab_Calculs[[#This Row],[Date_livraison]],Tab_Calculs[[#This Row],[fin mois]])-MAX(Tab_Calculs[[#This Row],[Début mois]],Tab_Calculs[[#This Row],[Début periode livraison]]))</f>
        <v>0</v>
      </c>
      <c r="M654" s="94" t="e">
        <f ca="1">INDEX(INDIRECT(CONCATENATE("Tab_",Tab_Calculs[[#This Row],[Colonne1]])),Tab_Calculs[[#This Row],[index_date_livraison]]+1,6)*(Tab_Calculs[[#This Row],[fin mois]]-MIN(Tab_Calculs[[#This Row],[fin mois]],Tab_Calculs[[#This Row],[Date_livraison]]))</f>
        <v>#VALUE!</v>
      </c>
      <c r="N654" s="231" t="str">
        <f ca="1">IFERROR(Tab_Calculs[[#This Row],[Ratio_jour_après_livr]]+Tab_Calculs[[#This Row],[Ratio_jour_avant_livr]]+Tab_Calculs[[#This Row],[ratio_avant_debut]],"")</f>
        <v/>
      </c>
      <c r="O654" t="e">
        <f ca="1">INDEX(INDIRECT(CONCATENATE("Tab_",Tab_Calculs[[#This Row],[Colonne1]])),Tab_Calculs[[#This Row],[index_date_livraison]]-1,7)*(MAX(Tab_Calculs[[#This Row],[Début periode livraison]],Tab_Calculs[[#This Row],[Début mois]])-Tab_Calculs[[#This Row],[Début mois]])</f>
        <v>#VALUE!</v>
      </c>
      <c r="P654">
        <f ca="1">INDEX(INDIRECT(CONCATENATE("Tab_",Tab_Calculs[[#This Row],[Colonne1]])),Tab_Calculs[[#This Row],[index_date_livraison]],7)*(1+MIN(Tab_Calculs[[#This Row],[Date_livraison]],Tab_Calculs[[#This Row],[fin mois]])-MAX(Tab_Calculs[[#This Row],[Début mois]],Tab_Calculs[[#This Row],[Début periode livraison]]))</f>
        <v>0</v>
      </c>
      <c r="Q654" t="e">
        <f ca="1">INDEX(INDIRECT(CONCATENATE("Tab_",Tab_Calculs[[#This Row],[Colonne1]])),Tab_Calculs[[#This Row],[index_date_livraison]]+1,7)*(Tab_Calculs[[#This Row],[fin mois]]-MIN(Tab_Calculs[[#This Row],[fin mois]],Tab_Calculs[[#This Row],[Date_livraison]]))</f>
        <v>#VALUE!</v>
      </c>
      <c r="R654" t="e">
        <f ca="1">Tab_Calculs[[#This Row],[Ratio_Cout_après_livr]]+Tab_Calculs[[#This Row],[Ratio_Cout_avant_livr]]+Tab_Calculs[[#This Row],[Ratio_Cout_avant_debut]]</f>
        <v>#VALUE!</v>
      </c>
      <c r="S654" t="str">
        <f ca="1">IFERROR(N654*VLOOKUP(Tab_Calculs[[#This Row],[Colonne1]],Controle_des_données!$B$7:$G$14,6,FALSE),"")</f>
        <v/>
      </c>
      <c r="T654" t="str">
        <f ca="1">IF(Tab_Calculs[[#This Row],[Combustible ]]="Electricité (kWh)",Tab_Calculs[[#This Row],[Conso_mois_kWh]]*2.3,Tab_Calculs[[#This Row],[Conso_mois_kWh]])</f>
        <v/>
      </c>
      <c r="U654" t="str">
        <f ca="1">IFERROR(N654*VLOOKUP(Tab_Calculs[[#This Row],[Colonne1]],Controle_des_données!$B$7:$H$14,7,FALSE),"")</f>
        <v/>
      </c>
      <c r="V654">
        <f ca="1">IFERROR(Tab_Calculs[[#This Row],[Cout_mois]]/Tab_Calculs[[#This Row],[Conso_mois_kWh]],0)</f>
        <v>0</v>
      </c>
      <c r="W654" t="str">
        <f>T(VLOOKUP(Tab_Calculs[[#This Row],[Compteur]],Site!$B$33:$G$40,3,FALSE))</f>
        <v/>
      </c>
      <c r="X654" t="str">
        <f>T(VLOOKUP(Tab_Calculs[[#This Row],[Compteur]],Site!$B$33:$G$40,4,FALSE))</f>
        <v/>
      </c>
      <c r="Y654" t="str">
        <f>T(VLOOKUP(Tab_Calculs[[#This Row],[Compteur]],Site!$B$33:$G$40,5,FALSE))</f>
        <v/>
      </c>
      <c r="Z654" t="str">
        <f>T(VLOOKUP(Tab_Calculs[[#This Row],[Compteur]],Site!$B$33:$G$40,6,FALSE))</f>
        <v/>
      </c>
      <c r="AA654">
        <f>IFERROR(GETPIVOTDATA("DJU(chauffagiste)",BDD_DJU!$P$13,"annee",Tab_Calculs[[#This Row],[ANNEE]],"mois_numero",Tab_Calculs[[#This Row],[MOIS]]),0)</f>
        <v>181.1</v>
      </c>
    </row>
    <row r="655" spans="1:27" x14ac:dyDescent="0.25">
      <c r="A655" s="3">
        <f>DATE(Tab_Calculs[[#This Row],[ANNEE]],Tab_Calculs[[#This Row],[MOIS]],1)</f>
        <v>42309</v>
      </c>
      <c r="B655" s="3">
        <f>EDATE(Tab_Calculs[[#This Row],[Début mois]],1)-1</f>
        <v>42338</v>
      </c>
      <c r="C655">
        <v>11</v>
      </c>
      <c r="D655">
        <f t="shared" si="21"/>
        <v>2015</v>
      </c>
      <c r="E655" t="s">
        <v>83</v>
      </c>
      <c r="F655" t="str">
        <f>SUBSTITUTE(Tab_Calculs[[#This Row],[Compteur]]," ","_")</f>
        <v>Compteur_4</v>
      </c>
      <c r="G655" t="str">
        <f>T(INDEX(Site!$B$33:$G$40, MATCH(Tab_Calculs[[#This Row],[Compteur]], Site!$B$33:$B$40,0),2))</f>
        <v/>
      </c>
      <c r="H655" s="3">
        <f t="array" aca="1" ref="H655" ca="1">MIN(IF(INDIRECT(CONCATENATE(Tab_Calculs[[#This Row],[Colonne1]],"!$B$2:$B$243"))&gt;=Calculs_Consos!$A655,INDIRECT(CONCATENATE(Tab_Calculs[[#This Row],[Colonne1]],"!$B$2:$B$243"))))</f>
        <v>0</v>
      </c>
      <c r="I655" s="3">
        <f ca="1">INDEX(INDIRECT(CONCATENATE("Tab_",Tab_Calculs[[#This Row],[Colonne1]])),Tab_Calculs[[#This Row],[index_date_livraison]],1)</f>
        <v>0</v>
      </c>
      <c r="J655">
        <f ca="1">MATCH(Tab_Calculs[[#This Row],[Date_livraison]],INDIRECT(CONCATENATE("Tab_",Tab_Calculs[[#This Row],[Colonne1]],"[Fin de période]")),0)</f>
        <v>1</v>
      </c>
      <c r="K655" t="e">
        <f ca="1">INDEX(INDIRECT(CONCATENATE("Tab_",Tab_Calculs[[#This Row],[Colonne1]])),Tab_Calculs[[#This Row],[index_date_livraison]]-1,6)*(MAX(Tab_Calculs[[#This Row],[Début periode livraison]],Tab_Calculs[[#This Row],[Début mois]])-Tab_Calculs[[#This Row],[Début mois]])</f>
        <v>#VALUE!</v>
      </c>
      <c r="L655" s="94">
        <f ca="1">INDEX(INDIRECT(CONCATENATE("Tab_",Tab_Calculs[[#This Row],[Colonne1]])),Tab_Calculs[[#This Row],[index_date_livraison]],6)*(1+MIN(Tab_Calculs[[#This Row],[Date_livraison]],Tab_Calculs[[#This Row],[fin mois]])-MAX(Tab_Calculs[[#This Row],[Début mois]],Tab_Calculs[[#This Row],[Début periode livraison]]))</f>
        <v>0</v>
      </c>
      <c r="M655" s="94" t="e">
        <f ca="1">INDEX(INDIRECT(CONCATENATE("Tab_",Tab_Calculs[[#This Row],[Colonne1]])),Tab_Calculs[[#This Row],[index_date_livraison]]+1,6)*(Tab_Calculs[[#This Row],[fin mois]]-MIN(Tab_Calculs[[#This Row],[fin mois]],Tab_Calculs[[#This Row],[Date_livraison]]))</f>
        <v>#VALUE!</v>
      </c>
      <c r="N655" s="231" t="str">
        <f ca="1">IFERROR(Tab_Calculs[[#This Row],[Ratio_jour_après_livr]]+Tab_Calculs[[#This Row],[Ratio_jour_avant_livr]]+Tab_Calculs[[#This Row],[ratio_avant_debut]],"")</f>
        <v/>
      </c>
      <c r="O655" t="e">
        <f ca="1">INDEX(INDIRECT(CONCATENATE("Tab_",Tab_Calculs[[#This Row],[Colonne1]])),Tab_Calculs[[#This Row],[index_date_livraison]]-1,7)*(MAX(Tab_Calculs[[#This Row],[Début periode livraison]],Tab_Calculs[[#This Row],[Début mois]])-Tab_Calculs[[#This Row],[Début mois]])</f>
        <v>#VALUE!</v>
      </c>
      <c r="P655">
        <f ca="1">INDEX(INDIRECT(CONCATENATE("Tab_",Tab_Calculs[[#This Row],[Colonne1]])),Tab_Calculs[[#This Row],[index_date_livraison]],7)*(1+MIN(Tab_Calculs[[#This Row],[Date_livraison]],Tab_Calculs[[#This Row],[fin mois]])-MAX(Tab_Calculs[[#This Row],[Début mois]],Tab_Calculs[[#This Row],[Début periode livraison]]))</f>
        <v>0</v>
      </c>
      <c r="Q655" t="e">
        <f ca="1">INDEX(INDIRECT(CONCATENATE("Tab_",Tab_Calculs[[#This Row],[Colonne1]])),Tab_Calculs[[#This Row],[index_date_livraison]]+1,7)*(Tab_Calculs[[#This Row],[fin mois]]-MIN(Tab_Calculs[[#This Row],[fin mois]],Tab_Calculs[[#This Row],[Date_livraison]]))</f>
        <v>#VALUE!</v>
      </c>
      <c r="R655" t="e">
        <f ca="1">Tab_Calculs[[#This Row],[Ratio_Cout_après_livr]]+Tab_Calculs[[#This Row],[Ratio_Cout_avant_livr]]+Tab_Calculs[[#This Row],[Ratio_Cout_avant_debut]]</f>
        <v>#VALUE!</v>
      </c>
      <c r="S655" t="str">
        <f ca="1">IFERROR(N655*VLOOKUP(Tab_Calculs[[#This Row],[Colonne1]],Controle_des_données!$B$7:$G$14,6,FALSE),"")</f>
        <v/>
      </c>
      <c r="T655" t="str">
        <f ca="1">IF(Tab_Calculs[[#This Row],[Combustible ]]="Electricité (kWh)",Tab_Calculs[[#This Row],[Conso_mois_kWh]]*2.3,Tab_Calculs[[#This Row],[Conso_mois_kWh]])</f>
        <v/>
      </c>
      <c r="U655" t="str">
        <f ca="1">IFERROR(N655*VLOOKUP(Tab_Calculs[[#This Row],[Colonne1]],Controle_des_données!$B$7:$H$14,7,FALSE),"")</f>
        <v/>
      </c>
      <c r="V655">
        <f ca="1">IFERROR(Tab_Calculs[[#This Row],[Cout_mois]]/Tab_Calculs[[#This Row],[Conso_mois_kWh]],0)</f>
        <v>0</v>
      </c>
      <c r="W655" t="str">
        <f>T(VLOOKUP(Tab_Calculs[[#This Row],[Compteur]],Site!$B$33:$G$40,3,FALSE))</f>
        <v/>
      </c>
      <c r="X655" t="str">
        <f>T(VLOOKUP(Tab_Calculs[[#This Row],[Compteur]],Site!$B$33:$G$40,4,FALSE))</f>
        <v/>
      </c>
      <c r="Y655" t="str">
        <f>T(VLOOKUP(Tab_Calculs[[#This Row],[Compteur]],Site!$B$33:$G$40,5,FALSE))</f>
        <v/>
      </c>
      <c r="Z655" t="str">
        <f>T(VLOOKUP(Tab_Calculs[[#This Row],[Compteur]],Site!$B$33:$G$40,6,FALSE))</f>
        <v/>
      </c>
      <c r="AA655">
        <f>IFERROR(GETPIVOTDATA("DJU(chauffagiste)",BDD_DJU!$P$13,"annee",Tab_Calculs[[#This Row],[ANNEE]],"mois_numero",Tab_Calculs[[#This Row],[MOIS]]),0)</f>
        <v>191.1</v>
      </c>
    </row>
    <row r="656" spans="1:27" x14ac:dyDescent="0.25">
      <c r="A656" s="3">
        <f>DATE(Tab_Calculs[[#This Row],[ANNEE]],Tab_Calculs[[#This Row],[MOIS]],1)</f>
        <v>42339</v>
      </c>
      <c r="B656" s="3">
        <f>EDATE(Tab_Calculs[[#This Row],[Début mois]],1)-1</f>
        <v>42369</v>
      </c>
      <c r="C656">
        <v>12</v>
      </c>
      <c r="D656">
        <f t="shared" si="21"/>
        <v>2015</v>
      </c>
      <c r="E656" t="s">
        <v>83</v>
      </c>
      <c r="F656" t="str">
        <f>SUBSTITUTE(Tab_Calculs[[#This Row],[Compteur]]," ","_")</f>
        <v>Compteur_4</v>
      </c>
      <c r="G656" t="str">
        <f>T(INDEX(Site!$B$33:$G$40, MATCH(Tab_Calculs[[#This Row],[Compteur]], Site!$B$33:$B$40,0),2))</f>
        <v/>
      </c>
      <c r="H656" s="3">
        <f t="array" aca="1" ref="H656" ca="1">MIN(IF(INDIRECT(CONCATENATE(Tab_Calculs[[#This Row],[Colonne1]],"!$B$2:$B$243"))&gt;=Calculs_Consos!$A656,INDIRECT(CONCATENATE(Tab_Calculs[[#This Row],[Colonne1]],"!$B$2:$B$243"))))</f>
        <v>0</v>
      </c>
      <c r="I656" s="3">
        <f ca="1">INDEX(INDIRECT(CONCATENATE("Tab_",Tab_Calculs[[#This Row],[Colonne1]])),Tab_Calculs[[#This Row],[index_date_livraison]],1)</f>
        <v>0</v>
      </c>
      <c r="J656">
        <f ca="1">MATCH(Tab_Calculs[[#This Row],[Date_livraison]],INDIRECT(CONCATENATE("Tab_",Tab_Calculs[[#This Row],[Colonne1]],"[Fin de période]")),0)</f>
        <v>1</v>
      </c>
      <c r="K656" t="e">
        <f ca="1">INDEX(INDIRECT(CONCATENATE("Tab_",Tab_Calculs[[#This Row],[Colonne1]])),Tab_Calculs[[#This Row],[index_date_livraison]]-1,6)*(MAX(Tab_Calculs[[#This Row],[Début periode livraison]],Tab_Calculs[[#This Row],[Début mois]])-Tab_Calculs[[#This Row],[Début mois]])</f>
        <v>#VALUE!</v>
      </c>
      <c r="L656" s="94">
        <f ca="1">INDEX(INDIRECT(CONCATENATE("Tab_",Tab_Calculs[[#This Row],[Colonne1]])),Tab_Calculs[[#This Row],[index_date_livraison]],6)*(1+MIN(Tab_Calculs[[#This Row],[Date_livraison]],Tab_Calculs[[#This Row],[fin mois]])-MAX(Tab_Calculs[[#This Row],[Début mois]],Tab_Calculs[[#This Row],[Début periode livraison]]))</f>
        <v>0</v>
      </c>
      <c r="M656" s="94" t="e">
        <f ca="1">INDEX(INDIRECT(CONCATENATE("Tab_",Tab_Calculs[[#This Row],[Colonne1]])),Tab_Calculs[[#This Row],[index_date_livraison]]+1,6)*(Tab_Calculs[[#This Row],[fin mois]]-MIN(Tab_Calculs[[#This Row],[fin mois]],Tab_Calculs[[#This Row],[Date_livraison]]))</f>
        <v>#VALUE!</v>
      </c>
      <c r="N656" s="231" t="str">
        <f ca="1">IFERROR(Tab_Calculs[[#This Row],[Ratio_jour_après_livr]]+Tab_Calculs[[#This Row],[Ratio_jour_avant_livr]]+Tab_Calculs[[#This Row],[ratio_avant_debut]],"")</f>
        <v/>
      </c>
      <c r="O656" t="e">
        <f ca="1">INDEX(INDIRECT(CONCATENATE("Tab_",Tab_Calculs[[#This Row],[Colonne1]])),Tab_Calculs[[#This Row],[index_date_livraison]]-1,7)*(MAX(Tab_Calculs[[#This Row],[Début periode livraison]],Tab_Calculs[[#This Row],[Début mois]])-Tab_Calculs[[#This Row],[Début mois]])</f>
        <v>#VALUE!</v>
      </c>
      <c r="P656">
        <f ca="1">INDEX(INDIRECT(CONCATENATE("Tab_",Tab_Calculs[[#This Row],[Colonne1]])),Tab_Calculs[[#This Row],[index_date_livraison]],7)*(1+MIN(Tab_Calculs[[#This Row],[Date_livraison]],Tab_Calculs[[#This Row],[fin mois]])-MAX(Tab_Calculs[[#This Row],[Début mois]],Tab_Calculs[[#This Row],[Début periode livraison]]))</f>
        <v>0</v>
      </c>
      <c r="Q656" t="e">
        <f ca="1">INDEX(INDIRECT(CONCATENATE("Tab_",Tab_Calculs[[#This Row],[Colonne1]])),Tab_Calculs[[#This Row],[index_date_livraison]]+1,7)*(Tab_Calculs[[#This Row],[fin mois]]-MIN(Tab_Calculs[[#This Row],[fin mois]],Tab_Calculs[[#This Row],[Date_livraison]]))</f>
        <v>#VALUE!</v>
      </c>
      <c r="R656" t="e">
        <f ca="1">Tab_Calculs[[#This Row],[Ratio_Cout_après_livr]]+Tab_Calculs[[#This Row],[Ratio_Cout_avant_livr]]+Tab_Calculs[[#This Row],[Ratio_Cout_avant_debut]]</f>
        <v>#VALUE!</v>
      </c>
      <c r="S656" t="str">
        <f ca="1">IFERROR(N656*VLOOKUP(Tab_Calculs[[#This Row],[Colonne1]],Controle_des_données!$B$7:$G$14,6,FALSE),"")</f>
        <v/>
      </c>
      <c r="T656" t="str">
        <f ca="1">IF(Tab_Calculs[[#This Row],[Combustible ]]="Electricité (kWh)",Tab_Calculs[[#This Row],[Conso_mois_kWh]]*2.3,Tab_Calculs[[#This Row],[Conso_mois_kWh]])</f>
        <v/>
      </c>
      <c r="U656" t="str">
        <f ca="1">IFERROR(N656*VLOOKUP(Tab_Calculs[[#This Row],[Colonne1]],Controle_des_données!$B$7:$H$14,7,FALSE),"")</f>
        <v/>
      </c>
      <c r="V656">
        <f ca="1">IFERROR(Tab_Calculs[[#This Row],[Cout_mois]]/Tab_Calculs[[#This Row],[Conso_mois_kWh]],0)</f>
        <v>0</v>
      </c>
      <c r="W656" t="str">
        <f>T(VLOOKUP(Tab_Calculs[[#This Row],[Compteur]],Site!$B$33:$G$40,3,FALSE))</f>
        <v/>
      </c>
      <c r="X656" t="str">
        <f>T(VLOOKUP(Tab_Calculs[[#This Row],[Compteur]],Site!$B$33:$G$40,4,FALSE))</f>
        <v/>
      </c>
      <c r="Y656" t="str">
        <f>T(VLOOKUP(Tab_Calculs[[#This Row],[Compteur]],Site!$B$33:$G$40,5,FALSE))</f>
        <v/>
      </c>
      <c r="Z656" t="str">
        <f>T(VLOOKUP(Tab_Calculs[[#This Row],[Compteur]],Site!$B$33:$G$40,6,FALSE))</f>
        <v/>
      </c>
      <c r="AA656">
        <f>IFERROR(GETPIVOTDATA("DJU(chauffagiste)",BDD_DJU!$P$13,"annee",Tab_Calculs[[#This Row],[ANNEE]],"mois_numero",Tab_Calculs[[#This Row],[MOIS]]),0)</f>
        <v>258.5</v>
      </c>
    </row>
    <row r="657" spans="1:27" x14ac:dyDescent="0.25">
      <c r="A657" s="3">
        <f>DATE(Tab_Calculs[[#This Row],[ANNEE]],Tab_Calculs[[#This Row],[MOIS]],1)</f>
        <v>42370</v>
      </c>
      <c r="B657" s="3">
        <f>EDATE(Tab_Calculs[[#This Row],[Début mois]],1)-1</f>
        <v>42400</v>
      </c>
      <c r="C657">
        <f>C645</f>
        <v>1</v>
      </c>
      <c r="D657">
        <f t="shared" si="21"/>
        <v>2016</v>
      </c>
      <c r="E657" t="s">
        <v>83</v>
      </c>
      <c r="F657" t="str">
        <f>SUBSTITUTE(Tab_Calculs[[#This Row],[Compteur]]," ","_")</f>
        <v>Compteur_4</v>
      </c>
      <c r="G657" t="str">
        <f>T(INDEX(Site!$B$33:$G$40, MATCH(Tab_Calculs[[#This Row],[Compteur]], Site!$B$33:$B$40,0),2))</f>
        <v/>
      </c>
      <c r="H657" s="3">
        <f t="array" aca="1" ref="H657" ca="1">MIN(IF(INDIRECT(CONCATENATE(Tab_Calculs[[#This Row],[Colonne1]],"!$B$2:$B$243"))&gt;=Calculs_Consos!$A657,INDIRECT(CONCATENATE(Tab_Calculs[[#This Row],[Colonne1]],"!$B$2:$B$243"))))</f>
        <v>0</v>
      </c>
      <c r="I657" s="3">
        <f ca="1">INDEX(INDIRECT(CONCATENATE("Tab_",Tab_Calculs[[#This Row],[Colonne1]])),Tab_Calculs[[#This Row],[index_date_livraison]],1)</f>
        <v>0</v>
      </c>
      <c r="J657">
        <f ca="1">MATCH(Tab_Calculs[[#This Row],[Date_livraison]],INDIRECT(CONCATENATE("Tab_",Tab_Calculs[[#This Row],[Colonne1]],"[Fin de période]")),0)</f>
        <v>1</v>
      </c>
      <c r="K657" t="e">
        <f ca="1">INDEX(INDIRECT(CONCATENATE("Tab_",Tab_Calculs[[#This Row],[Colonne1]])),Tab_Calculs[[#This Row],[index_date_livraison]]-1,6)*(MAX(Tab_Calculs[[#This Row],[Début periode livraison]],Tab_Calculs[[#This Row],[Début mois]])-Tab_Calculs[[#This Row],[Début mois]])</f>
        <v>#VALUE!</v>
      </c>
      <c r="L657" s="94">
        <f ca="1">INDEX(INDIRECT(CONCATENATE("Tab_",Tab_Calculs[[#This Row],[Colonne1]])),Tab_Calculs[[#This Row],[index_date_livraison]],6)*(1+MIN(Tab_Calculs[[#This Row],[Date_livraison]],Tab_Calculs[[#This Row],[fin mois]])-MAX(Tab_Calculs[[#This Row],[Début mois]],Tab_Calculs[[#This Row],[Début periode livraison]]))</f>
        <v>0</v>
      </c>
      <c r="M657" s="94" t="e">
        <f ca="1">INDEX(INDIRECT(CONCATENATE("Tab_",Tab_Calculs[[#This Row],[Colonne1]])),Tab_Calculs[[#This Row],[index_date_livraison]]+1,6)*(Tab_Calculs[[#This Row],[fin mois]]-MIN(Tab_Calculs[[#This Row],[fin mois]],Tab_Calculs[[#This Row],[Date_livraison]]))</f>
        <v>#VALUE!</v>
      </c>
      <c r="N657" s="231" t="str">
        <f ca="1">IFERROR(Tab_Calculs[[#This Row],[Ratio_jour_après_livr]]+Tab_Calculs[[#This Row],[Ratio_jour_avant_livr]]+Tab_Calculs[[#This Row],[ratio_avant_debut]],"")</f>
        <v/>
      </c>
      <c r="O657" t="e">
        <f ca="1">INDEX(INDIRECT(CONCATENATE("Tab_",Tab_Calculs[[#This Row],[Colonne1]])),Tab_Calculs[[#This Row],[index_date_livraison]]-1,7)*(MAX(Tab_Calculs[[#This Row],[Début periode livraison]],Tab_Calculs[[#This Row],[Début mois]])-Tab_Calculs[[#This Row],[Début mois]])</f>
        <v>#VALUE!</v>
      </c>
      <c r="P657">
        <f ca="1">INDEX(INDIRECT(CONCATENATE("Tab_",Tab_Calculs[[#This Row],[Colonne1]])),Tab_Calculs[[#This Row],[index_date_livraison]],7)*(1+MIN(Tab_Calculs[[#This Row],[Date_livraison]],Tab_Calculs[[#This Row],[fin mois]])-MAX(Tab_Calculs[[#This Row],[Début mois]],Tab_Calculs[[#This Row],[Début periode livraison]]))</f>
        <v>0</v>
      </c>
      <c r="Q657" t="e">
        <f ca="1">INDEX(INDIRECT(CONCATENATE("Tab_",Tab_Calculs[[#This Row],[Colonne1]])),Tab_Calculs[[#This Row],[index_date_livraison]]+1,7)*(Tab_Calculs[[#This Row],[fin mois]]-MIN(Tab_Calculs[[#This Row],[fin mois]],Tab_Calculs[[#This Row],[Date_livraison]]))</f>
        <v>#VALUE!</v>
      </c>
      <c r="R657" t="e">
        <f ca="1">Tab_Calculs[[#This Row],[Ratio_Cout_après_livr]]+Tab_Calculs[[#This Row],[Ratio_Cout_avant_livr]]+Tab_Calculs[[#This Row],[Ratio_Cout_avant_debut]]</f>
        <v>#VALUE!</v>
      </c>
      <c r="S657" t="str">
        <f ca="1">IFERROR(N657*VLOOKUP(Tab_Calculs[[#This Row],[Colonne1]],Controle_des_données!$B$7:$G$14,6,FALSE),"")</f>
        <v/>
      </c>
      <c r="T657" t="str">
        <f ca="1">IF(Tab_Calculs[[#This Row],[Combustible ]]="Electricité (kWh)",Tab_Calculs[[#This Row],[Conso_mois_kWh]]*2.3,Tab_Calculs[[#This Row],[Conso_mois_kWh]])</f>
        <v/>
      </c>
      <c r="U657" t="str">
        <f ca="1">IFERROR(N657*VLOOKUP(Tab_Calculs[[#This Row],[Colonne1]],Controle_des_données!$B$7:$H$14,7,FALSE),"")</f>
        <v/>
      </c>
      <c r="V657">
        <f ca="1">IFERROR(Tab_Calculs[[#This Row],[Cout_mois]]/Tab_Calculs[[#This Row],[Conso_mois_kWh]],0)</f>
        <v>0</v>
      </c>
      <c r="W657" t="str">
        <f>T(VLOOKUP(Tab_Calculs[[#This Row],[Compteur]],Site!$B$33:$G$40,3,FALSE))</f>
        <v/>
      </c>
      <c r="X657" t="str">
        <f>T(VLOOKUP(Tab_Calculs[[#This Row],[Compteur]],Site!$B$33:$G$40,4,FALSE))</f>
        <v/>
      </c>
      <c r="Y657" t="str">
        <f>T(VLOOKUP(Tab_Calculs[[#This Row],[Compteur]],Site!$B$33:$G$40,5,FALSE))</f>
        <v/>
      </c>
      <c r="Z657" t="str">
        <f>T(VLOOKUP(Tab_Calculs[[#This Row],[Compteur]],Site!$B$33:$G$40,6,FALSE))</f>
        <v/>
      </c>
      <c r="AA657">
        <f>IFERROR(GETPIVOTDATA("DJU(chauffagiste)",BDD_DJU!$P$13,"annee",Tab_Calculs[[#This Row],[ANNEE]],"mois_numero",Tab_Calculs[[#This Row],[MOIS]]),0)</f>
        <v>348.4</v>
      </c>
    </row>
    <row r="658" spans="1:27" x14ac:dyDescent="0.25">
      <c r="A658" s="3">
        <f>DATE(Tab_Calculs[[#This Row],[ANNEE]],Tab_Calculs[[#This Row],[MOIS]],1)</f>
        <v>42401</v>
      </c>
      <c r="B658" s="3">
        <f>EDATE(Tab_Calculs[[#This Row],[Début mois]],1)-1</f>
        <v>42429</v>
      </c>
      <c r="C658">
        <f t="shared" ref="C658:C721" si="22">C646</f>
        <v>2</v>
      </c>
      <c r="D658">
        <f t="shared" si="21"/>
        <v>2016</v>
      </c>
      <c r="E658" t="s">
        <v>83</v>
      </c>
      <c r="F658" t="str">
        <f>SUBSTITUTE(Tab_Calculs[[#This Row],[Compteur]]," ","_")</f>
        <v>Compteur_4</v>
      </c>
      <c r="G658" t="str">
        <f>T(INDEX(Site!$B$33:$G$40, MATCH(Tab_Calculs[[#This Row],[Compteur]], Site!$B$33:$B$40,0),2))</f>
        <v/>
      </c>
      <c r="H658" s="3">
        <f t="array" aca="1" ref="H658" ca="1">MIN(IF(INDIRECT(CONCATENATE(Tab_Calculs[[#This Row],[Colonne1]],"!$B$2:$B$243"))&gt;=Calculs_Consos!$A658,INDIRECT(CONCATENATE(Tab_Calculs[[#This Row],[Colonne1]],"!$B$2:$B$243"))))</f>
        <v>0</v>
      </c>
      <c r="I658" s="3">
        <f ca="1">INDEX(INDIRECT(CONCATENATE("Tab_",Tab_Calculs[[#This Row],[Colonne1]])),Tab_Calculs[[#This Row],[index_date_livraison]],1)</f>
        <v>0</v>
      </c>
      <c r="J658">
        <f ca="1">MATCH(Tab_Calculs[[#This Row],[Date_livraison]],INDIRECT(CONCATENATE("Tab_",Tab_Calculs[[#This Row],[Colonne1]],"[Fin de période]")),0)</f>
        <v>1</v>
      </c>
      <c r="K658" t="e">
        <f ca="1">INDEX(INDIRECT(CONCATENATE("Tab_",Tab_Calculs[[#This Row],[Colonne1]])),Tab_Calculs[[#This Row],[index_date_livraison]]-1,6)*(MAX(Tab_Calculs[[#This Row],[Début periode livraison]],Tab_Calculs[[#This Row],[Début mois]])-Tab_Calculs[[#This Row],[Début mois]])</f>
        <v>#VALUE!</v>
      </c>
      <c r="L658" s="94">
        <f ca="1">INDEX(INDIRECT(CONCATENATE("Tab_",Tab_Calculs[[#This Row],[Colonne1]])),Tab_Calculs[[#This Row],[index_date_livraison]],6)*(1+MIN(Tab_Calculs[[#This Row],[Date_livraison]],Tab_Calculs[[#This Row],[fin mois]])-MAX(Tab_Calculs[[#This Row],[Début mois]],Tab_Calculs[[#This Row],[Début periode livraison]]))</f>
        <v>0</v>
      </c>
      <c r="M658" s="94" t="e">
        <f ca="1">INDEX(INDIRECT(CONCATENATE("Tab_",Tab_Calculs[[#This Row],[Colonne1]])),Tab_Calculs[[#This Row],[index_date_livraison]]+1,6)*(Tab_Calculs[[#This Row],[fin mois]]-MIN(Tab_Calculs[[#This Row],[fin mois]],Tab_Calculs[[#This Row],[Date_livraison]]))</f>
        <v>#VALUE!</v>
      </c>
      <c r="N658" s="231" t="str">
        <f ca="1">IFERROR(Tab_Calculs[[#This Row],[Ratio_jour_après_livr]]+Tab_Calculs[[#This Row],[Ratio_jour_avant_livr]]+Tab_Calculs[[#This Row],[ratio_avant_debut]],"")</f>
        <v/>
      </c>
      <c r="O658" t="e">
        <f ca="1">INDEX(INDIRECT(CONCATENATE("Tab_",Tab_Calculs[[#This Row],[Colonne1]])),Tab_Calculs[[#This Row],[index_date_livraison]]-1,7)*(MAX(Tab_Calculs[[#This Row],[Début periode livraison]],Tab_Calculs[[#This Row],[Début mois]])-Tab_Calculs[[#This Row],[Début mois]])</f>
        <v>#VALUE!</v>
      </c>
      <c r="P658">
        <f ca="1">INDEX(INDIRECT(CONCATENATE("Tab_",Tab_Calculs[[#This Row],[Colonne1]])),Tab_Calculs[[#This Row],[index_date_livraison]],7)*(1+MIN(Tab_Calculs[[#This Row],[Date_livraison]],Tab_Calculs[[#This Row],[fin mois]])-MAX(Tab_Calculs[[#This Row],[Début mois]],Tab_Calculs[[#This Row],[Début periode livraison]]))</f>
        <v>0</v>
      </c>
      <c r="Q658" t="e">
        <f ca="1">INDEX(INDIRECT(CONCATENATE("Tab_",Tab_Calculs[[#This Row],[Colonne1]])),Tab_Calculs[[#This Row],[index_date_livraison]]+1,7)*(Tab_Calculs[[#This Row],[fin mois]]-MIN(Tab_Calculs[[#This Row],[fin mois]],Tab_Calculs[[#This Row],[Date_livraison]]))</f>
        <v>#VALUE!</v>
      </c>
      <c r="R658" t="e">
        <f ca="1">Tab_Calculs[[#This Row],[Ratio_Cout_après_livr]]+Tab_Calculs[[#This Row],[Ratio_Cout_avant_livr]]+Tab_Calculs[[#This Row],[Ratio_Cout_avant_debut]]</f>
        <v>#VALUE!</v>
      </c>
      <c r="S658" t="str">
        <f ca="1">IFERROR(N658*VLOOKUP(Tab_Calculs[[#This Row],[Colonne1]],Controle_des_données!$B$7:$G$14,6,FALSE),"")</f>
        <v/>
      </c>
      <c r="T658" t="str">
        <f ca="1">IF(Tab_Calculs[[#This Row],[Combustible ]]="Electricité (kWh)",Tab_Calculs[[#This Row],[Conso_mois_kWh]]*2.3,Tab_Calculs[[#This Row],[Conso_mois_kWh]])</f>
        <v/>
      </c>
      <c r="U658" t="str">
        <f ca="1">IFERROR(N658*VLOOKUP(Tab_Calculs[[#This Row],[Colonne1]],Controle_des_données!$B$7:$H$14,7,FALSE),"")</f>
        <v/>
      </c>
      <c r="V658">
        <f ca="1">IFERROR(Tab_Calculs[[#This Row],[Cout_mois]]/Tab_Calculs[[#This Row],[Conso_mois_kWh]],0)</f>
        <v>0</v>
      </c>
      <c r="W658" t="str">
        <f>T(VLOOKUP(Tab_Calculs[[#This Row],[Compteur]],Site!$B$33:$G$40,3,FALSE))</f>
        <v/>
      </c>
      <c r="X658" t="str">
        <f>T(VLOOKUP(Tab_Calculs[[#This Row],[Compteur]],Site!$B$33:$G$40,4,FALSE))</f>
        <v/>
      </c>
      <c r="Y658" t="str">
        <f>T(VLOOKUP(Tab_Calculs[[#This Row],[Compteur]],Site!$B$33:$G$40,5,FALSE))</f>
        <v/>
      </c>
      <c r="Z658" t="str">
        <f>T(VLOOKUP(Tab_Calculs[[#This Row],[Compteur]],Site!$B$33:$G$40,6,FALSE))</f>
        <v/>
      </c>
      <c r="AA658">
        <f>IFERROR(GETPIVOTDATA("DJU(chauffagiste)",BDD_DJU!$P$13,"annee",Tab_Calculs[[#This Row],[ANNEE]],"mois_numero",Tab_Calculs[[#This Row],[MOIS]]),0)</f>
        <v>321.2</v>
      </c>
    </row>
    <row r="659" spans="1:27" x14ac:dyDescent="0.25">
      <c r="A659" s="3">
        <f>DATE(Tab_Calculs[[#This Row],[ANNEE]],Tab_Calculs[[#This Row],[MOIS]],1)</f>
        <v>42430</v>
      </c>
      <c r="B659" s="3">
        <f>EDATE(Tab_Calculs[[#This Row],[Début mois]],1)-1</f>
        <v>42460</v>
      </c>
      <c r="C659">
        <f t="shared" si="22"/>
        <v>3</v>
      </c>
      <c r="D659">
        <f t="shared" si="21"/>
        <v>2016</v>
      </c>
      <c r="E659" t="s">
        <v>83</v>
      </c>
      <c r="F659" t="str">
        <f>SUBSTITUTE(Tab_Calculs[[#This Row],[Compteur]]," ","_")</f>
        <v>Compteur_4</v>
      </c>
      <c r="G659" t="str">
        <f>T(INDEX(Site!$B$33:$G$40, MATCH(Tab_Calculs[[#This Row],[Compteur]], Site!$B$33:$B$40,0),2))</f>
        <v/>
      </c>
      <c r="H659" s="3">
        <f t="array" aca="1" ref="H659" ca="1">MIN(IF(INDIRECT(CONCATENATE(Tab_Calculs[[#This Row],[Colonne1]],"!$B$2:$B$243"))&gt;=Calculs_Consos!$A659,INDIRECT(CONCATENATE(Tab_Calculs[[#This Row],[Colonne1]],"!$B$2:$B$243"))))</f>
        <v>0</v>
      </c>
      <c r="I659" s="3">
        <f ca="1">INDEX(INDIRECT(CONCATENATE("Tab_",Tab_Calculs[[#This Row],[Colonne1]])),Tab_Calculs[[#This Row],[index_date_livraison]],1)</f>
        <v>0</v>
      </c>
      <c r="J659">
        <f ca="1">MATCH(Tab_Calculs[[#This Row],[Date_livraison]],INDIRECT(CONCATENATE("Tab_",Tab_Calculs[[#This Row],[Colonne1]],"[Fin de période]")),0)</f>
        <v>1</v>
      </c>
      <c r="K659" t="e">
        <f ca="1">INDEX(INDIRECT(CONCATENATE("Tab_",Tab_Calculs[[#This Row],[Colonne1]])),Tab_Calculs[[#This Row],[index_date_livraison]]-1,6)*(MAX(Tab_Calculs[[#This Row],[Début periode livraison]],Tab_Calculs[[#This Row],[Début mois]])-Tab_Calculs[[#This Row],[Début mois]])</f>
        <v>#VALUE!</v>
      </c>
      <c r="L659" s="94">
        <f ca="1">INDEX(INDIRECT(CONCATENATE("Tab_",Tab_Calculs[[#This Row],[Colonne1]])),Tab_Calculs[[#This Row],[index_date_livraison]],6)*(1+MIN(Tab_Calculs[[#This Row],[Date_livraison]],Tab_Calculs[[#This Row],[fin mois]])-MAX(Tab_Calculs[[#This Row],[Début mois]],Tab_Calculs[[#This Row],[Début periode livraison]]))</f>
        <v>0</v>
      </c>
      <c r="M659" s="94" t="e">
        <f ca="1">INDEX(INDIRECT(CONCATENATE("Tab_",Tab_Calculs[[#This Row],[Colonne1]])),Tab_Calculs[[#This Row],[index_date_livraison]]+1,6)*(Tab_Calculs[[#This Row],[fin mois]]-MIN(Tab_Calculs[[#This Row],[fin mois]],Tab_Calculs[[#This Row],[Date_livraison]]))</f>
        <v>#VALUE!</v>
      </c>
      <c r="N659" s="231" t="str">
        <f ca="1">IFERROR(Tab_Calculs[[#This Row],[Ratio_jour_après_livr]]+Tab_Calculs[[#This Row],[Ratio_jour_avant_livr]]+Tab_Calculs[[#This Row],[ratio_avant_debut]],"")</f>
        <v/>
      </c>
      <c r="O659" t="e">
        <f ca="1">INDEX(INDIRECT(CONCATENATE("Tab_",Tab_Calculs[[#This Row],[Colonne1]])),Tab_Calculs[[#This Row],[index_date_livraison]]-1,7)*(MAX(Tab_Calculs[[#This Row],[Début periode livraison]],Tab_Calculs[[#This Row],[Début mois]])-Tab_Calculs[[#This Row],[Début mois]])</f>
        <v>#VALUE!</v>
      </c>
      <c r="P659">
        <f ca="1">INDEX(INDIRECT(CONCATENATE("Tab_",Tab_Calculs[[#This Row],[Colonne1]])),Tab_Calculs[[#This Row],[index_date_livraison]],7)*(1+MIN(Tab_Calculs[[#This Row],[Date_livraison]],Tab_Calculs[[#This Row],[fin mois]])-MAX(Tab_Calculs[[#This Row],[Début mois]],Tab_Calculs[[#This Row],[Début periode livraison]]))</f>
        <v>0</v>
      </c>
      <c r="Q659" t="e">
        <f ca="1">INDEX(INDIRECT(CONCATENATE("Tab_",Tab_Calculs[[#This Row],[Colonne1]])),Tab_Calculs[[#This Row],[index_date_livraison]]+1,7)*(Tab_Calculs[[#This Row],[fin mois]]-MIN(Tab_Calculs[[#This Row],[fin mois]],Tab_Calculs[[#This Row],[Date_livraison]]))</f>
        <v>#VALUE!</v>
      </c>
      <c r="R659" t="e">
        <f ca="1">Tab_Calculs[[#This Row],[Ratio_Cout_après_livr]]+Tab_Calculs[[#This Row],[Ratio_Cout_avant_livr]]+Tab_Calculs[[#This Row],[Ratio_Cout_avant_debut]]</f>
        <v>#VALUE!</v>
      </c>
      <c r="S659" t="str">
        <f ca="1">IFERROR(N659*VLOOKUP(Tab_Calculs[[#This Row],[Colonne1]],Controle_des_données!$B$7:$G$14,6,FALSE),"")</f>
        <v/>
      </c>
      <c r="T659" t="str">
        <f ca="1">IF(Tab_Calculs[[#This Row],[Combustible ]]="Electricité (kWh)",Tab_Calculs[[#This Row],[Conso_mois_kWh]]*2.3,Tab_Calculs[[#This Row],[Conso_mois_kWh]])</f>
        <v/>
      </c>
      <c r="U659" t="str">
        <f ca="1">IFERROR(N659*VLOOKUP(Tab_Calculs[[#This Row],[Colonne1]],Controle_des_données!$B$7:$H$14,7,FALSE),"")</f>
        <v/>
      </c>
      <c r="V659">
        <f ca="1">IFERROR(Tab_Calculs[[#This Row],[Cout_mois]]/Tab_Calculs[[#This Row],[Conso_mois_kWh]],0)</f>
        <v>0</v>
      </c>
      <c r="W659" t="str">
        <f>T(VLOOKUP(Tab_Calculs[[#This Row],[Compteur]],Site!$B$33:$G$40,3,FALSE))</f>
        <v/>
      </c>
      <c r="X659" t="str">
        <f>T(VLOOKUP(Tab_Calculs[[#This Row],[Compteur]],Site!$B$33:$G$40,4,FALSE))</f>
        <v/>
      </c>
      <c r="Y659" t="str">
        <f>T(VLOOKUP(Tab_Calculs[[#This Row],[Compteur]],Site!$B$33:$G$40,5,FALSE))</f>
        <v/>
      </c>
      <c r="Z659" t="str">
        <f>T(VLOOKUP(Tab_Calculs[[#This Row],[Compteur]],Site!$B$33:$G$40,6,FALSE))</f>
        <v/>
      </c>
      <c r="AA659">
        <f>IFERROR(GETPIVOTDATA("DJU(chauffagiste)",BDD_DJU!$P$13,"annee",Tab_Calculs[[#This Row],[ANNEE]],"mois_numero",Tab_Calculs[[#This Row],[MOIS]]),0)</f>
        <v>328.3</v>
      </c>
    </row>
    <row r="660" spans="1:27" x14ac:dyDescent="0.25">
      <c r="A660" s="3">
        <f>DATE(Tab_Calculs[[#This Row],[ANNEE]],Tab_Calculs[[#This Row],[MOIS]],1)</f>
        <v>42461</v>
      </c>
      <c r="B660" s="3">
        <f>EDATE(Tab_Calculs[[#This Row],[Début mois]],1)-1</f>
        <v>42490</v>
      </c>
      <c r="C660">
        <f t="shared" si="22"/>
        <v>4</v>
      </c>
      <c r="D660">
        <f t="shared" si="21"/>
        <v>2016</v>
      </c>
      <c r="E660" t="s">
        <v>83</v>
      </c>
      <c r="F660" t="str">
        <f>SUBSTITUTE(Tab_Calculs[[#This Row],[Compteur]]," ","_")</f>
        <v>Compteur_4</v>
      </c>
      <c r="G660" t="str">
        <f>T(INDEX(Site!$B$33:$G$40, MATCH(Tab_Calculs[[#This Row],[Compteur]], Site!$B$33:$B$40,0),2))</f>
        <v/>
      </c>
      <c r="H660" s="3">
        <f t="array" aca="1" ref="H660" ca="1">MIN(IF(INDIRECT(CONCATENATE(Tab_Calculs[[#This Row],[Colonne1]],"!$B$2:$B$243"))&gt;=Calculs_Consos!$A660,INDIRECT(CONCATENATE(Tab_Calculs[[#This Row],[Colonne1]],"!$B$2:$B$243"))))</f>
        <v>0</v>
      </c>
      <c r="I660" s="3">
        <f ca="1">INDEX(INDIRECT(CONCATENATE("Tab_",Tab_Calculs[[#This Row],[Colonne1]])),Tab_Calculs[[#This Row],[index_date_livraison]],1)</f>
        <v>0</v>
      </c>
      <c r="J660">
        <f ca="1">MATCH(Tab_Calculs[[#This Row],[Date_livraison]],INDIRECT(CONCATENATE("Tab_",Tab_Calculs[[#This Row],[Colonne1]],"[Fin de période]")),0)</f>
        <v>1</v>
      </c>
      <c r="K660" t="e">
        <f ca="1">INDEX(INDIRECT(CONCATENATE("Tab_",Tab_Calculs[[#This Row],[Colonne1]])),Tab_Calculs[[#This Row],[index_date_livraison]]-1,6)*(MAX(Tab_Calculs[[#This Row],[Début periode livraison]],Tab_Calculs[[#This Row],[Début mois]])-Tab_Calculs[[#This Row],[Début mois]])</f>
        <v>#VALUE!</v>
      </c>
      <c r="L660" s="94">
        <f ca="1">INDEX(INDIRECT(CONCATENATE("Tab_",Tab_Calculs[[#This Row],[Colonne1]])),Tab_Calculs[[#This Row],[index_date_livraison]],6)*(1+MIN(Tab_Calculs[[#This Row],[Date_livraison]],Tab_Calculs[[#This Row],[fin mois]])-MAX(Tab_Calculs[[#This Row],[Début mois]],Tab_Calculs[[#This Row],[Début periode livraison]]))</f>
        <v>0</v>
      </c>
      <c r="M660" s="94" t="e">
        <f ca="1">INDEX(INDIRECT(CONCATENATE("Tab_",Tab_Calculs[[#This Row],[Colonne1]])),Tab_Calculs[[#This Row],[index_date_livraison]]+1,6)*(Tab_Calculs[[#This Row],[fin mois]]-MIN(Tab_Calculs[[#This Row],[fin mois]],Tab_Calculs[[#This Row],[Date_livraison]]))</f>
        <v>#VALUE!</v>
      </c>
      <c r="N660" s="231" t="str">
        <f ca="1">IFERROR(Tab_Calculs[[#This Row],[Ratio_jour_après_livr]]+Tab_Calculs[[#This Row],[Ratio_jour_avant_livr]]+Tab_Calculs[[#This Row],[ratio_avant_debut]],"")</f>
        <v/>
      </c>
      <c r="O660" t="e">
        <f ca="1">INDEX(INDIRECT(CONCATENATE("Tab_",Tab_Calculs[[#This Row],[Colonne1]])),Tab_Calculs[[#This Row],[index_date_livraison]]-1,7)*(MAX(Tab_Calculs[[#This Row],[Début periode livraison]],Tab_Calculs[[#This Row],[Début mois]])-Tab_Calculs[[#This Row],[Début mois]])</f>
        <v>#VALUE!</v>
      </c>
      <c r="P660">
        <f ca="1">INDEX(INDIRECT(CONCATENATE("Tab_",Tab_Calculs[[#This Row],[Colonne1]])),Tab_Calculs[[#This Row],[index_date_livraison]],7)*(1+MIN(Tab_Calculs[[#This Row],[Date_livraison]],Tab_Calculs[[#This Row],[fin mois]])-MAX(Tab_Calculs[[#This Row],[Début mois]],Tab_Calculs[[#This Row],[Début periode livraison]]))</f>
        <v>0</v>
      </c>
      <c r="Q660" t="e">
        <f ca="1">INDEX(INDIRECT(CONCATENATE("Tab_",Tab_Calculs[[#This Row],[Colonne1]])),Tab_Calculs[[#This Row],[index_date_livraison]]+1,7)*(Tab_Calculs[[#This Row],[fin mois]]-MIN(Tab_Calculs[[#This Row],[fin mois]],Tab_Calculs[[#This Row],[Date_livraison]]))</f>
        <v>#VALUE!</v>
      </c>
      <c r="R660" t="e">
        <f ca="1">Tab_Calculs[[#This Row],[Ratio_Cout_après_livr]]+Tab_Calculs[[#This Row],[Ratio_Cout_avant_livr]]+Tab_Calculs[[#This Row],[Ratio_Cout_avant_debut]]</f>
        <v>#VALUE!</v>
      </c>
      <c r="S660" t="str">
        <f ca="1">IFERROR(N660*VLOOKUP(Tab_Calculs[[#This Row],[Colonne1]],Controle_des_données!$B$7:$G$14,6,FALSE),"")</f>
        <v/>
      </c>
      <c r="T660" t="str">
        <f ca="1">IF(Tab_Calculs[[#This Row],[Combustible ]]="Electricité (kWh)",Tab_Calculs[[#This Row],[Conso_mois_kWh]]*2.3,Tab_Calculs[[#This Row],[Conso_mois_kWh]])</f>
        <v/>
      </c>
      <c r="U660" t="str">
        <f ca="1">IFERROR(N660*VLOOKUP(Tab_Calculs[[#This Row],[Colonne1]],Controle_des_données!$B$7:$H$14,7,FALSE),"")</f>
        <v/>
      </c>
      <c r="V660">
        <f ca="1">IFERROR(Tab_Calculs[[#This Row],[Cout_mois]]/Tab_Calculs[[#This Row],[Conso_mois_kWh]],0)</f>
        <v>0</v>
      </c>
      <c r="W660" t="str">
        <f>T(VLOOKUP(Tab_Calculs[[#This Row],[Compteur]],Site!$B$33:$G$40,3,FALSE))</f>
        <v/>
      </c>
      <c r="X660" t="str">
        <f>T(VLOOKUP(Tab_Calculs[[#This Row],[Compteur]],Site!$B$33:$G$40,4,FALSE))</f>
        <v/>
      </c>
      <c r="Y660" t="str">
        <f>T(VLOOKUP(Tab_Calculs[[#This Row],[Compteur]],Site!$B$33:$G$40,5,FALSE))</f>
        <v/>
      </c>
      <c r="Z660" t="str">
        <f>T(VLOOKUP(Tab_Calculs[[#This Row],[Compteur]],Site!$B$33:$G$40,6,FALSE))</f>
        <v/>
      </c>
      <c r="AA660">
        <f>IFERROR(GETPIVOTDATA("DJU(chauffagiste)",BDD_DJU!$P$13,"annee",Tab_Calculs[[#This Row],[ANNEE]],"mois_numero",Tab_Calculs[[#This Row],[MOIS]]),0)</f>
        <v>252.6</v>
      </c>
    </row>
    <row r="661" spans="1:27" x14ac:dyDescent="0.25">
      <c r="A661" s="3">
        <f>DATE(Tab_Calculs[[#This Row],[ANNEE]],Tab_Calculs[[#This Row],[MOIS]],1)</f>
        <v>42491</v>
      </c>
      <c r="B661" s="3">
        <f>EDATE(Tab_Calculs[[#This Row],[Début mois]],1)-1</f>
        <v>42521</v>
      </c>
      <c r="C661">
        <f t="shared" si="22"/>
        <v>5</v>
      </c>
      <c r="D661">
        <f t="shared" si="21"/>
        <v>2016</v>
      </c>
      <c r="E661" t="s">
        <v>83</v>
      </c>
      <c r="F661" t="str">
        <f>SUBSTITUTE(Tab_Calculs[[#This Row],[Compteur]]," ","_")</f>
        <v>Compteur_4</v>
      </c>
      <c r="G661" t="str">
        <f>T(INDEX(Site!$B$33:$G$40, MATCH(Tab_Calculs[[#This Row],[Compteur]], Site!$B$33:$B$40,0),2))</f>
        <v/>
      </c>
      <c r="H661" s="3">
        <f t="array" aca="1" ref="H661" ca="1">MIN(IF(INDIRECT(CONCATENATE(Tab_Calculs[[#This Row],[Colonne1]],"!$B$2:$B$243"))&gt;=Calculs_Consos!$A661,INDIRECT(CONCATENATE(Tab_Calculs[[#This Row],[Colonne1]],"!$B$2:$B$243"))))</f>
        <v>0</v>
      </c>
      <c r="I661" s="3">
        <f ca="1">INDEX(INDIRECT(CONCATENATE("Tab_",Tab_Calculs[[#This Row],[Colonne1]])),Tab_Calculs[[#This Row],[index_date_livraison]],1)</f>
        <v>0</v>
      </c>
      <c r="J661">
        <f ca="1">MATCH(Tab_Calculs[[#This Row],[Date_livraison]],INDIRECT(CONCATENATE("Tab_",Tab_Calculs[[#This Row],[Colonne1]],"[Fin de période]")),0)</f>
        <v>1</v>
      </c>
      <c r="K661" t="e">
        <f ca="1">INDEX(INDIRECT(CONCATENATE("Tab_",Tab_Calculs[[#This Row],[Colonne1]])),Tab_Calculs[[#This Row],[index_date_livraison]]-1,6)*(MAX(Tab_Calculs[[#This Row],[Début periode livraison]],Tab_Calculs[[#This Row],[Début mois]])-Tab_Calculs[[#This Row],[Début mois]])</f>
        <v>#VALUE!</v>
      </c>
      <c r="L661" s="94">
        <f ca="1">INDEX(INDIRECT(CONCATENATE("Tab_",Tab_Calculs[[#This Row],[Colonne1]])),Tab_Calculs[[#This Row],[index_date_livraison]],6)*(1+MIN(Tab_Calculs[[#This Row],[Date_livraison]],Tab_Calculs[[#This Row],[fin mois]])-MAX(Tab_Calculs[[#This Row],[Début mois]],Tab_Calculs[[#This Row],[Début periode livraison]]))</f>
        <v>0</v>
      </c>
      <c r="M661" s="94" t="e">
        <f ca="1">INDEX(INDIRECT(CONCATENATE("Tab_",Tab_Calculs[[#This Row],[Colonne1]])),Tab_Calculs[[#This Row],[index_date_livraison]]+1,6)*(Tab_Calculs[[#This Row],[fin mois]]-MIN(Tab_Calculs[[#This Row],[fin mois]],Tab_Calculs[[#This Row],[Date_livraison]]))</f>
        <v>#VALUE!</v>
      </c>
      <c r="N661" s="231" t="str">
        <f ca="1">IFERROR(Tab_Calculs[[#This Row],[Ratio_jour_après_livr]]+Tab_Calculs[[#This Row],[Ratio_jour_avant_livr]]+Tab_Calculs[[#This Row],[ratio_avant_debut]],"")</f>
        <v/>
      </c>
      <c r="O661" t="e">
        <f ca="1">INDEX(INDIRECT(CONCATENATE("Tab_",Tab_Calculs[[#This Row],[Colonne1]])),Tab_Calculs[[#This Row],[index_date_livraison]]-1,7)*(MAX(Tab_Calculs[[#This Row],[Début periode livraison]],Tab_Calculs[[#This Row],[Début mois]])-Tab_Calculs[[#This Row],[Début mois]])</f>
        <v>#VALUE!</v>
      </c>
      <c r="P661">
        <f ca="1">INDEX(INDIRECT(CONCATENATE("Tab_",Tab_Calculs[[#This Row],[Colonne1]])),Tab_Calculs[[#This Row],[index_date_livraison]],7)*(1+MIN(Tab_Calculs[[#This Row],[Date_livraison]],Tab_Calculs[[#This Row],[fin mois]])-MAX(Tab_Calculs[[#This Row],[Début mois]],Tab_Calculs[[#This Row],[Début periode livraison]]))</f>
        <v>0</v>
      </c>
      <c r="Q661" t="e">
        <f ca="1">INDEX(INDIRECT(CONCATENATE("Tab_",Tab_Calculs[[#This Row],[Colonne1]])),Tab_Calculs[[#This Row],[index_date_livraison]]+1,7)*(Tab_Calculs[[#This Row],[fin mois]]-MIN(Tab_Calculs[[#This Row],[fin mois]],Tab_Calculs[[#This Row],[Date_livraison]]))</f>
        <v>#VALUE!</v>
      </c>
      <c r="R661" t="e">
        <f ca="1">Tab_Calculs[[#This Row],[Ratio_Cout_après_livr]]+Tab_Calculs[[#This Row],[Ratio_Cout_avant_livr]]+Tab_Calculs[[#This Row],[Ratio_Cout_avant_debut]]</f>
        <v>#VALUE!</v>
      </c>
      <c r="S661" t="str">
        <f ca="1">IFERROR(N661*VLOOKUP(Tab_Calculs[[#This Row],[Colonne1]],Controle_des_données!$B$7:$G$14,6,FALSE),"")</f>
        <v/>
      </c>
      <c r="T661" t="str">
        <f ca="1">IF(Tab_Calculs[[#This Row],[Combustible ]]="Electricité (kWh)",Tab_Calculs[[#This Row],[Conso_mois_kWh]]*2.3,Tab_Calculs[[#This Row],[Conso_mois_kWh]])</f>
        <v/>
      </c>
      <c r="U661" t="str">
        <f ca="1">IFERROR(N661*VLOOKUP(Tab_Calculs[[#This Row],[Colonne1]],Controle_des_données!$B$7:$H$14,7,FALSE),"")</f>
        <v/>
      </c>
      <c r="V661">
        <f ca="1">IFERROR(Tab_Calculs[[#This Row],[Cout_mois]]/Tab_Calculs[[#This Row],[Conso_mois_kWh]],0)</f>
        <v>0</v>
      </c>
      <c r="W661" t="str">
        <f>T(VLOOKUP(Tab_Calculs[[#This Row],[Compteur]],Site!$B$33:$G$40,3,FALSE))</f>
        <v/>
      </c>
      <c r="X661" t="str">
        <f>T(VLOOKUP(Tab_Calculs[[#This Row],[Compteur]],Site!$B$33:$G$40,4,FALSE))</f>
        <v/>
      </c>
      <c r="Y661" t="str">
        <f>T(VLOOKUP(Tab_Calculs[[#This Row],[Compteur]],Site!$B$33:$G$40,5,FALSE))</f>
        <v/>
      </c>
      <c r="Z661" t="str">
        <f>T(VLOOKUP(Tab_Calculs[[#This Row],[Compteur]],Site!$B$33:$G$40,6,FALSE))</f>
        <v/>
      </c>
      <c r="AA661">
        <f>IFERROR(GETPIVOTDATA("DJU(chauffagiste)",BDD_DJU!$P$13,"annee",Tab_Calculs[[#This Row],[ANNEE]],"mois_numero",Tab_Calculs[[#This Row],[MOIS]]),0)</f>
        <v>124.3</v>
      </c>
    </row>
    <row r="662" spans="1:27" x14ac:dyDescent="0.25">
      <c r="A662" s="3">
        <f>DATE(Tab_Calculs[[#This Row],[ANNEE]],Tab_Calculs[[#This Row],[MOIS]],1)</f>
        <v>42522</v>
      </c>
      <c r="B662" s="3">
        <f>EDATE(Tab_Calculs[[#This Row],[Début mois]],1)-1</f>
        <v>42551</v>
      </c>
      <c r="C662">
        <f t="shared" si="22"/>
        <v>6</v>
      </c>
      <c r="D662">
        <f t="shared" si="21"/>
        <v>2016</v>
      </c>
      <c r="E662" t="s">
        <v>83</v>
      </c>
      <c r="F662" t="str">
        <f>SUBSTITUTE(Tab_Calculs[[#This Row],[Compteur]]," ","_")</f>
        <v>Compteur_4</v>
      </c>
      <c r="G662" t="str">
        <f>T(INDEX(Site!$B$33:$G$40, MATCH(Tab_Calculs[[#This Row],[Compteur]], Site!$B$33:$B$40,0),2))</f>
        <v/>
      </c>
      <c r="H662" s="3">
        <f t="array" aca="1" ref="H662" ca="1">MIN(IF(INDIRECT(CONCATENATE(Tab_Calculs[[#This Row],[Colonne1]],"!$B$2:$B$243"))&gt;=Calculs_Consos!$A662,INDIRECT(CONCATENATE(Tab_Calculs[[#This Row],[Colonne1]],"!$B$2:$B$243"))))</f>
        <v>0</v>
      </c>
      <c r="I662" s="3">
        <f ca="1">INDEX(INDIRECT(CONCATENATE("Tab_",Tab_Calculs[[#This Row],[Colonne1]])),Tab_Calculs[[#This Row],[index_date_livraison]],1)</f>
        <v>0</v>
      </c>
      <c r="J662">
        <f ca="1">MATCH(Tab_Calculs[[#This Row],[Date_livraison]],INDIRECT(CONCATENATE("Tab_",Tab_Calculs[[#This Row],[Colonne1]],"[Fin de période]")),0)</f>
        <v>1</v>
      </c>
      <c r="K662" t="e">
        <f ca="1">INDEX(INDIRECT(CONCATENATE("Tab_",Tab_Calculs[[#This Row],[Colonne1]])),Tab_Calculs[[#This Row],[index_date_livraison]]-1,6)*(MAX(Tab_Calculs[[#This Row],[Début periode livraison]],Tab_Calculs[[#This Row],[Début mois]])-Tab_Calculs[[#This Row],[Début mois]])</f>
        <v>#VALUE!</v>
      </c>
      <c r="L662" s="94">
        <f ca="1">INDEX(INDIRECT(CONCATENATE("Tab_",Tab_Calculs[[#This Row],[Colonne1]])),Tab_Calculs[[#This Row],[index_date_livraison]],6)*(1+MIN(Tab_Calculs[[#This Row],[Date_livraison]],Tab_Calculs[[#This Row],[fin mois]])-MAX(Tab_Calculs[[#This Row],[Début mois]],Tab_Calculs[[#This Row],[Début periode livraison]]))</f>
        <v>0</v>
      </c>
      <c r="M662" s="94" t="e">
        <f ca="1">INDEX(INDIRECT(CONCATENATE("Tab_",Tab_Calculs[[#This Row],[Colonne1]])),Tab_Calculs[[#This Row],[index_date_livraison]]+1,6)*(Tab_Calculs[[#This Row],[fin mois]]-MIN(Tab_Calculs[[#This Row],[fin mois]],Tab_Calculs[[#This Row],[Date_livraison]]))</f>
        <v>#VALUE!</v>
      </c>
      <c r="N662" s="231" t="str">
        <f ca="1">IFERROR(Tab_Calculs[[#This Row],[Ratio_jour_après_livr]]+Tab_Calculs[[#This Row],[Ratio_jour_avant_livr]]+Tab_Calculs[[#This Row],[ratio_avant_debut]],"")</f>
        <v/>
      </c>
      <c r="O662" t="e">
        <f ca="1">INDEX(INDIRECT(CONCATENATE("Tab_",Tab_Calculs[[#This Row],[Colonne1]])),Tab_Calculs[[#This Row],[index_date_livraison]]-1,7)*(MAX(Tab_Calculs[[#This Row],[Début periode livraison]],Tab_Calculs[[#This Row],[Début mois]])-Tab_Calculs[[#This Row],[Début mois]])</f>
        <v>#VALUE!</v>
      </c>
      <c r="P662">
        <f ca="1">INDEX(INDIRECT(CONCATENATE("Tab_",Tab_Calculs[[#This Row],[Colonne1]])),Tab_Calculs[[#This Row],[index_date_livraison]],7)*(1+MIN(Tab_Calculs[[#This Row],[Date_livraison]],Tab_Calculs[[#This Row],[fin mois]])-MAX(Tab_Calculs[[#This Row],[Début mois]],Tab_Calculs[[#This Row],[Début periode livraison]]))</f>
        <v>0</v>
      </c>
      <c r="Q662" t="e">
        <f ca="1">INDEX(INDIRECT(CONCATENATE("Tab_",Tab_Calculs[[#This Row],[Colonne1]])),Tab_Calculs[[#This Row],[index_date_livraison]]+1,7)*(Tab_Calculs[[#This Row],[fin mois]]-MIN(Tab_Calculs[[#This Row],[fin mois]],Tab_Calculs[[#This Row],[Date_livraison]]))</f>
        <v>#VALUE!</v>
      </c>
      <c r="R662" t="e">
        <f ca="1">Tab_Calculs[[#This Row],[Ratio_Cout_après_livr]]+Tab_Calculs[[#This Row],[Ratio_Cout_avant_livr]]+Tab_Calculs[[#This Row],[Ratio_Cout_avant_debut]]</f>
        <v>#VALUE!</v>
      </c>
      <c r="S662" t="str">
        <f ca="1">IFERROR(N662*VLOOKUP(Tab_Calculs[[#This Row],[Colonne1]],Controle_des_données!$B$7:$G$14,6,FALSE),"")</f>
        <v/>
      </c>
      <c r="T662" t="str">
        <f ca="1">IF(Tab_Calculs[[#This Row],[Combustible ]]="Electricité (kWh)",Tab_Calculs[[#This Row],[Conso_mois_kWh]]*2.3,Tab_Calculs[[#This Row],[Conso_mois_kWh]])</f>
        <v/>
      </c>
      <c r="U662" t="str">
        <f ca="1">IFERROR(N662*VLOOKUP(Tab_Calculs[[#This Row],[Colonne1]],Controle_des_données!$B$7:$H$14,7,FALSE),"")</f>
        <v/>
      </c>
      <c r="V662">
        <f ca="1">IFERROR(Tab_Calculs[[#This Row],[Cout_mois]]/Tab_Calculs[[#This Row],[Conso_mois_kWh]],0)</f>
        <v>0</v>
      </c>
      <c r="W662" t="str">
        <f>T(VLOOKUP(Tab_Calculs[[#This Row],[Compteur]],Site!$B$33:$G$40,3,FALSE))</f>
        <v/>
      </c>
      <c r="X662" t="str">
        <f>T(VLOOKUP(Tab_Calculs[[#This Row],[Compteur]],Site!$B$33:$G$40,4,FALSE))</f>
        <v/>
      </c>
      <c r="Y662" t="str">
        <f>T(VLOOKUP(Tab_Calculs[[#This Row],[Compteur]],Site!$B$33:$G$40,5,FALSE))</f>
        <v/>
      </c>
      <c r="Z662" t="str">
        <f>T(VLOOKUP(Tab_Calculs[[#This Row],[Compteur]],Site!$B$33:$G$40,6,FALSE))</f>
        <v/>
      </c>
      <c r="AA662">
        <f>IFERROR(GETPIVOTDATA("DJU(chauffagiste)",BDD_DJU!$P$13,"annee",Tab_Calculs[[#This Row],[ANNEE]],"mois_numero",Tab_Calculs[[#This Row],[MOIS]]),0)</f>
        <v>47.7</v>
      </c>
    </row>
    <row r="663" spans="1:27" x14ac:dyDescent="0.25">
      <c r="A663" s="3">
        <f>DATE(Tab_Calculs[[#This Row],[ANNEE]],Tab_Calculs[[#This Row],[MOIS]],1)</f>
        <v>42552</v>
      </c>
      <c r="B663" s="3">
        <f>EDATE(Tab_Calculs[[#This Row],[Début mois]],1)-1</f>
        <v>42582</v>
      </c>
      <c r="C663">
        <f t="shared" si="22"/>
        <v>7</v>
      </c>
      <c r="D663">
        <f t="shared" si="21"/>
        <v>2016</v>
      </c>
      <c r="E663" t="s">
        <v>83</v>
      </c>
      <c r="F663" t="str">
        <f>SUBSTITUTE(Tab_Calculs[[#This Row],[Compteur]]," ","_")</f>
        <v>Compteur_4</v>
      </c>
      <c r="G663" t="str">
        <f>T(INDEX(Site!$B$33:$G$40, MATCH(Tab_Calculs[[#This Row],[Compteur]], Site!$B$33:$B$40,0),2))</f>
        <v/>
      </c>
      <c r="H663" s="3">
        <f t="array" aca="1" ref="H663" ca="1">MIN(IF(INDIRECT(CONCATENATE(Tab_Calculs[[#This Row],[Colonne1]],"!$B$2:$B$243"))&gt;=Calculs_Consos!$A663,INDIRECT(CONCATENATE(Tab_Calculs[[#This Row],[Colonne1]],"!$B$2:$B$243"))))</f>
        <v>0</v>
      </c>
      <c r="I663" s="3">
        <f ca="1">INDEX(INDIRECT(CONCATENATE("Tab_",Tab_Calculs[[#This Row],[Colonne1]])),Tab_Calculs[[#This Row],[index_date_livraison]],1)</f>
        <v>0</v>
      </c>
      <c r="J663">
        <f ca="1">MATCH(Tab_Calculs[[#This Row],[Date_livraison]],INDIRECT(CONCATENATE("Tab_",Tab_Calculs[[#This Row],[Colonne1]],"[Fin de période]")),0)</f>
        <v>1</v>
      </c>
      <c r="K663" t="e">
        <f ca="1">INDEX(INDIRECT(CONCATENATE("Tab_",Tab_Calculs[[#This Row],[Colonne1]])),Tab_Calculs[[#This Row],[index_date_livraison]]-1,6)*(MAX(Tab_Calculs[[#This Row],[Début periode livraison]],Tab_Calculs[[#This Row],[Début mois]])-Tab_Calculs[[#This Row],[Début mois]])</f>
        <v>#VALUE!</v>
      </c>
      <c r="L663" s="94">
        <f ca="1">INDEX(INDIRECT(CONCATENATE("Tab_",Tab_Calculs[[#This Row],[Colonne1]])),Tab_Calculs[[#This Row],[index_date_livraison]],6)*(1+MIN(Tab_Calculs[[#This Row],[Date_livraison]],Tab_Calculs[[#This Row],[fin mois]])-MAX(Tab_Calculs[[#This Row],[Début mois]],Tab_Calculs[[#This Row],[Début periode livraison]]))</f>
        <v>0</v>
      </c>
      <c r="M663" s="94" t="e">
        <f ca="1">INDEX(INDIRECT(CONCATENATE("Tab_",Tab_Calculs[[#This Row],[Colonne1]])),Tab_Calculs[[#This Row],[index_date_livraison]]+1,6)*(Tab_Calculs[[#This Row],[fin mois]]-MIN(Tab_Calculs[[#This Row],[fin mois]],Tab_Calculs[[#This Row],[Date_livraison]]))</f>
        <v>#VALUE!</v>
      </c>
      <c r="N663" s="231" t="str">
        <f ca="1">IFERROR(Tab_Calculs[[#This Row],[Ratio_jour_après_livr]]+Tab_Calculs[[#This Row],[Ratio_jour_avant_livr]]+Tab_Calculs[[#This Row],[ratio_avant_debut]],"")</f>
        <v/>
      </c>
      <c r="O663" t="e">
        <f ca="1">INDEX(INDIRECT(CONCATENATE("Tab_",Tab_Calculs[[#This Row],[Colonne1]])),Tab_Calculs[[#This Row],[index_date_livraison]]-1,7)*(MAX(Tab_Calculs[[#This Row],[Début periode livraison]],Tab_Calculs[[#This Row],[Début mois]])-Tab_Calculs[[#This Row],[Début mois]])</f>
        <v>#VALUE!</v>
      </c>
      <c r="P663">
        <f ca="1">INDEX(INDIRECT(CONCATENATE("Tab_",Tab_Calculs[[#This Row],[Colonne1]])),Tab_Calculs[[#This Row],[index_date_livraison]],7)*(1+MIN(Tab_Calculs[[#This Row],[Date_livraison]],Tab_Calculs[[#This Row],[fin mois]])-MAX(Tab_Calculs[[#This Row],[Début mois]],Tab_Calculs[[#This Row],[Début periode livraison]]))</f>
        <v>0</v>
      </c>
      <c r="Q663" t="e">
        <f ca="1">INDEX(INDIRECT(CONCATENATE("Tab_",Tab_Calculs[[#This Row],[Colonne1]])),Tab_Calculs[[#This Row],[index_date_livraison]]+1,7)*(Tab_Calculs[[#This Row],[fin mois]]-MIN(Tab_Calculs[[#This Row],[fin mois]],Tab_Calculs[[#This Row],[Date_livraison]]))</f>
        <v>#VALUE!</v>
      </c>
      <c r="R663" t="e">
        <f ca="1">Tab_Calculs[[#This Row],[Ratio_Cout_après_livr]]+Tab_Calculs[[#This Row],[Ratio_Cout_avant_livr]]+Tab_Calculs[[#This Row],[Ratio_Cout_avant_debut]]</f>
        <v>#VALUE!</v>
      </c>
      <c r="S663" t="str">
        <f ca="1">IFERROR(N663*VLOOKUP(Tab_Calculs[[#This Row],[Colonne1]],Controle_des_données!$B$7:$G$14,6,FALSE),"")</f>
        <v/>
      </c>
      <c r="T663" t="str">
        <f ca="1">IF(Tab_Calculs[[#This Row],[Combustible ]]="Electricité (kWh)",Tab_Calculs[[#This Row],[Conso_mois_kWh]]*2.3,Tab_Calculs[[#This Row],[Conso_mois_kWh]])</f>
        <v/>
      </c>
      <c r="U663" t="str">
        <f ca="1">IFERROR(N663*VLOOKUP(Tab_Calculs[[#This Row],[Colonne1]],Controle_des_données!$B$7:$H$14,7,FALSE),"")</f>
        <v/>
      </c>
      <c r="V663">
        <f ca="1">IFERROR(Tab_Calculs[[#This Row],[Cout_mois]]/Tab_Calculs[[#This Row],[Conso_mois_kWh]],0)</f>
        <v>0</v>
      </c>
      <c r="W663" t="str">
        <f>T(VLOOKUP(Tab_Calculs[[#This Row],[Compteur]],Site!$B$33:$G$40,3,FALSE))</f>
        <v/>
      </c>
      <c r="X663" t="str">
        <f>T(VLOOKUP(Tab_Calculs[[#This Row],[Compteur]],Site!$B$33:$G$40,4,FALSE))</f>
        <v/>
      </c>
      <c r="Y663" t="str">
        <f>T(VLOOKUP(Tab_Calculs[[#This Row],[Compteur]],Site!$B$33:$G$40,5,FALSE))</f>
        <v/>
      </c>
      <c r="Z663" t="str">
        <f>T(VLOOKUP(Tab_Calculs[[#This Row],[Compteur]],Site!$B$33:$G$40,6,FALSE))</f>
        <v/>
      </c>
      <c r="AA663">
        <f>IFERROR(GETPIVOTDATA("DJU(chauffagiste)",BDD_DJU!$P$13,"annee",Tab_Calculs[[#This Row],[ANNEE]],"mois_numero",Tab_Calculs[[#This Row],[MOIS]]),0)</f>
        <v>32.299999999999997</v>
      </c>
    </row>
    <row r="664" spans="1:27" x14ac:dyDescent="0.25">
      <c r="A664" s="3">
        <f>DATE(Tab_Calculs[[#This Row],[ANNEE]],Tab_Calculs[[#This Row],[MOIS]],1)</f>
        <v>42583</v>
      </c>
      <c r="B664" s="3">
        <f>EDATE(Tab_Calculs[[#This Row],[Début mois]],1)-1</f>
        <v>42613</v>
      </c>
      <c r="C664">
        <f t="shared" si="22"/>
        <v>8</v>
      </c>
      <c r="D664">
        <f t="shared" si="21"/>
        <v>2016</v>
      </c>
      <c r="E664" t="s">
        <v>83</v>
      </c>
      <c r="F664" t="str">
        <f>SUBSTITUTE(Tab_Calculs[[#This Row],[Compteur]]," ","_")</f>
        <v>Compteur_4</v>
      </c>
      <c r="G664" t="str">
        <f>T(INDEX(Site!$B$33:$G$40, MATCH(Tab_Calculs[[#This Row],[Compteur]], Site!$B$33:$B$40,0),2))</f>
        <v/>
      </c>
      <c r="H664" s="3">
        <f t="array" aca="1" ref="H664" ca="1">MIN(IF(INDIRECT(CONCATENATE(Tab_Calculs[[#This Row],[Colonne1]],"!$B$2:$B$243"))&gt;=Calculs_Consos!$A664,INDIRECT(CONCATENATE(Tab_Calculs[[#This Row],[Colonne1]],"!$B$2:$B$243"))))</f>
        <v>0</v>
      </c>
      <c r="I664" s="3">
        <f ca="1">INDEX(INDIRECT(CONCATENATE("Tab_",Tab_Calculs[[#This Row],[Colonne1]])),Tab_Calculs[[#This Row],[index_date_livraison]],1)</f>
        <v>0</v>
      </c>
      <c r="J664">
        <f ca="1">MATCH(Tab_Calculs[[#This Row],[Date_livraison]],INDIRECT(CONCATENATE("Tab_",Tab_Calculs[[#This Row],[Colonne1]],"[Fin de période]")),0)</f>
        <v>1</v>
      </c>
      <c r="K664" t="e">
        <f ca="1">INDEX(INDIRECT(CONCATENATE("Tab_",Tab_Calculs[[#This Row],[Colonne1]])),Tab_Calculs[[#This Row],[index_date_livraison]]-1,6)*(MAX(Tab_Calculs[[#This Row],[Début periode livraison]],Tab_Calculs[[#This Row],[Début mois]])-Tab_Calculs[[#This Row],[Début mois]])</f>
        <v>#VALUE!</v>
      </c>
      <c r="L664" s="94">
        <f ca="1">INDEX(INDIRECT(CONCATENATE("Tab_",Tab_Calculs[[#This Row],[Colonne1]])),Tab_Calculs[[#This Row],[index_date_livraison]],6)*(1+MIN(Tab_Calculs[[#This Row],[Date_livraison]],Tab_Calculs[[#This Row],[fin mois]])-MAX(Tab_Calculs[[#This Row],[Début mois]],Tab_Calculs[[#This Row],[Début periode livraison]]))</f>
        <v>0</v>
      </c>
      <c r="M664" s="94" t="e">
        <f ca="1">INDEX(INDIRECT(CONCATENATE("Tab_",Tab_Calculs[[#This Row],[Colonne1]])),Tab_Calculs[[#This Row],[index_date_livraison]]+1,6)*(Tab_Calculs[[#This Row],[fin mois]]-MIN(Tab_Calculs[[#This Row],[fin mois]],Tab_Calculs[[#This Row],[Date_livraison]]))</f>
        <v>#VALUE!</v>
      </c>
      <c r="N664" s="231" t="str">
        <f ca="1">IFERROR(Tab_Calculs[[#This Row],[Ratio_jour_après_livr]]+Tab_Calculs[[#This Row],[Ratio_jour_avant_livr]]+Tab_Calculs[[#This Row],[ratio_avant_debut]],"")</f>
        <v/>
      </c>
      <c r="O664" t="e">
        <f ca="1">INDEX(INDIRECT(CONCATENATE("Tab_",Tab_Calculs[[#This Row],[Colonne1]])),Tab_Calculs[[#This Row],[index_date_livraison]]-1,7)*(MAX(Tab_Calculs[[#This Row],[Début periode livraison]],Tab_Calculs[[#This Row],[Début mois]])-Tab_Calculs[[#This Row],[Début mois]])</f>
        <v>#VALUE!</v>
      </c>
      <c r="P664">
        <f ca="1">INDEX(INDIRECT(CONCATENATE("Tab_",Tab_Calculs[[#This Row],[Colonne1]])),Tab_Calculs[[#This Row],[index_date_livraison]],7)*(1+MIN(Tab_Calculs[[#This Row],[Date_livraison]],Tab_Calculs[[#This Row],[fin mois]])-MAX(Tab_Calculs[[#This Row],[Début mois]],Tab_Calculs[[#This Row],[Début periode livraison]]))</f>
        <v>0</v>
      </c>
      <c r="Q664" t="e">
        <f ca="1">INDEX(INDIRECT(CONCATENATE("Tab_",Tab_Calculs[[#This Row],[Colonne1]])),Tab_Calculs[[#This Row],[index_date_livraison]]+1,7)*(Tab_Calculs[[#This Row],[fin mois]]-MIN(Tab_Calculs[[#This Row],[fin mois]],Tab_Calculs[[#This Row],[Date_livraison]]))</f>
        <v>#VALUE!</v>
      </c>
      <c r="R664" t="e">
        <f ca="1">Tab_Calculs[[#This Row],[Ratio_Cout_après_livr]]+Tab_Calculs[[#This Row],[Ratio_Cout_avant_livr]]+Tab_Calculs[[#This Row],[Ratio_Cout_avant_debut]]</f>
        <v>#VALUE!</v>
      </c>
      <c r="S664" t="str">
        <f ca="1">IFERROR(N664*VLOOKUP(Tab_Calculs[[#This Row],[Colonne1]],Controle_des_données!$B$7:$G$14,6,FALSE),"")</f>
        <v/>
      </c>
      <c r="T664" t="str">
        <f ca="1">IF(Tab_Calculs[[#This Row],[Combustible ]]="Electricité (kWh)",Tab_Calculs[[#This Row],[Conso_mois_kWh]]*2.3,Tab_Calculs[[#This Row],[Conso_mois_kWh]])</f>
        <v/>
      </c>
      <c r="U664" t="str">
        <f ca="1">IFERROR(N664*VLOOKUP(Tab_Calculs[[#This Row],[Colonne1]],Controle_des_données!$B$7:$H$14,7,FALSE),"")</f>
        <v/>
      </c>
      <c r="V664">
        <f ca="1">IFERROR(Tab_Calculs[[#This Row],[Cout_mois]]/Tab_Calculs[[#This Row],[Conso_mois_kWh]],0)</f>
        <v>0</v>
      </c>
      <c r="W664" t="str">
        <f>T(VLOOKUP(Tab_Calculs[[#This Row],[Compteur]],Site!$B$33:$G$40,3,FALSE))</f>
        <v/>
      </c>
      <c r="X664" t="str">
        <f>T(VLOOKUP(Tab_Calculs[[#This Row],[Compteur]],Site!$B$33:$G$40,4,FALSE))</f>
        <v/>
      </c>
      <c r="Y664" t="str">
        <f>T(VLOOKUP(Tab_Calculs[[#This Row],[Compteur]],Site!$B$33:$G$40,5,FALSE))</f>
        <v/>
      </c>
      <c r="Z664" t="str">
        <f>T(VLOOKUP(Tab_Calculs[[#This Row],[Compteur]],Site!$B$33:$G$40,6,FALSE))</f>
        <v/>
      </c>
      <c r="AA664">
        <f>IFERROR(GETPIVOTDATA("DJU(chauffagiste)",BDD_DJU!$P$13,"annee",Tab_Calculs[[#This Row],[ANNEE]],"mois_numero",Tab_Calculs[[#This Row],[MOIS]]),0)</f>
        <v>33.799999999999997</v>
      </c>
    </row>
    <row r="665" spans="1:27" x14ac:dyDescent="0.25">
      <c r="A665" s="3">
        <f>DATE(Tab_Calculs[[#This Row],[ANNEE]],Tab_Calculs[[#This Row],[MOIS]],1)</f>
        <v>42614</v>
      </c>
      <c r="B665" s="3">
        <f>EDATE(Tab_Calculs[[#This Row],[Début mois]],1)-1</f>
        <v>42643</v>
      </c>
      <c r="C665">
        <f t="shared" si="22"/>
        <v>9</v>
      </c>
      <c r="D665">
        <f t="shared" si="21"/>
        <v>2016</v>
      </c>
      <c r="E665" t="s">
        <v>83</v>
      </c>
      <c r="F665" t="str">
        <f>SUBSTITUTE(Tab_Calculs[[#This Row],[Compteur]]," ","_")</f>
        <v>Compteur_4</v>
      </c>
      <c r="G665" t="str">
        <f>T(INDEX(Site!$B$33:$G$40, MATCH(Tab_Calculs[[#This Row],[Compteur]], Site!$B$33:$B$40,0),2))</f>
        <v/>
      </c>
      <c r="H665" s="3">
        <f t="array" aca="1" ref="H665" ca="1">MIN(IF(INDIRECT(CONCATENATE(Tab_Calculs[[#This Row],[Colonne1]],"!$B$2:$B$243"))&gt;=Calculs_Consos!$A665,INDIRECT(CONCATENATE(Tab_Calculs[[#This Row],[Colonne1]],"!$B$2:$B$243"))))</f>
        <v>0</v>
      </c>
      <c r="I665" s="3">
        <f ca="1">INDEX(INDIRECT(CONCATENATE("Tab_",Tab_Calculs[[#This Row],[Colonne1]])),Tab_Calculs[[#This Row],[index_date_livraison]],1)</f>
        <v>0</v>
      </c>
      <c r="J665">
        <f ca="1">MATCH(Tab_Calculs[[#This Row],[Date_livraison]],INDIRECT(CONCATENATE("Tab_",Tab_Calculs[[#This Row],[Colonne1]],"[Fin de période]")),0)</f>
        <v>1</v>
      </c>
      <c r="K665" t="e">
        <f ca="1">INDEX(INDIRECT(CONCATENATE("Tab_",Tab_Calculs[[#This Row],[Colonne1]])),Tab_Calculs[[#This Row],[index_date_livraison]]-1,6)*(MAX(Tab_Calculs[[#This Row],[Début periode livraison]],Tab_Calculs[[#This Row],[Début mois]])-Tab_Calculs[[#This Row],[Début mois]])</f>
        <v>#VALUE!</v>
      </c>
      <c r="L665" s="94">
        <f ca="1">INDEX(INDIRECT(CONCATENATE("Tab_",Tab_Calculs[[#This Row],[Colonne1]])),Tab_Calculs[[#This Row],[index_date_livraison]],6)*(1+MIN(Tab_Calculs[[#This Row],[Date_livraison]],Tab_Calculs[[#This Row],[fin mois]])-MAX(Tab_Calculs[[#This Row],[Début mois]],Tab_Calculs[[#This Row],[Début periode livraison]]))</f>
        <v>0</v>
      </c>
      <c r="M665" s="94" t="e">
        <f ca="1">INDEX(INDIRECT(CONCATENATE("Tab_",Tab_Calculs[[#This Row],[Colonne1]])),Tab_Calculs[[#This Row],[index_date_livraison]]+1,6)*(Tab_Calculs[[#This Row],[fin mois]]-MIN(Tab_Calculs[[#This Row],[fin mois]],Tab_Calculs[[#This Row],[Date_livraison]]))</f>
        <v>#VALUE!</v>
      </c>
      <c r="N665" s="231" t="str">
        <f ca="1">IFERROR(Tab_Calculs[[#This Row],[Ratio_jour_après_livr]]+Tab_Calculs[[#This Row],[Ratio_jour_avant_livr]]+Tab_Calculs[[#This Row],[ratio_avant_debut]],"")</f>
        <v/>
      </c>
      <c r="O665" t="e">
        <f ca="1">INDEX(INDIRECT(CONCATENATE("Tab_",Tab_Calculs[[#This Row],[Colonne1]])),Tab_Calculs[[#This Row],[index_date_livraison]]-1,7)*(MAX(Tab_Calculs[[#This Row],[Début periode livraison]],Tab_Calculs[[#This Row],[Début mois]])-Tab_Calculs[[#This Row],[Début mois]])</f>
        <v>#VALUE!</v>
      </c>
      <c r="P665">
        <f ca="1">INDEX(INDIRECT(CONCATENATE("Tab_",Tab_Calculs[[#This Row],[Colonne1]])),Tab_Calculs[[#This Row],[index_date_livraison]],7)*(1+MIN(Tab_Calculs[[#This Row],[Date_livraison]],Tab_Calculs[[#This Row],[fin mois]])-MAX(Tab_Calculs[[#This Row],[Début mois]],Tab_Calculs[[#This Row],[Début periode livraison]]))</f>
        <v>0</v>
      </c>
      <c r="Q665" t="e">
        <f ca="1">INDEX(INDIRECT(CONCATENATE("Tab_",Tab_Calculs[[#This Row],[Colonne1]])),Tab_Calculs[[#This Row],[index_date_livraison]]+1,7)*(Tab_Calculs[[#This Row],[fin mois]]-MIN(Tab_Calculs[[#This Row],[fin mois]],Tab_Calculs[[#This Row],[Date_livraison]]))</f>
        <v>#VALUE!</v>
      </c>
      <c r="R665" t="e">
        <f ca="1">Tab_Calculs[[#This Row],[Ratio_Cout_après_livr]]+Tab_Calculs[[#This Row],[Ratio_Cout_avant_livr]]+Tab_Calculs[[#This Row],[Ratio_Cout_avant_debut]]</f>
        <v>#VALUE!</v>
      </c>
      <c r="S665" t="str">
        <f ca="1">IFERROR(N665*VLOOKUP(Tab_Calculs[[#This Row],[Colonne1]],Controle_des_données!$B$7:$G$14,6,FALSE),"")</f>
        <v/>
      </c>
      <c r="T665" t="str">
        <f ca="1">IF(Tab_Calculs[[#This Row],[Combustible ]]="Electricité (kWh)",Tab_Calculs[[#This Row],[Conso_mois_kWh]]*2.3,Tab_Calculs[[#This Row],[Conso_mois_kWh]])</f>
        <v/>
      </c>
      <c r="U665" t="str">
        <f ca="1">IFERROR(N665*VLOOKUP(Tab_Calculs[[#This Row],[Colonne1]],Controle_des_données!$B$7:$H$14,7,FALSE),"")</f>
        <v/>
      </c>
      <c r="V665">
        <f ca="1">IFERROR(Tab_Calculs[[#This Row],[Cout_mois]]/Tab_Calculs[[#This Row],[Conso_mois_kWh]],0)</f>
        <v>0</v>
      </c>
      <c r="W665" t="str">
        <f>T(VLOOKUP(Tab_Calculs[[#This Row],[Compteur]],Site!$B$33:$G$40,3,FALSE))</f>
        <v/>
      </c>
      <c r="X665" t="str">
        <f>T(VLOOKUP(Tab_Calculs[[#This Row],[Compteur]],Site!$B$33:$G$40,4,FALSE))</f>
        <v/>
      </c>
      <c r="Y665" t="str">
        <f>T(VLOOKUP(Tab_Calculs[[#This Row],[Compteur]],Site!$B$33:$G$40,5,FALSE))</f>
        <v/>
      </c>
      <c r="Z665" t="str">
        <f>T(VLOOKUP(Tab_Calculs[[#This Row],[Compteur]],Site!$B$33:$G$40,6,FALSE))</f>
        <v/>
      </c>
      <c r="AA665">
        <f>IFERROR(GETPIVOTDATA("DJU(chauffagiste)",BDD_DJU!$P$13,"annee",Tab_Calculs[[#This Row],[ANNEE]],"mois_numero",Tab_Calculs[[#This Row],[MOIS]]),0)</f>
        <v>43.5</v>
      </c>
    </row>
    <row r="666" spans="1:27" x14ac:dyDescent="0.25">
      <c r="A666" s="3">
        <f>DATE(Tab_Calculs[[#This Row],[ANNEE]],Tab_Calculs[[#This Row],[MOIS]],1)</f>
        <v>42644</v>
      </c>
      <c r="B666" s="3">
        <f>EDATE(Tab_Calculs[[#This Row],[Début mois]],1)-1</f>
        <v>42674</v>
      </c>
      <c r="C666">
        <f t="shared" si="22"/>
        <v>10</v>
      </c>
      <c r="D666">
        <f t="shared" si="21"/>
        <v>2016</v>
      </c>
      <c r="E666" t="s">
        <v>83</v>
      </c>
      <c r="F666" t="str">
        <f>SUBSTITUTE(Tab_Calculs[[#This Row],[Compteur]]," ","_")</f>
        <v>Compteur_4</v>
      </c>
      <c r="G666" t="str">
        <f>T(INDEX(Site!$B$33:$G$40, MATCH(Tab_Calculs[[#This Row],[Compteur]], Site!$B$33:$B$40,0),2))</f>
        <v/>
      </c>
      <c r="H666" s="3">
        <f t="array" aca="1" ref="H666" ca="1">MIN(IF(INDIRECT(CONCATENATE(Tab_Calculs[[#This Row],[Colonne1]],"!$B$2:$B$243"))&gt;=Calculs_Consos!$A666,INDIRECT(CONCATENATE(Tab_Calculs[[#This Row],[Colonne1]],"!$B$2:$B$243"))))</f>
        <v>0</v>
      </c>
      <c r="I666" s="3">
        <f ca="1">INDEX(INDIRECT(CONCATENATE("Tab_",Tab_Calculs[[#This Row],[Colonne1]])),Tab_Calculs[[#This Row],[index_date_livraison]],1)</f>
        <v>0</v>
      </c>
      <c r="J666">
        <f ca="1">MATCH(Tab_Calculs[[#This Row],[Date_livraison]],INDIRECT(CONCATENATE("Tab_",Tab_Calculs[[#This Row],[Colonne1]],"[Fin de période]")),0)</f>
        <v>1</v>
      </c>
      <c r="K666" t="e">
        <f ca="1">INDEX(INDIRECT(CONCATENATE("Tab_",Tab_Calculs[[#This Row],[Colonne1]])),Tab_Calculs[[#This Row],[index_date_livraison]]-1,6)*(MAX(Tab_Calculs[[#This Row],[Début periode livraison]],Tab_Calculs[[#This Row],[Début mois]])-Tab_Calculs[[#This Row],[Début mois]])</f>
        <v>#VALUE!</v>
      </c>
      <c r="L666" s="94">
        <f ca="1">INDEX(INDIRECT(CONCATENATE("Tab_",Tab_Calculs[[#This Row],[Colonne1]])),Tab_Calculs[[#This Row],[index_date_livraison]],6)*(1+MIN(Tab_Calculs[[#This Row],[Date_livraison]],Tab_Calculs[[#This Row],[fin mois]])-MAX(Tab_Calculs[[#This Row],[Début mois]],Tab_Calculs[[#This Row],[Début periode livraison]]))</f>
        <v>0</v>
      </c>
      <c r="M666" s="94" t="e">
        <f ca="1">INDEX(INDIRECT(CONCATENATE("Tab_",Tab_Calculs[[#This Row],[Colonne1]])),Tab_Calculs[[#This Row],[index_date_livraison]]+1,6)*(Tab_Calculs[[#This Row],[fin mois]]-MIN(Tab_Calculs[[#This Row],[fin mois]],Tab_Calculs[[#This Row],[Date_livraison]]))</f>
        <v>#VALUE!</v>
      </c>
      <c r="N666" s="231" t="str">
        <f ca="1">IFERROR(Tab_Calculs[[#This Row],[Ratio_jour_après_livr]]+Tab_Calculs[[#This Row],[Ratio_jour_avant_livr]]+Tab_Calculs[[#This Row],[ratio_avant_debut]],"")</f>
        <v/>
      </c>
      <c r="O666" t="e">
        <f ca="1">INDEX(INDIRECT(CONCATENATE("Tab_",Tab_Calculs[[#This Row],[Colonne1]])),Tab_Calculs[[#This Row],[index_date_livraison]]-1,7)*(MAX(Tab_Calculs[[#This Row],[Début periode livraison]],Tab_Calculs[[#This Row],[Début mois]])-Tab_Calculs[[#This Row],[Début mois]])</f>
        <v>#VALUE!</v>
      </c>
      <c r="P666">
        <f ca="1">INDEX(INDIRECT(CONCATENATE("Tab_",Tab_Calculs[[#This Row],[Colonne1]])),Tab_Calculs[[#This Row],[index_date_livraison]],7)*(1+MIN(Tab_Calculs[[#This Row],[Date_livraison]],Tab_Calculs[[#This Row],[fin mois]])-MAX(Tab_Calculs[[#This Row],[Début mois]],Tab_Calculs[[#This Row],[Début periode livraison]]))</f>
        <v>0</v>
      </c>
      <c r="Q666" t="e">
        <f ca="1">INDEX(INDIRECT(CONCATENATE("Tab_",Tab_Calculs[[#This Row],[Colonne1]])),Tab_Calculs[[#This Row],[index_date_livraison]]+1,7)*(Tab_Calculs[[#This Row],[fin mois]]-MIN(Tab_Calculs[[#This Row],[fin mois]],Tab_Calculs[[#This Row],[Date_livraison]]))</f>
        <v>#VALUE!</v>
      </c>
      <c r="R666" t="e">
        <f ca="1">Tab_Calculs[[#This Row],[Ratio_Cout_après_livr]]+Tab_Calculs[[#This Row],[Ratio_Cout_avant_livr]]+Tab_Calculs[[#This Row],[Ratio_Cout_avant_debut]]</f>
        <v>#VALUE!</v>
      </c>
      <c r="S666" t="str">
        <f ca="1">IFERROR(N666*VLOOKUP(Tab_Calculs[[#This Row],[Colonne1]],Controle_des_données!$B$7:$G$14,6,FALSE),"")</f>
        <v/>
      </c>
      <c r="T666" t="str">
        <f ca="1">IF(Tab_Calculs[[#This Row],[Combustible ]]="Electricité (kWh)",Tab_Calculs[[#This Row],[Conso_mois_kWh]]*2.3,Tab_Calculs[[#This Row],[Conso_mois_kWh]])</f>
        <v/>
      </c>
      <c r="U666" t="str">
        <f ca="1">IFERROR(N666*VLOOKUP(Tab_Calculs[[#This Row],[Colonne1]],Controle_des_données!$B$7:$H$14,7,FALSE),"")</f>
        <v/>
      </c>
      <c r="V666">
        <f ca="1">IFERROR(Tab_Calculs[[#This Row],[Cout_mois]]/Tab_Calculs[[#This Row],[Conso_mois_kWh]],0)</f>
        <v>0</v>
      </c>
      <c r="W666" t="str">
        <f>T(VLOOKUP(Tab_Calculs[[#This Row],[Compteur]],Site!$B$33:$G$40,3,FALSE))</f>
        <v/>
      </c>
      <c r="X666" t="str">
        <f>T(VLOOKUP(Tab_Calculs[[#This Row],[Compteur]],Site!$B$33:$G$40,4,FALSE))</f>
        <v/>
      </c>
      <c r="Y666" t="str">
        <f>T(VLOOKUP(Tab_Calculs[[#This Row],[Compteur]],Site!$B$33:$G$40,5,FALSE))</f>
        <v/>
      </c>
      <c r="Z666" t="str">
        <f>T(VLOOKUP(Tab_Calculs[[#This Row],[Compteur]],Site!$B$33:$G$40,6,FALSE))</f>
        <v/>
      </c>
      <c r="AA666">
        <f>IFERROR(GETPIVOTDATA("DJU(chauffagiste)",BDD_DJU!$P$13,"annee",Tab_Calculs[[#This Row],[ANNEE]],"mois_numero",Tab_Calculs[[#This Row],[MOIS]]),0)</f>
        <v>202.6</v>
      </c>
    </row>
    <row r="667" spans="1:27" x14ac:dyDescent="0.25">
      <c r="A667" s="3">
        <f>DATE(Tab_Calculs[[#This Row],[ANNEE]],Tab_Calculs[[#This Row],[MOIS]],1)</f>
        <v>42675</v>
      </c>
      <c r="B667" s="3">
        <f>EDATE(Tab_Calculs[[#This Row],[Début mois]],1)-1</f>
        <v>42704</v>
      </c>
      <c r="C667">
        <f t="shared" si="22"/>
        <v>11</v>
      </c>
      <c r="D667">
        <f t="shared" si="21"/>
        <v>2016</v>
      </c>
      <c r="E667" t="s">
        <v>83</v>
      </c>
      <c r="F667" t="str">
        <f>SUBSTITUTE(Tab_Calculs[[#This Row],[Compteur]]," ","_")</f>
        <v>Compteur_4</v>
      </c>
      <c r="G667" t="str">
        <f>T(INDEX(Site!$B$33:$G$40, MATCH(Tab_Calculs[[#This Row],[Compteur]], Site!$B$33:$B$40,0),2))</f>
        <v/>
      </c>
      <c r="H667" s="3">
        <f t="array" aca="1" ref="H667" ca="1">MIN(IF(INDIRECT(CONCATENATE(Tab_Calculs[[#This Row],[Colonne1]],"!$B$2:$B$243"))&gt;=Calculs_Consos!$A667,INDIRECT(CONCATENATE(Tab_Calculs[[#This Row],[Colonne1]],"!$B$2:$B$243"))))</f>
        <v>0</v>
      </c>
      <c r="I667" s="3">
        <f ca="1">INDEX(INDIRECT(CONCATENATE("Tab_",Tab_Calculs[[#This Row],[Colonne1]])),Tab_Calculs[[#This Row],[index_date_livraison]],1)</f>
        <v>0</v>
      </c>
      <c r="J667">
        <f ca="1">MATCH(Tab_Calculs[[#This Row],[Date_livraison]],INDIRECT(CONCATENATE("Tab_",Tab_Calculs[[#This Row],[Colonne1]],"[Fin de période]")),0)</f>
        <v>1</v>
      </c>
      <c r="K667" t="e">
        <f ca="1">INDEX(INDIRECT(CONCATENATE("Tab_",Tab_Calculs[[#This Row],[Colonne1]])),Tab_Calculs[[#This Row],[index_date_livraison]]-1,6)*(MAX(Tab_Calculs[[#This Row],[Début periode livraison]],Tab_Calculs[[#This Row],[Début mois]])-Tab_Calculs[[#This Row],[Début mois]])</f>
        <v>#VALUE!</v>
      </c>
      <c r="L667" s="94">
        <f ca="1">INDEX(INDIRECT(CONCATENATE("Tab_",Tab_Calculs[[#This Row],[Colonne1]])),Tab_Calculs[[#This Row],[index_date_livraison]],6)*(1+MIN(Tab_Calculs[[#This Row],[Date_livraison]],Tab_Calculs[[#This Row],[fin mois]])-MAX(Tab_Calculs[[#This Row],[Début mois]],Tab_Calculs[[#This Row],[Début periode livraison]]))</f>
        <v>0</v>
      </c>
      <c r="M667" s="94" t="e">
        <f ca="1">INDEX(INDIRECT(CONCATENATE("Tab_",Tab_Calculs[[#This Row],[Colonne1]])),Tab_Calculs[[#This Row],[index_date_livraison]]+1,6)*(Tab_Calculs[[#This Row],[fin mois]]-MIN(Tab_Calculs[[#This Row],[fin mois]],Tab_Calculs[[#This Row],[Date_livraison]]))</f>
        <v>#VALUE!</v>
      </c>
      <c r="N667" s="231" t="str">
        <f ca="1">IFERROR(Tab_Calculs[[#This Row],[Ratio_jour_après_livr]]+Tab_Calculs[[#This Row],[Ratio_jour_avant_livr]]+Tab_Calculs[[#This Row],[ratio_avant_debut]],"")</f>
        <v/>
      </c>
      <c r="O667" t="e">
        <f ca="1">INDEX(INDIRECT(CONCATENATE("Tab_",Tab_Calculs[[#This Row],[Colonne1]])),Tab_Calculs[[#This Row],[index_date_livraison]]-1,7)*(MAX(Tab_Calculs[[#This Row],[Début periode livraison]],Tab_Calculs[[#This Row],[Début mois]])-Tab_Calculs[[#This Row],[Début mois]])</f>
        <v>#VALUE!</v>
      </c>
      <c r="P667">
        <f ca="1">INDEX(INDIRECT(CONCATENATE("Tab_",Tab_Calculs[[#This Row],[Colonne1]])),Tab_Calculs[[#This Row],[index_date_livraison]],7)*(1+MIN(Tab_Calculs[[#This Row],[Date_livraison]],Tab_Calculs[[#This Row],[fin mois]])-MAX(Tab_Calculs[[#This Row],[Début mois]],Tab_Calculs[[#This Row],[Début periode livraison]]))</f>
        <v>0</v>
      </c>
      <c r="Q667" t="e">
        <f ca="1">INDEX(INDIRECT(CONCATENATE("Tab_",Tab_Calculs[[#This Row],[Colonne1]])),Tab_Calculs[[#This Row],[index_date_livraison]]+1,7)*(Tab_Calculs[[#This Row],[fin mois]]-MIN(Tab_Calculs[[#This Row],[fin mois]],Tab_Calculs[[#This Row],[Date_livraison]]))</f>
        <v>#VALUE!</v>
      </c>
      <c r="R667" t="e">
        <f ca="1">Tab_Calculs[[#This Row],[Ratio_Cout_après_livr]]+Tab_Calculs[[#This Row],[Ratio_Cout_avant_livr]]+Tab_Calculs[[#This Row],[Ratio_Cout_avant_debut]]</f>
        <v>#VALUE!</v>
      </c>
      <c r="S667" t="str">
        <f ca="1">IFERROR(N667*VLOOKUP(Tab_Calculs[[#This Row],[Colonne1]],Controle_des_données!$B$7:$G$14,6,FALSE),"")</f>
        <v/>
      </c>
      <c r="T667" t="str">
        <f ca="1">IF(Tab_Calculs[[#This Row],[Combustible ]]="Electricité (kWh)",Tab_Calculs[[#This Row],[Conso_mois_kWh]]*2.3,Tab_Calculs[[#This Row],[Conso_mois_kWh]])</f>
        <v/>
      </c>
      <c r="U667" t="str">
        <f ca="1">IFERROR(N667*VLOOKUP(Tab_Calculs[[#This Row],[Colonne1]],Controle_des_données!$B$7:$H$14,7,FALSE),"")</f>
        <v/>
      </c>
      <c r="V667">
        <f ca="1">IFERROR(Tab_Calculs[[#This Row],[Cout_mois]]/Tab_Calculs[[#This Row],[Conso_mois_kWh]],0)</f>
        <v>0</v>
      </c>
      <c r="W667" t="str">
        <f>T(VLOOKUP(Tab_Calculs[[#This Row],[Compteur]],Site!$B$33:$G$40,3,FALSE))</f>
        <v/>
      </c>
      <c r="X667" t="str">
        <f>T(VLOOKUP(Tab_Calculs[[#This Row],[Compteur]],Site!$B$33:$G$40,4,FALSE))</f>
        <v/>
      </c>
      <c r="Y667" t="str">
        <f>T(VLOOKUP(Tab_Calculs[[#This Row],[Compteur]],Site!$B$33:$G$40,5,FALSE))</f>
        <v/>
      </c>
      <c r="Z667" t="str">
        <f>T(VLOOKUP(Tab_Calculs[[#This Row],[Compteur]],Site!$B$33:$G$40,6,FALSE))</f>
        <v/>
      </c>
      <c r="AA667">
        <f>IFERROR(GETPIVOTDATA("DJU(chauffagiste)",BDD_DJU!$P$13,"annee",Tab_Calculs[[#This Row],[ANNEE]],"mois_numero",Tab_Calculs[[#This Row],[MOIS]]),0)</f>
        <v>289.2</v>
      </c>
    </row>
    <row r="668" spans="1:27" x14ac:dyDescent="0.25">
      <c r="A668" s="3">
        <f>DATE(Tab_Calculs[[#This Row],[ANNEE]],Tab_Calculs[[#This Row],[MOIS]],1)</f>
        <v>42705</v>
      </c>
      <c r="B668" s="3">
        <f>EDATE(Tab_Calculs[[#This Row],[Début mois]],1)-1</f>
        <v>42735</v>
      </c>
      <c r="C668">
        <f t="shared" si="22"/>
        <v>12</v>
      </c>
      <c r="D668">
        <f t="shared" si="21"/>
        <v>2016</v>
      </c>
      <c r="E668" t="s">
        <v>83</v>
      </c>
      <c r="F668" t="str">
        <f>SUBSTITUTE(Tab_Calculs[[#This Row],[Compteur]]," ","_")</f>
        <v>Compteur_4</v>
      </c>
      <c r="G668" t="str">
        <f>T(INDEX(Site!$B$33:$G$40, MATCH(Tab_Calculs[[#This Row],[Compteur]], Site!$B$33:$B$40,0),2))</f>
        <v/>
      </c>
      <c r="H668" s="3">
        <f t="array" aca="1" ref="H668" ca="1">MIN(IF(INDIRECT(CONCATENATE(Tab_Calculs[[#This Row],[Colonne1]],"!$B$2:$B$243"))&gt;=Calculs_Consos!$A668,INDIRECT(CONCATENATE(Tab_Calculs[[#This Row],[Colonne1]],"!$B$2:$B$243"))))</f>
        <v>0</v>
      </c>
      <c r="I668" s="3">
        <f ca="1">INDEX(INDIRECT(CONCATENATE("Tab_",Tab_Calculs[[#This Row],[Colonne1]])),Tab_Calculs[[#This Row],[index_date_livraison]],1)</f>
        <v>0</v>
      </c>
      <c r="J668">
        <f ca="1">MATCH(Tab_Calculs[[#This Row],[Date_livraison]],INDIRECT(CONCATENATE("Tab_",Tab_Calculs[[#This Row],[Colonne1]],"[Fin de période]")),0)</f>
        <v>1</v>
      </c>
      <c r="K668" t="e">
        <f ca="1">INDEX(INDIRECT(CONCATENATE("Tab_",Tab_Calculs[[#This Row],[Colonne1]])),Tab_Calculs[[#This Row],[index_date_livraison]]-1,6)*(MAX(Tab_Calculs[[#This Row],[Début periode livraison]],Tab_Calculs[[#This Row],[Début mois]])-Tab_Calculs[[#This Row],[Début mois]])</f>
        <v>#VALUE!</v>
      </c>
      <c r="L668" s="94">
        <f ca="1">INDEX(INDIRECT(CONCATENATE("Tab_",Tab_Calculs[[#This Row],[Colonne1]])),Tab_Calculs[[#This Row],[index_date_livraison]],6)*(1+MIN(Tab_Calculs[[#This Row],[Date_livraison]],Tab_Calculs[[#This Row],[fin mois]])-MAX(Tab_Calculs[[#This Row],[Début mois]],Tab_Calculs[[#This Row],[Début periode livraison]]))</f>
        <v>0</v>
      </c>
      <c r="M668" s="94" t="e">
        <f ca="1">INDEX(INDIRECT(CONCATENATE("Tab_",Tab_Calculs[[#This Row],[Colonne1]])),Tab_Calculs[[#This Row],[index_date_livraison]]+1,6)*(Tab_Calculs[[#This Row],[fin mois]]-MIN(Tab_Calculs[[#This Row],[fin mois]],Tab_Calculs[[#This Row],[Date_livraison]]))</f>
        <v>#VALUE!</v>
      </c>
      <c r="N668" s="231" t="str">
        <f ca="1">IFERROR(Tab_Calculs[[#This Row],[Ratio_jour_après_livr]]+Tab_Calculs[[#This Row],[Ratio_jour_avant_livr]]+Tab_Calculs[[#This Row],[ratio_avant_debut]],"")</f>
        <v/>
      </c>
      <c r="O668" t="e">
        <f ca="1">INDEX(INDIRECT(CONCATENATE("Tab_",Tab_Calculs[[#This Row],[Colonne1]])),Tab_Calculs[[#This Row],[index_date_livraison]]-1,7)*(MAX(Tab_Calculs[[#This Row],[Début periode livraison]],Tab_Calculs[[#This Row],[Début mois]])-Tab_Calculs[[#This Row],[Début mois]])</f>
        <v>#VALUE!</v>
      </c>
      <c r="P668">
        <f ca="1">INDEX(INDIRECT(CONCATENATE("Tab_",Tab_Calculs[[#This Row],[Colonne1]])),Tab_Calculs[[#This Row],[index_date_livraison]],7)*(1+MIN(Tab_Calculs[[#This Row],[Date_livraison]],Tab_Calculs[[#This Row],[fin mois]])-MAX(Tab_Calculs[[#This Row],[Début mois]],Tab_Calculs[[#This Row],[Début periode livraison]]))</f>
        <v>0</v>
      </c>
      <c r="Q668" t="e">
        <f ca="1">INDEX(INDIRECT(CONCATENATE("Tab_",Tab_Calculs[[#This Row],[Colonne1]])),Tab_Calculs[[#This Row],[index_date_livraison]]+1,7)*(Tab_Calculs[[#This Row],[fin mois]]-MIN(Tab_Calculs[[#This Row],[fin mois]],Tab_Calculs[[#This Row],[Date_livraison]]))</f>
        <v>#VALUE!</v>
      </c>
      <c r="R668" t="e">
        <f ca="1">Tab_Calculs[[#This Row],[Ratio_Cout_après_livr]]+Tab_Calculs[[#This Row],[Ratio_Cout_avant_livr]]+Tab_Calculs[[#This Row],[Ratio_Cout_avant_debut]]</f>
        <v>#VALUE!</v>
      </c>
      <c r="S668" t="str">
        <f ca="1">IFERROR(N668*VLOOKUP(Tab_Calculs[[#This Row],[Colonne1]],Controle_des_données!$B$7:$G$14,6,FALSE),"")</f>
        <v/>
      </c>
      <c r="T668" t="str">
        <f ca="1">IF(Tab_Calculs[[#This Row],[Combustible ]]="Electricité (kWh)",Tab_Calculs[[#This Row],[Conso_mois_kWh]]*2.3,Tab_Calculs[[#This Row],[Conso_mois_kWh]])</f>
        <v/>
      </c>
      <c r="U668" t="str">
        <f ca="1">IFERROR(N668*VLOOKUP(Tab_Calculs[[#This Row],[Colonne1]],Controle_des_données!$B$7:$H$14,7,FALSE),"")</f>
        <v/>
      </c>
      <c r="V668">
        <f ca="1">IFERROR(Tab_Calculs[[#This Row],[Cout_mois]]/Tab_Calculs[[#This Row],[Conso_mois_kWh]],0)</f>
        <v>0</v>
      </c>
      <c r="W668" t="str">
        <f>T(VLOOKUP(Tab_Calculs[[#This Row],[Compteur]],Site!$B$33:$G$40,3,FALSE))</f>
        <v/>
      </c>
      <c r="X668" t="str">
        <f>T(VLOOKUP(Tab_Calculs[[#This Row],[Compteur]],Site!$B$33:$G$40,4,FALSE))</f>
        <v/>
      </c>
      <c r="Y668" t="str">
        <f>T(VLOOKUP(Tab_Calculs[[#This Row],[Compteur]],Site!$B$33:$G$40,5,FALSE))</f>
        <v/>
      </c>
      <c r="Z668" t="str">
        <f>T(VLOOKUP(Tab_Calculs[[#This Row],[Compteur]],Site!$B$33:$G$40,6,FALSE))</f>
        <v/>
      </c>
      <c r="AA668">
        <f>IFERROR(GETPIVOTDATA("DJU(chauffagiste)",BDD_DJU!$P$13,"annee",Tab_Calculs[[#This Row],[ANNEE]],"mois_numero",Tab_Calculs[[#This Row],[MOIS]]),0)</f>
        <v>370.4</v>
      </c>
    </row>
    <row r="669" spans="1:27" x14ac:dyDescent="0.25">
      <c r="A669" s="3">
        <f>DATE(Tab_Calculs[[#This Row],[ANNEE]],Tab_Calculs[[#This Row],[MOIS]],1)</f>
        <v>42736</v>
      </c>
      <c r="B669" s="3">
        <f>EDATE(Tab_Calculs[[#This Row],[Début mois]],1)-1</f>
        <v>42766</v>
      </c>
      <c r="C669">
        <f t="shared" si="22"/>
        <v>1</v>
      </c>
      <c r="D669">
        <f t="shared" si="21"/>
        <v>2017</v>
      </c>
      <c r="E669" t="s">
        <v>83</v>
      </c>
      <c r="F669" t="str">
        <f>SUBSTITUTE(Tab_Calculs[[#This Row],[Compteur]]," ","_")</f>
        <v>Compteur_4</v>
      </c>
      <c r="G669" t="str">
        <f>T(INDEX(Site!$B$33:$G$40, MATCH(Tab_Calculs[[#This Row],[Compteur]], Site!$B$33:$B$40,0),2))</f>
        <v/>
      </c>
      <c r="H669" s="3">
        <f t="array" aca="1" ref="H669" ca="1">MIN(IF(INDIRECT(CONCATENATE(Tab_Calculs[[#This Row],[Colonne1]],"!$B$2:$B$243"))&gt;=Calculs_Consos!$A669,INDIRECT(CONCATENATE(Tab_Calculs[[#This Row],[Colonne1]],"!$B$2:$B$243"))))</f>
        <v>0</v>
      </c>
      <c r="I669" s="3">
        <f ca="1">INDEX(INDIRECT(CONCATENATE("Tab_",Tab_Calculs[[#This Row],[Colonne1]])),Tab_Calculs[[#This Row],[index_date_livraison]],1)</f>
        <v>0</v>
      </c>
      <c r="J669">
        <f ca="1">MATCH(Tab_Calculs[[#This Row],[Date_livraison]],INDIRECT(CONCATENATE("Tab_",Tab_Calculs[[#This Row],[Colonne1]],"[Fin de période]")),0)</f>
        <v>1</v>
      </c>
      <c r="K669" t="e">
        <f ca="1">INDEX(INDIRECT(CONCATENATE("Tab_",Tab_Calculs[[#This Row],[Colonne1]])),Tab_Calculs[[#This Row],[index_date_livraison]]-1,6)*(MAX(Tab_Calculs[[#This Row],[Début periode livraison]],Tab_Calculs[[#This Row],[Début mois]])-Tab_Calculs[[#This Row],[Début mois]])</f>
        <v>#VALUE!</v>
      </c>
      <c r="L669" s="94">
        <f ca="1">INDEX(INDIRECT(CONCATENATE("Tab_",Tab_Calculs[[#This Row],[Colonne1]])),Tab_Calculs[[#This Row],[index_date_livraison]],6)*(1+MIN(Tab_Calculs[[#This Row],[Date_livraison]],Tab_Calculs[[#This Row],[fin mois]])-MAX(Tab_Calculs[[#This Row],[Début mois]],Tab_Calculs[[#This Row],[Début periode livraison]]))</f>
        <v>0</v>
      </c>
      <c r="M669" s="94" t="e">
        <f ca="1">INDEX(INDIRECT(CONCATENATE("Tab_",Tab_Calculs[[#This Row],[Colonne1]])),Tab_Calculs[[#This Row],[index_date_livraison]]+1,6)*(Tab_Calculs[[#This Row],[fin mois]]-MIN(Tab_Calculs[[#This Row],[fin mois]],Tab_Calculs[[#This Row],[Date_livraison]]))</f>
        <v>#VALUE!</v>
      </c>
      <c r="N669" s="231" t="str">
        <f ca="1">IFERROR(Tab_Calculs[[#This Row],[Ratio_jour_après_livr]]+Tab_Calculs[[#This Row],[Ratio_jour_avant_livr]]+Tab_Calculs[[#This Row],[ratio_avant_debut]],"")</f>
        <v/>
      </c>
      <c r="O669" t="e">
        <f ca="1">INDEX(INDIRECT(CONCATENATE("Tab_",Tab_Calculs[[#This Row],[Colonne1]])),Tab_Calculs[[#This Row],[index_date_livraison]]-1,7)*(MAX(Tab_Calculs[[#This Row],[Début periode livraison]],Tab_Calculs[[#This Row],[Début mois]])-Tab_Calculs[[#This Row],[Début mois]])</f>
        <v>#VALUE!</v>
      </c>
      <c r="P669">
        <f ca="1">INDEX(INDIRECT(CONCATENATE("Tab_",Tab_Calculs[[#This Row],[Colonne1]])),Tab_Calculs[[#This Row],[index_date_livraison]],7)*(1+MIN(Tab_Calculs[[#This Row],[Date_livraison]],Tab_Calculs[[#This Row],[fin mois]])-MAX(Tab_Calculs[[#This Row],[Début mois]],Tab_Calculs[[#This Row],[Début periode livraison]]))</f>
        <v>0</v>
      </c>
      <c r="Q669" t="e">
        <f ca="1">INDEX(INDIRECT(CONCATENATE("Tab_",Tab_Calculs[[#This Row],[Colonne1]])),Tab_Calculs[[#This Row],[index_date_livraison]]+1,7)*(Tab_Calculs[[#This Row],[fin mois]]-MIN(Tab_Calculs[[#This Row],[fin mois]],Tab_Calculs[[#This Row],[Date_livraison]]))</f>
        <v>#VALUE!</v>
      </c>
      <c r="R669" t="e">
        <f ca="1">Tab_Calculs[[#This Row],[Ratio_Cout_après_livr]]+Tab_Calculs[[#This Row],[Ratio_Cout_avant_livr]]+Tab_Calculs[[#This Row],[Ratio_Cout_avant_debut]]</f>
        <v>#VALUE!</v>
      </c>
      <c r="S669" t="str">
        <f ca="1">IFERROR(N669*VLOOKUP(Tab_Calculs[[#This Row],[Colonne1]],Controle_des_données!$B$7:$G$14,6,FALSE),"")</f>
        <v/>
      </c>
      <c r="T669" t="str">
        <f ca="1">IF(Tab_Calculs[[#This Row],[Combustible ]]="Electricité (kWh)",Tab_Calculs[[#This Row],[Conso_mois_kWh]]*2.3,Tab_Calculs[[#This Row],[Conso_mois_kWh]])</f>
        <v/>
      </c>
      <c r="U669" t="str">
        <f ca="1">IFERROR(N669*VLOOKUP(Tab_Calculs[[#This Row],[Colonne1]],Controle_des_données!$B$7:$H$14,7,FALSE),"")</f>
        <v/>
      </c>
      <c r="V669">
        <f ca="1">IFERROR(Tab_Calculs[[#This Row],[Cout_mois]]/Tab_Calculs[[#This Row],[Conso_mois_kWh]],0)</f>
        <v>0</v>
      </c>
      <c r="W669" t="str">
        <f>T(VLOOKUP(Tab_Calculs[[#This Row],[Compteur]],Site!$B$33:$G$40,3,FALSE))</f>
        <v/>
      </c>
      <c r="X669" t="str">
        <f>T(VLOOKUP(Tab_Calculs[[#This Row],[Compteur]],Site!$B$33:$G$40,4,FALSE))</f>
        <v/>
      </c>
      <c r="Y669" t="str">
        <f>T(VLOOKUP(Tab_Calculs[[#This Row],[Compteur]],Site!$B$33:$G$40,5,FALSE))</f>
        <v/>
      </c>
      <c r="Z669" t="str">
        <f>T(VLOOKUP(Tab_Calculs[[#This Row],[Compteur]],Site!$B$33:$G$40,6,FALSE))</f>
        <v/>
      </c>
      <c r="AA669">
        <f>IFERROR(GETPIVOTDATA("DJU(chauffagiste)",BDD_DJU!$P$13,"annee",Tab_Calculs[[#This Row],[ANNEE]],"mois_numero",Tab_Calculs[[#This Row],[MOIS]]),0)</f>
        <v>451.9</v>
      </c>
    </row>
    <row r="670" spans="1:27" x14ac:dyDescent="0.25">
      <c r="A670" s="3">
        <f>DATE(Tab_Calculs[[#This Row],[ANNEE]],Tab_Calculs[[#This Row],[MOIS]],1)</f>
        <v>42767</v>
      </c>
      <c r="B670" s="3">
        <f>EDATE(Tab_Calculs[[#This Row],[Début mois]],1)-1</f>
        <v>42794</v>
      </c>
      <c r="C670">
        <f t="shared" si="22"/>
        <v>2</v>
      </c>
      <c r="D670">
        <f>D658+1</f>
        <v>2017</v>
      </c>
      <c r="E670" t="s">
        <v>83</v>
      </c>
      <c r="F670" t="str">
        <f>SUBSTITUTE(Tab_Calculs[[#This Row],[Compteur]]," ","_")</f>
        <v>Compteur_4</v>
      </c>
      <c r="G670" t="str">
        <f>T(INDEX(Site!$B$33:$G$40, MATCH(Tab_Calculs[[#This Row],[Compteur]], Site!$B$33:$B$40,0),2))</f>
        <v/>
      </c>
      <c r="H670" s="3">
        <f t="array" aca="1" ref="H670" ca="1">MIN(IF(INDIRECT(CONCATENATE(Tab_Calculs[[#This Row],[Colonne1]],"!$B$2:$B$243"))&gt;=Calculs_Consos!$A670,INDIRECT(CONCATENATE(Tab_Calculs[[#This Row],[Colonne1]],"!$B$2:$B$243"))))</f>
        <v>0</v>
      </c>
      <c r="I670" s="3">
        <f ca="1">INDEX(INDIRECT(CONCATENATE("Tab_",Tab_Calculs[[#This Row],[Colonne1]])),Tab_Calculs[[#This Row],[index_date_livraison]],1)</f>
        <v>0</v>
      </c>
      <c r="J670">
        <f ca="1">MATCH(Tab_Calculs[[#This Row],[Date_livraison]],INDIRECT(CONCATENATE("Tab_",Tab_Calculs[[#This Row],[Colonne1]],"[Fin de période]")),0)</f>
        <v>1</v>
      </c>
      <c r="K670" t="e">
        <f ca="1">INDEX(INDIRECT(CONCATENATE("Tab_",Tab_Calculs[[#This Row],[Colonne1]])),Tab_Calculs[[#This Row],[index_date_livraison]]-1,6)*(MAX(Tab_Calculs[[#This Row],[Début periode livraison]],Tab_Calculs[[#This Row],[Début mois]])-Tab_Calculs[[#This Row],[Début mois]])</f>
        <v>#VALUE!</v>
      </c>
      <c r="L670" s="94">
        <f ca="1">INDEX(INDIRECT(CONCATENATE("Tab_",Tab_Calculs[[#This Row],[Colonne1]])),Tab_Calculs[[#This Row],[index_date_livraison]],6)*(1+MIN(Tab_Calculs[[#This Row],[Date_livraison]],Tab_Calculs[[#This Row],[fin mois]])-MAX(Tab_Calculs[[#This Row],[Début mois]],Tab_Calculs[[#This Row],[Début periode livraison]]))</f>
        <v>0</v>
      </c>
      <c r="M670" s="94" t="e">
        <f ca="1">INDEX(INDIRECT(CONCATENATE("Tab_",Tab_Calculs[[#This Row],[Colonne1]])),Tab_Calculs[[#This Row],[index_date_livraison]]+1,6)*(Tab_Calculs[[#This Row],[fin mois]]-MIN(Tab_Calculs[[#This Row],[fin mois]],Tab_Calculs[[#This Row],[Date_livraison]]))</f>
        <v>#VALUE!</v>
      </c>
      <c r="N670" s="231" t="str">
        <f ca="1">IFERROR(Tab_Calculs[[#This Row],[Ratio_jour_après_livr]]+Tab_Calculs[[#This Row],[Ratio_jour_avant_livr]]+Tab_Calculs[[#This Row],[ratio_avant_debut]],"")</f>
        <v/>
      </c>
      <c r="O670" t="e">
        <f ca="1">INDEX(INDIRECT(CONCATENATE("Tab_",Tab_Calculs[[#This Row],[Colonne1]])),Tab_Calculs[[#This Row],[index_date_livraison]]-1,7)*(MAX(Tab_Calculs[[#This Row],[Début periode livraison]],Tab_Calculs[[#This Row],[Début mois]])-Tab_Calculs[[#This Row],[Début mois]])</f>
        <v>#VALUE!</v>
      </c>
      <c r="P670">
        <f ca="1">INDEX(INDIRECT(CONCATENATE("Tab_",Tab_Calculs[[#This Row],[Colonne1]])),Tab_Calculs[[#This Row],[index_date_livraison]],7)*(1+MIN(Tab_Calculs[[#This Row],[Date_livraison]],Tab_Calculs[[#This Row],[fin mois]])-MAX(Tab_Calculs[[#This Row],[Début mois]],Tab_Calculs[[#This Row],[Début periode livraison]]))</f>
        <v>0</v>
      </c>
      <c r="Q670" t="e">
        <f ca="1">INDEX(INDIRECT(CONCATENATE("Tab_",Tab_Calculs[[#This Row],[Colonne1]])),Tab_Calculs[[#This Row],[index_date_livraison]]+1,7)*(Tab_Calculs[[#This Row],[fin mois]]-MIN(Tab_Calculs[[#This Row],[fin mois]],Tab_Calculs[[#This Row],[Date_livraison]]))</f>
        <v>#VALUE!</v>
      </c>
      <c r="R670" t="e">
        <f ca="1">Tab_Calculs[[#This Row],[Ratio_Cout_après_livr]]+Tab_Calculs[[#This Row],[Ratio_Cout_avant_livr]]+Tab_Calculs[[#This Row],[Ratio_Cout_avant_debut]]</f>
        <v>#VALUE!</v>
      </c>
      <c r="S670" t="str">
        <f ca="1">IFERROR(N670*VLOOKUP(Tab_Calculs[[#This Row],[Colonne1]],Controle_des_données!$B$7:$G$14,6,FALSE),"")</f>
        <v/>
      </c>
      <c r="T670" t="str">
        <f ca="1">IF(Tab_Calculs[[#This Row],[Combustible ]]="Electricité (kWh)",Tab_Calculs[[#This Row],[Conso_mois_kWh]]*2.3,Tab_Calculs[[#This Row],[Conso_mois_kWh]])</f>
        <v/>
      </c>
      <c r="U670" t="str">
        <f ca="1">IFERROR(N670*VLOOKUP(Tab_Calculs[[#This Row],[Colonne1]],Controle_des_données!$B$7:$H$14,7,FALSE),"")</f>
        <v/>
      </c>
      <c r="V670">
        <f ca="1">IFERROR(Tab_Calculs[[#This Row],[Cout_mois]]/Tab_Calculs[[#This Row],[Conso_mois_kWh]],0)</f>
        <v>0</v>
      </c>
      <c r="W670" t="str">
        <f>T(VLOOKUP(Tab_Calculs[[#This Row],[Compteur]],Site!$B$33:$G$40,3,FALSE))</f>
        <v/>
      </c>
      <c r="X670" t="str">
        <f>T(VLOOKUP(Tab_Calculs[[#This Row],[Compteur]],Site!$B$33:$G$40,4,FALSE))</f>
        <v/>
      </c>
      <c r="Y670" t="str">
        <f>T(VLOOKUP(Tab_Calculs[[#This Row],[Compteur]],Site!$B$33:$G$40,5,FALSE))</f>
        <v/>
      </c>
      <c r="Z670" t="str">
        <f>T(VLOOKUP(Tab_Calculs[[#This Row],[Compteur]],Site!$B$33:$G$40,6,FALSE))</f>
        <v/>
      </c>
      <c r="AA670">
        <f>IFERROR(GETPIVOTDATA("DJU(chauffagiste)",BDD_DJU!$P$13,"annee",Tab_Calculs[[#This Row],[ANNEE]],"mois_numero",Tab_Calculs[[#This Row],[MOIS]]),0)</f>
        <v>287.8</v>
      </c>
    </row>
    <row r="671" spans="1:27" x14ac:dyDescent="0.25">
      <c r="A671" s="3">
        <f>DATE(Tab_Calculs[[#This Row],[ANNEE]],Tab_Calculs[[#This Row],[MOIS]],1)</f>
        <v>42795</v>
      </c>
      <c r="B671" s="3">
        <f>EDATE(Tab_Calculs[[#This Row],[Début mois]],1)-1</f>
        <v>42825</v>
      </c>
      <c r="C671">
        <f t="shared" si="22"/>
        <v>3</v>
      </c>
      <c r="D671">
        <f t="shared" si="21"/>
        <v>2017</v>
      </c>
      <c r="E671" t="s">
        <v>83</v>
      </c>
      <c r="F671" t="str">
        <f>SUBSTITUTE(Tab_Calculs[[#This Row],[Compteur]]," ","_")</f>
        <v>Compteur_4</v>
      </c>
      <c r="G671" t="str">
        <f>T(INDEX(Site!$B$33:$G$40, MATCH(Tab_Calculs[[#This Row],[Compteur]], Site!$B$33:$B$40,0),2))</f>
        <v/>
      </c>
      <c r="H671" s="3">
        <f t="array" aca="1" ref="H671" ca="1">MIN(IF(INDIRECT(CONCATENATE(Tab_Calculs[[#This Row],[Colonne1]],"!$B$2:$B$243"))&gt;=Calculs_Consos!$A671,INDIRECT(CONCATENATE(Tab_Calculs[[#This Row],[Colonne1]],"!$B$2:$B$243"))))</f>
        <v>0</v>
      </c>
      <c r="I671" s="3">
        <f ca="1">INDEX(INDIRECT(CONCATENATE("Tab_",Tab_Calculs[[#This Row],[Colonne1]])),Tab_Calculs[[#This Row],[index_date_livraison]],1)</f>
        <v>0</v>
      </c>
      <c r="J671">
        <f ca="1">MATCH(Tab_Calculs[[#This Row],[Date_livraison]],INDIRECT(CONCATENATE("Tab_",Tab_Calculs[[#This Row],[Colonne1]],"[Fin de période]")),0)</f>
        <v>1</v>
      </c>
      <c r="K671" t="e">
        <f ca="1">INDEX(INDIRECT(CONCATENATE("Tab_",Tab_Calculs[[#This Row],[Colonne1]])),Tab_Calculs[[#This Row],[index_date_livraison]]-1,6)*(MAX(Tab_Calculs[[#This Row],[Début periode livraison]],Tab_Calculs[[#This Row],[Début mois]])-Tab_Calculs[[#This Row],[Début mois]])</f>
        <v>#VALUE!</v>
      </c>
      <c r="L671" s="94">
        <f ca="1">INDEX(INDIRECT(CONCATENATE("Tab_",Tab_Calculs[[#This Row],[Colonne1]])),Tab_Calculs[[#This Row],[index_date_livraison]],6)*(1+MIN(Tab_Calculs[[#This Row],[Date_livraison]],Tab_Calculs[[#This Row],[fin mois]])-MAX(Tab_Calculs[[#This Row],[Début mois]],Tab_Calculs[[#This Row],[Début periode livraison]]))</f>
        <v>0</v>
      </c>
      <c r="M671" s="94" t="e">
        <f ca="1">INDEX(INDIRECT(CONCATENATE("Tab_",Tab_Calculs[[#This Row],[Colonne1]])),Tab_Calculs[[#This Row],[index_date_livraison]]+1,6)*(Tab_Calculs[[#This Row],[fin mois]]-MIN(Tab_Calculs[[#This Row],[fin mois]],Tab_Calculs[[#This Row],[Date_livraison]]))</f>
        <v>#VALUE!</v>
      </c>
      <c r="N671" s="231" t="str">
        <f ca="1">IFERROR(Tab_Calculs[[#This Row],[Ratio_jour_après_livr]]+Tab_Calculs[[#This Row],[Ratio_jour_avant_livr]]+Tab_Calculs[[#This Row],[ratio_avant_debut]],"")</f>
        <v/>
      </c>
      <c r="O671" t="e">
        <f ca="1">INDEX(INDIRECT(CONCATENATE("Tab_",Tab_Calculs[[#This Row],[Colonne1]])),Tab_Calculs[[#This Row],[index_date_livraison]]-1,7)*(MAX(Tab_Calculs[[#This Row],[Début periode livraison]],Tab_Calculs[[#This Row],[Début mois]])-Tab_Calculs[[#This Row],[Début mois]])</f>
        <v>#VALUE!</v>
      </c>
      <c r="P671">
        <f ca="1">INDEX(INDIRECT(CONCATENATE("Tab_",Tab_Calculs[[#This Row],[Colonne1]])),Tab_Calculs[[#This Row],[index_date_livraison]],7)*(1+MIN(Tab_Calculs[[#This Row],[Date_livraison]],Tab_Calculs[[#This Row],[fin mois]])-MAX(Tab_Calculs[[#This Row],[Début mois]],Tab_Calculs[[#This Row],[Début periode livraison]]))</f>
        <v>0</v>
      </c>
      <c r="Q671" t="e">
        <f ca="1">INDEX(INDIRECT(CONCATENATE("Tab_",Tab_Calculs[[#This Row],[Colonne1]])),Tab_Calculs[[#This Row],[index_date_livraison]]+1,7)*(Tab_Calculs[[#This Row],[fin mois]]-MIN(Tab_Calculs[[#This Row],[fin mois]],Tab_Calculs[[#This Row],[Date_livraison]]))</f>
        <v>#VALUE!</v>
      </c>
      <c r="R671" t="e">
        <f ca="1">Tab_Calculs[[#This Row],[Ratio_Cout_après_livr]]+Tab_Calculs[[#This Row],[Ratio_Cout_avant_livr]]+Tab_Calculs[[#This Row],[Ratio_Cout_avant_debut]]</f>
        <v>#VALUE!</v>
      </c>
      <c r="S671" t="str">
        <f ca="1">IFERROR(N671*VLOOKUP(Tab_Calculs[[#This Row],[Colonne1]],Controle_des_données!$B$7:$G$14,6,FALSE),"")</f>
        <v/>
      </c>
      <c r="T671" t="str">
        <f ca="1">IF(Tab_Calculs[[#This Row],[Combustible ]]="Electricité (kWh)",Tab_Calculs[[#This Row],[Conso_mois_kWh]]*2.3,Tab_Calculs[[#This Row],[Conso_mois_kWh]])</f>
        <v/>
      </c>
      <c r="U671" t="str">
        <f ca="1">IFERROR(N671*VLOOKUP(Tab_Calculs[[#This Row],[Colonne1]],Controle_des_données!$B$7:$H$14,7,FALSE),"")</f>
        <v/>
      </c>
      <c r="V671">
        <f ca="1">IFERROR(Tab_Calculs[[#This Row],[Cout_mois]]/Tab_Calculs[[#This Row],[Conso_mois_kWh]],0)</f>
        <v>0</v>
      </c>
      <c r="W671" t="str">
        <f>T(VLOOKUP(Tab_Calculs[[#This Row],[Compteur]],Site!$B$33:$G$40,3,FALSE))</f>
        <v/>
      </c>
      <c r="X671" t="str">
        <f>T(VLOOKUP(Tab_Calculs[[#This Row],[Compteur]],Site!$B$33:$G$40,4,FALSE))</f>
        <v/>
      </c>
      <c r="Y671" t="str">
        <f>T(VLOOKUP(Tab_Calculs[[#This Row],[Compteur]],Site!$B$33:$G$40,5,FALSE))</f>
        <v/>
      </c>
      <c r="Z671" t="str">
        <f>T(VLOOKUP(Tab_Calculs[[#This Row],[Compteur]],Site!$B$33:$G$40,6,FALSE))</f>
        <v/>
      </c>
      <c r="AA671">
        <f>IFERROR(GETPIVOTDATA("DJU(chauffagiste)",BDD_DJU!$P$13,"annee",Tab_Calculs[[#This Row],[ANNEE]],"mois_numero",Tab_Calculs[[#This Row],[MOIS]]),0)</f>
        <v>226.3</v>
      </c>
    </row>
    <row r="672" spans="1:27" x14ac:dyDescent="0.25">
      <c r="A672" s="3">
        <f>DATE(Tab_Calculs[[#This Row],[ANNEE]],Tab_Calculs[[#This Row],[MOIS]],1)</f>
        <v>42826</v>
      </c>
      <c r="B672" s="3">
        <f>EDATE(Tab_Calculs[[#This Row],[Début mois]],1)-1</f>
        <v>42855</v>
      </c>
      <c r="C672">
        <f t="shared" si="22"/>
        <v>4</v>
      </c>
      <c r="D672">
        <f t="shared" si="21"/>
        <v>2017</v>
      </c>
      <c r="E672" t="s">
        <v>83</v>
      </c>
      <c r="F672" t="str">
        <f>SUBSTITUTE(Tab_Calculs[[#This Row],[Compteur]]," ","_")</f>
        <v>Compteur_4</v>
      </c>
      <c r="G672" t="str">
        <f>T(INDEX(Site!$B$33:$G$40, MATCH(Tab_Calculs[[#This Row],[Compteur]], Site!$B$33:$B$40,0),2))</f>
        <v/>
      </c>
      <c r="H672" s="3">
        <f t="array" aca="1" ref="H672" ca="1">MIN(IF(INDIRECT(CONCATENATE(Tab_Calculs[[#This Row],[Colonne1]],"!$B$2:$B$243"))&gt;=Calculs_Consos!$A672,INDIRECT(CONCATENATE(Tab_Calculs[[#This Row],[Colonne1]],"!$B$2:$B$243"))))</f>
        <v>0</v>
      </c>
      <c r="I672" s="3">
        <f ca="1">INDEX(INDIRECT(CONCATENATE("Tab_",Tab_Calculs[[#This Row],[Colonne1]])),Tab_Calculs[[#This Row],[index_date_livraison]],1)</f>
        <v>0</v>
      </c>
      <c r="J672">
        <f ca="1">MATCH(Tab_Calculs[[#This Row],[Date_livraison]],INDIRECT(CONCATENATE("Tab_",Tab_Calculs[[#This Row],[Colonne1]],"[Fin de période]")),0)</f>
        <v>1</v>
      </c>
      <c r="K672" t="e">
        <f ca="1">INDEX(INDIRECT(CONCATENATE("Tab_",Tab_Calculs[[#This Row],[Colonne1]])),Tab_Calculs[[#This Row],[index_date_livraison]]-1,6)*(MAX(Tab_Calculs[[#This Row],[Début periode livraison]],Tab_Calculs[[#This Row],[Début mois]])-Tab_Calculs[[#This Row],[Début mois]])</f>
        <v>#VALUE!</v>
      </c>
      <c r="L672" s="94">
        <f ca="1">INDEX(INDIRECT(CONCATENATE("Tab_",Tab_Calculs[[#This Row],[Colonne1]])),Tab_Calculs[[#This Row],[index_date_livraison]],6)*(1+MIN(Tab_Calculs[[#This Row],[Date_livraison]],Tab_Calculs[[#This Row],[fin mois]])-MAX(Tab_Calculs[[#This Row],[Début mois]],Tab_Calculs[[#This Row],[Début periode livraison]]))</f>
        <v>0</v>
      </c>
      <c r="M672" s="94" t="e">
        <f ca="1">INDEX(INDIRECT(CONCATENATE("Tab_",Tab_Calculs[[#This Row],[Colonne1]])),Tab_Calculs[[#This Row],[index_date_livraison]]+1,6)*(Tab_Calculs[[#This Row],[fin mois]]-MIN(Tab_Calculs[[#This Row],[fin mois]],Tab_Calculs[[#This Row],[Date_livraison]]))</f>
        <v>#VALUE!</v>
      </c>
      <c r="N672" s="231" t="str">
        <f ca="1">IFERROR(Tab_Calculs[[#This Row],[Ratio_jour_après_livr]]+Tab_Calculs[[#This Row],[Ratio_jour_avant_livr]]+Tab_Calculs[[#This Row],[ratio_avant_debut]],"")</f>
        <v/>
      </c>
      <c r="O672" t="e">
        <f ca="1">INDEX(INDIRECT(CONCATENATE("Tab_",Tab_Calculs[[#This Row],[Colonne1]])),Tab_Calculs[[#This Row],[index_date_livraison]]-1,7)*(MAX(Tab_Calculs[[#This Row],[Début periode livraison]],Tab_Calculs[[#This Row],[Début mois]])-Tab_Calculs[[#This Row],[Début mois]])</f>
        <v>#VALUE!</v>
      </c>
      <c r="P672">
        <f ca="1">INDEX(INDIRECT(CONCATENATE("Tab_",Tab_Calculs[[#This Row],[Colonne1]])),Tab_Calculs[[#This Row],[index_date_livraison]],7)*(1+MIN(Tab_Calculs[[#This Row],[Date_livraison]],Tab_Calculs[[#This Row],[fin mois]])-MAX(Tab_Calculs[[#This Row],[Début mois]],Tab_Calculs[[#This Row],[Début periode livraison]]))</f>
        <v>0</v>
      </c>
      <c r="Q672" t="e">
        <f ca="1">INDEX(INDIRECT(CONCATENATE("Tab_",Tab_Calculs[[#This Row],[Colonne1]])),Tab_Calculs[[#This Row],[index_date_livraison]]+1,7)*(Tab_Calculs[[#This Row],[fin mois]]-MIN(Tab_Calculs[[#This Row],[fin mois]],Tab_Calculs[[#This Row],[Date_livraison]]))</f>
        <v>#VALUE!</v>
      </c>
      <c r="R672" t="e">
        <f ca="1">Tab_Calculs[[#This Row],[Ratio_Cout_après_livr]]+Tab_Calculs[[#This Row],[Ratio_Cout_avant_livr]]+Tab_Calculs[[#This Row],[Ratio_Cout_avant_debut]]</f>
        <v>#VALUE!</v>
      </c>
      <c r="S672" t="str">
        <f ca="1">IFERROR(N672*VLOOKUP(Tab_Calculs[[#This Row],[Colonne1]],Controle_des_données!$B$7:$G$14,6,FALSE),"")</f>
        <v/>
      </c>
      <c r="T672" t="str">
        <f ca="1">IF(Tab_Calculs[[#This Row],[Combustible ]]="Electricité (kWh)",Tab_Calculs[[#This Row],[Conso_mois_kWh]]*2.3,Tab_Calculs[[#This Row],[Conso_mois_kWh]])</f>
        <v/>
      </c>
      <c r="U672" t="str">
        <f ca="1">IFERROR(N672*VLOOKUP(Tab_Calculs[[#This Row],[Colonne1]],Controle_des_données!$B$7:$H$14,7,FALSE),"")</f>
        <v/>
      </c>
      <c r="V672">
        <f ca="1">IFERROR(Tab_Calculs[[#This Row],[Cout_mois]]/Tab_Calculs[[#This Row],[Conso_mois_kWh]],0)</f>
        <v>0</v>
      </c>
      <c r="W672" t="str">
        <f>T(VLOOKUP(Tab_Calculs[[#This Row],[Compteur]],Site!$B$33:$G$40,3,FALSE))</f>
        <v/>
      </c>
      <c r="X672" t="str">
        <f>T(VLOOKUP(Tab_Calculs[[#This Row],[Compteur]],Site!$B$33:$G$40,4,FALSE))</f>
        <v/>
      </c>
      <c r="Y672" t="str">
        <f>T(VLOOKUP(Tab_Calculs[[#This Row],[Compteur]],Site!$B$33:$G$40,5,FALSE))</f>
        <v/>
      </c>
      <c r="Z672" t="str">
        <f>T(VLOOKUP(Tab_Calculs[[#This Row],[Compteur]],Site!$B$33:$G$40,6,FALSE))</f>
        <v/>
      </c>
      <c r="AA672">
        <f>IFERROR(GETPIVOTDATA("DJU(chauffagiste)",BDD_DJU!$P$13,"annee",Tab_Calculs[[#This Row],[ANNEE]],"mois_numero",Tab_Calculs[[#This Row],[MOIS]]),0)</f>
        <v>227.8</v>
      </c>
    </row>
    <row r="673" spans="1:27" x14ac:dyDescent="0.25">
      <c r="A673" s="3">
        <f>DATE(Tab_Calculs[[#This Row],[ANNEE]],Tab_Calculs[[#This Row],[MOIS]],1)</f>
        <v>42856</v>
      </c>
      <c r="B673" s="3">
        <f>EDATE(Tab_Calculs[[#This Row],[Début mois]],1)-1</f>
        <v>42886</v>
      </c>
      <c r="C673">
        <f t="shared" si="22"/>
        <v>5</v>
      </c>
      <c r="D673">
        <f t="shared" si="21"/>
        <v>2017</v>
      </c>
      <c r="E673" t="s">
        <v>83</v>
      </c>
      <c r="F673" t="str">
        <f>SUBSTITUTE(Tab_Calculs[[#This Row],[Compteur]]," ","_")</f>
        <v>Compteur_4</v>
      </c>
      <c r="G673" t="str">
        <f>T(INDEX(Site!$B$33:$G$40, MATCH(Tab_Calculs[[#This Row],[Compteur]], Site!$B$33:$B$40,0),2))</f>
        <v/>
      </c>
      <c r="H673" s="3">
        <f t="array" aca="1" ref="H673" ca="1">MIN(IF(INDIRECT(CONCATENATE(Tab_Calculs[[#This Row],[Colonne1]],"!$B$2:$B$243"))&gt;=Calculs_Consos!$A673,INDIRECT(CONCATENATE(Tab_Calculs[[#This Row],[Colonne1]],"!$B$2:$B$243"))))</f>
        <v>0</v>
      </c>
      <c r="I673" s="3">
        <f ca="1">INDEX(INDIRECT(CONCATENATE("Tab_",Tab_Calculs[[#This Row],[Colonne1]])),Tab_Calculs[[#This Row],[index_date_livraison]],1)</f>
        <v>0</v>
      </c>
      <c r="J673">
        <f ca="1">MATCH(Tab_Calculs[[#This Row],[Date_livraison]],INDIRECT(CONCATENATE("Tab_",Tab_Calculs[[#This Row],[Colonne1]],"[Fin de période]")),0)</f>
        <v>1</v>
      </c>
      <c r="K673" t="e">
        <f ca="1">INDEX(INDIRECT(CONCATENATE("Tab_",Tab_Calculs[[#This Row],[Colonne1]])),Tab_Calculs[[#This Row],[index_date_livraison]]-1,6)*(MAX(Tab_Calculs[[#This Row],[Début periode livraison]],Tab_Calculs[[#This Row],[Début mois]])-Tab_Calculs[[#This Row],[Début mois]])</f>
        <v>#VALUE!</v>
      </c>
      <c r="L673" s="94">
        <f ca="1">INDEX(INDIRECT(CONCATENATE("Tab_",Tab_Calculs[[#This Row],[Colonne1]])),Tab_Calculs[[#This Row],[index_date_livraison]],6)*(1+MIN(Tab_Calculs[[#This Row],[Date_livraison]],Tab_Calculs[[#This Row],[fin mois]])-MAX(Tab_Calculs[[#This Row],[Début mois]],Tab_Calculs[[#This Row],[Début periode livraison]]))</f>
        <v>0</v>
      </c>
      <c r="M673" s="94" t="e">
        <f ca="1">INDEX(INDIRECT(CONCATENATE("Tab_",Tab_Calculs[[#This Row],[Colonne1]])),Tab_Calculs[[#This Row],[index_date_livraison]]+1,6)*(Tab_Calculs[[#This Row],[fin mois]]-MIN(Tab_Calculs[[#This Row],[fin mois]],Tab_Calculs[[#This Row],[Date_livraison]]))</f>
        <v>#VALUE!</v>
      </c>
      <c r="N673" s="231" t="str">
        <f ca="1">IFERROR(Tab_Calculs[[#This Row],[Ratio_jour_après_livr]]+Tab_Calculs[[#This Row],[Ratio_jour_avant_livr]]+Tab_Calculs[[#This Row],[ratio_avant_debut]],"")</f>
        <v/>
      </c>
      <c r="O673" t="e">
        <f ca="1">INDEX(INDIRECT(CONCATENATE("Tab_",Tab_Calculs[[#This Row],[Colonne1]])),Tab_Calculs[[#This Row],[index_date_livraison]]-1,7)*(MAX(Tab_Calculs[[#This Row],[Début periode livraison]],Tab_Calculs[[#This Row],[Début mois]])-Tab_Calculs[[#This Row],[Début mois]])</f>
        <v>#VALUE!</v>
      </c>
      <c r="P673">
        <f ca="1">INDEX(INDIRECT(CONCATENATE("Tab_",Tab_Calculs[[#This Row],[Colonne1]])),Tab_Calculs[[#This Row],[index_date_livraison]],7)*(1+MIN(Tab_Calculs[[#This Row],[Date_livraison]],Tab_Calculs[[#This Row],[fin mois]])-MAX(Tab_Calculs[[#This Row],[Début mois]],Tab_Calculs[[#This Row],[Début periode livraison]]))</f>
        <v>0</v>
      </c>
      <c r="Q673" t="e">
        <f ca="1">INDEX(INDIRECT(CONCATENATE("Tab_",Tab_Calculs[[#This Row],[Colonne1]])),Tab_Calculs[[#This Row],[index_date_livraison]]+1,7)*(Tab_Calculs[[#This Row],[fin mois]]-MIN(Tab_Calculs[[#This Row],[fin mois]],Tab_Calculs[[#This Row],[Date_livraison]]))</f>
        <v>#VALUE!</v>
      </c>
      <c r="R673" t="e">
        <f ca="1">Tab_Calculs[[#This Row],[Ratio_Cout_après_livr]]+Tab_Calculs[[#This Row],[Ratio_Cout_avant_livr]]+Tab_Calculs[[#This Row],[Ratio_Cout_avant_debut]]</f>
        <v>#VALUE!</v>
      </c>
      <c r="S673" t="str">
        <f ca="1">IFERROR(N673*VLOOKUP(Tab_Calculs[[#This Row],[Colonne1]],Controle_des_données!$B$7:$G$14,6,FALSE),"")</f>
        <v/>
      </c>
      <c r="T673" t="str">
        <f ca="1">IF(Tab_Calculs[[#This Row],[Combustible ]]="Electricité (kWh)",Tab_Calculs[[#This Row],[Conso_mois_kWh]]*2.3,Tab_Calculs[[#This Row],[Conso_mois_kWh]])</f>
        <v/>
      </c>
      <c r="U673" t="str">
        <f ca="1">IFERROR(N673*VLOOKUP(Tab_Calculs[[#This Row],[Colonne1]],Controle_des_données!$B$7:$H$14,7,FALSE),"")</f>
        <v/>
      </c>
      <c r="V673">
        <f ca="1">IFERROR(Tab_Calculs[[#This Row],[Cout_mois]]/Tab_Calculs[[#This Row],[Conso_mois_kWh]],0)</f>
        <v>0</v>
      </c>
      <c r="W673" t="str">
        <f>T(VLOOKUP(Tab_Calculs[[#This Row],[Compteur]],Site!$B$33:$G$40,3,FALSE))</f>
        <v/>
      </c>
      <c r="X673" t="str">
        <f>T(VLOOKUP(Tab_Calculs[[#This Row],[Compteur]],Site!$B$33:$G$40,4,FALSE))</f>
        <v/>
      </c>
      <c r="Y673" t="str">
        <f>T(VLOOKUP(Tab_Calculs[[#This Row],[Compteur]],Site!$B$33:$G$40,5,FALSE))</f>
        <v/>
      </c>
      <c r="Z673" t="str">
        <f>T(VLOOKUP(Tab_Calculs[[#This Row],[Compteur]],Site!$B$33:$G$40,6,FALSE))</f>
        <v/>
      </c>
      <c r="AA673">
        <f>IFERROR(GETPIVOTDATA("DJU(chauffagiste)",BDD_DJU!$P$13,"annee",Tab_Calculs[[#This Row],[ANNEE]],"mois_numero",Tab_Calculs[[#This Row],[MOIS]]),0)</f>
        <v>98</v>
      </c>
    </row>
    <row r="674" spans="1:27" x14ac:dyDescent="0.25">
      <c r="A674" s="3">
        <f>DATE(Tab_Calculs[[#This Row],[ANNEE]],Tab_Calculs[[#This Row],[MOIS]],1)</f>
        <v>42887</v>
      </c>
      <c r="B674" s="3">
        <f>EDATE(Tab_Calculs[[#This Row],[Début mois]],1)-1</f>
        <v>42916</v>
      </c>
      <c r="C674">
        <f t="shared" si="22"/>
        <v>6</v>
      </c>
      <c r="D674">
        <f t="shared" si="21"/>
        <v>2017</v>
      </c>
      <c r="E674" t="s">
        <v>83</v>
      </c>
      <c r="F674" t="str">
        <f>SUBSTITUTE(Tab_Calculs[[#This Row],[Compteur]]," ","_")</f>
        <v>Compteur_4</v>
      </c>
      <c r="G674" t="str">
        <f>T(INDEX(Site!$B$33:$G$40, MATCH(Tab_Calculs[[#This Row],[Compteur]], Site!$B$33:$B$40,0),2))</f>
        <v/>
      </c>
      <c r="H674" s="3">
        <f t="array" aca="1" ref="H674" ca="1">MIN(IF(INDIRECT(CONCATENATE(Tab_Calculs[[#This Row],[Colonne1]],"!$B$2:$B$243"))&gt;=Calculs_Consos!$A674,INDIRECT(CONCATENATE(Tab_Calculs[[#This Row],[Colonne1]],"!$B$2:$B$243"))))</f>
        <v>0</v>
      </c>
      <c r="I674" s="3">
        <f ca="1">INDEX(INDIRECT(CONCATENATE("Tab_",Tab_Calculs[[#This Row],[Colonne1]])),Tab_Calculs[[#This Row],[index_date_livraison]],1)</f>
        <v>0</v>
      </c>
      <c r="J674">
        <f ca="1">MATCH(Tab_Calculs[[#This Row],[Date_livraison]],INDIRECT(CONCATENATE("Tab_",Tab_Calculs[[#This Row],[Colonne1]],"[Fin de période]")),0)</f>
        <v>1</v>
      </c>
      <c r="K674" t="e">
        <f ca="1">INDEX(INDIRECT(CONCATENATE("Tab_",Tab_Calculs[[#This Row],[Colonne1]])),Tab_Calculs[[#This Row],[index_date_livraison]]-1,6)*(MAX(Tab_Calculs[[#This Row],[Début periode livraison]],Tab_Calculs[[#This Row],[Début mois]])-Tab_Calculs[[#This Row],[Début mois]])</f>
        <v>#VALUE!</v>
      </c>
      <c r="L674" s="94">
        <f ca="1">INDEX(INDIRECT(CONCATENATE("Tab_",Tab_Calculs[[#This Row],[Colonne1]])),Tab_Calculs[[#This Row],[index_date_livraison]],6)*(1+MIN(Tab_Calculs[[#This Row],[Date_livraison]],Tab_Calculs[[#This Row],[fin mois]])-MAX(Tab_Calculs[[#This Row],[Début mois]],Tab_Calculs[[#This Row],[Début periode livraison]]))</f>
        <v>0</v>
      </c>
      <c r="M674" s="94" t="e">
        <f ca="1">INDEX(INDIRECT(CONCATENATE("Tab_",Tab_Calculs[[#This Row],[Colonne1]])),Tab_Calculs[[#This Row],[index_date_livraison]]+1,6)*(Tab_Calculs[[#This Row],[fin mois]]-MIN(Tab_Calculs[[#This Row],[fin mois]],Tab_Calculs[[#This Row],[Date_livraison]]))</f>
        <v>#VALUE!</v>
      </c>
      <c r="N674" s="231" t="str">
        <f ca="1">IFERROR(Tab_Calculs[[#This Row],[Ratio_jour_après_livr]]+Tab_Calculs[[#This Row],[Ratio_jour_avant_livr]]+Tab_Calculs[[#This Row],[ratio_avant_debut]],"")</f>
        <v/>
      </c>
      <c r="O674" t="e">
        <f ca="1">INDEX(INDIRECT(CONCATENATE("Tab_",Tab_Calculs[[#This Row],[Colonne1]])),Tab_Calculs[[#This Row],[index_date_livraison]]-1,7)*(MAX(Tab_Calculs[[#This Row],[Début periode livraison]],Tab_Calculs[[#This Row],[Début mois]])-Tab_Calculs[[#This Row],[Début mois]])</f>
        <v>#VALUE!</v>
      </c>
      <c r="P674">
        <f ca="1">INDEX(INDIRECT(CONCATENATE("Tab_",Tab_Calculs[[#This Row],[Colonne1]])),Tab_Calculs[[#This Row],[index_date_livraison]],7)*(1+MIN(Tab_Calculs[[#This Row],[Date_livraison]],Tab_Calculs[[#This Row],[fin mois]])-MAX(Tab_Calculs[[#This Row],[Début mois]],Tab_Calculs[[#This Row],[Début periode livraison]]))</f>
        <v>0</v>
      </c>
      <c r="Q674" t="e">
        <f ca="1">INDEX(INDIRECT(CONCATENATE("Tab_",Tab_Calculs[[#This Row],[Colonne1]])),Tab_Calculs[[#This Row],[index_date_livraison]]+1,7)*(Tab_Calculs[[#This Row],[fin mois]]-MIN(Tab_Calculs[[#This Row],[fin mois]],Tab_Calculs[[#This Row],[Date_livraison]]))</f>
        <v>#VALUE!</v>
      </c>
      <c r="R674" t="e">
        <f ca="1">Tab_Calculs[[#This Row],[Ratio_Cout_après_livr]]+Tab_Calculs[[#This Row],[Ratio_Cout_avant_livr]]+Tab_Calculs[[#This Row],[Ratio_Cout_avant_debut]]</f>
        <v>#VALUE!</v>
      </c>
      <c r="S674" t="str">
        <f ca="1">IFERROR(N674*VLOOKUP(Tab_Calculs[[#This Row],[Colonne1]],Controle_des_données!$B$7:$G$14,6,FALSE),"")</f>
        <v/>
      </c>
      <c r="T674" t="str">
        <f ca="1">IF(Tab_Calculs[[#This Row],[Combustible ]]="Electricité (kWh)",Tab_Calculs[[#This Row],[Conso_mois_kWh]]*2.3,Tab_Calculs[[#This Row],[Conso_mois_kWh]])</f>
        <v/>
      </c>
      <c r="U674" t="str">
        <f ca="1">IFERROR(N674*VLOOKUP(Tab_Calculs[[#This Row],[Colonne1]],Controle_des_données!$B$7:$H$14,7,FALSE),"")</f>
        <v/>
      </c>
      <c r="V674">
        <f ca="1">IFERROR(Tab_Calculs[[#This Row],[Cout_mois]]/Tab_Calculs[[#This Row],[Conso_mois_kWh]],0)</f>
        <v>0</v>
      </c>
      <c r="W674" t="str">
        <f>T(VLOOKUP(Tab_Calculs[[#This Row],[Compteur]],Site!$B$33:$G$40,3,FALSE))</f>
        <v/>
      </c>
      <c r="X674" t="str">
        <f>T(VLOOKUP(Tab_Calculs[[#This Row],[Compteur]],Site!$B$33:$G$40,4,FALSE))</f>
        <v/>
      </c>
      <c r="Y674" t="str">
        <f>T(VLOOKUP(Tab_Calculs[[#This Row],[Compteur]],Site!$B$33:$G$40,5,FALSE))</f>
        <v/>
      </c>
      <c r="Z674" t="str">
        <f>T(VLOOKUP(Tab_Calculs[[#This Row],[Compteur]],Site!$B$33:$G$40,6,FALSE))</f>
        <v/>
      </c>
      <c r="AA674">
        <f>IFERROR(GETPIVOTDATA("DJU(chauffagiste)",BDD_DJU!$P$13,"annee",Tab_Calculs[[#This Row],[ANNEE]],"mois_numero",Tab_Calculs[[#This Row],[MOIS]]),0)</f>
        <v>30.9</v>
      </c>
    </row>
    <row r="675" spans="1:27" x14ac:dyDescent="0.25">
      <c r="A675" s="3">
        <f>DATE(Tab_Calculs[[#This Row],[ANNEE]],Tab_Calculs[[#This Row],[MOIS]],1)</f>
        <v>42917</v>
      </c>
      <c r="B675" s="3">
        <f>EDATE(Tab_Calculs[[#This Row],[Début mois]],1)-1</f>
        <v>42947</v>
      </c>
      <c r="C675">
        <f t="shared" si="22"/>
        <v>7</v>
      </c>
      <c r="D675">
        <f t="shared" si="21"/>
        <v>2017</v>
      </c>
      <c r="E675" t="s">
        <v>83</v>
      </c>
      <c r="F675" t="str">
        <f>SUBSTITUTE(Tab_Calculs[[#This Row],[Compteur]]," ","_")</f>
        <v>Compteur_4</v>
      </c>
      <c r="G675" t="str">
        <f>T(INDEX(Site!$B$33:$G$40, MATCH(Tab_Calculs[[#This Row],[Compteur]], Site!$B$33:$B$40,0),2))</f>
        <v/>
      </c>
      <c r="H675" s="3">
        <f t="array" aca="1" ref="H675" ca="1">MIN(IF(INDIRECT(CONCATENATE(Tab_Calculs[[#This Row],[Colonne1]],"!$B$2:$B$243"))&gt;=Calculs_Consos!$A675,INDIRECT(CONCATENATE(Tab_Calculs[[#This Row],[Colonne1]],"!$B$2:$B$243"))))</f>
        <v>0</v>
      </c>
      <c r="I675" s="3">
        <f ca="1">INDEX(INDIRECT(CONCATENATE("Tab_",Tab_Calculs[[#This Row],[Colonne1]])),Tab_Calculs[[#This Row],[index_date_livraison]],1)</f>
        <v>0</v>
      </c>
      <c r="J675">
        <f ca="1">MATCH(Tab_Calculs[[#This Row],[Date_livraison]],INDIRECT(CONCATENATE("Tab_",Tab_Calculs[[#This Row],[Colonne1]],"[Fin de période]")),0)</f>
        <v>1</v>
      </c>
      <c r="K675" t="e">
        <f ca="1">INDEX(INDIRECT(CONCATENATE("Tab_",Tab_Calculs[[#This Row],[Colonne1]])),Tab_Calculs[[#This Row],[index_date_livraison]]-1,6)*(MAX(Tab_Calculs[[#This Row],[Début periode livraison]],Tab_Calculs[[#This Row],[Début mois]])-Tab_Calculs[[#This Row],[Début mois]])</f>
        <v>#VALUE!</v>
      </c>
      <c r="L675" s="94">
        <f ca="1">INDEX(INDIRECT(CONCATENATE("Tab_",Tab_Calculs[[#This Row],[Colonne1]])),Tab_Calculs[[#This Row],[index_date_livraison]],6)*(1+MIN(Tab_Calculs[[#This Row],[Date_livraison]],Tab_Calculs[[#This Row],[fin mois]])-MAX(Tab_Calculs[[#This Row],[Début mois]],Tab_Calculs[[#This Row],[Début periode livraison]]))</f>
        <v>0</v>
      </c>
      <c r="M675" s="94" t="e">
        <f ca="1">INDEX(INDIRECT(CONCATENATE("Tab_",Tab_Calculs[[#This Row],[Colonne1]])),Tab_Calculs[[#This Row],[index_date_livraison]]+1,6)*(Tab_Calculs[[#This Row],[fin mois]]-MIN(Tab_Calculs[[#This Row],[fin mois]],Tab_Calculs[[#This Row],[Date_livraison]]))</f>
        <v>#VALUE!</v>
      </c>
      <c r="N675" s="231" t="str">
        <f ca="1">IFERROR(Tab_Calculs[[#This Row],[Ratio_jour_après_livr]]+Tab_Calculs[[#This Row],[Ratio_jour_avant_livr]]+Tab_Calculs[[#This Row],[ratio_avant_debut]],"")</f>
        <v/>
      </c>
      <c r="O675" t="e">
        <f ca="1">INDEX(INDIRECT(CONCATENATE("Tab_",Tab_Calculs[[#This Row],[Colonne1]])),Tab_Calculs[[#This Row],[index_date_livraison]]-1,7)*(MAX(Tab_Calculs[[#This Row],[Début periode livraison]],Tab_Calculs[[#This Row],[Début mois]])-Tab_Calculs[[#This Row],[Début mois]])</f>
        <v>#VALUE!</v>
      </c>
      <c r="P675">
        <f ca="1">INDEX(INDIRECT(CONCATENATE("Tab_",Tab_Calculs[[#This Row],[Colonne1]])),Tab_Calculs[[#This Row],[index_date_livraison]],7)*(1+MIN(Tab_Calculs[[#This Row],[Date_livraison]],Tab_Calculs[[#This Row],[fin mois]])-MAX(Tab_Calculs[[#This Row],[Début mois]],Tab_Calculs[[#This Row],[Début periode livraison]]))</f>
        <v>0</v>
      </c>
      <c r="Q675" t="e">
        <f ca="1">INDEX(INDIRECT(CONCATENATE("Tab_",Tab_Calculs[[#This Row],[Colonne1]])),Tab_Calculs[[#This Row],[index_date_livraison]]+1,7)*(Tab_Calculs[[#This Row],[fin mois]]-MIN(Tab_Calculs[[#This Row],[fin mois]],Tab_Calculs[[#This Row],[Date_livraison]]))</f>
        <v>#VALUE!</v>
      </c>
      <c r="R675" t="e">
        <f ca="1">Tab_Calculs[[#This Row],[Ratio_Cout_après_livr]]+Tab_Calculs[[#This Row],[Ratio_Cout_avant_livr]]+Tab_Calculs[[#This Row],[Ratio_Cout_avant_debut]]</f>
        <v>#VALUE!</v>
      </c>
      <c r="S675" t="str">
        <f ca="1">IFERROR(N675*VLOOKUP(Tab_Calculs[[#This Row],[Colonne1]],Controle_des_données!$B$7:$G$14,6,FALSE),"")</f>
        <v/>
      </c>
      <c r="T675" t="str">
        <f ca="1">IF(Tab_Calculs[[#This Row],[Combustible ]]="Electricité (kWh)",Tab_Calculs[[#This Row],[Conso_mois_kWh]]*2.3,Tab_Calculs[[#This Row],[Conso_mois_kWh]])</f>
        <v/>
      </c>
      <c r="U675" t="str">
        <f ca="1">IFERROR(N675*VLOOKUP(Tab_Calculs[[#This Row],[Colonne1]],Controle_des_données!$B$7:$H$14,7,FALSE),"")</f>
        <v/>
      </c>
      <c r="V675">
        <f ca="1">IFERROR(Tab_Calculs[[#This Row],[Cout_mois]]/Tab_Calculs[[#This Row],[Conso_mois_kWh]],0)</f>
        <v>0</v>
      </c>
      <c r="W675" t="str">
        <f>T(VLOOKUP(Tab_Calculs[[#This Row],[Compteur]],Site!$B$33:$G$40,3,FALSE))</f>
        <v/>
      </c>
      <c r="X675" t="str">
        <f>T(VLOOKUP(Tab_Calculs[[#This Row],[Compteur]],Site!$B$33:$G$40,4,FALSE))</f>
        <v/>
      </c>
      <c r="Y675" t="str">
        <f>T(VLOOKUP(Tab_Calculs[[#This Row],[Compteur]],Site!$B$33:$G$40,5,FALSE))</f>
        <v/>
      </c>
      <c r="Z675" t="str">
        <f>T(VLOOKUP(Tab_Calculs[[#This Row],[Compteur]],Site!$B$33:$G$40,6,FALSE))</f>
        <v/>
      </c>
      <c r="AA675">
        <f>IFERROR(GETPIVOTDATA("DJU(chauffagiste)",BDD_DJU!$P$13,"annee",Tab_Calculs[[#This Row],[ANNEE]],"mois_numero",Tab_Calculs[[#This Row],[MOIS]]),0)</f>
        <v>23.6</v>
      </c>
    </row>
    <row r="676" spans="1:27" x14ac:dyDescent="0.25">
      <c r="A676" s="3">
        <f>DATE(Tab_Calculs[[#This Row],[ANNEE]],Tab_Calculs[[#This Row],[MOIS]],1)</f>
        <v>42948</v>
      </c>
      <c r="B676" s="3">
        <f>EDATE(Tab_Calculs[[#This Row],[Début mois]],1)-1</f>
        <v>42978</v>
      </c>
      <c r="C676">
        <f t="shared" si="22"/>
        <v>8</v>
      </c>
      <c r="D676">
        <f t="shared" si="21"/>
        <v>2017</v>
      </c>
      <c r="E676" t="s">
        <v>83</v>
      </c>
      <c r="F676" t="str">
        <f>SUBSTITUTE(Tab_Calculs[[#This Row],[Compteur]]," ","_")</f>
        <v>Compteur_4</v>
      </c>
      <c r="G676" t="str">
        <f>T(INDEX(Site!$B$33:$G$40, MATCH(Tab_Calculs[[#This Row],[Compteur]], Site!$B$33:$B$40,0),2))</f>
        <v/>
      </c>
      <c r="H676" s="3">
        <f t="array" aca="1" ref="H676" ca="1">MIN(IF(INDIRECT(CONCATENATE(Tab_Calculs[[#This Row],[Colonne1]],"!$B$2:$B$243"))&gt;=Calculs_Consos!$A676,INDIRECT(CONCATENATE(Tab_Calculs[[#This Row],[Colonne1]],"!$B$2:$B$243"))))</f>
        <v>0</v>
      </c>
      <c r="I676" s="3">
        <f ca="1">INDEX(INDIRECT(CONCATENATE("Tab_",Tab_Calculs[[#This Row],[Colonne1]])),Tab_Calculs[[#This Row],[index_date_livraison]],1)</f>
        <v>0</v>
      </c>
      <c r="J676">
        <f ca="1">MATCH(Tab_Calculs[[#This Row],[Date_livraison]],INDIRECT(CONCATENATE("Tab_",Tab_Calculs[[#This Row],[Colonne1]],"[Fin de période]")),0)</f>
        <v>1</v>
      </c>
      <c r="K676" t="e">
        <f ca="1">INDEX(INDIRECT(CONCATENATE("Tab_",Tab_Calculs[[#This Row],[Colonne1]])),Tab_Calculs[[#This Row],[index_date_livraison]]-1,6)*(MAX(Tab_Calculs[[#This Row],[Début periode livraison]],Tab_Calculs[[#This Row],[Début mois]])-Tab_Calculs[[#This Row],[Début mois]])</f>
        <v>#VALUE!</v>
      </c>
      <c r="L676" s="94">
        <f ca="1">INDEX(INDIRECT(CONCATENATE("Tab_",Tab_Calculs[[#This Row],[Colonne1]])),Tab_Calculs[[#This Row],[index_date_livraison]],6)*(1+MIN(Tab_Calculs[[#This Row],[Date_livraison]],Tab_Calculs[[#This Row],[fin mois]])-MAX(Tab_Calculs[[#This Row],[Début mois]],Tab_Calculs[[#This Row],[Début periode livraison]]))</f>
        <v>0</v>
      </c>
      <c r="M676" s="94" t="e">
        <f ca="1">INDEX(INDIRECT(CONCATENATE("Tab_",Tab_Calculs[[#This Row],[Colonne1]])),Tab_Calculs[[#This Row],[index_date_livraison]]+1,6)*(Tab_Calculs[[#This Row],[fin mois]]-MIN(Tab_Calculs[[#This Row],[fin mois]],Tab_Calculs[[#This Row],[Date_livraison]]))</f>
        <v>#VALUE!</v>
      </c>
      <c r="N676" s="231" t="str">
        <f ca="1">IFERROR(Tab_Calculs[[#This Row],[Ratio_jour_après_livr]]+Tab_Calculs[[#This Row],[Ratio_jour_avant_livr]]+Tab_Calculs[[#This Row],[ratio_avant_debut]],"")</f>
        <v/>
      </c>
      <c r="O676" t="e">
        <f ca="1">INDEX(INDIRECT(CONCATENATE("Tab_",Tab_Calculs[[#This Row],[Colonne1]])),Tab_Calculs[[#This Row],[index_date_livraison]]-1,7)*(MAX(Tab_Calculs[[#This Row],[Début periode livraison]],Tab_Calculs[[#This Row],[Début mois]])-Tab_Calculs[[#This Row],[Début mois]])</f>
        <v>#VALUE!</v>
      </c>
      <c r="P676">
        <f ca="1">INDEX(INDIRECT(CONCATENATE("Tab_",Tab_Calculs[[#This Row],[Colonne1]])),Tab_Calculs[[#This Row],[index_date_livraison]],7)*(1+MIN(Tab_Calculs[[#This Row],[Date_livraison]],Tab_Calculs[[#This Row],[fin mois]])-MAX(Tab_Calculs[[#This Row],[Début mois]],Tab_Calculs[[#This Row],[Début periode livraison]]))</f>
        <v>0</v>
      </c>
      <c r="Q676" t="e">
        <f ca="1">INDEX(INDIRECT(CONCATENATE("Tab_",Tab_Calculs[[#This Row],[Colonne1]])),Tab_Calculs[[#This Row],[index_date_livraison]]+1,7)*(Tab_Calculs[[#This Row],[fin mois]]-MIN(Tab_Calculs[[#This Row],[fin mois]],Tab_Calculs[[#This Row],[Date_livraison]]))</f>
        <v>#VALUE!</v>
      </c>
      <c r="R676" t="e">
        <f ca="1">Tab_Calculs[[#This Row],[Ratio_Cout_après_livr]]+Tab_Calculs[[#This Row],[Ratio_Cout_avant_livr]]+Tab_Calculs[[#This Row],[Ratio_Cout_avant_debut]]</f>
        <v>#VALUE!</v>
      </c>
      <c r="S676" t="str">
        <f ca="1">IFERROR(N676*VLOOKUP(Tab_Calculs[[#This Row],[Colonne1]],Controle_des_données!$B$7:$G$14,6,FALSE),"")</f>
        <v/>
      </c>
      <c r="T676" t="str">
        <f ca="1">IF(Tab_Calculs[[#This Row],[Combustible ]]="Electricité (kWh)",Tab_Calculs[[#This Row],[Conso_mois_kWh]]*2.3,Tab_Calculs[[#This Row],[Conso_mois_kWh]])</f>
        <v/>
      </c>
      <c r="U676" t="str">
        <f ca="1">IFERROR(N676*VLOOKUP(Tab_Calculs[[#This Row],[Colonne1]],Controle_des_données!$B$7:$H$14,7,FALSE),"")</f>
        <v/>
      </c>
      <c r="V676">
        <f ca="1">IFERROR(Tab_Calculs[[#This Row],[Cout_mois]]/Tab_Calculs[[#This Row],[Conso_mois_kWh]],0)</f>
        <v>0</v>
      </c>
      <c r="W676" t="str">
        <f>T(VLOOKUP(Tab_Calculs[[#This Row],[Compteur]],Site!$B$33:$G$40,3,FALSE))</f>
        <v/>
      </c>
      <c r="X676" t="str">
        <f>T(VLOOKUP(Tab_Calculs[[#This Row],[Compteur]],Site!$B$33:$G$40,4,FALSE))</f>
        <v/>
      </c>
      <c r="Y676" t="str">
        <f>T(VLOOKUP(Tab_Calculs[[#This Row],[Compteur]],Site!$B$33:$G$40,5,FALSE))</f>
        <v/>
      </c>
      <c r="Z676" t="str">
        <f>T(VLOOKUP(Tab_Calculs[[#This Row],[Compteur]],Site!$B$33:$G$40,6,FALSE))</f>
        <v/>
      </c>
      <c r="AA676">
        <f>IFERROR(GETPIVOTDATA("DJU(chauffagiste)",BDD_DJU!$P$13,"annee",Tab_Calculs[[#This Row],[ANNEE]],"mois_numero",Tab_Calculs[[#This Row],[MOIS]]),0)</f>
        <v>32.200000000000003</v>
      </c>
    </row>
    <row r="677" spans="1:27" x14ac:dyDescent="0.25">
      <c r="A677" s="3">
        <f>DATE(Tab_Calculs[[#This Row],[ANNEE]],Tab_Calculs[[#This Row],[MOIS]],1)</f>
        <v>42979</v>
      </c>
      <c r="B677" s="3">
        <f>EDATE(Tab_Calculs[[#This Row],[Début mois]],1)-1</f>
        <v>43008</v>
      </c>
      <c r="C677">
        <f t="shared" si="22"/>
        <v>9</v>
      </c>
      <c r="D677">
        <f t="shared" si="21"/>
        <v>2017</v>
      </c>
      <c r="E677" t="s">
        <v>83</v>
      </c>
      <c r="F677" t="str">
        <f>SUBSTITUTE(Tab_Calculs[[#This Row],[Compteur]]," ","_")</f>
        <v>Compteur_4</v>
      </c>
      <c r="G677" t="str">
        <f>T(INDEX(Site!$B$33:$G$40, MATCH(Tab_Calculs[[#This Row],[Compteur]], Site!$B$33:$B$40,0),2))</f>
        <v/>
      </c>
      <c r="H677" s="3">
        <f t="array" aca="1" ref="H677" ca="1">MIN(IF(INDIRECT(CONCATENATE(Tab_Calculs[[#This Row],[Colonne1]],"!$B$2:$B$243"))&gt;=Calculs_Consos!$A677,INDIRECT(CONCATENATE(Tab_Calculs[[#This Row],[Colonne1]],"!$B$2:$B$243"))))</f>
        <v>0</v>
      </c>
      <c r="I677" s="3">
        <f ca="1">INDEX(INDIRECT(CONCATENATE("Tab_",Tab_Calculs[[#This Row],[Colonne1]])),Tab_Calculs[[#This Row],[index_date_livraison]],1)</f>
        <v>0</v>
      </c>
      <c r="J677">
        <f ca="1">MATCH(Tab_Calculs[[#This Row],[Date_livraison]],INDIRECT(CONCATENATE("Tab_",Tab_Calculs[[#This Row],[Colonne1]],"[Fin de période]")),0)</f>
        <v>1</v>
      </c>
      <c r="K677" t="e">
        <f ca="1">INDEX(INDIRECT(CONCATENATE("Tab_",Tab_Calculs[[#This Row],[Colonne1]])),Tab_Calculs[[#This Row],[index_date_livraison]]-1,6)*(MAX(Tab_Calculs[[#This Row],[Début periode livraison]],Tab_Calculs[[#This Row],[Début mois]])-Tab_Calculs[[#This Row],[Début mois]])</f>
        <v>#VALUE!</v>
      </c>
      <c r="L677" s="94">
        <f ca="1">INDEX(INDIRECT(CONCATENATE("Tab_",Tab_Calculs[[#This Row],[Colonne1]])),Tab_Calculs[[#This Row],[index_date_livraison]],6)*(1+MIN(Tab_Calculs[[#This Row],[Date_livraison]],Tab_Calculs[[#This Row],[fin mois]])-MAX(Tab_Calculs[[#This Row],[Début mois]],Tab_Calculs[[#This Row],[Début periode livraison]]))</f>
        <v>0</v>
      </c>
      <c r="M677" s="94" t="e">
        <f ca="1">INDEX(INDIRECT(CONCATENATE("Tab_",Tab_Calculs[[#This Row],[Colonne1]])),Tab_Calculs[[#This Row],[index_date_livraison]]+1,6)*(Tab_Calculs[[#This Row],[fin mois]]-MIN(Tab_Calculs[[#This Row],[fin mois]],Tab_Calculs[[#This Row],[Date_livraison]]))</f>
        <v>#VALUE!</v>
      </c>
      <c r="N677" s="231" t="str">
        <f ca="1">IFERROR(Tab_Calculs[[#This Row],[Ratio_jour_après_livr]]+Tab_Calculs[[#This Row],[Ratio_jour_avant_livr]]+Tab_Calculs[[#This Row],[ratio_avant_debut]],"")</f>
        <v/>
      </c>
      <c r="O677" t="e">
        <f ca="1">INDEX(INDIRECT(CONCATENATE("Tab_",Tab_Calculs[[#This Row],[Colonne1]])),Tab_Calculs[[#This Row],[index_date_livraison]]-1,7)*(MAX(Tab_Calculs[[#This Row],[Début periode livraison]],Tab_Calculs[[#This Row],[Début mois]])-Tab_Calculs[[#This Row],[Début mois]])</f>
        <v>#VALUE!</v>
      </c>
      <c r="P677">
        <f ca="1">INDEX(INDIRECT(CONCATENATE("Tab_",Tab_Calculs[[#This Row],[Colonne1]])),Tab_Calculs[[#This Row],[index_date_livraison]],7)*(1+MIN(Tab_Calculs[[#This Row],[Date_livraison]],Tab_Calculs[[#This Row],[fin mois]])-MAX(Tab_Calculs[[#This Row],[Début mois]],Tab_Calculs[[#This Row],[Début periode livraison]]))</f>
        <v>0</v>
      </c>
      <c r="Q677" t="e">
        <f ca="1">INDEX(INDIRECT(CONCATENATE("Tab_",Tab_Calculs[[#This Row],[Colonne1]])),Tab_Calculs[[#This Row],[index_date_livraison]]+1,7)*(Tab_Calculs[[#This Row],[fin mois]]-MIN(Tab_Calculs[[#This Row],[fin mois]],Tab_Calculs[[#This Row],[Date_livraison]]))</f>
        <v>#VALUE!</v>
      </c>
      <c r="R677" t="e">
        <f ca="1">Tab_Calculs[[#This Row],[Ratio_Cout_après_livr]]+Tab_Calculs[[#This Row],[Ratio_Cout_avant_livr]]+Tab_Calculs[[#This Row],[Ratio_Cout_avant_debut]]</f>
        <v>#VALUE!</v>
      </c>
      <c r="S677" t="str">
        <f ca="1">IFERROR(N677*VLOOKUP(Tab_Calculs[[#This Row],[Colonne1]],Controle_des_données!$B$7:$G$14,6,FALSE),"")</f>
        <v/>
      </c>
      <c r="T677" t="str">
        <f ca="1">IF(Tab_Calculs[[#This Row],[Combustible ]]="Electricité (kWh)",Tab_Calculs[[#This Row],[Conso_mois_kWh]]*2.3,Tab_Calculs[[#This Row],[Conso_mois_kWh]])</f>
        <v/>
      </c>
      <c r="U677" t="str">
        <f ca="1">IFERROR(N677*VLOOKUP(Tab_Calculs[[#This Row],[Colonne1]],Controle_des_données!$B$7:$H$14,7,FALSE),"")</f>
        <v/>
      </c>
      <c r="V677">
        <f ca="1">IFERROR(Tab_Calculs[[#This Row],[Cout_mois]]/Tab_Calculs[[#This Row],[Conso_mois_kWh]],0)</f>
        <v>0</v>
      </c>
      <c r="W677" t="str">
        <f>T(VLOOKUP(Tab_Calculs[[#This Row],[Compteur]],Site!$B$33:$G$40,3,FALSE))</f>
        <v/>
      </c>
      <c r="X677" t="str">
        <f>T(VLOOKUP(Tab_Calculs[[#This Row],[Compteur]],Site!$B$33:$G$40,4,FALSE))</f>
        <v/>
      </c>
      <c r="Y677" t="str">
        <f>T(VLOOKUP(Tab_Calculs[[#This Row],[Compteur]],Site!$B$33:$G$40,5,FALSE))</f>
        <v/>
      </c>
      <c r="Z677" t="str">
        <f>T(VLOOKUP(Tab_Calculs[[#This Row],[Compteur]],Site!$B$33:$G$40,6,FALSE))</f>
        <v/>
      </c>
      <c r="AA677">
        <f>IFERROR(GETPIVOTDATA("DJU(chauffagiste)",BDD_DJU!$P$13,"annee",Tab_Calculs[[#This Row],[ANNEE]],"mois_numero",Tab_Calculs[[#This Row],[MOIS]]),0)</f>
        <v>82.3</v>
      </c>
    </row>
    <row r="678" spans="1:27" x14ac:dyDescent="0.25">
      <c r="A678" s="3">
        <f>DATE(Tab_Calculs[[#This Row],[ANNEE]],Tab_Calculs[[#This Row],[MOIS]],1)</f>
        <v>43009</v>
      </c>
      <c r="B678" s="3">
        <f>EDATE(Tab_Calculs[[#This Row],[Début mois]],1)-1</f>
        <v>43039</v>
      </c>
      <c r="C678">
        <f t="shared" si="22"/>
        <v>10</v>
      </c>
      <c r="D678">
        <f t="shared" si="21"/>
        <v>2017</v>
      </c>
      <c r="E678" t="s">
        <v>83</v>
      </c>
      <c r="F678" t="str">
        <f>SUBSTITUTE(Tab_Calculs[[#This Row],[Compteur]]," ","_")</f>
        <v>Compteur_4</v>
      </c>
      <c r="G678" t="str">
        <f>T(INDEX(Site!$B$33:$G$40, MATCH(Tab_Calculs[[#This Row],[Compteur]], Site!$B$33:$B$40,0),2))</f>
        <v/>
      </c>
      <c r="H678" s="3">
        <f t="array" aca="1" ref="H678" ca="1">MIN(IF(INDIRECT(CONCATENATE(Tab_Calculs[[#This Row],[Colonne1]],"!$B$2:$B$243"))&gt;=Calculs_Consos!$A678,INDIRECT(CONCATENATE(Tab_Calculs[[#This Row],[Colonne1]],"!$B$2:$B$243"))))</f>
        <v>0</v>
      </c>
      <c r="I678" s="3">
        <f ca="1">INDEX(INDIRECT(CONCATENATE("Tab_",Tab_Calculs[[#This Row],[Colonne1]])),Tab_Calculs[[#This Row],[index_date_livraison]],1)</f>
        <v>0</v>
      </c>
      <c r="J678">
        <f ca="1">MATCH(Tab_Calculs[[#This Row],[Date_livraison]],INDIRECT(CONCATENATE("Tab_",Tab_Calculs[[#This Row],[Colonne1]],"[Fin de période]")),0)</f>
        <v>1</v>
      </c>
      <c r="K678" t="e">
        <f ca="1">INDEX(INDIRECT(CONCATENATE("Tab_",Tab_Calculs[[#This Row],[Colonne1]])),Tab_Calculs[[#This Row],[index_date_livraison]]-1,6)*(MAX(Tab_Calculs[[#This Row],[Début periode livraison]],Tab_Calculs[[#This Row],[Début mois]])-Tab_Calculs[[#This Row],[Début mois]])</f>
        <v>#VALUE!</v>
      </c>
      <c r="L678" s="94">
        <f ca="1">INDEX(INDIRECT(CONCATENATE("Tab_",Tab_Calculs[[#This Row],[Colonne1]])),Tab_Calculs[[#This Row],[index_date_livraison]],6)*(1+MIN(Tab_Calculs[[#This Row],[Date_livraison]],Tab_Calculs[[#This Row],[fin mois]])-MAX(Tab_Calculs[[#This Row],[Début mois]],Tab_Calculs[[#This Row],[Début periode livraison]]))</f>
        <v>0</v>
      </c>
      <c r="M678" s="94" t="e">
        <f ca="1">INDEX(INDIRECT(CONCATENATE("Tab_",Tab_Calculs[[#This Row],[Colonne1]])),Tab_Calculs[[#This Row],[index_date_livraison]]+1,6)*(Tab_Calculs[[#This Row],[fin mois]]-MIN(Tab_Calculs[[#This Row],[fin mois]],Tab_Calculs[[#This Row],[Date_livraison]]))</f>
        <v>#VALUE!</v>
      </c>
      <c r="N678" s="231" t="str">
        <f ca="1">IFERROR(Tab_Calculs[[#This Row],[Ratio_jour_après_livr]]+Tab_Calculs[[#This Row],[Ratio_jour_avant_livr]]+Tab_Calculs[[#This Row],[ratio_avant_debut]],"")</f>
        <v/>
      </c>
      <c r="O678" t="e">
        <f ca="1">INDEX(INDIRECT(CONCATENATE("Tab_",Tab_Calculs[[#This Row],[Colonne1]])),Tab_Calculs[[#This Row],[index_date_livraison]]-1,7)*(MAX(Tab_Calculs[[#This Row],[Début periode livraison]],Tab_Calculs[[#This Row],[Début mois]])-Tab_Calculs[[#This Row],[Début mois]])</f>
        <v>#VALUE!</v>
      </c>
      <c r="P678">
        <f ca="1">INDEX(INDIRECT(CONCATENATE("Tab_",Tab_Calculs[[#This Row],[Colonne1]])),Tab_Calculs[[#This Row],[index_date_livraison]],7)*(1+MIN(Tab_Calculs[[#This Row],[Date_livraison]],Tab_Calculs[[#This Row],[fin mois]])-MAX(Tab_Calculs[[#This Row],[Début mois]],Tab_Calculs[[#This Row],[Début periode livraison]]))</f>
        <v>0</v>
      </c>
      <c r="Q678" t="e">
        <f ca="1">INDEX(INDIRECT(CONCATENATE("Tab_",Tab_Calculs[[#This Row],[Colonne1]])),Tab_Calculs[[#This Row],[index_date_livraison]]+1,7)*(Tab_Calculs[[#This Row],[fin mois]]-MIN(Tab_Calculs[[#This Row],[fin mois]],Tab_Calculs[[#This Row],[Date_livraison]]))</f>
        <v>#VALUE!</v>
      </c>
      <c r="R678" t="e">
        <f ca="1">Tab_Calculs[[#This Row],[Ratio_Cout_après_livr]]+Tab_Calculs[[#This Row],[Ratio_Cout_avant_livr]]+Tab_Calculs[[#This Row],[Ratio_Cout_avant_debut]]</f>
        <v>#VALUE!</v>
      </c>
      <c r="S678" t="str">
        <f ca="1">IFERROR(N678*VLOOKUP(Tab_Calculs[[#This Row],[Colonne1]],Controle_des_données!$B$7:$G$14,6,FALSE),"")</f>
        <v/>
      </c>
      <c r="T678" t="str">
        <f ca="1">IF(Tab_Calculs[[#This Row],[Combustible ]]="Electricité (kWh)",Tab_Calculs[[#This Row],[Conso_mois_kWh]]*2.3,Tab_Calculs[[#This Row],[Conso_mois_kWh]])</f>
        <v/>
      </c>
      <c r="U678" t="str">
        <f ca="1">IFERROR(N678*VLOOKUP(Tab_Calculs[[#This Row],[Colonne1]],Controle_des_données!$B$7:$H$14,7,FALSE),"")</f>
        <v/>
      </c>
      <c r="V678">
        <f ca="1">IFERROR(Tab_Calculs[[#This Row],[Cout_mois]]/Tab_Calculs[[#This Row],[Conso_mois_kWh]],0)</f>
        <v>0</v>
      </c>
      <c r="W678" t="str">
        <f>T(VLOOKUP(Tab_Calculs[[#This Row],[Compteur]],Site!$B$33:$G$40,3,FALSE))</f>
        <v/>
      </c>
      <c r="X678" t="str">
        <f>T(VLOOKUP(Tab_Calculs[[#This Row],[Compteur]],Site!$B$33:$G$40,4,FALSE))</f>
        <v/>
      </c>
      <c r="Y678" t="str">
        <f>T(VLOOKUP(Tab_Calculs[[#This Row],[Compteur]],Site!$B$33:$G$40,5,FALSE))</f>
        <v/>
      </c>
      <c r="Z678" t="str">
        <f>T(VLOOKUP(Tab_Calculs[[#This Row],[Compteur]],Site!$B$33:$G$40,6,FALSE))</f>
        <v/>
      </c>
      <c r="AA678">
        <f>IFERROR(GETPIVOTDATA("DJU(chauffagiste)",BDD_DJU!$P$13,"annee",Tab_Calculs[[#This Row],[ANNEE]],"mois_numero",Tab_Calculs[[#This Row],[MOIS]]),0)</f>
        <v>126.4</v>
      </c>
    </row>
    <row r="679" spans="1:27" x14ac:dyDescent="0.25">
      <c r="A679" s="3">
        <f>DATE(Tab_Calculs[[#This Row],[ANNEE]],Tab_Calculs[[#This Row],[MOIS]],1)</f>
        <v>43040</v>
      </c>
      <c r="B679" s="3">
        <f>EDATE(Tab_Calculs[[#This Row],[Début mois]],1)-1</f>
        <v>43069</v>
      </c>
      <c r="C679">
        <f t="shared" si="22"/>
        <v>11</v>
      </c>
      <c r="D679">
        <f t="shared" si="21"/>
        <v>2017</v>
      </c>
      <c r="E679" t="s">
        <v>83</v>
      </c>
      <c r="F679" t="str">
        <f>SUBSTITUTE(Tab_Calculs[[#This Row],[Compteur]]," ","_")</f>
        <v>Compteur_4</v>
      </c>
      <c r="G679" t="str">
        <f>T(INDEX(Site!$B$33:$G$40, MATCH(Tab_Calculs[[#This Row],[Compteur]], Site!$B$33:$B$40,0),2))</f>
        <v/>
      </c>
      <c r="H679" s="3">
        <f t="array" aca="1" ref="H679" ca="1">MIN(IF(INDIRECT(CONCATENATE(Tab_Calculs[[#This Row],[Colonne1]],"!$B$2:$B$243"))&gt;=Calculs_Consos!$A679,INDIRECT(CONCATENATE(Tab_Calculs[[#This Row],[Colonne1]],"!$B$2:$B$243"))))</f>
        <v>0</v>
      </c>
      <c r="I679" s="3">
        <f ca="1">INDEX(INDIRECT(CONCATENATE("Tab_",Tab_Calculs[[#This Row],[Colonne1]])),Tab_Calculs[[#This Row],[index_date_livraison]],1)</f>
        <v>0</v>
      </c>
      <c r="J679">
        <f ca="1">MATCH(Tab_Calculs[[#This Row],[Date_livraison]],INDIRECT(CONCATENATE("Tab_",Tab_Calculs[[#This Row],[Colonne1]],"[Fin de période]")),0)</f>
        <v>1</v>
      </c>
      <c r="K679" t="e">
        <f ca="1">INDEX(INDIRECT(CONCATENATE("Tab_",Tab_Calculs[[#This Row],[Colonne1]])),Tab_Calculs[[#This Row],[index_date_livraison]]-1,6)*(MAX(Tab_Calculs[[#This Row],[Début periode livraison]],Tab_Calculs[[#This Row],[Début mois]])-Tab_Calculs[[#This Row],[Début mois]])</f>
        <v>#VALUE!</v>
      </c>
      <c r="L679" s="94">
        <f ca="1">INDEX(INDIRECT(CONCATENATE("Tab_",Tab_Calculs[[#This Row],[Colonne1]])),Tab_Calculs[[#This Row],[index_date_livraison]],6)*(1+MIN(Tab_Calculs[[#This Row],[Date_livraison]],Tab_Calculs[[#This Row],[fin mois]])-MAX(Tab_Calculs[[#This Row],[Début mois]],Tab_Calculs[[#This Row],[Début periode livraison]]))</f>
        <v>0</v>
      </c>
      <c r="M679" s="94" t="e">
        <f ca="1">INDEX(INDIRECT(CONCATENATE("Tab_",Tab_Calculs[[#This Row],[Colonne1]])),Tab_Calculs[[#This Row],[index_date_livraison]]+1,6)*(Tab_Calculs[[#This Row],[fin mois]]-MIN(Tab_Calculs[[#This Row],[fin mois]],Tab_Calculs[[#This Row],[Date_livraison]]))</f>
        <v>#VALUE!</v>
      </c>
      <c r="N679" s="231" t="str">
        <f ca="1">IFERROR(Tab_Calculs[[#This Row],[Ratio_jour_après_livr]]+Tab_Calculs[[#This Row],[Ratio_jour_avant_livr]]+Tab_Calculs[[#This Row],[ratio_avant_debut]],"")</f>
        <v/>
      </c>
      <c r="O679" t="e">
        <f ca="1">INDEX(INDIRECT(CONCATENATE("Tab_",Tab_Calculs[[#This Row],[Colonne1]])),Tab_Calculs[[#This Row],[index_date_livraison]]-1,7)*(MAX(Tab_Calculs[[#This Row],[Début periode livraison]],Tab_Calculs[[#This Row],[Début mois]])-Tab_Calculs[[#This Row],[Début mois]])</f>
        <v>#VALUE!</v>
      </c>
      <c r="P679">
        <f ca="1">INDEX(INDIRECT(CONCATENATE("Tab_",Tab_Calculs[[#This Row],[Colonne1]])),Tab_Calculs[[#This Row],[index_date_livraison]],7)*(1+MIN(Tab_Calculs[[#This Row],[Date_livraison]],Tab_Calculs[[#This Row],[fin mois]])-MAX(Tab_Calculs[[#This Row],[Début mois]],Tab_Calculs[[#This Row],[Début periode livraison]]))</f>
        <v>0</v>
      </c>
      <c r="Q679" t="e">
        <f ca="1">INDEX(INDIRECT(CONCATENATE("Tab_",Tab_Calculs[[#This Row],[Colonne1]])),Tab_Calculs[[#This Row],[index_date_livraison]]+1,7)*(Tab_Calculs[[#This Row],[fin mois]]-MIN(Tab_Calculs[[#This Row],[fin mois]],Tab_Calculs[[#This Row],[Date_livraison]]))</f>
        <v>#VALUE!</v>
      </c>
      <c r="R679" t="e">
        <f ca="1">Tab_Calculs[[#This Row],[Ratio_Cout_après_livr]]+Tab_Calculs[[#This Row],[Ratio_Cout_avant_livr]]+Tab_Calculs[[#This Row],[Ratio_Cout_avant_debut]]</f>
        <v>#VALUE!</v>
      </c>
      <c r="S679" t="str">
        <f ca="1">IFERROR(N679*VLOOKUP(Tab_Calculs[[#This Row],[Colonne1]],Controle_des_données!$B$7:$G$14,6,FALSE),"")</f>
        <v/>
      </c>
      <c r="T679" t="str">
        <f ca="1">IF(Tab_Calculs[[#This Row],[Combustible ]]="Electricité (kWh)",Tab_Calculs[[#This Row],[Conso_mois_kWh]]*2.3,Tab_Calculs[[#This Row],[Conso_mois_kWh]])</f>
        <v/>
      </c>
      <c r="U679" t="str">
        <f ca="1">IFERROR(N679*VLOOKUP(Tab_Calculs[[#This Row],[Colonne1]],Controle_des_données!$B$7:$H$14,7,FALSE),"")</f>
        <v/>
      </c>
      <c r="V679">
        <f ca="1">IFERROR(Tab_Calculs[[#This Row],[Cout_mois]]/Tab_Calculs[[#This Row],[Conso_mois_kWh]],0)</f>
        <v>0</v>
      </c>
      <c r="W679" t="str">
        <f>T(VLOOKUP(Tab_Calculs[[#This Row],[Compteur]],Site!$B$33:$G$40,3,FALSE))</f>
        <v/>
      </c>
      <c r="X679" t="str">
        <f>T(VLOOKUP(Tab_Calculs[[#This Row],[Compteur]],Site!$B$33:$G$40,4,FALSE))</f>
        <v/>
      </c>
      <c r="Y679" t="str">
        <f>T(VLOOKUP(Tab_Calculs[[#This Row],[Compteur]],Site!$B$33:$G$40,5,FALSE))</f>
        <v/>
      </c>
      <c r="Z679" t="str">
        <f>T(VLOOKUP(Tab_Calculs[[#This Row],[Compteur]],Site!$B$33:$G$40,6,FALSE))</f>
        <v/>
      </c>
      <c r="AA679">
        <f>IFERROR(GETPIVOTDATA("DJU(chauffagiste)",BDD_DJU!$P$13,"annee",Tab_Calculs[[#This Row],[ANNEE]],"mois_numero",Tab_Calculs[[#This Row],[MOIS]]),0)</f>
        <v>289.89999999999998</v>
      </c>
    </row>
    <row r="680" spans="1:27" x14ac:dyDescent="0.25">
      <c r="A680" s="3">
        <f>DATE(Tab_Calculs[[#This Row],[ANNEE]],Tab_Calculs[[#This Row],[MOIS]],1)</f>
        <v>43070</v>
      </c>
      <c r="B680" s="3">
        <f>EDATE(Tab_Calculs[[#This Row],[Début mois]],1)-1</f>
        <v>43100</v>
      </c>
      <c r="C680">
        <f t="shared" si="22"/>
        <v>12</v>
      </c>
      <c r="D680">
        <f t="shared" si="21"/>
        <v>2017</v>
      </c>
      <c r="E680" t="s">
        <v>83</v>
      </c>
      <c r="F680" t="str">
        <f>SUBSTITUTE(Tab_Calculs[[#This Row],[Compteur]]," ","_")</f>
        <v>Compteur_4</v>
      </c>
      <c r="G680" t="str">
        <f>T(INDEX(Site!$B$33:$G$40, MATCH(Tab_Calculs[[#This Row],[Compteur]], Site!$B$33:$B$40,0),2))</f>
        <v/>
      </c>
      <c r="H680" s="3">
        <f t="array" aca="1" ref="H680" ca="1">MIN(IF(INDIRECT(CONCATENATE(Tab_Calculs[[#This Row],[Colonne1]],"!$B$2:$B$243"))&gt;=Calculs_Consos!$A680,INDIRECT(CONCATENATE(Tab_Calculs[[#This Row],[Colonne1]],"!$B$2:$B$243"))))</f>
        <v>0</v>
      </c>
      <c r="I680" s="3">
        <f ca="1">INDEX(INDIRECT(CONCATENATE("Tab_",Tab_Calculs[[#This Row],[Colonne1]])),Tab_Calculs[[#This Row],[index_date_livraison]],1)</f>
        <v>0</v>
      </c>
      <c r="J680">
        <f ca="1">MATCH(Tab_Calculs[[#This Row],[Date_livraison]],INDIRECT(CONCATENATE("Tab_",Tab_Calculs[[#This Row],[Colonne1]],"[Fin de période]")),0)</f>
        <v>1</v>
      </c>
      <c r="K680" t="e">
        <f ca="1">INDEX(INDIRECT(CONCATENATE("Tab_",Tab_Calculs[[#This Row],[Colonne1]])),Tab_Calculs[[#This Row],[index_date_livraison]]-1,6)*(MAX(Tab_Calculs[[#This Row],[Début periode livraison]],Tab_Calculs[[#This Row],[Début mois]])-Tab_Calculs[[#This Row],[Début mois]])</f>
        <v>#VALUE!</v>
      </c>
      <c r="L680" s="94">
        <f ca="1">INDEX(INDIRECT(CONCATENATE("Tab_",Tab_Calculs[[#This Row],[Colonne1]])),Tab_Calculs[[#This Row],[index_date_livraison]],6)*(1+MIN(Tab_Calculs[[#This Row],[Date_livraison]],Tab_Calculs[[#This Row],[fin mois]])-MAX(Tab_Calculs[[#This Row],[Début mois]],Tab_Calculs[[#This Row],[Début periode livraison]]))</f>
        <v>0</v>
      </c>
      <c r="M680" s="94" t="e">
        <f ca="1">INDEX(INDIRECT(CONCATENATE("Tab_",Tab_Calculs[[#This Row],[Colonne1]])),Tab_Calculs[[#This Row],[index_date_livraison]]+1,6)*(Tab_Calculs[[#This Row],[fin mois]]-MIN(Tab_Calculs[[#This Row],[fin mois]],Tab_Calculs[[#This Row],[Date_livraison]]))</f>
        <v>#VALUE!</v>
      </c>
      <c r="N680" s="231" t="str">
        <f ca="1">IFERROR(Tab_Calculs[[#This Row],[Ratio_jour_après_livr]]+Tab_Calculs[[#This Row],[Ratio_jour_avant_livr]]+Tab_Calculs[[#This Row],[ratio_avant_debut]],"")</f>
        <v/>
      </c>
      <c r="O680" t="e">
        <f ca="1">INDEX(INDIRECT(CONCATENATE("Tab_",Tab_Calculs[[#This Row],[Colonne1]])),Tab_Calculs[[#This Row],[index_date_livraison]]-1,7)*(MAX(Tab_Calculs[[#This Row],[Début periode livraison]],Tab_Calculs[[#This Row],[Début mois]])-Tab_Calculs[[#This Row],[Début mois]])</f>
        <v>#VALUE!</v>
      </c>
      <c r="P680">
        <f ca="1">INDEX(INDIRECT(CONCATENATE("Tab_",Tab_Calculs[[#This Row],[Colonne1]])),Tab_Calculs[[#This Row],[index_date_livraison]],7)*(1+MIN(Tab_Calculs[[#This Row],[Date_livraison]],Tab_Calculs[[#This Row],[fin mois]])-MAX(Tab_Calculs[[#This Row],[Début mois]],Tab_Calculs[[#This Row],[Début periode livraison]]))</f>
        <v>0</v>
      </c>
      <c r="Q680" t="e">
        <f ca="1">INDEX(INDIRECT(CONCATENATE("Tab_",Tab_Calculs[[#This Row],[Colonne1]])),Tab_Calculs[[#This Row],[index_date_livraison]]+1,7)*(Tab_Calculs[[#This Row],[fin mois]]-MIN(Tab_Calculs[[#This Row],[fin mois]],Tab_Calculs[[#This Row],[Date_livraison]]))</f>
        <v>#VALUE!</v>
      </c>
      <c r="R680" t="e">
        <f ca="1">Tab_Calculs[[#This Row],[Ratio_Cout_après_livr]]+Tab_Calculs[[#This Row],[Ratio_Cout_avant_livr]]+Tab_Calculs[[#This Row],[Ratio_Cout_avant_debut]]</f>
        <v>#VALUE!</v>
      </c>
      <c r="S680" t="str">
        <f ca="1">IFERROR(N680*VLOOKUP(Tab_Calculs[[#This Row],[Colonne1]],Controle_des_données!$B$7:$G$14,6,FALSE),"")</f>
        <v/>
      </c>
      <c r="T680" t="str">
        <f ca="1">IF(Tab_Calculs[[#This Row],[Combustible ]]="Electricité (kWh)",Tab_Calculs[[#This Row],[Conso_mois_kWh]]*2.3,Tab_Calculs[[#This Row],[Conso_mois_kWh]])</f>
        <v/>
      </c>
      <c r="U680" t="str">
        <f ca="1">IFERROR(N680*VLOOKUP(Tab_Calculs[[#This Row],[Colonne1]],Controle_des_données!$B$7:$H$14,7,FALSE),"")</f>
        <v/>
      </c>
      <c r="V680">
        <f ca="1">IFERROR(Tab_Calculs[[#This Row],[Cout_mois]]/Tab_Calculs[[#This Row],[Conso_mois_kWh]],0)</f>
        <v>0</v>
      </c>
      <c r="W680" t="str">
        <f>T(VLOOKUP(Tab_Calculs[[#This Row],[Compteur]],Site!$B$33:$G$40,3,FALSE))</f>
        <v/>
      </c>
      <c r="X680" t="str">
        <f>T(VLOOKUP(Tab_Calculs[[#This Row],[Compteur]],Site!$B$33:$G$40,4,FALSE))</f>
        <v/>
      </c>
      <c r="Y680" t="str">
        <f>T(VLOOKUP(Tab_Calculs[[#This Row],[Compteur]],Site!$B$33:$G$40,5,FALSE))</f>
        <v/>
      </c>
      <c r="Z680" t="str">
        <f>T(VLOOKUP(Tab_Calculs[[#This Row],[Compteur]],Site!$B$33:$G$40,6,FALSE))</f>
        <v/>
      </c>
      <c r="AA680">
        <f>IFERROR(GETPIVOTDATA("DJU(chauffagiste)",BDD_DJU!$P$13,"annee",Tab_Calculs[[#This Row],[ANNEE]],"mois_numero",Tab_Calculs[[#This Row],[MOIS]]),0)</f>
        <v>366.2</v>
      </c>
    </row>
    <row r="681" spans="1:27" x14ac:dyDescent="0.25">
      <c r="A681" s="3">
        <f>DATE(Tab_Calculs[[#This Row],[ANNEE]],Tab_Calculs[[#This Row],[MOIS]],1)</f>
        <v>43101</v>
      </c>
      <c r="B681" s="3">
        <f>EDATE(Tab_Calculs[[#This Row],[Début mois]],1)-1</f>
        <v>43131</v>
      </c>
      <c r="C681">
        <f t="shared" si="22"/>
        <v>1</v>
      </c>
      <c r="D681">
        <f t="shared" si="21"/>
        <v>2018</v>
      </c>
      <c r="E681" t="s">
        <v>83</v>
      </c>
      <c r="F681" t="str">
        <f>SUBSTITUTE(Tab_Calculs[[#This Row],[Compteur]]," ","_")</f>
        <v>Compteur_4</v>
      </c>
      <c r="G681" t="str">
        <f>T(INDEX(Site!$B$33:$G$40, MATCH(Tab_Calculs[[#This Row],[Compteur]], Site!$B$33:$B$40,0),2))</f>
        <v/>
      </c>
      <c r="H681" s="3">
        <f t="array" aca="1" ref="H681" ca="1">MIN(IF(INDIRECT(CONCATENATE(Tab_Calculs[[#This Row],[Colonne1]],"!$B$2:$B$243"))&gt;=Calculs_Consos!$A681,INDIRECT(CONCATENATE(Tab_Calculs[[#This Row],[Colonne1]],"!$B$2:$B$243"))))</f>
        <v>0</v>
      </c>
      <c r="I681" s="3">
        <f ca="1">INDEX(INDIRECT(CONCATENATE("Tab_",Tab_Calculs[[#This Row],[Colonne1]])),Tab_Calculs[[#This Row],[index_date_livraison]],1)</f>
        <v>0</v>
      </c>
      <c r="J681">
        <f ca="1">MATCH(Tab_Calculs[[#This Row],[Date_livraison]],INDIRECT(CONCATENATE("Tab_",Tab_Calculs[[#This Row],[Colonne1]],"[Fin de période]")),0)</f>
        <v>1</v>
      </c>
      <c r="K681" t="e">
        <f ca="1">INDEX(INDIRECT(CONCATENATE("Tab_",Tab_Calculs[[#This Row],[Colonne1]])),Tab_Calculs[[#This Row],[index_date_livraison]]-1,6)*(MAX(Tab_Calculs[[#This Row],[Début periode livraison]],Tab_Calculs[[#This Row],[Début mois]])-Tab_Calculs[[#This Row],[Début mois]])</f>
        <v>#VALUE!</v>
      </c>
      <c r="L681" s="94">
        <f ca="1">INDEX(INDIRECT(CONCATENATE("Tab_",Tab_Calculs[[#This Row],[Colonne1]])),Tab_Calculs[[#This Row],[index_date_livraison]],6)*(1+MIN(Tab_Calculs[[#This Row],[Date_livraison]],Tab_Calculs[[#This Row],[fin mois]])-MAX(Tab_Calculs[[#This Row],[Début mois]],Tab_Calculs[[#This Row],[Début periode livraison]]))</f>
        <v>0</v>
      </c>
      <c r="M681" s="94" t="e">
        <f ca="1">INDEX(INDIRECT(CONCATENATE("Tab_",Tab_Calculs[[#This Row],[Colonne1]])),Tab_Calculs[[#This Row],[index_date_livraison]]+1,6)*(Tab_Calculs[[#This Row],[fin mois]]-MIN(Tab_Calculs[[#This Row],[fin mois]],Tab_Calculs[[#This Row],[Date_livraison]]))</f>
        <v>#VALUE!</v>
      </c>
      <c r="N681" s="231" t="str">
        <f ca="1">IFERROR(Tab_Calculs[[#This Row],[Ratio_jour_après_livr]]+Tab_Calculs[[#This Row],[Ratio_jour_avant_livr]]+Tab_Calculs[[#This Row],[ratio_avant_debut]],"")</f>
        <v/>
      </c>
      <c r="O681" t="e">
        <f ca="1">INDEX(INDIRECT(CONCATENATE("Tab_",Tab_Calculs[[#This Row],[Colonne1]])),Tab_Calculs[[#This Row],[index_date_livraison]]-1,7)*(MAX(Tab_Calculs[[#This Row],[Début periode livraison]],Tab_Calculs[[#This Row],[Début mois]])-Tab_Calculs[[#This Row],[Début mois]])</f>
        <v>#VALUE!</v>
      </c>
      <c r="P681">
        <f ca="1">INDEX(INDIRECT(CONCATENATE("Tab_",Tab_Calculs[[#This Row],[Colonne1]])),Tab_Calculs[[#This Row],[index_date_livraison]],7)*(1+MIN(Tab_Calculs[[#This Row],[Date_livraison]],Tab_Calculs[[#This Row],[fin mois]])-MAX(Tab_Calculs[[#This Row],[Début mois]],Tab_Calculs[[#This Row],[Début periode livraison]]))</f>
        <v>0</v>
      </c>
      <c r="Q681" t="e">
        <f ca="1">INDEX(INDIRECT(CONCATENATE("Tab_",Tab_Calculs[[#This Row],[Colonne1]])),Tab_Calculs[[#This Row],[index_date_livraison]]+1,7)*(Tab_Calculs[[#This Row],[fin mois]]-MIN(Tab_Calculs[[#This Row],[fin mois]],Tab_Calculs[[#This Row],[Date_livraison]]))</f>
        <v>#VALUE!</v>
      </c>
      <c r="R681" t="e">
        <f ca="1">Tab_Calculs[[#This Row],[Ratio_Cout_après_livr]]+Tab_Calculs[[#This Row],[Ratio_Cout_avant_livr]]+Tab_Calculs[[#This Row],[Ratio_Cout_avant_debut]]</f>
        <v>#VALUE!</v>
      </c>
      <c r="S681" t="str">
        <f ca="1">IFERROR(N681*VLOOKUP(Tab_Calculs[[#This Row],[Colonne1]],Controle_des_données!$B$7:$G$14,6,FALSE),"")</f>
        <v/>
      </c>
      <c r="T681" t="str">
        <f ca="1">IF(Tab_Calculs[[#This Row],[Combustible ]]="Electricité (kWh)",Tab_Calculs[[#This Row],[Conso_mois_kWh]]*2.3,Tab_Calculs[[#This Row],[Conso_mois_kWh]])</f>
        <v/>
      </c>
      <c r="U681" t="str">
        <f ca="1">IFERROR(N681*VLOOKUP(Tab_Calculs[[#This Row],[Colonne1]],Controle_des_données!$B$7:$H$14,7,FALSE),"")</f>
        <v/>
      </c>
      <c r="V681">
        <f ca="1">IFERROR(Tab_Calculs[[#This Row],[Cout_mois]]/Tab_Calculs[[#This Row],[Conso_mois_kWh]],0)</f>
        <v>0</v>
      </c>
      <c r="W681" t="str">
        <f>T(VLOOKUP(Tab_Calculs[[#This Row],[Compteur]],Site!$B$33:$G$40,3,FALSE))</f>
        <v/>
      </c>
      <c r="X681" t="str">
        <f>T(VLOOKUP(Tab_Calculs[[#This Row],[Compteur]],Site!$B$33:$G$40,4,FALSE))</f>
        <v/>
      </c>
      <c r="Y681" t="str">
        <f>T(VLOOKUP(Tab_Calculs[[#This Row],[Compteur]],Site!$B$33:$G$40,5,FALSE))</f>
        <v/>
      </c>
      <c r="Z681" t="str">
        <f>T(VLOOKUP(Tab_Calculs[[#This Row],[Compteur]],Site!$B$33:$G$40,6,FALSE))</f>
        <v/>
      </c>
      <c r="AA681">
        <f>IFERROR(GETPIVOTDATA("DJU(chauffagiste)",BDD_DJU!$P$13,"annee",Tab_Calculs[[#This Row],[ANNEE]],"mois_numero",Tab_Calculs[[#This Row],[MOIS]]),0)</f>
        <v>298.60000000000002</v>
      </c>
    </row>
    <row r="682" spans="1:27" x14ac:dyDescent="0.25">
      <c r="A682" s="3">
        <f>DATE(Tab_Calculs[[#This Row],[ANNEE]],Tab_Calculs[[#This Row],[MOIS]],1)</f>
        <v>43132</v>
      </c>
      <c r="B682" s="3">
        <f>EDATE(Tab_Calculs[[#This Row],[Début mois]],1)-1</f>
        <v>43159</v>
      </c>
      <c r="C682">
        <f t="shared" si="22"/>
        <v>2</v>
      </c>
      <c r="D682">
        <f t="shared" si="21"/>
        <v>2018</v>
      </c>
      <c r="E682" t="s">
        <v>83</v>
      </c>
      <c r="F682" t="str">
        <f>SUBSTITUTE(Tab_Calculs[[#This Row],[Compteur]]," ","_")</f>
        <v>Compteur_4</v>
      </c>
      <c r="G682" t="str">
        <f>T(INDEX(Site!$B$33:$G$40, MATCH(Tab_Calculs[[#This Row],[Compteur]], Site!$B$33:$B$40,0),2))</f>
        <v/>
      </c>
      <c r="H682" s="3">
        <f t="array" aca="1" ref="H682" ca="1">MIN(IF(INDIRECT(CONCATENATE(Tab_Calculs[[#This Row],[Colonne1]],"!$B$2:$B$243"))&gt;=Calculs_Consos!$A682,INDIRECT(CONCATENATE(Tab_Calculs[[#This Row],[Colonne1]],"!$B$2:$B$243"))))</f>
        <v>0</v>
      </c>
      <c r="I682" s="3">
        <f ca="1">INDEX(INDIRECT(CONCATENATE("Tab_",Tab_Calculs[[#This Row],[Colonne1]])),Tab_Calculs[[#This Row],[index_date_livraison]],1)</f>
        <v>0</v>
      </c>
      <c r="J682">
        <f ca="1">MATCH(Tab_Calculs[[#This Row],[Date_livraison]],INDIRECT(CONCATENATE("Tab_",Tab_Calculs[[#This Row],[Colonne1]],"[Fin de période]")),0)</f>
        <v>1</v>
      </c>
      <c r="K682" t="e">
        <f ca="1">INDEX(INDIRECT(CONCATENATE("Tab_",Tab_Calculs[[#This Row],[Colonne1]])),Tab_Calculs[[#This Row],[index_date_livraison]]-1,6)*(MAX(Tab_Calculs[[#This Row],[Début periode livraison]],Tab_Calculs[[#This Row],[Début mois]])-Tab_Calculs[[#This Row],[Début mois]])</f>
        <v>#VALUE!</v>
      </c>
      <c r="L682" s="94">
        <f ca="1">INDEX(INDIRECT(CONCATENATE("Tab_",Tab_Calculs[[#This Row],[Colonne1]])),Tab_Calculs[[#This Row],[index_date_livraison]],6)*(1+MIN(Tab_Calculs[[#This Row],[Date_livraison]],Tab_Calculs[[#This Row],[fin mois]])-MAX(Tab_Calculs[[#This Row],[Début mois]],Tab_Calculs[[#This Row],[Début periode livraison]]))</f>
        <v>0</v>
      </c>
      <c r="M682" s="94" t="e">
        <f ca="1">INDEX(INDIRECT(CONCATENATE("Tab_",Tab_Calculs[[#This Row],[Colonne1]])),Tab_Calculs[[#This Row],[index_date_livraison]]+1,6)*(Tab_Calculs[[#This Row],[fin mois]]-MIN(Tab_Calculs[[#This Row],[fin mois]],Tab_Calculs[[#This Row],[Date_livraison]]))</f>
        <v>#VALUE!</v>
      </c>
      <c r="N682" s="231" t="str">
        <f ca="1">IFERROR(Tab_Calculs[[#This Row],[Ratio_jour_après_livr]]+Tab_Calculs[[#This Row],[Ratio_jour_avant_livr]]+Tab_Calculs[[#This Row],[ratio_avant_debut]],"")</f>
        <v/>
      </c>
      <c r="O682" t="e">
        <f ca="1">INDEX(INDIRECT(CONCATENATE("Tab_",Tab_Calculs[[#This Row],[Colonne1]])),Tab_Calculs[[#This Row],[index_date_livraison]]-1,7)*(MAX(Tab_Calculs[[#This Row],[Début periode livraison]],Tab_Calculs[[#This Row],[Début mois]])-Tab_Calculs[[#This Row],[Début mois]])</f>
        <v>#VALUE!</v>
      </c>
      <c r="P682">
        <f ca="1">INDEX(INDIRECT(CONCATENATE("Tab_",Tab_Calculs[[#This Row],[Colonne1]])),Tab_Calculs[[#This Row],[index_date_livraison]],7)*(1+MIN(Tab_Calculs[[#This Row],[Date_livraison]],Tab_Calculs[[#This Row],[fin mois]])-MAX(Tab_Calculs[[#This Row],[Début mois]],Tab_Calculs[[#This Row],[Début periode livraison]]))</f>
        <v>0</v>
      </c>
      <c r="Q682" t="e">
        <f ca="1">INDEX(INDIRECT(CONCATENATE("Tab_",Tab_Calculs[[#This Row],[Colonne1]])),Tab_Calculs[[#This Row],[index_date_livraison]]+1,7)*(Tab_Calculs[[#This Row],[fin mois]]-MIN(Tab_Calculs[[#This Row],[fin mois]],Tab_Calculs[[#This Row],[Date_livraison]]))</f>
        <v>#VALUE!</v>
      </c>
      <c r="R682" t="e">
        <f ca="1">Tab_Calculs[[#This Row],[Ratio_Cout_après_livr]]+Tab_Calculs[[#This Row],[Ratio_Cout_avant_livr]]+Tab_Calculs[[#This Row],[Ratio_Cout_avant_debut]]</f>
        <v>#VALUE!</v>
      </c>
      <c r="S682" t="str">
        <f ca="1">IFERROR(N682*VLOOKUP(Tab_Calculs[[#This Row],[Colonne1]],Controle_des_données!$B$7:$G$14,6,FALSE),"")</f>
        <v/>
      </c>
      <c r="T682" t="str">
        <f ca="1">IF(Tab_Calculs[[#This Row],[Combustible ]]="Electricité (kWh)",Tab_Calculs[[#This Row],[Conso_mois_kWh]]*2.3,Tab_Calculs[[#This Row],[Conso_mois_kWh]])</f>
        <v/>
      </c>
      <c r="U682" t="str">
        <f ca="1">IFERROR(N682*VLOOKUP(Tab_Calculs[[#This Row],[Colonne1]],Controle_des_données!$B$7:$H$14,7,FALSE),"")</f>
        <v/>
      </c>
      <c r="V682">
        <f ca="1">IFERROR(Tab_Calculs[[#This Row],[Cout_mois]]/Tab_Calculs[[#This Row],[Conso_mois_kWh]],0)</f>
        <v>0</v>
      </c>
      <c r="W682" t="str">
        <f>T(VLOOKUP(Tab_Calculs[[#This Row],[Compteur]],Site!$B$33:$G$40,3,FALSE))</f>
        <v/>
      </c>
      <c r="X682" t="str">
        <f>T(VLOOKUP(Tab_Calculs[[#This Row],[Compteur]],Site!$B$33:$G$40,4,FALSE))</f>
        <v/>
      </c>
      <c r="Y682" t="str">
        <f>T(VLOOKUP(Tab_Calculs[[#This Row],[Compteur]],Site!$B$33:$G$40,5,FALSE))</f>
        <v/>
      </c>
      <c r="Z682" t="str">
        <f>T(VLOOKUP(Tab_Calculs[[#This Row],[Compteur]],Site!$B$33:$G$40,6,FALSE))</f>
        <v/>
      </c>
      <c r="AA682">
        <f>IFERROR(GETPIVOTDATA("DJU(chauffagiste)",BDD_DJU!$P$13,"annee",Tab_Calculs[[#This Row],[ANNEE]],"mois_numero",Tab_Calculs[[#This Row],[MOIS]]),0)</f>
        <v>415.2</v>
      </c>
    </row>
    <row r="683" spans="1:27" x14ac:dyDescent="0.25">
      <c r="A683" s="3">
        <f>DATE(Tab_Calculs[[#This Row],[ANNEE]],Tab_Calculs[[#This Row],[MOIS]],1)</f>
        <v>43160</v>
      </c>
      <c r="B683" s="3">
        <f>EDATE(Tab_Calculs[[#This Row],[Début mois]],1)-1</f>
        <v>43190</v>
      </c>
      <c r="C683">
        <f t="shared" si="22"/>
        <v>3</v>
      </c>
      <c r="D683">
        <f t="shared" si="21"/>
        <v>2018</v>
      </c>
      <c r="E683" t="s">
        <v>83</v>
      </c>
      <c r="F683" t="str">
        <f>SUBSTITUTE(Tab_Calculs[[#This Row],[Compteur]]," ","_")</f>
        <v>Compteur_4</v>
      </c>
      <c r="G683" t="str">
        <f>T(INDEX(Site!$B$33:$G$40, MATCH(Tab_Calculs[[#This Row],[Compteur]], Site!$B$33:$B$40,0),2))</f>
        <v/>
      </c>
      <c r="H683" s="3">
        <f t="array" aca="1" ref="H683" ca="1">MIN(IF(INDIRECT(CONCATENATE(Tab_Calculs[[#This Row],[Colonne1]],"!$B$2:$B$243"))&gt;=Calculs_Consos!$A683,INDIRECT(CONCATENATE(Tab_Calculs[[#This Row],[Colonne1]],"!$B$2:$B$243"))))</f>
        <v>0</v>
      </c>
      <c r="I683" s="3">
        <f ca="1">INDEX(INDIRECT(CONCATENATE("Tab_",Tab_Calculs[[#This Row],[Colonne1]])),Tab_Calculs[[#This Row],[index_date_livraison]],1)</f>
        <v>0</v>
      </c>
      <c r="J683">
        <f ca="1">MATCH(Tab_Calculs[[#This Row],[Date_livraison]],INDIRECT(CONCATENATE("Tab_",Tab_Calculs[[#This Row],[Colonne1]],"[Fin de période]")),0)</f>
        <v>1</v>
      </c>
      <c r="K683" t="e">
        <f ca="1">INDEX(INDIRECT(CONCATENATE("Tab_",Tab_Calculs[[#This Row],[Colonne1]])),Tab_Calculs[[#This Row],[index_date_livraison]]-1,6)*(MAX(Tab_Calculs[[#This Row],[Début periode livraison]],Tab_Calculs[[#This Row],[Début mois]])-Tab_Calculs[[#This Row],[Début mois]])</f>
        <v>#VALUE!</v>
      </c>
      <c r="L683" s="94">
        <f ca="1">INDEX(INDIRECT(CONCATENATE("Tab_",Tab_Calculs[[#This Row],[Colonne1]])),Tab_Calculs[[#This Row],[index_date_livraison]],6)*(1+MIN(Tab_Calculs[[#This Row],[Date_livraison]],Tab_Calculs[[#This Row],[fin mois]])-MAX(Tab_Calculs[[#This Row],[Début mois]],Tab_Calculs[[#This Row],[Début periode livraison]]))</f>
        <v>0</v>
      </c>
      <c r="M683" s="94" t="e">
        <f ca="1">INDEX(INDIRECT(CONCATENATE("Tab_",Tab_Calculs[[#This Row],[Colonne1]])),Tab_Calculs[[#This Row],[index_date_livraison]]+1,6)*(Tab_Calculs[[#This Row],[fin mois]]-MIN(Tab_Calculs[[#This Row],[fin mois]],Tab_Calculs[[#This Row],[Date_livraison]]))</f>
        <v>#VALUE!</v>
      </c>
      <c r="N683" s="231" t="str">
        <f ca="1">IFERROR(Tab_Calculs[[#This Row],[Ratio_jour_après_livr]]+Tab_Calculs[[#This Row],[Ratio_jour_avant_livr]]+Tab_Calculs[[#This Row],[ratio_avant_debut]],"")</f>
        <v/>
      </c>
      <c r="O683" t="e">
        <f ca="1">INDEX(INDIRECT(CONCATENATE("Tab_",Tab_Calculs[[#This Row],[Colonne1]])),Tab_Calculs[[#This Row],[index_date_livraison]]-1,7)*(MAX(Tab_Calculs[[#This Row],[Début periode livraison]],Tab_Calculs[[#This Row],[Début mois]])-Tab_Calculs[[#This Row],[Début mois]])</f>
        <v>#VALUE!</v>
      </c>
      <c r="P683">
        <f ca="1">INDEX(INDIRECT(CONCATENATE("Tab_",Tab_Calculs[[#This Row],[Colonne1]])),Tab_Calculs[[#This Row],[index_date_livraison]],7)*(1+MIN(Tab_Calculs[[#This Row],[Date_livraison]],Tab_Calculs[[#This Row],[fin mois]])-MAX(Tab_Calculs[[#This Row],[Début mois]],Tab_Calculs[[#This Row],[Début periode livraison]]))</f>
        <v>0</v>
      </c>
      <c r="Q683" t="e">
        <f ca="1">INDEX(INDIRECT(CONCATENATE("Tab_",Tab_Calculs[[#This Row],[Colonne1]])),Tab_Calculs[[#This Row],[index_date_livraison]]+1,7)*(Tab_Calculs[[#This Row],[fin mois]]-MIN(Tab_Calculs[[#This Row],[fin mois]],Tab_Calculs[[#This Row],[Date_livraison]]))</f>
        <v>#VALUE!</v>
      </c>
      <c r="R683" t="e">
        <f ca="1">Tab_Calculs[[#This Row],[Ratio_Cout_après_livr]]+Tab_Calculs[[#This Row],[Ratio_Cout_avant_livr]]+Tab_Calculs[[#This Row],[Ratio_Cout_avant_debut]]</f>
        <v>#VALUE!</v>
      </c>
      <c r="S683" t="str">
        <f ca="1">IFERROR(N683*VLOOKUP(Tab_Calculs[[#This Row],[Colonne1]],Controle_des_données!$B$7:$G$14,6,FALSE),"")</f>
        <v/>
      </c>
      <c r="T683" t="str">
        <f ca="1">IF(Tab_Calculs[[#This Row],[Combustible ]]="Electricité (kWh)",Tab_Calculs[[#This Row],[Conso_mois_kWh]]*2.3,Tab_Calculs[[#This Row],[Conso_mois_kWh]])</f>
        <v/>
      </c>
      <c r="U683" t="str">
        <f ca="1">IFERROR(N683*VLOOKUP(Tab_Calculs[[#This Row],[Colonne1]],Controle_des_données!$B$7:$H$14,7,FALSE),"")</f>
        <v/>
      </c>
      <c r="V683">
        <f ca="1">IFERROR(Tab_Calculs[[#This Row],[Cout_mois]]/Tab_Calculs[[#This Row],[Conso_mois_kWh]],0)</f>
        <v>0</v>
      </c>
      <c r="W683" t="str">
        <f>T(VLOOKUP(Tab_Calculs[[#This Row],[Compteur]],Site!$B$33:$G$40,3,FALSE))</f>
        <v/>
      </c>
      <c r="X683" t="str">
        <f>T(VLOOKUP(Tab_Calculs[[#This Row],[Compteur]],Site!$B$33:$G$40,4,FALSE))</f>
        <v/>
      </c>
      <c r="Y683" t="str">
        <f>T(VLOOKUP(Tab_Calculs[[#This Row],[Compteur]],Site!$B$33:$G$40,5,FALSE))</f>
        <v/>
      </c>
      <c r="Z683" t="str">
        <f>T(VLOOKUP(Tab_Calculs[[#This Row],[Compteur]],Site!$B$33:$G$40,6,FALSE))</f>
        <v/>
      </c>
      <c r="AA683">
        <f>IFERROR(GETPIVOTDATA("DJU(chauffagiste)",BDD_DJU!$P$13,"annee",Tab_Calculs[[#This Row],[ANNEE]],"mois_numero",Tab_Calculs[[#This Row],[MOIS]]),0)</f>
        <v>305.39999999999998</v>
      </c>
    </row>
    <row r="684" spans="1:27" x14ac:dyDescent="0.25">
      <c r="A684" s="3">
        <f>DATE(Tab_Calculs[[#This Row],[ANNEE]],Tab_Calculs[[#This Row],[MOIS]],1)</f>
        <v>43191</v>
      </c>
      <c r="B684" s="3">
        <f>EDATE(Tab_Calculs[[#This Row],[Début mois]],1)-1</f>
        <v>43220</v>
      </c>
      <c r="C684">
        <f t="shared" si="22"/>
        <v>4</v>
      </c>
      <c r="D684">
        <f t="shared" si="21"/>
        <v>2018</v>
      </c>
      <c r="E684" t="s">
        <v>83</v>
      </c>
      <c r="F684" t="str">
        <f>SUBSTITUTE(Tab_Calculs[[#This Row],[Compteur]]," ","_")</f>
        <v>Compteur_4</v>
      </c>
      <c r="G684" t="str">
        <f>T(INDEX(Site!$B$33:$G$40, MATCH(Tab_Calculs[[#This Row],[Compteur]], Site!$B$33:$B$40,0),2))</f>
        <v/>
      </c>
      <c r="H684" s="3">
        <f t="array" aca="1" ref="H684" ca="1">MIN(IF(INDIRECT(CONCATENATE(Tab_Calculs[[#This Row],[Colonne1]],"!$B$2:$B$243"))&gt;=Calculs_Consos!$A684,INDIRECT(CONCATENATE(Tab_Calculs[[#This Row],[Colonne1]],"!$B$2:$B$243"))))</f>
        <v>0</v>
      </c>
      <c r="I684" s="3">
        <f ca="1">INDEX(INDIRECT(CONCATENATE("Tab_",Tab_Calculs[[#This Row],[Colonne1]])),Tab_Calculs[[#This Row],[index_date_livraison]],1)</f>
        <v>0</v>
      </c>
      <c r="J684">
        <f ca="1">MATCH(Tab_Calculs[[#This Row],[Date_livraison]],INDIRECT(CONCATENATE("Tab_",Tab_Calculs[[#This Row],[Colonne1]],"[Fin de période]")),0)</f>
        <v>1</v>
      </c>
      <c r="K684" t="e">
        <f ca="1">INDEX(INDIRECT(CONCATENATE("Tab_",Tab_Calculs[[#This Row],[Colonne1]])),Tab_Calculs[[#This Row],[index_date_livraison]]-1,6)*(MAX(Tab_Calculs[[#This Row],[Début periode livraison]],Tab_Calculs[[#This Row],[Début mois]])-Tab_Calculs[[#This Row],[Début mois]])</f>
        <v>#VALUE!</v>
      </c>
      <c r="L684" s="94">
        <f ca="1">INDEX(INDIRECT(CONCATENATE("Tab_",Tab_Calculs[[#This Row],[Colonne1]])),Tab_Calculs[[#This Row],[index_date_livraison]],6)*(1+MIN(Tab_Calculs[[#This Row],[Date_livraison]],Tab_Calculs[[#This Row],[fin mois]])-MAX(Tab_Calculs[[#This Row],[Début mois]],Tab_Calculs[[#This Row],[Début periode livraison]]))</f>
        <v>0</v>
      </c>
      <c r="M684" s="94" t="e">
        <f ca="1">INDEX(INDIRECT(CONCATENATE("Tab_",Tab_Calculs[[#This Row],[Colonne1]])),Tab_Calculs[[#This Row],[index_date_livraison]]+1,6)*(Tab_Calculs[[#This Row],[fin mois]]-MIN(Tab_Calculs[[#This Row],[fin mois]],Tab_Calculs[[#This Row],[Date_livraison]]))</f>
        <v>#VALUE!</v>
      </c>
      <c r="N684" s="231" t="str">
        <f ca="1">IFERROR(Tab_Calculs[[#This Row],[Ratio_jour_après_livr]]+Tab_Calculs[[#This Row],[Ratio_jour_avant_livr]]+Tab_Calculs[[#This Row],[ratio_avant_debut]],"")</f>
        <v/>
      </c>
      <c r="O684" t="e">
        <f ca="1">INDEX(INDIRECT(CONCATENATE("Tab_",Tab_Calculs[[#This Row],[Colonne1]])),Tab_Calculs[[#This Row],[index_date_livraison]]-1,7)*(MAX(Tab_Calculs[[#This Row],[Début periode livraison]],Tab_Calculs[[#This Row],[Début mois]])-Tab_Calculs[[#This Row],[Début mois]])</f>
        <v>#VALUE!</v>
      </c>
      <c r="P684">
        <f ca="1">INDEX(INDIRECT(CONCATENATE("Tab_",Tab_Calculs[[#This Row],[Colonne1]])),Tab_Calculs[[#This Row],[index_date_livraison]],7)*(1+MIN(Tab_Calculs[[#This Row],[Date_livraison]],Tab_Calculs[[#This Row],[fin mois]])-MAX(Tab_Calculs[[#This Row],[Début mois]],Tab_Calculs[[#This Row],[Début periode livraison]]))</f>
        <v>0</v>
      </c>
      <c r="Q684" t="e">
        <f ca="1">INDEX(INDIRECT(CONCATENATE("Tab_",Tab_Calculs[[#This Row],[Colonne1]])),Tab_Calculs[[#This Row],[index_date_livraison]]+1,7)*(Tab_Calculs[[#This Row],[fin mois]]-MIN(Tab_Calculs[[#This Row],[fin mois]],Tab_Calculs[[#This Row],[Date_livraison]]))</f>
        <v>#VALUE!</v>
      </c>
      <c r="R684" t="e">
        <f ca="1">Tab_Calculs[[#This Row],[Ratio_Cout_après_livr]]+Tab_Calculs[[#This Row],[Ratio_Cout_avant_livr]]+Tab_Calculs[[#This Row],[Ratio_Cout_avant_debut]]</f>
        <v>#VALUE!</v>
      </c>
      <c r="S684" t="str">
        <f ca="1">IFERROR(N684*VLOOKUP(Tab_Calculs[[#This Row],[Colonne1]],Controle_des_données!$B$7:$G$14,6,FALSE),"")</f>
        <v/>
      </c>
      <c r="T684" t="str">
        <f ca="1">IF(Tab_Calculs[[#This Row],[Combustible ]]="Electricité (kWh)",Tab_Calculs[[#This Row],[Conso_mois_kWh]]*2.3,Tab_Calculs[[#This Row],[Conso_mois_kWh]])</f>
        <v/>
      </c>
      <c r="U684" t="str">
        <f ca="1">IFERROR(N684*VLOOKUP(Tab_Calculs[[#This Row],[Colonne1]],Controle_des_données!$B$7:$H$14,7,FALSE),"")</f>
        <v/>
      </c>
      <c r="V684">
        <f ca="1">IFERROR(Tab_Calculs[[#This Row],[Cout_mois]]/Tab_Calculs[[#This Row],[Conso_mois_kWh]],0)</f>
        <v>0</v>
      </c>
      <c r="W684" t="str">
        <f>T(VLOOKUP(Tab_Calculs[[#This Row],[Compteur]],Site!$B$33:$G$40,3,FALSE))</f>
        <v/>
      </c>
      <c r="X684" t="str">
        <f>T(VLOOKUP(Tab_Calculs[[#This Row],[Compteur]],Site!$B$33:$G$40,4,FALSE))</f>
        <v/>
      </c>
      <c r="Y684" t="str">
        <f>T(VLOOKUP(Tab_Calculs[[#This Row],[Compteur]],Site!$B$33:$G$40,5,FALSE))</f>
        <v/>
      </c>
      <c r="Z684" t="str">
        <f>T(VLOOKUP(Tab_Calculs[[#This Row],[Compteur]],Site!$B$33:$G$40,6,FALSE))</f>
        <v/>
      </c>
      <c r="AA684">
        <f>IFERROR(GETPIVOTDATA("DJU(chauffagiste)",BDD_DJU!$P$13,"annee",Tab_Calculs[[#This Row],[ANNEE]],"mois_numero",Tab_Calculs[[#This Row],[MOIS]]),0)</f>
        <v>152.19999999999999</v>
      </c>
    </row>
    <row r="685" spans="1:27" x14ac:dyDescent="0.25">
      <c r="A685" s="3">
        <f>DATE(Tab_Calculs[[#This Row],[ANNEE]],Tab_Calculs[[#This Row],[MOIS]],1)</f>
        <v>43221</v>
      </c>
      <c r="B685" s="3">
        <f>EDATE(Tab_Calculs[[#This Row],[Début mois]],1)-1</f>
        <v>43251</v>
      </c>
      <c r="C685">
        <f t="shared" si="22"/>
        <v>5</v>
      </c>
      <c r="D685">
        <f t="shared" si="21"/>
        <v>2018</v>
      </c>
      <c r="E685" t="s">
        <v>83</v>
      </c>
      <c r="F685" t="str">
        <f>SUBSTITUTE(Tab_Calculs[[#This Row],[Compteur]]," ","_")</f>
        <v>Compteur_4</v>
      </c>
      <c r="G685" t="str">
        <f>T(INDEX(Site!$B$33:$G$40, MATCH(Tab_Calculs[[#This Row],[Compteur]], Site!$B$33:$B$40,0),2))</f>
        <v/>
      </c>
      <c r="H685" s="3">
        <f t="array" aca="1" ref="H685" ca="1">MIN(IF(INDIRECT(CONCATENATE(Tab_Calculs[[#This Row],[Colonne1]],"!$B$2:$B$243"))&gt;=Calculs_Consos!$A685,INDIRECT(CONCATENATE(Tab_Calculs[[#This Row],[Colonne1]],"!$B$2:$B$243"))))</f>
        <v>0</v>
      </c>
      <c r="I685" s="3">
        <f ca="1">INDEX(INDIRECT(CONCATENATE("Tab_",Tab_Calculs[[#This Row],[Colonne1]])),Tab_Calculs[[#This Row],[index_date_livraison]],1)</f>
        <v>0</v>
      </c>
      <c r="J685">
        <f ca="1">MATCH(Tab_Calculs[[#This Row],[Date_livraison]],INDIRECT(CONCATENATE("Tab_",Tab_Calculs[[#This Row],[Colonne1]],"[Fin de période]")),0)</f>
        <v>1</v>
      </c>
      <c r="K685" t="e">
        <f ca="1">INDEX(INDIRECT(CONCATENATE("Tab_",Tab_Calculs[[#This Row],[Colonne1]])),Tab_Calculs[[#This Row],[index_date_livraison]]-1,6)*(MAX(Tab_Calculs[[#This Row],[Début periode livraison]],Tab_Calculs[[#This Row],[Début mois]])-Tab_Calculs[[#This Row],[Début mois]])</f>
        <v>#VALUE!</v>
      </c>
      <c r="L685" s="94">
        <f ca="1">INDEX(INDIRECT(CONCATENATE("Tab_",Tab_Calculs[[#This Row],[Colonne1]])),Tab_Calculs[[#This Row],[index_date_livraison]],6)*(1+MIN(Tab_Calculs[[#This Row],[Date_livraison]],Tab_Calculs[[#This Row],[fin mois]])-MAX(Tab_Calculs[[#This Row],[Début mois]],Tab_Calculs[[#This Row],[Début periode livraison]]))</f>
        <v>0</v>
      </c>
      <c r="M685" s="94" t="e">
        <f ca="1">INDEX(INDIRECT(CONCATENATE("Tab_",Tab_Calculs[[#This Row],[Colonne1]])),Tab_Calculs[[#This Row],[index_date_livraison]]+1,6)*(Tab_Calculs[[#This Row],[fin mois]]-MIN(Tab_Calculs[[#This Row],[fin mois]],Tab_Calculs[[#This Row],[Date_livraison]]))</f>
        <v>#VALUE!</v>
      </c>
      <c r="N685" s="231" t="str">
        <f ca="1">IFERROR(Tab_Calculs[[#This Row],[Ratio_jour_après_livr]]+Tab_Calculs[[#This Row],[Ratio_jour_avant_livr]]+Tab_Calculs[[#This Row],[ratio_avant_debut]],"")</f>
        <v/>
      </c>
      <c r="O685" t="e">
        <f ca="1">INDEX(INDIRECT(CONCATENATE("Tab_",Tab_Calculs[[#This Row],[Colonne1]])),Tab_Calculs[[#This Row],[index_date_livraison]]-1,7)*(MAX(Tab_Calculs[[#This Row],[Début periode livraison]],Tab_Calculs[[#This Row],[Début mois]])-Tab_Calculs[[#This Row],[Début mois]])</f>
        <v>#VALUE!</v>
      </c>
      <c r="P685">
        <f ca="1">INDEX(INDIRECT(CONCATENATE("Tab_",Tab_Calculs[[#This Row],[Colonne1]])),Tab_Calculs[[#This Row],[index_date_livraison]],7)*(1+MIN(Tab_Calculs[[#This Row],[Date_livraison]],Tab_Calculs[[#This Row],[fin mois]])-MAX(Tab_Calculs[[#This Row],[Début mois]],Tab_Calculs[[#This Row],[Début periode livraison]]))</f>
        <v>0</v>
      </c>
      <c r="Q685" t="e">
        <f ca="1">INDEX(INDIRECT(CONCATENATE("Tab_",Tab_Calculs[[#This Row],[Colonne1]])),Tab_Calculs[[#This Row],[index_date_livraison]]+1,7)*(Tab_Calculs[[#This Row],[fin mois]]-MIN(Tab_Calculs[[#This Row],[fin mois]],Tab_Calculs[[#This Row],[Date_livraison]]))</f>
        <v>#VALUE!</v>
      </c>
      <c r="R685" t="e">
        <f ca="1">Tab_Calculs[[#This Row],[Ratio_Cout_après_livr]]+Tab_Calculs[[#This Row],[Ratio_Cout_avant_livr]]+Tab_Calculs[[#This Row],[Ratio_Cout_avant_debut]]</f>
        <v>#VALUE!</v>
      </c>
      <c r="S685" t="str">
        <f ca="1">IFERROR(N685*VLOOKUP(Tab_Calculs[[#This Row],[Colonne1]],Controle_des_données!$B$7:$G$14,6,FALSE),"")</f>
        <v/>
      </c>
      <c r="T685" t="str">
        <f ca="1">IF(Tab_Calculs[[#This Row],[Combustible ]]="Electricité (kWh)",Tab_Calculs[[#This Row],[Conso_mois_kWh]]*2.3,Tab_Calculs[[#This Row],[Conso_mois_kWh]])</f>
        <v/>
      </c>
      <c r="U685" t="str">
        <f ca="1">IFERROR(N685*VLOOKUP(Tab_Calculs[[#This Row],[Colonne1]],Controle_des_données!$B$7:$H$14,7,FALSE),"")</f>
        <v/>
      </c>
      <c r="V685">
        <f ca="1">IFERROR(Tab_Calculs[[#This Row],[Cout_mois]]/Tab_Calculs[[#This Row],[Conso_mois_kWh]],0)</f>
        <v>0</v>
      </c>
      <c r="W685" t="str">
        <f>T(VLOOKUP(Tab_Calculs[[#This Row],[Compteur]],Site!$B$33:$G$40,3,FALSE))</f>
        <v/>
      </c>
      <c r="X685" t="str">
        <f>T(VLOOKUP(Tab_Calculs[[#This Row],[Compteur]],Site!$B$33:$G$40,4,FALSE))</f>
        <v/>
      </c>
      <c r="Y685" t="str">
        <f>T(VLOOKUP(Tab_Calculs[[#This Row],[Compteur]],Site!$B$33:$G$40,5,FALSE))</f>
        <v/>
      </c>
      <c r="Z685" t="str">
        <f>T(VLOOKUP(Tab_Calculs[[#This Row],[Compteur]],Site!$B$33:$G$40,6,FALSE))</f>
        <v/>
      </c>
      <c r="AA685">
        <f>IFERROR(GETPIVOTDATA("DJU(chauffagiste)",BDD_DJU!$P$13,"annee",Tab_Calculs[[#This Row],[ANNEE]],"mois_numero",Tab_Calculs[[#This Row],[MOIS]]),0)</f>
        <v>95.8</v>
      </c>
    </row>
    <row r="686" spans="1:27" x14ac:dyDescent="0.25">
      <c r="A686" s="3">
        <f>DATE(Tab_Calculs[[#This Row],[ANNEE]],Tab_Calculs[[#This Row],[MOIS]],1)</f>
        <v>43252</v>
      </c>
      <c r="B686" s="3">
        <f>EDATE(Tab_Calculs[[#This Row],[Début mois]],1)-1</f>
        <v>43281</v>
      </c>
      <c r="C686">
        <f t="shared" si="22"/>
        <v>6</v>
      </c>
      <c r="D686">
        <f t="shared" si="21"/>
        <v>2018</v>
      </c>
      <c r="E686" t="s">
        <v>83</v>
      </c>
      <c r="F686" t="str">
        <f>SUBSTITUTE(Tab_Calculs[[#This Row],[Compteur]]," ","_")</f>
        <v>Compteur_4</v>
      </c>
      <c r="G686" t="str">
        <f>T(INDEX(Site!$B$33:$G$40, MATCH(Tab_Calculs[[#This Row],[Compteur]], Site!$B$33:$B$40,0),2))</f>
        <v/>
      </c>
      <c r="H686" s="3">
        <f t="array" aca="1" ref="H686" ca="1">MIN(IF(INDIRECT(CONCATENATE(Tab_Calculs[[#This Row],[Colonne1]],"!$B$2:$B$243"))&gt;=Calculs_Consos!$A686,INDIRECT(CONCATENATE(Tab_Calculs[[#This Row],[Colonne1]],"!$B$2:$B$243"))))</f>
        <v>0</v>
      </c>
      <c r="I686" s="3">
        <f ca="1">INDEX(INDIRECT(CONCATENATE("Tab_",Tab_Calculs[[#This Row],[Colonne1]])),Tab_Calculs[[#This Row],[index_date_livraison]],1)</f>
        <v>0</v>
      </c>
      <c r="J686">
        <f ca="1">MATCH(Tab_Calculs[[#This Row],[Date_livraison]],INDIRECT(CONCATENATE("Tab_",Tab_Calculs[[#This Row],[Colonne1]],"[Fin de période]")),0)</f>
        <v>1</v>
      </c>
      <c r="K686" t="e">
        <f ca="1">INDEX(INDIRECT(CONCATENATE("Tab_",Tab_Calculs[[#This Row],[Colonne1]])),Tab_Calculs[[#This Row],[index_date_livraison]]-1,6)*(MAX(Tab_Calculs[[#This Row],[Début periode livraison]],Tab_Calculs[[#This Row],[Début mois]])-Tab_Calculs[[#This Row],[Début mois]])</f>
        <v>#VALUE!</v>
      </c>
      <c r="L686" s="94">
        <f ca="1">INDEX(INDIRECT(CONCATENATE("Tab_",Tab_Calculs[[#This Row],[Colonne1]])),Tab_Calculs[[#This Row],[index_date_livraison]],6)*(1+MIN(Tab_Calculs[[#This Row],[Date_livraison]],Tab_Calculs[[#This Row],[fin mois]])-MAX(Tab_Calculs[[#This Row],[Début mois]],Tab_Calculs[[#This Row],[Début periode livraison]]))</f>
        <v>0</v>
      </c>
      <c r="M686" s="94" t="e">
        <f ca="1">INDEX(INDIRECT(CONCATENATE("Tab_",Tab_Calculs[[#This Row],[Colonne1]])),Tab_Calculs[[#This Row],[index_date_livraison]]+1,6)*(Tab_Calculs[[#This Row],[fin mois]]-MIN(Tab_Calculs[[#This Row],[fin mois]],Tab_Calculs[[#This Row],[Date_livraison]]))</f>
        <v>#VALUE!</v>
      </c>
      <c r="N686" s="231" t="str">
        <f ca="1">IFERROR(Tab_Calculs[[#This Row],[Ratio_jour_après_livr]]+Tab_Calculs[[#This Row],[Ratio_jour_avant_livr]]+Tab_Calculs[[#This Row],[ratio_avant_debut]],"")</f>
        <v/>
      </c>
      <c r="O686" t="e">
        <f ca="1">INDEX(INDIRECT(CONCATENATE("Tab_",Tab_Calculs[[#This Row],[Colonne1]])),Tab_Calculs[[#This Row],[index_date_livraison]]-1,7)*(MAX(Tab_Calculs[[#This Row],[Début periode livraison]],Tab_Calculs[[#This Row],[Début mois]])-Tab_Calculs[[#This Row],[Début mois]])</f>
        <v>#VALUE!</v>
      </c>
      <c r="P686">
        <f ca="1">INDEX(INDIRECT(CONCATENATE("Tab_",Tab_Calculs[[#This Row],[Colonne1]])),Tab_Calculs[[#This Row],[index_date_livraison]],7)*(1+MIN(Tab_Calculs[[#This Row],[Date_livraison]],Tab_Calculs[[#This Row],[fin mois]])-MAX(Tab_Calculs[[#This Row],[Début mois]],Tab_Calculs[[#This Row],[Début periode livraison]]))</f>
        <v>0</v>
      </c>
      <c r="Q686" t="e">
        <f ca="1">INDEX(INDIRECT(CONCATENATE("Tab_",Tab_Calculs[[#This Row],[Colonne1]])),Tab_Calculs[[#This Row],[index_date_livraison]]+1,7)*(Tab_Calculs[[#This Row],[fin mois]]-MIN(Tab_Calculs[[#This Row],[fin mois]],Tab_Calculs[[#This Row],[Date_livraison]]))</f>
        <v>#VALUE!</v>
      </c>
      <c r="R686" t="e">
        <f ca="1">Tab_Calculs[[#This Row],[Ratio_Cout_après_livr]]+Tab_Calculs[[#This Row],[Ratio_Cout_avant_livr]]+Tab_Calculs[[#This Row],[Ratio_Cout_avant_debut]]</f>
        <v>#VALUE!</v>
      </c>
      <c r="S686" t="str">
        <f ca="1">IFERROR(N686*VLOOKUP(Tab_Calculs[[#This Row],[Colonne1]],Controle_des_données!$B$7:$G$14,6,FALSE),"")</f>
        <v/>
      </c>
      <c r="T686" t="str">
        <f ca="1">IF(Tab_Calculs[[#This Row],[Combustible ]]="Electricité (kWh)",Tab_Calculs[[#This Row],[Conso_mois_kWh]]*2.3,Tab_Calculs[[#This Row],[Conso_mois_kWh]])</f>
        <v/>
      </c>
      <c r="U686" t="str">
        <f ca="1">IFERROR(N686*VLOOKUP(Tab_Calculs[[#This Row],[Colonne1]],Controle_des_données!$B$7:$H$14,7,FALSE),"")</f>
        <v/>
      </c>
      <c r="V686">
        <f ca="1">IFERROR(Tab_Calculs[[#This Row],[Cout_mois]]/Tab_Calculs[[#This Row],[Conso_mois_kWh]],0)</f>
        <v>0</v>
      </c>
      <c r="W686" t="str">
        <f>T(VLOOKUP(Tab_Calculs[[#This Row],[Compteur]],Site!$B$33:$G$40,3,FALSE))</f>
        <v/>
      </c>
      <c r="X686" t="str">
        <f>T(VLOOKUP(Tab_Calculs[[#This Row],[Compteur]],Site!$B$33:$G$40,4,FALSE))</f>
        <v/>
      </c>
      <c r="Y686" t="str">
        <f>T(VLOOKUP(Tab_Calculs[[#This Row],[Compteur]],Site!$B$33:$G$40,5,FALSE))</f>
        <v/>
      </c>
      <c r="Z686" t="str">
        <f>T(VLOOKUP(Tab_Calculs[[#This Row],[Compteur]],Site!$B$33:$G$40,6,FALSE))</f>
        <v/>
      </c>
      <c r="AA686">
        <f>IFERROR(GETPIVOTDATA("DJU(chauffagiste)",BDD_DJU!$P$13,"annee",Tab_Calculs[[#This Row],[ANNEE]],"mois_numero",Tab_Calculs[[#This Row],[MOIS]]),0)</f>
        <v>25.4</v>
      </c>
    </row>
    <row r="687" spans="1:27" x14ac:dyDescent="0.25">
      <c r="A687" s="3">
        <f>DATE(Tab_Calculs[[#This Row],[ANNEE]],Tab_Calculs[[#This Row],[MOIS]],1)</f>
        <v>43282</v>
      </c>
      <c r="B687" s="3">
        <f>EDATE(Tab_Calculs[[#This Row],[Début mois]],1)-1</f>
        <v>43312</v>
      </c>
      <c r="C687">
        <f t="shared" si="22"/>
        <v>7</v>
      </c>
      <c r="D687">
        <f t="shared" si="21"/>
        <v>2018</v>
      </c>
      <c r="E687" t="s">
        <v>83</v>
      </c>
      <c r="F687" t="str">
        <f>SUBSTITUTE(Tab_Calculs[[#This Row],[Compteur]]," ","_")</f>
        <v>Compteur_4</v>
      </c>
      <c r="G687" t="str">
        <f>T(INDEX(Site!$B$33:$G$40, MATCH(Tab_Calculs[[#This Row],[Compteur]], Site!$B$33:$B$40,0),2))</f>
        <v/>
      </c>
      <c r="H687" s="3">
        <f t="array" aca="1" ref="H687" ca="1">MIN(IF(INDIRECT(CONCATENATE(Tab_Calculs[[#This Row],[Colonne1]],"!$B$2:$B$243"))&gt;=Calculs_Consos!$A687,INDIRECT(CONCATENATE(Tab_Calculs[[#This Row],[Colonne1]],"!$B$2:$B$243"))))</f>
        <v>0</v>
      </c>
      <c r="I687" s="3">
        <f ca="1">INDEX(INDIRECT(CONCATENATE("Tab_",Tab_Calculs[[#This Row],[Colonne1]])),Tab_Calculs[[#This Row],[index_date_livraison]],1)</f>
        <v>0</v>
      </c>
      <c r="J687">
        <f ca="1">MATCH(Tab_Calculs[[#This Row],[Date_livraison]],INDIRECT(CONCATENATE("Tab_",Tab_Calculs[[#This Row],[Colonne1]],"[Fin de période]")),0)</f>
        <v>1</v>
      </c>
      <c r="K687" t="e">
        <f ca="1">INDEX(INDIRECT(CONCATENATE("Tab_",Tab_Calculs[[#This Row],[Colonne1]])),Tab_Calculs[[#This Row],[index_date_livraison]]-1,6)*(MAX(Tab_Calculs[[#This Row],[Début periode livraison]],Tab_Calculs[[#This Row],[Début mois]])-Tab_Calculs[[#This Row],[Début mois]])</f>
        <v>#VALUE!</v>
      </c>
      <c r="L687" s="94">
        <f ca="1">INDEX(INDIRECT(CONCATENATE("Tab_",Tab_Calculs[[#This Row],[Colonne1]])),Tab_Calculs[[#This Row],[index_date_livraison]],6)*(1+MIN(Tab_Calculs[[#This Row],[Date_livraison]],Tab_Calculs[[#This Row],[fin mois]])-MAX(Tab_Calculs[[#This Row],[Début mois]],Tab_Calculs[[#This Row],[Début periode livraison]]))</f>
        <v>0</v>
      </c>
      <c r="M687" s="94" t="e">
        <f ca="1">INDEX(INDIRECT(CONCATENATE("Tab_",Tab_Calculs[[#This Row],[Colonne1]])),Tab_Calculs[[#This Row],[index_date_livraison]]+1,6)*(Tab_Calculs[[#This Row],[fin mois]]-MIN(Tab_Calculs[[#This Row],[fin mois]],Tab_Calculs[[#This Row],[Date_livraison]]))</f>
        <v>#VALUE!</v>
      </c>
      <c r="N687" s="231" t="str">
        <f ca="1">IFERROR(Tab_Calculs[[#This Row],[Ratio_jour_après_livr]]+Tab_Calculs[[#This Row],[Ratio_jour_avant_livr]]+Tab_Calculs[[#This Row],[ratio_avant_debut]],"")</f>
        <v/>
      </c>
      <c r="O687" t="e">
        <f ca="1">INDEX(INDIRECT(CONCATENATE("Tab_",Tab_Calculs[[#This Row],[Colonne1]])),Tab_Calculs[[#This Row],[index_date_livraison]]-1,7)*(MAX(Tab_Calculs[[#This Row],[Début periode livraison]],Tab_Calculs[[#This Row],[Début mois]])-Tab_Calculs[[#This Row],[Début mois]])</f>
        <v>#VALUE!</v>
      </c>
      <c r="P687">
        <f ca="1">INDEX(INDIRECT(CONCATENATE("Tab_",Tab_Calculs[[#This Row],[Colonne1]])),Tab_Calculs[[#This Row],[index_date_livraison]],7)*(1+MIN(Tab_Calculs[[#This Row],[Date_livraison]],Tab_Calculs[[#This Row],[fin mois]])-MAX(Tab_Calculs[[#This Row],[Début mois]],Tab_Calculs[[#This Row],[Début periode livraison]]))</f>
        <v>0</v>
      </c>
      <c r="Q687" t="e">
        <f ca="1">INDEX(INDIRECT(CONCATENATE("Tab_",Tab_Calculs[[#This Row],[Colonne1]])),Tab_Calculs[[#This Row],[index_date_livraison]]+1,7)*(Tab_Calculs[[#This Row],[fin mois]]-MIN(Tab_Calculs[[#This Row],[fin mois]],Tab_Calculs[[#This Row],[Date_livraison]]))</f>
        <v>#VALUE!</v>
      </c>
      <c r="R687" t="e">
        <f ca="1">Tab_Calculs[[#This Row],[Ratio_Cout_après_livr]]+Tab_Calculs[[#This Row],[Ratio_Cout_avant_livr]]+Tab_Calculs[[#This Row],[Ratio_Cout_avant_debut]]</f>
        <v>#VALUE!</v>
      </c>
      <c r="S687" t="str">
        <f ca="1">IFERROR(N687*VLOOKUP(Tab_Calculs[[#This Row],[Colonne1]],Controle_des_données!$B$7:$G$14,6,FALSE),"")</f>
        <v/>
      </c>
      <c r="T687" t="str">
        <f ca="1">IF(Tab_Calculs[[#This Row],[Combustible ]]="Electricité (kWh)",Tab_Calculs[[#This Row],[Conso_mois_kWh]]*2.3,Tab_Calculs[[#This Row],[Conso_mois_kWh]])</f>
        <v/>
      </c>
      <c r="U687" t="str">
        <f ca="1">IFERROR(N687*VLOOKUP(Tab_Calculs[[#This Row],[Colonne1]],Controle_des_données!$B$7:$H$14,7,FALSE),"")</f>
        <v/>
      </c>
      <c r="V687">
        <f ca="1">IFERROR(Tab_Calculs[[#This Row],[Cout_mois]]/Tab_Calculs[[#This Row],[Conso_mois_kWh]],0)</f>
        <v>0</v>
      </c>
      <c r="W687" t="str">
        <f>T(VLOOKUP(Tab_Calculs[[#This Row],[Compteur]],Site!$B$33:$G$40,3,FALSE))</f>
        <v/>
      </c>
      <c r="X687" t="str">
        <f>T(VLOOKUP(Tab_Calculs[[#This Row],[Compteur]],Site!$B$33:$G$40,4,FALSE))</f>
        <v/>
      </c>
      <c r="Y687" t="str">
        <f>T(VLOOKUP(Tab_Calculs[[#This Row],[Compteur]],Site!$B$33:$G$40,5,FALSE))</f>
        <v/>
      </c>
      <c r="Z687" t="str">
        <f>T(VLOOKUP(Tab_Calculs[[#This Row],[Compteur]],Site!$B$33:$G$40,6,FALSE))</f>
        <v/>
      </c>
      <c r="AA687">
        <f>IFERROR(GETPIVOTDATA("DJU(chauffagiste)",BDD_DJU!$P$13,"annee",Tab_Calculs[[#This Row],[ANNEE]],"mois_numero",Tab_Calculs[[#This Row],[MOIS]]),0)</f>
        <v>5.9</v>
      </c>
    </row>
    <row r="688" spans="1:27" x14ac:dyDescent="0.25">
      <c r="A688" s="3">
        <f>DATE(Tab_Calculs[[#This Row],[ANNEE]],Tab_Calculs[[#This Row],[MOIS]],1)</f>
        <v>43313</v>
      </c>
      <c r="B688" s="3">
        <f>EDATE(Tab_Calculs[[#This Row],[Début mois]],1)-1</f>
        <v>43343</v>
      </c>
      <c r="C688">
        <f t="shared" si="22"/>
        <v>8</v>
      </c>
      <c r="D688">
        <f t="shared" si="21"/>
        <v>2018</v>
      </c>
      <c r="E688" t="s">
        <v>83</v>
      </c>
      <c r="F688" t="str">
        <f>SUBSTITUTE(Tab_Calculs[[#This Row],[Compteur]]," ","_")</f>
        <v>Compteur_4</v>
      </c>
      <c r="G688" t="str">
        <f>T(INDEX(Site!$B$33:$G$40, MATCH(Tab_Calculs[[#This Row],[Compteur]], Site!$B$33:$B$40,0),2))</f>
        <v/>
      </c>
      <c r="H688" s="3">
        <f t="array" aca="1" ref="H688" ca="1">MIN(IF(INDIRECT(CONCATENATE(Tab_Calculs[[#This Row],[Colonne1]],"!$B$2:$B$243"))&gt;=Calculs_Consos!$A688,INDIRECT(CONCATENATE(Tab_Calculs[[#This Row],[Colonne1]],"!$B$2:$B$243"))))</f>
        <v>0</v>
      </c>
      <c r="I688" s="3">
        <f ca="1">INDEX(INDIRECT(CONCATENATE("Tab_",Tab_Calculs[[#This Row],[Colonne1]])),Tab_Calculs[[#This Row],[index_date_livraison]],1)</f>
        <v>0</v>
      </c>
      <c r="J688">
        <f ca="1">MATCH(Tab_Calculs[[#This Row],[Date_livraison]],INDIRECT(CONCATENATE("Tab_",Tab_Calculs[[#This Row],[Colonne1]],"[Fin de période]")),0)</f>
        <v>1</v>
      </c>
      <c r="K688" t="e">
        <f ca="1">INDEX(INDIRECT(CONCATENATE("Tab_",Tab_Calculs[[#This Row],[Colonne1]])),Tab_Calculs[[#This Row],[index_date_livraison]]-1,6)*(MAX(Tab_Calculs[[#This Row],[Début periode livraison]],Tab_Calculs[[#This Row],[Début mois]])-Tab_Calculs[[#This Row],[Début mois]])</f>
        <v>#VALUE!</v>
      </c>
      <c r="L688" s="94">
        <f ca="1">INDEX(INDIRECT(CONCATENATE("Tab_",Tab_Calculs[[#This Row],[Colonne1]])),Tab_Calculs[[#This Row],[index_date_livraison]],6)*(1+MIN(Tab_Calculs[[#This Row],[Date_livraison]],Tab_Calculs[[#This Row],[fin mois]])-MAX(Tab_Calculs[[#This Row],[Début mois]],Tab_Calculs[[#This Row],[Début periode livraison]]))</f>
        <v>0</v>
      </c>
      <c r="M688" s="94" t="e">
        <f ca="1">INDEX(INDIRECT(CONCATENATE("Tab_",Tab_Calculs[[#This Row],[Colonne1]])),Tab_Calculs[[#This Row],[index_date_livraison]]+1,6)*(Tab_Calculs[[#This Row],[fin mois]]-MIN(Tab_Calculs[[#This Row],[fin mois]],Tab_Calculs[[#This Row],[Date_livraison]]))</f>
        <v>#VALUE!</v>
      </c>
      <c r="N688" s="231" t="str">
        <f ca="1">IFERROR(Tab_Calculs[[#This Row],[Ratio_jour_après_livr]]+Tab_Calculs[[#This Row],[Ratio_jour_avant_livr]]+Tab_Calculs[[#This Row],[ratio_avant_debut]],"")</f>
        <v/>
      </c>
      <c r="O688" t="e">
        <f ca="1">INDEX(INDIRECT(CONCATENATE("Tab_",Tab_Calculs[[#This Row],[Colonne1]])),Tab_Calculs[[#This Row],[index_date_livraison]]-1,7)*(MAX(Tab_Calculs[[#This Row],[Début periode livraison]],Tab_Calculs[[#This Row],[Début mois]])-Tab_Calculs[[#This Row],[Début mois]])</f>
        <v>#VALUE!</v>
      </c>
      <c r="P688">
        <f ca="1">INDEX(INDIRECT(CONCATENATE("Tab_",Tab_Calculs[[#This Row],[Colonne1]])),Tab_Calculs[[#This Row],[index_date_livraison]],7)*(1+MIN(Tab_Calculs[[#This Row],[Date_livraison]],Tab_Calculs[[#This Row],[fin mois]])-MAX(Tab_Calculs[[#This Row],[Début mois]],Tab_Calculs[[#This Row],[Début periode livraison]]))</f>
        <v>0</v>
      </c>
      <c r="Q688" t="e">
        <f ca="1">INDEX(INDIRECT(CONCATENATE("Tab_",Tab_Calculs[[#This Row],[Colonne1]])),Tab_Calculs[[#This Row],[index_date_livraison]]+1,7)*(Tab_Calculs[[#This Row],[fin mois]]-MIN(Tab_Calculs[[#This Row],[fin mois]],Tab_Calculs[[#This Row],[Date_livraison]]))</f>
        <v>#VALUE!</v>
      </c>
      <c r="R688" t="e">
        <f ca="1">Tab_Calculs[[#This Row],[Ratio_Cout_après_livr]]+Tab_Calculs[[#This Row],[Ratio_Cout_avant_livr]]+Tab_Calculs[[#This Row],[Ratio_Cout_avant_debut]]</f>
        <v>#VALUE!</v>
      </c>
      <c r="S688" t="str">
        <f ca="1">IFERROR(N688*VLOOKUP(Tab_Calculs[[#This Row],[Colonne1]],Controle_des_données!$B$7:$G$14,6,FALSE),"")</f>
        <v/>
      </c>
      <c r="T688" t="str">
        <f ca="1">IF(Tab_Calculs[[#This Row],[Combustible ]]="Electricité (kWh)",Tab_Calculs[[#This Row],[Conso_mois_kWh]]*2.3,Tab_Calculs[[#This Row],[Conso_mois_kWh]])</f>
        <v/>
      </c>
      <c r="U688" t="str">
        <f ca="1">IFERROR(N688*VLOOKUP(Tab_Calculs[[#This Row],[Colonne1]],Controle_des_données!$B$7:$H$14,7,FALSE),"")</f>
        <v/>
      </c>
      <c r="V688">
        <f ca="1">IFERROR(Tab_Calculs[[#This Row],[Cout_mois]]/Tab_Calculs[[#This Row],[Conso_mois_kWh]],0)</f>
        <v>0</v>
      </c>
      <c r="W688" t="str">
        <f>T(VLOOKUP(Tab_Calculs[[#This Row],[Compteur]],Site!$B$33:$G$40,3,FALSE))</f>
        <v/>
      </c>
      <c r="X688" t="str">
        <f>T(VLOOKUP(Tab_Calculs[[#This Row],[Compteur]],Site!$B$33:$G$40,4,FALSE))</f>
        <v/>
      </c>
      <c r="Y688" t="str">
        <f>T(VLOOKUP(Tab_Calculs[[#This Row],[Compteur]],Site!$B$33:$G$40,5,FALSE))</f>
        <v/>
      </c>
      <c r="Z688" t="str">
        <f>T(VLOOKUP(Tab_Calculs[[#This Row],[Compteur]],Site!$B$33:$G$40,6,FALSE))</f>
        <v/>
      </c>
      <c r="AA688">
        <f>IFERROR(GETPIVOTDATA("DJU(chauffagiste)",BDD_DJU!$P$13,"annee",Tab_Calculs[[#This Row],[ANNEE]],"mois_numero",Tab_Calculs[[#This Row],[MOIS]]),0)</f>
        <v>26</v>
      </c>
    </row>
    <row r="689" spans="1:27" x14ac:dyDescent="0.25">
      <c r="A689" s="3">
        <f>DATE(Tab_Calculs[[#This Row],[ANNEE]],Tab_Calculs[[#This Row],[MOIS]],1)</f>
        <v>43344</v>
      </c>
      <c r="B689" s="3">
        <f>EDATE(Tab_Calculs[[#This Row],[Début mois]],1)-1</f>
        <v>43373</v>
      </c>
      <c r="C689">
        <f t="shared" si="22"/>
        <v>9</v>
      </c>
      <c r="D689">
        <f>D677+1</f>
        <v>2018</v>
      </c>
      <c r="E689" t="s">
        <v>83</v>
      </c>
      <c r="F689" t="str">
        <f>SUBSTITUTE(Tab_Calculs[[#This Row],[Compteur]]," ","_")</f>
        <v>Compteur_4</v>
      </c>
      <c r="G689" t="str">
        <f>T(INDEX(Site!$B$33:$G$40, MATCH(Tab_Calculs[[#This Row],[Compteur]], Site!$B$33:$B$40,0),2))</f>
        <v/>
      </c>
      <c r="H689" s="3">
        <f t="array" aca="1" ref="H689" ca="1">MIN(IF(INDIRECT(CONCATENATE(Tab_Calculs[[#This Row],[Colonne1]],"!$B$2:$B$243"))&gt;=Calculs_Consos!$A689,INDIRECT(CONCATENATE(Tab_Calculs[[#This Row],[Colonne1]],"!$B$2:$B$243"))))</f>
        <v>0</v>
      </c>
      <c r="I689" s="3">
        <f ca="1">INDEX(INDIRECT(CONCATENATE("Tab_",Tab_Calculs[[#This Row],[Colonne1]])),Tab_Calculs[[#This Row],[index_date_livraison]],1)</f>
        <v>0</v>
      </c>
      <c r="J689">
        <f ca="1">MATCH(Tab_Calculs[[#This Row],[Date_livraison]],INDIRECT(CONCATENATE("Tab_",Tab_Calculs[[#This Row],[Colonne1]],"[Fin de période]")),0)</f>
        <v>1</v>
      </c>
      <c r="K689" t="e">
        <f ca="1">INDEX(INDIRECT(CONCATENATE("Tab_",Tab_Calculs[[#This Row],[Colonne1]])),Tab_Calculs[[#This Row],[index_date_livraison]]-1,6)*(MAX(Tab_Calculs[[#This Row],[Début periode livraison]],Tab_Calculs[[#This Row],[Début mois]])-Tab_Calculs[[#This Row],[Début mois]])</f>
        <v>#VALUE!</v>
      </c>
      <c r="L689" s="94">
        <f ca="1">INDEX(INDIRECT(CONCATENATE("Tab_",Tab_Calculs[[#This Row],[Colonne1]])),Tab_Calculs[[#This Row],[index_date_livraison]],6)*(1+MIN(Tab_Calculs[[#This Row],[Date_livraison]],Tab_Calculs[[#This Row],[fin mois]])-MAX(Tab_Calculs[[#This Row],[Début mois]],Tab_Calculs[[#This Row],[Début periode livraison]]))</f>
        <v>0</v>
      </c>
      <c r="M689" s="94" t="e">
        <f ca="1">INDEX(INDIRECT(CONCATENATE("Tab_",Tab_Calculs[[#This Row],[Colonne1]])),Tab_Calculs[[#This Row],[index_date_livraison]]+1,6)*(Tab_Calculs[[#This Row],[fin mois]]-MIN(Tab_Calculs[[#This Row],[fin mois]],Tab_Calculs[[#This Row],[Date_livraison]]))</f>
        <v>#VALUE!</v>
      </c>
      <c r="N689" s="231" t="str">
        <f ca="1">IFERROR(Tab_Calculs[[#This Row],[Ratio_jour_après_livr]]+Tab_Calculs[[#This Row],[Ratio_jour_avant_livr]]+Tab_Calculs[[#This Row],[ratio_avant_debut]],"")</f>
        <v/>
      </c>
      <c r="O689" t="e">
        <f ca="1">INDEX(INDIRECT(CONCATENATE("Tab_",Tab_Calculs[[#This Row],[Colonne1]])),Tab_Calculs[[#This Row],[index_date_livraison]]-1,7)*(MAX(Tab_Calculs[[#This Row],[Début periode livraison]],Tab_Calculs[[#This Row],[Début mois]])-Tab_Calculs[[#This Row],[Début mois]])</f>
        <v>#VALUE!</v>
      </c>
      <c r="P689">
        <f ca="1">INDEX(INDIRECT(CONCATENATE("Tab_",Tab_Calculs[[#This Row],[Colonne1]])),Tab_Calculs[[#This Row],[index_date_livraison]],7)*(1+MIN(Tab_Calculs[[#This Row],[Date_livraison]],Tab_Calculs[[#This Row],[fin mois]])-MAX(Tab_Calculs[[#This Row],[Début mois]],Tab_Calculs[[#This Row],[Début periode livraison]]))</f>
        <v>0</v>
      </c>
      <c r="Q689" t="e">
        <f ca="1">INDEX(INDIRECT(CONCATENATE("Tab_",Tab_Calculs[[#This Row],[Colonne1]])),Tab_Calculs[[#This Row],[index_date_livraison]]+1,7)*(Tab_Calculs[[#This Row],[fin mois]]-MIN(Tab_Calculs[[#This Row],[fin mois]],Tab_Calculs[[#This Row],[Date_livraison]]))</f>
        <v>#VALUE!</v>
      </c>
      <c r="R689" t="e">
        <f ca="1">Tab_Calculs[[#This Row],[Ratio_Cout_après_livr]]+Tab_Calculs[[#This Row],[Ratio_Cout_avant_livr]]+Tab_Calculs[[#This Row],[Ratio_Cout_avant_debut]]</f>
        <v>#VALUE!</v>
      </c>
      <c r="S689" t="str">
        <f ca="1">IFERROR(N689*VLOOKUP(Tab_Calculs[[#This Row],[Colonne1]],Controle_des_données!$B$7:$G$14,6,FALSE),"")</f>
        <v/>
      </c>
      <c r="T689" t="str">
        <f ca="1">IF(Tab_Calculs[[#This Row],[Combustible ]]="Electricité (kWh)",Tab_Calculs[[#This Row],[Conso_mois_kWh]]*2.3,Tab_Calculs[[#This Row],[Conso_mois_kWh]])</f>
        <v/>
      </c>
      <c r="U689" t="str">
        <f ca="1">IFERROR(N689*VLOOKUP(Tab_Calculs[[#This Row],[Colonne1]],Controle_des_données!$B$7:$H$14,7,FALSE),"")</f>
        <v/>
      </c>
      <c r="V689">
        <f ca="1">IFERROR(Tab_Calculs[[#This Row],[Cout_mois]]/Tab_Calculs[[#This Row],[Conso_mois_kWh]],0)</f>
        <v>0</v>
      </c>
      <c r="W689" t="str">
        <f>T(VLOOKUP(Tab_Calculs[[#This Row],[Compteur]],Site!$B$33:$G$40,3,FALSE))</f>
        <v/>
      </c>
      <c r="X689" t="str">
        <f>T(VLOOKUP(Tab_Calculs[[#This Row],[Compteur]],Site!$B$33:$G$40,4,FALSE))</f>
        <v/>
      </c>
      <c r="Y689" t="str">
        <f>T(VLOOKUP(Tab_Calculs[[#This Row],[Compteur]],Site!$B$33:$G$40,5,FALSE))</f>
        <v/>
      </c>
      <c r="Z689" t="str">
        <f>T(VLOOKUP(Tab_Calculs[[#This Row],[Compteur]],Site!$B$33:$G$40,6,FALSE))</f>
        <v/>
      </c>
      <c r="AA689">
        <f>IFERROR(GETPIVOTDATA("DJU(chauffagiste)",BDD_DJU!$P$13,"annee",Tab_Calculs[[#This Row],[ANNEE]],"mois_numero",Tab_Calculs[[#This Row],[MOIS]]),0)</f>
        <v>73.599999999999994</v>
      </c>
    </row>
    <row r="690" spans="1:27" x14ac:dyDescent="0.25">
      <c r="A690" s="3">
        <f>DATE(Tab_Calculs[[#This Row],[ANNEE]],Tab_Calculs[[#This Row],[MOIS]],1)</f>
        <v>43374</v>
      </c>
      <c r="B690" s="3">
        <f>EDATE(Tab_Calculs[[#This Row],[Début mois]],1)-1</f>
        <v>43404</v>
      </c>
      <c r="C690">
        <f t="shared" si="22"/>
        <v>10</v>
      </c>
      <c r="D690">
        <f t="shared" si="21"/>
        <v>2018</v>
      </c>
      <c r="E690" t="s">
        <v>83</v>
      </c>
      <c r="F690" t="str">
        <f>SUBSTITUTE(Tab_Calculs[[#This Row],[Compteur]]," ","_")</f>
        <v>Compteur_4</v>
      </c>
      <c r="G690" t="str">
        <f>T(INDEX(Site!$B$33:$G$40, MATCH(Tab_Calculs[[#This Row],[Compteur]], Site!$B$33:$B$40,0),2))</f>
        <v/>
      </c>
      <c r="H690" s="3">
        <f t="array" aca="1" ref="H690" ca="1">MIN(IF(INDIRECT(CONCATENATE(Tab_Calculs[[#This Row],[Colonne1]],"!$B$2:$B$243"))&gt;=Calculs_Consos!$A690,INDIRECT(CONCATENATE(Tab_Calculs[[#This Row],[Colonne1]],"!$B$2:$B$243"))))</f>
        <v>0</v>
      </c>
      <c r="I690" s="3">
        <f ca="1">INDEX(INDIRECT(CONCATENATE("Tab_",Tab_Calculs[[#This Row],[Colonne1]])),Tab_Calculs[[#This Row],[index_date_livraison]],1)</f>
        <v>0</v>
      </c>
      <c r="J690">
        <f ca="1">MATCH(Tab_Calculs[[#This Row],[Date_livraison]],INDIRECT(CONCATENATE("Tab_",Tab_Calculs[[#This Row],[Colonne1]],"[Fin de période]")),0)</f>
        <v>1</v>
      </c>
      <c r="K690" t="e">
        <f ca="1">INDEX(INDIRECT(CONCATENATE("Tab_",Tab_Calculs[[#This Row],[Colonne1]])),Tab_Calculs[[#This Row],[index_date_livraison]]-1,6)*(MAX(Tab_Calculs[[#This Row],[Début periode livraison]],Tab_Calculs[[#This Row],[Début mois]])-Tab_Calculs[[#This Row],[Début mois]])</f>
        <v>#VALUE!</v>
      </c>
      <c r="L690" s="94">
        <f ca="1">INDEX(INDIRECT(CONCATENATE("Tab_",Tab_Calculs[[#This Row],[Colonne1]])),Tab_Calculs[[#This Row],[index_date_livraison]],6)*(1+MIN(Tab_Calculs[[#This Row],[Date_livraison]],Tab_Calculs[[#This Row],[fin mois]])-MAX(Tab_Calculs[[#This Row],[Début mois]],Tab_Calculs[[#This Row],[Début periode livraison]]))</f>
        <v>0</v>
      </c>
      <c r="M690" s="94" t="e">
        <f ca="1">INDEX(INDIRECT(CONCATENATE("Tab_",Tab_Calculs[[#This Row],[Colonne1]])),Tab_Calculs[[#This Row],[index_date_livraison]]+1,6)*(Tab_Calculs[[#This Row],[fin mois]]-MIN(Tab_Calculs[[#This Row],[fin mois]],Tab_Calculs[[#This Row],[Date_livraison]]))</f>
        <v>#VALUE!</v>
      </c>
      <c r="N690" s="231" t="str">
        <f ca="1">IFERROR(Tab_Calculs[[#This Row],[Ratio_jour_après_livr]]+Tab_Calculs[[#This Row],[Ratio_jour_avant_livr]]+Tab_Calculs[[#This Row],[ratio_avant_debut]],"")</f>
        <v/>
      </c>
      <c r="O690" t="e">
        <f ca="1">INDEX(INDIRECT(CONCATENATE("Tab_",Tab_Calculs[[#This Row],[Colonne1]])),Tab_Calculs[[#This Row],[index_date_livraison]]-1,7)*(MAX(Tab_Calculs[[#This Row],[Début periode livraison]],Tab_Calculs[[#This Row],[Début mois]])-Tab_Calculs[[#This Row],[Début mois]])</f>
        <v>#VALUE!</v>
      </c>
      <c r="P690">
        <f ca="1">INDEX(INDIRECT(CONCATENATE("Tab_",Tab_Calculs[[#This Row],[Colonne1]])),Tab_Calculs[[#This Row],[index_date_livraison]],7)*(1+MIN(Tab_Calculs[[#This Row],[Date_livraison]],Tab_Calculs[[#This Row],[fin mois]])-MAX(Tab_Calculs[[#This Row],[Début mois]],Tab_Calculs[[#This Row],[Début periode livraison]]))</f>
        <v>0</v>
      </c>
      <c r="Q690" t="e">
        <f ca="1">INDEX(INDIRECT(CONCATENATE("Tab_",Tab_Calculs[[#This Row],[Colonne1]])),Tab_Calculs[[#This Row],[index_date_livraison]]+1,7)*(Tab_Calculs[[#This Row],[fin mois]]-MIN(Tab_Calculs[[#This Row],[fin mois]],Tab_Calculs[[#This Row],[Date_livraison]]))</f>
        <v>#VALUE!</v>
      </c>
      <c r="R690" t="e">
        <f ca="1">Tab_Calculs[[#This Row],[Ratio_Cout_après_livr]]+Tab_Calculs[[#This Row],[Ratio_Cout_avant_livr]]+Tab_Calculs[[#This Row],[Ratio_Cout_avant_debut]]</f>
        <v>#VALUE!</v>
      </c>
      <c r="S690" t="str">
        <f ca="1">IFERROR(N690*VLOOKUP(Tab_Calculs[[#This Row],[Colonne1]],Controle_des_données!$B$7:$G$14,6,FALSE),"")</f>
        <v/>
      </c>
      <c r="T690" t="str">
        <f ca="1">IF(Tab_Calculs[[#This Row],[Combustible ]]="Electricité (kWh)",Tab_Calculs[[#This Row],[Conso_mois_kWh]]*2.3,Tab_Calculs[[#This Row],[Conso_mois_kWh]])</f>
        <v/>
      </c>
      <c r="U690" t="str">
        <f ca="1">IFERROR(N690*VLOOKUP(Tab_Calculs[[#This Row],[Colonne1]],Controle_des_données!$B$7:$H$14,7,FALSE),"")</f>
        <v/>
      </c>
      <c r="V690">
        <f ca="1">IFERROR(Tab_Calculs[[#This Row],[Cout_mois]]/Tab_Calculs[[#This Row],[Conso_mois_kWh]],0)</f>
        <v>0</v>
      </c>
      <c r="W690" t="str">
        <f>T(VLOOKUP(Tab_Calculs[[#This Row],[Compteur]],Site!$B$33:$G$40,3,FALSE))</f>
        <v/>
      </c>
      <c r="X690" t="str">
        <f>T(VLOOKUP(Tab_Calculs[[#This Row],[Compteur]],Site!$B$33:$G$40,4,FALSE))</f>
        <v/>
      </c>
      <c r="Y690" t="str">
        <f>T(VLOOKUP(Tab_Calculs[[#This Row],[Compteur]],Site!$B$33:$G$40,5,FALSE))</f>
        <v/>
      </c>
      <c r="Z690" t="str">
        <f>T(VLOOKUP(Tab_Calculs[[#This Row],[Compteur]],Site!$B$33:$G$40,6,FALSE))</f>
        <v/>
      </c>
      <c r="AA690">
        <f>IFERROR(GETPIVOTDATA("DJU(chauffagiste)",BDD_DJU!$P$13,"annee",Tab_Calculs[[#This Row],[ANNEE]],"mois_numero",Tab_Calculs[[#This Row],[MOIS]]),0)</f>
        <v>157.5</v>
      </c>
    </row>
    <row r="691" spans="1:27" x14ac:dyDescent="0.25">
      <c r="A691" s="3">
        <f>DATE(Tab_Calculs[[#This Row],[ANNEE]],Tab_Calculs[[#This Row],[MOIS]],1)</f>
        <v>43405</v>
      </c>
      <c r="B691" s="3">
        <f>EDATE(Tab_Calculs[[#This Row],[Début mois]],1)-1</f>
        <v>43434</v>
      </c>
      <c r="C691">
        <f t="shared" si="22"/>
        <v>11</v>
      </c>
      <c r="D691">
        <f t="shared" si="21"/>
        <v>2018</v>
      </c>
      <c r="E691" t="s">
        <v>83</v>
      </c>
      <c r="F691" t="str">
        <f>SUBSTITUTE(Tab_Calculs[[#This Row],[Compteur]]," ","_")</f>
        <v>Compteur_4</v>
      </c>
      <c r="G691" t="str">
        <f>T(INDEX(Site!$B$33:$G$40, MATCH(Tab_Calculs[[#This Row],[Compteur]], Site!$B$33:$B$40,0),2))</f>
        <v/>
      </c>
      <c r="H691" s="3">
        <f t="array" aca="1" ref="H691" ca="1">MIN(IF(INDIRECT(CONCATENATE(Tab_Calculs[[#This Row],[Colonne1]],"!$B$2:$B$243"))&gt;=Calculs_Consos!$A691,INDIRECT(CONCATENATE(Tab_Calculs[[#This Row],[Colonne1]],"!$B$2:$B$243"))))</f>
        <v>0</v>
      </c>
      <c r="I691" s="3">
        <f ca="1">INDEX(INDIRECT(CONCATENATE("Tab_",Tab_Calculs[[#This Row],[Colonne1]])),Tab_Calculs[[#This Row],[index_date_livraison]],1)</f>
        <v>0</v>
      </c>
      <c r="J691">
        <f ca="1">MATCH(Tab_Calculs[[#This Row],[Date_livraison]],INDIRECT(CONCATENATE("Tab_",Tab_Calculs[[#This Row],[Colonne1]],"[Fin de période]")),0)</f>
        <v>1</v>
      </c>
      <c r="K691" t="e">
        <f ca="1">INDEX(INDIRECT(CONCATENATE("Tab_",Tab_Calculs[[#This Row],[Colonne1]])),Tab_Calculs[[#This Row],[index_date_livraison]]-1,6)*(MAX(Tab_Calculs[[#This Row],[Début periode livraison]],Tab_Calculs[[#This Row],[Début mois]])-Tab_Calculs[[#This Row],[Début mois]])</f>
        <v>#VALUE!</v>
      </c>
      <c r="L691" s="94">
        <f ca="1">INDEX(INDIRECT(CONCATENATE("Tab_",Tab_Calculs[[#This Row],[Colonne1]])),Tab_Calculs[[#This Row],[index_date_livraison]],6)*(1+MIN(Tab_Calculs[[#This Row],[Date_livraison]],Tab_Calculs[[#This Row],[fin mois]])-MAX(Tab_Calculs[[#This Row],[Début mois]],Tab_Calculs[[#This Row],[Début periode livraison]]))</f>
        <v>0</v>
      </c>
      <c r="M691" s="94" t="e">
        <f ca="1">INDEX(INDIRECT(CONCATENATE("Tab_",Tab_Calculs[[#This Row],[Colonne1]])),Tab_Calculs[[#This Row],[index_date_livraison]]+1,6)*(Tab_Calculs[[#This Row],[fin mois]]-MIN(Tab_Calculs[[#This Row],[fin mois]],Tab_Calculs[[#This Row],[Date_livraison]]))</f>
        <v>#VALUE!</v>
      </c>
      <c r="N691" s="231" t="str">
        <f ca="1">IFERROR(Tab_Calculs[[#This Row],[Ratio_jour_après_livr]]+Tab_Calculs[[#This Row],[Ratio_jour_avant_livr]]+Tab_Calculs[[#This Row],[ratio_avant_debut]],"")</f>
        <v/>
      </c>
      <c r="O691" t="e">
        <f ca="1">INDEX(INDIRECT(CONCATENATE("Tab_",Tab_Calculs[[#This Row],[Colonne1]])),Tab_Calculs[[#This Row],[index_date_livraison]]-1,7)*(MAX(Tab_Calculs[[#This Row],[Début periode livraison]],Tab_Calculs[[#This Row],[Début mois]])-Tab_Calculs[[#This Row],[Début mois]])</f>
        <v>#VALUE!</v>
      </c>
      <c r="P691">
        <f ca="1">INDEX(INDIRECT(CONCATENATE("Tab_",Tab_Calculs[[#This Row],[Colonne1]])),Tab_Calculs[[#This Row],[index_date_livraison]],7)*(1+MIN(Tab_Calculs[[#This Row],[Date_livraison]],Tab_Calculs[[#This Row],[fin mois]])-MAX(Tab_Calculs[[#This Row],[Début mois]],Tab_Calculs[[#This Row],[Début periode livraison]]))</f>
        <v>0</v>
      </c>
      <c r="Q691" t="e">
        <f ca="1">INDEX(INDIRECT(CONCATENATE("Tab_",Tab_Calculs[[#This Row],[Colonne1]])),Tab_Calculs[[#This Row],[index_date_livraison]]+1,7)*(Tab_Calculs[[#This Row],[fin mois]]-MIN(Tab_Calculs[[#This Row],[fin mois]],Tab_Calculs[[#This Row],[Date_livraison]]))</f>
        <v>#VALUE!</v>
      </c>
      <c r="R691" t="e">
        <f ca="1">Tab_Calculs[[#This Row],[Ratio_Cout_après_livr]]+Tab_Calculs[[#This Row],[Ratio_Cout_avant_livr]]+Tab_Calculs[[#This Row],[Ratio_Cout_avant_debut]]</f>
        <v>#VALUE!</v>
      </c>
      <c r="S691" t="str">
        <f ca="1">IFERROR(N691*VLOOKUP(Tab_Calculs[[#This Row],[Colonne1]],Controle_des_données!$B$7:$G$14,6,FALSE),"")</f>
        <v/>
      </c>
      <c r="T691" t="str">
        <f ca="1">IF(Tab_Calculs[[#This Row],[Combustible ]]="Electricité (kWh)",Tab_Calculs[[#This Row],[Conso_mois_kWh]]*2.3,Tab_Calculs[[#This Row],[Conso_mois_kWh]])</f>
        <v/>
      </c>
      <c r="U691" t="str">
        <f ca="1">IFERROR(N691*VLOOKUP(Tab_Calculs[[#This Row],[Colonne1]],Controle_des_données!$B$7:$H$14,7,FALSE),"")</f>
        <v/>
      </c>
      <c r="V691">
        <f ca="1">IFERROR(Tab_Calculs[[#This Row],[Cout_mois]]/Tab_Calculs[[#This Row],[Conso_mois_kWh]],0)</f>
        <v>0</v>
      </c>
      <c r="W691" t="str">
        <f>T(VLOOKUP(Tab_Calculs[[#This Row],[Compteur]],Site!$B$33:$G$40,3,FALSE))</f>
        <v/>
      </c>
      <c r="X691" t="str">
        <f>T(VLOOKUP(Tab_Calculs[[#This Row],[Compteur]],Site!$B$33:$G$40,4,FALSE))</f>
        <v/>
      </c>
      <c r="Y691" t="str">
        <f>T(VLOOKUP(Tab_Calculs[[#This Row],[Compteur]],Site!$B$33:$G$40,5,FALSE))</f>
        <v/>
      </c>
      <c r="Z691" t="str">
        <f>T(VLOOKUP(Tab_Calculs[[#This Row],[Compteur]],Site!$B$33:$G$40,6,FALSE))</f>
        <v/>
      </c>
      <c r="AA691">
        <f>IFERROR(GETPIVOTDATA("DJU(chauffagiste)",BDD_DJU!$P$13,"annee",Tab_Calculs[[#This Row],[ANNEE]],"mois_numero",Tab_Calculs[[#This Row],[MOIS]]),0)</f>
        <v>278</v>
      </c>
    </row>
    <row r="692" spans="1:27" x14ac:dyDescent="0.25">
      <c r="A692" s="3">
        <f>DATE(Tab_Calculs[[#This Row],[ANNEE]],Tab_Calculs[[#This Row],[MOIS]],1)</f>
        <v>43435</v>
      </c>
      <c r="B692" s="3">
        <f>EDATE(Tab_Calculs[[#This Row],[Début mois]],1)-1</f>
        <v>43465</v>
      </c>
      <c r="C692">
        <f t="shared" si="22"/>
        <v>12</v>
      </c>
      <c r="D692">
        <f t="shared" si="21"/>
        <v>2018</v>
      </c>
      <c r="E692" t="s">
        <v>83</v>
      </c>
      <c r="F692" t="str">
        <f>SUBSTITUTE(Tab_Calculs[[#This Row],[Compteur]]," ","_")</f>
        <v>Compteur_4</v>
      </c>
      <c r="G692" t="str">
        <f>T(INDEX(Site!$B$33:$G$40, MATCH(Tab_Calculs[[#This Row],[Compteur]], Site!$B$33:$B$40,0),2))</f>
        <v/>
      </c>
      <c r="H692" s="3">
        <f t="array" aca="1" ref="H692" ca="1">MIN(IF(INDIRECT(CONCATENATE(Tab_Calculs[[#This Row],[Colonne1]],"!$B$2:$B$243"))&gt;=Calculs_Consos!$A692,INDIRECT(CONCATENATE(Tab_Calculs[[#This Row],[Colonne1]],"!$B$2:$B$243"))))</f>
        <v>0</v>
      </c>
      <c r="I692" s="3">
        <f ca="1">INDEX(INDIRECT(CONCATENATE("Tab_",Tab_Calculs[[#This Row],[Colonne1]])),Tab_Calculs[[#This Row],[index_date_livraison]],1)</f>
        <v>0</v>
      </c>
      <c r="J692">
        <f ca="1">MATCH(Tab_Calculs[[#This Row],[Date_livraison]],INDIRECT(CONCATENATE("Tab_",Tab_Calculs[[#This Row],[Colonne1]],"[Fin de période]")),0)</f>
        <v>1</v>
      </c>
      <c r="K692" t="e">
        <f ca="1">INDEX(INDIRECT(CONCATENATE("Tab_",Tab_Calculs[[#This Row],[Colonne1]])),Tab_Calculs[[#This Row],[index_date_livraison]]-1,6)*(MAX(Tab_Calculs[[#This Row],[Début periode livraison]],Tab_Calculs[[#This Row],[Début mois]])-Tab_Calculs[[#This Row],[Début mois]])</f>
        <v>#VALUE!</v>
      </c>
      <c r="L692" s="94">
        <f ca="1">INDEX(INDIRECT(CONCATENATE("Tab_",Tab_Calculs[[#This Row],[Colonne1]])),Tab_Calculs[[#This Row],[index_date_livraison]],6)*(1+MIN(Tab_Calculs[[#This Row],[Date_livraison]],Tab_Calculs[[#This Row],[fin mois]])-MAX(Tab_Calculs[[#This Row],[Début mois]],Tab_Calculs[[#This Row],[Début periode livraison]]))</f>
        <v>0</v>
      </c>
      <c r="M692" s="94" t="e">
        <f ca="1">INDEX(INDIRECT(CONCATENATE("Tab_",Tab_Calculs[[#This Row],[Colonne1]])),Tab_Calculs[[#This Row],[index_date_livraison]]+1,6)*(Tab_Calculs[[#This Row],[fin mois]]-MIN(Tab_Calculs[[#This Row],[fin mois]],Tab_Calculs[[#This Row],[Date_livraison]]))</f>
        <v>#VALUE!</v>
      </c>
      <c r="N692" s="231" t="str">
        <f ca="1">IFERROR(Tab_Calculs[[#This Row],[Ratio_jour_après_livr]]+Tab_Calculs[[#This Row],[Ratio_jour_avant_livr]]+Tab_Calculs[[#This Row],[ratio_avant_debut]],"")</f>
        <v/>
      </c>
      <c r="O692" t="e">
        <f ca="1">INDEX(INDIRECT(CONCATENATE("Tab_",Tab_Calculs[[#This Row],[Colonne1]])),Tab_Calculs[[#This Row],[index_date_livraison]]-1,7)*(MAX(Tab_Calculs[[#This Row],[Début periode livraison]],Tab_Calculs[[#This Row],[Début mois]])-Tab_Calculs[[#This Row],[Début mois]])</f>
        <v>#VALUE!</v>
      </c>
      <c r="P692">
        <f ca="1">INDEX(INDIRECT(CONCATENATE("Tab_",Tab_Calculs[[#This Row],[Colonne1]])),Tab_Calculs[[#This Row],[index_date_livraison]],7)*(1+MIN(Tab_Calculs[[#This Row],[Date_livraison]],Tab_Calculs[[#This Row],[fin mois]])-MAX(Tab_Calculs[[#This Row],[Début mois]],Tab_Calculs[[#This Row],[Début periode livraison]]))</f>
        <v>0</v>
      </c>
      <c r="Q692" t="e">
        <f ca="1">INDEX(INDIRECT(CONCATENATE("Tab_",Tab_Calculs[[#This Row],[Colonne1]])),Tab_Calculs[[#This Row],[index_date_livraison]]+1,7)*(Tab_Calculs[[#This Row],[fin mois]]-MIN(Tab_Calculs[[#This Row],[fin mois]],Tab_Calculs[[#This Row],[Date_livraison]]))</f>
        <v>#VALUE!</v>
      </c>
      <c r="R692" t="e">
        <f ca="1">Tab_Calculs[[#This Row],[Ratio_Cout_après_livr]]+Tab_Calculs[[#This Row],[Ratio_Cout_avant_livr]]+Tab_Calculs[[#This Row],[Ratio_Cout_avant_debut]]</f>
        <v>#VALUE!</v>
      </c>
      <c r="S692" t="str">
        <f ca="1">IFERROR(N692*VLOOKUP(Tab_Calculs[[#This Row],[Colonne1]],Controle_des_données!$B$7:$G$14,6,FALSE),"")</f>
        <v/>
      </c>
      <c r="T692" t="str">
        <f ca="1">IF(Tab_Calculs[[#This Row],[Combustible ]]="Electricité (kWh)",Tab_Calculs[[#This Row],[Conso_mois_kWh]]*2.3,Tab_Calculs[[#This Row],[Conso_mois_kWh]])</f>
        <v/>
      </c>
      <c r="U692" t="str">
        <f ca="1">IFERROR(N692*VLOOKUP(Tab_Calculs[[#This Row],[Colonne1]],Controle_des_données!$B$7:$H$14,7,FALSE),"")</f>
        <v/>
      </c>
      <c r="V692">
        <f ca="1">IFERROR(Tab_Calculs[[#This Row],[Cout_mois]]/Tab_Calculs[[#This Row],[Conso_mois_kWh]],0)</f>
        <v>0</v>
      </c>
      <c r="W692" t="str">
        <f>T(VLOOKUP(Tab_Calculs[[#This Row],[Compteur]],Site!$B$33:$G$40,3,FALSE))</f>
        <v/>
      </c>
      <c r="X692" t="str">
        <f>T(VLOOKUP(Tab_Calculs[[#This Row],[Compteur]],Site!$B$33:$G$40,4,FALSE))</f>
        <v/>
      </c>
      <c r="Y692" t="str">
        <f>T(VLOOKUP(Tab_Calculs[[#This Row],[Compteur]],Site!$B$33:$G$40,5,FALSE))</f>
        <v/>
      </c>
      <c r="Z692" t="str">
        <f>T(VLOOKUP(Tab_Calculs[[#This Row],[Compteur]],Site!$B$33:$G$40,6,FALSE))</f>
        <v/>
      </c>
      <c r="AA692">
        <f>IFERROR(GETPIVOTDATA("DJU(chauffagiste)",BDD_DJU!$P$13,"annee",Tab_Calculs[[#This Row],[ANNEE]],"mois_numero",Tab_Calculs[[#This Row],[MOIS]]),0)</f>
        <v>319.2</v>
      </c>
    </row>
    <row r="693" spans="1:27" x14ac:dyDescent="0.25">
      <c r="A693" s="3">
        <f>DATE(Tab_Calculs[[#This Row],[ANNEE]],Tab_Calculs[[#This Row],[MOIS]],1)</f>
        <v>43466</v>
      </c>
      <c r="B693" s="3">
        <f>EDATE(Tab_Calculs[[#This Row],[Début mois]],1)-1</f>
        <v>43496</v>
      </c>
      <c r="C693">
        <f t="shared" si="22"/>
        <v>1</v>
      </c>
      <c r="D693">
        <f t="shared" si="21"/>
        <v>2019</v>
      </c>
      <c r="E693" t="s">
        <v>83</v>
      </c>
      <c r="F693" t="str">
        <f>SUBSTITUTE(Tab_Calculs[[#This Row],[Compteur]]," ","_")</f>
        <v>Compteur_4</v>
      </c>
      <c r="G693" t="str">
        <f>T(INDEX(Site!$B$33:$G$40, MATCH(Tab_Calculs[[#This Row],[Compteur]], Site!$B$33:$B$40,0),2))</f>
        <v/>
      </c>
      <c r="H693" s="3">
        <f t="array" aca="1" ref="H693" ca="1">MIN(IF(INDIRECT(CONCATENATE(Tab_Calculs[[#This Row],[Colonne1]],"!$B$2:$B$243"))&gt;=Calculs_Consos!$A693,INDIRECT(CONCATENATE(Tab_Calculs[[#This Row],[Colonne1]],"!$B$2:$B$243"))))</f>
        <v>0</v>
      </c>
      <c r="I693" s="3">
        <f ca="1">INDEX(INDIRECT(CONCATENATE("Tab_",Tab_Calculs[[#This Row],[Colonne1]])),Tab_Calculs[[#This Row],[index_date_livraison]],1)</f>
        <v>0</v>
      </c>
      <c r="J693">
        <f ca="1">MATCH(Tab_Calculs[[#This Row],[Date_livraison]],INDIRECT(CONCATENATE("Tab_",Tab_Calculs[[#This Row],[Colonne1]],"[Fin de période]")),0)</f>
        <v>1</v>
      </c>
      <c r="K693" t="e">
        <f ca="1">INDEX(INDIRECT(CONCATENATE("Tab_",Tab_Calculs[[#This Row],[Colonne1]])),Tab_Calculs[[#This Row],[index_date_livraison]]-1,6)*(MAX(Tab_Calculs[[#This Row],[Début periode livraison]],Tab_Calculs[[#This Row],[Début mois]])-Tab_Calculs[[#This Row],[Début mois]])</f>
        <v>#VALUE!</v>
      </c>
      <c r="L693" s="94">
        <f ca="1">INDEX(INDIRECT(CONCATENATE("Tab_",Tab_Calculs[[#This Row],[Colonne1]])),Tab_Calculs[[#This Row],[index_date_livraison]],6)*(1+MIN(Tab_Calculs[[#This Row],[Date_livraison]],Tab_Calculs[[#This Row],[fin mois]])-MAX(Tab_Calculs[[#This Row],[Début mois]],Tab_Calculs[[#This Row],[Début periode livraison]]))</f>
        <v>0</v>
      </c>
      <c r="M693" s="94" t="e">
        <f ca="1">INDEX(INDIRECT(CONCATENATE("Tab_",Tab_Calculs[[#This Row],[Colonne1]])),Tab_Calculs[[#This Row],[index_date_livraison]]+1,6)*(Tab_Calculs[[#This Row],[fin mois]]-MIN(Tab_Calculs[[#This Row],[fin mois]],Tab_Calculs[[#This Row],[Date_livraison]]))</f>
        <v>#VALUE!</v>
      </c>
      <c r="N693" s="231" t="str">
        <f ca="1">IFERROR(Tab_Calculs[[#This Row],[Ratio_jour_après_livr]]+Tab_Calculs[[#This Row],[Ratio_jour_avant_livr]]+Tab_Calculs[[#This Row],[ratio_avant_debut]],"")</f>
        <v/>
      </c>
      <c r="O693" t="e">
        <f ca="1">INDEX(INDIRECT(CONCATENATE("Tab_",Tab_Calculs[[#This Row],[Colonne1]])),Tab_Calculs[[#This Row],[index_date_livraison]]-1,7)*(MAX(Tab_Calculs[[#This Row],[Début periode livraison]],Tab_Calculs[[#This Row],[Début mois]])-Tab_Calculs[[#This Row],[Début mois]])</f>
        <v>#VALUE!</v>
      </c>
      <c r="P693">
        <f ca="1">INDEX(INDIRECT(CONCATENATE("Tab_",Tab_Calculs[[#This Row],[Colonne1]])),Tab_Calculs[[#This Row],[index_date_livraison]],7)*(1+MIN(Tab_Calculs[[#This Row],[Date_livraison]],Tab_Calculs[[#This Row],[fin mois]])-MAX(Tab_Calculs[[#This Row],[Début mois]],Tab_Calculs[[#This Row],[Début periode livraison]]))</f>
        <v>0</v>
      </c>
      <c r="Q693" t="e">
        <f ca="1">INDEX(INDIRECT(CONCATENATE("Tab_",Tab_Calculs[[#This Row],[Colonne1]])),Tab_Calculs[[#This Row],[index_date_livraison]]+1,7)*(Tab_Calculs[[#This Row],[fin mois]]-MIN(Tab_Calculs[[#This Row],[fin mois]],Tab_Calculs[[#This Row],[Date_livraison]]))</f>
        <v>#VALUE!</v>
      </c>
      <c r="R693" t="e">
        <f ca="1">Tab_Calculs[[#This Row],[Ratio_Cout_après_livr]]+Tab_Calculs[[#This Row],[Ratio_Cout_avant_livr]]+Tab_Calculs[[#This Row],[Ratio_Cout_avant_debut]]</f>
        <v>#VALUE!</v>
      </c>
      <c r="S693" t="str">
        <f ca="1">IFERROR(N693*VLOOKUP(Tab_Calculs[[#This Row],[Colonne1]],Controle_des_données!$B$7:$G$14,6,FALSE),"")</f>
        <v/>
      </c>
      <c r="T693" t="str">
        <f ca="1">IF(Tab_Calculs[[#This Row],[Combustible ]]="Electricité (kWh)",Tab_Calculs[[#This Row],[Conso_mois_kWh]]*2.3,Tab_Calculs[[#This Row],[Conso_mois_kWh]])</f>
        <v/>
      </c>
      <c r="U693" t="str">
        <f ca="1">IFERROR(N693*VLOOKUP(Tab_Calculs[[#This Row],[Colonne1]],Controle_des_données!$B$7:$H$14,7,FALSE),"")</f>
        <v/>
      </c>
      <c r="V693">
        <f ca="1">IFERROR(Tab_Calculs[[#This Row],[Cout_mois]]/Tab_Calculs[[#This Row],[Conso_mois_kWh]],0)</f>
        <v>0</v>
      </c>
      <c r="W693" t="str">
        <f>T(VLOOKUP(Tab_Calculs[[#This Row],[Compteur]],Site!$B$33:$G$40,3,FALSE))</f>
        <v/>
      </c>
      <c r="X693" t="str">
        <f>T(VLOOKUP(Tab_Calculs[[#This Row],[Compteur]],Site!$B$33:$G$40,4,FALSE))</f>
        <v/>
      </c>
      <c r="Y693" t="str">
        <f>T(VLOOKUP(Tab_Calculs[[#This Row],[Compteur]],Site!$B$33:$G$40,5,FALSE))</f>
        <v/>
      </c>
      <c r="Z693" t="str">
        <f>T(VLOOKUP(Tab_Calculs[[#This Row],[Compteur]],Site!$B$33:$G$40,6,FALSE))</f>
        <v/>
      </c>
      <c r="AA693">
        <f>IFERROR(GETPIVOTDATA("DJU(chauffagiste)",BDD_DJU!$P$13,"annee",Tab_Calculs[[#This Row],[ANNEE]],"mois_numero",Tab_Calculs[[#This Row],[MOIS]]),0)</f>
        <v>402.2</v>
      </c>
    </row>
    <row r="694" spans="1:27" x14ac:dyDescent="0.25">
      <c r="A694" s="3">
        <f>DATE(Tab_Calculs[[#This Row],[ANNEE]],Tab_Calculs[[#This Row],[MOIS]],1)</f>
        <v>43497</v>
      </c>
      <c r="B694" s="3">
        <f>EDATE(Tab_Calculs[[#This Row],[Début mois]],1)-1</f>
        <v>43524</v>
      </c>
      <c r="C694">
        <f t="shared" si="22"/>
        <v>2</v>
      </c>
      <c r="D694">
        <f t="shared" si="21"/>
        <v>2019</v>
      </c>
      <c r="E694" t="s">
        <v>83</v>
      </c>
      <c r="F694" t="str">
        <f>SUBSTITUTE(Tab_Calculs[[#This Row],[Compteur]]," ","_")</f>
        <v>Compteur_4</v>
      </c>
      <c r="G694" t="str">
        <f>T(INDEX(Site!$B$33:$G$40, MATCH(Tab_Calculs[[#This Row],[Compteur]], Site!$B$33:$B$40,0),2))</f>
        <v/>
      </c>
      <c r="H694" s="3">
        <f t="array" aca="1" ref="H694" ca="1">MIN(IF(INDIRECT(CONCATENATE(Tab_Calculs[[#This Row],[Colonne1]],"!$B$2:$B$243"))&gt;=Calculs_Consos!$A694,INDIRECT(CONCATENATE(Tab_Calculs[[#This Row],[Colonne1]],"!$B$2:$B$243"))))</f>
        <v>0</v>
      </c>
      <c r="I694" s="3">
        <f ca="1">INDEX(INDIRECT(CONCATENATE("Tab_",Tab_Calculs[[#This Row],[Colonne1]])),Tab_Calculs[[#This Row],[index_date_livraison]],1)</f>
        <v>0</v>
      </c>
      <c r="J694">
        <f ca="1">MATCH(Tab_Calculs[[#This Row],[Date_livraison]],INDIRECT(CONCATENATE("Tab_",Tab_Calculs[[#This Row],[Colonne1]],"[Fin de période]")),0)</f>
        <v>1</v>
      </c>
      <c r="K694" t="e">
        <f ca="1">INDEX(INDIRECT(CONCATENATE("Tab_",Tab_Calculs[[#This Row],[Colonne1]])),Tab_Calculs[[#This Row],[index_date_livraison]]-1,6)*(MAX(Tab_Calculs[[#This Row],[Début periode livraison]],Tab_Calculs[[#This Row],[Début mois]])-Tab_Calculs[[#This Row],[Début mois]])</f>
        <v>#VALUE!</v>
      </c>
      <c r="L694" s="94">
        <f ca="1">INDEX(INDIRECT(CONCATENATE("Tab_",Tab_Calculs[[#This Row],[Colonne1]])),Tab_Calculs[[#This Row],[index_date_livraison]],6)*(1+MIN(Tab_Calculs[[#This Row],[Date_livraison]],Tab_Calculs[[#This Row],[fin mois]])-MAX(Tab_Calculs[[#This Row],[Début mois]],Tab_Calculs[[#This Row],[Début periode livraison]]))</f>
        <v>0</v>
      </c>
      <c r="M694" s="94" t="e">
        <f ca="1">INDEX(INDIRECT(CONCATENATE("Tab_",Tab_Calculs[[#This Row],[Colonne1]])),Tab_Calculs[[#This Row],[index_date_livraison]]+1,6)*(Tab_Calculs[[#This Row],[fin mois]]-MIN(Tab_Calculs[[#This Row],[fin mois]],Tab_Calculs[[#This Row],[Date_livraison]]))</f>
        <v>#VALUE!</v>
      </c>
      <c r="N694" s="231" t="str">
        <f ca="1">IFERROR(Tab_Calculs[[#This Row],[Ratio_jour_après_livr]]+Tab_Calculs[[#This Row],[Ratio_jour_avant_livr]]+Tab_Calculs[[#This Row],[ratio_avant_debut]],"")</f>
        <v/>
      </c>
      <c r="O694" t="e">
        <f ca="1">INDEX(INDIRECT(CONCATENATE("Tab_",Tab_Calculs[[#This Row],[Colonne1]])),Tab_Calculs[[#This Row],[index_date_livraison]]-1,7)*(MAX(Tab_Calculs[[#This Row],[Début periode livraison]],Tab_Calculs[[#This Row],[Début mois]])-Tab_Calculs[[#This Row],[Début mois]])</f>
        <v>#VALUE!</v>
      </c>
      <c r="P694">
        <f ca="1">INDEX(INDIRECT(CONCATENATE("Tab_",Tab_Calculs[[#This Row],[Colonne1]])),Tab_Calculs[[#This Row],[index_date_livraison]],7)*(1+MIN(Tab_Calculs[[#This Row],[Date_livraison]],Tab_Calculs[[#This Row],[fin mois]])-MAX(Tab_Calculs[[#This Row],[Début mois]],Tab_Calculs[[#This Row],[Début periode livraison]]))</f>
        <v>0</v>
      </c>
      <c r="Q694" t="e">
        <f ca="1">INDEX(INDIRECT(CONCATENATE("Tab_",Tab_Calculs[[#This Row],[Colonne1]])),Tab_Calculs[[#This Row],[index_date_livraison]]+1,7)*(Tab_Calculs[[#This Row],[fin mois]]-MIN(Tab_Calculs[[#This Row],[fin mois]],Tab_Calculs[[#This Row],[Date_livraison]]))</f>
        <v>#VALUE!</v>
      </c>
      <c r="R694" t="e">
        <f ca="1">Tab_Calculs[[#This Row],[Ratio_Cout_après_livr]]+Tab_Calculs[[#This Row],[Ratio_Cout_avant_livr]]+Tab_Calculs[[#This Row],[Ratio_Cout_avant_debut]]</f>
        <v>#VALUE!</v>
      </c>
      <c r="S694" t="str">
        <f ca="1">IFERROR(N694*VLOOKUP(Tab_Calculs[[#This Row],[Colonne1]],Controle_des_données!$B$7:$G$14,6,FALSE),"")</f>
        <v/>
      </c>
      <c r="T694" t="str">
        <f ca="1">IF(Tab_Calculs[[#This Row],[Combustible ]]="Electricité (kWh)",Tab_Calculs[[#This Row],[Conso_mois_kWh]]*2.3,Tab_Calculs[[#This Row],[Conso_mois_kWh]])</f>
        <v/>
      </c>
      <c r="U694" t="str">
        <f ca="1">IFERROR(N694*VLOOKUP(Tab_Calculs[[#This Row],[Colonne1]],Controle_des_données!$B$7:$H$14,7,FALSE),"")</f>
        <v/>
      </c>
      <c r="V694">
        <f ca="1">IFERROR(Tab_Calculs[[#This Row],[Cout_mois]]/Tab_Calculs[[#This Row],[Conso_mois_kWh]],0)</f>
        <v>0</v>
      </c>
      <c r="W694" t="str">
        <f>T(VLOOKUP(Tab_Calculs[[#This Row],[Compteur]],Site!$B$33:$G$40,3,FALSE))</f>
        <v/>
      </c>
      <c r="X694" t="str">
        <f>T(VLOOKUP(Tab_Calculs[[#This Row],[Compteur]],Site!$B$33:$G$40,4,FALSE))</f>
        <v/>
      </c>
      <c r="Y694" t="str">
        <f>T(VLOOKUP(Tab_Calculs[[#This Row],[Compteur]],Site!$B$33:$G$40,5,FALSE))</f>
        <v/>
      </c>
      <c r="Z694" t="str">
        <f>T(VLOOKUP(Tab_Calculs[[#This Row],[Compteur]],Site!$B$33:$G$40,6,FALSE))</f>
        <v/>
      </c>
      <c r="AA694">
        <f>IFERROR(GETPIVOTDATA("DJU(chauffagiste)",BDD_DJU!$P$13,"annee",Tab_Calculs[[#This Row],[ANNEE]],"mois_numero",Tab_Calculs[[#This Row],[MOIS]]),0)</f>
        <v>297.3</v>
      </c>
    </row>
    <row r="695" spans="1:27" x14ac:dyDescent="0.25">
      <c r="A695" s="3">
        <f>DATE(Tab_Calculs[[#This Row],[ANNEE]],Tab_Calculs[[#This Row],[MOIS]],1)</f>
        <v>43525</v>
      </c>
      <c r="B695" s="3">
        <f>EDATE(Tab_Calculs[[#This Row],[Début mois]],1)-1</f>
        <v>43555</v>
      </c>
      <c r="C695">
        <f t="shared" si="22"/>
        <v>3</v>
      </c>
      <c r="D695">
        <f t="shared" si="21"/>
        <v>2019</v>
      </c>
      <c r="E695" t="s">
        <v>83</v>
      </c>
      <c r="F695" t="str">
        <f>SUBSTITUTE(Tab_Calculs[[#This Row],[Compteur]]," ","_")</f>
        <v>Compteur_4</v>
      </c>
      <c r="G695" t="str">
        <f>T(INDEX(Site!$B$33:$G$40, MATCH(Tab_Calculs[[#This Row],[Compteur]], Site!$B$33:$B$40,0),2))</f>
        <v/>
      </c>
      <c r="H695" s="3">
        <f t="array" aca="1" ref="H695" ca="1">MIN(IF(INDIRECT(CONCATENATE(Tab_Calculs[[#This Row],[Colonne1]],"!$B$2:$B$243"))&gt;=Calculs_Consos!$A695,INDIRECT(CONCATENATE(Tab_Calculs[[#This Row],[Colonne1]],"!$B$2:$B$243"))))</f>
        <v>0</v>
      </c>
      <c r="I695" s="3">
        <f ca="1">INDEX(INDIRECT(CONCATENATE("Tab_",Tab_Calculs[[#This Row],[Colonne1]])),Tab_Calculs[[#This Row],[index_date_livraison]],1)</f>
        <v>0</v>
      </c>
      <c r="J695">
        <f ca="1">MATCH(Tab_Calculs[[#This Row],[Date_livraison]],INDIRECT(CONCATENATE("Tab_",Tab_Calculs[[#This Row],[Colonne1]],"[Fin de période]")),0)</f>
        <v>1</v>
      </c>
      <c r="K695" t="e">
        <f ca="1">INDEX(INDIRECT(CONCATENATE("Tab_",Tab_Calculs[[#This Row],[Colonne1]])),Tab_Calculs[[#This Row],[index_date_livraison]]-1,6)*(MAX(Tab_Calculs[[#This Row],[Début periode livraison]],Tab_Calculs[[#This Row],[Début mois]])-Tab_Calculs[[#This Row],[Début mois]])</f>
        <v>#VALUE!</v>
      </c>
      <c r="L695" s="94">
        <f ca="1">INDEX(INDIRECT(CONCATENATE("Tab_",Tab_Calculs[[#This Row],[Colonne1]])),Tab_Calculs[[#This Row],[index_date_livraison]],6)*(1+MIN(Tab_Calculs[[#This Row],[Date_livraison]],Tab_Calculs[[#This Row],[fin mois]])-MAX(Tab_Calculs[[#This Row],[Début mois]],Tab_Calculs[[#This Row],[Début periode livraison]]))</f>
        <v>0</v>
      </c>
      <c r="M695" s="94" t="e">
        <f ca="1">INDEX(INDIRECT(CONCATENATE("Tab_",Tab_Calculs[[#This Row],[Colonne1]])),Tab_Calculs[[#This Row],[index_date_livraison]]+1,6)*(Tab_Calculs[[#This Row],[fin mois]]-MIN(Tab_Calculs[[#This Row],[fin mois]],Tab_Calculs[[#This Row],[Date_livraison]]))</f>
        <v>#VALUE!</v>
      </c>
      <c r="N695" s="231" t="str">
        <f ca="1">IFERROR(Tab_Calculs[[#This Row],[Ratio_jour_après_livr]]+Tab_Calculs[[#This Row],[Ratio_jour_avant_livr]]+Tab_Calculs[[#This Row],[ratio_avant_debut]],"")</f>
        <v/>
      </c>
      <c r="O695" t="e">
        <f ca="1">INDEX(INDIRECT(CONCATENATE("Tab_",Tab_Calculs[[#This Row],[Colonne1]])),Tab_Calculs[[#This Row],[index_date_livraison]]-1,7)*(MAX(Tab_Calculs[[#This Row],[Début periode livraison]],Tab_Calculs[[#This Row],[Début mois]])-Tab_Calculs[[#This Row],[Début mois]])</f>
        <v>#VALUE!</v>
      </c>
      <c r="P695">
        <f ca="1">INDEX(INDIRECT(CONCATENATE("Tab_",Tab_Calculs[[#This Row],[Colonne1]])),Tab_Calculs[[#This Row],[index_date_livraison]],7)*(1+MIN(Tab_Calculs[[#This Row],[Date_livraison]],Tab_Calculs[[#This Row],[fin mois]])-MAX(Tab_Calculs[[#This Row],[Début mois]],Tab_Calculs[[#This Row],[Début periode livraison]]))</f>
        <v>0</v>
      </c>
      <c r="Q695" t="e">
        <f ca="1">INDEX(INDIRECT(CONCATENATE("Tab_",Tab_Calculs[[#This Row],[Colonne1]])),Tab_Calculs[[#This Row],[index_date_livraison]]+1,7)*(Tab_Calculs[[#This Row],[fin mois]]-MIN(Tab_Calculs[[#This Row],[fin mois]],Tab_Calculs[[#This Row],[Date_livraison]]))</f>
        <v>#VALUE!</v>
      </c>
      <c r="R695" t="e">
        <f ca="1">Tab_Calculs[[#This Row],[Ratio_Cout_après_livr]]+Tab_Calculs[[#This Row],[Ratio_Cout_avant_livr]]+Tab_Calculs[[#This Row],[Ratio_Cout_avant_debut]]</f>
        <v>#VALUE!</v>
      </c>
      <c r="S695" t="str">
        <f ca="1">IFERROR(N695*VLOOKUP(Tab_Calculs[[#This Row],[Colonne1]],Controle_des_données!$B$7:$G$14,6,FALSE),"")</f>
        <v/>
      </c>
      <c r="T695" t="str">
        <f ca="1">IF(Tab_Calculs[[#This Row],[Combustible ]]="Electricité (kWh)",Tab_Calculs[[#This Row],[Conso_mois_kWh]]*2.3,Tab_Calculs[[#This Row],[Conso_mois_kWh]])</f>
        <v/>
      </c>
      <c r="U695" t="str">
        <f ca="1">IFERROR(N695*VLOOKUP(Tab_Calculs[[#This Row],[Colonne1]],Controle_des_données!$B$7:$H$14,7,FALSE),"")</f>
        <v/>
      </c>
      <c r="V695">
        <f ca="1">IFERROR(Tab_Calculs[[#This Row],[Cout_mois]]/Tab_Calculs[[#This Row],[Conso_mois_kWh]],0)</f>
        <v>0</v>
      </c>
      <c r="W695" t="str">
        <f>T(VLOOKUP(Tab_Calculs[[#This Row],[Compteur]],Site!$B$33:$G$40,3,FALSE))</f>
        <v/>
      </c>
      <c r="X695" t="str">
        <f>T(VLOOKUP(Tab_Calculs[[#This Row],[Compteur]],Site!$B$33:$G$40,4,FALSE))</f>
        <v/>
      </c>
      <c r="Y695" t="str">
        <f>T(VLOOKUP(Tab_Calculs[[#This Row],[Compteur]],Site!$B$33:$G$40,5,FALSE))</f>
        <v/>
      </c>
      <c r="Z695" t="str">
        <f>T(VLOOKUP(Tab_Calculs[[#This Row],[Compteur]],Site!$B$33:$G$40,6,FALSE))</f>
        <v/>
      </c>
      <c r="AA695">
        <f>IFERROR(GETPIVOTDATA("DJU(chauffagiste)",BDD_DJU!$P$13,"annee",Tab_Calculs[[#This Row],[ANNEE]],"mois_numero",Tab_Calculs[[#This Row],[MOIS]]),0)</f>
        <v>260.39999999999998</v>
      </c>
    </row>
    <row r="696" spans="1:27" x14ac:dyDescent="0.25">
      <c r="A696" s="3">
        <f>DATE(Tab_Calculs[[#This Row],[ANNEE]],Tab_Calculs[[#This Row],[MOIS]],1)</f>
        <v>43556</v>
      </c>
      <c r="B696" s="3">
        <f>EDATE(Tab_Calculs[[#This Row],[Début mois]],1)-1</f>
        <v>43585</v>
      </c>
      <c r="C696">
        <f t="shared" si="22"/>
        <v>4</v>
      </c>
      <c r="D696">
        <f t="shared" si="21"/>
        <v>2019</v>
      </c>
      <c r="E696" t="s">
        <v>83</v>
      </c>
      <c r="F696" t="str">
        <f>SUBSTITUTE(Tab_Calculs[[#This Row],[Compteur]]," ","_")</f>
        <v>Compteur_4</v>
      </c>
      <c r="G696" t="str">
        <f>T(INDEX(Site!$B$33:$G$40, MATCH(Tab_Calculs[[#This Row],[Compteur]], Site!$B$33:$B$40,0),2))</f>
        <v/>
      </c>
      <c r="H696" s="3">
        <f t="array" aca="1" ref="H696" ca="1">MIN(IF(INDIRECT(CONCATENATE(Tab_Calculs[[#This Row],[Colonne1]],"!$B$2:$B$243"))&gt;=Calculs_Consos!$A696,INDIRECT(CONCATENATE(Tab_Calculs[[#This Row],[Colonne1]],"!$B$2:$B$243"))))</f>
        <v>0</v>
      </c>
      <c r="I696" s="3">
        <f ca="1">INDEX(INDIRECT(CONCATENATE("Tab_",Tab_Calculs[[#This Row],[Colonne1]])),Tab_Calculs[[#This Row],[index_date_livraison]],1)</f>
        <v>0</v>
      </c>
      <c r="J696">
        <f ca="1">MATCH(Tab_Calculs[[#This Row],[Date_livraison]],INDIRECT(CONCATENATE("Tab_",Tab_Calculs[[#This Row],[Colonne1]],"[Fin de période]")),0)</f>
        <v>1</v>
      </c>
      <c r="K696" t="e">
        <f ca="1">INDEX(INDIRECT(CONCATENATE("Tab_",Tab_Calculs[[#This Row],[Colonne1]])),Tab_Calculs[[#This Row],[index_date_livraison]]-1,6)*(MAX(Tab_Calculs[[#This Row],[Début periode livraison]],Tab_Calculs[[#This Row],[Début mois]])-Tab_Calculs[[#This Row],[Début mois]])</f>
        <v>#VALUE!</v>
      </c>
      <c r="L696" s="94">
        <f ca="1">INDEX(INDIRECT(CONCATENATE("Tab_",Tab_Calculs[[#This Row],[Colonne1]])),Tab_Calculs[[#This Row],[index_date_livraison]],6)*(1+MIN(Tab_Calculs[[#This Row],[Date_livraison]],Tab_Calculs[[#This Row],[fin mois]])-MAX(Tab_Calculs[[#This Row],[Début mois]],Tab_Calculs[[#This Row],[Début periode livraison]]))</f>
        <v>0</v>
      </c>
      <c r="M696" s="94" t="e">
        <f ca="1">INDEX(INDIRECT(CONCATENATE("Tab_",Tab_Calculs[[#This Row],[Colonne1]])),Tab_Calculs[[#This Row],[index_date_livraison]]+1,6)*(Tab_Calculs[[#This Row],[fin mois]]-MIN(Tab_Calculs[[#This Row],[fin mois]],Tab_Calculs[[#This Row],[Date_livraison]]))</f>
        <v>#VALUE!</v>
      </c>
      <c r="N696" s="231" t="str">
        <f ca="1">IFERROR(Tab_Calculs[[#This Row],[Ratio_jour_après_livr]]+Tab_Calculs[[#This Row],[Ratio_jour_avant_livr]]+Tab_Calculs[[#This Row],[ratio_avant_debut]],"")</f>
        <v/>
      </c>
      <c r="O696" t="e">
        <f ca="1">INDEX(INDIRECT(CONCATENATE("Tab_",Tab_Calculs[[#This Row],[Colonne1]])),Tab_Calculs[[#This Row],[index_date_livraison]]-1,7)*(MAX(Tab_Calculs[[#This Row],[Début periode livraison]],Tab_Calculs[[#This Row],[Début mois]])-Tab_Calculs[[#This Row],[Début mois]])</f>
        <v>#VALUE!</v>
      </c>
      <c r="P696">
        <f ca="1">INDEX(INDIRECT(CONCATENATE("Tab_",Tab_Calculs[[#This Row],[Colonne1]])),Tab_Calculs[[#This Row],[index_date_livraison]],7)*(1+MIN(Tab_Calculs[[#This Row],[Date_livraison]],Tab_Calculs[[#This Row],[fin mois]])-MAX(Tab_Calculs[[#This Row],[Début mois]],Tab_Calculs[[#This Row],[Début periode livraison]]))</f>
        <v>0</v>
      </c>
      <c r="Q696" t="e">
        <f ca="1">INDEX(INDIRECT(CONCATENATE("Tab_",Tab_Calculs[[#This Row],[Colonne1]])),Tab_Calculs[[#This Row],[index_date_livraison]]+1,7)*(Tab_Calculs[[#This Row],[fin mois]]-MIN(Tab_Calculs[[#This Row],[fin mois]],Tab_Calculs[[#This Row],[Date_livraison]]))</f>
        <v>#VALUE!</v>
      </c>
      <c r="R696" t="e">
        <f ca="1">Tab_Calculs[[#This Row],[Ratio_Cout_après_livr]]+Tab_Calculs[[#This Row],[Ratio_Cout_avant_livr]]+Tab_Calculs[[#This Row],[Ratio_Cout_avant_debut]]</f>
        <v>#VALUE!</v>
      </c>
      <c r="S696" t="str">
        <f ca="1">IFERROR(N696*VLOOKUP(Tab_Calculs[[#This Row],[Colonne1]],Controle_des_données!$B$7:$G$14,6,FALSE),"")</f>
        <v/>
      </c>
      <c r="T696" t="str">
        <f ca="1">IF(Tab_Calculs[[#This Row],[Combustible ]]="Electricité (kWh)",Tab_Calculs[[#This Row],[Conso_mois_kWh]]*2.3,Tab_Calculs[[#This Row],[Conso_mois_kWh]])</f>
        <v/>
      </c>
      <c r="U696" t="str">
        <f ca="1">IFERROR(N696*VLOOKUP(Tab_Calculs[[#This Row],[Colonne1]],Controle_des_données!$B$7:$H$14,7,FALSE),"")</f>
        <v/>
      </c>
      <c r="V696">
        <f ca="1">IFERROR(Tab_Calculs[[#This Row],[Cout_mois]]/Tab_Calculs[[#This Row],[Conso_mois_kWh]],0)</f>
        <v>0</v>
      </c>
      <c r="W696" t="str">
        <f>T(VLOOKUP(Tab_Calculs[[#This Row],[Compteur]],Site!$B$33:$G$40,3,FALSE))</f>
        <v/>
      </c>
      <c r="X696" t="str">
        <f>T(VLOOKUP(Tab_Calculs[[#This Row],[Compteur]],Site!$B$33:$G$40,4,FALSE))</f>
        <v/>
      </c>
      <c r="Y696" t="str">
        <f>T(VLOOKUP(Tab_Calculs[[#This Row],[Compteur]],Site!$B$33:$G$40,5,FALSE))</f>
        <v/>
      </c>
      <c r="Z696" t="str">
        <f>T(VLOOKUP(Tab_Calculs[[#This Row],[Compteur]],Site!$B$33:$G$40,6,FALSE))</f>
        <v/>
      </c>
      <c r="AA696">
        <f>IFERROR(GETPIVOTDATA("DJU(chauffagiste)",BDD_DJU!$P$13,"annee",Tab_Calculs[[#This Row],[ANNEE]],"mois_numero",Tab_Calculs[[#This Row],[MOIS]]),0)</f>
        <v>201.4</v>
      </c>
    </row>
    <row r="697" spans="1:27" x14ac:dyDescent="0.25">
      <c r="A697" s="3">
        <f>DATE(Tab_Calculs[[#This Row],[ANNEE]],Tab_Calculs[[#This Row],[MOIS]],1)</f>
        <v>43586</v>
      </c>
      <c r="B697" s="3">
        <f>EDATE(Tab_Calculs[[#This Row],[Début mois]],1)-1</f>
        <v>43616</v>
      </c>
      <c r="C697">
        <f t="shared" si="22"/>
        <v>5</v>
      </c>
      <c r="D697">
        <f t="shared" si="21"/>
        <v>2019</v>
      </c>
      <c r="E697" t="s">
        <v>83</v>
      </c>
      <c r="F697" t="str">
        <f>SUBSTITUTE(Tab_Calculs[[#This Row],[Compteur]]," ","_")</f>
        <v>Compteur_4</v>
      </c>
      <c r="G697" t="str">
        <f>T(INDEX(Site!$B$33:$G$40, MATCH(Tab_Calculs[[#This Row],[Compteur]], Site!$B$33:$B$40,0),2))</f>
        <v/>
      </c>
      <c r="H697" s="3">
        <f t="array" aca="1" ref="H697" ca="1">MIN(IF(INDIRECT(CONCATENATE(Tab_Calculs[[#This Row],[Colonne1]],"!$B$2:$B$243"))&gt;=Calculs_Consos!$A697,INDIRECT(CONCATENATE(Tab_Calculs[[#This Row],[Colonne1]],"!$B$2:$B$243"))))</f>
        <v>0</v>
      </c>
      <c r="I697" s="3">
        <f ca="1">INDEX(INDIRECT(CONCATENATE("Tab_",Tab_Calculs[[#This Row],[Colonne1]])),Tab_Calculs[[#This Row],[index_date_livraison]],1)</f>
        <v>0</v>
      </c>
      <c r="J697">
        <f ca="1">MATCH(Tab_Calculs[[#This Row],[Date_livraison]],INDIRECT(CONCATENATE("Tab_",Tab_Calculs[[#This Row],[Colonne1]],"[Fin de période]")),0)</f>
        <v>1</v>
      </c>
      <c r="K697" t="e">
        <f ca="1">INDEX(INDIRECT(CONCATENATE("Tab_",Tab_Calculs[[#This Row],[Colonne1]])),Tab_Calculs[[#This Row],[index_date_livraison]]-1,6)*(MAX(Tab_Calculs[[#This Row],[Début periode livraison]],Tab_Calculs[[#This Row],[Début mois]])-Tab_Calculs[[#This Row],[Début mois]])</f>
        <v>#VALUE!</v>
      </c>
      <c r="L697" s="94">
        <f ca="1">INDEX(INDIRECT(CONCATENATE("Tab_",Tab_Calculs[[#This Row],[Colonne1]])),Tab_Calculs[[#This Row],[index_date_livraison]],6)*(1+MIN(Tab_Calculs[[#This Row],[Date_livraison]],Tab_Calculs[[#This Row],[fin mois]])-MAX(Tab_Calculs[[#This Row],[Début mois]],Tab_Calculs[[#This Row],[Début periode livraison]]))</f>
        <v>0</v>
      </c>
      <c r="M697" s="94" t="e">
        <f ca="1">INDEX(INDIRECT(CONCATENATE("Tab_",Tab_Calculs[[#This Row],[Colonne1]])),Tab_Calculs[[#This Row],[index_date_livraison]]+1,6)*(Tab_Calculs[[#This Row],[fin mois]]-MIN(Tab_Calculs[[#This Row],[fin mois]],Tab_Calculs[[#This Row],[Date_livraison]]))</f>
        <v>#VALUE!</v>
      </c>
      <c r="N697" s="231" t="str">
        <f ca="1">IFERROR(Tab_Calculs[[#This Row],[Ratio_jour_après_livr]]+Tab_Calculs[[#This Row],[Ratio_jour_avant_livr]]+Tab_Calculs[[#This Row],[ratio_avant_debut]],"")</f>
        <v/>
      </c>
      <c r="O697" t="e">
        <f ca="1">INDEX(INDIRECT(CONCATENATE("Tab_",Tab_Calculs[[#This Row],[Colonne1]])),Tab_Calculs[[#This Row],[index_date_livraison]]-1,7)*(MAX(Tab_Calculs[[#This Row],[Début periode livraison]],Tab_Calculs[[#This Row],[Début mois]])-Tab_Calculs[[#This Row],[Début mois]])</f>
        <v>#VALUE!</v>
      </c>
      <c r="P697">
        <f ca="1">INDEX(INDIRECT(CONCATENATE("Tab_",Tab_Calculs[[#This Row],[Colonne1]])),Tab_Calculs[[#This Row],[index_date_livraison]],7)*(1+MIN(Tab_Calculs[[#This Row],[Date_livraison]],Tab_Calculs[[#This Row],[fin mois]])-MAX(Tab_Calculs[[#This Row],[Début mois]],Tab_Calculs[[#This Row],[Début periode livraison]]))</f>
        <v>0</v>
      </c>
      <c r="Q697" t="e">
        <f ca="1">INDEX(INDIRECT(CONCATENATE("Tab_",Tab_Calculs[[#This Row],[Colonne1]])),Tab_Calculs[[#This Row],[index_date_livraison]]+1,7)*(Tab_Calculs[[#This Row],[fin mois]]-MIN(Tab_Calculs[[#This Row],[fin mois]],Tab_Calculs[[#This Row],[Date_livraison]]))</f>
        <v>#VALUE!</v>
      </c>
      <c r="R697" t="e">
        <f ca="1">Tab_Calculs[[#This Row],[Ratio_Cout_après_livr]]+Tab_Calculs[[#This Row],[Ratio_Cout_avant_livr]]+Tab_Calculs[[#This Row],[Ratio_Cout_avant_debut]]</f>
        <v>#VALUE!</v>
      </c>
      <c r="S697" t="str">
        <f ca="1">IFERROR(N697*VLOOKUP(Tab_Calculs[[#This Row],[Colonne1]],Controle_des_données!$B$7:$G$14,6,FALSE),"")</f>
        <v/>
      </c>
      <c r="T697" t="str">
        <f ca="1">IF(Tab_Calculs[[#This Row],[Combustible ]]="Electricité (kWh)",Tab_Calculs[[#This Row],[Conso_mois_kWh]]*2.3,Tab_Calculs[[#This Row],[Conso_mois_kWh]])</f>
        <v/>
      </c>
      <c r="U697" t="str">
        <f ca="1">IFERROR(N697*VLOOKUP(Tab_Calculs[[#This Row],[Colonne1]],Controle_des_données!$B$7:$H$14,7,FALSE),"")</f>
        <v/>
      </c>
      <c r="V697">
        <f ca="1">IFERROR(Tab_Calculs[[#This Row],[Cout_mois]]/Tab_Calculs[[#This Row],[Conso_mois_kWh]],0)</f>
        <v>0</v>
      </c>
      <c r="W697" t="str">
        <f>T(VLOOKUP(Tab_Calculs[[#This Row],[Compteur]],Site!$B$33:$G$40,3,FALSE))</f>
        <v/>
      </c>
      <c r="X697" t="str">
        <f>T(VLOOKUP(Tab_Calculs[[#This Row],[Compteur]],Site!$B$33:$G$40,4,FALSE))</f>
        <v/>
      </c>
      <c r="Y697" t="str">
        <f>T(VLOOKUP(Tab_Calculs[[#This Row],[Compteur]],Site!$B$33:$G$40,5,FALSE))</f>
        <v/>
      </c>
      <c r="Z697" t="str">
        <f>T(VLOOKUP(Tab_Calculs[[#This Row],[Compteur]],Site!$B$33:$G$40,6,FALSE))</f>
        <v/>
      </c>
      <c r="AA697">
        <f>IFERROR(GETPIVOTDATA("DJU(chauffagiste)",BDD_DJU!$P$13,"annee",Tab_Calculs[[#This Row],[ANNEE]],"mois_numero",Tab_Calculs[[#This Row],[MOIS]]),0)</f>
        <v>147.9</v>
      </c>
    </row>
    <row r="698" spans="1:27" x14ac:dyDescent="0.25">
      <c r="A698" s="3">
        <f>DATE(Tab_Calculs[[#This Row],[ANNEE]],Tab_Calculs[[#This Row],[MOIS]],1)</f>
        <v>43617</v>
      </c>
      <c r="B698" s="3">
        <f>EDATE(Tab_Calculs[[#This Row],[Début mois]],1)-1</f>
        <v>43646</v>
      </c>
      <c r="C698">
        <f t="shared" si="22"/>
        <v>6</v>
      </c>
      <c r="D698">
        <f t="shared" si="21"/>
        <v>2019</v>
      </c>
      <c r="E698" t="s">
        <v>83</v>
      </c>
      <c r="F698" t="str">
        <f>SUBSTITUTE(Tab_Calculs[[#This Row],[Compteur]]," ","_")</f>
        <v>Compteur_4</v>
      </c>
      <c r="G698" t="str">
        <f>T(INDEX(Site!$B$33:$G$40, MATCH(Tab_Calculs[[#This Row],[Compteur]], Site!$B$33:$B$40,0),2))</f>
        <v/>
      </c>
      <c r="H698" s="3">
        <f t="array" aca="1" ref="H698" ca="1">MIN(IF(INDIRECT(CONCATENATE(Tab_Calculs[[#This Row],[Colonne1]],"!$B$2:$B$243"))&gt;=Calculs_Consos!$A698,INDIRECT(CONCATENATE(Tab_Calculs[[#This Row],[Colonne1]],"!$B$2:$B$243"))))</f>
        <v>0</v>
      </c>
      <c r="I698" s="3">
        <f ca="1">INDEX(INDIRECT(CONCATENATE("Tab_",Tab_Calculs[[#This Row],[Colonne1]])),Tab_Calculs[[#This Row],[index_date_livraison]],1)</f>
        <v>0</v>
      </c>
      <c r="J698">
        <f ca="1">MATCH(Tab_Calculs[[#This Row],[Date_livraison]],INDIRECT(CONCATENATE("Tab_",Tab_Calculs[[#This Row],[Colonne1]],"[Fin de période]")),0)</f>
        <v>1</v>
      </c>
      <c r="K698" t="e">
        <f ca="1">INDEX(INDIRECT(CONCATENATE("Tab_",Tab_Calculs[[#This Row],[Colonne1]])),Tab_Calculs[[#This Row],[index_date_livraison]]-1,6)*(MAX(Tab_Calculs[[#This Row],[Début periode livraison]],Tab_Calculs[[#This Row],[Début mois]])-Tab_Calculs[[#This Row],[Début mois]])</f>
        <v>#VALUE!</v>
      </c>
      <c r="L698" s="94">
        <f ca="1">INDEX(INDIRECT(CONCATENATE("Tab_",Tab_Calculs[[#This Row],[Colonne1]])),Tab_Calculs[[#This Row],[index_date_livraison]],6)*(1+MIN(Tab_Calculs[[#This Row],[Date_livraison]],Tab_Calculs[[#This Row],[fin mois]])-MAX(Tab_Calculs[[#This Row],[Début mois]],Tab_Calculs[[#This Row],[Début periode livraison]]))</f>
        <v>0</v>
      </c>
      <c r="M698" s="94" t="e">
        <f ca="1">INDEX(INDIRECT(CONCATENATE("Tab_",Tab_Calculs[[#This Row],[Colonne1]])),Tab_Calculs[[#This Row],[index_date_livraison]]+1,6)*(Tab_Calculs[[#This Row],[fin mois]]-MIN(Tab_Calculs[[#This Row],[fin mois]],Tab_Calculs[[#This Row],[Date_livraison]]))</f>
        <v>#VALUE!</v>
      </c>
      <c r="N698" s="231" t="str">
        <f ca="1">IFERROR(Tab_Calculs[[#This Row],[Ratio_jour_après_livr]]+Tab_Calculs[[#This Row],[Ratio_jour_avant_livr]]+Tab_Calculs[[#This Row],[ratio_avant_debut]],"")</f>
        <v/>
      </c>
      <c r="O698" t="e">
        <f ca="1">INDEX(INDIRECT(CONCATENATE("Tab_",Tab_Calculs[[#This Row],[Colonne1]])),Tab_Calculs[[#This Row],[index_date_livraison]]-1,7)*(MAX(Tab_Calculs[[#This Row],[Début periode livraison]],Tab_Calculs[[#This Row],[Début mois]])-Tab_Calculs[[#This Row],[Début mois]])</f>
        <v>#VALUE!</v>
      </c>
      <c r="P698">
        <f ca="1">INDEX(INDIRECT(CONCATENATE("Tab_",Tab_Calculs[[#This Row],[Colonne1]])),Tab_Calculs[[#This Row],[index_date_livraison]],7)*(1+MIN(Tab_Calculs[[#This Row],[Date_livraison]],Tab_Calculs[[#This Row],[fin mois]])-MAX(Tab_Calculs[[#This Row],[Début mois]],Tab_Calculs[[#This Row],[Début periode livraison]]))</f>
        <v>0</v>
      </c>
      <c r="Q698" t="e">
        <f ca="1">INDEX(INDIRECT(CONCATENATE("Tab_",Tab_Calculs[[#This Row],[Colonne1]])),Tab_Calculs[[#This Row],[index_date_livraison]]+1,7)*(Tab_Calculs[[#This Row],[fin mois]]-MIN(Tab_Calculs[[#This Row],[fin mois]],Tab_Calculs[[#This Row],[Date_livraison]]))</f>
        <v>#VALUE!</v>
      </c>
      <c r="R698" t="e">
        <f ca="1">Tab_Calculs[[#This Row],[Ratio_Cout_après_livr]]+Tab_Calculs[[#This Row],[Ratio_Cout_avant_livr]]+Tab_Calculs[[#This Row],[Ratio_Cout_avant_debut]]</f>
        <v>#VALUE!</v>
      </c>
      <c r="S698" t="str">
        <f ca="1">IFERROR(N698*VLOOKUP(Tab_Calculs[[#This Row],[Colonne1]],Controle_des_données!$B$7:$G$14,6,FALSE),"")</f>
        <v/>
      </c>
      <c r="T698" t="str">
        <f ca="1">IF(Tab_Calculs[[#This Row],[Combustible ]]="Electricité (kWh)",Tab_Calculs[[#This Row],[Conso_mois_kWh]]*2.3,Tab_Calculs[[#This Row],[Conso_mois_kWh]])</f>
        <v/>
      </c>
      <c r="U698" t="str">
        <f ca="1">IFERROR(N698*VLOOKUP(Tab_Calculs[[#This Row],[Colonne1]],Controle_des_données!$B$7:$H$14,7,FALSE),"")</f>
        <v/>
      </c>
      <c r="V698">
        <f ca="1">IFERROR(Tab_Calculs[[#This Row],[Cout_mois]]/Tab_Calculs[[#This Row],[Conso_mois_kWh]],0)</f>
        <v>0</v>
      </c>
      <c r="W698" t="str">
        <f>T(VLOOKUP(Tab_Calculs[[#This Row],[Compteur]],Site!$B$33:$G$40,3,FALSE))</f>
        <v/>
      </c>
      <c r="X698" t="str">
        <f>T(VLOOKUP(Tab_Calculs[[#This Row],[Compteur]],Site!$B$33:$G$40,4,FALSE))</f>
        <v/>
      </c>
      <c r="Y698" t="str">
        <f>T(VLOOKUP(Tab_Calculs[[#This Row],[Compteur]],Site!$B$33:$G$40,5,FALSE))</f>
        <v/>
      </c>
      <c r="Z698" t="str">
        <f>T(VLOOKUP(Tab_Calculs[[#This Row],[Compteur]],Site!$B$33:$G$40,6,FALSE))</f>
        <v/>
      </c>
      <c r="AA698">
        <f>IFERROR(GETPIVOTDATA("DJU(chauffagiste)",BDD_DJU!$P$13,"annee",Tab_Calculs[[#This Row],[ANNEE]],"mois_numero",Tab_Calculs[[#This Row],[MOIS]]),0)</f>
        <v>54.1</v>
      </c>
    </row>
    <row r="699" spans="1:27" x14ac:dyDescent="0.25">
      <c r="A699" s="3">
        <f>DATE(Tab_Calculs[[#This Row],[ANNEE]],Tab_Calculs[[#This Row],[MOIS]],1)</f>
        <v>43647</v>
      </c>
      <c r="B699" s="3">
        <f>EDATE(Tab_Calculs[[#This Row],[Début mois]],1)-1</f>
        <v>43677</v>
      </c>
      <c r="C699">
        <f t="shared" si="22"/>
        <v>7</v>
      </c>
      <c r="D699">
        <f t="shared" si="21"/>
        <v>2019</v>
      </c>
      <c r="E699" t="s">
        <v>83</v>
      </c>
      <c r="F699" t="str">
        <f>SUBSTITUTE(Tab_Calculs[[#This Row],[Compteur]]," ","_")</f>
        <v>Compteur_4</v>
      </c>
      <c r="G699" t="str">
        <f>T(INDEX(Site!$B$33:$G$40, MATCH(Tab_Calculs[[#This Row],[Compteur]], Site!$B$33:$B$40,0),2))</f>
        <v/>
      </c>
      <c r="H699" s="3">
        <f t="array" aca="1" ref="H699" ca="1">MIN(IF(INDIRECT(CONCATENATE(Tab_Calculs[[#This Row],[Colonne1]],"!$B$2:$B$243"))&gt;=Calculs_Consos!$A699,INDIRECT(CONCATENATE(Tab_Calculs[[#This Row],[Colonne1]],"!$B$2:$B$243"))))</f>
        <v>0</v>
      </c>
      <c r="I699" s="3">
        <f ca="1">INDEX(INDIRECT(CONCATENATE("Tab_",Tab_Calculs[[#This Row],[Colonne1]])),Tab_Calculs[[#This Row],[index_date_livraison]],1)</f>
        <v>0</v>
      </c>
      <c r="J699">
        <f ca="1">MATCH(Tab_Calculs[[#This Row],[Date_livraison]],INDIRECT(CONCATENATE("Tab_",Tab_Calculs[[#This Row],[Colonne1]],"[Fin de période]")),0)</f>
        <v>1</v>
      </c>
      <c r="K699" t="e">
        <f ca="1">INDEX(INDIRECT(CONCATENATE("Tab_",Tab_Calculs[[#This Row],[Colonne1]])),Tab_Calculs[[#This Row],[index_date_livraison]]-1,6)*(MAX(Tab_Calculs[[#This Row],[Début periode livraison]],Tab_Calculs[[#This Row],[Début mois]])-Tab_Calculs[[#This Row],[Début mois]])</f>
        <v>#VALUE!</v>
      </c>
      <c r="L699" s="94">
        <f ca="1">INDEX(INDIRECT(CONCATENATE("Tab_",Tab_Calculs[[#This Row],[Colonne1]])),Tab_Calculs[[#This Row],[index_date_livraison]],6)*(1+MIN(Tab_Calculs[[#This Row],[Date_livraison]],Tab_Calculs[[#This Row],[fin mois]])-MAX(Tab_Calculs[[#This Row],[Début mois]],Tab_Calculs[[#This Row],[Début periode livraison]]))</f>
        <v>0</v>
      </c>
      <c r="M699" s="94" t="e">
        <f ca="1">INDEX(INDIRECT(CONCATENATE("Tab_",Tab_Calculs[[#This Row],[Colonne1]])),Tab_Calculs[[#This Row],[index_date_livraison]]+1,6)*(Tab_Calculs[[#This Row],[fin mois]]-MIN(Tab_Calculs[[#This Row],[fin mois]],Tab_Calculs[[#This Row],[Date_livraison]]))</f>
        <v>#VALUE!</v>
      </c>
      <c r="N699" s="231" t="str">
        <f ca="1">IFERROR(Tab_Calculs[[#This Row],[Ratio_jour_après_livr]]+Tab_Calculs[[#This Row],[Ratio_jour_avant_livr]]+Tab_Calculs[[#This Row],[ratio_avant_debut]],"")</f>
        <v/>
      </c>
      <c r="O699" t="e">
        <f ca="1">INDEX(INDIRECT(CONCATENATE("Tab_",Tab_Calculs[[#This Row],[Colonne1]])),Tab_Calculs[[#This Row],[index_date_livraison]]-1,7)*(MAX(Tab_Calculs[[#This Row],[Début periode livraison]],Tab_Calculs[[#This Row],[Début mois]])-Tab_Calculs[[#This Row],[Début mois]])</f>
        <v>#VALUE!</v>
      </c>
      <c r="P699">
        <f ca="1">INDEX(INDIRECT(CONCATENATE("Tab_",Tab_Calculs[[#This Row],[Colonne1]])),Tab_Calculs[[#This Row],[index_date_livraison]],7)*(1+MIN(Tab_Calculs[[#This Row],[Date_livraison]],Tab_Calculs[[#This Row],[fin mois]])-MAX(Tab_Calculs[[#This Row],[Début mois]],Tab_Calculs[[#This Row],[Début periode livraison]]))</f>
        <v>0</v>
      </c>
      <c r="Q699" t="e">
        <f ca="1">INDEX(INDIRECT(CONCATENATE("Tab_",Tab_Calculs[[#This Row],[Colonne1]])),Tab_Calculs[[#This Row],[index_date_livraison]]+1,7)*(Tab_Calculs[[#This Row],[fin mois]]-MIN(Tab_Calculs[[#This Row],[fin mois]],Tab_Calculs[[#This Row],[Date_livraison]]))</f>
        <v>#VALUE!</v>
      </c>
      <c r="R699" t="e">
        <f ca="1">Tab_Calculs[[#This Row],[Ratio_Cout_après_livr]]+Tab_Calculs[[#This Row],[Ratio_Cout_avant_livr]]+Tab_Calculs[[#This Row],[Ratio_Cout_avant_debut]]</f>
        <v>#VALUE!</v>
      </c>
      <c r="S699" t="str">
        <f ca="1">IFERROR(N699*VLOOKUP(Tab_Calculs[[#This Row],[Colonne1]],Controle_des_données!$B$7:$G$14,6,FALSE),"")</f>
        <v/>
      </c>
      <c r="T699" t="str">
        <f ca="1">IF(Tab_Calculs[[#This Row],[Combustible ]]="Electricité (kWh)",Tab_Calculs[[#This Row],[Conso_mois_kWh]]*2.3,Tab_Calculs[[#This Row],[Conso_mois_kWh]])</f>
        <v/>
      </c>
      <c r="U699" t="str">
        <f ca="1">IFERROR(N699*VLOOKUP(Tab_Calculs[[#This Row],[Colonne1]],Controle_des_données!$B$7:$H$14,7,FALSE),"")</f>
        <v/>
      </c>
      <c r="V699">
        <f ca="1">IFERROR(Tab_Calculs[[#This Row],[Cout_mois]]/Tab_Calculs[[#This Row],[Conso_mois_kWh]],0)</f>
        <v>0</v>
      </c>
      <c r="W699" t="str">
        <f>T(VLOOKUP(Tab_Calculs[[#This Row],[Compteur]],Site!$B$33:$G$40,3,FALSE))</f>
        <v/>
      </c>
      <c r="X699" t="str">
        <f>T(VLOOKUP(Tab_Calculs[[#This Row],[Compteur]],Site!$B$33:$G$40,4,FALSE))</f>
        <v/>
      </c>
      <c r="Y699" t="str">
        <f>T(VLOOKUP(Tab_Calculs[[#This Row],[Compteur]],Site!$B$33:$G$40,5,FALSE))</f>
        <v/>
      </c>
      <c r="Z699" t="str">
        <f>T(VLOOKUP(Tab_Calculs[[#This Row],[Compteur]],Site!$B$33:$G$40,6,FALSE))</f>
        <v/>
      </c>
      <c r="AA699">
        <f>IFERROR(GETPIVOTDATA("DJU(chauffagiste)",BDD_DJU!$P$13,"annee",Tab_Calculs[[#This Row],[ANNEE]],"mois_numero",Tab_Calculs[[#This Row],[MOIS]]),0)</f>
        <v>15.5</v>
      </c>
    </row>
    <row r="700" spans="1:27" x14ac:dyDescent="0.25">
      <c r="A700" s="3">
        <f>DATE(Tab_Calculs[[#This Row],[ANNEE]],Tab_Calculs[[#This Row],[MOIS]],1)</f>
        <v>43678</v>
      </c>
      <c r="B700" s="3">
        <f>EDATE(Tab_Calculs[[#This Row],[Début mois]],1)-1</f>
        <v>43708</v>
      </c>
      <c r="C700">
        <f t="shared" si="22"/>
        <v>8</v>
      </c>
      <c r="D700">
        <f t="shared" si="21"/>
        <v>2019</v>
      </c>
      <c r="E700" t="s">
        <v>83</v>
      </c>
      <c r="F700" t="str">
        <f>SUBSTITUTE(Tab_Calculs[[#This Row],[Compteur]]," ","_")</f>
        <v>Compteur_4</v>
      </c>
      <c r="G700" t="str">
        <f>T(INDEX(Site!$B$33:$G$40, MATCH(Tab_Calculs[[#This Row],[Compteur]], Site!$B$33:$B$40,0),2))</f>
        <v/>
      </c>
      <c r="H700" s="3">
        <f t="array" aca="1" ref="H700" ca="1">MIN(IF(INDIRECT(CONCATENATE(Tab_Calculs[[#This Row],[Colonne1]],"!$B$2:$B$243"))&gt;=Calculs_Consos!$A700,INDIRECT(CONCATENATE(Tab_Calculs[[#This Row],[Colonne1]],"!$B$2:$B$243"))))</f>
        <v>0</v>
      </c>
      <c r="I700" s="3">
        <f ca="1">INDEX(INDIRECT(CONCATENATE("Tab_",Tab_Calculs[[#This Row],[Colonne1]])),Tab_Calculs[[#This Row],[index_date_livraison]],1)</f>
        <v>0</v>
      </c>
      <c r="J700">
        <f ca="1">MATCH(Tab_Calculs[[#This Row],[Date_livraison]],INDIRECT(CONCATENATE("Tab_",Tab_Calculs[[#This Row],[Colonne1]],"[Fin de période]")),0)</f>
        <v>1</v>
      </c>
      <c r="K700" t="e">
        <f ca="1">INDEX(INDIRECT(CONCATENATE("Tab_",Tab_Calculs[[#This Row],[Colonne1]])),Tab_Calculs[[#This Row],[index_date_livraison]]-1,6)*(MAX(Tab_Calculs[[#This Row],[Début periode livraison]],Tab_Calculs[[#This Row],[Début mois]])-Tab_Calculs[[#This Row],[Début mois]])</f>
        <v>#VALUE!</v>
      </c>
      <c r="L700" s="94">
        <f ca="1">INDEX(INDIRECT(CONCATENATE("Tab_",Tab_Calculs[[#This Row],[Colonne1]])),Tab_Calculs[[#This Row],[index_date_livraison]],6)*(1+MIN(Tab_Calculs[[#This Row],[Date_livraison]],Tab_Calculs[[#This Row],[fin mois]])-MAX(Tab_Calculs[[#This Row],[Début mois]],Tab_Calculs[[#This Row],[Début periode livraison]]))</f>
        <v>0</v>
      </c>
      <c r="M700" s="94" t="e">
        <f ca="1">INDEX(INDIRECT(CONCATENATE("Tab_",Tab_Calculs[[#This Row],[Colonne1]])),Tab_Calculs[[#This Row],[index_date_livraison]]+1,6)*(Tab_Calculs[[#This Row],[fin mois]]-MIN(Tab_Calculs[[#This Row],[fin mois]],Tab_Calculs[[#This Row],[Date_livraison]]))</f>
        <v>#VALUE!</v>
      </c>
      <c r="N700" s="231" t="str">
        <f ca="1">IFERROR(Tab_Calculs[[#This Row],[Ratio_jour_après_livr]]+Tab_Calculs[[#This Row],[Ratio_jour_avant_livr]]+Tab_Calculs[[#This Row],[ratio_avant_debut]],"")</f>
        <v/>
      </c>
      <c r="O700" t="e">
        <f ca="1">INDEX(INDIRECT(CONCATENATE("Tab_",Tab_Calculs[[#This Row],[Colonne1]])),Tab_Calculs[[#This Row],[index_date_livraison]]-1,7)*(MAX(Tab_Calculs[[#This Row],[Début periode livraison]],Tab_Calculs[[#This Row],[Début mois]])-Tab_Calculs[[#This Row],[Début mois]])</f>
        <v>#VALUE!</v>
      </c>
      <c r="P700">
        <f ca="1">INDEX(INDIRECT(CONCATENATE("Tab_",Tab_Calculs[[#This Row],[Colonne1]])),Tab_Calculs[[#This Row],[index_date_livraison]],7)*(1+MIN(Tab_Calculs[[#This Row],[Date_livraison]],Tab_Calculs[[#This Row],[fin mois]])-MAX(Tab_Calculs[[#This Row],[Début mois]],Tab_Calculs[[#This Row],[Début periode livraison]]))</f>
        <v>0</v>
      </c>
      <c r="Q700" t="e">
        <f ca="1">INDEX(INDIRECT(CONCATENATE("Tab_",Tab_Calculs[[#This Row],[Colonne1]])),Tab_Calculs[[#This Row],[index_date_livraison]]+1,7)*(Tab_Calculs[[#This Row],[fin mois]]-MIN(Tab_Calculs[[#This Row],[fin mois]],Tab_Calculs[[#This Row],[Date_livraison]]))</f>
        <v>#VALUE!</v>
      </c>
      <c r="R700" t="e">
        <f ca="1">Tab_Calculs[[#This Row],[Ratio_Cout_après_livr]]+Tab_Calculs[[#This Row],[Ratio_Cout_avant_livr]]+Tab_Calculs[[#This Row],[Ratio_Cout_avant_debut]]</f>
        <v>#VALUE!</v>
      </c>
      <c r="S700" t="str">
        <f ca="1">IFERROR(N700*VLOOKUP(Tab_Calculs[[#This Row],[Colonne1]],Controle_des_données!$B$7:$G$14,6,FALSE),"")</f>
        <v/>
      </c>
      <c r="T700" t="str">
        <f ca="1">IF(Tab_Calculs[[#This Row],[Combustible ]]="Electricité (kWh)",Tab_Calculs[[#This Row],[Conso_mois_kWh]]*2.3,Tab_Calculs[[#This Row],[Conso_mois_kWh]])</f>
        <v/>
      </c>
      <c r="U700" t="str">
        <f ca="1">IFERROR(N700*VLOOKUP(Tab_Calculs[[#This Row],[Colonne1]],Controle_des_données!$B$7:$H$14,7,FALSE),"")</f>
        <v/>
      </c>
      <c r="V700">
        <f ca="1">IFERROR(Tab_Calculs[[#This Row],[Cout_mois]]/Tab_Calculs[[#This Row],[Conso_mois_kWh]],0)</f>
        <v>0</v>
      </c>
      <c r="W700" t="str">
        <f>T(VLOOKUP(Tab_Calculs[[#This Row],[Compteur]],Site!$B$33:$G$40,3,FALSE))</f>
        <v/>
      </c>
      <c r="X700" t="str">
        <f>T(VLOOKUP(Tab_Calculs[[#This Row],[Compteur]],Site!$B$33:$G$40,4,FALSE))</f>
        <v/>
      </c>
      <c r="Y700" t="str">
        <f>T(VLOOKUP(Tab_Calculs[[#This Row],[Compteur]],Site!$B$33:$G$40,5,FALSE))</f>
        <v/>
      </c>
      <c r="Z700" t="str">
        <f>T(VLOOKUP(Tab_Calculs[[#This Row],[Compteur]],Site!$B$33:$G$40,6,FALSE))</f>
        <v/>
      </c>
      <c r="AA700">
        <f>IFERROR(GETPIVOTDATA("DJU(chauffagiste)",BDD_DJU!$P$13,"annee",Tab_Calculs[[#This Row],[ANNEE]],"mois_numero",Tab_Calculs[[#This Row],[MOIS]]),0)</f>
        <v>30.2</v>
      </c>
    </row>
    <row r="701" spans="1:27" x14ac:dyDescent="0.25">
      <c r="A701" s="3">
        <f>DATE(Tab_Calculs[[#This Row],[ANNEE]],Tab_Calculs[[#This Row],[MOIS]],1)</f>
        <v>43709</v>
      </c>
      <c r="B701" s="3">
        <f>EDATE(Tab_Calculs[[#This Row],[Début mois]],1)-1</f>
        <v>43738</v>
      </c>
      <c r="C701">
        <f t="shared" si="22"/>
        <v>9</v>
      </c>
      <c r="D701">
        <f t="shared" si="21"/>
        <v>2019</v>
      </c>
      <c r="E701" t="s">
        <v>83</v>
      </c>
      <c r="F701" t="str">
        <f>SUBSTITUTE(Tab_Calculs[[#This Row],[Compteur]]," ","_")</f>
        <v>Compteur_4</v>
      </c>
      <c r="G701" t="str">
        <f>T(INDEX(Site!$B$33:$G$40, MATCH(Tab_Calculs[[#This Row],[Compteur]], Site!$B$33:$B$40,0),2))</f>
        <v/>
      </c>
      <c r="H701" s="3">
        <f t="array" aca="1" ref="H701" ca="1">MIN(IF(INDIRECT(CONCATENATE(Tab_Calculs[[#This Row],[Colonne1]],"!$B$2:$B$243"))&gt;=Calculs_Consos!$A701,INDIRECT(CONCATENATE(Tab_Calculs[[#This Row],[Colonne1]],"!$B$2:$B$243"))))</f>
        <v>0</v>
      </c>
      <c r="I701" s="3">
        <f ca="1">INDEX(INDIRECT(CONCATENATE("Tab_",Tab_Calculs[[#This Row],[Colonne1]])),Tab_Calculs[[#This Row],[index_date_livraison]],1)</f>
        <v>0</v>
      </c>
      <c r="J701">
        <f ca="1">MATCH(Tab_Calculs[[#This Row],[Date_livraison]],INDIRECT(CONCATENATE("Tab_",Tab_Calculs[[#This Row],[Colonne1]],"[Fin de période]")),0)</f>
        <v>1</v>
      </c>
      <c r="K701" t="e">
        <f ca="1">INDEX(INDIRECT(CONCATENATE("Tab_",Tab_Calculs[[#This Row],[Colonne1]])),Tab_Calculs[[#This Row],[index_date_livraison]]-1,6)*(MAX(Tab_Calculs[[#This Row],[Début periode livraison]],Tab_Calculs[[#This Row],[Début mois]])-Tab_Calculs[[#This Row],[Début mois]])</f>
        <v>#VALUE!</v>
      </c>
      <c r="L701" s="94">
        <f ca="1">INDEX(INDIRECT(CONCATENATE("Tab_",Tab_Calculs[[#This Row],[Colonne1]])),Tab_Calculs[[#This Row],[index_date_livraison]],6)*(1+MIN(Tab_Calculs[[#This Row],[Date_livraison]],Tab_Calculs[[#This Row],[fin mois]])-MAX(Tab_Calculs[[#This Row],[Début mois]],Tab_Calculs[[#This Row],[Début periode livraison]]))</f>
        <v>0</v>
      </c>
      <c r="M701" s="94" t="e">
        <f ca="1">INDEX(INDIRECT(CONCATENATE("Tab_",Tab_Calculs[[#This Row],[Colonne1]])),Tab_Calculs[[#This Row],[index_date_livraison]]+1,6)*(Tab_Calculs[[#This Row],[fin mois]]-MIN(Tab_Calculs[[#This Row],[fin mois]],Tab_Calculs[[#This Row],[Date_livraison]]))</f>
        <v>#VALUE!</v>
      </c>
      <c r="N701" s="231" t="str">
        <f ca="1">IFERROR(Tab_Calculs[[#This Row],[Ratio_jour_après_livr]]+Tab_Calculs[[#This Row],[Ratio_jour_avant_livr]]+Tab_Calculs[[#This Row],[ratio_avant_debut]],"")</f>
        <v/>
      </c>
      <c r="O701" t="e">
        <f ca="1">INDEX(INDIRECT(CONCATENATE("Tab_",Tab_Calculs[[#This Row],[Colonne1]])),Tab_Calculs[[#This Row],[index_date_livraison]]-1,7)*(MAX(Tab_Calculs[[#This Row],[Début periode livraison]],Tab_Calculs[[#This Row],[Début mois]])-Tab_Calculs[[#This Row],[Début mois]])</f>
        <v>#VALUE!</v>
      </c>
      <c r="P701">
        <f ca="1">INDEX(INDIRECT(CONCATENATE("Tab_",Tab_Calculs[[#This Row],[Colonne1]])),Tab_Calculs[[#This Row],[index_date_livraison]],7)*(1+MIN(Tab_Calculs[[#This Row],[Date_livraison]],Tab_Calculs[[#This Row],[fin mois]])-MAX(Tab_Calculs[[#This Row],[Début mois]],Tab_Calculs[[#This Row],[Début periode livraison]]))</f>
        <v>0</v>
      </c>
      <c r="Q701" t="e">
        <f ca="1">INDEX(INDIRECT(CONCATENATE("Tab_",Tab_Calculs[[#This Row],[Colonne1]])),Tab_Calculs[[#This Row],[index_date_livraison]]+1,7)*(Tab_Calculs[[#This Row],[fin mois]]-MIN(Tab_Calculs[[#This Row],[fin mois]],Tab_Calculs[[#This Row],[Date_livraison]]))</f>
        <v>#VALUE!</v>
      </c>
      <c r="R701" t="e">
        <f ca="1">Tab_Calculs[[#This Row],[Ratio_Cout_après_livr]]+Tab_Calculs[[#This Row],[Ratio_Cout_avant_livr]]+Tab_Calculs[[#This Row],[Ratio_Cout_avant_debut]]</f>
        <v>#VALUE!</v>
      </c>
      <c r="S701" t="str">
        <f ca="1">IFERROR(N701*VLOOKUP(Tab_Calculs[[#This Row],[Colonne1]],Controle_des_données!$B$7:$G$14,6,FALSE),"")</f>
        <v/>
      </c>
      <c r="T701" t="str">
        <f ca="1">IF(Tab_Calculs[[#This Row],[Combustible ]]="Electricité (kWh)",Tab_Calculs[[#This Row],[Conso_mois_kWh]]*2.3,Tab_Calculs[[#This Row],[Conso_mois_kWh]])</f>
        <v/>
      </c>
      <c r="U701" t="str">
        <f ca="1">IFERROR(N701*VLOOKUP(Tab_Calculs[[#This Row],[Colonne1]],Controle_des_données!$B$7:$H$14,7,FALSE),"")</f>
        <v/>
      </c>
      <c r="V701">
        <f ca="1">IFERROR(Tab_Calculs[[#This Row],[Cout_mois]]/Tab_Calculs[[#This Row],[Conso_mois_kWh]],0)</f>
        <v>0</v>
      </c>
      <c r="W701" t="str">
        <f>T(VLOOKUP(Tab_Calculs[[#This Row],[Compteur]],Site!$B$33:$G$40,3,FALSE))</f>
        <v/>
      </c>
      <c r="X701" t="str">
        <f>T(VLOOKUP(Tab_Calculs[[#This Row],[Compteur]],Site!$B$33:$G$40,4,FALSE))</f>
        <v/>
      </c>
      <c r="Y701" t="str">
        <f>T(VLOOKUP(Tab_Calculs[[#This Row],[Compteur]],Site!$B$33:$G$40,5,FALSE))</f>
        <v/>
      </c>
      <c r="Z701" t="str">
        <f>T(VLOOKUP(Tab_Calculs[[#This Row],[Compteur]],Site!$B$33:$G$40,6,FALSE))</f>
        <v/>
      </c>
      <c r="AA701">
        <f>IFERROR(GETPIVOTDATA("DJU(chauffagiste)",BDD_DJU!$P$13,"annee",Tab_Calculs[[#This Row],[ANNEE]],"mois_numero",Tab_Calculs[[#This Row],[MOIS]]),0)</f>
        <v>64.7</v>
      </c>
    </row>
    <row r="702" spans="1:27" x14ac:dyDescent="0.25">
      <c r="A702" s="3">
        <f>DATE(Tab_Calculs[[#This Row],[ANNEE]],Tab_Calculs[[#This Row],[MOIS]],1)</f>
        <v>43739</v>
      </c>
      <c r="B702" s="3">
        <f>EDATE(Tab_Calculs[[#This Row],[Début mois]],1)-1</f>
        <v>43769</v>
      </c>
      <c r="C702">
        <f t="shared" si="22"/>
        <v>10</v>
      </c>
      <c r="D702">
        <f t="shared" si="21"/>
        <v>2019</v>
      </c>
      <c r="E702" t="s">
        <v>83</v>
      </c>
      <c r="F702" t="str">
        <f>SUBSTITUTE(Tab_Calculs[[#This Row],[Compteur]]," ","_")</f>
        <v>Compteur_4</v>
      </c>
      <c r="G702" t="str">
        <f>T(INDEX(Site!$B$33:$G$40, MATCH(Tab_Calculs[[#This Row],[Compteur]], Site!$B$33:$B$40,0),2))</f>
        <v/>
      </c>
      <c r="H702" s="3">
        <f t="array" aca="1" ref="H702" ca="1">MIN(IF(INDIRECT(CONCATENATE(Tab_Calculs[[#This Row],[Colonne1]],"!$B$2:$B$243"))&gt;=Calculs_Consos!$A702,INDIRECT(CONCATENATE(Tab_Calculs[[#This Row],[Colonne1]],"!$B$2:$B$243"))))</f>
        <v>0</v>
      </c>
      <c r="I702" s="3">
        <f ca="1">INDEX(INDIRECT(CONCATENATE("Tab_",Tab_Calculs[[#This Row],[Colonne1]])),Tab_Calculs[[#This Row],[index_date_livraison]],1)</f>
        <v>0</v>
      </c>
      <c r="J702">
        <f ca="1">MATCH(Tab_Calculs[[#This Row],[Date_livraison]],INDIRECT(CONCATENATE("Tab_",Tab_Calculs[[#This Row],[Colonne1]],"[Fin de période]")),0)</f>
        <v>1</v>
      </c>
      <c r="K702" t="e">
        <f ca="1">INDEX(INDIRECT(CONCATENATE("Tab_",Tab_Calculs[[#This Row],[Colonne1]])),Tab_Calculs[[#This Row],[index_date_livraison]]-1,6)*(MAX(Tab_Calculs[[#This Row],[Début periode livraison]],Tab_Calculs[[#This Row],[Début mois]])-Tab_Calculs[[#This Row],[Début mois]])</f>
        <v>#VALUE!</v>
      </c>
      <c r="L702" s="94">
        <f ca="1">INDEX(INDIRECT(CONCATENATE("Tab_",Tab_Calculs[[#This Row],[Colonne1]])),Tab_Calculs[[#This Row],[index_date_livraison]],6)*(1+MIN(Tab_Calculs[[#This Row],[Date_livraison]],Tab_Calculs[[#This Row],[fin mois]])-MAX(Tab_Calculs[[#This Row],[Début mois]],Tab_Calculs[[#This Row],[Début periode livraison]]))</f>
        <v>0</v>
      </c>
      <c r="M702" s="94" t="e">
        <f ca="1">INDEX(INDIRECT(CONCATENATE("Tab_",Tab_Calculs[[#This Row],[Colonne1]])),Tab_Calculs[[#This Row],[index_date_livraison]]+1,6)*(Tab_Calculs[[#This Row],[fin mois]]-MIN(Tab_Calculs[[#This Row],[fin mois]],Tab_Calculs[[#This Row],[Date_livraison]]))</f>
        <v>#VALUE!</v>
      </c>
      <c r="N702" s="231" t="str">
        <f ca="1">IFERROR(Tab_Calculs[[#This Row],[Ratio_jour_après_livr]]+Tab_Calculs[[#This Row],[Ratio_jour_avant_livr]]+Tab_Calculs[[#This Row],[ratio_avant_debut]],"")</f>
        <v/>
      </c>
      <c r="O702" t="e">
        <f ca="1">INDEX(INDIRECT(CONCATENATE("Tab_",Tab_Calculs[[#This Row],[Colonne1]])),Tab_Calculs[[#This Row],[index_date_livraison]]-1,7)*(MAX(Tab_Calculs[[#This Row],[Début periode livraison]],Tab_Calculs[[#This Row],[Début mois]])-Tab_Calculs[[#This Row],[Début mois]])</f>
        <v>#VALUE!</v>
      </c>
      <c r="P702">
        <f ca="1">INDEX(INDIRECT(CONCATENATE("Tab_",Tab_Calculs[[#This Row],[Colonne1]])),Tab_Calculs[[#This Row],[index_date_livraison]],7)*(1+MIN(Tab_Calculs[[#This Row],[Date_livraison]],Tab_Calculs[[#This Row],[fin mois]])-MAX(Tab_Calculs[[#This Row],[Début mois]],Tab_Calculs[[#This Row],[Début periode livraison]]))</f>
        <v>0</v>
      </c>
      <c r="Q702" t="e">
        <f ca="1">INDEX(INDIRECT(CONCATENATE("Tab_",Tab_Calculs[[#This Row],[Colonne1]])),Tab_Calculs[[#This Row],[index_date_livraison]]+1,7)*(Tab_Calculs[[#This Row],[fin mois]]-MIN(Tab_Calculs[[#This Row],[fin mois]],Tab_Calculs[[#This Row],[Date_livraison]]))</f>
        <v>#VALUE!</v>
      </c>
      <c r="R702" t="e">
        <f ca="1">Tab_Calculs[[#This Row],[Ratio_Cout_après_livr]]+Tab_Calculs[[#This Row],[Ratio_Cout_avant_livr]]+Tab_Calculs[[#This Row],[Ratio_Cout_avant_debut]]</f>
        <v>#VALUE!</v>
      </c>
      <c r="S702" t="str">
        <f ca="1">IFERROR(N702*VLOOKUP(Tab_Calculs[[#This Row],[Colonne1]],Controle_des_données!$B$7:$G$14,6,FALSE),"")</f>
        <v/>
      </c>
      <c r="T702" t="str">
        <f ca="1">IF(Tab_Calculs[[#This Row],[Combustible ]]="Electricité (kWh)",Tab_Calculs[[#This Row],[Conso_mois_kWh]]*2.3,Tab_Calculs[[#This Row],[Conso_mois_kWh]])</f>
        <v/>
      </c>
      <c r="U702" t="str">
        <f ca="1">IFERROR(N702*VLOOKUP(Tab_Calculs[[#This Row],[Colonne1]],Controle_des_données!$B$7:$H$14,7,FALSE),"")</f>
        <v/>
      </c>
      <c r="V702">
        <f ca="1">IFERROR(Tab_Calculs[[#This Row],[Cout_mois]]/Tab_Calculs[[#This Row],[Conso_mois_kWh]],0)</f>
        <v>0</v>
      </c>
      <c r="W702" t="str">
        <f>T(VLOOKUP(Tab_Calculs[[#This Row],[Compteur]],Site!$B$33:$G$40,3,FALSE))</f>
        <v/>
      </c>
      <c r="X702" t="str">
        <f>T(VLOOKUP(Tab_Calculs[[#This Row],[Compteur]],Site!$B$33:$G$40,4,FALSE))</f>
        <v/>
      </c>
      <c r="Y702" t="str">
        <f>T(VLOOKUP(Tab_Calculs[[#This Row],[Compteur]],Site!$B$33:$G$40,5,FALSE))</f>
        <v/>
      </c>
      <c r="Z702" t="str">
        <f>T(VLOOKUP(Tab_Calculs[[#This Row],[Compteur]],Site!$B$33:$G$40,6,FALSE))</f>
        <v/>
      </c>
      <c r="AA702">
        <f>IFERROR(GETPIVOTDATA("DJU(chauffagiste)",BDD_DJU!$P$13,"annee",Tab_Calculs[[#This Row],[ANNEE]],"mois_numero",Tab_Calculs[[#This Row],[MOIS]]),0)</f>
        <v>128.80000000000001</v>
      </c>
    </row>
    <row r="703" spans="1:27" x14ac:dyDescent="0.25">
      <c r="A703" s="3">
        <f>DATE(Tab_Calculs[[#This Row],[ANNEE]],Tab_Calculs[[#This Row],[MOIS]],1)</f>
        <v>43770</v>
      </c>
      <c r="B703" s="3">
        <f>EDATE(Tab_Calculs[[#This Row],[Début mois]],1)-1</f>
        <v>43799</v>
      </c>
      <c r="C703">
        <f t="shared" si="22"/>
        <v>11</v>
      </c>
      <c r="D703">
        <f t="shared" si="21"/>
        <v>2019</v>
      </c>
      <c r="E703" t="s">
        <v>83</v>
      </c>
      <c r="F703" t="str">
        <f>SUBSTITUTE(Tab_Calculs[[#This Row],[Compteur]]," ","_")</f>
        <v>Compteur_4</v>
      </c>
      <c r="G703" t="str">
        <f>T(INDEX(Site!$B$33:$G$40, MATCH(Tab_Calculs[[#This Row],[Compteur]], Site!$B$33:$B$40,0),2))</f>
        <v/>
      </c>
      <c r="H703" s="3">
        <f t="array" aca="1" ref="H703" ca="1">MIN(IF(INDIRECT(CONCATENATE(Tab_Calculs[[#This Row],[Colonne1]],"!$B$2:$B$243"))&gt;=Calculs_Consos!$A703,INDIRECT(CONCATENATE(Tab_Calculs[[#This Row],[Colonne1]],"!$B$2:$B$243"))))</f>
        <v>0</v>
      </c>
      <c r="I703" s="3">
        <f ca="1">INDEX(INDIRECT(CONCATENATE("Tab_",Tab_Calculs[[#This Row],[Colonne1]])),Tab_Calculs[[#This Row],[index_date_livraison]],1)</f>
        <v>0</v>
      </c>
      <c r="J703">
        <f ca="1">MATCH(Tab_Calculs[[#This Row],[Date_livraison]],INDIRECT(CONCATENATE("Tab_",Tab_Calculs[[#This Row],[Colonne1]],"[Fin de période]")),0)</f>
        <v>1</v>
      </c>
      <c r="K703" t="e">
        <f ca="1">INDEX(INDIRECT(CONCATENATE("Tab_",Tab_Calculs[[#This Row],[Colonne1]])),Tab_Calculs[[#This Row],[index_date_livraison]]-1,6)*(MAX(Tab_Calculs[[#This Row],[Début periode livraison]],Tab_Calculs[[#This Row],[Début mois]])-Tab_Calculs[[#This Row],[Début mois]])</f>
        <v>#VALUE!</v>
      </c>
      <c r="L703" s="94">
        <f ca="1">INDEX(INDIRECT(CONCATENATE("Tab_",Tab_Calculs[[#This Row],[Colonne1]])),Tab_Calculs[[#This Row],[index_date_livraison]],6)*(1+MIN(Tab_Calculs[[#This Row],[Date_livraison]],Tab_Calculs[[#This Row],[fin mois]])-MAX(Tab_Calculs[[#This Row],[Début mois]],Tab_Calculs[[#This Row],[Début periode livraison]]))</f>
        <v>0</v>
      </c>
      <c r="M703" s="94" t="e">
        <f ca="1">INDEX(INDIRECT(CONCATENATE("Tab_",Tab_Calculs[[#This Row],[Colonne1]])),Tab_Calculs[[#This Row],[index_date_livraison]]+1,6)*(Tab_Calculs[[#This Row],[fin mois]]-MIN(Tab_Calculs[[#This Row],[fin mois]],Tab_Calculs[[#This Row],[Date_livraison]]))</f>
        <v>#VALUE!</v>
      </c>
      <c r="N703" s="231" t="str">
        <f ca="1">IFERROR(Tab_Calculs[[#This Row],[Ratio_jour_après_livr]]+Tab_Calculs[[#This Row],[Ratio_jour_avant_livr]]+Tab_Calculs[[#This Row],[ratio_avant_debut]],"")</f>
        <v/>
      </c>
      <c r="O703" t="e">
        <f ca="1">INDEX(INDIRECT(CONCATENATE("Tab_",Tab_Calculs[[#This Row],[Colonne1]])),Tab_Calculs[[#This Row],[index_date_livraison]]-1,7)*(MAX(Tab_Calculs[[#This Row],[Début periode livraison]],Tab_Calculs[[#This Row],[Début mois]])-Tab_Calculs[[#This Row],[Début mois]])</f>
        <v>#VALUE!</v>
      </c>
      <c r="P703">
        <f ca="1">INDEX(INDIRECT(CONCATENATE("Tab_",Tab_Calculs[[#This Row],[Colonne1]])),Tab_Calculs[[#This Row],[index_date_livraison]],7)*(1+MIN(Tab_Calculs[[#This Row],[Date_livraison]],Tab_Calculs[[#This Row],[fin mois]])-MAX(Tab_Calculs[[#This Row],[Début mois]],Tab_Calculs[[#This Row],[Début periode livraison]]))</f>
        <v>0</v>
      </c>
      <c r="Q703" t="e">
        <f ca="1">INDEX(INDIRECT(CONCATENATE("Tab_",Tab_Calculs[[#This Row],[Colonne1]])),Tab_Calculs[[#This Row],[index_date_livraison]]+1,7)*(Tab_Calculs[[#This Row],[fin mois]]-MIN(Tab_Calculs[[#This Row],[fin mois]],Tab_Calculs[[#This Row],[Date_livraison]]))</f>
        <v>#VALUE!</v>
      </c>
      <c r="R703" t="e">
        <f ca="1">Tab_Calculs[[#This Row],[Ratio_Cout_après_livr]]+Tab_Calculs[[#This Row],[Ratio_Cout_avant_livr]]+Tab_Calculs[[#This Row],[Ratio_Cout_avant_debut]]</f>
        <v>#VALUE!</v>
      </c>
      <c r="S703" t="str">
        <f ca="1">IFERROR(N703*VLOOKUP(Tab_Calculs[[#This Row],[Colonne1]],Controle_des_données!$B$7:$G$14,6,FALSE),"")</f>
        <v/>
      </c>
      <c r="T703" t="str">
        <f ca="1">IF(Tab_Calculs[[#This Row],[Combustible ]]="Electricité (kWh)",Tab_Calculs[[#This Row],[Conso_mois_kWh]]*2.3,Tab_Calculs[[#This Row],[Conso_mois_kWh]])</f>
        <v/>
      </c>
      <c r="U703" t="str">
        <f ca="1">IFERROR(N703*VLOOKUP(Tab_Calculs[[#This Row],[Colonne1]],Controle_des_données!$B$7:$H$14,7,FALSE),"")</f>
        <v/>
      </c>
      <c r="V703">
        <f ca="1">IFERROR(Tab_Calculs[[#This Row],[Cout_mois]]/Tab_Calculs[[#This Row],[Conso_mois_kWh]],0)</f>
        <v>0</v>
      </c>
      <c r="W703" t="str">
        <f>T(VLOOKUP(Tab_Calculs[[#This Row],[Compteur]],Site!$B$33:$G$40,3,FALSE))</f>
        <v/>
      </c>
      <c r="X703" t="str">
        <f>T(VLOOKUP(Tab_Calculs[[#This Row],[Compteur]],Site!$B$33:$G$40,4,FALSE))</f>
        <v/>
      </c>
      <c r="Y703" t="str">
        <f>T(VLOOKUP(Tab_Calculs[[#This Row],[Compteur]],Site!$B$33:$G$40,5,FALSE))</f>
        <v/>
      </c>
      <c r="Z703" t="str">
        <f>T(VLOOKUP(Tab_Calculs[[#This Row],[Compteur]],Site!$B$33:$G$40,6,FALSE))</f>
        <v/>
      </c>
      <c r="AA703">
        <f>IFERROR(GETPIVOTDATA("DJU(chauffagiste)",BDD_DJU!$P$13,"annee",Tab_Calculs[[#This Row],[ANNEE]],"mois_numero",Tab_Calculs[[#This Row],[MOIS]]),0)</f>
        <v>293.10000000000002</v>
      </c>
    </row>
    <row r="704" spans="1:27" x14ac:dyDescent="0.25">
      <c r="A704" s="3">
        <f>DATE(Tab_Calculs[[#This Row],[ANNEE]],Tab_Calculs[[#This Row],[MOIS]],1)</f>
        <v>43800</v>
      </c>
      <c r="B704" s="3">
        <f>EDATE(Tab_Calculs[[#This Row],[Début mois]],1)-1</f>
        <v>43830</v>
      </c>
      <c r="C704">
        <f t="shared" si="22"/>
        <v>12</v>
      </c>
      <c r="D704">
        <f t="shared" si="21"/>
        <v>2019</v>
      </c>
      <c r="E704" t="s">
        <v>83</v>
      </c>
      <c r="F704" t="str">
        <f>SUBSTITUTE(Tab_Calculs[[#This Row],[Compteur]]," ","_")</f>
        <v>Compteur_4</v>
      </c>
      <c r="G704" t="str">
        <f>T(INDEX(Site!$B$33:$G$40, MATCH(Tab_Calculs[[#This Row],[Compteur]], Site!$B$33:$B$40,0),2))</f>
        <v/>
      </c>
      <c r="H704" s="3">
        <f t="array" aca="1" ref="H704" ca="1">MIN(IF(INDIRECT(CONCATENATE(Tab_Calculs[[#This Row],[Colonne1]],"!$B$2:$B$243"))&gt;=Calculs_Consos!$A704,INDIRECT(CONCATENATE(Tab_Calculs[[#This Row],[Colonne1]],"!$B$2:$B$243"))))</f>
        <v>0</v>
      </c>
      <c r="I704" s="3">
        <f ca="1">INDEX(INDIRECT(CONCATENATE("Tab_",Tab_Calculs[[#This Row],[Colonne1]])),Tab_Calculs[[#This Row],[index_date_livraison]],1)</f>
        <v>0</v>
      </c>
      <c r="J704">
        <f ca="1">MATCH(Tab_Calculs[[#This Row],[Date_livraison]],INDIRECT(CONCATENATE("Tab_",Tab_Calculs[[#This Row],[Colonne1]],"[Fin de période]")),0)</f>
        <v>1</v>
      </c>
      <c r="K704" t="e">
        <f ca="1">INDEX(INDIRECT(CONCATENATE("Tab_",Tab_Calculs[[#This Row],[Colonne1]])),Tab_Calculs[[#This Row],[index_date_livraison]]-1,6)*(MAX(Tab_Calculs[[#This Row],[Début periode livraison]],Tab_Calculs[[#This Row],[Début mois]])-Tab_Calculs[[#This Row],[Début mois]])</f>
        <v>#VALUE!</v>
      </c>
      <c r="L704" s="94">
        <f ca="1">INDEX(INDIRECT(CONCATENATE("Tab_",Tab_Calculs[[#This Row],[Colonne1]])),Tab_Calculs[[#This Row],[index_date_livraison]],6)*(1+MIN(Tab_Calculs[[#This Row],[Date_livraison]],Tab_Calculs[[#This Row],[fin mois]])-MAX(Tab_Calculs[[#This Row],[Début mois]],Tab_Calculs[[#This Row],[Début periode livraison]]))</f>
        <v>0</v>
      </c>
      <c r="M704" s="94" t="e">
        <f ca="1">INDEX(INDIRECT(CONCATENATE("Tab_",Tab_Calculs[[#This Row],[Colonne1]])),Tab_Calculs[[#This Row],[index_date_livraison]]+1,6)*(Tab_Calculs[[#This Row],[fin mois]]-MIN(Tab_Calculs[[#This Row],[fin mois]],Tab_Calculs[[#This Row],[Date_livraison]]))</f>
        <v>#VALUE!</v>
      </c>
      <c r="N704" s="231" t="str">
        <f ca="1">IFERROR(Tab_Calculs[[#This Row],[Ratio_jour_après_livr]]+Tab_Calculs[[#This Row],[Ratio_jour_avant_livr]]+Tab_Calculs[[#This Row],[ratio_avant_debut]],"")</f>
        <v/>
      </c>
      <c r="O704" t="e">
        <f ca="1">INDEX(INDIRECT(CONCATENATE("Tab_",Tab_Calculs[[#This Row],[Colonne1]])),Tab_Calculs[[#This Row],[index_date_livraison]]-1,7)*(MAX(Tab_Calculs[[#This Row],[Début periode livraison]],Tab_Calculs[[#This Row],[Début mois]])-Tab_Calculs[[#This Row],[Début mois]])</f>
        <v>#VALUE!</v>
      </c>
      <c r="P704">
        <f ca="1">INDEX(INDIRECT(CONCATENATE("Tab_",Tab_Calculs[[#This Row],[Colonne1]])),Tab_Calculs[[#This Row],[index_date_livraison]],7)*(1+MIN(Tab_Calculs[[#This Row],[Date_livraison]],Tab_Calculs[[#This Row],[fin mois]])-MAX(Tab_Calculs[[#This Row],[Début mois]],Tab_Calculs[[#This Row],[Début periode livraison]]))</f>
        <v>0</v>
      </c>
      <c r="Q704" t="e">
        <f ca="1">INDEX(INDIRECT(CONCATENATE("Tab_",Tab_Calculs[[#This Row],[Colonne1]])),Tab_Calculs[[#This Row],[index_date_livraison]]+1,7)*(Tab_Calculs[[#This Row],[fin mois]]-MIN(Tab_Calculs[[#This Row],[fin mois]],Tab_Calculs[[#This Row],[Date_livraison]]))</f>
        <v>#VALUE!</v>
      </c>
      <c r="R704" t="e">
        <f ca="1">Tab_Calculs[[#This Row],[Ratio_Cout_après_livr]]+Tab_Calculs[[#This Row],[Ratio_Cout_avant_livr]]+Tab_Calculs[[#This Row],[Ratio_Cout_avant_debut]]</f>
        <v>#VALUE!</v>
      </c>
      <c r="S704" t="str">
        <f ca="1">IFERROR(N704*VLOOKUP(Tab_Calculs[[#This Row],[Colonne1]],Controle_des_données!$B$7:$G$14,6,FALSE),"")</f>
        <v/>
      </c>
      <c r="T704" t="str">
        <f ca="1">IF(Tab_Calculs[[#This Row],[Combustible ]]="Electricité (kWh)",Tab_Calculs[[#This Row],[Conso_mois_kWh]]*2.3,Tab_Calculs[[#This Row],[Conso_mois_kWh]])</f>
        <v/>
      </c>
      <c r="U704" t="str">
        <f ca="1">IFERROR(N704*VLOOKUP(Tab_Calculs[[#This Row],[Colonne1]],Controle_des_données!$B$7:$H$14,7,FALSE),"")</f>
        <v/>
      </c>
      <c r="V704">
        <f ca="1">IFERROR(Tab_Calculs[[#This Row],[Cout_mois]]/Tab_Calculs[[#This Row],[Conso_mois_kWh]],0)</f>
        <v>0</v>
      </c>
      <c r="W704" t="str">
        <f>T(VLOOKUP(Tab_Calculs[[#This Row],[Compteur]],Site!$B$33:$G$40,3,FALSE))</f>
        <v/>
      </c>
      <c r="X704" t="str">
        <f>T(VLOOKUP(Tab_Calculs[[#This Row],[Compteur]],Site!$B$33:$G$40,4,FALSE))</f>
        <v/>
      </c>
      <c r="Y704" t="str">
        <f>T(VLOOKUP(Tab_Calculs[[#This Row],[Compteur]],Site!$B$33:$G$40,5,FALSE))</f>
        <v/>
      </c>
      <c r="Z704" t="str">
        <f>T(VLOOKUP(Tab_Calculs[[#This Row],[Compteur]],Site!$B$33:$G$40,6,FALSE))</f>
        <v/>
      </c>
      <c r="AA704">
        <f>IFERROR(GETPIVOTDATA("DJU(chauffagiste)",BDD_DJU!$P$13,"annee",Tab_Calculs[[#This Row],[ANNEE]],"mois_numero",Tab_Calculs[[#This Row],[MOIS]]),0)</f>
        <v>323</v>
      </c>
    </row>
    <row r="705" spans="1:27" x14ac:dyDescent="0.25">
      <c r="A705" s="3">
        <f>DATE(Tab_Calculs[[#This Row],[ANNEE]],Tab_Calculs[[#This Row],[MOIS]],1)</f>
        <v>43831</v>
      </c>
      <c r="B705" s="3">
        <f>EDATE(Tab_Calculs[[#This Row],[Début mois]],1)-1</f>
        <v>43861</v>
      </c>
      <c r="C705">
        <f t="shared" si="22"/>
        <v>1</v>
      </c>
      <c r="D705">
        <f t="shared" si="21"/>
        <v>2020</v>
      </c>
      <c r="E705" t="s">
        <v>83</v>
      </c>
      <c r="F705" t="str">
        <f>SUBSTITUTE(Tab_Calculs[[#This Row],[Compteur]]," ","_")</f>
        <v>Compteur_4</v>
      </c>
      <c r="G705" t="str">
        <f>T(INDEX(Site!$B$33:$G$40, MATCH(Tab_Calculs[[#This Row],[Compteur]], Site!$B$33:$B$40,0),2))</f>
        <v/>
      </c>
      <c r="H705" s="3">
        <f t="array" aca="1" ref="H705" ca="1">MIN(IF(INDIRECT(CONCATENATE(Tab_Calculs[[#This Row],[Colonne1]],"!$B$2:$B$243"))&gt;=Calculs_Consos!$A705,INDIRECT(CONCATENATE(Tab_Calculs[[#This Row],[Colonne1]],"!$B$2:$B$243"))))</f>
        <v>0</v>
      </c>
      <c r="I705" s="3">
        <f ca="1">INDEX(INDIRECT(CONCATENATE("Tab_",Tab_Calculs[[#This Row],[Colonne1]])),Tab_Calculs[[#This Row],[index_date_livraison]],1)</f>
        <v>0</v>
      </c>
      <c r="J705">
        <f ca="1">MATCH(Tab_Calculs[[#This Row],[Date_livraison]],INDIRECT(CONCATENATE("Tab_",Tab_Calculs[[#This Row],[Colonne1]],"[Fin de période]")),0)</f>
        <v>1</v>
      </c>
      <c r="K705" t="e">
        <f ca="1">INDEX(INDIRECT(CONCATENATE("Tab_",Tab_Calculs[[#This Row],[Colonne1]])),Tab_Calculs[[#This Row],[index_date_livraison]]-1,6)*(MAX(Tab_Calculs[[#This Row],[Début periode livraison]],Tab_Calculs[[#This Row],[Début mois]])-Tab_Calculs[[#This Row],[Début mois]])</f>
        <v>#VALUE!</v>
      </c>
      <c r="L705" s="94">
        <f ca="1">INDEX(INDIRECT(CONCATENATE("Tab_",Tab_Calculs[[#This Row],[Colonne1]])),Tab_Calculs[[#This Row],[index_date_livraison]],6)*(1+MIN(Tab_Calculs[[#This Row],[Date_livraison]],Tab_Calculs[[#This Row],[fin mois]])-MAX(Tab_Calculs[[#This Row],[Début mois]],Tab_Calculs[[#This Row],[Début periode livraison]]))</f>
        <v>0</v>
      </c>
      <c r="M705" s="94" t="e">
        <f ca="1">INDEX(INDIRECT(CONCATENATE("Tab_",Tab_Calculs[[#This Row],[Colonne1]])),Tab_Calculs[[#This Row],[index_date_livraison]]+1,6)*(Tab_Calculs[[#This Row],[fin mois]]-MIN(Tab_Calculs[[#This Row],[fin mois]],Tab_Calculs[[#This Row],[Date_livraison]]))</f>
        <v>#VALUE!</v>
      </c>
      <c r="N705" s="231" t="str">
        <f ca="1">IFERROR(Tab_Calculs[[#This Row],[Ratio_jour_après_livr]]+Tab_Calculs[[#This Row],[Ratio_jour_avant_livr]]+Tab_Calculs[[#This Row],[ratio_avant_debut]],"")</f>
        <v/>
      </c>
      <c r="O705" t="e">
        <f ca="1">INDEX(INDIRECT(CONCATENATE("Tab_",Tab_Calculs[[#This Row],[Colonne1]])),Tab_Calculs[[#This Row],[index_date_livraison]]-1,7)*(MAX(Tab_Calculs[[#This Row],[Début periode livraison]],Tab_Calculs[[#This Row],[Début mois]])-Tab_Calculs[[#This Row],[Début mois]])</f>
        <v>#VALUE!</v>
      </c>
      <c r="P705">
        <f ca="1">INDEX(INDIRECT(CONCATENATE("Tab_",Tab_Calculs[[#This Row],[Colonne1]])),Tab_Calculs[[#This Row],[index_date_livraison]],7)*(1+MIN(Tab_Calculs[[#This Row],[Date_livraison]],Tab_Calculs[[#This Row],[fin mois]])-MAX(Tab_Calculs[[#This Row],[Début mois]],Tab_Calculs[[#This Row],[Début periode livraison]]))</f>
        <v>0</v>
      </c>
      <c r="Q705" t="e">
        <f ca="1">INDEX(INDIRECT(CONCATENATE("Tab_",Tab_Calculs[[#This Row],[Colonne1]])),Tab_Calculs[[#This Row],[index_date_livraison]]+1,7)*(Tab_Calculs[[#This Row],[fin mois]]-MIN(Tab_Calculs[[#This Row],[fin mois]],Tab_Calculs[[#This Row],[Date_livraison]]))</f>
        <v>#VALUE!</v>
      </c>
      <c r="R705" t="e">
        <f ca="1">Tab_Calculs[[#This Row],[Ratio_Cout_après_livr]]+Tab_Calculs[[#This Row],[Ratio_Cout_avant_livr]]+Tab_Calculs[[#This Row],[Ratio_Cout_avant_debut]]</f>
        <v>#VALUE!</v>
      </c>
      <c r="S705" t="str">
        <f ca="1">IFERROR(N705*VLOOKUP(Tab_Calculs[[#This Row],[Colonne1]],Controle_des_données!$B$7:$G$14,6,FALSE),"")</f>
        <v/>
      </c>
      <c r="T705" t="str">
        <f ca="1">IF(Tab_Calculs[[#This Row],[Combustible ]]="Electricité (kWh)",Tab_Calculs[[#This Row],[Conso_mois_kWh]]*2.3,Tab_Calculs[[#This Row],[Conso_mois_kWh]])</f>
        <v/>
      </c>
      <c r="U705" t="str">
        <f ca="1">IFERROR(N705*VLOOKUP(Tab_Calculs[[#This Row],[Colonne1]],Controle_des_données!$B$7:$H$14,7,FALSE),"")</f>
        <v/>
      </c>
      <c r="V705">
        <f ca="1">IFERROR(Tab_Calculs[[#This Row],[Cout_mois]]/Tab_Calculs[[#This Row],[Conso_mois_kWh]],0)</f>
        <v>0</v>
      </c>
      <c r="W705" t="str">
        <f>T(VLOOKUP(Tab_Calculs[[#This Row],[Compteur]],Site!$B$33:$G$40,3,FALSE))</f>
        <v/>
      </c>
      <c r="X705" t="str">
        <f>T(VLOOKUP(Tab_Calculs[[#This Row],[Compteur]],Site!$B$33:$G$40,4,FALSE))</f>
        <v/>
      </c>
      <c r="Y705" t="str">
        <f>T(VLOOKUP(Tab_Calculs[[#This Row],[Compteur]],Site!$B$33:$G$40,5,FALSE))</f>
        <v/>
      </c>
      <c r="Z705" t="str">
        <f>T(VLOOKUP(Tab_Calculs[[#This Row],[Compteur]],Site!$B$33:$G$40,6,FALSE))</f>
        <v/>
      </c>
      <c r="AA705">
        <f>IFERROR(GETPIVOTDATA("DJU(chauffagiste)",BDD_DJU!$P$13,"annee",Tab_Calculs[[#This Row],[ANNEE]],"mois_numero",Tab_Calculs[[#This Row],[MOIS]]),0)</f>
        <v>331.5</v>
      </c>
    </row>
    <row r="706" spans="1:27" x14ac:dyDescent="0.25">
      <c r="A706" s="3">
        <f>DATE(Tab_Calculs[[#This Row],[ANNEE]],Tab_Calculs[[#This Row],[MOIS]],1)</f>
        <v>43862</v>
      </c>
      <c r="B706" s="3">
        <f>EDATE(Tab_Calculs[[#This Row],[Début mois]],1)-1</f>
        <v>43890</v>
      </c>
      <c r="C706">
        <f t="shared" si="22"/>
        <v>2</v>
      </c>
      <c r="D706">
        <f t="shared" si="21"/>
        <v>2020</v>
      </c>
      <c r="E706" t="s">
        <v>83</v>
      </c>
      <c r="F706" t="str">
        <f>SUBSTITUTE(Tab_Calculs[[#This Row],[Compteur]]," ","_")</f>
        <v>Compteur_4</v>
      </c>
      <c r="G706" t="str">
        <f>T(INDEX(Site!$B$33:$G$40, MATCH(Tab_Calculs[[#This Row],[Compteur]], Site!$B$33:$B$40,0),2))</f>
        <v/>
      </c>
      <c r="H706" s="3">
        <f t="array" aca="1" ref="H706" ca="1">MIN(IF(INDIRECT(CONCATENATE(Tab_Calculs[[#This Row],[Colonne1]],"!$B$2:$B$243"))&gt;=Calculs_Consos!$A706,INDIRECT(CONCATENATE(Tab_Calculs[[#This Row],[Colonne1]],"!$B$2:$B$243"))))</f>
        <v>0</v>
      </c>
      <c r="I706" s="3">
        <f ca="1">INDEX(INDIRECT(CONCATENATE("Tab_",Tab_Calculs[[#This Row],[Colonne1]])),Tab_Calculs[[#This Row],[index_date_livraison]],1)</f>
        <v>0</v>
      </c>
      <c r="J706">
        <f ca="1">MATCH(Tab_Calculs[[#This Row],[Date_livraison]],INDIRECT(CONCATENATE("Tab_",Tab_Calculs[[#This Row],[Colonne1]],"[Fin de période]")),0)</f>
        <v>1</v>
      </c>
      <c r="K706" t="e">
        <f ca="1">INDEX(INDIRECT(CONCATENATE("Tab_",Tab_Calculs[[#This Row],[Colonne1]])),Tab_Calculs[[#This Row],[index_date_livraison]]-1,6)*(MAX(Tab_Calculs[[#This Row],[Début periode livraison]],Tab_Calculs[[#This Row],[Début mois]])-Tab_Calculs[[#This Row],[Début mois]])</f>
        <v>#VALUE!</v>
      </c>
      <c r="L706" s="94">
        <f ca="1">INDEX(INDIRECT(CONCATENATE("Tab_",Tab_Calculs[[#This Row],[Colonne1]])),Tab_Calculs[[#This Row],[index_date_livraison]],6)*(1+MIN(Tab_Calculs[[#This Row],[Date_livraison]],Tab_Calculs[[#This Row],[fin mois]])-MAX(Tab_Calculs[[#This Row],[Début mois]],Tab_Calculs[[#This Row],[Début periode livraison]]))</f>
        <v>0</v>
      </c>
      <c r="M706" s="94" t="e">
        <f ca="1">INDEX(INDIRECT(CONCATENATE("Tab_",Tab_Calculs[[#This Row],[Colonne1]])),Tab_Calculs[[#This Row],[index_date_livraison]]+1,6)*(Tab_Calculs[[#This Row],[fin mois]]-MIN(Tab_Calculs[[#This Row],[fin mois]],Tab_Calculs[[#This Row],[Date_livraison]]))</f>
        <v>#VALUE!</v>
      </c>
      <c r="N706" s="231" t="str">
        <f ca="1">IFERROR(Tab_Calculs[[#This Row],[Ratio_jour_après_livr]]+Tab_Calculs[[#This Row],[Ratio_jour_avant_livr]]+Tab_Calculs[[#This Row],[ratio_avant_debut]],"")</f>
        <v/>
      </c>
      <c r="O706" t="e">
        <f ca="1">INDEX(INDIRECT(CONCATENATE("Tab_",Tab_Calculs[[#This Row],[Colonne1]])),Tab_Calculs[[#This Row],[index_date_livraison]]-1,7)*(MAX(Tab_Calculs[[#This Row],[Début periode livraison]],Tab_Calculs[[#This Row],[Début mois]])-Tab_Calculs[[#This Row],[Début mois]])</f>
        <v>#VALUE!</v>
      </c>
      <c r="P706">
        <f ca="1">INDEX(INDIRECT(CONCATENATE("Tab_",Tab_Calculs[[#This Row],[Colonne1]])),Tab_Calculs[[#This Row],[index_date_livraison]],7)*(1+MIN(Tab_Calculs[[#This Row],[Date_livraison]],Tab_Calculs[[#This Row],[fin mois]])-MAX(Tab_Calculs[[#This Row],[Début mois]],Tab_Calculs[[#This Row],[Début periode livraison]]))</f>
        <v>0</v>
      </c>
      <c r="Q706" t="e">
        <f ca="1">INDEX(INDIRECT(CONCATENATE("Tab_",Tab_Calculs[[#This Row],[Colonne1]])),Tab_Calculs[[#This Row],[index_date_livraison]]+1,7)*(Tab_Calculs[[#This Row],[fin mois]]-MIN(Tab_Calculs[[#This Row],[fin mois]],Tab_Calculs[[#This Row],[Date_livraison]]))</f>
        <v>#VALUE!</v>
      </c>
      <c r="R706" t="e">
        <f ca="1">Tab_Calculs[[#This Row],[Ratio_Cout_après_livr]]+Tab_Calculs[[#This Row],[Ratio_Cout_avant_livr]]+Tab_Calculs[[#This Row],[Ratio_Cout_avant_debut]]</f>
        <v>#VALUE!</v>
      </c>
      <c r="S706" t="str">
        <f ca="1">IFERROR(N706*VLOOKUP(Tab_Calculs[[#This Row],[Colonne1]],Controle_des_données!$B$7:$G$14,6,FALSE),"")</f>
        <v/>
      </c>
      <c r="T706" t="str">
        <f ca="1">IF(Tab_Calculs[[#This Row],[Combustible ]]="Electricité (kWh)",Tab_Calculs[[#This Row],[Conso_mois_kWh]]*2.3,Tab_Calculs[[#This Row],[Conso_mois_kWh]])</f>
        <v/>
      </c>
      <c r="U706" t="str">
        <f ca="1">IFERROR(N706*VLOOKUP(Tab_Calculs[[#This Row],[Colonne1]],Controle_des_données!$B$7:$H$14,7,FALSE),"")</f>
        <v/>
      </c>
      <c r="V706">
        <f ca="1">IFERROR(Tab_Calculs[[#This Row],[Cout_mois]]/Tab_Calculs[[#This Row],[Conso_mois_kWh]],0)</f>
        <v>0</v>
      </c>
      <c r="W706" t="str">
        <f>T(VLOOKUP(Tab_Calculs[[#This Row],[Compteur]],Site!$B$33:$G$40,3,FALSE))</f>
        <v/>
      </c>
      <c r="X706" t="str">
        <f>T(VLOOKUP(Tab_Calculs[[#This Row],[Compteur]],Site!$B$33:$G$40,4,FALSE))</f>
        <v/>
      </c>
      <c r="Y706" t="str">
        <f>T(VLOOKUP(Tab_Calculs[[#This Row],[Compteur]],Site!$B$33:$G$40,5,FALSE))</f>
        <v/>
      </c>
      <c r="Z706" t="str">
        <f>T(VLOOKUP(Tab_Calculs[[#This Row],[Compteur]],Site!$B$33:$G$40,6,FALSE))</f>
        <v/>
      </c>
      <c r="AA706">
        <f>IFERROR(GETPIVOTDATA("DJU(chauffagiste)",BDD_DJU!$P$13,"annee",Tab_Calculs[[#This Row],[ANNEE]],"mois_numero",Tab_Calculs[[#This Row],[MOIS]]),0)</f>
        <v>251.6</v>
      </c>
    </row>
    <row r="707" spans="1:27" x14ac:dyDescent="0.25">
      <c r="A707" s="3">
        <f>DATE(Tab_Calculs[[#This Row],[ANNEE]],Tab_Calculs[[#This Row],[MOIS]],1)</f>
        <v>43891</v>
      </c>
      <c r="B707" s="3">
        <f>EDATE(Tab_Calculs[[#This Row],[Début mois]],1)-1</f>
        <v>43921</v>
      </c>
      <c r="C707">
        <f t="shared" si="22"/>
        <v>3</v>
      </c>
      <c r="D707">
        <f>D695+1</f>
        <v>2020</v>
      </c>
      <c r="E707" t="s">
        <v>83</v>
      </c>
      <c r="F707" t="str">
        <f>SUBSTITUTE(Tab_Calculs[[#This Row],[Compteur]]," ","_")</f>
        <v>Compteur_4</v>
      </c>
      <c r="G707" t="str">
        <f>T(INDEX(Site!$B$33:$G$40, MATCH(Tab_Calculs[[#This Row],[Compteur]], Site!$B$33:$B$40,0),2))</f>
        <v/>
      </c>
      <c r="H707" s="3">
        <f t="array" aca="1" ref="H707" ca="1">MIN(IF(INDIRECT(CONCATENATE(Tab_Calculs[[#This Row],[Colonne1]],"!$B$2:$B$243"))&gt;=Calculs_Consos!$A707,INDIRECT(CONCATENATE(Tab_Calculs[[#This Row],[Colonne1]],"!$B$2:$B$243"))))</f>
        <v>0</v>
      </c>
      <c r="I707" s="3">
        <f ca="1">INDEX(INDIRECT(CONCATENATE("Tab_",Tab_Calculs[[#This Row],[Colonne1]])),Tab_Calculs[[#This Row],[index_date_livraison]],1)</f>
        <v>0</v>
      </c>
      <c r="J707">
        <f ca="1">MATCH(Tab_Calculs[[#This Row],[Date_livraison]],INDIRECT(CONCATENATE("Tab_",Tab_Calculs[[#This Row],[Colonne1]],"[Fin de période]")),0)</f>
        <v>1</v>
      </c>
      <c r="K707" t="e">
        <f ca="1">INDEX(INDIRECT(CONCATENATE("Tab_",Tab_Calculs[[#This Row],[Colonne1]])),Tab_Calculs[[#This Row],[index_date_livraison]]-1,6)*(MAX(Tab_Calculs[[#This Row],[Début periode livraison]],Tab_Calculs[[#This Row],[Début mois]])-Tab_Calculs[[#This Row],[Début mois]])</f>
        <v>#VALUE!</v>
      </c>
      <c r="L707" s="94">
        <f ca="1">INDEX(INDIRECT(CONCATENATE("Tab_",Tab_Calculs[[#This Row],[Colonne1]])),Tab_Calculs[[#This Row],[index_date_livraison]],6)*(1+MIN(Tab_Calculs[[#This Row],[Date_livraison]],Tab_Calculs[[#This Row],[fin mois]])-MAX(Tab_Calculs[[#This Row],[Début mois]],Tab_Calculs[[#This Row],[Début periode livraison]]))</f>
        <v>0</v>
      </c>
      <c r="M707" s="94" t="e">
        <f ca="1">INDEX(INDIRECT(CONCATENATE("Tab_",Tab_Calculs[[#This Row],[Colonne1]])),Tab_Calculs[[#This Row],[index_date_livraison]]+1,6)*(Tab_Calculs[[#This Row],[fin mois]]-MIN(Tab_Calculs[[#This Row],[fin mois]],Tab_Calculs[[#This Row],[Date_livraison]]))</f>
        <v>#VALUE!</v>
      </c>
      <c r="N707" s="231" t="str">
        <f ca="1">IFERROR(Tab_Calculs[[#This Row],[Ratio_jour_après_livr]]+Tab_Calculs[[#This Row],[Ratio_jour_avant_livr]]+Tab_Calculs[[#This Row],[ratio_avant_debut]],"")</f>
        <v/>
      </c>
      <c r="O707" t="e">
        <f ca="1">INDEX(INDIRECT(CONCATENATE("Tab_",Tab_Calculs[[#This Row],[Colonne1]])),Tab_Calculs[[#This Row],[index_date_livraison]]-1,7)*(MAX(Tab_Calculs[[#This Row],[Début periode livraison]],Tab_Calculs[[#This Row],[Début mois]])-Tab_Calculs[[#This Row],[Début mois]])</f>
        <v>#VALUE!</v>
      </c>
      <c r="P707">
        <f ca="1">INDEX(INDIRECT(CONCATENATE("Tab_",Tab_Calculs[[#This Row],[Colonne1]])),Tab_Calculs[[#This Row],[index_date_livraison]],7)*(1+MIN(Tab_Calculs[[#This Row],[Date_livraison]],Tab_Calculs[[#This Row],[fin mois]])-MAX(Tab_Calculs[[#This Row],[Début mois]],Tab_Calculs[[#This Row],[Début periode livraison]]))</f>
        <v>0</v>
      </c>
      <c r="Q707" t="e">
        <f ca="1">INDEX(INDIRECT(CONCATENATE("Tab_",Tab_Calculs[[#This Row],[Colonne1]])),Tab_Calculs[[#This Row],[index_date_livraison]]+1,7)*(Tab_Calculs[[#This Row],[fin mois]]-MIN(Tab_Calculs[[#This Row],[fin mois]],Tab_Calculs[[#This Row],[Date_livraison]]))</f>
        <v>#VALUE!</v>
      </c>
      <c r="R707" t="e">
        <f ca="1">Tab_Calculs[[#This Row],[Ratio_Cout_après_livr]]+Tab_Calculs[[#This Row],[Ratio_Cout_avant_livr]]+Tab_Calculs[[#This Row],[Ratio_Cout_avant_debut]]</f>
        <v>#VALUE!</v>
      </c>
      <c r="S707" t="str">
        <f ca="1">IFERROR(N707*VLOOKUP(Tab_Calculs[[#This Row],[Colonne1]],Controle_des_données!$B$7:$G$14,6,FALSE),"")</f>
        <v/>
      </c>
      <c r="T707" t="str">
        <f ca="1">IF(Tab_Calculs[[#This Row],[Combustible ]]="Electricité (kWh)",Tab_Calculs[[#This Row],[Conso_mois_kWh]]*2.3,Tab_Calculs[[#This Row],[Conso_mois_kWh]])</f>
        <v/>
      </c>
      <c r="U707" t="str">
        <f ca="1">IFERROR(N707*VLOOKUP(Tab_Calculs[[#This Row],[Colonne1]],Controle_des_données!$B$7:$H$14,7,FALSE),"")</f>
        <v/>
      </c>
      <c r="V707">
        <f ca="1">IFERROR(Tab_Calculs[[#This Row],[Cout_mois]]/Tab_Calculs[[#This Row],[Conso_mois_kWh]],0)</f>
        <v>0</v>
      </c>
      <c r="W707" t="str">
        <f>T(VLOOKUP(Tab_Calculs[[#This Row],[Compteur]],Site!$B$33:$G$40,3,FALSE))</f>
        <v/>
      </c>
      <c r="X707" t="str">
        <f>T(VLOOKUP(Tab_Calculs[[#This Row],[Compteur]],Site!$B$33:$G$40,4,FALSE))</f>
        <v/>
      </c>
      <c r="Y707" t="str">
        <f>T(VLOOKUP(Tab_Calculs[[#This Row],[Compteur]],Site!$B$33:$G$40,5,FALSE))</f>
        <v/>
      </c>
      <c r="Z707" t="str">
        <f>T(VLOOKUP(Tab_Calculs[[#This Row],[Compteur]],Site!$B$33:$G$40,6,FALSE))</f>
        <v/>
      </c>
      <c r="AA707">
        <f>IFERROR(GETPIVOTDATA("DJU(chauffagiste)",BDD_DJU!$P$13,"annee",Tab_Calculs[[#This Row],[ANNEE]],"mois_numero",Tab_Calculs[[#This Row],[MOIS]]),0)</f>
        <v>272.60000000000002</v>
      </c>
    </row>
    <row r="708" spans="1:27" x14ac:dyDescent="0.25">
      <c r="A708" s="3">
        <f>DATE(Tab_Calculs[[#This Row],[ANNEE]],Tab_Calculs[[#This Row],[MOIS]],1)</f>
        <v>43922</v>
      </c>
      <c r="B708" s="3">
        <f>EDATE(Tab_Calculs[[#This Row],[Début mois]],1)-1</f>
        <v>43951</v>
      </c>
      <c r="C708">
        <f t="shared" si="22"/>
        <v>4</v>
      </c>
      <c r="D708">
        <f t="shared" si="21"/>
        <v>2020</v>
      </c>
      <c r="E708" t="s">
        <v>83</v>
      </c>
      <c r="F708" t="str">
        <f>SUBSTITUTE(Tab_Calculs[[#This Row],[Compteur]]," ","_")</f>
        <v>Compteur_4</v>
      </c>
      <c r="G708" t="str">
        <f>T(INDEX(Site!$B$33:$G$40, MATCH(Tab_Calculs[[#This Row],[Compteur]], Site!$B$33:$B$40,0),2))</f>
        <v/>
      </c>
      <c r="H708" s="3">
        <f t="array" aca="1" ref="H708" ca="1">MIN(IF(INDIRECT(CONCATENATE(Tab_Calculs[[#This Row],[Colonne1]],"!$B$2:$B$243"))&gt;=Calculs_Consos!$A708,INDIRECT(CONCATENATE(Tab_Calculs[[#This Row],[Colonne1]],"!$B$2:$B$243"))))</f>
        <v>0</v>
      </c>
      <c r="I708" s="3">
        <f ca="1">INDEX(INDIRECT(CONCATENATE("Tab_",Tab_Calculs[[#This Row],[Colonne1]])),Tab_Calculs[[#This Row],[index_date_livraison]],1)</f>
        <v>0</v>
      </c>
      <c r="J708">
        <f ca="1">MATCH(Tab_Calculs[[#This Row],[Date_livraison]],INDIRECT(CONCATENATE("Tab_",Tab_Calculs[[#This Row],[Colonne1]],"[Fin de période]")),0)</f>
        <v>1</v>
      </c>
      <c r="K708" t="e">
        <f ca="1">INDEX(INDIRECT(CONCATENATE("Tab_",Tab_Calculs[[#This Row],[Colonne1]])),Tab_Calculs[[#This Row],[index_date_livraison]]-1,6)*(MAX(Tab_Calculs[[#This Row],[Début periode livraison]],Tab_Calculs[[#This Row],[Début mois]])-Tab_Calculs[[#This Row],[Début mois]])</f>
        <v>#VALUE!</v>
      </c>
      <c r="L708" s="94">
        <f ca="1">INDEX(INDIRECT(CONCATENATE("Tab_",Tab_Calculs[[#This Row],[Colonne1]])),Tab_Calculs[[#This Row],[index_date_livraison]],6)*(1+MIN(Tab_Calculs[[#This Row],[Date_livraison]],Tab_Calculs[[#This Row],[fin mois]])-MAX(Tab_Calculs[[#This Row],[Début mois]],Tab_Calculs[[#This Row],[Début periode livraison]]))</f>
        <v>0</v>
      </c>
      <c r="M708" s="94" t="e">
        <f ca="1">INDEX(INDIRECT(CONCATENATE("Tab_",Tab_Calculs[[#This Row],[Colonne1]])),Tab_Calculs[[#This Row],[index_date_livraison]]+1,6)*(Tab_Calculs[[#This Row],[fin mois]]-MIN(Tab_Calculs[[#This Row],[fin mois]],Tab_Calculs[[#This Row],[Date_livraison]]))</f>
        <v>#VALUE!</v>
      </c>
      <c r="N708" s="231" t="str">
        <f ca="1">IFERROR(Tab_Calculs[[#This Row],[Ratio_jour_après_livr]]+Tab_Calculs[[#This Row],[Ratio_jour_avant_livr]]+Tab_Calculs[[#This Row],[ratio_avant_debut]],"")</f>
        <v/>
      </c>
      <c r="O708" t="e">
        <f ca="1">INDEX(INDIRECT(CONCATENATE("Tab_",Tab_Calculs[[#This Row],[Colonne1]])),Tab_Calculs[[#This Row],[index_date_livraison]]-1,7)*(MAX(Tab_Calculs[[#This Row],[Début periode livraison]],Tab_Calculs[[#This Row],[Début mois]])-Tab_Calculs[[#This Row],[Début mois]])</f>
        <v>#VALUE!</v>
      </c>
      <c r="P708">
        <f ca="1">INDEX(INDIRECT(CONCATENATE("Tab_",Tab_Calculs[[#This Row],[Colonne1]])),Tab_Calculs[[#This Row],[index_date_livraison]],7)*(1+MIN(Tab_Calculs[[#This Row],[Date_livraison]],Tab_Calculs[[#This Row],[fin mois]])-MAX(Tab_Calculs[[#This Row],[Début mois]],Tab_Calculs[[#This Row],[Début periode livraison]]))</f>
        <v>0</v>
      </c>
      <c r="Q708" t="e">
        <f ca="1">INDEX(INDIRECT(CONCATENATE("Tab_",Tab_Calculs[[#This Row],[Colonne1]])),Tab_Calculs[[#This Row],[index_date_livraison]]+1,7)*(Tab_Calculs[[#This Row],[fin mois]]-MIN(Tab_Calculs[[#This Row],[fin mois]],Tab_Calculs[[#This Row],[Date_livraison]]))</f>
        <v>#VALUE!</v>
      </c>
      <c r="R708" t="e">
        <f ca="1">Tab_Calculs[[#This Row],[Ratio_Cout_après_livr]]+Tab_Calculs[[#This Row],[Ratio_Cout_avant_livr]]+Tab_Calculs[[#This Row],[Ratio_Cout_avant_debut]]</f>
        <v>#VALUE!</v>
      </c>
      <c r="S708" t="str">
        <f ca="1">IFERROR(N708*VLOOKUP(Tab_Calculs[[#This Row],[Colonne1]],Controle_des_données!$B$7:$G$14,6,FALSE),"")</f>
        <v/>
      </c>
      <c r="T708" t="str">
        <f ca="1">IF(Tab_Calculs[[#This Row],[Combustible ]]="Electricité (kWh)",Tab_Calculs[[#This Row],[Conso_mois_kWh]]*2.3,Tab_Calculs[[#This Row],[Conso_mois_kWh]])</f>
        <v/>
      </c>
      <c r="U708" t="str">
        <f ca="1">IFERROR(N708*VLOOKUP(Tab_Calculs[[#This Row],[Colonne1]],Controle_des_données!$B$7:$H$14,7,FALSE),"")</f>
        <v/>
      </c>
      <c r="V708">
        <f ca="1">IFERROR(Tab_Calculs[[#This Row],[Cout_mois]]/Tab_Calculs[[#This Row],[Conso_mois_kWh]],0)</f>
        <v>0</v>
      </c>
      <c r="W708" t="str">
        <f>T(VLOOKUP(Tab_Calculs[[#This Row],[Compteur]],Site!$B$33:$G$40,3,FALSE))</f>
        <v/>
      </c>
      <c r="X708" t="str">
        <f>T(VLOOKUP(Tab_Calculs[[#This Row],[Compteur]],Site!$B$33:$G$40,4,FALSE))</f>
        <v/>
      </c>
      <c r="Y708" t="str">
        <f>T(VLOOKUP(Tab_Calculs[[#This Row],[Compteur]],Site!$B$33:$G$40,5,FALSE))</f>
        <v/>
      </c>
      <c r="Z708" t="str">
        <f>T(VLOOKUP(Tab_Calculs[[#This Row],[Compteur]],Site!$B$33:$G$40,6,FALSE))</f>
        <v/>
      </c>
      <c r="AA708">
        <f>IFERROR(GETPIVOTDATA("DJU(chauffagiste)",BDD_DJU!$P$13,"annee",Tab_Calculs[[#This Row],[ANNEE]],"mois_numero",Tab_Calculs[[#This Row],[MOIS]]),0)</f>
        <v>126.3</v>
      </c>
    </row>
    <row r="709" spans="1:27" x14ac:dyDescent="0.25">
      <c r="A709" s="3">
        <f>DATE(Tab_Calculs[[#This Row],[ANNEE]],Tab_Calculs[[#This Row],[MOIS]],1)</f>
        <v>43952</v>
      </c>
      <c r="B709" s="3">
        <f>EDATE(Tab_Calculs[[#This Row],[Début mois]],1)-1</f>
        <v>43982</v>
      </c>
      <c r="C709">
        <f t="shared" si="22"/>
        <v>5</v>
      </c>
      <c r="D709">
        <f t="shared" si="21"/>
        <v>2020</v>
      </c>
      <c r="E709" t="s">
        <v>83</v>
      </c>
      <c r="F709" t="str">
        <f>SUBSTITUTE(Tab_Calculs[[#This Row],[Compteur]]," ","_")</f>
        <v>Compteur_4</v>
      </c>
      <c r="G709" t="str">
        <f>T(INDEX(Site!$B$33:$G$40, MATCH(Tab_Calculs[[#This Row],[Compteur]], Site!$B$33:$B$40,0),2))</f>
        <v/>
      </c>
      <c r="H709" s="3">
        <f t="array" aca="1" ref="H709" ca="1">MIN(IF(INDIRECT(CONCATENATE(Tab_Calculs[[#This Row],[Colonne1]],"!$B$2:$B$243"))&gt;=Calculs_Consos!$A709,INDIRECT(CONCATENATE(Tab_Calculs[[#This Row],[Colonne1]],"!$B$2:$B$243"))))</f>
        <v>0</v>
      </c>
      <c r="I709" s="3">
        <f ca="1">INDEX(INDIRECT(CONCATENATE("Tab_",Tab_Calculs[[#This Row],[Colonne1]])),Tab_Calculs[[#This Row],[index_date_livraison]],1)</f>
        <v>0</v>
      </c>
      <c r="J709">
        <f ca="1">MATCH(Tab_Calculs[[#This Row],[Date_livraison]],INDIRECT(CONCATENATE("Tab_",Tab_Calculs[[#This Row],[Colonne1]],"[Fin de période]")),0)</f>
        <v>1</v>
      </c>
      <c r="K709" t="e">
        <f ca="1">INDEX(INDIRECT(CONCATENATE("Tab_",Tab_Calculs[[#This Row],[Colonne1]])),Tab_Calculs[[#This Row],[index_date_livraison]]-1,6)*(MAX(Tab_Calculs[[#This Row],[Début periode livraison]],Tab_Calculs[[#This Row],[Début mois]])-Tab_Calculs[[#This Row],[Début mois]])</f>
        <v>#VALUE!</v>
      </c>
      <c r="L709" s="94">
        <f ca="1">INDEX(INDIRECT(CONCATENATE("Tab_",Tab_Calculs[[#This Row],[Colonne1]])),Tab_Calculs[[#This Row],[index_date_livraison]],6)*(1+MIN(Tab_Calculs[[#This Row],[Date_livraison]],Tab_Calculs[[#This Row],[fin mois]])-MAX(Tab_Calculs[[#This Row],[Début mois]],Tab_Calculs[[#This Row],[Début periode livraison]]))</f>
        <v>0</v>
      </c>
      <c r="M709" s="94" t="e">
        <f ca="1">INDEX(INDIRECT(CONCATENATE("Tab_",Tab_Calculs[[#This Row],[Colonne1]])),Tab_Calculs[[#This Row],[index_date_livraison]]+1,6)*(Tab_Calculs[[#This Row],[fin mois]]-MIN(Tab_Calculs[[#This Row],[fin mois]],Tab_Calculs[[#This Row],[Date_livraison]]))</f>
        <v>#VALUE!</v>
      </c>
      <c r="N709" s="231" t="str">
        <f ca="1">IFERROR(Tab_Calculs[[#This Row],[Ratio_jour_après_livr]]+Tab_Calculs[[#This Row],[Ratio_jour_avant_livr]]+Tab_Calculs[[#This Row],[ratio_avant_debut]],"")</f>
        <v/>
      </c>
      <c r="O709" t="e">
        <f ca="1">INDEX(INDIRECT(CONCATENATE("Tab_",Tab_Calculs[[#This Row],[Colonne1]])),Tab_Calculs[[#This Row],[index_date_livraison]]-1,7)*(MAX(Tab_Calculs[[#This Row],[Début periode livraison]],Tab_Calculs[[#This Row],[Début mois]])-Tab_Calculs[[#This Row],[Début mois]])</f>
        <v>#VALUE!</v>
      </c>
      <c r="P709">
        <f ca="1">INDEX(INDIRECT(CONCATENATE("Tab_",Tab_Calculs[[#This Row],[Colonne1]])),Tab_Calculs[[#This Row],[index_date_livraison]],7)*(1+MIN(Tab_Calculs[[#This Row],[Date_livraison]],Tab_Calculs[[#This Row],[fin mois]])-MAX(Tab_Calculs[[#This Row],[Début mois]],Tab_Calculs[[#This Row],[Début periode livraison]]))</f>
        <v>0</v>
      </c>
      <c r="Q709" t="e">
        <f ca="1">INDEX(INDIRECT(CONCATENATE("Tab_",Tab_Calculs[[#This Row],[Colonne1]])),Tab_Calculs[[#This Row],[index_date_livraison]]+1,7)*(Tab_Calculs[[#This Row],[fin mois]]-MIN(Tab_Calculs[[#This Row],[fin mois]],Tab_Calculs[[#This Row],[Date_livraison]]))</f>
        <v>#VALUE!</v>
      </c>
      <c r="R709" t="e">
        <f ca="1">Tab_Calculs[[#This Row],[Ratio_Cout_après_livr]]+Tab_Calculs[[#This Row],[Ratio_Cout_avant_livr]]+Tab_Calculs[[#This Row],[Ratio_Cout_avant_debut]]</f>
        <v>#VALUE!</v>
      </c>
      <c r="S709" t="str">
        <f ca="1">IFERROR(N709*VLOOKUP(Tab_Calculs[[#This Row],[Colonne1]],Controle_des_données!$B$7:$G$14,6,FALSE),"")</f>
        <v/>
      </c>
      <c r="T709" t="str">
        <f ca="1">IF(Tab_Calculs[[#This Row],[Combustible ]]="Electricité (kWh)",Tab_Calculs[[#This Row],[Conso_mois_kWh]]*2.3,Tab_Calculs[[#This Row],[Conso_mois_kWh]])</f>
        <v/>
      </c>
      <c r="U709" t="str">
        <f ca="1">IFERROR(N709*VLOOKUP(Tab_Calculs[[#This Row],[Colonne1]],Controle_des_données!$B$7:$H$14,7,FALSE),"")</f>
        <v/>
      </c>
      <c r="V709">
        <f ca="1">IFERROR(Tab_Calculs[[#This Row],[Cout_mois]]/Tab_Calculs[[#This Row],[Conso_mois_kWh]],0)</f>
        <v>0</v>
      </c>
      <c r="W709" t="str">
        <f>T(VLOOKUP(Tab_Calculs[[#This Row],[Compteur]],Site!$B$33:$G$40,3,FALSE))</f>
        <v/>
      </c>
      <c r="X709" t="str">
        <f>T(VLOOKUP(Tab_Calculs[[#This Row],[Compteur]],Site!$B$33:$G$40,4,FALSE))</f>
        <v/>
      </c>
      <c r="Y709" t="str">
        <f>T(VLOOKUP(Tab_Calculs[[#This Row],[Compteur]],Site!$B$33:$G$40,5,FALSE))</f>
        <v/>
      </c>
      <c r="Z709" t="str">
        <f>T(VLOOKUP(Tab_Calculs[[#This Row],[Compteur]],Site!$B$33:$G$40,6,FALSE))</f>
        <v/>
      </c>
      <c r="AA709">
        <f>IFERROR(GETPIVOTDATA("DJU(chauffagiste)",BDD_DJU!$P$13,"annee",Tab_Calculs[[#This Row],[ANNEE]],"mois_numero",Tab_Calculs[[#This Row],[MOIS]]),0)</f>
        <v>91.8</v>
      </c>
    </row>
    <row r="710" spans="1:27" x14ac:dyDescent="0.25">
      <c r="A710" s="3">
        <f>DATE(Tab_Calculs[[#This Row],[ANNEE]],Tab_Calculs[[#This Row],[MOIS]],1)</f>
        <v>43983</v>
      </c>
      <c r="B710" s="3">
        <f>EDATE(Tab_Calculs[[#This Row],[Début mois]],1)-1</f>
        <v>44012</v>
      </c>
      <c r="C710">
        <f t="shared" si="22"/>
        <v>6</v>
      </c>
      <c r="D710">
        <f t="shared" ref="D710:D727" si="23">D698+1</f>
        <v>2020</v>
      </c>
      <c r="E710" t="s">
        <v>83</v>
      </c>
      <c r="F710" t="str">
        <f>SUBSTITUTE(Tab_Calculs[[#This Row],[Compteur]]," ","_")</f>
        <v>Compteur_4</v>
      </c>
      <c r="G710" t="str">
        <f>T(INDEX(Site!$B$33:$G$40, MATCH(Tab_Calculs[[#This Row],[Compteur]], Site!$B$33:$B$40,0),2))</f>
        <v/>
      </c>
      <c r="H710" s="3">
        <f t="array" aca="1" ref="H710" ca="1">MIN(IF(INDIRECT(CONCATENATE(Tab_Calculs[[#This Row],[Colonne1]],"!$B$2:$B$243"))&gt;=Calculs_Consos!$A710,INDIRECT(CONCATENATE(Tab_Calculs[[#This Row],[Colonne1]],"!$B$2:$B$243"))))</f>
        <v>0</v>
      </c>
      <c r="I710" s="3">
        <f ca="1">INDEX(INDIRECT(CONCATENATE("Tab_",Tab_Calculs[[#This Row],[Colonne1]])),Tab_Calculs[[#This Row],[index_date_livraison]],1)</f>
        <v>0</v>
      </c>
      <c r="J710">
        <f ca="1">MATCH(Tab_Calculs[[#This Row],[Date_livraison]],INDIRECT(CONCATENATE("Tab_",Tab_Calculs[[#This Row],[Colonne1]],"[Fin de période]")),0)</f>
        <v>1</v>
      </c>
      <c r="K710" t="e">
        <f ca="1">INDEX(INDIRECT(CONCATENATE("Tab_",Tab_Calculs[[#This Row],[Colonne1]])),Tab_Calculs[[#This Row],[index_date_livraison]]-1,6)*(MAX(Tab_Calculs[[#This Row],[Début periode livraison]],Tab_Calculs[[#This Row],[Début mois]])-Tab_Calculs[[#This Row],[Début mois]])</f>
        <v>#VALUE!</v>
      </c>
      <c r="L710" s="94">
        <f ca="1">INDEX(INDIRECT(CONCATENATE("Tab_",Tab_Calculs[[#This Row],[Colonne1]])),Tab_Calculs[[#This Row],[index_date_livraison]],6)*(1+MIN(Tab_Calculs[[#This Row],[Date_livraison]],Tab_Calculs[[#This Row],[fin mois]])-MAX(Tab_Calculs[[#This Row],[Début mois]],Tab_Calculs[[#This Row],[Début periode livraison]]))</f>
        <v>0</v>
      </c>
      <c r="M710" s="94" t="e">
        <f ca="1">INDEX(INDIRECT(CONCATENATE("Tab_",Tab_Calculs[[#This Row],[Colonne1]])),Tab_Calculs[[#This Row],[index_date_livraison]]+1,6)*(Tab_Calculs[[#This Row],[fin mois]]-MIN(Tab_Calculs[[#This Row],[fin mois]],Tab_Calculs[[#This Row],[Date_livraison]]))</f>
        <v>#VALUE!</v>
      </c>
      <c r="N710" s="231" t="str">
        <f ca="1">IFERROR(Tab_Calculs[[#This Row],[Ratio_jour_après_livr]]+Tab_Calculs[[#This Row],[Ratio_jour_avant_livr]]+Tab_Calculs[[#This Row],[ratio_avant_debut]],"")</f>
        <v/>
      </c>
      <c r="O710" t="e">
        <f ca="1">INDEX(INDIRECT(CONCATENATE("Tab_",Tab_Calculs[[#This Row],[Colonne1]])),Tab_Calculs[[#This Row],[index_date_livraison]]-1,7)*(MAX(Tab_Calculs[[#This Row],[Début periode livraison]],Tab_Calculs[[#This Row],[Début mois]])-Tab_Calculs[[#This Row],[Début mois]])</f>
        <v>#VALUE!</v>
      </c>
      <c r="P710">
        <f ca="1">INDEX(INDIRECT(CONCATENATE("Tab_",Tab_Calculs[[#This Row],[Colonne1]])),Tab_Calculs[[#This Row],[index_date_livraison]],7)*(1+MIN(Tab_Calculs[[#This Row],[Date_livraison]],Tab_Calculs[[#This Row],[fin mois]])-MAX(Tab_Calculs[[#This Row],[Début mois]],Tab_Calculs[[#This Row],[Début periode livraison]]))</f>
        <v>0</v>
      </c>
      <c r="Q710" t="e">
        <f ca="1">INDEX(INDIRECT(CONCATENATE("Tab_",Tab_Calculs[[#This Row],[Colonne1]])),Tab_Calculs[[#This Row],[index_date_livraison]]+1,7)*(Tab_Calculs[[#This Row],[fin mois]]-MIN(Tab_Calculs[[#This Row],[fin mois]],Tab_Calculs[[#This Row],[Date_livraison]]))</f>
        <v>#VALUE!</v>
      </c>
      <c r="R710" t="e">
        <f ca="1">Tab_Calculs[[#This Row],[Ratio_Cout_après_livr]]+Tab_Calculs[[#This Row],[Ratio_Cout_avant_livr]]+Tab_Calculs[[#This Row],[Ratio_Cout_avant_debut]]</f>
        <v>#VALUE!</v>
      </c>
      <c r="S710" t="str">
        <f ca="1">IFERROR(N710*VLOOKUP(Tab_Calculs[[#This Row],[Colonne1]],Controle_des_données!$B$7:$G$14,6,FALSE),"")</f>
        <v/>
      </c>
      <c r="T710" t="str">
        <f ca="1">IF(Tab_Calculs[[#This Row],[Combustible ]]="Electricité (kWh)",Tab_Calculs[[#This Row],[Conso_mois_kWh]]*2.3,Tab_Calculs[[#This Row],[Conso_mois_kWh]])</f>
        <v/>
      </c>
      <c r="U710" t="str">
        <f ca="1">IFERROR(N710*VLOOKUP(Tab_Calculs[[#This Row],[Colonne1]],Controle_des_données!$B$7:$H$14,7,FALSE),"")</f>
        <v/>
      </c>
      <c r="V710">
        <f ca="1">IFERROR(Tab_Calculs[[#This Row],[Cout_mois]]/Tab_Calculs[[#This Row],[Conso_mois_kWh]],0)</f>
        <v>0</v>
      </c>
      <c r="W710" t="str">
        <f>T(VLOOKUP(Tab_Calculs[[#This Row],[Compteur]],Site!$B$33:$G$40,3,FALSE))</f>
        <v/>
      </c>
      <c r="X710" t="str">
        <f>T(VLOOKUP(Tab_Calculs[[#This Row],[Compteur]],Site!$B$33:$G$40,4,FALSE))</f>
        <v/>
      </c>
      <c r="Y710" t="str">
        <f>T(VLOOKUP(Tab_Calculs[[#This Row],[Compteur]],Site!$B$33:$G$40,5,FALSE))</f>
        <v/>
      </c>
      <c r="Z710" t="str">
        <f>T(VLOOKUP(Tab_Calculs[[#This Row],[Compteur]],Site!$B$33:$G$40,6,FALSE))</f>
        <v/>
      </c>
      <c r="AA710">
        <f>IFERROR(GETPIVOTDATA("DJU(chauffagiste)",BDD_DJU!$P$13,"annee",Tab_Calculs[[#This Row],[ANNEE]],"mois_numero",Tab_Calculs[[#This Row],[MOIS]]),0)</f>
        <v>55.6</v>
      </c>
    </row>
    <row r="711" spans="1:27" x14ac:dyDescent="0.25">
      <c r="A711" s="3">
        <f>DATE(Tab_Calculs[[#This Row],[ANNEE]],Tab_Calculs[[#This Row],[MOIS]],1)</f>
        <v>44013</v>
      </c>
      <c r="B711" s="3">
        <f>EDATE(Tab_Calculs[[#This Row],[Début mois]],1)-1</f>
        <v>44043</v>
      </c>
      <c r="C711">
        <f t="shared" si="22"/>
        <v>7</v>
      </c>
      <c r="D711">
        <f t="shared" si="23"/>
        <v>2020</v>
      </c>
      <c r="E711" t="s">
        <v>83</v>
      </c>
      <c r="F711" t="str">
        <f>SUBSTITUTE(Tab_Calculs[[#This Row],[Compteur]]," ","_")</f>
        <v>Compteur_4</v>
      </c>
      <c r="G711" t="str">
        <f>T(INDEX(Site!$B$33:$G$40, MATCH(Tab_Calculs[[#This Row],[Compteur]], Site!$B$33:$B$40,0),2))</f>
        <v/>
      </c>
      <c r="H711" s="3">
        <f t="array" aca="1" ref="H711" ca="1">MIN(IF(INDIRECT(CONCATENATE(Tab_Calculs[[#This Row],[Colonne1]],"!$B$2:$B$243"))&gt;=Calculs_Consos!$A711,INDIRECT(CONCATENATE(Tab_Calculs[[#This Row],[Colonne1]],"!$B$2:$B$243"))))</f>
        <v>0</v>
      </c>
      <c r="I711" s="3">
        <f ca="1">INDEX(INDIRECT(CONCATENATE("Tab_",Tab_Calculs[[#This Row],[Colonne1]])),Tab_Calculs[[#This Row],[index_date_livraison]],1)</f>
        <v>0</v>
      </c>
      <c r="J711">
        <f ca="1">MATCH(Tab_Calculs[[#This Row],[Date_livraison]],INDIRECT(CONCATENATE("Tab_",Tab_Calculs[[#This Row],[Colonne1]],"[Fin de période]")),0)</f>
        <v>1</v>
      </c>
      <c r="K711" t="e">
        <f ca="1">INDEX(INDIRECT(CONCATENATE("Tab_",Tab_Calculs[[#This Row],[Colonne1]])),Tab_Calculs[[#This Row],[index_date_livraison]]-1,6)*(MAX(Tab_Calculs[[#This Row],[Début periode livraison]],Tab_Calculs[[#This Row],[Début mois]])-Tab_Calculs[[#This Row],[Début mois]])</f>
        <v>#VALUE!</v>
      </c>
      <c r="L711" s="94">
        <f ca="1">INDEX(INDIRECT(CONCATENATE("Tab_",Tab_Calculs[[#This Row],[Colonne1]])),Tab_Calculs[[#This Row],[index_date_livraison]],6)*(1+MIN(Tab_Calculs[[#This Row],[Date_livraison]],Tab_Calculs[[#This Row],[fin mois]])-MAX(Tab_Calculs[[#This Row],[Début mois]],Tab_Calculs[[#This Row],[Début periode livraison]]))</f>
        <v>0</v>
      </c>
      <c r="M711" s="94" t="e">
        <f ca="1">INDEX(INDIRECT(CONCATENATE("Tab_",Tab_Calculs[[#This Row],[Colonne1]])),Tab_Calculs[[#This Row],[index_date_livraison]]+1,6)*(Tab_Calculs[[#This Row],[fin mois]]-MIN(Tab_Calculs[[#This Row],[fin mois]],Tab_Calculs[[#This Row],[Date_livraison]]))</f>
        <v>#VALUE!</v>
      </c>
      <c r="N711" s="231" t="str">
        <f ca="1">IFERROR(Tab_Calculs[[#This Row],[Ratio_jour_après_livr]]+Tab_Calculs[[#This Row],[Ratio_jour_avant_livr]]+Tab_Calculs[[#This Row],[ratio_avant_debut]],"")</f>
        <v/>
      </c>
      <c r="O711" t="e">
        <f ca="1">INDEX(INDIRECT(CONCATENATE("Tab_",Tab_Calculs[[#This Row],[Colonne1]])),Tab_Calculs[[#This Row],[index_date_livraison]]-1,7)*(MAX(Tab_Calculs[[#This Row],[Début periode livraison]],Tab_Calculs[[#This Row],[Début mois]])-Tab_Calculs[[#This Row],[Début mois]])</f>
        <v>#VALUE!</v>
      </c>
      <c r="P711">
        <f ca="1">INDEX(INDIRECT(CONCATENATE("Tab_",Tab_Calculs[[#This Row],[Colonne1]])),Tab_Calculs[[#This Row],[index_date_livraison]],7)*(1+MIN(Tab_Calculs[[#This Row],[Date_livraison]],Tab_Calculs[[#This Row],[fin mois]])-MAX(Tab_Calculs[[#This Row],[Début mois]],Tab_Calculs[[#This Row],[Début periode livraison]]))</f>
        <v>0</v>
      </c>
      <c r="Q711" t="e">
        <f ca="1">INDEX(INDIRECT(CONCATENATE("Tab_",Tab_Calculs[[#This Row],[Colonne1]])),Tab_Calculs[[#This Row],[index_date_livraison]]+1,7)*(Tab_Calculs[[#This Row],[fin mois]]-MIN(Tab_Calculs[[#This Row],[fin mois]],Tab_Calculs[[#This Row],[Date_livraison]]))</f>
        <v>#VALUE!</v>
      </c>
      <c r="R711" t="e">
        <f ca="1">Tab_Calculs[[#This Row],[Ratio_Cout_après_livr]]+Tab_Calculs[[#This Row],[Ratio_Cout_avant_livr]]+Tab_Calculs[[#This Row],[Ratio_Cout_avant_debut]]</f>
        <v>#VALUE!</v>
      </c>
      <c r="S711" t="str">
        <f ca="1">IFERROR(N711*VLOOKUP(Tab_Calculs[[#This Row],[Colonne1]],Controle_des_données!$B$7:$G$14,6,FALSE),"")</f>
        <v/>
      </c>
      <c r="T711" t="str">
        <f ca="1">IF(Tab_Calculs[[#This Row],[Combustible ]]="Electricité (kWh)",Tab_Calculs[[#This Row],[Conso_mois_kWh]]*2.3,Tab_Calculs[[#This Row],[Conso_mois_kWh]])</f>
        <v/>
      </c>
      <c r="U711" t="str">
        <f ca="1">IFERROR(N711*VLOOKUP(Tab_Calculs[[#This Row],[Colonne1]],Controle_des_données!$B$7:$H$14,7,FALSE),"")</f>
        <v/>
      </c>
      <c r="V711">
        <f ca="1">IFERROR(Tab_Calculs[[#This Row],[Cout_mois]]/Tab_Calculs[[#This Row],[Conso_mois_kWh]],0)</f>
        <v>0</v>
      </c>
      <c r="W711" t="str">
        <f>T(VLOOKUP(Tab_Calculs[[#This Row],[Compteur]],Site!$B$33:$G$40,3,FALSE))</f>
        <v/>
      </c>
      <c r="X711" t="str">
        <f>T(VLOOKUP(Tab_Calculs[[#This Row],[Compteur]],Site!$B$33:$G$40,4,FALSE))</f>
        <v/>
      </c>
      <c r="Y711" t="str">
        <f>T(VLOOKUP(Tab_Calculs[[#This Row],[Compteur]],Site!$B$33:$G$40,5,FALSE))</f>
        <v/>
      </c>
      <c r="Z711" t="str">
        <f>T(VLOOKUP(Tab_Calculs[[#This Row],[Compteur]],Site!$B$33:$G$40,6,FALSE))</f>
        <v/>
      </c>
      <c r="AA711">
        <f>IFERROR(GETPIVOTDATA("DJU(chauffagiste)",BDD_DJU!$P$13,"annee",Tab_Calculs[[#This Row],[ANNEE]],"mois_numero",Tab_Calculs[[#This Row],[MOIS]]),0)</f>
        <v>32.299999999999997</v>
      </c>
    </row>
    <row r="712" spans="1:27" x14ac:dyDescent="0.25">
      <c r="A712" s="3">
        <f>DATE(Tab_Calculs[[#This Row],[ANNEE]],Tab_Calculs[[#This Row],[MOIS]],1)</f>
        <v>44044</v>
      </c>
      <c r="B712" s="3">
        <f>EDATE(Tab_Calculs[[#This Row],[Début mois]],1)-1</f>
        <v>44074</v>
      </c>
      <c r="C712">
        <f t="shared" si="22"/>
        <v>8</v>
      </c>
      <c r="D712">
        <f t="shared" si="23"/>
        <v>2020</v>
      </c>
      <c r="E712" t="s">
        <v>83</v>
      </c>
      <c r="F712" t="str">
        <f>SUBSTITUTE(Tab_Calculs[[#This Row],[Compteur]]," ","_")</f>
        <v>Compteur_4</v>
      </c>
      <c r="G712" t="str">
        <f>T(INDEX(Site!$B$33:$G$40, MATCH(Tab_Calculs[[#This Row],[Compteur]], Site!$B$33:$B$40,0),2))</f>
        <v/>
      </c>
      <c r="H712" s="3">
        <f t="array" aca="1" ref="H712" ca="1">MIN(IF(INDIRECT(CONCATENATE(Tab_Calculs[[#This Row],[Colonne1]],"!$B$2:$B$243"))&gt;=Calculs_Consos!$A712,INDIRECT(CONCATENATE(Tab_Calculs[[#This Row],[Colonne1]],"!$B$2:$B$243"))))</f>
        <v>0</v>
      </c>
      <c r="I712" s="3">
        <f ca="1">INDEX(INDIRECT(CONCATENATE("Tab_",Tab_Calculs[[#This Row],[Colonne1]])),Tab_Calculs[[#This Row],[index_date_livraison]],1)</f>
        <v>0</v>
      </c>
      <c r="J712">
        <f ca="1">MATCH(Tab_Calculs[[#This Row],[Date_livraison]],INDIRECT(CONCATENATE("Tab_",Tab_Calculs[[#This Row],[Colonne1]],"[Fin de période]")),0)</f>
        <v>1</v>
      </c>
      <c r="K712" t="e">
        <f ca="1">INDEX(INDIRECT(CONCATENATE("Tab_",Tab_Calculs[[#This Row],[Colonne1]])),Tab_Calculs[[#This Row],[index_date_livraison]]-1,6)*(MAX(Tab_Calculs[[#This Row],[Début periode livraison]],Tab_Calculs[[#This Row],[Début mois]])-Tab_Calculs[[#This Row],[Début mois]])</f>
        <v>#VALUE!</v>
      </c>
      <c r="L712" s="94">
        <f ca="1">INDEX(INDIRECT(CONCATENATE("Tab_",Tab_Calculs[[#This Row],[Colonne1]])),Tab_Calculs[[#This Row],[index_date_livraison]],6)*(1+MIN(Tab_Calculs[[#This Row],[Date_livraison]],Tab_Calculs[[#This Row],[fin mois]])-MAX(Tab_Calculs[[#This Row],[Début mois]],Tab_Calculs[[#This Row],[Début periode livraison]]))</f>
        <v>0</v>
      </c>
      <c r="M712" s="94" t="e">
        <f ca="1">INDEX(INDIRECT(CONCATENATE("Tab_",Tab_Calculs[[#This Row],[Colonne1]])),Tab_Calculs[[#This Row],[index_date_livraison]]+1,6)*(Tab_Calculs[[#This Row],[fin mois]]-MIN(Tab_Calculs[[#This Row],[fin mois]],Tab_Calculs[[#This Row],[Date_livraison]]))</f>
        <v>#VALUE!</v>
      </c>
      <c r="N712" s="231" t="str">
        <f ca="1">IFERROR(Tab_Calculs[[#This Row],[Ratio_jour_après_livr]]+Tab_Calculs[[#This Row],[Ratio_jour_avant_livr]]+Tab_Calculs[[#This Row],[ratio_avant_debut]],"")</f>
        <v/>
      </c>
      <c r="O712" t="e">
        <f ca="1">INDEX(INDIRECT(CONCATENATE("Tab_",Tab_Calculs[[#This Row],[Colonne1]])),Tab_Calculs[[#This Row],[index_date_livraison]]-1,7)*(MAX(Tab_Calculs[[#This Row],[Début periode livraison]],Tab_Calculs[[#This Row],[Début mois]])-Tab_Calculs[[#This Row],[Début mois]])</f>
        <v>#VALUE!</v>
      </c>
      <c r="P712">
        <f ca="1">INDEX(INDIRECT(CONCATENATE("Tab_",Tab_Calculs[[#This Row],[Colonne1]])),Tab_Calculs[[#This Row],[index_date_livraison]],7)*(1+MIN(Tab_Calculs[[#This Row],[Date_livraison]],Tab_Calculs[[#This Row],[fin mois]])-MAX(Tab_Calculs[[#This Row],[Début mois]],Tab_Calculs[[#This Row],[Début periode livraison]]))</f>
        <v>0</v>
      </c>
      <c r="Q712" t="e">
        <f ca="1">INDEX(INDIRECT(CONCATENATE("Tab_",Tab_Calculs[[#This Row],[Colonne1]])),Tab_Calculs[[#This Row],[index_date_livraison]]+1,7)*(Tab_Calculs[[#This Row],[fin mois]]-MIN(Tab_Calculs[[#This Row],[fin mois]],Tab_Calculs[[#This Row],[Date_livraison]]))</f>
        <v>#VALUE!</v>
      </c>
      <c r="R712" t="e">
        <f ca="1">Tab_Calculs[[#This Row],[Ratio_Cout_après_livr]]+Tab_Calculs[[#This Row],[Ratio_Cout_avant_livr]]+Tab_Calculs[[#This Row],[Ratio_Cout_avant_debut]]</f>
        <v>#VALUE!</v>
      </c>
      <c r="S712" t="str">
        <f ca="1">IFERROR(N712*VLOOKUP(Tab_Calculs[[#This Row],[Colonne1]],Controle_des_données!$B$7:$G$14,6,FALSE),"")</f>
        <v/>
      </c>
      <c r="T712" t="str">
        <f ca="1">IF(Tab_Calculs[[#This Row],[Combustible ]]="Electricité (kWh)",Tab_Calculs[[#This Row],[Conso_mois_kWh]]*2.3,Tab_Calculs[[#This Row],[Conso_mois_kWh]])</f>
        <v/>
      </c>
      <c r="U712" t="str">
        <f ca="1">IFERROR(N712*VLOOKUP(Tab_Calculs[[#This Row],[Colonne1]],Controle_des_données!$B$7:$H$14,7,FALSE),"")</f>
        <v/>
      </c>
      <c r="V712">
        <f ca="1">IFERROR(Tab_Calculs[[#This Row],[Cout_mois]]/Tab_Calculs[[#This Row],[Conso_mois_kWh]],0)</f>
        <v>0</v>
      </c>
      <c r="W712" t="str">
        <f>T(VLOOKUP(Tab_Calculs[[#This Row],[Compteur]],Site!$B$33:$G$40,3,FALSE))</f>
        <v/>
      </c>
      <c r="X712" t="str">
        <f>T(VLOOKUP(Tab_Calculs[[#This Row],[Compteur]],Site!$B$33:$G$40,4,FALSE))</f>
        <v/>
      </c>
      <c r="Y712" t="str">
        <f>T(VLOOKUP(Tab_Calculs[[#This Row],[Compteur]],Site!$B$33:$G$40,5,FALSE))</f>
        <v/>
      </c>
      <c r="Z712" t="str">
        <f>T(VLOOKUP(Tab_Calculs[[#This Row],[Compteur]],Site!$B$33:$G$40,6,FALSE))</f>
        <v/>
      </c>
      <c r="AA712">
        <f>IFERROR(GETPIVOTDATA("DJU(chauffagiste)",BDD_DJU!$P$13,"annee",Tab_Calculs[[#This Row],[ANNEE]],"mois_numero",Tab_Calculs[[#This Row],[MOIS]]),0)</f>
        <v>27.8</v>
      </c>
    </row>
    <row r="713" spans="1:27" x14ac:dyDescent="0.25">
      <c r="A713" s="3">
        <f>DATE(Tab_Calculs[[#This Row],[ANNEE]],Tab_Calculs[[#This Row],[MOIS]],1)</f>
        <v>44075</v>
      </c>
      <c r="B713" s="3">
        <f>EDATE(Tab_Calculs[[#This Row],[Début mois]],1)-1</f>
        <v>44104</v>
      </c>
      <c r="C713">
        <f t="shared" si="22"/>
        <v>9</v>
      </c>
      <c r="D713">
        <f t="shared" si="23"/>
        <v>2020</v>
      </c>
      <c r="E713" t="s">
        <v>83</v>
      </c>
      <c r="F713" t="str">
        <f>SUBSTITUTE(Tab_Calculs[[#This Row],[Compteur]]," ","_")</f>
        <v>Compteur_4</v>
      </c>
      <c r="G713" t="str">
        <f>T(INDEX(Site!$B$33:$G$40, MATCH(Tab_Calculs[[#This Row],[Compteur]], Site!$B$33:$B$40,0),2))</f>
        <v/>
      </c>
      <c r="H713" s="3">
        <f t="array" aca="1" ref="H713" ca="1">MIN(IF(INDIRECT(CONCATENATE(Tab_Calculs[[#This Row],[Colonne1]],"!$B$2:$B$243"))&gt;=Calculs_Consos!$A713,INDIRECT(CONCATENATE(Tab_Calculs[[#This Row],[Colonne1]],"!$B$2:$B$243"))))</f>
        <v>0</v>
      </c>
      <c r="I713" s="3">
        <f ca="1">INDEX(INDIRECT(CONCATENATE("Tab_",Tab_Calculs[[#This Row],[Colonne1]])),Tab_Calculs[[#This Row],[index_date_livraison]],1)</f>
        <v>0</v>
      </c>
      <c r="J713">
        <f ca="1">MATCH(Tab_Calculs[[#This Row],[Date_livraison]],INDIRECT(CONCATENATE("Tab_",Tab_Calculs[[#This Row],[Colonne1]],"[Fin de période]")),0)</f>
        <v>1</v>
      </c>
      <c r="K713" t="e">
        <f ca="1">INDEX(INDIRECT(CONCATENATE("Tab_",Tab_Calculs[[#This Row],[Colonne1]])),Tab_Calculs[[#This Row],[index_date_livraison]]-1,6)*(MAX(Tab_Calculs[[#This Row],[Début periode livraison]],Tab_Calculs[[#This Row],[Début mois]])-Tab_Calculs[[#This Row],[Début mois]])</f>
        <v>#VALUE!</v>
      </c>
      <c r="L713" s="94">
        <f ca="1">INDEX(INDIRECT(CONCATENATE("Tab_",Tab_Calculs[[#This Row],[Colonne1]])),Tab_Calculs[[#This Row],[index_date_livraison]],6)*(1+MIN(Tab_Calculs[[#This Row],[Date_livraison]],Tab_Calculs[[#This Row],[fin mois]])-MAX(Tab_Calculs[[#This Row],[Début mois]],Tab_Calculs[[#This Row],[Début periode livraison]]))</f>
        <v>0</v>
      </c>
      <c r="M713" s="94" t="e">
        <f ca="1">INDEX(INDIRECT(CONCATENATE("Tab_",Tab_Calculs[[#This Row],[Colonne1]])),Tab_Calculs[[#This Row],[index_date_livraison]]+1,6)*(Tab_Calculs[[#This Row],[fin mois]]-MIN(Tab_Calculs[[#This Row],[fin mois]],Tab_Calculs[[#This Row],[Date_livraison]]))</f>
        <v>#VALUE!</v>
      </c>
      <c r="N713" s="231" t="str">
        <f ca="1">IFERROR(Tab_Calculs[[#This Row],[Ratio_jour_après_livr]]+Tab_Calculs[[#This Row],[Ratio_jour_avant_livr]]+Tab_Calculs[[#This Row],[ratio_avant_debut]],"")</f>
        <v/>
      </c>
      <c r="O713" t="e">
        <f ca="1">INDEX(INDIRECT(CONCATENATE("Tab_",Tab_Calculs[[#This Row],[Colonne1]])),Tab_Calculs[[#This Row],[index_date_livraison]]-1,7)*(MAX(Tab_Calculs[[#This Row],[Début periode livraison]],Tab_Calculs[[#This Row],[Début mois]])-Tab_Calculs[[#This Row],[Début mois]])</f>
        <v>#VALUE!</v>
      </c>
      <c r="P713">
        <f ca="1">INDEX(INDIRECT(CONCATENATE("Tab_",Tab_Calculs[[#This Row],[Colonne1]])),Tab_Calculs[[#This Row],[index_date_livraison]],7)*(1+MIN(Tab_Calculs[[#This Row],[Date_livraison]],Tab_Calculs[[#This Row],[fin mois]])-MAX(Tab_Calculs[[#This Row],[Début mois]],Tab_Calculs[[#This Row],[Début periode livraison]]))</f>
        <v>0</v>
      </c>
      <c r="Q713" t="e">
        <f ca="1">INDEX(INDIRECT(CONCATENATE("Tab_",Tab_Calculs[[#This Row],[Colonne1]])),Tab_Calculs[[#This Row],[index_date_livraison]]+1,7)*(Tab_Calculs[[#This Row],[fin mois]]-MIN(Tab_Calculs[[#This Row],[fin mois]],Tab_Calculs[[#This Row],[Date_livraison]]))</f>
        <v>#VALUE!</v>
      </c>
      <c r="R713" t="e">
        <f ca="1">Tab_Calculs[[#This Row],[Ratio_Cout_après_livr]]+Tab_Calculs[[#This Row],[Ratio_Cout_avant_livr]]+Tab_Calculs[[#This Row],[Ratio_Cout_avant_debut]]</f>
        <v>#VALUE!</v>
      </c>
      <c r="S713" t="str">
        <f ca="1">IFERROR(N713*VLOOKUP(Tab_Calculs[[#This Row],[Colonne1]],Controle_des_données!$B$7:$G$14,6,FALSE),"")</f>
        <v/>
      </c>
      <c r="T713" t="str">
        <f ca="1">IF(Tab_Calculs[[#This Row],[Combustible ]]="Electricité (kWh)",Tab_Calculs[[#This Row],[Conso_mois_kWh]]*2.3,Tab_Calculs[[#This Row],[Conso_mois_kWh]])</f>
        <v/>
      </c>
      <c r="U713" t="str">
        <f ca="1">IFERROR(N713*VLOOKUP(Tab_Calculs[[#This Row],[Colonne1]],Controle_des_données!$B$7:$H$14,7,FALSE),"")</f>
        <v/>
      </c>
      <c r="V713">
        <f ca="1">IFERROR(Tab_Calculs[[#This Row],[Cout_mois]]/Tab_Calculs[[#This Row],[Conso_mois_kWh]],0)</f>
        <v>0</v>
      </c>
      <c r="W713" t="str">
        <f>T(VLOOKUP(Tab_Calculs[[#This Row],[Compteur]],Site!$B$33:$G$40,3,FALSE))</f>
        <v/>
      </c>
      <c r="X713" t="str">
        <f>T(VLOOKUP(Tab_Calculs[[#This Row],[Compteur]],Site!$B$33:$G$40,4,FALSE))</f>
        <v/>
      </c>
      <c r="Y713" t="str">
        <f>T(VLOOKUP(Tab_Calculs[[#This Row],[Compteur]],Site!$B$33:$G$40,5,FALSE))</f>
        <v/>
      </c>
      <c r="Z713" t="str">
        <f>T(VLOOKUP(Tab_Calculs[[#This Row],[Compteur]],Site!$B$33:$G$40,6,FALSE))</f>
        <v/>
      </c>
      <c r="AA713">
        <f>IFERROR(GETPIVOTDATA("DJU(chauffagiste)",BDD_DJU!$P$13,"annee",Tab_Calculs[[#This Row],[ANNEE]],"mois_numero",Tab_Calculs[[#This Row],[MOIS]]),0)</f>
        <v>56.6</v>
      </c>
    </row>
    <row r="714" spans="1:27" x14ac:dyDescent="0.25">
      <c r="A714" s="3">
        <f>DATE(Tab_Calculs[[#This Row],[ANNEE]],Tab_Calculs[[#This Row],[MOIS]],1)</f>
        <v>44105</v>
      </c>
      <c r="B714" s="3">
        <f>EDATE(Tab_Calculs[[#This Row],[Début mois]],1)-1</f>
        <v>44135</v>
      </c>
      <c r="C714">
        <f t="shared" si="22"/>
        <v>10</v>
      </c>
      <c r="D714">
        <f t="shared" si="23"/>
        <v>2020</v>
      </c>
      <c r="E714" t="s">
        <v>83</v>
      </c>
      <c r="F714" t="str">
        <f>SUBSTITUTE(Tab_Calculs[[#This Row],[Compteur]]," ","_")</f>
        <v>Compteur_4</v>
      </c>
      <c r="G714" t="str">
        <f>T(INDEX(Site!$B$33:$G$40, MATCH(Tab_Calculs[[#This Row],[Compteur]], Site!$B$33:$B$40,0),2))</f>
        <v/>
      </c>
      <c r="H714" s="3">
        <f t="array" aca="1" ref="H714" ca="1">MIN(IF(INDIRECT(CONCATENATE(Tab_Calculs[[#This Row],[Colonne1]],"!$B$2:$B$243"))&gt;=Calculs_Consos!$A714,INDIRECT(CONCATENATE(Tab_Calculs[[#This Row],[Colonne1]],"!$B$2:$B$243"))))</f>
        <v>0</v>
      </c>
      <c r="I714" s="3">
        <f ca="1">INDEX(INDIRECT(CONCATENATE("Tab_",Tab_Calculs[[#This Row],[Colonne1]])),Tab_Calculs[[#This Row],[index_date_livraison]],1)</f>
        <v>0</v>
      </c>
      <c r="J714">
        <f ca="1">MATCH(Tab_Calculs[[#This Row],[Date_livraison]],INDIRECT(CONCATENATE("Tab_",Tab_Calculs[[#This Row],[Colonne1]],"[Fin de période]")),0)</f>
        <v>1</v>
      </c>
      <c r="K714" t="e">
        <f ca="1">INDEX(INDIRECT(CONCATENATE("Tab_",Tab_Calculs[[#This Row],[Colonne1]])),Tab_Calculs[[#This Row],[index_date_livraison]]-1,6)*(MAX(Tab_Calculs[[#This Row],[Début periode livraison]],Tab_Calculs[[#This Row],[Début mois]])-Tab_Calculs[[#This Row],[Début mois]])</f>
        <v>#VALUE!</v>
      </c>
      <c r="L714" s="94">
        <f ca="1">INDEX(INDIRECT(CONCATENATE("Tab_",Tab_Calculs[[#This Row],[Colonne1]])),Tab_Calculs[[#This Row],[index_date_livraison]],6)*(1+MIN(Tab_Calculs[[#This Row],[Date_livraison]],Tab_Calculs[[#This Row],[fin mois]])-MAX(Tab_Calculs[[#This Row],[Début mois]],Tab_Calculs[[#This Row],[Début periode livraison]]))</f>
        <v>0</v>
      </c>
      <c r="M714" s="94" t="e">
        <f ca="1">INDEX(INDIRECT(CONCATENATE("Tab_",Tab_Calculs[[#This Row],[Colonne1]])),Tab_Calculs[[#This Row],[index_date_livraison]]+1,6)*(Tab_Calculs[[#This Row],[fin mois]]-MIN(Tab_Calculs[[#This Row],[fin mois]],Tab_Calculs[[#This Row],[Date_livraison]]))</f>
        <v>#VALUE!</v>
      </c>
      <c r="N714" s="231" t="str">
        <f ca="1">IFERROR(Tab_Calculs[[#This Row],[Ratio_jour_après_livr]]+Tab_Calculs[[#This Row],[Ratio_jour_avant_livr]]+Tab_Calculs[[#This Row],[ratio_avant_debut]],"")</f>
        <v/>
      </c>
      <c r="O714" t="e">
        <f ca="1">INDEX(INDIRECT(CONCATENATE("Tab_",Tab_Calculs[[#This Row],[Colonne1]])),Tab_Calculs[[#This Row],[index_date_livraison]]-1,7)*(MAX(Tab_Calculs[[#This Row],[Début periode livraison]],Tab_Calculs[[#This Row],[Début mois]])-Tab_Calculs[[#This Row],[Début mois]])</f>
        <v>#VALUE!</v>
      </c>
      <c r="P714">
        <f ca="1">INDEX(INDIRECT(CONCATENATE("Tab_",Tab_Calculs[[#This Row],[Colonne1]])),Tab_Calculs[[#This Row],[index_date_livraison]],7)*(1+MIN(Tab_Calculs[[#This Row],[Date_livraison]],Tab_Calculs[[#This Row],[fin mois]])-MAX(Tab_Calculs[[#This Row],[Début mois]],Tab_Calculs[[#This Row],[Début periode livraison]]))</f>
        <v>0</v>
      </c>
      <c r="Q714" t="e">
        <f ca="1">INDEX(INDIRECT(CONCATENATE("Tab_",Tab_Calculs[[#This Row],[Colonne1]])),Tab_Calculs[[#This Row],[index_date_livraison]]+1,7)*(Tab_Calculs[[#This Row],[fin mois]]-MIN(Tab_Calculs[[#This Row],[fin mois]],Tab_Calculs[[#This Row],[Date_livraison]]))</f>
        <v>#VALUE!</v>
      </c>
      <c r="R714" t="e">
        <f ca="1">Tab_Calculs[[#This Row],[Ratio_Cout_après_livr]]+Tab_Calculs[[#This Row],[Ratio_Cout_avant_livr]]+Tab_Calculs[[#This Row],[Ratio_Cout_avant_debut]]</f>
        <v>#VALUE!</v>
      </c>
      <c r="S714" t="str">
        <f ca="1">IFERROR(N714*VLOOKUP(Tab_Calculs[[#This Row],[Colonne1]],Controle_des_données!$B$7:$G$14,6,FALSE),"")</f>
        <v/>
      </c>
      <c r="T714" t="str">
        <f ca="1">IF(Tab_Calculs[[#This Row],[Combustible ]]="Electricité (kWh)",Tab_Calculs[[#This Row],[Conso_mois_kWh]]*2.3,Tab_Calculs[[#This Row],[Conso_mois_kWh]])</f>
        <v/>
      </c>
      <c r="U714" t="str">
        <f ca="1">IFERROR(N714*VLOOKUP(Tab_Calculs[[#This Row],[Colonne1]],Controle_des_données!$B$7:$H$14,7,FALSE),"")</f>
        <v/>
      </c>
      <c r="V714">
        <f ca="1">IFERROR(Tab_Calculs[[#This Row],[Cout_mois]]/Tab_Calculs[[#This Row],[Conso_mois_kWh]],0)</f>
        <v>0</v>
      </c>
      <c r="W714" t="str">
        <f>T(VLOOKUP(Tab_Calculs[[#This Row],[Compteur]],Site!$B$33:$G$40,3,FALSE))</f>
        <v/>
      </c>
      <c r="X714" t="str">
        <f>T(VLOOKUP(Tab_Calculs[[#This Row],[Compteur]],Site!$B$33:$G$40,4,FALSE))</f>
        <v/>
      </c>
      <c r="Y714" t="str">
        <f>T(VLOOKUP(Tab_Calculs[[#This Row],[Compteur]],Site!$B$33:$G$40,5,FALSE))</f>
        <v/>
      </c>
      <c r="Z714" t="str">
        <f>T(VLOOKUP(Tab_Calculs[[#This Row],[Compteur]],Site!$B$33:$G$40,6,FALSE))</f>
        <v/>
      </c>
      <c r="AA714">
        <f>IFERROR(GETPIVOTDATA("DJU(chauffagiste)",BDD_DJU!$P$13,"annee",Tab_Calculs[[#This Row],[ANNEE]],"mois_numero",Tab_Calculs[[#This Row],[MOIS]]),0)</f>
        <v>159.30000000000001</v>
      </c>
    </row>
    <row r="715" spans="1:27" x14ac:dyDescent="0.25">
      <c r="A715" s="3">
        <f>DATE(Tab_Calculs[[#This Row],[ANNEE]],Tab_Calculs[[#This Row],[MOIS]],1)</f>
        <v>44136</v>
      </c>
      <c r="B715" s="3">
        <f>EDATE(Tab_Calculs[[#This Row],[Début mois]],1)-1</f>
        <v>44165</v>
      </c>
      <c r="C715">
        <f t="shared" si="22"/>
        <v>11</v>
      </c>
      <c r="D715">
        <f t="shared" si="23"/>
        <v>2020</v>
      </c>
      <c r="E715" t="s">
        <v>83</v>
      </c>
      <c r="F715" t="str">
        <f>SUBSTITUTE(Tab_Calculs[[#This Row],[Compteur]]," ","_")</f>
        <v>Compteur_4</v>
      </c>
      <c r="G715" t="str">
        <f>T(INDEX(Site!$B$33:$G$40, MATCH(Tab_Calculs[[#This Row],[Compteur]], Site!$B$33:$B$40,0),2))</f>
        <v/>
      </c>
      <c r="H715" s="3">
        <f t="array" aca="1" ref="H715" ca="1">MIN(IF(INDIRECT(CONCATENATE(Tab_Calculs[[#This Row],[Colonne1]],"!$B$2:$B$243"))&gt;=Calculs_Consos!$A715,INDIRECT(CONCATENATE(Tab_Calculs[[#This Row],[Colonne1]],"!$B$2:$B$243"))))</f>
        <v>0</v>
      </c>
      <c r="I715" s="3">
        <f ca="1">INDEX(INDIRECT(CONCATENATE("Tab_",Tab_Calculs[[#This Row],[Colonne1]])),Tab_Calculs[[#This Row],[index_date_livraison]],1)</f>
        <v>0</v>
      </c>
      <c r="J715">
        <f ca="1">MATCH(Tab_Calculs[[#This Row],[Date_livraison]],INDIRECT(CONCATENATE("Tab_",Tab_Calculs[[#This Row],[Colonne1]],"[Fin de période]")),0)</f>
        <v>1</v>
      </c>
      <c r="K715" t="e">
        <f ca="1">INDEX(INDIRECT(CONCATENATE("Tab_",Tab_Calculs[[#This Row],[Colonne1]])),Tab_Calculs[[#This Row],[index_date_livraison]]-1,6)*(MAX(Tab_Calculs[[#This Row],[Début periode livraison]],Tab_Calculs[[#This Row],[Début mois]])-Tab_Calculs[[#This Row],[Début mois]])</f>
        <v>#VALUE!</v>
      </c>
      <c r="L715" s="94">
        <f ca="1">INDEX(INDIRECT(CONCATENATE("Tab_",Tab_Calculs[[#This Row],[Colonne1]])),Tab_Calculs[[#This Row],[index_date_livraison]],6)*(1+MIN(Tab_Calculs[[#This Row],[Date_livraison]],Tab_Calculs[[#This Row],[fin mois]])-MAX(Tab_Calculs[[#This Row],[Début mois]],Tab_Calculs[[#This Row],[Début periode livraison]]))</f>
        <v>0</v>
      </c>
      <c r="M715" s="94" t="e">
        <f ca="1">INDEX(INDIRECT(CONCATENATE("Tab_",Tab_Calculs[[#This Row],[Colonne1]])),Tab_Calculs[[#This Row],[index_date_livraison]]+1,6)*(Tab_Calculs[[#This Row],[fin mois]]-MIN(Tab_Calculs[[#This Row],[fin mois]],Tab_Calculs[[#This Row],[Date_livraison]]))</f>
        <v>#VALUE!</v>
      </c>
      <c r="N715" s="231" t="str">
        <f ca="1">IFERROR(Tab_Calculs[[#This Row],[Ratio_jour_après_livr]]+Tab_Calculs[[#This Row],[Ratio_jour_avant_livr]]+Tab_Calculs[[#This Row],[ratio_avant_debut]],"")</f>
        <v/>
      </c>
      <c r="O715" t="e">
        <f ca="1">INDEX(INDIRECT(CONCATENATE("Tab_",Tab_Calculs[[#This Row],[Colonne1]])),Tab_Calculs[[#This Row],[index_date_livraison]]-1,7)*(MAX(Tab_Calculs[[#This Row],[Début periode livraison]],Tab_Calculs[[#This Row],[Début mois]])-Tab_Calculs[[#This Row],[Début mois]])</f>
        <v>#VALUE!</v>
      </c>
      <c r="P715">
        <f ca="1">INDEX(INDIRECT(CONCATENATE("Tab_",Tab_Calculs[[#This Row],[Colonne1]])),Tab_Calculs[[#This Row],[index_date_livraison]],7)*(1+MIN(Tab_Calculs[[#This Row],[Date_livraison]],Tab_Calculs[[#This Row],[fin mois]])-MAX(Tab_Calculs[[#This Row],[Début mois]],Tab_Calculs[[#This Row],[Début periode livraison]]))</f>
        <v>0</v>
      </c>
      <c r="Q715" t="e">
        <f ca="1">INDEX(INDIRECT(CONCATENATE("Tab_",Tab_Calculs[[#This Row],[Colonne1]])),Tab_Calculs[[#This Row],[index_date_livraison]]+1,7)*(Tab_Calculs[[#This Row],[fin mois]]-MIN(Tab_Calculs[[#This Row],[fin mois]],Tab_Calculs[[#This Row],[Date_livraison]]))</f>
        <v>#VALUE!</v>
      </c>
      <c r="R715" t="e">
        <f ca="1">Tab_Calculs[[#This Row],[Ratio_Cout_après_livr]]+Tab_Calculs[[#This Row],[Ratio_Cout_avant_livr]]+Tab_Calculs[[#This Row],[Ratio_Cout_avant_debut]]</f>
        <v>#VALUE!</v>
      </c>
      <c r="S715" t="str">
        <f ca="1">IFERROR(N715*VLOOKUP(Tab_Calculs[[#This Row],[Colonne1]],Controle_des_données!$B$7:$G$14,6,FALSE),"")</f>
        <v/>
      </c>
      <c r="T715" t="str">
        <f ca="1">IF(Tab_Calculs[[#This Row],[Combustible ]]="Electricité (kWh)",Tab_Calculs[[#This Row],[Conso_mois_kWh]]*2.3,Tab_Calculs[[#This Row],[Conso_mois_kWh]])</f>
        <v/>
      </c>
      <c r="U715" t="str">
        <f ca="1">IFERROR(N715*VLOOKUP(Tab_Calculs[[#This Row],[Colonne1]],Controle_des_données!$B$7:$H$14,7,FALSE),"")</f>
        <v/>
      </c>
      <c r="V715">
        <f ca="1">IFERROR(Tab_Calculs[[#This Row],[Cout_mois]]/Tab_Calculs[[#This Row],[Conso_mois_kWh]],0)</f>
        <v>0</v>
      </c>
      <c r="W715" t="str">
        <f>T(VLOOKUP(Tab_Calculs[[#This Row],[Compteur]],Site!$B$33:$G$40,3,FALSE))</f>
        <v/>
      </c>
      <c r="X715" t="str">
        <f>T(VLOOKUP(Tab_Calculs[[#This Row],[Compteur]],Site!$B$33:$G$40,4,FALSE))</f>
        <v/>
      </c>
      <c r="Y715" t="str">
        <f>T(VLOOKUP(Tab_Calculs[[#This Row],[Compteur]],Site!$B$33:$G$40,5,FALSE))</f>
        <v/>
      </c>
      <c r="Z715" t="str">
        <f>T(VLOOKUP(Tab_Calculs[[#This Row],[Compteur]],Site!$B$33:$G$40,6,FALSE))</f>
        <v/>
      </c>
      <c r="AA715">
        <f>IFERROR(GETPIVOTDATA("DJU(chauffagiste)",BDD_DJU!$P$13,"annee",Tab_Calculs[[#This Row],[ANNEE]],"mois_numero",Tab_Calculs[[#This Row],[MOIS]]),0)</f>
        <v>237.3</v>
      </c>
    </row>
    <row r="716" spans="1:27" x14ac:dyDescent="0.25">
      <c r="A716" s="3">
        <f>DATE(Tab_Calculs[[#This Row],[ANNEE]],Tab_Calculs[[#This Row],[MOIS]],1)</f>
        <v>44166</v>
      </c>
      <c r="B716" s="3">
        <f>EDATE(Tab_Calculs[[#This Row],[Début mois]],1)-1</f>
        <v>44196</v>
      </c>
      <c r="C716">
        <f t="shared" si="22"/>
        <v>12</v>
      </c>
      <c r="D716">
        <f t="shared" si="23"/>
        <v>2020</v>
      </c>
      <c r="E716" t="s">
        <v>83</v>
      </c>
      <c r="F716" t="str">
        <f>SUBSTITUTE(Tab_Calculs[[#This Row],[Compteur]]," ","_")</f>
        <v>Compteur_4</v>
      </c>
      <c r="G716" t="str">
        <f>T(INDEX(Site!$B$33:$G$40, MATCH(Tab_Calculs[[#This Row],[Compteur]], Site!$B$33:$B$40,0),2))</f>
        <v/>
      </c>
      <c r="H716" s="3">
        <f t="array" aca="1" ref="H716" ca="1">MIN(IF(INDIRECT(CONCATENATE(Tab_Calculs[[#This Row],[Colonne1]],"!$B$2:$B$243"))&gt;=Calculs_Consos!$A716,INDIRECT(CONCATENATE(Tab_Calculs[[#This Row],[Colonne1]],"!$B$2:$B$243"))))</f>
        <v>0</v>
      </c>
      <c r="I716" s="3">
        <f ca="1">INDEX(INDIRECT(CONCATENATE("Tab_",Tab_Calculs[[#This Row],[Colonne1]])),Tab_Calculs[[#This Row],[index_date_livraison]],1)</f>
        <v>0</v>
      </c>
      <c r="J716">
        <f ca="1">MATCH(Tab_Calculs[[#This Row],[Date_livraison]],INDIRECT(CONCATENATE("Tab_",Tab_Calculs[[#This Row],[Colonne1]],"[Fin de période]")),0)</f>
        <v>1</v>
      </c>
      <c r="K716" t="e">
        <f ca="1">INDEX(INDIRECT(CONCATENATE("Tab_",Tab_Calculs[[#This Row],[Colonne1]])),Tab_Calculs[[#This Row],[index_date_livraison]]-1,6)*(MAX(Tab_Calculs[[#This Row],[Début periode livraison]],Tab_Calculs[[#This Row],[Début mois]])-Tab_Calculs[[#This Row],[Début mois]])</f>
        <v>#VALUE!</v>
      </c>
      <c r="L716" s="94">
        <f ca="1">INDEX(INDIRECT(CONCATENATE("Tab_",Tab_Calculs[[#This Row],[Colonne1]])),Tab_Calculs[[#This Row],[index_date_livraison]],6)*(1+MIN(Tab_Calculs[[#This Row],[Date_livraison]],Tab_Calculs[[#This Row],[fin mois]])-MAX(Tab_Calculs[[#This Row],[Début mois]],Tab_Calculs[[#This Row],[Début periode livraison]]))</f>
        <v>0</v>
      </c>
      <c r="M716" s="94" t="e">
        <f ca="1">INDEX(INDIRECT(CONCATENATE("Tab_",Tab_Calculs[[#This Row],[Colonne1]])),Tab_Calculs[[#This Row],[index_date_livraison]]+1,6)*(Tab_Calculs[[#This Row],[fin mois]]-MIN(Tab_Calculs[[#This Row],[fin mois]],Tab_Calculs[[#This Row],[Date_livraison]]))</f>
        <v>#VALUE!</v>
      </c>
      <c r="N716" s="231" t="str">
        <f ca="1">IFERROR(Tab_Calculs[[#This Row],[Ratio_jour_après_livr]]+Tab_Calculs[[#This Row],[Ratio_jour_avant_livr]]+Tab_Calculs[[#This Row],[ratio_avant_debut]],"")</f>
        <v/>
      </c>
      <c r="O716" t="e">
        <f ca="1">INDEX(INDIRECT(CONCATENATE("Tab_",Tab_Calculs[[#This Row],[Colonne1]])),Tab_Calculs[[#This Row],[index_date_livraison]]-1,7)*(MAX(Tab_Calculs[[#This Row],[Début periode livraison]],Tab_Calculs[[#This Row],[Début mois]])-Tab_Calculs[[#This Row],[Début mois]])</f>
        <v>#VALUE!</v>
      </c>
      <c r="P716">
        <f ca="1">INDEX(INDIRECT(CONCATENATE("Tab_",Tab_Calculs[[#This Row],[Colonne1]])),Tab_Calculs[[#This Row],[index_date_livraison]],7)*(1+MIN(Tab_Calculs[[#This Row],[Date_livraison]],Tab_Calculs[[#This Row],[fin mois]])-MAX(Tab_Calculs[[#This Row],[Début mois]],Tab_Calculs[[#This Row],[Début periode livraison]]))</f>
        <v>0</v>
      </c>
      <c r="Q716" t="e">
        <f ca="1">INDEX(INDIRECT(CONCATENATE("Tab_",Tab_Calculs[[#This Row],[Colonne1]])),Tab_Calculs[[#This Row],[index_date_livraison]]+1,7)*(Tab_Calculs[[#This Row],[fin mois]]-MIN(Tab_Calculs[[#This Row],[fin mois]],Tab_Calculs[[#This Row],[Date_livraison]]))</f>
        <v>#VALUE!</v>
      </c>
      <c r="R716" t="e">
        <f ca="1">Tab_Calculs[[#This Row],[Ratio_Cout_après_livr]]+Tab_Calculs[[#This Row],[Ratio_Cout_avant_livr]]+Tab_Calculs[[#This Row],[Ratio_Cout_avant_debut]]</f>
        <v>#VALUE!</v>
      </c>
      <c r="S716" t="str">
        <f ca="1">IFERROR(N716*VLOOKUP(Tab_Calculs[[#This Row],[Colonne1]],Controle_des_données!$B$7:$G$14,6,FALSE),"")</f>
        <v/>
      </c>
      <c r="T716" t="str">
        <f ca="1">IF(Tab_Calculs[[#This Row],[Combustible ]]="Electricité (kWh)",Tab_Calculs[[#This Row],[Conso_mois_kWh]]*2.3,Tab_Calculs[[#This Row],[Conso_mois_kWh]])</f>
        <v/>
      </c>
      <c r="U716" t="str">
        <f ca="1">IFERROR(N716*VLOOKUP(Tab_Calculs[[#This Row],[Colonne1]],Controle_des_données!$B$7:$H$14,7,FALSE),"")</f>
        <v/>
      </c>
      <c r="V716">
        <f ca="1">IFERROR(Tab_Calculs[[#This Row],[Cout_mois]]/Tab_Calculs[[#This Row],[Conso_mois_kWh]],0)</f>
        <v>0</v>
      </c>
      <c r="W716" t="str">
        <f>T(VLOOKUP(Tab_Calculs[[#This Row],[Compteur]],Site!$B$33:$G$40,3,FALSE))</f>
        <v/>
      </c>
      <c r="X716" t="str">
        <f>T(VLOOKUP(Tab_Calculs[[#This Row],[Compteur]],Site!$B$33:$G$40,4,FALSE))</f>
        <v/>
      </c>
      <c r="Y716" t="str">
        <f>T(VLOOKUP(Tab_Calculs[[#This Row],[Compteur]],Site!$B$33:$G$40,5,FALSE))</f>
        <v/>
      </c>
      <c r="Z716" t="str">
        <f>T(VLOOKUP(Tab_Calculs[[#This Row],[Compteur]],Site!$B$33:$G$40,6,FALSE))</f>
        <v/>
      </c>
      <c r="AA716">
        <f>IFERROR(GETPIVOTDATA("DJU(chauffagiste)",BDD_DJU!$P$13,"annee",Tab_Calculs[[#This Row],[ANNEE]],"mois_numero",Tab_Calculs[[#This Row],[MOIS]]),0)</f>
        <v>334.4</v>
      </c>
    </row>
    <row r="717" spans="1:27" x14ac:dyDescent="0.25">
      <c r="A717" s="3">
        <f>DATE(Tab_Calculs[[#This Row],[ANNEE]],Tab_Calculs[[#This Row],[MOIS]],1)</f>
        <v>44197</v>
      </c>
      <c r="B717" s="3">
        <f>EDATE(Tab_Calculs[[#This Row],[Début mois]],1)-1</f>
        <v>44227</v>
      </c>
      <c r="C717">
        <f t="shared" si="22"/>
        <v>1</v>
      </c>
      <c r="D717">
        <f t="shared" si="23"/>
        <v>2021</v>
      </c>
      <c r="E717" t="s">
        <v>83</v>
      </c>
      <c r="F717" t="str">
        <f>SUBSTITUTE(Tab_Calculs[[#This Row],[Compteur]]," ","_")</f>
        <v>Compteur_4</v>
      </c>
      <c r="G717" t="str">
        <f>T(INDEX(Site!$B$33:$G$40, MATCH(Tab_Calculs[[#This Row],[Compteur]], Site!$B$33:$B$40,0),2))</f>
        <v/>
      </c>
      <c r="H717" s="3">
        <f t="array" aca="1" ref="H717" ca="1">MIN(IF(INDIRECT(CONCATENATE(Tab_Calculs[[#This Row],[Colonne1]],"!$B$2:$B$243"))&gt;=Calculs_Consos!$A717,INDIRECT(CONCATENATE(Tab_Calculs[[#This Row],[Colonne1]],"!$B$2:$B$243"))))</f>
        <v>0</v>
      </c>
      <c r="I717" s="3">
        <f ca="1">INDEX(INDIRECT(CONCATENATE("Tab_",Tab_Calculs[[#This Row],[Colonne1]])),Tab_Calculs[[#This Row],[index_date_livraison]],1)</f>
        <v>0</v>
      </c>
      <c r="J717">
        <f ca="1">MATCH(Tab_Calculs[[#This Row],[Date_livraison]],INDIRECT(CONCATENATE("Tab_",Tab_Calculs[[#This Row],[Colonne1]],"[Fin de période]")),0)</f>
        <v>1</v>
      </c>
      <c r="K717" t="e">
        <f ca="1">INDEX(INDIRECT(CONCATENATE("Tab_",Tab_Calculs[[#This Row],[Colonne1]])),Tab_Calculs[[#This Row],[index_date_livraison]]-1,6)*(MAX(Tab_Calculs[[#This Row],[Début periode livraison]],Tab_Calculs[[#This Row],[Début mois]])-Tab_Calculs[[#This Row],[Début mois]])</f>
        <v>#VALUE!</v>
      </c>
      <c r="L717" s="94">
        <f ca="1">INDEX(INDIRECT(CONCATENATE("Tab_",Tab_Calculs[[#This Row],[Colonne1]])),Tab_Calculs[[#This Row],[index_date_livraison]],6)*(1+MIN(Tab_Calculs[[#This Row],[Date_livraison]],Tab_Calculs[[#This Row],[fin mois]])-MAX(Tab_Calculs[[#This Row],[Début mois]],Tab_Calculs[[#This Row],[Début periode livraison]]))</f>
        <v>0</v>
      </c>
      <c r="M717" s="94" t="e">
        <f ca="1">INDEX(INDIRECT(CONCATENATE("Tab_",Tab_Calculs[[#This Row],[Colonne1]])),Tab_Calculs[[#This Row],[index_date_livraison]]+1,6)*(Tab_Calculs[[#This Row],[fin mois]]-MIN(Tab_Calculs[[#This Row],[fin mois]],Tab_Calculs[[#This Row],[Date_livraison]]))</f>
        <v>#VALUE!</v>
      </c>
      <c r="N717" s="231" t="str">
        <f ca="1">IFERROR(Tab_Calculs[[#This Row],[Ratio_jour_après_livr]]+Tab_Calculs[[#This Row],[Ratio_jour_avant_livr]]+Tab_Calculs[[#This Row],[ratio_avant_debut]],"")</f>
        <v/>
      </c>
      <c r="O717" t="e">
        <f ca="1">INDEX(INDIRECT(CONCATENATE("Tab_",Tab_Calculs[[#This Row],[Colonne1]])),Tab_Calculs[[#This Row],[index_date_livraison]]-1,7)*(MAX(Tab_Calculs[[#This Row],[Début periode livraison]],Tab_Calculs[[#This Row],[Début mois]])-Tab_Calculs[[#This Row],[Début mois]])</f>
        <v>#VALUE!</v>
      </c>
      <c r="P717">
        <f ca="1">INDEX(INDIRECT(CONCATENATE("Tab_",Tab_Calculs[[#This Row],[Colonne1]])),Tab_Calculs[[#This Row],[index_date_livraison]],7)*(1+MIN(Tab_Calculs[[#This Row],[Date_livraison]],Tab_Calculs[[#This Row],[fin mois]])-MAX(Tab_Calculs[[#This Row],[Début mois]],Tab_Calculs[[#This Row],[Début periode livraison]]))</f>
        <v>0</v>
      </c>
      <c r="Q717" t="e">
        <f ca="1">INDEX(INDIRECT(CONCATENATE("Tab_",Tab_Calculs[[#This Row],[Colonne1]])),Tab_Calculs[[#This Row],[index_date_livraison]]+1,7)*(Tab_Calculs[[#This Row],[fin mois]]-MIN(Tab_Calculs[[#This Row],[fin mois]],Tab_Calculs[[#This Row],[Date_livraison]]))</f>
        <v>#VALUE!</v>
      </c>
      <c r="R717" t="e">
        <f ca="1">Tab_Calculs[[#This Row],[Ratio_Cout_après_livr]]+Tab_Calculs[[#This Row],[Ratio_Cout_avant_livr]]+Tab_Calculs[[#This Row],[Ratio_Cout_avant_debut]]</f>
        <v>#VALUE!</v>
      </c>
      <c r="S717" t="str">
        <f ca="1">IFERROR(N717*VLOOKUP(Tab_Calculs[[#This Row],[Colonne1]],Controle_des_données!$B$7:$G$14,6,FALSE),"")</f>
        <v/>
      </c>
      <c r="T717" t="str">
        <f ca="1">IF(Tab_Calculs[[#This Row],[Combustible ]]="Electricité (kWh)",Tab_Calculs[[#This Row],[Conso_mois_kWh]]*2.3,Tab_Calculs[[#This Row],[Conso_mois_kWh]])</f>
        <v/>
      </c>
      <c r="U717" t="str">
        <f ca="1">IFERROR(N717*VLOOKUP(Tab_Calculs[[#This Row],[Colonne1]],Controle_des_données!$B$7:$H$14,7,FALSE),"")</f>
        <v/>
      </c>
      <c r="V717">
        <f ca="1">IFERROR(Tab_Calculs[[#This Row],[Cout_mois]]/Tab_Calculs[[#This Row],[Conso_mois_kWh]],0)</f>
        <v>0</v>
      </c>
      <c r="W717" t="str">
        <f>T(VLOOKUP(Tab_Calculs[[#This Row],[Compteur]],Site!$B$33:$G$40,3,FALSE))</f>
        <v/>
      </c>
      <c r="X717" t="str">
        <f>T(VLOOKUP(Tab_Calculs[[#This Row],[Compteur]],Site!$B$33:$G$40,4,FALSE))</f>
        <v/>
      </c>
      <c r="Y717" t="str">
        <f>T(VLOOKUP(Tab_Calculs[[#This Row],[Compteur]],Site!$B$33:$G$40,5,FALSE))</f>
        <v/>
      </c>
      <c r="Z717" t="str">
        <f>T(VLOOKUP(Tab_Calculs[[#This Row],[Compteur]],Site!$B$33:$G$40,6,FALSE))</f>
        <v/>
      </c>
      <c r="AA717">
        <f>IFERROR(GETPIVOTDATA("DJU(chauffagiste)",BDD_DJU!$P$13,"annee",Tab_Calculs[[#This Row],[ANNEE]],"mois_numero",Tab_Calculs[[#This Row],[MOIS]]),0)</f>
        <v>380.1</v>
      </c>
    </row>
    <row r="718" spans="1:27" x14ac:dyDescent="0.25">
      <c r="A718" s="3">
        <f>DATE(Tab_Calculs[[#This Row],[ANNEE]],Tab_Calculs[[#This Row],[MOIS]],1)</f>
        <v>44228</v>
      </c>
      <c r="B718" s="3">
        <f>EDATE(Tab_Calculs[[#This Row],[Début mois]],1)-1</f>
        <v>44255</v>
      </c>
      <c r="C718">
        <f t="shared" si="22"/>
        <v>2</v>
      </c>
      <c r="D718">
        <f t="shared" si="23"/>
        <v>2021</v>
      </c>
      <c r="E718" t="s">
        <v>83</v>
      </c>
      <c r="F718" t="str">
        <f>SUBSTITUTE(Tab_Calculs[[#This Row],[Compteur]]," ","_")</f>
        <v>Compteur_4</v>
      </c>
      <c r="G718" t="str">
        <f>T(INDEX(Site!$B$33:$G$40, MATCH(Tab_Calculs[[#This Row],[Compteur]], Site!$B$33:$B$40,0),2))</f>
        <v/>
      </c>
      <c r="H718" s="3">
        <f t="array" aca="1" ref="H718" ca="1">MIN(IF(INDIRECT(CONCATENATE(Tab_Calculs[[#This Row],[Colonne1]],"!$B$2:$B$243"))&gt;=Calculs_Consos!$A718,INDIRECT(CONCATENATE(Tab_Calculs[[#This Row],[Colonne1]],"!$B$2:$B$243"))))</f>
        <v>0</v>
      </c>
      <c r="I718" s="3">
        <f ca="1">INDEX(INDIRECT(CONCATENATE("Tab_",Tab_Calculs[[#This Row],[Colonne1]])),Tab_Calculs[[#This Row],[index_date_livraison]],1)</f>
        <v>0</v>
      </c>
      <c r="J718">
        <f ca="1">MATCH(Tab_Calculs[[#This Row],[Date_livraison]],INDIRECT(CONCATENATE("Tab_",Tab_Calculs[[#This Row],[Colonne1]],"[Fin de période]")),0)</f>
        <v>1</v>
      </c>
      <c r="K718" t="e">
        <f ca="1">INDEX(INDIRECT(CONCATENATE("Tab_",Tab_Calculs[[#This Row],[Colonne1]])),Tab_Calculs[[#This Row],[index_date_livraison]]-1,6)*(MAX(Tab_Calculs[[#This Row],[Début periode livraison]],Tab_Calculs[[#This Row],[Début mois]])-Tab_Calculs[[#This Row],[Début mois]])</f>
        <v>#VALUE!</v>
      </c>
      <c r="L718" s="94">
        <f ca="1">INDEX(INDIRECT(CONCATENATE("Tab_",Tab_Calculs[[#This Row],[Colonne1]])),Tab_Calculs[[#This Row],[index_date_livraison]],6)*(1+MIN(Tab_Calculs[[#This Row],[Date_livraison]],Tab_Calculs[[#This Row],[fin mois]])-MAX(Tab_Calculs[[#This Row],[Début mois]],Tab_Calculs[[#This Row],[Début periode livraison]]))</f>
        <v>0</v>
      </c>
      <c r="M718" s="94" t="e">
        <f ca="1">INDEX(INDIRECT(CONCATENATE("Tab_",Tab_Calculs[[#This Row],[Colonne1]])),Tab_Calculs[[#This Row],[index_date_livraison]]+1,6)*(Tab_Calculs[[#This Row],[fin mois]]-MIN(Tab_Calculs[[#This Row],[fin mois]],Tab_Calculs[[#This Row],[Date_livraison]]))</f>
        <v>#VALUE!</v>
      </c>
      <c r="N718" s="231" t="str">
        <f ca="1">IFERROR(Tab_Calculs[[#This Row],[Ratio_jour_après_livr]]+Tab_Calculs[[#This Row],[Ratio_jour_avant_livr]]+Tab_Calculs[[#This Row],[ratio_avant_debut]],"")</f>
        <v/>
      </c>
      <c r="O718" t="e">
        <f ca="1">INDEX(INDIRECT(CONCATENATE("Tab_",Tab_Calculs[[#This Row],[Colonne1]])),Tab_Calculs[[#This Row],[index_date_livraison]]-1,7)*(MAX(Tab_Calculs[[#This Row],[Début periode livraison]],Tab_Calculs[[#This Row],[Début mois]])-Tab_Calculs[[#This Row],[Début mois]])</f>
        <v>#VALUE!</v>
      </c>
      <c r="P718">
        <f ca="1">INDEX(INDIRECT(CONCATENATE("Tab_",Tab_Calculs[[#This Row],[Colonne1]])),Tab_Calculs[[#This Row],[index_date_livraison]],7)*(1+MIN(Tab_Calculs[[#This Row],[Date_livraison]],Tab_Calculs[[#This Row],[fin mois]])-MAX(Tab_Calculs[[#This Row],[Début mois]],Tab_Calculs[[#This Row],[Début periode livraison]]))</f>
        <v>0</v>
      </c>
      <c r="Q718" t="e">
        <f ca="1">INDEX(INDIRECT(CONCATENATE("Tab_",Tab_Calculs[[#This Row],[Colonne1]])),Tab_Calculs[[#This Row],[index_date_livraison]]+1,7)*(Tab_Calculs[[#This Row],[fin mois]]-MIN(Tab_Calculs[[#This Row],[fin mois]],Tab_Calculs[[#This Row],[Date_livraison]]))</f>
        <v>#VALUE!</v>
      </c>
      <c r="R718" t="e">
        <f ca="1">Tab_Calculs[[#This Row],[Ratio_Cout_après_livr]]+Tab_Calculs[[#This Row],[Ratio_Cout_avant_livr]]+Tab_Calculs[[#This Row],[Ratio_Cout_avant_debut]]</f>
        <v>#VALUE!</v>
      </c>
      <c r="S718" t="str">
        <f ca="1">IFERROR(N718*VLOOKUP(Tab_Calculs[[#This Row],[Colonne1]],Controle_des_données!$B$7:$G$14,6,FALSE),"")</f>
        <v/>
      </c>
      <c r="T718" t="str">
        <f ca="1">IF(Tab_Calculs[[#This Row],[Combustible ]]="Electricité (kWh)",Tab_Calculs[[#This Row],[Conso_mois_kWh]]*2.3,Tab_Calculs[[#This Row],[Conso_mois_kWh]])</f>
        <v/>
      </c>
      <c r="U718" t="str">
        <f ca="1">IFERROR(N718*VLOOKUP(Tab_Calculs[[#This Row],[Colonne1]],Controle_des_données!$B$7:$H$14,7,FALSE),"")</f>
        <v/>
      </c>
      <c r="V718">
        <f ca="1">IFERROR(Tab_Calculs[[#This Row],[Cout_mois]]/Tab_Calculs[[#This Row],[Conso_mois_kWh]],0)</f>
        <v>0</v>
      </c>
      <c r="W718" t="str">
        <f>T(VLOOKUP(Tab_Calculs[[#This Row],[Compteur]],Site!$B$33:$G$40,3,FALSE))</f>
        <v/>
      </c>
      <c r="X718" t="str">
        <f>T(VLOOKUP(Tab_Calculs[[#This Row],[Compteur]],Site!$B$33:$G$40,4,FALSE))</f>
        <v/>
      </c>
      <c r="Y718" t="str">
        <f>T(VLOOKUP(Tab_Calculs[[#This Row],[Compteur]],Site!$B$33:$G$40,5,FALSE))</f>
        <v/>
      </c>
      <c r="Z718" t="str">
        <f>T(VLOOKUP(Tab_Calculs[[#This Row],[Compteur]],Site!$B$33:$G$40,6,FALSE))</f>
        <v/>
      </c>
      <c r="AA718">
        <f>IFERROR(GETPIVOTDATA("DJU(chauffagiste)",BDD_DJU!$P$13,"annee",Tab_Calculs[[#This Row],[ANNEE]],"mois_numero",Tab_Calculs[[#This Row],[MOIS]]),0)</f>
        <v>299.5</v>
      </c>
    </row>
    <row r="719" spans="1:27" x14ac:dyDescent="0.25">
      <c r="A719" s="3">
        <f>DATE(Tab_Calculs[[#This Row],[ANNEE]],Tab_Calculs[[#This Row],[MOIS]],1)</f>
        <v>44256</v>
      </c>
      <c r="B719" s="3">
        <f>EDATE(Tab_Calculs[[#This Row],[Début mois]],1)-1</f>
        <v>44286</v>
      </c>
      <c r="C719">
        <f t="shared" si="22"/>
        <v>3</v>
      </c>
      <c r="D719">
        <f t="shared" si="23"/>
        <v>2021</v>
      </c>
      <c r="E719" t="s">
        <v>83</v>
      </c>
      <c r="F719" t="str">
        <f>SUBSTITUTE(Tab_Calculs[[#This Row],[Compteur]]," ","_")</f>
        <v>Compteur_4</v>
      </c>
      <c r="G719" t="str">
        <f>T(INDEX(Site!$B$33:$G$40, MATCH(Tab_Calculs[[#This Row],[Compteur]], Site!$B$33:$B$40,0),2))</f>
        <v/>
      </c>
      <c r="H719" s="3">
        <f t="array" aca="1" ref="H719" ca="1">MIN(IF(INDIRECT(CONCATENATE(Tab_Calculs[[#This Row],[Colonne1]],"!$B$2:$B$243"))&gt;=Calculs_Consos!$A719,INDIRECT(CONCATENATE(Tab_Calculs[[#This Row],[Colonne1]],"!$B$2:$B$243"))))</f>
        <v>0</v>
      </c>
      <c r="I719" s="3">
        <f ca="1">INDEX(INDIRECT(CONCATENATE("Tab_",Tab_Calculs[[#This Row],[Colonne1]])),Tab_Calculs[[#This Row],[index_date_livraison]],1)</f>
        <v>0</v>
      </c>
      <c r="J719">
        <f ca="1">MATCH(Tab_Calculs[[#This Row],[Date_livraison]],INDIRECT(CONCATENATE("Tab_",Tab_Calculs[[#This Row],[Colonne1]],"[Fin de période]")),0)</f>
        <v>1</v>
      </c>
      <c r="K719" t="e">
        <f ca="1">INDEX(INDIRECT(CONCATENATE("Tab_",Tab_Calculs[[#This Row],[Colonne1]])),Tab_Calculs[[#This Row],[index_date_livraison]]-1,6)*(MAX(Tab_Calculs[[#This Row],[Début periode livraison]],Tab_Calculs[[#This Row],[Début mois]])-Tab_Calculs[[#This Row],[Début mois]])</f>
        <v>#VALUE!</v>
      </c>
      <c r="L719" s="94">
        <f ca="1">INDEX(INDIRECT(CONCATENATE("Tab_",Tab_Calculs[[#This Row],[Colonne1]])),Tab_Calculs[[#This Row],[index_date_livraison]],6)*(1+MIN(Tab_Calculs[[#This Row],[Date_livraison]],Tab_Calculs[[#This Row],[fin mois]])-MAX(Tab_Calculs[[#This Row],[Début mois]],Tab_Calculs[[#This Row],[Début periode livraison]]))</f>
        <v>0</v>
      </c>
      <c r="M719" s="94" t="e">
        <f ca="1">INDEX(INDIRECT(CONCATENATE("Tab_",Tab_Calculs[[#This Row],[Colonne1]])),Tab_Calculs[[#This Row],[index_date_livraison]]+1,6)*(Tab_Calculs[[#This Row],[fin mois]]-MIN(Tab_Calculs[[#This Row],[fin mois]],Tab_Calculs[[#This Row],[Date_livraison]]))</f>
        <v>#VALUE!</v>
      </c>
      <c r="N719" s="231" t="str">
        <f ca="1">IFERROR(Tab_Calculs[[#This Row],[Ratio_jour_après_livr]]+Tab_Calculs[[#This Row],[Ratio_jour_avant_livr]]+Tab_Calculs[[#This Row],[ratio_avant_debut]],"")</f>
        <v/>
      </c>
      <c r="O719" t="e">
        <f ca="1">INDEX(INDIRECT(CONCATENATE("Tab_",Tab_Calculs[[#This Row],[Colonne1]])),Tab_Calculs[[#This Row],[index_date_livraison]]-1,7)*(MAX(Tab_Calculs[[#This Row],[Début periode livraison]],Tab_Calculs[[#This Row],[Début mois]])-Tab_Calculs[[#This Row],[Début mois]])</f>
        <v>#VALUE!</v>
      </c>
      <c r="P719">
        <f ca="1">INDEX(INDIRECT(CONCATENATE("Tab_",Tab_Calculs[[#This Row],[Colonne1]])),Tab_Calculs[[#This Row],[index_date_livraison]],7)*(1+MIN(Tab_Calculs[[#This Row],[Date_livraison]],Tab_Calculs[[#This Row],[fin mois]])-MAX(Tab_Calculs[[#This Row],[Début mois]],Tab_Calculs[[#This Row],[Début periode livraison]]))</f>
        <v>0</v>
      </c>
      <c r="Q719" t="e">
        <f ca="1">INDEX(INDIRECT(CONCATENATE("Tab_",Tab_Calculs[[#This Row],[Colonne1]])),Tab_Calculs[[#This Row],[index_date_livraison]]+1,7)*(Tab_Calculs[[#This Row],[fin mois]]-MIN(Tab_Calculs[[#This Row],[fin mois]],Tab_Calculs[[#This Row],[Date_livraison]]))</f>
        <v>#VALUE!</v>
      </c>
      <c r="R719" t="e">
        <f ca="1">Tab_Calculs[[#This Row],[Ratio_Cout_après_livr]]+Tab_Calculs[[#This Row],[Ratio_Cout_avant_livr]]+Tab_Calculs[[#This Row],[Ratio_Cout_avant_debut]]</f>
        <v>#VALUE!</v>
      </c>
      <c r="S719" t="str">
        <f ca="1">IFERROR(N719*VLOOKUP(Tab_Calculs[[#This Row],[Colonne1]],Controle_des_données!$B$7:$G$14,6,FALSE),"")</f>
        <v/>
      </c>
      <c r="T719" t="str">
        <f ca="1">IF(Tab_Calculs[[#This Row],[Combustible ]]="Electricité (kWh)",Tab_Calculs[[#This Row],[Conso_mois_kWh]]*2.3,Tab_Calculs[[#This Row],[Conso_mois_kWh]])</f>
        <v/>
      </c>
      <c r="U719" t="str">
        <f ca="1">IFERROR(N719*VLOOKUP(Tab_Calculs[[#This Row],[Colonne1]],Controle_des_données!$B$7:$H$14,7,FALSE),"")</f>
        <v/>
      </c>
      <c r="V719">
        <f ca="1">IFERROR(Tab_Calculs[[#This Row],[Cout_mois]]/Tab_Calculs[[#This Row],[Conso_mois_kWh]],0)</f>
        <v>0</v>
      </c>
      <c r="W719" t="str">
        <f>T(VLOOKUP(Tab_Calculs[[#This Row],[Compteur]],Site!$B$33:$G$40,3,FALSE))</f>
        <v/>
      </c>
      <c r="X719" t="str">
        <f>T(VLOOKUP(Tab_Calculs[[#This Row],[Compteur]],Site!$B$33:$G$40,4,FALSE))</f>
        <v/>
      </c>
      <c r="Y719" t="str">
        <f>T(VLOOKUP(Tab_Calculs[[#This Row],[Compteur]],Site!$B$33:$G$40,5,FALSE))</f>
        <v/>
      </c>
      <c r="Z719" t="str">
        <f>T(VLOOKUP(Tab_Calculs[[#This Row],[Compteur]],Site!$B$33:$G$40,6,FALSE))</f>
        <v/>
      </c>
      <c r="AA719">
        <f>IFERROR(GETPIVOTDATA("DJU(chauffagiste)",BDD_DJU!$P$13,"annee",Tab_Calculs[[#This Row],[ANNEE]],"mois_numero",Tab_Calculs[[#This Row],[MOIS]]),0)</f>
        <v>303.89999999999998</v>
      </c>
    </row>
    <row r="720" spans="1:27" x14ac:dyDescent="0.25">
      <c r="A720" s="3">
        <f>DATE(Tab_Calculs[[#This Row],[ANNEE]],Tab_Calculs[[#This Row],[MOIS]],1)</f>
        <v>44287</v>
      </c>
      <c r="B720" s="3">
        <f>EDATE(Tab_Calculs[[#This Row],[Début mois]],1)-1</f>
        <v>44316</v>
      </c>
      <c r="C720">
        <f t="shared" si="22"/>
        <v>4</v>
      </c>
      <c r="D720">
        <f t="shared" si="23"/>
        <v>2021</v>
      </c>
      <c r="E720" t="s">
        <v>83</v>
      </c>
      <c r="F720" t="str">
        <f>SUBSTITUTE(Tab_Calculs[[#This Row],[Compteur]]," ","_")</f>
        <v>Compteur_4</v>
      </c>
      <c r="G720" t="str">
        <f>T(INDEX(Site!$B$33:$G$40, MATCH(Tab_Calculs[[#This Row],[Compteur]], Site!$B$33:$B$40,0),2))</f>
        <v/>
      </c>
      <c r="H720" s="3">
        <f t="array" aca="1" ref="H720" ca="1">MIN(IF(INDIRECT(CONCATENATE(Tab_Calculs[[#This Row],[Colonne1]],"!$B$2:$B$243"))&gt;=Calculs_Consos!$A720,INDIRECT(CONCATENATE(Tab_Calculs[[#This Row],[Colonne1]],"!$B$2:$B$243"))))</f>
        <v>0</v>
      </c>
      <c r="I720" s="3">
        <f ca="1">INDEX(INDIRECT(CONCATENATE("Tab_",Tab_Calculs[[#This Row],[Colonne1]])),Tab_Calculs[[#This Row],[index_date_livraison]],1)</f>
        <v>0</v>
      </c>
      <c r="J720">
        <f ca="1">MATCH(Tab_Calculs[[#This Row],[Date_livraison]],INDIRECT(CONCATENATE("Tab_",Tab_Calculs[[#This Row],[Colonne1]],"[Fin de période]")),0)</f>
        <v>1</v>
      </c>
      <c r="K720" t="e">
        <f ca="1">INDEX(INDIRECT(CONCATENATE("Tab_",Tab_Calculs[[#This Row],[Colonne1]])),Tab_Calculs[[#This Row],[index_date_livraison]]-1,6)*(MAX(Tab_Calculs[[#This Row],[Début periode livraison]],Tab_Calculs[[#This Row],[Début mois]])-Tab_Calculs[[#This Row],[Début mois]])</f>
        <v>#VALUE!</v>
      </c>
      <c r="L720" s="94">
        <f ca="1">INDEX(INDIRECT(CONCATENATE("Tab_",Tab_Calculs[[#This Row],[Colonne1]])),Tab_Calculs[[#This Row],[index_date_livraison]],6)*(1+MIN(Tab_Calculs[[#This Row],[Date_livraison]],Tab_Calculs[[#This Row],[fin mois]])-MAX(Tab_Calculs[[#This Row],[Début mois]],Tab_Calculs[[#This Row],[Début periode livraison]]))</f>
        <v>0</v>
      </c>
      <c r="M720" s="94" t="e">
        <f ca="1">INDEX(INDIRECT(CONCATENATE("Tab_",Tab_Calculs[[#This Row],[Colonne1]])),Tab_Calculs[[#This Row],[index_date_livraison]]+1,6)*(Tab_Calculs[[#This Row],[fin mois]]-MIN(Tab_Calculs[[#This Row],[fin mois]],Tab_Calculs[[#This Row],[Date_livraison]]))</f>
        <v>#VALUE!</v>
      </c>
      <c r="N720" s="231" t="str">
        <f ca="1">IFERROR(Tab_Calculs[[#This Row],[Ratio_jour_après_livr]]+Tab_Calculs[[#This Row],[Ratio_jour_avant_livr]]+Tab_Calculs[[#This Row],[ratio_avant_debut]],"")</f>
        <v/>
      </c>
      <c r="O720" t="e">
        <f ca="1">INDEX(INDIRECT(CONCATENATE("Tab_",Tab_Calculs[[#This Row],[Colonne1]])),Tab_Calculs[[#This Row],[index_date_livraison]]-1,7)*(MAX(Tab_Calculs[[#This Row],[Début periode livraison]],Tab_Calculs[[#This Row],[Début mois]])-Tab_Calculs[[#This Row],[Début mois]])</f>
        <v>#VALUE!</v>
      </c>
      <c r="P720">
        <f ca="1">INDEX(INDIRECT(CONCATENATE("Tab_",Tab_Calculs[[#This Row],[Colonne1]])),Tab_Calculs[[#This Row],[index_date_livraison]],7)*(1+MIN(Tab_Calculs[[#This Row],[Date_livraison]],Tab_Calculs[[#This Row],[fin mois]])-MAX(Tab_Calculs[[#This Row],[Début mois]],Tab_Calculs[[#This Row],[Début periode livraison]]))</f>
        <v>0</v>
      </c>
      <c r="Q720" t="e">
        <f ca="1">INDEX(INDIRECT(CONCATENATE("Tab_",Tab_Calculs[[#This Row],[Colonne1]])),Tab_Calculs[[#This Row],[index_date_livraison]]+1,7)*(Tab_Calculs[[#This Row],[fin mois]]-MIN(Tab_Calculs[[#This Row],[fin mois]],Tab_Calculs[[#This Row],[Date_livraison]]))</f>
        <v>#VALUE!</v>
      </c>
      <c r="R720" t="e">
        <f ca="1">Tab_Calculs[[#This Row],[Ratio_Cout_après_livr]]+Tab_Calculs[[#This Row],[Ratio_Cout_avant_livr]]+Tab_Calculs[[#This Row],[Ratio_Cout_avant_debut]]</f>
        <v>#VALUE!</v>
      </c>
      <c r="S720" t="str">
        <f ca="1">IFERROR(N720*VLOOKUP(Tab_Calculs[[#This Row],[Colonne1]],Controle_des_données!$B$7:$G$14,6,FALSE),"")</f>
        <v/>
      </c>
      <c r="T720" t="str">
        <f ca="1">IF(Tab_Calculs[[#This Row],[Combustible ]]="Electricité (kWh)",Tab_Calculs[[#This Row],[Conso_mois_kWh]]*2.3,Tab_Calculs[[#This Row],[Conso_mois_kWh]])</f>
        <v/>
      </c>
      <c r="U720" t="str">
        <f ca="1">IFERROR(N720*VLOOKUP(Tab_Calculs[[#This Row],[Colonne1]],Controle_des_données!$B$7:$H$14,7,FALSE),"")</f>
        <v/>
      </c>
      <c r="V720">
        <f ca="1">IFERROR(Tab_Calculs[[#This Row],[Cout_mois]]/Tab_Calculs[[#This Row],[Conso_mois_kWh]],0)</f>
        <v>0</v>
      </c>
      <c r="W720" t="str">
        <f>T(VLOOKUP(Tab_Calculs[[#This Row],[Compteur]],Site!$B$33:$G$40,3,FALSE))</f>
        <v/>
      </c>
      <c r="X720" t="str">
        <f>T(VLOOKUP(Tab_Calculs[[#This Row],[Compteur]],Site!$B$33:$G$40,4,FALSE))</f>
        <v/>
      </c>
      <c r="Y720" t="str">
        <f>T(VLOOKUP(Tab_Calculs[[#This Row],[Compteur]],Site!$B$33:$G$40,5,FALSE))</f>
        <v/>
      </c>
      <c r="Z720" t="str">
        <f>T(VLOOKUP(Tab_Calculs[[#This Row],[Compteur]],Site!$B$33:$G$40,6,FALSE))</f>
        <v/>
      </c>
      <c r="AA720">
        <f>IFERROR(GETPIVOTDATA("DJU(chauffagiste)",BDD_DJU!$P$13,"annee",Tab_Calculs[[#This Row],[ANNEE]],"mois_numero",Tab_Calculs[[#This Row],[MOIS]]),0)</f>
        <v>242.8</v>
      </c>
    </row>
    <row r="721" spans="1:27" x14ac:dyDescent="0.25">
      <c r="A721" s="3">
        <f>DATE(Tab_Calculs[[#This Row],[ANNEE]],Tab_Calculs[[#This Row],[MOIS]],1)</f>
        <v>44317</v>
      </c>
      <c r="B721" s="3">
        <f>EDATE(Tab_Calculs[[#This Row],[Début mois]],1)-1</f>
        <v>44347</v>
      </c>
      <c r="C721">
        <f t="shared" si="22"/>
        <v>5</v>
      </c>
      <c r="D721">
        <f t="shared" si="23"/>
        <v>2021</v>
      </c>
      <c r="E721" t="s">
        <v>83</v>
      </c>
      <c r="F721" t="str">
        <f>SUBSTITUTE(Tab_Calculs[[#This Row],[Compteur]]," ","_")</f>
        <v>Compteur_4</v>
      </c>
      <c r="G721" t="str">
        <f>T(INDEX(Site!$B$33:$G$40, MATCH(Tab_Calculs[[#This Row],[Compteur]], Site!$B$33:$B$40,0),2))</f>
        <v/>
      </c>
      <c r="H721" s="3">
        <f t="array" aca="1" ref="H721" ca="1">MIN(IF(INDIRECT(CONCATENATE(Tab_Calculs[[#This Row],[Colonne1]],"!$B$2:$B$243"))&gt;=Calculs_Consos!$A721,INDIRECT(CONCATENATE(Tab_Calculs[[#This Row],[Colonne1]],"!$B$2:$B$243"))))</f>
        <v>0</v>
      </c>
      <c r="I721" s="3">
        <f ca="1">INDEX(INDIRECT(CONCATENATE("Tab_",Tab_Calculs[[#This Row],[Colonne1]])),Tab_Calculs[[#This Row],[index_date_livraison]],1)</f>
        <v>0</v>
      </c>
      <c r="J721">
        <f ca="1">MATCH(Tab_Calculs[[#This Row],[Date_livraison]],INDIRECT(CONCATENATE("Tab_",Tab_Calculs[[#This Row],[Colonne1]],"[Fin de période]")),0)</f>
        <v>1</v>
      </c>
      <c r="K721" t="e">
        <f ca="1">INDEX(INDIRECT(CONCATENATE("Tab_",Tab_Calculs[[#This Row],[Colonne1]])),Tab_Calculs[[#This Row],[index_date_livraison]]-1,6)*(MAX(Tab_Calculs[[#This Row],[Début periode livraison]],Tab_Calculs[[#This Row],[Début mois]])-Tab_Calculs[[#This Row],[Début mois]])</f>
        <v>#VALUE!</v>
      </c>
      <c r="L721" s="94">
        <f ca="1">INDEX(INDIRECT(CONCATENATE("Tab_",Tab_Calculs[[#This Row],[Colonne1]])),Tab_Calculs[[#This Row],[index_date_livraison]],6)*(1+MIN(Tab_Calculs[[#This Row],[Date_livraison]],Tab_Calculs[[#This Row],[fin mois]])-MAX(Tab_Calculs[[#This Row],[Début mois]],Tab_Calculs[[#This Row],[Début periode livraison]]))</f>
        <v>0</v>
      </c>
      <c r="M721" s="94" t="e">
        <f ca="1">INDEX(INDIRECT(CONCATENATE("Tab_",Tab_Calculs[[#This Row],[Colonne1]])),Tab_Calculs[[#This Row],[index_date_livraison]]+1,6)*(Tab_Calculs[[#This Row],[fin mois]]-MIN(Tab_Calculs[[#This Row],[fin mois]],Tab_Calculs[[#This Row],[Date_livraison]]))</f>
        <v>#VALUE!</v>
      </c>
      <c r="N721" s="231" t="str">
        <f ca="1">IFERROR(Tab_Calculs[[#This Row],[Ratio_jour_après_livr]]+Tab_Calculs[[#This Row],[Ratio_jour_avant_livr]]+Tab_Calculs[[#This Row],[ratio_avant_debut]],"")</f>
        <v/>
      </c>
      <c r="O721" t="e">
        <f ca="1">INDEX(INDIRECT(CONCATENATE("Tab_",Tab_Calculs[[#This Row],[Colonne1]])),Tab_Calculs[[#This Row],[index_date_livraison]]-1,7)*(MAX(Tab_Calculs[[#This Row],[Début periode livraison]],Tab_Calculs[[#This Row],[Début mois]])-Tab_Calculs[[#This Row],[Début mois]])</f>
        <v>#VALUE!</v>
      </c>
      <c r="P721">
        <f ca="1">INDEX(INDIRECT(CONCATENATE("Tab_",Tab_Calculs[[#This Row],[Colonne1]])),Tab_Calculs[[#This Row],[index_date_livraison]],7)*(1+MIN(Tab_Calculs[[#This Row],[Date_livraison]],Tab_Calculs[[#This Row],[fin mois]])-MAX(Tab_Calculs[[#This Row],[Début mois]],Tab_Calculs[[#This Row],[Début periode livraison]]))</f>
        <v>0</v>
      </c>
      <c r="Q721" t="e">
        <f ca="1">INDEX(INDIRECT(CONCATENATE("Tab_",Tab_Calculs[[#This Row],[Colonne1]])),Tab_Calculs[[#This Row],[index_date_livraison]]+1,7)*(Tab_Calculs[[#This Row],[fin mois]]-MIN(Tab_Calculs[[#This Row],[fin mois]],Tab_Calculs[[#This Row],[Date_livraison]]))</f>
        <v>#VALUE!</v>
      </c>
      <c r="R721" t="e">
        <f ca="1">Tab_Calculs[[#This Row],[Ratio_Cout_après_livr]]+Tab_Calculs[[#This Row],[Ratio_Cout_avant_livr]]+Tab_Calculs[[#This Row],[Ratio_Cout_avant_debut]]</f>
        <v>#VALUE!</v>
      </c>
      <c r="S721" t="str">
        <f ca="1">IFERROR(N721*VLOOKUP(Tab_Calculs[[#This Row],[Colonne1]],Controle_des_données!$B$7:$G$14,6,FALSE),"")</f>
        <v/>
      </c>
      <c r="T721" t="str">
        <f ca="1">IF(Tab_Calculs[[#This Row],[Combustible ]]="Electricité (kWh)",Tab_Calculs[[#This Row],[Conso_mois_kWh]]*2.3,Tab_Calculs[[#This Row],[Conso_mois_kWh]])</f>
        <v/>
      </c>
      <c r="U721" t="str">
        <f ca="1">IFERROR(N721*VLOOKUP(Tab_Calculs[[#This Row],[Colonne1]],Controle_des_données!$B$7:$H$14,7,FALSE),"")</f>
        <v/>
      </c>
      <c r="V721">
        <f ca="1">IFERROR(Tab_Calculs[[#This Row],[Cout_mois]]/Tab_Calculs[[#This Row],[Conso_mois_kWh]],0)</f>
        <v>0</v>
      </c>
      <c r="W721" t="str">
        <f>T(VLOOKUP(Tab_Calculs[[#This Row],[Compteur]],Site!$B$33:$G$40,3,FALSE))</f>
        <v/>
      </c>
      <c r="X721" t="str">
        <f>T(VLOOKUP(Tab_Calculs[[#This Row],[Compteur]],Site!$B$33:$G$40,4,FALSE))</f>
        <v/>
      </c>
      <c r="Y721" t="str">
        <f>T(VLOOKUP(Tab_Calculs[[#This Row],[Compteur]],Site!$B$33:$G$40,5,FALSE))</f>
        <v/>
      </c>
      <c r="Z721" t="str">
        <f>T(VLOOKUP(Tab_Calculs[[#This Row],[Compteur]],Site!$B$33:$G$40,6,FALSE))</f>
        <v/>
      </c>
      <c r="AA721">
        <f>IFERROR(GETPIVOTDATA("DJU(chauffagiste)",BDD_DJU!$P$13,"annee",Tab_Calculs[[#This Row],[ANNEE]],"mois_numero",Tab_Calculs[[#This Row],[MOIS]]),0)</f>
        <v>159.4</v>
      </c>
    </row>
    <row r="722" spans="1:27" x14ac:dyDescent="0.25">
      <c r="A722" s="3">
        <f>DATE(Tab_Calculs[[#This Row],[ANNEE]],Tab_Calculs[[#This Row],[MOIS]],1)</f>
        <v>44348</v>
      </c>
      <c r="B722" s="3">
        <f>EDATE(Tab_Calculs[[#This Row],[Début mois]],1)-1</f>
        <v>44377</v>
      </c>
      <c r="C722">
        <f t="shared" ref="C722:C776" si="24">C710</f>
        <v>6</v>
      </c>
      <c r="D722">
        <f t="shared" si="23"/>
        <v>2021</v>
      </c>
      <c r="E722" t="s">
        <v>83</v>
      </c>
      <c r="F722" t="str">
        <f>SUBSTITUTE(Tab_Calculs[[#This Row],[Compteur]]," ","_")</f>
        <v>Compteur_4</v>
      </c>
      <c r="G722" t="str">
        <f>T(INDEX(Site!$B$33:$G$40, MATCH(Tab_Calculs[[#This Row],[Compteur]], Site!$B$33:$B$40,0),2))</f>
        <v/>
      </c>
      <c r="H722" s="3">
        <f t="array" aca="1" ref="H722" ca="1">MIN(IF(INDIRECT(CONCATENATE(Tab_Calculs[[#This Row],[Colonne1]],"!$B$2:$B$243"))&gt;=Calculs_Consos!$A722,INDIRECT(CONCATENATE(Tab_Calculs[[#This Row],[Colonne1]],"!$B$2:$B$243"))))</f>
        <v>0</v>
      </c>
      <c r="I722" s="3">
        <f ca="1">INDEX(INDIRECT(CONCATENATE("Tab_",Tab_Calculs[[#This Row],[Colonne1]])),Tab_Calculs[[#This Row],[index_date_livraison]],1)</f>
        <v>0</v>
      </c>
      <c r="J722">
        <f ca="1">MATCH(Tab_Calculs[[#This Row],[Date_livraison]],INDIRECT(CONCATENATE("Tab_",Tab_Calculs[[#This Row],[Colonne1]],"[Fin de période]")),0)</f>
        <v>1</v>
      </c>
      <c r="K722" t="e">
        <f ca="1">INDEX(INDIRECT(CONCATENATE("Tab_",Tab_Calculs[[#This Row],[Colonne1]])),Tab_Calculs[[#This Row],[index_date_livraison]]-1,6)*(MAX(Tab_Calculs[[#This Row],[Début periode livraison]],Tab_Calculs[[#This Row],[Début mois]])-Tab_Calculs[[#This Row],[Début mois]])</f>
        <v>#VALUE!</v>
      </c>
      <c r="L722" s="94">
        <f ca="1">INDEX(INDIRECT(CONCATENATE("Tab_",Tab_Calculs[[#This Row],[Colonne1]])),Tab_Calculs[[#This Row],[index_date_livraison]],6)*(1+MIN(Tab_Calculs[[#This Row],[Date_livraison]],Tab_Calculs[[#This Row],[fin mois]])-MAX(Tab_Calculs[[#This Row],[Début mois]],Tab_Calculs[[#This Row],[Début periode livraison]]))</f>
        <v>0</v>
      </c>
      <c r="M722" s="94" t="e">
        <f ca="1">INDEX(INDIRECT(CONCATENATE("Tab_",Tab_Calculs[[#This Row],[Colonne1]])),Tab_Calculs[[#This Row],[index_date_livraison]]+1,6)*(Tab_Calculs[[#This Row],[fin mois]]-MIN(Tab_Calculs[[#This Row],[fin mois]],Tab_Calculs[[#This Row],[Date_livraison]]))</f>
        <v>#VALUE!</v>
      </c>
      <c r="N722" s="231" t="str">
        <f ca="1">IFERROR(Tab_Calculs[[#This Row],[Ratio_jour_après_livr]]+Tab_Calculs[[#This Row],[Ratio_jour_avant_livr]]+Tab_Calculs[[#This Row],[ratio_avant_debut]],"")</f>
        <v/>
      </c>
      <c r="O722" t="e">
        <f ca="1">INDEX(INDIRECT(CONCATENATE("Tab_",Tab_Calculs[[#This Row],[Colonne1]])),Tab_Calculs[[#This Row],[index_date_livraison]]-1,7)*(MAX(Tab_Calculs[[#This Row],[Début periode livraison]],Tab_Calculs[[#This Row],[Début mois]])-Tab_Calculs[[#This Row],[Début mois]])</f>
        <v>#VALUE!</v>
      </c>
      <c r="P722">
        <f ca="1">INDEX(INDIRECT(CONCATENATE("Tab_",Tab_Calculs[[#This Row],[Colonne1]])),Tab_Calculs[[#This Row],[index_date_livraison]],7)*(1+MIN(Tab_Calculs[[#This Row],[Date_livraison]],Tab_Calculs[[#This Row],[fin mois]])-MAX(Tab_Calculs[[#This Row],[Début mois]],Tab_Calculs[[#This Row],[Début periode livraison]]))</f>
        <v>0</v>
      </c>
      <c r="Q722" t="e">
        <f ca="1">INDEX(INDIRECT(CONCATENATE("Tab_",Tab_Calculs[[#This Row],[Colonne1]])),Tab_Calculs[[#This Row],[index_date_livraison]]+1,7)*(Tab_Calculs[[#This Row],[fin mois]]-MIN(Tab_Calculs[[#This Row],[fin mois]],Tab_Calculs[[#This Row],[Date_livraison]]))</f>
        <v>#VALUE!</v>
      </c>
      <c r="R722" t="e">
        <f ca="1">Tab_Calculs[[#This Row],[Ratio_Cout_après_livr]]+Tab_Calculs[[#This Row],[Ratio_Cout_avant_livr]]+Tab_Calculs[[#This Row],[Ratio_Cout_avant_debut]]</f>
        <v>#VALUE!</v>
      </c>
      <c r="S722" t="str">
        <f ca="1">IFERROR(N722*VLOOKUP(Tab_Calculs[[#This Row],[Colonne1]],Controle_des_données!$B$7:$G$14,6,FALSE),"")</f>
        <v/>
      </c>
      <c r="T722" t="str">
        <f ca="1">IF(Tab_Calculs[[#This Row],[Combustible ]]="Electricité (kWh)",Tab_Calculs[[#This Row],[Conso_mois_kWh]]*2.3,Tab_Calculs[[#This Row],[Conso_mois_kWh]])</f>
        <v/>
      </c>
      <c r="U722" t="str">
        <f ca="1">IFERROR(N722*VLOOKUP(Tab_Calculs[[#This Row],[Colonne1]],Controle_des_données!$B$7:$H$14,7,FALSE),"")</f>
        <v/>
      </c>
      <c r="V722">
        <f ca="1">IFERROR(Tab_Calculs[[#This Row],[Cout_mois]]/Tab_Calculs[[#This Row],[Conso_mois_kWh]],0)</f>
        <v>0</v>
      </c>
      <c r="W722" t="str">
        <f>T(VLOOKUP(Tab_Calculs[[#This Row],[Compteur]],Site!$B$33:$G$40,3,FALSE))</f>
        <v/>
      </c>
      <c r="X722" t="str">
        <f>T(VLOOKUP(Tab_Calculs[[#This Row],[Compteur]],Site!$B$33:$G$40,4,FALSE))</f>
        <v/>
      </c>
      <c r="Y722" t="str">
        <f>T(VLOOKUP(Tab_Calculs[[#This Row],[Compteur]],Site!$B$33:$G$40,5,FALSE))</f>
        <v/>
      </c>
      <c r="Z722" t="str">
        <f>T(VLOOKUP(Tab_Calculs[[#This Row],[Compteur]],Site!$B$33:$G$40,6,FALSE))</f>
        <v/>
      </c>
      <c r="AA722">
        <f>IFERROR(GETPIVOTDATA("DJU(chauffagiste)",BDD_DJU!$P$13,"annee",Tab_Calculs[[#This Row],[ANNEE]],"mois_numero",Tab_Calculs[[#This Row],[MOIS]]),0)</f>
        <v>29.9</v>
      </c>
    </row>
    <row r="723" spans="1:27" x14ac:dyDescent="0.25">
      <c r="A723" s="3">
        <f>DATE(Tab_Calculs[[#This Row],[ANNEE]],Tab_Calculs[[#This Row],[MOIS]],1)</f>
        <v>44378</v>
      </c>
      <c r="B723" s="3">
        <f>EDATE(Tab_Calculs[[#This Row],[Début mois]],1)-1</f>
        <v>44408</v>
      </c>
      <c r="C723">
        <f t="shared" si="24"/>
        <v>7</v>
      </c>
      <c r="D723">
        <f t="shared" si="23"/>
        <v>2021</v>
      </c>
      <c r="E723" t="s">
        <v>83</v>
      </c>
      <c r="F723" t="str">
        <f>SUBSTITUTE(Tab_Calculs[[#This Row],[Compteur]]," ","_")</f>
        <v>Compteur_4</v>
      </c>
      <c r="G723" t="str">
        <f>T(INDEX(Site!$B$33:$G$40, MATCH(Tab_Calculs[[#This Row],[Compteur]], Site!$B$33:$B$40,0),2))</f>
        <v/>
      </c>
      <c r="H723" s="3">
        <f t="array" aca="1" ref="H723" ca="1">MIN(IF(INDIRECT(CONCATENATE(Tab_Calculs[[#This Row],[Colonne1]],"!$B$2:$B$243"))&gt;=Calculs_Consos!$A723,INDIRECT(CONCATENATE(Tab_Calculs[[#This Row],[Colonne1]],"!$B$2:$B$243"))))</f>
        <v>0</v>
      </c>
      <c r="I723" s="3">
        <f ca="1">INDEX(INDIRECT(CONCATENATE("Tab_",Tab_Calculs[[#This Row],[Colonne1]])),Tab_Calculs[[#This Row],[index_date_livraison]],1)</f>
        <v>0</v>
      </c>
      <c r="J723">
        <f ca="1">MATCH(Tab_Calculs[[#This Row],[Date_livraison]],INDIRECT(CONCATENATE("Tab_",Tab_Calculs[[#This Row],[Colonne1]],"[Fin de période]")),0)</f>
        <v>1</v>
      </c>
      <c r="K723" t="e">
        <f ca="1">INDEX(INDIRECT(CONCATENATE("Tab_",Tab_Calculs[[#This Row],[Colonne1]])),Tab_Calculs[[#This Row],[index_date_livraison]]-1,6)*(MAX(Tab_Calculs[[#This Row],[Début periode livraison]],Tab_Calculs[[#This Row],[Début mois]])-Tab_Calculs[[#This Row],[Début mois]])</f>
        <v>#VALUE!</v>
      </c>
      <c r="L723" s="94">
        <f ca="1">INDEX(INDIRECT(CONCATENATE("Tab_",Tab_Calculs[[#This Row],[Colonne1]])),Tab_Calculs[[#This Row],[index_date_livraison]],6)*(1+MIN(Tab_Calculs[[#This Row],[Date_livraison]],Tab_Calculs[[#This Row],[fin mois]])-MAX(Tab_Calculs[[#This Row],[Début mois]],Tab_Calculs[[#This Row],[Début periode livraison]]))</f>
        <v>0</v>
      </c>
      <c r="M723" s="94" t="e">
        <f ca="1">INDEX(INDIRECT(CONCATENATE("Tab_",Tab_Calculs[[#This Row],[Colonne1]])),Tab_Calculs[[#This Row],[index_date_livraison]]+1,6)*(Tab_Calculs[[#This Row],[fin mois]]-MIN(Tab_Calculs[[#This Row],[fin mois]],Tab_Calculs[[#This Row],[Date_livraison]]))</f>
        <v>#VALUE!</v>
      </c>
      <c r="N723" s="231" t="str">
        <f ca="1">IFERROR(Tab_Calculs[[#This Row],[Ratio_jour_après_livr]]+Tab_Calculs[[#This Row],[Ratio_jour_avant_livr]]+Tab_Calculs[[#This Row],[ratio_avant_debut]],"")</f>
        <v/>
      </c>
      <c r="O723" t="e">
        <f ca="1">INDEX(INDIRECT(CONCATENATE("Tab_",Tab_Calculs[[#This Row],[Colonne1]])),Tab_Calculs[[#This Row],[index_date_livraison]]-1,7)*(MAX(Tab_Calculs[[#This Row],[Début periode livraison]],Tab_Calculs[[#This Row],[Début mois]])-Tab_Calculs[[#This Row],[Début mois]])</f>
        <v>#VALUE!</v>
      </c>
      <c r="P723">
        <f ca="1">INDEX(INDIRECT(CONCATENATE("Tab_",Tab_Calculs[[#This Row],[Colonne1]])),Tab_Calculs[[#This Row],[index_date_livraison]],7)*(1+MIN(Tab_Calculs[[#This Row],[Date_livraison]],Tab_Calculs[[#This Row],[fin mois]])-MAX(Tab_Calculs[[#This Row],[Début mois]],Tab_Calculs[[#This Row],[Début periode livraison]]))</f>
        <v>0</v>
      </c>
      <c r="Q723" t="e">
        <f ca="1">INDEX(INDIRECT(CONCATENATE("Tab_",Tab_Calculs[[#This Row],[Colonne1]])),Tab_Calculs[[#This Row],[index_date_livraison]]+1,7)*(Tab_Calculs[[#This Row],[fin mois]]-MIN(Tab_Calculs[[#This Row],[fin mois]],Tab_Calculs[[#This Row],[Date_livraison]]))</f>
        <v>#VALUE!</v>
      </c>
      <c r="R723" t="e">
        <f ca="1">Tab_Calculs[[#This Row],[Ratio_Cout_après_livr]]+Tab_Calculs[[#This Row],[Ratio_Cout_avant_livr]]+Tab_Calculs[[#This Row],[Ratio_Cout_avant_debut]]</f>
        <v>#VALUE!</v>
      </c>
      <c r="S723" t="str">
        <f ca="1">IFERROR(N723*VLOOKUP(Tab_Calculs[[#This Row],[Colonne1]],Controle_des_données!$B$7:$G$14,6,FALSE),"")</f>
        <v/>
      </c>
      <c r="T723" t="str">
        <f ca="1">IF(Tab_Calculs[[#This Row],[Combustible ]]="Electricité (kWh)",Tab_Calculs[[#This Row],[Conso_mois_kWh]]*2.3,Tab_Calculs[[#This Row],[Conso_mois_kWh]])</f>
        <v/>
      </c>
      <c r="U723" t="str">
        <f ca="1">IFERROR(N723*VLOOKUP(Tab_Calculs[[#This Row],[Colonne1]],Controle_des_données!$B$7:$H$14,7,FALSE),"")</f>
        <v/>
      </c>
      <c r="V723">
        <f ca="1">IFERROR(Tab_Calculs[[#This Row],[Cout_mois]]/Tab_Calculs[[#This Row],[Conso_mois_kWh]],0)</f>
        <v>0</v>
      </c>
      <c r="W723" t="str">
        <f>T(VLOOKUP(Tab_Calculs[[#This Row],[Compteur]],Site!$B$33:$G$40,3,FALSE))</f>
        <v/>
      </c>
      <c r="X723" t="str">
        <f>T(VLOOKUP(Tab_Calculs[[#This Row],[Compteur]],Site!$B$33:$G$40,4,FALSE))</f>
        <v/>
      </c>
      <c r="Y723" t="str">
        <f>T(VLOOKUP(Tab_Calculs[[#This Row],[Compteur]],Site!$B$33:$G$40,5,FALSE))</f>
        <v/>
      </c>
      <c r="Z723" t="str">
        <f>T(VLOOKUP(Tab_Calculs[[#This Row],[Compteur]],Site!$B$33:$G$40,6,FALSE))</f>
        <v/>
      </c>
      <c r="AA723">
        <f>IFERROR(GETPIVOTDATA("DJU(chauffagiste)",BDD_DJU!$P$13,"annee",Tab_Calculs[[#This Row],[ANNEE]],"mois_numero",Tab_Calculs[[#This Row],[MOIS]]),0)</f>
        <v>22.4</v>
      </c>
    </row>
    <row r="724" spans="1:27" x14ac:dyDescent="0.25">
      <c r="A724" s="3">
        <f>DATE(Tab_Calculs[[#This Row],[ANNEE]],Tab_Calculs[[#This Row],[MOIS]],1)</f>
        <v>44409</v>
      </c>
      <c r="B724" s="3">
        <f>EDATE(Tab_Calculs[[#This Row],[Début mois]],1)-1</f>
        <v>44439</v>
      </c>
      <c r="C724">
        <f t="shared" si="24"/>
        <v>8</v>
      </c>
      <c r="D724">
        <f t="shared" si="23"/>
        <v>2021</v>
      </c>
      <c r="E724" t="s">
        <v>83</v>
      </c>
      <c r="F724" t="str">
        <f>SUBSTITUTE(Tab_Calculs[[#This Row],[Compteur]]," ","_")</f>
        <v>Compteur_4</v>
      </c>
      <c r="G724" t="str">
        <f>T(INDEX(Site!$B$33:$G$40, MATCH(Tab_Calculs[[#This Row],[Compteur]], Site!$B$33:$B$40,0),2))</f>
        <v/>
      </c>
      <c r="H724" s="3">
        <f t="array" aca="1" ref="H724" ca="1">MIN(IF(INDIRECT(CONCATENATE(Tab_Calculs[[#This Row],[Colonne1]],"!$B$2:$B$243"))&gt;=Calculs_Consos!$A724,INDIRECT(CONCATENATE(Tab_Calculs[[#This Row],[Colonne1]],"!$B$2:$B$243"))))</f>
        <v>0</v>
      </c>
      <c r="I724" s="3">
        <f ca="1">INDEX(INDIRECT(CONCATENATE("Tab_",Tab_Calculs[[#This Row],[Colonne1]])),Tab_Calculs[[#This Row],[index_date_livraison]],1)</f>
        <v>0</v>
      </c>
      <c r="J724">
        <f ca="1">MATCH(Tab_Calculs[[#This Row],[Date_livraison]],INDIRECT(CONCATENATE("Tab_",Tab_Calculs[[#This Row],[Colonne1]],"[Fin de période]")),0)</f>
        <v>1</v>
      </c>
      <c r="K724" t="e">
        <f ca="1">INDEX(INDIRECT(CONCATENATE("Tab_",Tab_Calculs[[#This Row],[Colonne1]])),Tab_Calculs[[#This Row],[index_date_livraison]]-1,6)*(MAX(Tab_Calculs[[#This Row],[Début periode livraison]],Tab_Calculs[[#This Row],[Début mois]])-Tab_Calculs[[#This Row],[Début mois]])</f>
        <v>#VALUE!</v>
      </c>
      <c r="L724" s="94">
        <f ca="1">INDEX(INDIRECT(CONCATENATE("Tab_",Tab_Calculs[[#This Row],[Colonne1]])),Tab_Calculs[[#This Row],[index_date_livraison]],6)*(1+MIN(Tab_Calculs[[#This Row],[Date_livraison]],Tab_Calculs[[#This Row],[fin mois]])-MAX(Tab_Calculs[[#This Row],[Début mois]],Tab_Calculs[[#This Row],[Début periode livraison]]))</f>
        <v>0</v>
      </c>
      <c r="M724" s="94" t="e">
        <f ca="1">INDEX(INDIRECT(CONCATENATE("Tab_",Tab_Calculs[[#This Row],[Colonne1]])),Tab_Calculs[[#This Row],[index_date_livraison]]+1,6)*(Tab_Calculs[[#This Row],[fin mois]]-MIN(Tab_Calculs[[#This Row],[fin mois]],Tab_Calculs[[#This Row],[Date_livraison]]))</f>
        <v>#VALUE!</v>
      </c>
      <c r="N724" s="231" t="str">
        <f ca="1">IFERROR(Tab_Calculs[[#This Row],[Ratio_jour_après_livr]]+Tab_Calculs[[#This Row],[Ratio_jour_avant_livr]]+Tab_Calculs[[#This Row],[ratio_avant_debut]],"")</f>
        <v/>
      </c>
      <c r="O724" t="e">
        <f ca="1">INDEX(INDIRECT(CONCATENATE("Tab_",Tab_Calculs[[#This Row],[Colonne1]])),Tab_Calculs[[#This Row],[index_date_livraison]]-1,7)*(MAX(Tab_Calculs[[#This Row],[Début periode livraison]],Tab_Calculs[[#This Row],[Début mois]])-Tab_Calculs[[#This Row],[Début mois]])</f>
        <v>#VALUE!</v>
      </c>
      <c r="P724">
        <f ca="1">INDEX(INDIRECT(CONCATENATE("Tab_",Tab_Calculs[[#This Row],[Colonne1]])),Tab_Calculs[[#This Row],[index_date_livraison]],7)*(1+MIN(Tab_Calculs[[#This Row],[Date_livraison]],Tab_Calculs[[#This Row],[fin mois]])-MAX(Tab_Calculs[[#This Row],[Début mois]],Tab_Calculs[[#This Row],[Début periode livraison]]))</f>
        <v>0</v>
      </c>
      <c r="Q724" t="e">
        <f ca="1">INDEX(INDIRECT(CONCATENATE("Tab_",Tab_Calculs[[#This Row],[Colonne1]])),Tab_Calculs[[#This Row],[index_date_livraison]]+1,7)*(Tab_Calculs[[#This Row],[fin mois]]-MIN(Tab_Calculs[[#This Row],[fin mois]],Tab_Calculs[[#This Row],[Date_livraison]]))</f>
        <v>#VALUE!</v>
      </c>
      <c r="R724" t="e">
        <f ca="1">Tab_Calculs[[#This Row],[Ratio_Cout_après_livr]]+Tab_Calculs[[#This Row],[Ratio_Cout_avant_livr]]+Tab_Calculs[[#This Row],[Ratio_Cout_avant_debut]]</f>
        <v>#VALUE!</v>
      </c>
      <c r="S724" t="str">
        <f ca="1">IFERROR(N724*VLOOKUP(Tab_Calculs[[#This Row],[Colonne1]],Controle_des_données!$B$7:$G$14,6,FALSE),"")</f>
        <v/>
      </c>
      <c r="T724" t="str">
        <f ca="1">IF(Tab_Calculs[[#This Row],[Combustible ]]="Electricité (kWh)",Tab_Calculs[[#This Row],[Conso_mois_kWh]]*2.3,Tab_Calculs[[#This Row],[Conso_mois_kWh]])</f>
        <v/>
      </c>
      <c r="U724" t="str">
        <f ca="1">IFERROR(N724*VLOOKUP(Tab_Calculs[[#This Row],[Colonne1]],Controle_des_données!$B$7:$H$14,7,FALSE),"")</f>
        <v/>
      </c>
      <c r="V724">
        <f ca="1">IFERROR(Tab_Calculs[[#This Row],[Cout_mois]]/Tab_Calculs[[#This Row],[Conso_mois_kWh]],0)</f>
        <v>0</v>
      </c>
      <c r="W724" t="str">
        <f>T(VLOOKUP(Tab_Calculs[[#This Row],[Compteur]],Site!$B$33:$G$40,3,FALSE))</f>
        <v/>
      </c>
      <c r="X724" t="str">
        <f>T(VLOOKUP(Tab_Calculs[[#This Row],[Compteur]],Site!$B$33:$G$40,4,FALSE))</f>
        <v/>
      </c>
      <c r="Y724" t="str">
        <f>T(VLOOKUP(Tab_Calculs[[#This Row],[Compteur]],Site!$B$33:$G$40,5,FALSE))</f>
        <v/>
      </c>
      <c r="Z724" t="str">
        <f>T(VLOOKUP(Tab_Calculs[[#This Row],[Compteur]],Site!$B$33:$G$40,6,FALSE))</f>
        <v/>
      </c>
      <c r="AA724">
        <f>IFERROR(GETPIVOTDATA("DJU(chauffagiste)",BDD_DJU!$P$13,"annee",Tab_Calculs[[#This Row],[ANNEE]],"mois_numero",Tab_Calculs[[#This Row],[MOIS]]),0)</f>
        <v>35.9</v>
      </c>
    </row>
    <row r="725" spans="1:27" x14ac:dyDescent="0.25">
      <c r="A725" s="3">
        <f>DATE(Tab_Calculs[[#This Row],[ANNEE]],Tab_Calculs[[#This Row],[MOIS]],1)</f>
        <v>44440</v>
      </c>
      <c r="B725" s="3">
        <f>EDATE(Tab_Calculs[[#This Row],[Début mois]],1)-1</f>
        <v>44469</v>
      </c>
      <c r="C725">
        <f t="shared" si="24"/>
        <v>9</v>
      </c>
      <c r="D725">
        <f t="shared" si="23"/>
        <v>2021</v>
      </c>
      <c r="E725" t="s">
        <v>83</v>
      </c>
      <c r="F725" t="str">
        <f>SUBSTITUTE(Tab_Calculs[[#This Row],[Compteur]]," ","_")</f>
        <v>Compteur_4</v>
      </c>
      <c r="G725" t="str">
        <f>T(INDEX(Site!$B$33:$G$40, MATCH(Tab_Calculs[[#This Row],[Compteur]], Site!$B$33:$B$40,0),2))</f>
        <v/>
      </c>
      <c r="H725" s="3">
        <f t="array" aca="1" ref="H725" ca="1">MIN(IF(INDIRECT(CONCATENATE(Tab_Calculs[[#This Row],[Colonne1]],"!$B$2:$B$243"))&gt;=Calculs_Consos!$A725,INDIRECT(CONCATENATE(Tab_Calculs[[#This Row],[Colonne1]],"!$B$2:$B$243"))))</f>
        <v>0</v>
      </c>
      <c r="I725" s="3">
        <f ca="1">INDEX(INDIRECT(CONCATENATE("Tab_",Tab_Calculs[[#This Row],[Colonne1]])),Tab_Calculs[[#This Row],[index_date_livraison]],1)</f>
        <v>0</v>
      </c>
      <c r="J725">
        <f ca="1">MATCH(Tab_Calculs[[#This Row],[Date_livraison]],INDIRECT(CONCATENATE("Tab_",Tab_Calculs[[#This Row],[Colonne1]],"[Fin de période]")),0)</f>
        <v>1</v>
      </c>
      <c r="K725" t="e">
        <f ca="1">INDEX(INDIRECT(CONCATENATE("Tab_",Tab_Calculs[[#This Row],[Colonne1]])),Tab_Calculs[[#This Row],[index_date_livraison]]-1,6)*(MAX(Tab_Calculs[[#This Row],[Début periode livraison]],Tab_Calculs[[#This Row],[Début mois]])-Tab_Calculs[[#This Row],[Début mois]])</f>
        <v>#VALUE!</v>
      </c>
      <c r="L725" s="94">
        <f ca="1">INDEX(INDIRECT(CONCATENATE("Tab_",Tab_Calculs[[#This Row],[Colonne1]])),Tab_Calculs[[#This Row],[index_date_livraison]],6)*(1+MIN(Tab_Calculs[[#This Row],[Date_livraison]],Tab_Calculs[[#This Row],[fin mois]])-MAX(Tab_Calculs[[#This Row],[Début mois]],Tab_Calculs[[#This Row],[Début periode livraison]]))</f>
        <v>0</v>
      </c>
      <c r="M725" s="94" t="e">
        <f ca="1">INDEX(INDIRECT(CONCATENATE("Tab_",Tab_Calculs[[#This Row],[Colonne1]])),Tab_Calculs[[#This Row],[index_date_livraison]]+1,6)*(Tab_Calculs[[#This Row],[fin mois]]-MIN(Tab_Calculs[[#This Row],[fin mois]],Tab_Calculs[[#This Row],[Date_livraison]]))</f>
        <v>#VALUE!</v>
      </c>
      <c r="N725" s="231" t="str">
        <f ca="1">IFERROR(Tab_Calculs[[#This Row],[Ratio_jour_après_livr]]+Tab_Calculs[[#This Row],[Ratio_jour_avant_livr]]+Tab_Calculs[[#This Row],[ratio_avant_debut]],"")</f>
        <v/>
      </c>
      <c r="O725" t="e">
        <f ca="1">INDEX(INDIRECT(CONCATENATE("Tab_",Tab_Calculs[[#This Row],[Colonne1]])),Tab_Calculs[[#This Row],[index_date_livraison]]-1,7)*(MAX(Tab_Calculs[[#This Row],[Début periode livraison]],Tab_Calculs[[#This Row],[Début mois]])-Tab_Calculs[[#This Row],[Début mois]])</f>
        <v>#VALUE!</v>
      </c>
      <c r="P725">
        <f ca="1">INDEX(INDIRECT(CONCATENATE("Tab_",Tab_Calculs[[#This Row],[Colonne1]])),Tab_Calculs[[#This Row],[index_date_livraison]],7)*(1+MIN(Tab_Calculs[[#This Row],[Date_livraison]],Tab_Calculs[[#This Row],[fin mois]])-MAX(Tab_Calculs[[#This Row],[Début mois]],Tab_Calculs[[#This Row],[Début periode livraison]]))</f>
        <v>0</v>
      </c>
      <c r="Q725" t="e">
        <f ca="1">INDEX(INDIRECT(CONCATENATE("Tab_",Tab_Calculs[[#This Row],[Colonne1]])),Tab_Calculs[[#This Row],[index_date_livraison]]+1,7)*(Tab_Calculs[[#This Row],[fin mois]]-MIN(Tab_Calculs[[#This Row],[fin mois]],Tab_Calculs[[#This Row],[Date_livraison]]))</f>
        <v>#VALUE!</v>
      </c>
      <c r="R725" t="e">
        <f ca="1">Tab_Calculs[[#This Row],[Ratio_Cout_après_livr]]+Tab_Calculs[[#This Row],[Ratio_Cout_avant_livr]]+Tab_Calculs[[#This Row],[Ratio_Cout_avant_debut]]</f>
        <v>#VALUE!</v>
      </c>
      <c r="S725" t="str">
        <f ca="1">IFERROR(N725*VLOOKUP(Tab_Calculs[[#This Row],[Colonne1]],Controle_des_données!$B$7:$G$14,6,FALSE),"")</f>
        <v/>
      </c>
      <c r="T725" t="str">
        <f ca="1">IF(Tab_Calculs[[#This Row],[Combustible ]]="Electricité (kWh)",Tab_Calculs[[#This Row],[Conso_mois_kWh]]*2.3,Tab_Calculs[[#This Row],[Conso_mois_kWh]])</f>
        <v/>
      </c>
      <c r="U725" t="str">
        <f ca="1">IFERROR(N725*VLOOKUP(Tab_Calculs[[#This Row],[Colonne1]],Controle_des_données!$B$7:$H$14,7,FALSE),"")</f>
        <v/>
      </c>
      <c r="V725">
        <f ca="1">IFERROR(Tab_Calculs[[#This Row],[Cout_mois]]/Tab_Calculs[[#This Row],[Conso_mois_kWh]],0)</f>
        <v>0</v>
      </c>
      <c r="W725" t="str">
        <f>T(VLOOKUP(Tab_Calculs[[#This Row],[Compteur]],Site!$B$33:$G$40,3,FALSE))</f>
        <v/>
      </c>
      <c r="X725" t="str">
        <f>T(VLOOKUP(Tab_Calculs[[#This Row],[Compteur]],Site!$B$33:$G$40,4,FALSE))</f>
        <v/>
      </c>
      <c r="Y725" t="str">
        <f>T(VLOOKUP(Tab_Calculs[[#This Row],[Compteur]],Site!$B$33:$G$40,5,FALSE))</f>
        <v/>
      </c>
      <c r="Z725" t="str">
        <f>T(VLOOKUP(Tab_Calculs[[#This Row],[Compteur]],Site!$B$33:$G$40,6,FALSE))</f>
        <v/>
      </c>
      <c r="AA725">
        <f>IFERROR(GETPIVOTDATA("DJU(chauffagiste)",BDD_DJU!$P$13,"annee",Tab_Calculs[[#This Row],[ANNEE]],"mois_numero",Tab_Calculs[[#This Row],[MOIS]]),0)</f>
        <v>47.8</v>
      </c>
    </row>
    <row r="726" spans="1:27" x14ac:dyDescent="0.25">
      <c r="A726" s="3">
        <f>DATE(Tab_Calculs[[#This Row],[ANNEE]],Tab_Calculs[[#This Row],[MOIS]],1)</f>
        <v>44470</v>
      </c>
      <c r="B726" s="3">
        <f>EDATE(Tab_Calculs[[#This Row],[Début mois]],1)-1</f>
        <v>44500</v>
      </c>
      <c r="C726">
        <f t="shared" si="24"/>
        <v>10</v>
      </c>
      <c r="D726">
        <f t="shared" si="23"/>
        <v>2021</v>
      </c>
      <c r="E726" t="s">
        <v>83</v>
      </c>
      <c r="F726" t="str">
        <f>SUBSTITUTE(Tab_Calculs[[#This Row],[Compteur]]," ","_")</f>
        <v>Compteur_4</v>
      </c>
      <c r="G726" t="str">
        <f>T(INDEX(Site!$B$33:$G$40, MATCH(Tab_Calculs[[#This Row],[Compteur]], Site!$B$33:$B$40,0),2))</f>
        <v/>
      </c>
      <c r="H726" s="3">
        <f t="array" aca="1" ref="H726" ca="1">MIN(IF(INDIRECT(CONCATENATE(Tab_Calculs[[#This Row],[Colonne1]],"!$B$2:$B$243"))&gt;=Calculs_Consos!$A726,INDIRECT(CONCATENATE(Tab_Calculs[[#This Row],[Colonne1]],"!$B$2:$B$243"))))</f>
        <v>0</v>
      </c>
      <c r="I726" s="3">
        <f ca="1">INDEX(INDIRECT(CONCATENATE("Tab_",Tab_Calculs[[#This Row],[Colonne1]])),Tab_Calculs[[#This Row],[index_date_livraison]],1)</f>
        <v>0</v>
      </c>
      <c r="J726">
        <f ca="1">MATCH(Tab_Calculs[[#This Row],[Date_livraison]],INDIRECT(CONCATENATE("Tab_",Tab_Calculs[[#This Row],[Colonne1]],"[Fin de période]")),0)</f>
        <v>1</v>
      </c>
      <c r="K726" t="e">
        <f ca="1">INDEX(INDIRECT(CONCATENATE("Tab_",Tab_Calculs[[#This Row],[Colonne1]])),Tab_Calculs[[#This Row],[index_date_livraison]]-1,6)*(MAX(Tab_Calculs[[#This Row],[Début periode livraison]],Tab_Calculs[[#This Row],[Début mois]])-Tab_Calculs[[#This Row],[Début mois]])</f>
        <v>#VALUE!</v>
      </c>
      <c r="L726" s="94">
        <f ca="1">INDEX(INDIRECT(CONCATENATE("Tab_",Tab_Calculs[[#This Row],[Colonne1]])),Tab_Calculs[[#This Row],[index_date_livraison]],6)*(1+MIN(Tab_Calculs[[#This Row],[Date_livraison]],Tab_Calculs[[#This Row],[fin mois]])-MAX(Tab_Calculs[[#This Row],[Début mois]],Tab_Calculs[[#This Row],[Début periode livraison]]))</f>
        <v>0</v>
      </c>
      <c r="M726" s="94" t="e">
        <f ca="1">INDEX(INDIRECT(CONCATENATE("Tab_",Tab_Calculs[[#This Row],[Colonne1]])),Tab_Calculs[[#This Row],[index_date_livraison]]+1,6)*(Tab_Calculs[[#This Row],[fin mois]]-MIN(Tab_Calculs[[#This Row],[fin mois]],Tab_Calculs[[#This Row],[Date_livraison]]))</f>
        <v>#VALUE!</v>
      </c>
      <c r="N726" s="231" t="str">
        <f ca="1">IFERROR(Tab_Calculs[[#This Row],[Ratio_jour_après_livr]]+Tab_Calculs[[#This Row],[Ratio_jour_avant_livr]]+Tab_Calculs[[#This Row],[ratio_avant_debut]],"")</f>
        <v/>
      </c>
      <c r="O726" t="e">
        <f ca="1">INDEX(INDIRECT(CONCATENATE("Tab_",Tab_Calculs[[#This Row],[Colonne1]])),Tab_Calculs[[#This Row],[index_date_livraison]]-1,7)*(MAX(Tab_Calculs[[#This Row],[Début periode livraison]],Tab_Calculs[[#This Row],[Début mois]])-Tab_Calculs[[#This Row],[Début mois]])</f>
        <v>#VALUE!</v>
      </c>
      <c r="P726">
        <f ca="1">INDEX(INDIRECT(CONCATENATE("Tab_",Tab_Calculs[[#This Row],[Colonne1]])),Tab_Calculs[[#This Row],[index_date_livraison]],7)*(1+MIN(Tab_Calculs[[#This Row],[Date_livraison]],Tab_Calculs[[#This Row],[fin mois]])-MAX(Tab_Calculs[[#This Row],[Début mois]],Tab_Calculs[[#This Row],[Début periode livraison]]))</f>
        <v>0</v>
      </c>
      <c r="Q726" t="e">
        <f ca="1">INDEX(INDIRECT(CONCATENATE("Tab_",Tab_Calculs[[#This Row],[Colonne1]])),Tab_Calculs[[#This Row],[index_date_livraison]]+1,7)*(Tab_Calculs[[#This Row],[fin mois]]-MIN(Tab_Calculs[[#This Row],[fin mois]],Tab_Calculs[[#This Row],[Date_livraison]]))</f>
        <v>#VALUE!</v>
      </c>
      <c r="R726" t="e">
        <f ca="1">Tab_Calculs[[#This Row],[Ratio_Cout_après_livr]]+Tab_Calculs[[#This Row],[Ratio_Cout_avant_livr]]+Tab_Calculs[[#This Row],[Ratio_Cout_avant_debut]]</f>
        <v>#VALUE!</v>
      </c>
      <c r="S726" t="str">
        <f ca="1">IFERROR(N726*VLOOKUP(Tab_Calculs[[#This Row],[Colonne1]],Controle_des_données!$B$7:$G$14,6,FALSE),"")</f>
        <v/>
      </c>
      <c r="T726" t="str">
        <f ca="1">IF(Tab_Calculs[[#This Row],[Combustible ]]="Electricité (kWh)",Tab_Calculs[[#This Row],[Conso_mois_kWh]]*2.3,Tab_Calculs[[#This Row],[Conso_mois_kWh]])</f>
        <v/>
      </c>
      <c r="U726" t="str">
        <f ca="1">IFERROR(N726*VLOOKUP(Tab_Calculs[[#This Row],[Colonne1]],Controle_des_données!$B$7:$H$14,7,FALSE),"")</f>
        <v/>
      </c>
      <c r="V726">
        <f ca="1">IFERROR(Tab_Calculs[[#This Row],[Cout_mois]]/Tab_Calculs[[#This Row],[Conso_mois_kWh]],0)</f>
        <v>0</v>
      </c>
      <c r="W726" t="str">
        <f>T(VLOOKUP(Tab_Calculs[[#This Row],[Compteur]],Site!$B$33:$G$40,3,FALSE))</f>
        <v/>
      </c>
      <c r="X726" t="str">
        <f>T(VLOOKUP(Tab_Calculs[[#This Row],[Compteur]],Site!$B$33:$G$40,4,FALSE))</f>
        <v/>
      </c>
      <c r="Y726" t="str">
        <f>T(VLOOKUP(Tab_Calculs[[#This Row],[Compteur]],Site!$B$33:$G$40,5,FALSE))</f>
        <v/>
      </c>
      <c r="Z726" t="str">
        <f>T(VLOOKUP(Tab_Calculs[[#This Row],[Compteur]],Site!$B$33:$G$40,6,FALSE))</f>
        <v/>
      </c>
      <c r="AA726">
        <f>IFERROR(GETPIVOTDATA("DJU(chauffagiste)",BDD_DJU!$P$13,"annee",Tab_Calculs[[#This Row],[ANNEE]],"mois_numero",Tab_Calculs[[#This Row],[MOIS]]),0)</f>
        <v>170.5</v>
      </c>
    </row>
    <row r="727" spans="1:27" x14ac:dyDescent="0.25">
      <c r="A727" s="3">
        <f>DATE(Tab_Calculs[[#This Row],[ANNEE]],Tab_Calculs[[#This Row],[MOIS]],1)</f>
        <v>44501</v>
      </c>
      <c r="B727" s="3">
        <f>EDATE(Tab_Calculs[[#This Row],[Début mois]],1)-1</f>
        <v>44530</v>
      </c>
      <c r="C727">
        <f t="shared" si="24"/>
        <v>11</v>
      </c>
      <c r="D727">
        <f t="shared" si="23"/>
        <v>2021</v>
      </c>
      <c r="E727" t="s">
        <v>83</v>
      </c>
      <c r="F727" t="str">
        <f>SUBSTITUTE(Tab_Calculs[[#This Row],[Compteur]]," ","_")</f>
        <v>Compteur_4</v>
      </c>
      <c r="G727" t="str">
        <f>T(INDEX(Site!$B$33:$G$40, MATCH(Tab_Calculs[[#This Row],[Compteur]], Site!$B$33:$B$40,0),2))</f>
        <v/>
      </c>
      <c r="H727" s="3">
        <f t="array" aca="1" ref="H727" ca="1">MIN(IF(INDIRECT(CONCATENATE(Tab_Calculs[[#This Row],[Colonne1]],"!$B$2:$B$243"))&gt;=Calculs_Consos!$A727,INDIRECT(CONCATENATE(Tab_Calculs[[#This Row],[Colonne1]],"!$B$2:$B$243"))))</f>
        <v>0</v>
      </c>
      <c r="I727" s="3">
        <f ca="1">INDEX(INDIRECT(CONCATENATE("Tab_",Tab_Calculs[[#This Row],[Colonne1]])),Tab_Calculs[[#This Row],[index_date_livraison]],1)</f>
        <v>0</v>
      </c>
      <c r="J727">
        <f ca="1">MATCH(Tab_Calculs[[#This Row],[Date_livraison]],INDIRECT(CONCATENATE("Tab_",Tab_Calculs[[#This Row],[Colonne1]],"[Fin de période]")),0)</f>
        <v>1</v>
      </c>
      <c r="K727" t="e">
        <f ca="1">INDEX(INDIRECT(CONCATENATE("Tab_",Tab_Calculs[[#This Row],[Colonne1]])),Tab_Calculs[[#This Row],[index_date_livraison]]-1,6)*(MAX(Tab_Calculs[[#This Row],[Début periode livraison]],Tab_Calculs[[#This Row],[Début mois]])-Tab_Calculs[[#This Row],[Début mois]])</f>
        <v>#VALUE!</v>
      </c>
      <c r="L727" s="94">
        <f ca="1">INDEX(INDIRECT(CONCATENATE("Tab_",Tab_Calculs[[#This Row],[Colonne1]])),Tab_Calculs[[#This Row],[index_date_livraison]],6)*(1+MIN(Tab_Calculs[[#This Row],[Date_livraison]],Tab_Calculs[[#This Row],[fin mois]])-MAX(Tab_Calculs[[#This Row],[Début mois]],Tab_Calculs[[#This Row],[Début periode livraison]]))</f>
        <v>0</v>
      </c>
      <c r="M727" s="94" t="e">
        <f ca="1">INDEX(INDIRECT(CONCATENATE("Tab_",Tab_Calculs[[#This Row],[Colonne1]])),Tab_Calculs[[#This Row],[index_date_livraison]]+1,6)*(Tab_Calculs[[#This Row],[fin mois]]-MIN(Tab_Calculs[[#This Row],[fin mois]],Tab_Calculs[[#This Row],[Date_livraison]]))</f>
        <v>#VALUE!</v>
      </c>
      <c r="N727" s="231" t="str">
        <f ca="1">IFERROR(Tab_Calculs[[#This Row],[Ratio_jour_après_livr]]+Tab_Calculs[[#This Row],[Ratio_jour_avant_livr]]+Tab_Calculs[[#This Row],[ratio_avant_debut]],"")</f>
        <v/>
      </c>
      <c r="O727" t="e">
        <f ca="1">INDEX(INDIRECT(CONCATENATE("Tab_",Tab_Calculs[[#This Row],[Colonne1]])),Tab_Calculs[[#This Row],[index_date_livraison]]-1,7)*(MAX(Tab_Calculs[[#This Row],[Début periode livraison]],Tab_Calculs[[#This Row],[Début mois]])-Tab_Calculs[[#This Row],[Début mois]])</f>
        <v>#VALUE!</v>
      </c>
      <c r="P727">
        <f ca="1">INDEX(INDIRECT(CONCATENATE("Tab_",Tab_Calculs[[#This Row],[Colonne1]])),Tab_Calculs[[#This Row],[index_date_livraison]],7)*(1+MIN(Tab_Calculs[[#This Row],[Date_livraison]],Tab_Calculs[[#This Row],[fin mois]])-MAX(Tab_Calculs[[#This Row],[Début mois]],Tab_Calculs[[#This Row],[Début periode livraison]]))</f>
        <v>0</v>
      </c>
      <c r="Q727" t="e">
        <f ca="1">INDEX(INDIRECT(CONCATENATE("Tab_",Tab_Calculs[[#This Row],[Colonne1]])),Tab_Calculs[[#This Row],[index_date_livraison]]+1,7)*(Tab_Calculs[[#This Row],[fin mois]]-MIN(Tab_Calculs[[#This Row],[fin mois]],Tab_Calculs[[#This Row],[Date_livraison]]))</f>
        <v>#VALUE!</v>
      </c>
      <c r="R727" t="e">
        <f ca="1">Tab_Calculs[[#This Row],[Ratio_Cout_après_livr]]+Tab_Calculs[[#This Row],[Ratio_Cout_avant_livr]]+Tab_Calculs[[#This Row],[Ratio_Cout_avant_debut]]</f>
        <v>#VALUE!</v>
      </c>
      <c r="S727" t="str">
        <f ca="1">IFERROR(N727*VLOOKUP(Tab_Calculs[[#This Row],[Colonne1]],Controle_des_données!$B$7:$G$14,6,FALSE),"")</f>
        <v/>
      </c>
      <c r="T727" t="str">
        <f ca="1">IF(Tab_Calculs[[#This Row],[Combustible ]]="Electricité (kWh)",Tab_Calculs[[#This Row],[Conso_mois_kWh]]*2.3,Tab_Calculs[[#This Row],[Conso_mois_kWh]])</f>
        <v/>
      </c>
      <c r="U727" t="str">
        <f ca="1">IFERROR(N727*VLOOKUP(Tab_Calculs[[#This Row],[Colonne1]],Controle_des_données!$B$7:$H$14,7,FALSE),"")</f>
        <v/>
      </c>
      <c r="V727">
        <f ca="1">IFERROR(Tab_Calculs[[#This Row],[Cout_mois]]/Tab_Calculs[[#This Row],[Conso_mois_kWh]],0)</f>
        <v>0</v>
      </c>
      <c r="W727" t="str">
        <f>T(VLOOKUP(Tab_Calculs[[#This Row],[Compteur]],Site!$B$33:$G$40,3,FALSE))</f>
        <v/>
      </c>
      <c r="X727" t="str">
        <f>T(VLOOKUP(Tab_Calculs[[#This Row],[Compteur]],Site!$B$33:$G$40,4,FALSE))</f>
        <v/>
      </c>
      <c r="Y727" t="str">
        <f>T(VLOOKUP(Tab_Calculs[[#This Row],[Compteur]],Site!$B$33:$G$40,5,FALSE))</f>
        <v/>
      </c>
      <c r="Z727" t="str">
        <f>T(VLOOKUP(Tab_Calculs[[#This Row],[Compteur]],Site!$B$33:$G$40,6,FALSE))</f>
        <v/>
      </c>
      <c r="AA727">
        <f>IFERROR(GETPIVOTDATA("DJU(chauffagiste)",BDD_DJU!$P$13,"annee",Tab_Calculs[[#This Row],[ANNEE]],"mois_numero",Tab_Calculs[[#This Row],[MOIS]]),0)</f>
        <v>326.8</v>
      </c>
    </row>
    <row r="728" spans="1:27" x14ac:dyDescent="0.25">
      <c r="A728" s="3">
        <f>DATE(Tab_Calculs[[#This Row],[ANNEE]],Tab_Calculs[[#This Row],[MOIS]],1)</f>
        <v>44531</v>
      </c>
      <c r="B728" s="3">
        <f>EDATE(Tab_Calculs[[#This Row],[Début mois]],1)-1</f>
        <v>44561</v>
      </c>
      <c r="C728">
        <f t="shared" si="24"/>
        <v>12</v>
      </c>
      <c r="D728">
        <f>D716+1</f>
        <v>2021</v>
      </c>
      <c r="E728" t="s">
        <v>83</v>
      </c>
      <c r="F728" t="str">
        <f>SUBSTITUTE(Tab_Calculs[[#This Row],[Compteur]]," ","_")</f>
        <v>Compteur_4</v>
      </c>
      <c r="G728" t="str">
        <f>T(INDEX(Site!$B$33:$G$40, MATCH(Tab_Calculs[[#This Row],[Compteur]], Site!$B$33:$B$40,0),2))</f>
        <v/>
      </c>
      <c r="H728" s="3">
        <f t="array" aca="1" ref="H728" ca="1">MIN(IF(INDIRECT(CONCATENATE(Tab_Calculs[[#This Row],[Colonne1]],"!$B$2:$B$243"))&gt;=Calculs_Consos!$A728,INDIRECT(CONCATENATE(Tab_Calculs[[#This Row],[Colonne1]],"!$B$2:$B$243"))))</f>
        <v>0</v>
      </c>
      <c r="I728" s="3">
        <f ca="1">INDEX(INDIRECT(CONCATENATE("Tab_",Tab_Calculs[[#This Row],[Colonne1]])),Tab_Calculs[[#This Row],[index_date_livraison]],1)</f>
        <v>0</v>
      </c>
      <c r="J728">
        <f ca="1">MATCH(Tab_Calculs[[#This Row],[Date_livraison]],INDIRECT(CONCATENATE("Tab_",Tab_Calculs[[#This Row],[Colonne1]],"[Fin de période]")),0)</f>
        <v>1</v>
      </c>
      <c r="K728" t="e">
        <f ca="1">INDEX(INDIRECT(CONCATENATE("Tab_",Tab_Calculs[[#This Row],[Colonne1]])),Tab_Calculs[[#This Row],[index_date_livraison]]-1,6)*(MAX(Tab_Calculs[[#This Row],[Début periode livraison]],Tab_Calculs[[#This Row],[Début mois]])-Tab_Calculs[[#This Row],[Début mois]])</f>
        <v>#VALUE!</v>
      </c>
      <c r="L728" s="94">
        <f ca="1">INDEX(INDIRECT(CONCATENATE("Tab_",Tab_Calculs[[#This Row],[Colonne1]])),Tab_Calculs[[#This Row],[index_date_livraison]],6)*(1+MIN(Tab_Calculs[[#This Row],[Date_livraison]],Tab_Calculs[[#This Row],[fin mois]])-MAX(Tab_Calculs[[#This Row],[Début mois]],Tab_Calculs[[#This Row],[Début periode livraison]]))</f>
        <v>0</v>
      </c>
      <c r="M728" s="94" t="e">
        <f ca="1">INDEX(INDIRECT(CONCATENATE("Tab_",Tab_Calculs[[#This Row],[Colonne1]])),Tab_Calculs[[#This Row],[index_date_livraison]]+1,6)*(Tab_Calculs[[#This Row],[fin mois]]-MIN(Tab_Calculs[[#This Row],[fin mois]],Tab_Calculs[[#This Row],[Date_livraison]]))</f>
        <v>#VALUE!</v>
      </c>
      <c r="N728" s="231" t="str">
        <f ca="1">IFERROR(Tab_Calculs[[#This Row],[Ratio_jour_après_livr]]+Tab_Calculs[[#This Row],[Ratio_jour_avant_livr]]+Tab_Calculs[[#This Row],[ratio_avant_debut]],"")</f>
        <v/>
      </c>
      <c r="O728" t="e">
        <f ca="1">INDEX(INDIRECT(CONCATENATE("Tab_",Tab_Calculs[[#This Row],[Colonne1]])),Tab_Calculs[[#This Row],[index_date_livraison]]-1,7)*(MAX(Tab_Calculs[[#This Row],[Début periode livraison]],Tab_Calculs[[#This Row],[Début mois]])-Tab_Calculs[[#This Row],[Début mois]])</f>
        <v>#VALUE!</v>
      </c>
      <c r="P728">
        <f ca="1">INDEX(INDIRECT(CONCATENATE("Tab_",Tab_Calculs[[#This Row],[Colonne1]])),Tab_Calculs[[#This Row],[index_date_livraison]],7)*(1+MIN(Tab_Calculs[[#This Row],[Date_livraison]],Tab_Calculs[[#This Row],[fin mois]])-MAX(Tab_Calculs[[#This Row],[Début mois]],Tab_Calculs[[#This Row],[Début periode livraison]]))</f>
        <v>0</v>
      </c>
      <c r="Q728" t="e">
        <f ca="1">INDEX(INDIRECT(CONCATENATE("Tab_",Tab_Calculs[[#This Row],[Colonne1]])),Tab_Calculs[[#This Row],[index_date_livraison]]+1,7)*(Tab_Calculs[[#This Row],[fin mois]]-MIN(Tab_Calculs[[#This Row],[fin mois]],Tab_Calculs[[#This Row],[Date_livraison]]))</f>
        <v>#VALUE!</v>
      </c>
      <c r="R728" t="e">
        <f ca="1">Tab_Calculs[[#This Row],[Ratio_Cout_après_livr]]+Tab_Calculs[[#This Row],[Ratio_Cout_avant_livr]]+Tab_Calculs[[#This Row],[Ratio_Cout_avant_debut]]</f>
        <v>#VALUE!</v>
      </c>
      <c r="S728" t="str">
        <f ca="1">IFERROR(N728*VLOOKUP(Tab_Calculs[[#This Row],[Colonne1]],Controle_des_données!$B$7:$G$14,6,FALSE),"")</f>
        <v/>
      </c>
      <c r="T728" t="str">
        <f ca="1">IF(Tab_Calculs[[#This Row],[Combustible ]]="Electricité (kWh)",Tab_Calculs[[#This Row],[Conso_mois_kWh]]*2.3,Tab_Calculs[[#This Row],[Conso_mois_kWh]])</f>
        <v/>
      </c>
      <c r="U728" t="str">
        <f ca="1">IFERROR(N728*VLOOKUP(Tab_Calculs[[#This Row],[Colonne1]],Controle_des_données!$B$7:$H$14,7,FALSE),"")</f>
        <v/>
      </c>
      <c r="V728">
        <f ca="1">IFERROR(Tab_Calculs[[#This Row],[Cout_mois]]/Tab_Calculs[[#This Row],[Conso_mois_kWh]],0)</f>
        <v>0</v>
      </c>
      <c r="W728" t="str">
        <f>T(VLOOKUP(Tab_Calculs[[#This Row],[Compteur]],Site!$B$33:$G$40,3,FALSE))</f>
        <v/>
      </c>
      <c r="X728" t="str">
        <f>T(VLOOKUP(Tab_Calculs[[#This Row],[Compteur]],Site!$B$33:$G$40,4,FALSE))</f>
        <v/>
      </c>
      <c r="Y728" t="str">
        <f>T(VLOOKUP(Tab_Calculs[[#This Row],[Compteur]],Site!$B$33:$G$40,5,FALSE))</f>
        <v/>
      </c>
      <c r="Z728" t="str">
        <f>T(VLOOKUP(Tab_Calculs[[#This Row],[Compteur]],Site!$B$33:$G$40,6,FALSE))</f>
        <v/>
      </c>
      <c r="AA728">
        <f>IFERROR(GETPIVOTDATA("DJU(chauffagiste)",BDD_DJU!$P$13,"annee",Tab_Calculs[[#This Row],[ANNEE]],"mois_numero",Tab_Calculs[[#This Row],[MOIS]]),0)</f>
        <v>336.7</v>
      </c>
    </row>
    <row r="729" spans="1:27" x14ac:dyDescent="0.25">
      <c r="A729" s="3">
        <f>DATE(Tab_Calculs[[#This Row],[ANNEE]],Tab_Calculs[[#This Row],[MOIS]],1)</f>
        <v>44562</v>
      </c>
      <c r="B729" s="3">
        <f>EDATE(Tab_Calculs[[#This Row],[Début mois]],1)-1</f>
        <v>44592</v>
      </c>
      <c r="C729">
        <f t="shared" si="24"/>
        <v>1</v>
      </c>
      <c r="D729">
        <f t="shared" ref="D729:D741" si="25">D717+1</f>
        <v>2022</v>
      </c>
      <c r="E729" t="s">
        <v>83</v>
      </c>
      <c r="F729" t="str">
        <f>SUBSTITUTE(Tab_Calculs[[#This Row],[Compteur]]," ","_")</f>
        <v>Compteur_4</v>
      </c>
      <c r="G729" t="str">
        <f>T(INDEX(Site!$B$33:$G$40, MATCH(Tab_Calculs[[#This Row],[Compteur]], Site!$B$33:$B$40,0),2))</f>
        <v/>
      </c>
      <c r="H729" s="3">
        <f t="array" aca="1" ref="H729" ca="1">MIN(IF(INDIRECT(CONCATENATE(Tab_Calculs[[#This Row],[Colonne1]],"!$B$2:$B$243"))&gt;=Calculs_Consos!$A729,INDIRECT(CONCATENATE(Tab_Calculs[[#This Row],[Colonne1]],"!$B$2:$B$243"))))</f>
        <v>0</v>
      </c>
      <c r="I729" s="3">
        <f ca="1">INDEX(INDIRECT(CONCATENATE("Tab_",Tab_Calculs[[#This Row],[Colonne1]])),Tab_Calculs[[#This Row],[index_date_livraison]],1)</f>
        <v>0</v>
      </c>
      <c r="J729">
        <f ca="1">MATCH(Tab_Calculs[[#This Row],[Date_livraison]],INDIRECT(CONCATENATE("Tab_",Tab_Calculs[[#This Row],[Colonne1]],"[Fin de période]")),0)</f>
        <v>1</v>
      </c>
      <c r="K729" t="e">
        <f ca="1">INDEX(INDIRECT(CONCATENATE("Tab_",Tab_Calculs[[#This Row],[Colonne1]])),Tab_Calculs[[#This Row],[index_date_livraison]]-1,6)*(MAX(Tab_Calculs[[#This Row],[Début periode livraison]],Tab_Calculs[[#This Row],[Début mois]])-Tab_Calculs[[#This Row],[Début mois]])</f>
        <v>#VALUE!</v>
      </c>
      <c r="L729" s="94">
        <f ca="1">INDEX(INDIRECT(CONCATENATE("Tab_",Tab_Calculs[[#This Row],[Colonne1]])),Tab_Calculs[[#This Row],[index_date_livraison]],6)*(1+MIN(Tab_Calculs[[#This Row],[Date_livraison]],Tab_Calculs[[#This Row],[fin mois]])-MAX(Tab_Calculs[[#This Row],[Début mois]],Tab_Calculs[[#This Row],[Début periode livraison]]))</f>
        <v>0</v>
      </c>
      <c r="M729" s="94" t="e">
        <f ca="1">INDEX(INDIRECT(CONCATENATE("Tab_",Tab_Calculs[[#This Row],[Colonne1]])),Tab_Calculs[[#This Row],[index_date_livraison]]+1,6)*(Tab_Calculs[[#This Row],[fin mois]]-MIN(Tab_Calculs[[#This Row],[fin mois]],Tab_Calculs[[#This Row],[Date_livraison]]))</f>
        <v>#VALUE!</v>
      </c>
      <c r="N729" s="231" t="str">
        <f ca="1">IFERROR(Tab_Calculs[[#This Row],[Ratio_jour_après_livr]]+Tab_Calculs[[#This Row],[Ratio_jour_avant_livr]]+Tab_Calculs[[#This Row],[ratio_avant_debut]],"")</f>
        <v/>
      </c>
      <c r="O729" t="e">
        <f ca="1">INDEX(INDIRECT(CONCATENATE("Tab_",Tab_Calculs[[#This Row],[Colonne1]])),Tab_Calculs[[#This Row],[index_date_livraison]]-1,7)*(MAX(Tab_Calculs[[#This Row],[Début periode livraison]],Tab_Calculs[[#This Row],[Début mois]])-Tab_Calculs[[#This Row],[Début mois]])</f>
        <v>#VALUE!</v>
      </c>
      <c r="P729">
        <f ca="1">INDEX(INDIRECT(CONCATENATE("Tab_",Tab_Calculs[[#This Row],[Colonne1]])),Tab_Calculs[[#This Row],[index_date_livraison]],7)*(1+MIN(Tab_Calculs[[#This Row],[Date_livraison]],Tab_Calculs[[#This Row],[fin mois]])-MAX(Tab_Calculs[[#This Row],[Début mois]],Tab_Calculs[[#This Row],[Début periode livraison]]))</f>
        <v>0</v>
      </c>
      <c r="Q729" t="e">
        <f ca="1">INDEX(INDIRECT(CONCATENATE("Tab_",Tab_Calculs[[#This Row],[Colonne1]])),Tab_Calculs[[#This Row],[index_date_livraison]]+1,7)*(Tab_Calculs[[#This Row],[fin mois]]-MIN(Tab_Calculs[[#This Row],[fin mois]],Tab_Calculs[[#This Row],[Date_livraison]]))</f>
        <v>#VALUE!</v>
      </c>
      <c r="R729" t="e">
        <f ca="1">Tab_Calculs[[#This Row],[Ratio_Cout_après_livr]]+Tab_Calculs[[#This Row],[Ratio_Cout_avant_livr]]+Tab_Calculs[[#This Row],[Ratio_Cout_avant_debut]]</f>
        <v>#VALUE!</v>
      </c>
      <c r="S729" t="str">
        <f ca="1">IFERROR(N729*VLOOKUP(Tab_Calculs[[#This Row],[Colonne1]],Controle_des_données!$B$7:$G$14,6,FALSE),"")</f>
        <v/>
      </c>
      <c r="T729" t="str">
        <f ca="1">IF(Tab_Calculs[[#This Row],[Combustible ]]="Electricité (kWh)",Tab_Calculs[[#This Row],[Conso_mois_kWh]]*2.3,Tab_Calculs[[#This Row],[Conso_mois_kWh]])</f>
        <v/>
      </c>
      <c r="U729" t="str">
        <f ca="1">IFERROR(N729*VLOOKUP(Tab_Calculs[[#This Row],[Colonne1]],Controle_des_données!$B$7:$H$14,7,FALSE),"")</f>
        <v/>
      </c>
      <c r="V729">
        <f ca="1">IFERROR(Tab_Calculs[[#This Row],[Cout_mois]]/Tab_Calculs[[#This Row],[Conso_mois_kWh]],0)</f>
        <v>0</v>
      </c>
      <c r="W729" t="str">
        <f>T(VLOOKUP(Tab_Calculs[[#This Row],[Compteur]],Site!$B$33:$G$40,3,FALSE))</f>
        <v/>
      </c>
      <c r="X729" t="str">
        <f>T(VLOOKUP(Tab_Calculs[[#This Row],[Compteur]],Site!$B$33:$G$40,4,FALSE))</f>
        <v/>
      </c>
      <c r="Y729" t="str">
        <f>T(VLOOKUP(Tab_Calculs[[#This Row],[Compteur]],Site!$B$33:$G$40,5,FALSE))</f>
        <v/>
      </c>
      <c r="Z729" t="str">
        <f>T(VLOOKUP(Tab_Calculs[[#This Row],[Compteur]],Site!$B$33:$G$40,6,FALSE))</f>
        <v/>
      </c>
      <c r="AA729">
        <f>IFERROR(GETPIVOTDATA("DJU(chauffagiste)",BDD_DJU!$P$13,"annee",Tab_Calculs[[#This Row],[ANNEE]],"mois_numero",Tab_Calculs[[#This Row],[MOIS]]),0)</f>
        <v>396.3</v>
      </c>
    </row>
    <row r="730" spans="1:27" x14ac:dyDescent="0.25">
      <c r="A730" s="3">
        <f>DATE(Tab_Calculs[[#This Row],[ANNEE]],Tab_Calculs[[#This Row],[MOIS]],1)</f>
        <v>44593</v>
      </c>
      <c r="B730" s="3">
        <f>EDATE(Tab_Calculs[[#This Row],[Début mois]],1)-1</f>
        <v>44620</v>
      </c>
      <c r="C730">
        <f t="shared" si="24"/>
        <v>2</v>
      </c>
      <c r="D730">
        <f t="shared" si="25"/>
        <v>2022</v>
      </c>
      <c r="E730" t="s">
        <v>83</v>
      </c>
      <c r="F730" t="str">
        <f>SUBSTITUTE(Tab_Calculs[[#This Row],[Compteur]]," ","_")</f>
        <v>Compteur_4</v>
      </c>
      <c r="G730" t="str">
        <f>T(INDEX(Site!$B$33:$G$40, MATCH(Tab_Calculs[[#This Row],[Compteur]], Site!$B$33:$B$40,0),2))</f>
        <v/>
      </c>
      <c r="H730" s="3">
        <f t="array" aca="1" ref="H730" ca="1">MIN(IF(INDIRECT(CONCATENATE(Tab_Calculs[[#This Row],[Colonne1]],"!$B$2:$B$243"))&gt;=Calculs_Consos!$A730,INDIRECT(CONCATENATE(Tab_Calculs[[#This Row],[Colonne1]],"!$B$2:$B$243"))))</f>
        <v>0</v>
      </c>
      <c r="I730" s="3">
        <f ca="1">INDEX(INDIRECT(CONCATENATE("Tab_",Tab_Calculs[[#This Row],[Colonne1]])),Tab_Calculs[[#This Row],[index_date_livraison]],1)</f>
        <v>0</v>
      </c>
      <c r="J730">
        <f ca="1">MATCH(Tab_Calculs[[#This Row],[Date_livraison]],INDIRECT(CONCATENATE("Tab_",Tab_Calculs[[#This Row],[Colonne1]],"[Fin de période]")),0)</f>
        <v>1</v>
      </c>
      <c r="K730" t="e">
        <f ca="1">INDEX(INDIRECT(CONCATENATE("Tab_",Tab_Calculs[[#This Row],[Colonne1]])),Tab_Calculs[[#This Row],[index_date_livraison]]-1,6)*(MAX(Tab_Calculs[[#This Row],[Début periode livraison]],Tab_Calculs[[#This Row],[Début mois]])-Tab_Calculs[[#This Row],[Début mois]])</f>
        <v>#VALUE!</v>
      </c>
      <c r="L730" s="94">
        <f ca="1">INDEX(INDIRECT(CONCATENATE("Tab_",Tab_Calculs[[#This Row],[Colonne1]])),Tab_Calculs[[#This Row],[index_date_livraison]],6)*(1+MIN(Tab_Calculs[[#This Row],[Date_livraison]],Tab_Calculs[[#This Row],[fin mois]])-MAX(Tab_Calculs[[#This Row],[Début mois]],Tab_Calculs[[#This Row],[Début periode livraison]]))</f>
        <v>0</v>
      </c>
      <c r="M730" s="94" t="e">
        <f ca="1">INDEX(INDIRECT(CONCATENATE("Tab_",Tab_Calculs[[#This Row],[Colonne1]])),Tab_Calculs[[#This Row],[index_date_livraison]]+1,6)*(Tab_Calculs[[#This Row],[fin mois]]-MIN(Tab_Calculs[[#This Row],[fin mois]],Tab_Calculs[[#This Row],[Date_livraison]]))</f>
        <v>#VALUE!</v>
      </c>
      <c r="N730" s="231" t="str">
        <f ca="1">IFERROR(Tab_Calculs[[#This Row],[Ratio_jour_après_livr]]+Tab_Calculs[[#This Row],[Ratio_jour_avant_livr]]+Tab_Calculs[[#This Row],[ratio_avant_debut]],"")</f>
        <v/>
      </c>
      <c r="O730" t="e">
        <f ca="1">INDEX(INDIRECT(CONCATENATE("Tab_",Tab_Calculs[[#This Row],[Colonne1]])),Tab_Calculs[[#This Row],[index_date_livraison]]-1,7)*(MAX(Tab_Calculs[[#This Row],[Début periode livraison]],Tab_Calculs[[#This Row],[Début mois]])-Tab_Calculs[[#This Row],[Début mois]])</f>
        <v>#VALUE!</v>
      </c>
      <c r="P730">
        <f ca="1">INDEX(INDIRECT(CONCATENATE("Tab_",Tab_Calculs[[#This Row],[Colonne1]])),Tab_Calculs[[#This Row],[index_date_livraison]],7)*(1+MIN(Tab_Calculs[[#This Row],[Date_livraison]],Tab_Calculs[[#This Row],[fin mois]])-MAX(Tab_Calculs[[#This Row],[Début mois]],Tab_Calculs[[#This Row],[Début periode livraison]]))</f>
        <v>0</v>
      </c>
      <c r="Q730" t="e">
        <f ca="1">INDEX(INDIRECT(CONCATENATE("Tab_",Tab_Calculs[[#This Row],[Colonne1]])),Tab_Calculs[[#This Row],[index_date_livraison]]+1,7)*(Tab_Calculs[[#This Row],[fin mois]]-MIN(Tab_Calculs[[#This Row],[fin mois]],Tab_Calculs[[#This Row],[Date_livraison]]))</f>
        <v>#VALUE!</v>
      </c>
      <c r="R730" t="e">
        <f ca="1">Tab_Calculs[[#This Row],[Ratio_Cout_après_livr]]+Tab_Calculs[[#This Row],[Ratio_Cout_avant_livr]]+Tab_Calculs[[#This Row],[Ratio_Cout_avant_debut]]</f>
        <v>#VALUE!</v>
      </c>
      <c r="S730" t="str">
        <f ca="1">IFERROR(N730*VLOOKUP(Tab_Calculs[[#This Row],[Colonne1]],Controle_des_données!$B$7:$G$14,6,FALSE),"")</f>
        <v/>
      </c>
      <c r="T730" t="str">
        <f ca="1">IF(Tab_Calculs[[#This Row],[Combustible ]]="Electricité (kWh)",Tab_Calculs[[#This Row],[Conso_mois_kWh]]*2.3,Tab_Calculs[[#This Row],[Conso_mois_kWh]])</f>
        <v/>
      </c>
      <c r="U730" t="str">
        <f ca="1">IFERROR(N730*VLOOKUP(Tab_Calculs[[#This Row],[Colonne1]],Controle_des_données!$B$7:$H$14,7,FALSE),"")</f>
        <v/>
      </c>
      <c r="V730">
        <f ca="1">IFERROR(Tab_Calculs[[#This Row],[Cout_mois]]/Tab_Calculs[[#This Row],[Conso_mois_kWh]],0)</f>
        <v>0</v>
      </c>
      <c r="W730" t="str">
        <f>T(VLOOKUP(Tab_Calculs[[#This Row],[Compteur]],Site!$B$33:$G$40,3,FALSE))</f>
        <v/>
      </c>
      <c r="X730" t="str">
        <f>T(VLOOKUP(Tab_Calculs[[#This Row],[Compteur]],Site!$B$33:$G$40,4,FALSE))</f>
        <v/>
      </c>
      <c r="Y730" t="str">
        <f>T(VLOOKUP(Tab_Calculs[[#This Row],[Compteur]],Site!$B$33:$G$40,5,FALSE))</f>
        <v/>
      </c>
      <c r="Z730" t="str">
        <f>T(VLOOKUP(Tab_Calculs[[#This Row],[Compteur]],Site!$B$33:$G$40,6,FALSE))</f>
        <v/>
      </c>
      <c r="AA730">
        <f>IFERROR(GETPIVOTDATA("DJU(chauffagiste)",BDD_DJU!$P$13,"annee",Tab_Calculs[[#This Row],[ANNEE]],"mois_numero",Tab_Calculs[[#This Row],[MOIS]]),0)</f>
        <v>286.10000000000002</v>
      </c>
    </row>
    <row r="731" spans="1:27" x14ac:dyDescent="0.25">
      <c r="A731" s="3">
        <f>DATE(Tab_Calculs[[#This Row],[ANNEE]],Tab_Calculs[[#This Row],[MOIS]],1)</f>
        <v>44621</v>
      </c>
      <c r="B731" s="3">
        <f>EDATE(Tab_Calculs[[#This Row],[Début mois]],1)-1</f>
        <v>44651</v>
      </c>
      <c r="C731">
        <f t="shared" si="24"/>
        <v>3</v>
      </c>
      <c r="D731">
        <f t="shared" si="25"/>
        <v>2022</v>
      </c>
      <c r="E731" t="s">
        <v>83</v>
      </c>
      <c r="F731" t="str">
        <f>SUBSTITUTE(Tab_Calculs[[#This Row],[Compteur]]," ","_")</f>
        <v>Compteur_4</v>
      </c>
      <c r="G731" t="str">
        <f>T(INDEX(Site!$B$33:$G$40, MATCH(Tab_Calculs[[#This Row],[Compteur]], Site!$B$33:$B$40,0),2))</f>
        <v/>
      </c>
      <c r="H731" s="3">
        <f t="array" aca="1" ref="H731" ca="1">MIN(IF(INDIRECT(CONCATENATE(Tab_Calculs[[#This Row],[Colonne1]],"!$B$2:$B$243"))&gt;=Calculs_Consos!$A731,INDIRECT(CONCATENATE(Tab_Calculs[[#This Row],[Colonne1]],"!$B$2:$B$243"))))</f>
        <v>0</v>
      </c>
      <c r="I731" s="3">
        <f ca="1">INDEX(INDIRECT(CONCATENATE("Tab_",Tab_Calculs[[#This Row],[Colonne1]])),Tab_Calculs[[#This Row],[index_date_livraison]],1)</f>
        <v>0</v>
      </c>
      <c r="J731">
        <f ca="1">MATCH(Tab_Calculs[[#This Row],[Date_livraison]],INDIRECT(CONCATENATE("Tab_",Tab_Calculs[[#This Row],[Colonne1]],"[Fin de période]")),0)</f>
        <v>1</v>
      </c>
      <c r="K731" t="e">
        <f ca="1">INDEX(INDIRECT(CONCATENATE("Tab_",Tab_Calculs[[#This Row],[Colonne1]])),Tab_Calculs[[#This Row],[index_date_livraison]]-1,6)*(MAX(Tab_Calculs[[#This Row],[Début periode livraison]],Tab_Calculs[[#This Row],[Début mois]])-Tab_Calculs[[#This Row],[Début mois]])</f>
        <v>#VALUE!</v>
      </c>
      <c r="L731" s="94">
        <f ca="1">INDEX(INDIRECT(CONCATENATE("Tab_",Tab_Calculs[[#This Row],[Colonne1]])),Tab_Calculs[[#This Row],[index_date_livraison]],6)*(1+MIN(Tab_Calculs[[#This Row],[Date_livraison]],Tab_Calculs[[#This Row],[fin mois]])-MAX(Tab_Calculs[[#This Row],[Début mois]],Tab_Calculs[[#This Row],[Début periode livraison]]))</f>
        <v>0</v>
      </c>
      <c r="M731" s="94" t="e">
        <f ca="1">INDEX(INDIRECT(CONCATENATE("Tab_",Tab_Calculs[[#This Row],[Colonne1]])),Tab_Calculs[[#This Row],[index_date_livraison]]+1,6)*(Tab_Calculs[[#This Row],[fin mois]]-MIN(Tab_Calculs[[#This Row],[fin mois]],Tab_Calculs[[#This Row],[Date_livraison]]))</f>
        <v>#VALUE!</v>
      </c>
      <c r="N731" s="231" t="str">
        <f ca="1">IFERROR(Tab_Calculs[[#This Row],[Ratio_jour_après_livr]]+Tab_Calculs[[#This Row],[Ratio_jour_avant_livr]]+Tab_Calculs[[#This Row],[ratio_avant_debut]],"")</f>
        <v/>
      </c>
      <c r="O731" t="e">
        <f ca="1">INDEX(INDIRECT(CONCATENATE("Tab_",Tab_Calculs[[#This Row],[Colonne1]])),Tab_Calculs[[#This Row],[index_date_livraison]]-1,7)*(MAX(Tab_Calculs[[#This Row],[Début periode livraison]],Tab_Calculs[[#This Row],[Début mois]])-Tab_Calculs[[#This Row],[Début mois]])</f>
        <v>#VALUE!</v>
      </c>
      <c r="P731">
        <f ca="1">INDEX(INDIRECT(CONCATENATE("Tab_",Tab_Calculs[[#This Row],[Colonne1]])),Tab_Calculs[[#This Row],[index_date_livraison]],7)*(1+MIN(Tab_Calculs[[#This Row],[Date_livraison]],Tab_Calculs[[#This Row],[fin mois]])-MAX(Tab_Calculs[[#This Row],[Début mois]],Tab_Calculs[[#This Row],[Début periode livraison]]))</f>
        <v>0</v>
      </c>
      <c r="Q731" t="e">
        <f ca="1">INDEX(INDIRECT(CONCATENATE("Tab_",Tab_Calculs[[#This Row],[Colonne1]])),Tab_Calculs[[#This Row],[index_date_livraison]]+1,7)*(Tab_Calculs[[#This Row],[fin mois]]-MIN(Tab_Calculs[[#This Row],[fin mois]],Tab_Calculs[[#This Row],[Date_livraison]]))</f>
        <v>#VALUE!</v>
      </c>
      <c r="R731" t="e">
        <f ca="1">Tab_Calculs[[#This Row],[Ratio_Cout_après_livr]]+Tab_Calculs[[#This Row],[Ratio_Cout_avant_livr]]+Tab_Calculs[[#This Row],[Ratio_Cout_avant_debut]]</f>
        <v>#VALUE!</v>
      </c>
      <c r="S731" t="str">
        <f ca="1">IFERROR(N731*VLOOKUP(Tab_Calculs[[#This Row],[Colonne1]],Controle_des_données!$B$7:$G$14,6,FALSE),"")</f>
        <v/>
      </c>
      <c r="T731" t="str">
        <f ca="1">IF(Tab_Calculs[[#This Row],[Combustible ]]="Electricité (kWh)",Tab_Calculs[[#This Row],[Conso_mois_kWh]]*2.3,Tab_Calculs[[#This Row],[Conso_mois_kWh]])</f>
        <v/>
      </c>
      <c r="U731" t="str">
        <f ca="1">IFERROR(N731*VLOOKUP(Tab_Calculs[[#This Row],[Colonne1]],Controle_des_données!$B$7:$H$14,7,FALSE),"")</f>
        <v/>
      </c>
      <c r="V731">
        <f ca="1">IFERROR(Tab_Calculs[[#This Row],[Cout_mois]]/Tab_Calculs[[#This Row],[Conso_mois_kWh]],0)</f>
        <v>0</v>
      </c>
      <c r="W731" t="str">
        <f>T(VLOOKUP(Tab_Calculs[[#This Row],[Compteur]],Site!$B$33:$G$40,3,FALSE))</f>
        <v/>
      </c>
      <c r="X731" t="str">
        <f>T(VLOOKUP(Tab_Calculs[[#This Row],[Compteur]],Site!$B$33:$G$40,4,FALSE))</f>
        <v/>
      </c>
      <c r="Y731" t="str">
        <f>T(VLOOKUP(Tab_Calculs[[#This Row],[Compteur]],Site!$B$33:$G$40,5,FALSE))</f>
        <v/>
      </c>
      <c r="Z731" t="str">
        <f>T(VLOOKUP(Tab_Calculs[[#This Row],[Compteur]],Site!$B$33:$G$40,6,FALSE))</f>
        <v/>
      </c>
      <c r="AA731">
        <f>IFERROR(GETPIVOTDATA("DJU(chauffagiste)",BDD_DJU!$P$13,"annee",Tab_Calculs[[#This Row],[ANNEE]],"mois_numero",Tab_Calculs[[#This Row],[MOIS]]),0)</f>
        <v>239.8</v>
      </c>
    </row>
    <row r="732" spans="1:27" x14ac:dyDescent="0.25">
      <c r="A732" s="3">
        <f>DATE(Tab_Calculs[[#This Row],[ANNEE]],Tab_Calculs[[#This Row],[MOIS]],1)</f>
        <v>44652</v>
      </c>
      <c r="B732" s="3">
        <f>EDATE(Tab_Calculs[[#This Row],[Début mois]],1)-1</f>
        <v>44681</v>
      </c>
      <c r="C732">
        <f t="shared" si="24"/>
        <v>4</v>
      </c>
      <c r="D732">
        <f t="shared" si="25"/>
        <v>2022</v>
      </c>
      <c r="E732" t="s">
        <v>83</v>
      </c>
      <c r="F732" t="str">
        <f>SUBSTITUTE(Tab_Calculs[[#This Row],[Compteur]]," ","_")</f>
        <v>Compteur_4</v>
      </c>
      <c r="G732" t="str">
        <f>T(INDEX(Site!$B$33:$G$40, MATCH(Tab_Calculs[[#This Row],[Compteur]], Site!$B$33:$B$40,0),2))</f>
        <v/>
      </c>
      <c r="H732" s="3">
        <f t="array" aca="1" ref="H732" ca="1">MIN(IF(INDIRECT(CONCATENATE(Tab_Calculs[[#This Row],[Colonne1]],"!$B$2:$B$243"))&gt;=Calculs_Consos!$A732,INDIRECT(CONCATENATE(Tab_Calculs[[#This Row],[Colonne1]],"!$B$2:$B$243"))))</f>
        <v>0</v>
      </c>
      <c r="I732" s="3">
        <f ca="1">INDEX(INDIRECT(CONCATENATE("Tab_",Tab_Calculs[[#This Row],[Colonne1]])),Tab_Calculs[[#This Row],[index_date_livraison]],1)</f>
        <v>0</v>
      </c>
      <c r="J732">
        <f ca="1">MATCH(Tab_Calculs[[#This Row],[Date_livraison]],INDIRECT(CONCATENATE("Tab_",Tab_Calculs[[#This Row],[Colonne1]],"[Fin de période]")),0)</f>
        <v>1</v>
      </c>
      <c r="K732" t="e">
        <f ca="1">INDEX(INDIRECT(CONCATENATE("Tab_",Tab_Calculs[[#This Row],[Colonne1]])),Tab_Calculs[[#This Row],[index_date_livraison]]-1,6)*(MAX(Tab_Calculs[[#This Row],[Début periode livraison]],Tab_Calculs[[#This Row],[Début mois]])-Tab_Calculs[[#This Row],[Début mois]])</f>
        <v>#VALUE!</v>
      </c>
      <c r="L732" s="94">
        <f ca="1">INDEX(INDIRECT(CONCATENATE("Tab_",Tab_Calculs[[#This Row],[Colonne1]])),Tab_Calculs[[#This Row],[index_date_livraison]],6)*(1+MIN(Tab_Calculs[[#This Row],[Date_livraison]],Tab_Calculs[[#This Row],[fin mois]])-MAX(Tab_Calculs[[#This Row],[Début mois]],Tab_Calculs[[#This Row],[Début periode livraison]]))</f>
        <v>0</v>
      </c>
      <c r="M732" s="94" t="e">
        <f ca="1">INDEX(INDIRECT(CONCATENATE("Tab_",Tab_Calculs[[#This Row],[Colonne1]])),Tab_Calculs[[#This Row],[index_date_livraison]]+1,6)*(Tab_Calculs[[#This Row],[fin mois]]-MIN(Tab_Calculs[[#This Row],[fin mois]],Tab_Calculs[[#This Row],[Date_livraison]]))</f>
        <v>#VALUE!</v>
      </c>
      <c r="N732" s="231" t="str">
        <f ca="1">IFERROR(Tab_Calculs[[#This Row],[Ratio_jour_après_livr]]+Tab_Calculs[[#This Row],[Ratio_jour_avant_livr]]+Tab_Calculs[[#This Row],[ratio_avant_debut]],"")</f>
        <v/>
      </c>
      <c r="O732" t="e">
        <f ca="1">INDEX(INDIRECT(CONCATENATE("Tab_",Tab_Calculs[[#This Row],[Colonne1]])),Tab_Calculs[[#This Row],[index_date_livraison]]-1,7)*(MAX(Tab_Calculs[[#This Row],[Début periode livraison]],Tab_Calculs[[#This Row],[Début mois]])-Tab_Calculs[[#This Row],[Début mois]])</f>
        <v>#VALUE!</v>
      </c>
      <c r="P732">
        <f ca="1">INDEX(INDIRECT(CONCATENATE("Tab_",Tab_Calculs[[#This Row],[Colonne1]])),Tab_Calculs[[#This Row],[index_date_livraison]],7)*(1+MIN(Tab_Calculs[[#This Row],[Date_livraison]],Tab_Calculs[[#This Row],[fin mois]])-MAX(Tab_Calculs[[#This Row],[Début mois]],Tab_Calculs[[#This Row],[Début periode livraison]]))</f>
        <v>0</v>
      </c>
      <c r="Q732" t="e">
        <f ca="1">INDEX(INDIRECT(CONCATENATE("Tab_",Tab_Calculs[[#This Row],[Colonne1]])),Tab_Calculs[[#This Row],[index_date_livraison]]+1,7)*(Tab_Calculs[[#This Row],[fin mois]]-MIN(Tab_Calculs[[#This Row],[fin mois]],Tab_Calculs[[#This Row],[Date_livraison]]))</f>
        <v>#VALUE!</v>
      </c>
      <c r="R732" t="e">
        <f ca="1">Tab_Calculs[[#This Row],[Ratio_Cout_après_livr]]+Tab_Calculs[[#This Row],[Ratio_Cout_avant_livr]]+Tab_Calculs[[#This Row],[Ratio_Cout_avant_debut]]</f>
        <v>#VALUE!</v>
      </c>
      <c r="S732" t="str">
        <f ca="1">IFERROR(N732*VLOOKUP(Tab_Calculs[[#This Row],[Colonne1]],Controle_des_données!$B$7:$G$14,6,FALSE),"")</f>
        <v/>
      </c>
      <c r="T732" t="str">
        <f ca="1">IF(Tab_Calculs[[#This Row],[Combustible ]]="Electricité (kWh)",Tab_Calculs[[#This Row],[Conso_mois_kWh]]*2.3,Tab_Calculs[[#This Row],[Conso_mois_kWh]])</f>
        <v/>
      </c>
      <c r="U732" t="str">
        <f ca="1">IFERROR(N732*VLOOKUP(Tab_Calculs[[#This Row],[Colonne1]],Controle_des_données!$B$7:$H$14,7,FALSE),"")</f>
        <v/>
      </c>
      <c r="V732">
        <f ca="1">IFERROR(Tab_Calculs[[#This Row],[Cout_mois]]/Tab_Calculs[[#This Row],[Conso_mois_kWh]],0)</f>
        <v>0</v>
      </c>
      <c r="W732" t="str">
        <f>T(VLOOKUP(Tab_Calculs[[#This Row],[Compteur]],Site!$B$33:$G$40,3,FALSE))</f>
        <v/>
      </c>
      <c r="X732" t="str">
        <f>T(VLOOKUP(Tab_Calculs[[#This Row],[Compteur]],Site!$B$33:$G$40,4,FALSE))</f>
        <v/>
      </c>
      <c r="Y732" t="str">
        <f>T(VLOOKUP(Tab_Calculs[[#This Row],[Compteur]],Site!$B$33:$G$40,5,FALSE))</f>
        <v/>
      </c>
      <c r="Z732" t="str">
        <f>T(VLOOKUP(Tab_Calculs[[#This Row],[Compteur]],Site!$B$33:$G$40,6,FALSE))</f>
        <v/>
      </c>
      <c r="AA732">
        <f>IFERROR(GETPIVOTDATA("DJU(chauffagiste)",BDD_DJU!$P$13,"annee",Tab_Calculs[[#This Row],[ANNEE]],"mois_numero",Tab_Calculs[[#This Row],[MOIS]]),0)</f>
        <v>192.3</v>
      </c>
    </row>
    <row r="733" spans="1:27" x14ac:dyDescent="0.25">
      <c r="A733" s="3">
        <f>DATE(Tab_Calculs[[#This Row],[ANNEE]],Tab_Calculs[[#This Row],[MOIS]],1)</f>
        <v>44682</v>
      </c>
      <c r="B733" s="3">
        <f>EDATE(Tab_Calculs[[#This Row],[Début mois]],1)-1</f>
        <v>44712</v>
      </c>
      <c r="C733">
        <f t="shared" si="24"/>
        <v>5</v>
      </c>
      <c r="D733">
        <f t="shared" si="25"/>
        <v>2022</v>
      </c>
      <c r="E733" t="s">
        <v>83</v>
      </c>
      <c r="F733" t="str">
        <f>SUBSTITUTE(Tab_Calculs[[#This Row],[Compteur]]," ","_")</f>
        <v>Compteur_4</v>
      </c>
      <c r="G733" t="str">
        <f>T(INDEX(Site!$B$33:$G$40, MATCH(Tab_Calculs[[#This Row],[Compteur]], Site!$B$33:$B$40,0),2))</f>
        <v/>
      </c>
      <c r="H733" s="3">
        <f t="array" aca="1" ref="H733" ca="1">MIN(IF(INDIRECT(CONCATENATE(Tab_Calculs[[#This Row],[Colonne1]],"!$B$2:$B$243"))&gt;=Calculs_Consos!$A733,INDIRECT(CONCATENATE(Tab_Calculs[[#This Row],[Colonne1]],"!$B$2:$B$243"))))</f>
        <v>0</v>
      </c>
      <c r="I733" s="3">
        <f ca="1">INDEX(INDIRECT(CONCATENATE("Tab_",Tab_Calculs[[#This Row],[Colonne1]])),Tab_Calculs[[#This Row],[index_date_livraison]],1)</f>
        <v>0</v>
      </c>
      <c r="J733">
        <f ca="1">MATCH(Tab_Calculs[[#This Row],[Date_livraison]],INDIRECT(CONCATENATE("Tab_",Tab_Calculs[[#This Row],[Colonne1]],"[Fin de période]")),0)</f>
        <v>1</v>
      </c>
      <c r="K733" t="e">
        <f ca="1">INDEX(INDIRECT(CONCATENATE("Tab_",Tab_Calculs[[#This Row],[Colonne1]])),Tab_Calculs[[#This Row],[index_date_livraison]]-1,6)*(MAX(Tab_Calculs[[#This Row],[Début periode livraison]],Tab_Calculs[[#This Row],[Début mois]])-Tab_Calculs[[#This Row],[Début mois]])</f>
        <v>#VALUE!</v>
      </c>
      <c r="L733" s="94">
        <f ca="1">INDEX(INDIRECT(CONCATENATE("Tab_",Tab_Calculs[[#This Row],[Colonne1]])),Tab_Calculs[[#This Row],[index_date_livraison]],6)*(1+MIN(Tab_Calculs[[#This Row],[Date_livraison]],Tab_Calculs[[#This Row],[fin mois]])-MAX(Tab_Calculs[[#This Row],[Début mois]],Tab_Calculs[[#This Row],[Début periode livraison]]))</f>
        <v>0</v>
      </c>
      <c r="M733" s="94" t="e">
        <f ca="1">INDEX(INDIRECT(CONCATENATE("Tab_",Tab_Calculs[[#This Row],[Colonne1]])),Tab_Calculs[[#This Row],[index_date_livraison]]+1,6)*(Tab_Calculs[[#This Row],[fin mois]]-MIN(Tab_Calculs[[#This Row],[fin mois]],Tab_Calculs[[#This Row],[Date_livraison]]))</f>
        <v>#VALUE!</v>
      </c>
      <c r="N733" s="231" t="str">
        <f ca="1">IFERROR(Tab_Calculs[[#This Row],[Ratio_jour_après_livr]]+Tab_Calculs[[#This Row],[Ratio_jour_avant_livr]]+Tab_Calculs[[#This Row],[ratio_avant_debut]],"")</f>
        <v/>
      </c>
      <c r="O733" t="e">
        <f ca="1">INDEX(INDIRECT(CONCATENATE("Tab_",Tab_Calculs[[#This Row],[Colonne1]])),Tab_Calculs[[#This Row],[index_date_livraison]]-1,7)*(MAX(Tab_Calculs[[#This Row],[Début periode livraison]],Tab_Calculs[[#This Row],[Début mois]])-Tab_Calculs[[#This Row],[Début mois]])</f>
        <v>#VALUE!</v>
      </c>
      <c r="P733">
        <f ca="1">INDEX(INDIRECT(CONCATENATE("Tab_",Tab_Calculs[[#This Row],[Colonne1]])),Tab_Calculs[[#This Row],[index_date_livraison]],7)*(1+MIN(Tab_Calculs[[#This Row],[Date_livraison]],Tab_Calculs[[#This Row],[fin mois]])-MAX(Tab_Calculs[[#This Row],[Début mois]],Tab_Calculs[[#This Row],[Début periode livraison]]))</f>
        <v>0</v>
      </c>
      <c r="Q733" t="e">
        <f ca="1">INDEX(INDIRECT(CONCATENATE("Tab_",Tab_Calculs[[#This Row],[Colonne1]])),Tab_Calculs[[#This Row],[index_date_livraison]]+1,7)*(Tab_Calculs[[#This Row],[fin mois]]-MIN(Tab_Calculs[[#This Row],[fin mois]],Tab_Calculs[[#This Row],[Date_livraison]]))</f>
        <v>#VALUE!</v>
      </c>
      <c r="R733" t="e">
        <f ca="1">Tab_Calculs[[#This Row],[Ratio_Cout_après_livr]]+Tab_Calculs[[#This Row],[Ratio_Cout_avant_livr]]+Tab_Calculs[[#This Row],[Ratio_Cout_avant_debut]]</f>
        <v>#VALUE!</v>
      </c>
      <c r="S733" t="str">
        <f ca="1">IFERROR(N733*VLOOKUP(Tab_Calculs[[#This Row],[Colonne1]],Controle_des_données!$B$7:$G$14,6,FALSE),"")</f>
        <v/>
      </c>
      <c r="T733" t="str">
        <f ca="1">IF(Tab_Calculs[[#This Row],[Combustible ]]="Electricité (kWh)",Tab_Calculs[[#This Row],[Conso_mois_kWh]]*2.3,Tab_Calculs[[#This Row],[Conso_mois_kWh]])</f>
        <v/>
      </c>
      <c r="U733" t="str">
        <f ca="1">IFERROR(N733*VLOOKUP(Tab_Calculs[[#This Row],[Colonne1]],Controle_des_données!$B$7:$H$14,7,FALSE),"")</f>
        <v/>
      </c>
      <c r="V733">
        <f ca="1">IFERROR(Tab_Calculs[[#This Row],[Cout_mois]]/Tab_Calculs[[#This Row],[Conso_mois_kWh]],0)</f>
        <v>0</v>
      </c>
      <c r="W733" t="str">
        <f>T(VLOOKUP(Tab_Calculs[[#This Row],[Compteur]],Site!$B$33:$G$40,3,FALSE))</f>
        <v/>
      </c>
      <c r="X733" t="str">
        <f>T(VLOOKUP(Tab_Calculs[[#This Row],[Compteur]],Site!$B$33:$G$40,4,FALSE))</f>
        <v/>
      </c>
      <c r="Y733" t="str">
        <f>T(VLOOKUP(Tab_Calculs[[#This Row],[Compteur]],Site!$B$33:$G$40,5,FALSE))</f>
        <v/>
      </c>
      <c r="Z733" t="str">
        <f>T(VLOOKUP(Tab_Calculs[[#This Row],[Compteur]],Site!$B$33:$G$40,6,FALSE))</f>
        <v/>
      </c>
      <c r="AA733">
        <f>IFERROR(GETPIVOTDATA("DJU(chauffagiste)",BDD_DJU!$P$13,"annee",Tab_Calculs[[#This Row],[ANNEE]],"mois_numero",Tab_Calculs[[#This Row],[MOIS]]),0)</f>
        <v>81.8</v>
      </c>
    </row>
    <row r="734" spans="1:27" x14ac:dyDescent="0.25">
      <c r="A734" s="3">
        <f>DATE(Tab_Calculs[[#This Row],[ANNEE]],Tab_Calculs[[#This Row],[MOIS]],1)</f>
        <v>44713</v>
      </c>
      <c r="B734" s="3">
        <f>EDATE(Tab_Calculs[[#This Row],[Début mois]],1)-1</f>
        <v>44742</v>
      </c>
      <c r="C734">
        <f t="shared" si="24"/>
        <v>6</v>
      </c>
      <c r="D734">
        <f t="shared" si="25"/>
        <v>2022</v>
      </c>
      <c r="E734" t="s">
        <v>83</v>
      </c>
      <c r="F734" t="str">
        <f>SUBSTITUTE(Tab_Calculs[[#This Row],[Compteur]]," ","_")</f>
        <v>Compteur_4</v>
      </c>
      <c r="G734" t="str">
        <f>T(INDEX(Site!$B$33:$G$40, MATCH(Tab_Calculs[[#This Row],[Compteur]], Site!$B$33:$B$40,0),2))</f>
        <v/>
      </c>
      <c r="H734" s="3">
        <f t="array" aca="1" ref="H734" ca="1">MIN(IF(INDIRECT(CONCATENATE(Tab_Calculs[[#This Row],[Colonne1]],"!$B$2:$B$243"))&gt;=Calculs_Consos!$A734,INDIRECT(CONCATENATE(Tab_Calculs[[#This Row],[Colonne1]],"!$B$2:$B$243"))))</f>
        <v>0</v>
      </c>
      <c r="I734" s="3">
        <f ca="1">INDEX(INDIRECT(CONCATENATE("Tab_",Tab_Calculs[[#This Row],[Colonne1]])),Tab_Calculs[[#This Row],[index_date_livraison]],1)</f>
        <v>0</v>
      </c>
      <c r="J734">
        <f ca="1">MATCH(Tab_Calculs[[#This Row],[Date_livraison]],INDIRECT(CONCATENATE("Tab_",Tab_Calculs[[#This Row],[Colonne1]],"[Fin de période]")),0)</f>
        <v>1</v>
      </c>
      <c r="K734" t="e">
        <f ca="1">INDEX(INDIRECT(CONCATENATE("Tab_",Tab_Calculs[[#This Row],[Colonne1]])),Tab_Calculs[[#This Row],[index_date_livraison]]-1,6)*(MAX(Tab_Calculs[[#This Row],[Début periode livraison]],Tab_Calculs[[#This Row],[Début mois]])-Tab_Calculs[[#This Row],[Début mois]])</f>
        <v>#VALUE!</v>
      </c>
      <c r="L734" s="94">
        <f ca="1">INDEX(INDIRECT(CONCATENATE("Tab_",Tab_Calculs[[#This Row],[Colonne1]])),Tab_Calculs[[#This Row],[index_date_livraison]],6)*(1+MIN(Tab_Calculs[[#This Row],[Date_livraison]],Tab_Calculs[[#This Row],[fin mois]])-MAX(Tab_Calculs[[#This Row],[Début mois]],Tab_Calculs[[#This Row],[Début periode livraison]]))</f>
        <v>0</v>
      </c>
      <c r="M734" s="94" t="e">
        <f ca="1">INDEX(INDIRECT(CONCATENATE("Tab_",Tab_Calculs[[#This Row],[Colonne1]])),Tab_Calculs[[#This Row],[index_date_livraison]]+1,6)*(Tab_Calculs[[#This Row],[fin mois]]-MIN(Tab_Calculs[[#This Row],[fin mois]],Tab_Calculs[[#This Row],[Date_livraison]]))</f>
        <v>#VALUE!</v>
      </c>
      <c r="N734" s="231" t="str">
        <f ca="1">IFERROR(Tab_Calculs[[#This Row],[Ratio_jour_après_livr]]+Tab_Calculs[[#This Row],[Ratio_jour_avant_livr]]+Tab_Calculs[[#This Row],[ratio_avant_debut]],"")</f>
        <v/>
      </c>
      <c r="O734" t="e">
        <f ca="1">INDEX(INDIRECT(CONCATENATE("Tab_",Tab_Calculs[[#This Row],[Colonne1]])),Tab_Calculs[[#This Row],[index_date_livraison]]-1,7)*(MAX(Tab_Calculs[[#This Row],[Début periode livraison]],Tab_Calculs[[#This Row],[Début mois]])-Tab_Calculs[[#This Row],[Début mois]])</f>
        <v>#VALUE!</v>
      </c>
      <c r="P734">
        <f ca="1">INDEX(INDIRECT(CONCATENATE("Tab_",Tab_Calculs[[#This Row],[Colonne1]])),Tab_Calculs[[#This Row],[index_date_livraison]],7)*(1+MIN(Tab_Calculs[[#This Row],[Date_livraison]],Tab_Calculs[[#This Row],[fin mois]])-MAX(Tab_Calculs[[#This Row],[Début mois]],Tab_Calculs[[#This Row],[Début periode livraison]]))</f>
        <v>0</v>
      </c>
      <c r="Q734" t="e">
        <f ca="1">INDEX(INDIRECT(CONCATENATE("Tab_",Tab_Calculs[[#This Row],[Colonne1]])),Tab_Calculs[[#This Row],[index_date_livraison]]+1,7)*(Tab_Calculs[[#This Row],[fin mois]]-MIN(Tab_Calculs[[#This Row],[fin mois]],Tab_Calculs[[#This Row],[Date_livraison]]))</f>
        <v>#VALUE!</v>
      </c>
      <c r="R734" t="e">
        <f ca="1">Tab_Calculs[[#This Row],[Ratio_Cout_après_livr]]+Tab_Calculs[[#This Row],[Ratio_Cout_avant_livr]]+Tab_Calculs[[#This Row],[Ratio_Cout_avant_debut]]</f>
        <v>#VALUE!</v>
      </c>
      <c r="S734" t="str">
        <f ca="1">IFERROR(N734*VLOOKUP(Tab_Calculs[[#This Row],[Colonne1]],Controle_des_données!$B$7:$G$14,6,FALSE),"")</f>
        <v/>
      </c>
      <c r="T734" t="str">
        <f ca="1">IF(Tab_Calculs[[#This Row],[Combustible ]]="Electricité (kWh)",Tab_Calculs[[#This Row],[Conso_mois_kWh]]*2.3,Tab_Calculs[[#This Row],[Conso_mois_kWh]])</f>
        <v/>
      </c>
      <c r="U734" t="str">
        <f ca="1">IFERROR(N734*VLOOKUP(Tab_Calculs[[#This Row],[Colonne1]],Controle_des_données!$B$7:$H$14,7,FALSE),"")</f>
        <v/>
      </c>
      <c r="V734">
        <f ca="1">IFERROR(Tab_Calculs[[#This Row],[Cout_mois]]/Tab_Calculs[[#This Row],[Conso_mois_kWh]],0)</f>
        <v>0</v>
      </c>
      <c r="W734" t="str">
        <f>T(VLOOKUP(Tab_Calculs[[#This Row],[Compteur]],Site!$B$33:$G$40,3,FALSE))</f>
        <v/>
      </c>
      <c r="X734" t="str">
        <f>T(VLOOKUP(Tab_Calculs[[#This Row],[Compteur]],Site!$B$33:$G$40,4,FALSE))</f>
        <v/>
      </c>
      <c r="Y734" t="str">
        <f>T(VLOOKUP(Tab_Calculs[[#This Row],[Compteur]],Site!$B$33:$G$40,5,FALSE))</f>
        <v/>
      </c>
      <c r="Z734" t="str">
        <f>T(VLOOKUP(Tab_Calculs[[#This Row],[Compteur]],Site!$B$33:$G$40,6,FALSE))</f>
        <v/>
      </c>
      <c r="AA734">
        <f>IFERROR(GETPIVOTDATA("DJU(chauffagiste)",BDD_DJU!$P$13,"annee",Tab_Calculs[[#This Row],[ANNEE]],"mois_numero",Tab_Calculs[[#This Row],[MOIS]]),0)</f>
        <v>35.5</v>
      </c>
    </row>
    <row r="735" spans="1:27" x14ac:dyDescent="0.25">
      <c r="A735" s="3">
        <f>DATE(Tab_Calculs[[#This Row],[ANNEE]],Tab_Calculs[[#This Row],[MOIS]],1)</f>
        <v>44743</v>
      </c>
      <c r="B735" s="3">
        <f>EDATE(Tab_Calculs[[#This Row],[Début mois]],1)-1</f>
        <v>44773</v>
      </c>
      <c r="C735">
        <f t="shared" si="24"/>
        <v>7</v>
      </c>
      <c r="D735">
        <f t="shared" si="25"/>
        <v>2022</v>
      </c>
      <c r="E735" t="s">
        <v>83</v>
      </c>
      <c r="F735" t="str">
        <f>SUBSTITUTE(Tab_Calculs[[#This Row],[Compteur]]," ","_")</f>
        <v>Compteur_4</v>
      </c>
      <c r="G735" t="str">
        <f>T(INDEX(Site!$B$33:$G$40, MATCH(Tab_Calculs[[#This Row],[Compteur]], Site!$B$33:$B$40,0),2))</f>
        <v/>
      </c>
      <c r="H735" s="3">
        <f t="array" aca="1" ref="H735" ca="1">MIN(IF(INDIRECT(CONCATENATE(Tab_Calculs[[#This Row],[Colonne1]],"!$B$2:$B$243"))&gt;=Calculs_Consos!$A735,INDIRECT(CONCATENATE(Tab_Calculs[[#This Row],[Colonne1]],"!$B$2:$B$243"))))</f>
        <v>0</v>
      </c>
      <c r="I735" s="3">
        <f ca="1">INDEX(INDIRECT(CONCATENATE("Tab_",Tab_Calculs[[#This Row],[Colonne1]])),Tab_Calculs[[#This Row],[index_date_livraison]],1)</f>
        <v>0</v>
      </c>
      <c r="J735">
        <f ca="1">MATCH(Tab_Calculs[[#This Row],[Date_livraison]],INDIRECT(CONCATENATE("Tab_",Tab_Calculs[[#This Row],[Colonne1]],"[Fin de période]")),0)</f>
        <v>1</v>
      </c>
      <c r="K735" t="e">
        <f ca="1">INDEX(INDIRECT(CONCATENATE("Tab_",Tab_Calculs[[#This Row],[Colonne1]])),Tab_Calculs[[#This Row],[index_date_livraison]]-1,6)*(MAX(Tab_Calculs[[#This Row],[Début periode livraison]],Tab_Calculs[[#This Row],[Début mois]])-Tab_Calculs[[#This Row],[Début mois]])</f>
        <v>#VALUE!</v>
      </c>
      <c r="L735" s="94">
        <f ca="1">INDEX(INDIRECT(CONCATENATE("Tab_",Tab_Calculs[[#This Row],[Colonne1]])),Tab_Calculs[[#This Row],[index_date_livraison]],6)*(1+MIN(Tab_Calculs[[#This Row],[Date_livraison]],Tab_Calculs[[#This Row],[fin mois]])-MAX(Tab_Calculs[[#This Row],[Début mois]],Tab_Calculs[[#This Row],[Début periode livraison]]))</f>
        <v>0</v>
      </c>
      <c r="M735" s="94" t="e">
        <f ca="1">INDEX(INDIRECT(CONCATENATE("Tab_",Tab_Calculs[[#This Row],[Colonne1]])),Tab_Calculs[[#This Row],[index_date_livraison]]+1,6)*(Tab_Calculs[[#This Row],[fin mois]]-MIN(Tab_Calculs[[#This Row],[fin mois]],Tab_Calculs[[#This Row],[Date_livraison]]))</f>
        <v>#VALUE!</v>
      </c>
      <c r="N735" s="231" t="str">
        <f ca="1">IFERROR(Tab_Calculs[[#This Row],[Ratio_jour_après_livr]]+Tab_Calculs[[#This Row],[Ratio_jour_avant_livr]]+Tab_Calculs[[#This Row],[ratio_avant_debut]],"")</f>
        <v/>
      </c>
      <c r="O735" t="e">
        <f ca="1">INDEX(INDIRECT(CONCATENATE("Tab_",Tab_Calculs[[#This Row],[Colonne1]])),Tab_Calculs[[#This Row],[index_date_livraison]]-1,7)*(MAX(Tab_Calculs[[#This Row],[Début periode livraison]],Tab_Calculs[[#This Row],[Début mois]])-Tab_Calculs[[#This Row],[Début mois]])</f>
        <v>#VALUE!</v>
      </c>
      <c r="P735">
        <f ca="1">INDEX(INDIRECT(CONCATENATE("Tab_",Tab_Calculs[[#This Row],[Colonne1]])),Tab_Calculs[[#This Row],[index_date_livraison]],7)*(1+MIN(Tab_Calculs[[#This Row],[Date_livraison]],Tab_Calculs[[#This Row],[fin mois]])-MAX(Tab_Calculs[[#This Row],[Début mois]],Tab_Calculs[[#This Row],[Début periode livraison]]))</f>
        <v>0</v>
      </c>
      <c r="Q735" t="e">
        <f ca="1">INDEX(INDIRECT(CONCATENATE("Tab_",Tab_Calculs[[#This Row],[Colonne1]])),Tab_Calculs[[#This Row],[index_date_livraison]]+1,7)*(Tab_Calculs[[#This Row],[fin mois]]-MIN(Tab_Calculs[[#This Row],[fin mois]],Tab_Calculs[[#This Row],[Date_livraison]]))</f>
        <v>#VALUE!</v>
      </c>
      <c r="R735" t="e">
        <f ca="1">Tab_Calculs[[#This Row],[Ratio_Cout_après_livr]]+Tab_Calculs[[#This Row],[Ratio_Cout_avant_livr]]+Tab_Calculs[[#This Row],[Ratio_Cout_avant_debut]]</f>
        <v>#VALUE!</v>
      </c>
      <c r="S735" t="str">
        <f ca="1">IFERROR(N735*VLOOKUP(Tab_Calculs[[#This Row],[Colonne1]],Controle_des_données!$B$7:$G$14,6,FALSE),"")</f>
        <v/>
      </c>
      <c r="T735" t="str">
        <f ca="1">IF(Tab_Calculs[[#This Row],[Combustible ]]="Electricité (kWh)",Tab_Calculs[[#This Row],[Conso_mois_kWh]]*2.3,Tab_Calculs[[#This Row],[Conso_mois_kWh]])</f>
        <v/>
      </c>
      <c r="U735" t="str">
        <f ca="1">IFERROR(N735*VLOOKUP(Tab_Calculs[[#This Row],[Colonne1]],Controle_des_données!$B$7:$H$14,7,FALSE),"")</f>
        <v/>
      </c>
      <c r="V735">
        <f ca="1">IFERROR(Tab_Calculs[[#This Row],[Cout_mois]]/Tab_Calculs[[#This Row],[Conso_mois_kWh]],0)</f>
        <v>0</v>
      </c>
      <c r="W735" t="str">
        <f>T(VLOOKUP(Tab_Calculs[[#This Row],[Compteur]],Site!$B$33:$G$40,3,FALSE))</f>
        <v/>
      </c>
      <c r="X735" t="str">
        <f>T(VLOOKUP(Tab_Calculs[[#This Row],[Compteur]],Site!$B$33:$G$40,4,FALSE))</f>
        <v/>
      </c>
      <c r="Y735" t="str">
        <f>T(VLOOKUP(Tab_Calculs[[#This Row],[Compteur]],Site!$B$33:$G$40,5,FALSE))</f>
        <v/>
      </c>
      <c r="Z735" t="str">
        <f>T(VLOOKUP(Tab_Calculs[[#This Row],[Compteur]],Site!$B$33:$G$40,6,FALSE))</f>
        <v/>
      </c>
      <c r="AA735">
        <f>IFERROR(GETPIVOTDATA("DJU(chauffagiste)",BDD_DJU!$P$13,"annee",Tab_Calculs[[#This Row],[ANNEE]],"mois_numero",Tab_Calculs[[#This Row],[MOIS]]),0)</f>
        <v>18.8</v>
      </c>
    </row>
    <row r="736" spans="1:27" x14ac:dyDescent="0.25">
      <c r="A736" s="3">
        <f>DATE(Tab_Calculs[[#This Row],[ANNEE]],Tab_Calculs[[#This Row],[MOIS]],1)</f>
        <v>44774</v>
      </c>
      <c r="B736" s="3">
        <f>EDATE(Tab_Calculs[[#This Row],[Début mois]],1)-1</f>
        <v>44804</v>
      </c>
      <c r="C736">
        <f t="shared" si="24"/>
        <v>8</v>
      </c>
      <c r="D736">
        <f t="shared" si="25"/>
        <v>2022</v>
      </c>
      <c r="E736" t="s">
        <v>83</v>
      </c>
      <c r="F736" t="str">
        <f>SUBSTITUTE(Tab_Calculs[[#This Row],[Compteur]]," ","_")</f>
        <v>Compteur_4</v>
      </c>
      <c r="G736" t="str">
        <f>T(INDEX(Site!$B$33:$G$40, MATCH(Tab_Calculs[[#This Row],[Compteur]], Site!$B$33:$B$40,0),2))</f>
        <v/>
      </c>
      <c r="H736" s="3">
        <f t="array" aca="1" ref="H736" ca="1">MIN(IF(INDIRECT(CONCATENATE(Tab_Calculs[[#This Row],[Colonne1]],"!$B$2:$B$243"))&gt;=Calculs_Consos!$A736,INDIRECT(CONCATENATE(Tab_Calculs[[#This Row],[Colonne1]],"!$B$2:$B$243"))))</f>
        <v>0</v>
      </c>
      <c r="I736" s="3">
        <f ca="1">INDEX(INDIRECT(CONCATENATE("Tab_",Tab_Calculs[[#This Row],[Colonne1]])),Tab_Calculs[[#This Row],[index_date_livraison]],1)</f>
        <v>0</v>
      </c>
      <c r="J736">
        <f ca="1">MATCH(Tab_Calculs[[#This Row],[Date_livraison]],INDIRECT(CONCATENATE("Tab_",Tab_Calculs[[#This Row],[Colonne1]],"[Fin de période]")),0)</f>
        <v>1</v>
      </c>
      <c r="K736" t="e">
        <f ca="1">INDEX(INDIRECT(CONCATENATE("Tab_",Tab_Calculs[[#This Row],[Colonne1]])),Tab_Calculs[[#This Row],[index_date_livraison]]-1,6)*(MAX(Tab_Calculs[[#This Row],[Début periode livraison]],Tab_Calculs[[#This Row],[Début mois]])-Tab_Calculs[[#This Row],[Début mois]])</f>
        <v>#VALUE!</v>
      </c>
      <c r="L736" s="94">
        <f ca="1">INDEX(INDIRECT(CONCATENATE("Tab_",Tab_Calculs[[#This Row],[Colonne1]])),Tab_Calculs[[#This Row],[index_date_livraison]],6)*(1+MIN(Tab_Calculs[[#This Row],[Date_livraison]],Tab_Calculs[[#This Row],[fin mois]])-MAX(Tab_Calculs[[#This Row],[Début mois]],Tab_Calculs[[#This Row],[Début periode livraison]]))</f>
        <v>0</v>
      </c>
      <c r="M736" s="94" t="e">
        <f ca="1">INDEX(INDIRECT(CONCATENATE("Tab_",Tab_Calculs[[#This Row],[Colonne1]])),Tab_Calculs[[#This Row],[index_date_livraison]]+1,6)*(Tab_Calculs[[#This Row],[fin mois]]-MIN(Tab_Calculs[[#This Row],[fin mois]],Tab_Calculs[[#This Row],[Date_livraison]]))</f>
        <v>#VALUE!</v>
      </c>
      <c r="N736" s="231" t="str">
        <f ca="1">IFERROR(Tab_Calculs[[#This Row],[Ratio_jour_après_livr]]+Tab_Calculs[[#This Row],[Ratio_jour_avant_livr]]+Tab_Calculs[[#This Row],[ratio_avant_debut]],"")</f>
        <v/>
      </c>
      <c r="O736" t="e">
        <f ca="1">INDEX(INDIRECT(CONCATENATE("Tab_",Tab_Calculs[[#This Row],[Colonne1]])),Tab_Calculs[[#This Row],[index_date_livraison]]-1,7)*(MAX(Tab_Calculs[[#This Row],[Début periode livraison]],Tab_Calculs[[#This Row],[Début mois]])-Tab_Calculs[[#This Row],[Début mois]])</f>
        <v>#VALUE!</v>
      </c>
      <c r="P736">
        <f ca="1">INDEX(INDIRECT(CONCATENATE("Tab_",Tab_Calculs[[#This Row],[Colonne1]])),Tab_Calculs[[#This Row],[index_date_livraison]],7)*(1+MIN(Tab_Calculs[[#This Row],[Date_livraison]],Tab_Calculs[[#This Row],[fin mois]])-MAX(Tab_Calculs[[#This Row],[Début mois]],Tab_Calculs[[#This Row],[Début periode livraison]]))</f>
        <v>0</v>
      </c>
      <c r="Q736" t="e">
        <f ca="1">INDEX(INDIRECT(CONCATENATE("Tab_",Tab_Calculs[[#This Row],[Colonne1]])),Tab_Calculs[[#This Row],[index_date_livraison]]+1,7)*(Tab_Calculs[[#This Row],[fin mois]]-MIN(Tab_Calculs[[#This Row],[fin mois]],Tab_Calculs[[#This Row],[Date_livraison]]))</f>
        <v>#VALUE!</v>
      </c>
      <c r="R736" t="e">
        <f ca="1">Tab_Calculs[[#This Row],[Ratio_Cout_après_livr]]+Tab_Calculs[[#This Row],[Ratio_Cout_avant_livr]]+Tab_Calculs[[#This Row],[Ratio_Cout_avant_debut]]</f>
        <v>#VALUE!</v>
      </c>
      <c r="S736" t="str">
        <f ca="1">IFERROR(N736*VLOOKUP(Tab_Calculs[[#This Row],[Colonne1]],Controle_des_données!$B$7:$G$14,6,FALSE),"")</f>
        <v/>
      </c>
      <c r="T736" t="str">
        <f ca="1">IF(Tab_Calculs[[#This Row],[Combustible ]]="Electricité (kWh)",Tab_Calculs[[#This Row],[Conso_mois_kWh]]*2.3,Tab_Calculs[[#This Row],[Conso_mois_kWh]])</f>
        <v/>
      </c>
      <c r="U736" t="str">
        <f ca="1">IFERROR(N736*VLOOKUP(Tab_Calculs[[#This Row],[Colonne1]],Controle_des_données!$B$7:$H$14,7,FALSE),"")</f>
        <v/>
      </c>
      <c r="V736">
        <f ca="1">IFERROR(Tab_Calculs[[#This Row],[Cout_mois]]/Tab_Calculs[[#This Row],[Conso_mois_kWh]],0)</f>
        <v>0</v>
      </c>
      <c r="W736" t="str">
        <f>T(VLOOKUP(Tab_Calculs[[#This Row],[Compteur]],Site!$B$33:$G$40,3,FALSE))</f>
        <v/>
      </c>
      <c r="X736" t="str">
        <f>T(VLOOKUP(Tab_Calculs[[#This Row],[Compteur]],Site!$B$33:$G$40,4,FALSE))</f>
        <v/>
      </c>
      <c r="Y736" t="str">
        <f>T(VLOOKUP(Tab_Calculs[[#This Row],[Compteur]],Site!$B$33:$G$40,5,FALSE))</f>
        <v/>
      </c>
      <c r="Z736" t="str">
        <f>T(VLOOKUP(Tab_Calculs[[#This Row],[Compteur]],Site!$B$33:$G$40,6,FALSE))</f>
        <v/>
      </c>
      <c r="AA736">
        <f>IFERROR(GETPIVOTDATA("DJU(chauffagiste)",BDD_DJU!$P$13,"annee",Tab_Calculs[[#This Row],[ANNEE]],"mois_numero",Tab_Calculs[[#This Row],[MOIS]]),0)</f>
        <v>10.7</v>
      </c>
    </row>
    <row r="737" spans="1:27" x14ac:dyDescent="0.25">
      <c r="A737" s="3">
        <f>DATE(Tab_Calculs[[#This Row],[ANNEE]],Tab_Calculs[[#This Row],[MOIS]],1)</f>
        <v>44805</v>
      </c>
      <c r="B737" s="3">
        <f>EDATE(Tab_Calculs[[#This Row],[Début mois]],1)-1</f>
        <v>44834</v>
      </c>
      <c r="C737">
        <f t="shared" si="24"/>
        <v>9</v>
      </c>
      <c r="D737">
        <f t="shared" si="25"/>
        <v>2022</v>
      </c>
      <c r="E737" t="s">
        <v>83</v>
      </c>
      <c r="F737" t="str">
        <f>SUBSTITUTE(Tab_Calculs[[#This Row],[Compteur]]," ","_")</f>
        <v>Compteur_4</v>
      </c>
      <c r="G737" t="str">
        <f>T(INDEX(Site!$B$33:$G$40, MATCH(Tab_Calculs[[#This Row],[Compteur]], Site!$B$33:$B$40,0),2))</f>
        <v/>
      </c>
      <c r="H737" s="3">
        <f t="array" aca="1" ref="H737" ca="1">MIN(IF(INDIRECT(CONCATENATE(Tab_Calculs[[#This Row],[Colonne1]],"!$B$2:$B$243"))&gt;=Calculs_Consos!$A737,INDIRECT(CONCATENATE(Tab_Calculs[[#This Row],[Colonne1]],"!$B$2:$B$243"))))</f>
        <v>0</v>
      </c>
      <c r="I737" s="3">
        <f ca="1">INDEX(INDIRECT(CONCATENATE("Tab_",Tab_Calculs[[#This Row],[Colonne1]])),Tab_Calculs[[#This Row],[index_date_livraison]],1)</f>
        <v>0</v>
      </c>
      <c r="J737">
        <f ca="1">MATCH(Tab_Calculs[[#This Row],[Date_livraison]],INDIRECT(CONCATENATE("Tab_",Tab_Calculs[[#This Row],[Colonne1]],"[Fin de période]")),0)</f>
        <v>1</v>
      </c>
      <c r="K737" t="e">
        <f ca="1">INDEX(INDIRECT(CONCATENATE("Tab_",Tab_Calculs[[#This Row],[Colonne1]])),Tab_Calculs[[#This Row],[index_date_livraison]]-1,6)*(MAX(Tab_Calculs[[#This Row],[Début periode livraison]],Tab_Calculs[[#This Row],[Début mois]])-Tab_Calculs[[#This Row],[Début mois]])</f>
        <v>#VALUE!</v>
      </c>
      <c r="L737" s="94">
        <f ca="1">INDEX(INDIRECT(CONCATENATE("Tab_",Tab_Calculs[[#This Row],[Colonne1]])),Tab_Calculs[[#This Row],[index_date_livraison]],6)*(1+MIN(Tab_Calculs[[#This Row],[Date_livraison]],Tab_Calculs[[#This Row],[fin mois]])-MAX(Tab_Calculs[[#This Row],[Début mois]],Tab_Calculs[[#This Row],[Début periode livraison]]))</f>
        <v>0</v>
      </c>
      <c r="M737" s="94" t="e">
        <f ca="1">INDEX(INDIRECT(CONCATENATE("Tab_",Tab_Calculs[[#This Row],[Colonne1]])),Tab_Calculs[[#This Row],[index_date_livraison]]+1,6)*(Tab_Calculs[[#This Row],[fin mois]]-MIN(Tab_Calculs[[#This Row],[fin mois]],Tab_Calculs[[#This Row],[Date_livraison]]))</f>
        <v>#VALUE!</v>
      </c>
      <c r="N737" s="231" t="str">
        <f ca="1">IFERROR(Tab_Calculs[[#This Row],[Ratio_jour_après_livr]]+Tab_Calculs[[#This Row],[Ratio_jour_avant_livr]]+Tab_Calculs[[#This Row],[ratio_avant_debut]],"")</f>
        <v/>
      </c>
      <c r="O737" t="e">
        <f ca="1">INDEX(INDIRECT(CONCATENATE("Tab_",Tab_Calculs[[#This Row],[Colonne1]])),Tab_Calculs[[#This Row],[index_date_livraison]]-1,7)*(MAX(Tab_Calculs[[#This Row],[Début periode livraison]],Tab_Calculs[[#This Row],[Début mois]])-Tab_Calculs[[#This Row],[Début mois]])</f>
        <v>#VALUE!</v>
      </c>
      <c r="P737">
        <f ca="1">INDEX(INDIRECT(CONCATENATE("Tab_",Tab_Calculs[[#This Row],[Colonne1]])),Tab_Calculs[[#This Row],[index_date_livraison]],7)*(1+MIN(Tab_Calculs[[#This Row],[Date_livraison]],Tab_Calculs[[#This Row],[fin mois]])-MAX(Tab_Calculs[[#This Row],[Début mois]],Tab_Calculs[[#This Row],[Début periode livraison]]))</f>
        <v>0</v>
      </c>
      <c r="Q737" t="e">
        <f ca="1">INDEX(INDIRECT(CONCATENATE("Tab_",Tab_Calculs[[#This Row],[Colonne1]])),Tab_Calculs[[#This Row],[index_date_livraison]]+1,7)*(Tab_Calculs[[#This Row],[fin mois]]-MIN(Tab_Calculs[[#This Row],[fin mois]],Tab_Calculs[[#This Row],[Date_livraison]]))</f>
        <v>#VALUE!</v>
      </c>
      <c r="R737" t="e">
        <f ca="1">Tab_Calculs[[#This Row],[Ratio_Cout_après_livr]]+Tab_Calculs[[#This Row],[Ratio_Cout_avant_livr]]+Tab_Calculs[[#This Row],[Ratio_Cout_avant_debut]]</f>
        <v>#VALUE!</v>
      </c>
      <c r="S737" t="str">
        <f ca="1">IFERROR(N737*VLOOKUP(Tab_Calculs[[#This Row],[Colonne1]],Controle_des_données!$B$7:$G$14,6,FALSE),"")</f>
        <v/>
      </c>
      <c r="T737" t="str">
        <f ca="1">IF(Tab_Calculs[[#This Row],[Combustible ]]="Electricité (kWh)",Tab_Calculs[[#This Row],[Conso_mois_kWh]]*2.3,Tab_Calculs[[#This Row],[Conso_mois_kWh]])</f>
        <v/>
      </c>
      <c r="U737" t="str">
        <f ca="1">IFERROR(N737*VLOOKUP(Tab_Calculs[[#This Row],[Colonne1]],Controle_des_données!$B$7:$H$14,7,FALSE),"")</f>
        <v/>
      </c>
      <c r="V737">
        <f ca="1">IFERROR(Tab_Calculs[[#This Row],[Cout_mois]]/Tab_Calculs[[#This Row],[Conso_mois_kWh]],0)</f>
        <v>0</v>
      </c>
      <c r="W737" t="str">
        <f>T(VLOOKUP(Tab_Calculs[[#This Row],[Compteur]],Site!$B$33:$G$40,3,FALSE))</f>
        <v/>
      </c>
      <c r="X737" t="str">
        <f>T(VLOOKUP(Tab_Calculs[[#This Row],[Compteur]],Site!$B$33:$G$40,4,FALSE))</f>
        <v/>
      </c>
      <c r="Y737" t="str">
        <f>T(VLOOKUP(Tab_Calculs[[#This Row],[Compteur]],Site!$B$33:$G$40,5,FALSE))</f>
        <v/>
      </c>
      <c r="Z737" t="str">
        <f>T(VLOOKUP(Tab_Calculs[[#This Row],[Compteur]],Site!$B$33:$G$40,6,FALSE))</f>
        <v/>
      </c>
      <c r="AA737">
        <f>IFERROR(GETPIVOTDATA("DJU(chauffagiste)",BDD_DJU!$P$13,"annee",Tab_Calculs[[#This Row],[ANNEE]],"mois_numero",Tab_Calculs[[#This Row],[MOIS]]),0)</f>
        <v>74.7</v>
      </c>
    </row>
    <row r="738" spans="1:27" x14ac:dyDescent="0.25">
      <c r="A738" s="3">
        <f>DATE(Tab_Calculs[[#This Row],[ANNEE]],Tab_Calculs[[#This Row],[MOIS]],1)</f>
        <v>44835</v>
      </c>
      <c r="B738" s="3">
        <f>EDATE(Tab_Calculs[[#This Row],[Début mois]],1)-1</f>
        <v>44865</v>
      </c>
      <c r="C738">
        <f t="shared" si="24"/>
        <v>10</v>
      </c>
      <c r="D738">
        <f t="shared" si="25"/>
        <v>2022</v>
      </c>
      <c r="E738" t="s">
        <v>83</v>
      </c>
      <c r="F738" t="str">
        <f>SUBSTITUTE(Tab_Calculs[[#This Row],[Compteur]]," ","_")</f>
        <v>Compteur_4</v>
      </c>
      <c r="G738" t="str">
        <f>T(INDEX(Site!$B$33:$G$40, MATCH(Tab_Calculs[[#This Row],[Compteur]], Site!$B$33:$B$40,0),2))</f>
        <v/>
      </c>
      <c r="H738" s="3">
        <f t="array" aca="1" ref="H738" ca="1">MIN(IF(INDIRECT(CONCATENATE(Tab_Calculs[[#This Row],[Colonne1]],"!$B$2:$B$243"))&gt;=Calculs_Consos!$A738,INDIRECT(CONCATENATE(Tab_Calculs[[#This Row],[Colonne1]],"!$B$2:$B$243"))))</f>
        <v>0</v>
      </c>
      <c r="I738" s="3">
        <f ca="1">INDEX(INDIRECT(CONCATENATE("Tab_",Tab_Calculs[[#This Row],[Colonne1]])),Tab_Calculs[[#This Row],[index_date_livraison]],1)</f>
        <v>0</v>
      </c>
      <c r="J738">
        <f ca="1">MATCH(Tab_Calculs[[#This Row],[Date_livraison]],INDIRECT(CONCATENATE("Tab_",Tab_Calculs[[#This Row],[Colonne1]],"[Fin de période]")),0)</f>
        <v>1</v>
      </c>
      <c r="K738" t="e">
        <f ca="1">INDEX(INDIRECT(CONCATENATE("Tab_",Tab_Calculs[[#This Row],[Colonne1]])),Tab_Calculs[[#This Row],[index_date_livraison]]-1,6)*(MAX(Tab_Calculs[[#This Row],[Début periode livraison]],Tab_Calculs[[#This Row],[Début mois]])-Tab_Calculs[[#This Row],[Début mois]])</f>
        <v>#VALUE!</v>
      </c>
      <c r="L738" s="94">
        <f ca="1">INDEX(INDIRECT(CONCATENATE("Tab_",Tab_Calculs[[#This Row],[Colonne1]])),Tab_Calculs[[#This Row],[index_date_livraison]],6)*(1+MIN(Tab_Calculs[[#This Row],[Date_livraison]],Tab_Calculs[[#This Row],[fin mois]])-MAX(Tab_Calculs[[#This Row],[Début mois]],Tab_Calculs[[#This Row],[Début periode livraison]]))</f>
        <v>0</v>
      </c>
      <c r="M738" s="94" t="e">
        <f ca="1">INDEX(INDIRECT(CONCATENATE("Tab_",Tab_Calculs[[#This Row],[Colonne1]])),Tab_Calculs[[#This Row],[index_date_livraison]]+1,6)*(Tab_Calculs[[#This Row],[fin mois]]-MIN(Tab_Calculs[[#This Row],[fin mois]],Tab_Calculs[[#This Row],[Date_livraison]]))</f>
        <v>#VALUE!</v>
      </c>
      <c r="N738" s="231" t="str">
        <f ca="1">IFERROR(Tab_Calculs[[#This Row],[Ratio_jour_après_livr]]+Tab_Calculs[[#This Row],[Ratio_jour_avant_livr]]+Tab_Calculs[[#This Row],[ratio_avant_debut]],"")</f>
        <v/>
      </c>
      <c r="O738" t="e">
        <f ca="1">INDEX(INDIRECT(CONCATENATE("Tab_",Tab_Calculs[[#This Row],[Colonne1]])),Tab_Calculs[[#This Row],[index_date_livraison]]-1,7)*(MAX(Tab_Calculs[[#This Row],[Début periode livraison]],Tab_Calculs[[#This Row],[Début mois]])-Tab_Calculs[[#This Row],[Début mois]])</f>
        <v>#VALUE!</v>
      </c>
      <c r="P738">
        <f ca="1">INDEX(INDIRECT(CONCATENATE("Tab_",Tab_Calculs[[#This Row],[Colonne1]])),Tab_Calculs[[#This Row],[index_date_livraison]],7)*(1+MIN(Tab_Calculs[[#This Row],[Date_livraison]],Tab_Calculs[[#This Row],[fin mois]])-MAX(Tab_Calculs[[#This Row],[Début mois]],Tab_Calculs[[#This Row],[Début periode livraison]]))</f>
        <v>0</v>
      </c>
      <c r="Q738" t="e">
        <f ca="1">INDEX(INDIRECT(CONCATENATE("Tab_",Tab_Calculs[[#This Row],[Colonne1]])),Tab_Calculs[[#This Row],[index_date_livraison]]+1,7)*(Tab_Calculs[[#This Row],[fin mois]]-MIN(Tab_Calculs[[#This Row],[fin mois]],Tab_Calculs[[#This Row],[Date_livraison]]))</f>
        <v>#VALUE!</v>
      </c>
      <c r="R738" t="e">
        <f ca="1">Tab_Calculs[[#This Row],[Ratio_Cout_après_livr]]+Tab_Calculs[[#This Row],[Ratio_Cout_avant_livr]]+Tab_Calculs[[#This Row],[Ratio_Cout_avant_debut]]</f>
        <v>#VALUE!</v>
      </c>
      <c r="S738" t="str">
        <f ca="1">IFERROR(N738*VLOOKUP(Tab_Calculs[[#This Row],[Colonne1]],Controle_des_données!$B$7:$G$14,6,FALSE),"")</f>
        <v/>
      </c>
      <c r="T738" t="str">
        <f ca="1">IF(Tab_Calculs[[#This Row],[Combustible ]]="Electricité (kWh)",Tab_Calculs[[#This Row],[Conso_mois_kWh]]*2.3,Tab_Calculs[[#This Row],[Conso_mois_kWh]])</f>
        <v/>
      </c>
      <c r="U738" t="str">
        <f ca="1">IFERROR(N738*VLOOKUP(Tab_Calculs[[#This Row],[Colonne1]],Controle_des_données!$B$7:$H$14,7,FALSE),"")</f>
        <v/>
      </c>
      <c r="V738">
        <f ca="1">IFERROR(Tab_Calculs[[#This Row],[Cout_mois]]/Tab_Calculs[[#This Row],[Conso_mois_kWh]],0)</f>
        <v>0</v>
      </c>
      <c r="W738" t="str">
        <f>T(VLOOKUP(Tab_Calculs[[#This Row],[Compteur]],Site!$B$33:$G$40,3,FALSE))</f>
        <v/>
      </c>
      <c r="X738" t="str">
        <f>T(VLOOKUP(Tab_Calculs[[#This Row],[Compteur]],Site!$B$33:$G$40,4,FALSE))</f>
        <v/>
      </c>
      <c r="Y738" t="str">
        <f>T(VLOOKUP(Tab_Calculs[[#This Row],[Compteur]],Site!$B$33:$G$40,5,FALSE))</f>
        <v/>
      </c>
      <c r="Z738" t="str">
        <f>T(VLOOKUP(Tab_Calculs[[#This Row],[Compteur]],Site!$B$33:$G$40,6,FALSE))</f>
        <v/>
      </c>
      <c r="AA738">
        <f>IFERROR(GETPIVOTDATA("DJU(chauffagiste)",BDD_DJU!$P$13,"annee",Tab_Calculs[[#This Row],[ANNEE]],"mois_numero",Tab_Calculs[[#This Row],[MOIS]]),0)</f>
        <v>73</v>
      </c>
    </row>
    <row r="739" spans="1:27" x14ac:dyDescent="0.25">
      <c r="A739" s="3">
        <f>DATE(Tab_Calculs[[#This Row],[ANNEE]],Tab_Calculs[[#This Row],[MOIS]],1)</f>
        <v>44866</v>
      </c>
      <c r="B739" s="3">
        <f>EDATE(Tab_Calculs[[#This Row],[Début mois]],1)-1</f>
        <v>44895</v>
      </c>
      <c r="C739">
        <f t="shared" si="24"/>
        <v>11</v>
      </c>
      <c r="D739">
        <f t="shared" si="25"/>
        <v>2022</v>
      </c>
      <c r="E739" t="s">
        <v>83</v>
      </c>
      <c r="F739" t="str">
        <f>SUBSTITUTE(Tab_Calculs[[#This Row],[Compteur]]," ","_")</f>
        <v>Compteur_4</v>
      </c>
      <c r="G739" t="str">
        <f>T(INDEX(Site!$B$33:$G$40, MATCH(Tab_Calculs[[#This Row],[Compteur]], Site!$B$33:$B$40,0),2))</f>
        <v/>
      </c>
      <c r="H739" s="3">
        <f t="array" aca="1" ref="H739" ca="1">MIN(IF(INDIRECT(CONCATENATE(Tab_Calculs[[#This Row],[Colonne1]],"!$B$2:$B$243"))&gt;=Calculs_Consos!$A739,INDIRECT(CONCATENATE(Tab_Calculs[[#This Row],[Colonne1]],"!$B$2:$B$243"))))</f>
        <v>0</v>
      </c>
      <c r="I739" s="3">
        <f ca="1">INDEX(INDIRECT(CONCATENATE("Tab_",Tab_Calculs[[#This Row],[Colonne1]])),Tab_Calculs[[#This Row],[index_date_livraison]],1)</f>
        <v>0</v>
      </c>
      <c r="J739">
        <f ca="1">MATCH(Tab_Calculs[[#This Row],[Date_livraison]],INDIRECT(CONCATENATE("Tab_",Tab_Calculs[[#This Row],[Colonne1]],"[Fin de période]")),0)</f>
        <v>1</v>
      </c>
      <c r="K739" t="e">
        <f ca="1">INDEX(INDIRECT(CONCATENATE("Tab_",Tab_Calculs[[#This Row],[Colonne1]])),Tab_Calculs[[#This Row],[index_date_livraison]]-1,6)*(MAX(Tab_Calculs[[#This Row],[Début periode livraison]],Tab_Calculs[[#This Row],[Début mois]])-Tab_Calculs[[#This Row],[Début mois]])</f>
        <v>#VALUE!</v>
      </c>
      <c r="L739" s="94">
        <f ca="1">INDEX(INDIRECT(CONCATENATE("Tab_",Tab_Calculs[[#This Row],[Colonne1]])),Tab_Calculs[[#This Row],[index_date_livraison]],6)*(1+MIN(Tab_Calculs[[#This Row],[Date_livraison]],Tab_Calculs[[#This Row],[fin mois]])-MAX(Tab_Calculs[[#This Row],[Début mois]],Tab_Calculs[[#This Row],[Début periode livraison]]))</f>
        <v>0</v>
      </c>
      <c r="M739" s="94" t="e">
        <f ca="1">INDEX(INDIRECT(CONCATENATE("Tab_",Tab_Calculs[[#This Row],[Colonne1]])),Tab_Calculs[[#This Row],[index_date_livraison]]+1,6)*(Tab_Calculs[[#This Row],[fin mois]]-MIN(Tab_Calculs[[#This Row],[fin mois]],Tab_Calculs[[#This Row],[Date_livraison]]))</f>
        <v>#VALUE!</v>
      </c>
      <c r="N739" s="231" t="str">
        <f ca="1">IFERROR(Tab_Calculs[[#This Row],[Ratio_jour_après_livr]]+Tab_Calculs[[#This Row],[Ratio_jour_avant_livr]]+Tab_Calculs[[#This Row],[ratio_avant_debut]],"")</f>
        <v/>
      </c>
      <c r="O739" t="e">
        <f ca="1">INDEX(INDIRECT(CONCATENATE("Tab_",Tab_Calculs[[#This Row],[Colonne1]])),Tab_Calculs[[#This Row],[index_date_livraison]]-1,7)*(MAX(Tab_Calculs[[#This Row],[Début periode livraison]],Tab_Calculs[[#This Row],[Début mois]])-Tab_Calculs[[#This Row],[Début mois]])</f>
        <v>#VALUE!</v>
      </c>
      <c r="P739">
        <f ca="1">INDEX(INDIRECT(CONCATENATE("Tab_",Tab_Calculs[[#This Row],[Colonne1]])),Tab_Calculs[[#This Row],[index_date_livraison]],7)*(1+MIN(Tab_Calculs[[#This Row],[Date_livraison]],Tab_Calculs[[#This Row],[fin mois]])-MAX(Tab_Calculs[[#This Row],[Début mois]],Tab_Calculs[[#This Row],[Début periode livraison]]))</f>
        <v>0</v>
      </c>
      <c r="Q739" t="e">
        <f ca="1">INDEX(INDIRECT(CONCATENATE("Tab_",Tab_Calculs[[#This Row],[Colonne1]])),Tab_Calculs[[#This Row],[index_date_livraison]]+1,7)*(Tab_Calculs[[#This Row],[fin mois]]-MIN(Tab_Calculs[[#This Row],[fin mois]],Tab_Calculs[[#This Row],[Date_livraison]]))</f>
        <v>#VALUE!</v>
      </c>
      <c r="R739" t="e">
        <f ca="1">Tab_Calculs[[#This Row],[Ratio_Cout_après_livr]]+Tab_Calculs[[#This Row],[Ratio_Cout_avant_livr]]+Tab_Calculs[[#This Row],[Ratio_Cout_avant_debut]]</f>
        <v>#VALUE!</v>
      </c>
      <c r="S739" t="str">
        <f ca="1">IFERROR(N739*VLOOKUP(Tab_Calculs[[#This Row],[Colonne1]],Controle_des_données!$B$7:$G$14,6,FALSE),"")</f>
        <v/>
      </c>
      <c r="T739" t="str">
        <f ca="1">IF(Tab_Calculs[[#This Row],[Combustible ]]="Electricité (kWh)",Tab_Calculs[[#This Row],[Conso_mois_kWh]]*2.3,Tab_Calculs[[#This Row],[Conso_mois_kWh]])</f>
        <v/>
      </c>
      <c r="U739" t="str">
        <f ca="1">IFERROR(N739*VLOOKUP(Tab_Calculs[[#This Row],[Colonne1]],Controle_des_données!$B$7:$H$14,7,FALSE),"")</f>
        <v/>
      </c>
      <c r="V739">
        <f ca="1">IFERROR(Tab_Calculs[[#This Row],[Cout_mois]]/Tab_Calculs[[#This Row],[Conso_mois_kWh]],0)</f>
        <v>0</v>
      </c>
      <c r="W739" t="str">
        <f>T(VLOOKUP(Tab_Calculs[[#This Row],[Compteur]],Site!$B$33:$G$40,3,FALSE))</f>
        <v/>
      </c>
      <c r="X739" t="str">
        <f>T(VLOOKUP(Tab_Calculs[[#This Row],[Compteur]],Site!$B$33:$G$40,4,FALSE))</f>
        <v/>
      </c>
      <c r="Y739" t="str">
        <f>T(VLOOKUP(Tab_Calculs[[#This Row],[Compteur]],Site!$B$33:$G$40,5,FALSE))</f>
        <v/>
      </c>
      <c r="Z739" t="str">
        <f>T(VLOOKUP(Tab_Calculs[[#This Row],[Compteur]],Site!$B$33:$G$40,6,FALSE))</f>
        <v/>
      </c>
      <c r="AA739">
        <f>IFERROR(GETPIVOTDATA("DJU(chauffagiste)",BDD_DJU!$P$13,"annee",Tab_Calculs[[#This Row],[ANNEE]],"mois_numero",Tab_Calculs[[#This Row],[MOIS]]),0)</f>
        <v>227.5</v>
      </c>
    </row>
    <row r="740" spans="1:27" x14ac:dyDescent="0.25">
      <c r="A740" s="3">
        <f>DATE(Tab_Calculs[[#This Row],[ANNEE]],Tab_Calculs[[#This Row],[MOIS]],1)</f>
        <v>44896</v>
      </c>
      <c r="B740" s="3">
        <f>EDATE(Tab_Calculs[[#This Row],[Début mois]],1)-1</f>
        <v>44926</v>
      </c>
      <c r="C740">
        <f t="shared" si="24"/>
        <v>12</v>
      </c>
      <c r="D740">
        <f t="shared" si="25"/>
        <v>2022</v>
      </c>
      <c r="E740" t="s">
        <v>83</v>
      </c>
      <c r="F740" t="str">
        <f>SUBSTITUTE(Tab_Calculs[[#This Row],[Compteur]]," ","_")</f>
        <v>Compteur_4</v>
      </c>
      <c r="G740" t="str">
        <f>T(INDEX(Site!$B$33:$G$40, MATCH(Tab_Calculs[[#This Row],[Compteur]], Site!$B$33:$B$40,0),2))</f>
        <v/>
      </c>
      <c r="H740" s="3">
        <f t="array" aca="1" ref="H740" ca="1">MIN(IF(INDIRECT(CONCATENATE(Tab_Calculs[[#This Row],[Colonne1]],"!$B$2:$B$243"))&gt;=Calculs_Consos!$A740,INDIRECT(CONCATENATE(Tab_Calculs[[#This Row],[Colonne1]],"!$B$2:$B$243"))))</f>
        <v>0</v>
      </c>
      <c r="I740" s="3">
        <f ca="1">INDEX(INDIRECT(CONCATENATE("Tab_",Tab_Calculs[[#This Row],[Colonne1]])),Tab_Calculs[[#This Row],[index_date_livraison]],1)</f>
        <v>0</v>
      </c>
      <c r="J740">
        <f ca="1">MATCH(Tab_Calculs[[#This Row],[Date_livraison]],INDIRECT(CONCATENATE("Tab_",Tab_Calculs[[#This Row],[Colonne1]],"[Fin de période]")),0)</f>
        <v>1</v>
      </c>
      <c r="K740" t="e">
        <f ca="1">INDEX(INDIRECT(CONCATENATE("Tab_",Tab_Calculs[[#This Row],[Colonne1]])),Tab_Calculs[[#This Row],[index_date_livraison]]-1,6)*(MAX(Tab_Calculs[[#This Row],[Début periode livraison]],Tab_Calculs[[#This Row],[Début mois]])-Tab_Calculs[[#This Row],[Début mois]])</f>
        <v>#VALUE!</v>
      </c>
      <c r="L740" s="94">
        <f ca="1">INDEX(INDIRECT(CONCATENATE("Tab_",Tab_Calculs[[#This Row],[Colonne1]])),Tab_Calculs[[#This Row],[index_date_livraison]],6)*(1+MIN(Tab_Calculs[[#This Row],[Date_livraison]],Tab_Calculs[[#This Row],[fin mois]])-MAX(Tab_Calculs[[#This Row],[Début mois]],Tab_Calculs[[#This Row],[Début periode livraison]]))</f>
        <v>0</v>
      </c>
      <c r="M740" s="94" t="e">
        <f ca="1">INDEX(INDIRECT(CONCATENATE("Tab_",Tab_Calculs[[#This Row],[Colonne1]])),Tab_Calculs[[#This Row],[index_date_livraison]]+1,6)*(Tab_Calculs[[#This Row],[fin mois]]-MIN(Tab_Calculs[[#This Row],[fin mois]],Tab_Calculs[[#This Row],[Date_livraison]]))</f>
        <v>#VALUE!</v>
      </c>
      <c r="N740" s="231" t="str">
        <f ca="1">IFERROR(Tab_Calculs[[#This Row],[Ratio_jour_après_livr]]+Tab_Calculs[[#This Row],[Ratio_jour_avant_livr]]+Tab_Calculs[[#This Row],[ratio_avant_debut]],"")</f>
        <v/>
      </c>
      <c r="O740" t="e">
        <f ca="1">INDEX(INDIRECT(CONCATENATE("Tab_",Tab_Calculs[[#This Row],[Colonne1]])),Tab_Calculs[[#This Row],[index_date_livraison]]-1,7)*(MAX(Tab_Calculs[[#This Row],[Début periode livraison]],Tab_Calculs[[#This Row],[Début mois]])-Tab_Calculs[[#This Row],[Début mois]])</f>
        <v>#VALUE!</v>
      </c>
      <c r="P740">
        <f ca="1">INDEX(INDIRECT(CONCATENATE("Tab_",Tab_Calculs[[#This Row],[Colonne1]])),Tab_Calculs[[#This Row],[index_date_livraison]],7)*(1+MIN(Tab_Calculs[[#This Row],[Date_livraison]],Tab_Calculs[[#This Row],[fin mois]])-MAX(Tab_Calculs[[#This Row],[Début mois]],Tab_Calculs[[#This Row],[Début periode livraison]]))</f>
        <v>0</v>
      </c>
      <c r="Q740" t="e">
        <f ca="1">INDEX(INDIRECT(CONCATENATE("Tab_",Tab_Calculs[[#This Row],[Colonne1]])),Tab_Calculs[[#This Row],[index_date_livraison]]+1,7)*(Tab_Calculs[[#This Row],[fin mois]]-MIN(Tab_Calculs[[#This Row],[fin mois]],Tab_Calculs[[#This Row],[Date_livraison]]))</f>
        <v>#VALUE!</v>
      </c>
      <c r="R740" t="e">
        <f ca="1">Tab_Calculs[[#This Row],[Ratio_Cout_après_livr]]+Tab_Calculs[[#This Row],[Ratio_Cout_avant_livr]]+Tab_Calculs[[#This Row],[Ratio_Cout_avant_debut]]</f>
        <v>#VALUE!</v>
      </c>
      <c r="S740" t="str">
        <f ca="1">IFERROR(N740*VLOOKUP(Tab_Calculs[[#This Row],[Colonne1]],Controle_des_données!$B$7:$G$14,6,FALSE),"")</f>
        <v/>
      </c>
      <c r="T740" t="str">
        <f ca="1">IF(Tab_Calculs[[#This Row],[Combustible ]]="Electricité (kWh)",Tab_Calculs[[#This Row],[Conso_mois_kWh]]*2.3,Tab_Calculs[[#This Row],[Conso_mois_kWh]])</f>
        <v/>
      </c>
      <c r="U740" t="str">
        <f ca="1">IFERROR(N740*VLOOKUP(Tab_Calculs[[#This Row],[Colonne1]],Controle_des_données!$B$7:$H$14,7,FALSE),"")</f>
        <v/>
      </c>
      <c r="V740">
        <f ca="1">IFERROR(Tab_Calculs[[#This Row],[Cout_mois]]/Tab_Calculs[[#This Row],[Conso_mois_kWh]],0)</f>
        <v>0</v>
      </c>
      <c r="W740" t="str">
        <f>T(VLOOKUP(Tab_Calculs[[#This Row],[Compteur]],Site!$B$33:$G$40,3,FALSE))</f>
        <v/>
      </c>
      <c r="X740" t="str">
        <f>T(VLOOKUP(Tab_Calculs[[#This Row],[Compteur]],Site!$B$33:$G$40,4,FALSE))</f>
        <v/>
      </c>
      <c r="Y740" t="str">
        <f>T(VLOOKUP(Tab_Calculs[[#This Row],[Compteur]],Site!$B$33:$G$40,5,FALSE))</f>
        <v/>
      </c>
      <c r="Z740" t="str">
        <f>T(VLOOKUP(Tab_Calculs[[#This Row],[Compteur]],Site!$B$33:$G$40,6,FALSE))</f>
        <v/>
      </c>
      <c r="AA740">
        <f>IFERROR(GETPIVOTDATA("DJU(chauffagiste)",BDD_DJU!$P$13,"annee",Tab_Calculs[[#This Row],[ANNEE]],"mois_numero",Tab_Calculs[[#This Row],[MOIS]]),0)</f>
        <v>380.8</v>
      </c>
    </row>
    <row r="741" spans="1:27" x14ac:dyDescent="0.25">
      <c r="A741" s="3">
        <f>DATE(Tab_Calculs[[#This Row],[ANNEE]],Tab_Calculs[[#This Row],[MOIS]],1)</f>
        <v>44927</v>
      </c>
      <c r="B741" s="3">
        <f>EDATE(Tab_Calculs[[#This Row],[Début mois]],1)-1</f>
        <v>44957</v>
      </c>
      <c r="C741">
        <f t="shared" si="24"/>
        <v>1</v>
      </c>
      <c r="D741">
        <f t="shared" si="25"/>
        <v>2023</v>
      </c>
      <c r="E741" t="s">
        <v>83</v>
      </c>
      <c r="F741" t="str">
        <f>SUBSTITUTE(Tab_Calculs[[#This Row],[Compteur]]," ","_")</f>
        <v>Compteur_4</v>
      </c>
      <c r="G741" t="str">
        <f>T(INDEX(Site!$B$33:$G$40, MATCH(Tab_Calculs[[#This Row],[Compteur]], Site!$B$33:$B$40,0),2))</f>
        <v/>
      </c>
      <c r="H741" s="3">
        <f t="array" aca="1" ref="H741" ca="1">MIN(IF(INDIRECT(CONCATENATE(Tab_Calculs[[#This Row],[Colonne1]],"!$B$2:$B$243"))&gt;=Calculs_Consos!$A741,INDIRECT(CONCATENATE(Tab_Calculs[[#This Row],[Colonne1]],"!$B$2:$B$243"))))</f>
        <v>0</v>
      </c>
      <c r="I741" s="3">
        <f ca="1">INDEX(INDIRECT(CONCATENATE("Tab_",Tab_Calculs[[#This Row],[Colonne1]])),Tab_Calculs[[#This Row],[index_date_livraison]],1)</f>
        <v>0</v>
      </c>
      <c r="J741">
        <f ca="1">MATCH(Tab_Calculs[[#This Row],[Date_livraison]],INDIRECT(CONCATENATE("Tab_",Tab_Calculs[[#This Row],[Colonne1]],"[Fin de période]")),0)</f>
        <v>1</v>
      </c>
      <c r="K741" t="e">
        <f ca="1">INDEX(INDIRECT(CONCATENATE("Tab_",Tab_Calculs[[#This Row],[Colonne1]])),Tab_Calculs[[#This Row],[index_date_livraison]]-1,6)*(MAX(Tab_Calculs[[#This Row],[Début periode livraison]],Tab_Calculs[[#This Row],[Début mois]])-Tab_Calculs[[#This Row],[Début mois]])</f>
        <v>#VALUE!</v>
      </c>
      <c r="L741" s="94">
        <f ca="1">INDEX(INDIRECT(CONCATENATE("Tab_",Tab_Calculs[[#This Row],[Colonne1]])),Tab_Calculs[[#This Row],[index_date_livraison]],6)*(1+MIN(Tab_Calculs[[#This Row],[Date_livraison]],Tab_Calculs[[#This Row],[fin mois]])-MAX(Tab_Calculs[[#This Row],[Début mois]],Tab_Calculs[[#This Row],[Début periode livraison]]))</f>
        <v>0</v>
      </c>
      <c r="M741" s="94" t="e">
        <f ca="1">INDEX(INDIRECT(CONCATENATE("Tab_",Tab_Calculs[[#This Row],[Colonne1]])),Tab_Calculs[[#This Row],[index_date_livraison]]+1,6)*(Tab_Calculs[[#This Row],[fin mois]]-MIN(Tab_Calculs[[#This Row],[fin mois]],Tab_Calculs[[#This Row],[Date_livraison]]))</f>
        <v>#VALUE!</v>
      </c>
      <c r="N741" s="231" t="str">
        <f ca="1">IFERROR(Tab_Calculs[[#This Row],[Ratio_jour_après_livr]]+Tab_Calculs[[#This Row],[Ratio_jour_avant_livr]]+Tab_Calculs[[#This Row],[ratio_avant_debut]],"")</f>
        <v/>
      </c>
      <c r="O741" t="e">
        <f ca="1">INDEX(INDIRECT(CONCATENATE("Tab_",Tab_Calculs[[#This Row],[Colonne1]])),Tab_Calculs[[#This Row],[index_date_livraison]]-1,7)*(MAX(Tab_Calculs[[#This Row],[Début periode livraison]],Tab_Calculs[[#This Row],[Début mois]])-Tab_Calculs[[#This Row],[Début mois]])</f>
        <v>#VALUE!</v>
      </c>
      <c r="P741">
        <f ca="1">INDEX(INDIRECT(CONCATENATE("Tab_",Tab_Calculs[[#This Row],[Colonne1]])),Tab_Calculs[[#This Row],[index_date_livraison]],7)*(1+MIN(Tab_Calculs[[#This Row],[Date_livraison]],Tab_Calculs[[#This Row],[fin mois]])-MAX(Tab_Calculs[[#This Row],[Début mois]],Tab_Calculs[[#This Row],[Début periode livraison]]))</f>
        <v>0</v>
      </c>
      <c r="Q741" t="e">
        <f ca="1">INDEX(INDIRECT(CONCATENATE("Tab_",Tab_Calculs[[#This Row],[Colonne1]])),Tab_Calculs[[#This Row],[index_date_livraison]]+1,7)*(Tab_Calculs[[#This Row],[fin mois]]-MIN(Tab_Calculs[[#This Row],[fin mois]],Tab_Calculs[[#This Row],[Date_livraison]]))</f>
        <v>#VALUE!</v>
      </c>
      <c r="R741" t="e">
        <f ca="1">Tab_Calculs[[#This Row],[Ratio_Cout_après_livr]]+Tab_Calculs[[#This Row],[Ratio_Cout_avant_livr]]+Tab_Calculs[[#This Row],[Ratio_Cout_avant_debut]]</f>
        <v>#VALUE!</v>
      </c>
      <c r="S741" t="str">
        <f ca="1">IFERROR(N741*VLOOKUP(Tab_Calculs[[#This Row],[Colonne1]],Controle_des_données!$B$7:$G$14,6,FALSE),"")</f>
        <v/>
      </c>
      <c r="T741" t="str">
        <f ca="1">IF(Tab_Calculs[[#This Row],[Combustible ]]="Electricité (kWh)",Tab_Calculs[[#This Row],[Conso_mois_kWh]]*2.3,Tab_Calculs[[#This Row],[Conso_mois_kWh]])</f>
        <v/>
      </c>
      <c r="U741" t="str">
        <f ca="1">IFERROR(N741*VLOOKUP(Tab_Calculs[[#This Row],[Colonne1]],Controle_des_données!$B$7:$H$14,7,FALSE),"")</f>
        <v/>
      </c>
      <c r="V741">
        <f ca="1">IFERROR(Tab_Calculs[[#This Row],[Cout_mois]]/Tab_Calculs[[#This Row],[Conso_mois_kWh]],0)</f>
        <v>0</v>
      </c>
      <c r="W741" t="str">
        <f>T(VLOOKUP(Tab_Calculs[[#This Row],[Compteur]],Site!$B$33:$G$40,3,FALSE))</f>
        <v/>
      </c>
      <c r="X741" t="str">
        <f>T(VLOOKUP(Tab_Calculs[[#This Row],[Compteur]],Site!$B$33:$G$40,4,FALSE))</f>
        <v/>
      </c>
      <c r="Y741" t="str">
        <f>T(VLOOKUP(Tab_Calculs[[#This Row],[Compteur]],Site!$B$33:$G$40,5,FALSE))</f>
        <v/>
      </c>
      <c r="Z741" t="str">
        <f>T(VLOOKUP(Tab_Calculs[[#This Row],[Compteur]],Site!$B$33:$G$40,6,FALSE))</f>
        <v/>
      </c>
      <c r="AA741">
        <f>IFERROR(GETPIVOTDATA("DJU(chauffagiste)",BDD_DJU!$P$13,"annee",Tab_Calculs[[#This Row],[ANNEE]],"mois_numero",Tab_Calculs[[#This Row],[MOIS]]),0)</f>
        <v>356.1</v>
      </c>
    </row>
    <row r="742" spans="1:27" x14ac:dyDescent="0.25">
      <c r="A742" s="3">
        <f>DATE(Tab_Calculs[[#This Row],[ANNEE]],Tab_Calculs[[#This Row],[MOIS]],1)</f>
        <v>44958</v>
      </c>
      <c r="B742" s="3">
        <f>EDATE(Tab_Calculs[[#This Row],[Début mois]],1)-1</f>
        <v>44985</v>
      </c>
      <c r="C742">
        <f t="shared" si="24"/>
        <v>2</v>
      </c>
      <c r="D742">
        <f>D730+1</f>
        <v>2023</v>
      </c>
      <c r="E742" t="s">
        <v>83</v>
      </c>
      <c r="F742" t="str">
        <f>SUBSTITUTE(Tab_Calculs[[#This Row],[Compteur]]," ","_")</f>
        <v>Compteur_4</v>
      </c>
      <c r="G742" t="str">
        <f>T(INDEX(Site!$B$33:$G$40, MATCH(Tab_Calculs[[#This Row],[Compteur]], Site!$B$33:$B$40,0),2))</f>
        <v/>
      </c>
      <c r="H742" s="3">
        <f t="array" aca="1" ref="H742" ca="1">MIN(IF(INDIRECT(CONCATENATE(Tab_Calculs[[#This Row],[Colonne1]],"!$B$2:$B$243"))&gt;=Calculs_Consos!$A742,INDIRECT(CONCATENATE(Tab_Calculs[[#This Row],[Colonne1]],"!$B$2:$B$243"))))</f>
        <v>0</v>
      </c>
      <c r="I742" s="3">
        <f ca="1">INDEX(INDIRECT(CONCATENATE("Tab_",Tab_Calculs[[#This Row],[Colonne1]])),Tab_Calculs[[#This Row],[index_date_livraison]],1)</f>
        <v>0</v>
      </c>
      <c r="J742">
        <f ca="1">MATCH(Tab_Calculs[[#This Row],[Date_livraison]],INDIRECT(CONCATENATE("Tab_",Tab_Calculs[[#This Row],[Colonne1]],"[Fin de période]")),0)</f>
        <v>1</v>
      </c>
      <c r="K742" t="e">
        <f ca="1">INDEX(INDIRECT(CONCATENATE("Tab_",Tab_Calculs[[#This Row],[Colonne1]])),Tab_Calculs[[#This Row],[index_date_livraison]]-1,6)*(MAX(Tab_Calculs[[#This Row],[Début periode livraison]],Tab_Calculs[[#This Row],[Début mois]])-Tab_Calculs[[#This Row],[Début mois]])</f>
        <v>#VALUE!</v>
      </c>
      <c r="L742" s="94">
        <f ca="1">INDEX(INDIRECT(CONCATENATE("Tab_",Tab_Calculs[[#This Row],[Colonne1]])),Tab_Calculs[[#This Row],[index_date_livraison]],6)*(1+MIN(Tab_Calculs[[#This Row],[Date_livraison]],Tab_Calculs[[#This Row],[fin mois]])-MAX(Tab_Calculs[[#This Row],[Début mois]],Tab_Calculs[[#This Row],[Début periode livraison]]))</f>
        <v>0</v>
      </c>
      <c r="M742" s="94" t="e">
        <f ca="1">INDEX(INDIRECT(CONCATENATE("Tab_",Tab_Calculs[[#This Row],[Colonne1]])),Tab_Calculs[[#This Row],[index_date_livraison]]+1,6)*(Tab_Calculs[[#This Row],[fin mois]]-MIN(Tab_Calculs[[#This Row],[fin mois]],Tab_Calculs[[#This Row],[Date_livraison]]))</f>
        <v>#VALUE!</v>
      </c>
      <c r="N742" s="231" t="str">
        <f ca="1">IFERROR(Tab_Calculs[[#This Row],[Ratio_jour_après_livr]]+Tab_Calculs[[#This Row],[Ratio_jour_avant_livr]]+Tab_Calculs[[#This Row],[ratio_avant_debut]],"")</f>
        <v/>
      </c>
      <c r="O742" t="e">
        <f ca="1">INDEX(INDIRECT(CONCATENATE("Tab_",Tab_Calculs[[#This Row],[Colonne1]])),Tab_Calculs[[#This Row],[index_date_livraison]]-1,7)*(MAX(Tab_Calculs[[#This Row],[Début periode livraison]],Tab_Calculs[[#This Row],[Début mois]])-Tab_Calculs[[#This Row],[Début mois]])</f>
        <v>#VALUE!</v>
      </c>
      <c r="P742">
        <f ca="1">INDEX(INDIRECT(CONCATENATE("Tab_",Tab_Calculs[[#This Row],[Colonne1]])),Tab_Calculs[[#This Row],[index_date_livraison]],7)*(1+MIN(Tab_Calculs[[#This Row],[Date_livraison]],Tab_Calculs[[#This Row],[fin mois]])-MAX(Tab_Calculs[[#This Row],[Début mois]],Tab_Calculs[[#This Row],[Début periode livraison]]))</f>
        <v>0</v>
      </c>
      <c r="Q742" t="e">
        <f ca="1">INDEX(INDIRECT(CONCATENATE("Tab_",Tab_Calculs[[#This Row],[Colonne1]])),Tab_Calculs[[#This Row],[index_date_livraison]]+1,7)*(Tab_Calculs[[#This Row],[fin mois]]-MIN(Tab_Calculs[[#This Row],[fin mois]],Tab_Calculs[[#This Row],[Date_livraison]]))</f>
        <v>#VALUE!</v>
      </c>
      <c r="R742" t="e">
        <f ca="1">Tab_Calculs[[#This Row],[Ratio_Cout_après_livr]]+Tab_Calculs[[#This Row],[Ratio_Cout_avant_livr]]+Tab_Calculs[[#This Row],[Ratio_Cout_avant_debut]]</f>
        <v>#VALUE!</v>
      </c>
      <c r="S742" t="str">
        <f ca="1">IFERROR(N742*VLOOKUP(Tab_Calculs[[#This Row],[Colonne1]],Controle_des_données!$B$7:$G$14,6,FALSE),"")</f>
        <v/>
      </c>
      <c r="T742" t="str">
        <f ca="1">IF(Tab_Calculs[[#This Row],[Combustible ]]="Electricité (kWh)",Tab_Calculs[[#This Row],[Conso_mois_kWh]]*2.3,Tab_Calculs[[#This Row],[Conso_mois_kWh]])</f>
        <v/>
      </c>
      <c r="U742" t="str">
        <f ca="1">IFERROR(N742*VLOOKUP(Tab_Calculs[[#This Row],[Colonne1]],Controle_des_données!$B$7:$H$14,7,FALSE),"")</f>
        <v/>
      </c>
      <c r="V742">
        <f ca="1">IFERROR(Tab_Calculs[[#This Row],[Cout_mois]]/Tab_Calculs[[#This Row],[Conso_mois_kWh]],0)</f>
        <v>0</v>
      </c>
      <c r="W742" t="str">
        <f>T(VLOOKUP(Tab_Calculs[[#This Row],[Compteur]],Site!$B$33:$G$40,3,FALSE))</f>
        <v/>
      </c>
      <c r="X742" t="str">
        <f>T(VLOOKUP(Tab_Calculs[[#This Row],[Compteur]],Site!$B$33:$G$40,4,FALSE))</f>
        <v/>
      </c>
      <c r="Y742" t="str">
        <f>T(VLOOKUP(Tab_Calculs[[#This Row],[Compteur]],Site!$B$33:$G$40,5,FALSE))</f>
        <v/>
      </c>
      <c r="Z742" t="str">
        <f>T(VLOOKUP(Tab_Calculs[[#This Row],[Compteur]],Site!$B$33:$G$40,6,FALSE))</f>
        <v/>
      </c>
      <c r="AA742">
        <f>IFERROR(GETPIVOTDATA("DJU(chauffagiste)",BDD_DJU!$P$13,"annee",Tab_Calculs[[#This Row],[ANNEE]],"mois_numero",Tab_Calculs[[#This Row],[MOIS]]),0)</f>
        <v>314.10000000000002</v>
      </c>
    </row>
    <row r="743" spans="1:27" x14ac:dyDescent="0.25">
      <c r="A743" s="3">
        <f>DATE(Tab_Calculs[[#This Row],[ANNEE]],Tab_Calculs[[#This Row],[MOIS]],1)</f>
        <v>44986</v>
      </c>
      <c r="B743" s="3">
        <f>EDATE(Tab_Calculs[[#This Row],[Début mois]],1)-1</f>
        <v>45016</v>
      </c>
      <c r="C743">
        <f t="shared" si="24"/>
        <v>3</v>
      </c>
      <c r="D743">
        <f t="shared" ref="D743:D763" si="26">D731+1</f>
        <v>2023</v>
      </c>
      <c r="E743" t="s">
        <v>83</v>
      </c>
      <c r="F743" t="str">
        <f>SUBSTITUTE(Tab_Calculs[[#This Row],[Compteur]]," ","_")</f>
        <v>Compteur_4</v>
      </c>
      <c r="G743" t="str">
        <f>T(INDEX(Site!$B$33:$G$40, MATCH(Tab_Calculs[[#This Row],[Compteur]], Site!$B$33:$B$40,0),2))</f>
        <v/>
      </c>
      <c r="H743" s="3">
        <f t="array" aca="1" ref="H743" ca="1">MIN(IF(INDIRECT(CONCATENATE(Tab_Calculs[[#This Row],[Colonne1]],"!$B$2:$B$243"))&gt;=Calculs_Consos!$A743,INDIRECT(CONCATENATE(Tab_Calculs[[#This Row],[Colonne1]],"!$B$2:$B$243"))))</f>
        <v>0</v>
      </c>
      <c r="I743" s="3">
        <f ca="1">INDEX(INDIRECT(CONCATENATE("Tab_",Tab_Calculs[[#This Row],[Colonne1]])),Tab_Calculs[[#This Row],[index_date_livraison]],1)</f>
        <v>0</v>
      </c>
      <c r="J743">
        <f ca="1">MATCH(Tab_Calculs[[#This Row],[Date_livraison]],INDIRECT(CONCATENATE("Tab_",Tab_Calculs[[#This Row],[Colonne1]],"[Fin de période]")),0)</f>
        <v>1</v>
      </c>
      <c r="K743" t="e">
        <f ca="1">INDEX(INDIRECT(CONCATENATE("Tab_",Tab_Calculs[[#This Row],[Colonne1]])),Tab_Calculs[[#This Row],[index_date_livraison]]-1,6)*(MAX(Tab_Calculs[[#This Row],[Début periode livraison]],Tab_Calculs[[#This Row],[Début mois]])-Tab_Calculs[[#This Row],[Début mois]])</f>
        <v>#VALUE!</v>
      </c>
      <c r="L743" s="94">
        <f ca="1">INDEX(INDIRECT(CONCATENATE("Tab_",Tab_Calculs[[#This Row],[Colonne1]])),Tab_Calculs[[#This Row],[index_date_livraison]],6)*(1+MIN(Tab_Calculs[[#This Row],[Date_livraison]],Tab_Calculs[[#This Row],[fin mois]])-MAX(Tab_Calculs[[#This Row],[Début mois]],Tab_Calculs[[#This Row],[Début periode livraison]]))</f>
        <v>0</v>
      </c>
      <c r="M743" s="94" t="e">
        <f ca="1">INDEX(INDIRECT(CONCATENATE("Tab_",Tab_Calculs[[#This Row],[Colonne1]])),Tab_Calculs[[#This Row],[index_date_livraison]]+1,6)*(Tab_Calculs[[#This Row],[fin mois]]-MIN(Tab_Calculs[[#This Row],[fin mois]],Tab_Calculs[[#This Row],[Date_livraison]]))</f>
        <v>#VALUE!</v>
      </c>
      <c r="N743" s="231" t="str">
        <f ca="1">IFERROR(Tab_Calculs[[#This Row],[Ratio_jour_après_livr]]+Tab_Calculs[[#This Row],[Ratio_jour_avant_livr]]+Tab_Calculs[[#This Row],[ratio_avant_debut]],"")</f>
        <v/>
      </c>
      <c r="O743" t="e">
        <f ca="1">INDEX(INDIRECT(CONCATENATE("Tab_",Tab_Calculs[[#This Row],[Colonne1]])),Tab_Calculs[[#This Row],[index_date_livraison]]-1,7)*(MAX(Tab_Calculs[[#This Row],[Début periode livraison]],Tab_Calculs[[#This Row],[Début mois]])-Tab_Calculs[[#This Row],[Début mois]])</f>
        <v>#VALUE!</v>
      </c>
      <c r="P743">
        <f ca="1">INDEX(INDIRECT(CONCATENATE("Tab_",Tab_Calculs[[#This Row],[Colonne1]])),Tab_Calculs[[#This Row],[index_date_livraison]],7)*(1+MIN(Tab_Calculs[[#This Row],[Date_livraison]],Tab_Calculs[[#This Row],[fin mois]])-MAX(Tab_Calculs[[#This Row],[Début mois]],Tab_Calculs[[#This Row],[Début periode livraison]]))</f>
        <v>0</v>
      </c>
      <c r="Q743" t="e">
        <f ca="1">INDEX(INDIRECT(CONCATENATE("Tab_",Tab_Calculs[[#This Row],[Colonne1]])),Tab_Calculs[[#This Row],[index_date_livraison]]+1,7)*(Tab_Calculs[[#This Row],[fin mois]]-MIN(Tab_Calculs[[#This Row],[fin mois]],Tab_Calculs[[#This Row],[Date_livraison]]))</f>
        <v>#VALUE!</v>
      </c>
      <c r="R743" t="e">
        <f ca="1">Tab_Calculs[[#This Row],[Ratio_Cout_après_livr]]+Tab_Calculs[[#This Row],[Ratio_Cout_avant_livr]]+Tab_Calculs[[#This Row],[Ratio_Cout_avant_debut]]</f>
        <v>#VALUE!</v>
      </c>
      <c r="S743" t="str">
        <f ca="1">IFERROR(N743*VLOOKUP(Tab_Calculs[[#This Row],[Colonne1]],Controle_des_données!$B$7:$G$14,6,FALSE),"")</f>
        <v/>
      </c>
      <c r="T743" t="str">
        <f ca="1">IF(Tab_Calculs[[#This Row],[Combustible ]]="Electricité (kWh)",Tab_Calculs[[#This Row],[Conso_mois_kWh]]*2.3,Tab_Calculs[[#This Row],[Conso_mois_kWh]])</f>
        <v/>
      </c>
      <c r="U743" t="str">
        <f ca="1">IFERROR(N743*VLOOKUP(Tab_Calculs[[#This Row],[Colonne1]],Controle_des_données!$B$7:$H$14,7,FALSE),"")</f>
        <v/>
      </c>
      <c r="V743">
        <f ca="1">IFERROR(Tab_Calculs[[#This Row],[Cout_mois]]/Tab_Calculs[[#This Row],[Conso_mois_kWh]],0)</f>
        <v>0</v>
      </c>
      <c r="W743" t="str">
        <f>T(VLOOKUP(Tab_Calculs[[#This Row],[Compteur]],Site!$B$33:$G$40,3,FALSE))</f>
        <v/>
      </c>
      <c r="X743" t="str">
        <f>T(VLOOKUP(Tab_Calculs[[#This Row],[Compteur]],Site!$B$33:$G$40,4,FALSE))</f>
        <v/>
      </c>
      <c r="Y743" t="str">
        <f>T(VLOOKUP(Tab_Calculs[[#This Row],[Compteur]],Site!$B$33:$G$40,5,FALSE))</f>
        <v/>
      </c>
      <c r="Z743" t="str">
        <f>T(VLOOKUP(Tab_Calculs[[#This Row],[Compteur]],Site!$B$33:$G$40,6,FALSE))</f>
        <v/>
      </c>
      <c r="AA743">
        <f>IFERROR(GETPIVOTDATA("DJU(chauffagiste)",BDD_DJU!$P$13,"annee",Tab_Calculs[[#This Row],[ANNEE]],"mois_numero",Tab_Calculs[[#This Row],[MOIS]]),0)</f>
        <v>251.3</v>
      </c>
    </row>
    <row r="744" spans="1:27" x14ac:dyDescent="0.25">
      <c r="A744" s="3">
        <f>DATE(Tab_Calculs[[#This Row],[ANNEE]],Tab_Calculs[[#This Row],[MOIS]],1)</f>
        <v>45017</v>
      </c>
      <c r="B744" s="3">
        <f>EDATE(Tab_Calculs[[#This Row],[Début mois]],1)-1</f>
        <v>45046</v>
      </c>
      <c r="C744">
        <f t="shared" si="24"/>
        <v>4</v>
      </c>
      <c r="D744">
        <f t="shared" si="26"/>
        <v>2023</v>
      </c>
      <c r="E744" t="s">
        <v>83</v>
      </c>
      <c r="F744" t="str">
        <f>SUBSTITUTE(Tab_Calculs[[#This Row],[Compteur]]," ","_")</f>
        <v>Compteur_4</v>
      </c>
      <c r="G744" t="str">
        <f>T(INDEX(Site!$B$33:$G$40, MATCH(Tab_Calculs[[#This Row],[Compteur]], Site!$B$33:$B$40,0),2))</f>
        <v/>
      </c>
      <c r="H744" s="3">
        <f t="array" aca="1" ref="H744" ca="1">MIN(IF(INDIRECT(CONCATENATE(Tab_Calculs[[#This Row],[Colonne1]],"!$B$2:$B$243"))&gt;=Calculs_Consos!$A744,INDIRECT(CONCATENATE(Tab_Calculs[[#This Row],[Colonne1]],"!$B$2:$B$243"))))</f>
        <v>0</v>
      </c>
      <c r="I744" s="3">
        <f ca="1">INDEX(INDIRECT(CONCATENATE("Tab_",Tab_Calculs[[#This Row],[Colonne1]])),Tab_Calculs[[#This Row],[index_date_livraison]],1)</f>
        <v>0</v>
      </c>
      <c r="J744">
        <f ca="1">MATCH(Tab_Calculs[[#This Row],[Date_livraison]],INDIRECT(CONCATENATE("Tab_",Tab_Calculs[[#This Row],[Colonne1]],"[Fin de période]")),0)</f>
        <v>1</v>
      </c>
      <c r="K744" t="e">
        <f ca="1">INDEX(INDIRECT(CONCATENATE("Tab_",Tab_Calculs[[#This Row],[Colonne1]])),Tab_Calculs[[#This Row],[index_date_livraison]]-1,6)*(MAX(Tab_Calculs[[#This Row],[Début periode livraison]],Tab_Calculs[[#This Row],[Début mois]])-Tab_Calculs[[#This Row],[Début mois]])</f>
        <v>#VALUE!</v>
      </c>
      <c r="L744" s="94">
        <f ca="1">INDEX(INDIRECT(CONCATENATE("Tab_",Tab_Calculs[[#This Row],[Colonne1]])),Tab_Calculs[[#This Row],[index_date_livraison]],6)*(1+MIN(Tab_Calculs[[#This Row],[Date_livraison]],Tab_Calculs[[#This Row],[fin mois]])-MAX(Tab_Calculs[[#This Row],[Début mois]],Tab_Calculs[[#This Row],[Début periode livraison]]))</f>
        <v>0</v>
      </c>
      <c r="M744" s="94" t="e">
        <f ca="1">INDEX(INDIRECT(CONCATENATE("Tab_",Tab_Calculs[[#This Row],[Colonne1]])),Tab_Calculs[[#This Row],[index_date_livraison]]+1,6)*(Tab_Calculs[[#This Row],[fin mois]]-MIN(Tab_Calculs[[#This Row],[fin mois]],Tab_Calculs[[#This Row],[Date_livraison]]))</f>
        <v>#VALUE!</v>
      </c>
      <c r="N744" s="231" t="str">
        <f ca="1">IFERROR(Tab_Calculs[[#This Row],[Ratio_jour_après_livr]]+Tab_Calculs[[#This Row],[Ratio_jour_avant_livr]]+Tab_Calculs[[#This Row],[ratio_avant_debut]],"")</f>
        <v/>
      </c>
      <c r="O744" t="e">
        <f ca="1">INDEX(INDIRECT(CONCATENATE("Tab_",Tab_Calculs[[#This Row],[Colonne1]])),Tab_Calculs[[#This Row],[index_date_livraison]]-1,7)*(MAX(Tab_Calculs[[#This Row],[Début periode livraison]],Tab_Calculs[[#This Row],[Début mois]])-Tab_Calculs[[#This Row],[Début mois]])</f>
        <v>#VALUE!</v>
      </c>
      <c r="P744">
        <f ca="1">INDEX(INDIRECT(CONCATENATE("Tab_",Tab_Calculs[[#This Row],[Colonne1]])),Tab_Calculs[[#This Row],[index_date_livraison]],7)*(1+MIN(Tab_Calculs[[#This Row],[Date_livraison]],Tab_Calculs[[#This Row],[fin mois]])-MAX(Tab_Calculs[[#This Row],[Début mois]],Tab_Calculs[[#This Row],[Début periode livraison]]))</f>
        <v>0</v>
      </c>
      <c r="Q744" t="e">
        <f ca="1">INDEX(INDIRECT(CONCATENATE("Tab_",Tab_Calculs[[#This Row],[Colonne1]])),Tab_Calculs[[#This Row],[index_date_livraison]]+1,7)*(Tab_Calculs[[#This Row],[fin mois]]-MIN(Tab_Calculs[[#This Row],[fin mois]],Tab_Calculs[[#This Row],[Date_livraison]]))</f>
        <v>#VALUE!</v>
      </c>
      <c r="R744" t="e">
        <f ca="1">Tab_Calculs[[#This Row],[Ratio_Cout_après_livr]]+Tab_Calculs[[#This Row],[Ratio_Cout_avant_livr]]+Tab_Calculs[[#This Row],[Ratio_Cout_avant_debut]]</f>
        <v>#VALUE!</v>
      </c>
      <c r="S744" t="str">
        <f ca="1">IFERROR(N744*VLOOKUP(Tab_Calculs[[#This Row],[Colonne1]],Controle_des_données!$B$7:$G$14,6,FALSE),"")</f>
        <v/>
      </c>
      <c r="T744" t="str">
        <f ca="1">IF(Tab_Calculs[[#This Row],[Combustible ]]="Electricité (kWh)",Tab_Calculs[[#This Row],[Conso_mois_kWh]]*2.3,Tab_Calculs[[#This Row],[Conso_mois_kWh]])</f>
        <v/>
      </c>
      <c r="U744" t="str">
        <f ca="1">IFERROR(N744*VLOOKUP(Tab_Calculs[[#This Row],[Colonne1]],Controle_des_données!$B$7:$H$14,7,FALSE),"")</f>
        <v/>
      </c>
      <c r="V744">
        <f ca="1">IFERROR(Tab_Calculs[[#This Row],[Cout_mois]]/Tab_Calculs[[#This Row],[Conso_mois_kWh]],0)</f>
        <v>0</v>
      </c>
      <c r="W744" t="str">
        <f>T(VLOOKUP(Tab_Calculs[[#This Row],[Compteur]],Site!$B$33:$G$40,3,FALSE))</f>
        <v/>
      </c>
      <c r="X744" t="str">
        <f>T(VLOOKUP(Tab_Calculs[[#This Row],[Compteur]],Site!$B$33:$G$40,4,FALSE))</f>
        <v/>
      </c>
      <c r="Y744" t="str">
        <f>T(VLOOKUP(Tab_Calculs[[#This Row],[Compteur]],Site!$B$33:$G$40,5,FALSE))</f>
        <v/>
      </c>
      <c r="Z744" t="str">
        <f>T(VLOOKUP(Tab_Calculs[[#This Row],[Compteur]],Site!$B$33:$G$40,6,FALSE))</f>
        <v/>
      </c>
      <c r="AA744">
        <f>IFERROR(GETPIVOTDATA("DJU(chauffagiste)",BDD_DJU!$P$13,"annee",Tab_Calculs[[#This Row],[ANNEE]],"mois_numero",Tab_Calculs[[#This Row],[MOIS]]),0)</f>
        <v>198</v>
      </c>
    </row>
    <row r="745" spans="1:27" x14ac:dyDescent="0.25">
      <c r="A745" s="3">
        <f>DATE(Tab_Calculs[[#This Row],[ANNEE]],Tab_Calculs[[#This Row],[MOIS]],1)</f>
        <v>45047</v>
      </c>
      <c r="B745" s="3">
        <f>EDATE(Tab_Calculs[[#This Row],[Début mois]],1)-1</f>
        <v>45077</v>
      </c>
      <c r="C745">
        <f t="shared" si="24"/>
        <v>5</v>
      </c>
      <c r="D745">
        <f t="shared" si="26"/>
        <v>2023</v>
      </c>
      <c r="E745" t="s">
        <v>83</v>
      </c>
      <c r="F745" t="str">
        <f>SUBSTITUTE(Tab_Calculs[[#This Row],[Compteur]]," ","_")</f>
        <v>Compteur_4</v>
      </c>
      <c r="G745" t="str">
        <f>T(INDEX(Site!$B$33:$G$40, MATCH(Tab_Calculs[[#This Row],[Compteur]], Site!$B$33:$B$40,0),2))</f>
        <v/>
      </c>
      <c r="H745" s="3">
        <f t="array" aca="1" ref="H745" ca="1">MIN(IF(INDIRECT(CONCATENATE(Tab_Calculs[[#This Row],[Colonne1]],"!$B$2:$B$243"))&gt;=Calculs_Consos!$A745,INDIRECT(CONCATENATE(Tab_Calculs[[#This Row],[Colonne1]],"!$B$2:$B$243"))))</f>
        <v>0</v>
      </c>
      <c r="I745" s="3">
        <f ca="1">INDEX(INDIRECT(CONCATENATE("Tab_",Tab_Calculs[[#This Row],[Colonne1]])),Tab_Calculs[[#This Row],[index_date_livraison]],1)</f>
        <v>0</v>
      </c>
      <c r="J745">
        <f ca="1">MATCH(Tab_Calculs[[#This Row],[Date_livraison]],INDIRECT(CONCATENATE("Tab_",Tab_Calculs[[#This Row],[Colonne1]],"[Fin de période]")),0)</f>
        <v>1</v>
      </c>
      <c r="K745" t="e">
        <f ca="1">INDEX(INDIRECT(CONCATENATE("Tab_",Tab_Calculs[[#This Row],[Colonne1]])),Tab_Calculs[[#This Row],[index_date_livraison]]-1,6)*(MAX(Tab_Calculs[[#This Row],[Début periode livraison]],Tab_Calculs[[#This Row],[Début mois]])-Tab_Calculs[[#This Row],[Début mois]])</f>
        <v>#VALUE!</v>
      </c>
      <c r="L745" s="94">
        <f ca="1">INDEX(INDIRECT(CONCATENATE("Tab_",Tab_Calculs[[#This Row],[Colonne1]])),Tab_Calculs[[#This Row],[index_date_livraison]],6)*(1+MIN(Tab_Calculs[[#This Row],[Date_livraison]],Tab_Calculs[[#This Row],[fin mois]])-MAX(Tab_Calculs[[#This Row],[Début mois]],Tab_Calculs[[#This Row],[Début periode livraison]]))</f>
        <v>0</v>
      </c>
      <c r="M745" s="94" t="e">
        <f ca="1">INDEX(INDIRECT(CONCATENATE("Tab_",Tab_Calculs[[#This Row],[Colonne1]])),Tab_Calculs[[#This Row],[index_date_livraison]]+1,6)*(Tab_Calculs[[#This Row],[fin mois]]-MIN(Tab_Calculs[[#This Row],[fin mois]],Tab_Calculs[[#This Row],[Date_livraison]]))</f>
        <v>#VALUE!</v>
      </c>
      <c r="N745" s="231" t="str">
        <f ca="1">IFERROR(Tab_Calculs[[#This Row],[Ratio_jour_après_livr]]+Tab_Calculs[[#This Row],[Ratio_jour_avant_livr]]+Tab_Calculs[[#This Row],[ratio_avant_debut]],"")</f>
        <v/>
      </c>
      <c r="O745" t="e">
        <f ca="1">INDEX(INDIRECT(CONCATENATE("Tab_",Tab_Calculs[[#This Row],[Colonne1]])),Tab_Calculs[[#This Row],[index_date_livraison]]-1,7)*(MAX(Tab_Calculs[[#This Row],[Début periode livraison]],Tab_Calculs[[#This Row],[Début mois]])-Tab_Calculs[[#This Row],[Début mois]])</f>
        <v>#VALUE!</v>
      </c>
      <c r="P745">
        <f ca="1">INDEX(INDIRECT(CONCATENATE("Tab_",Tab_Calculs[[#This Row],[Colonne1]])),Tab_Calculs[[#This Row],[index_date_livraison]],7)*(1+MIN(Tab_Calculs[[#This Row],[Date_livraison]],Tab_Calculs[[#This Row],[fin mois]])-MAX(Tab_Calculs[[#This Row],[Début mois]],Tab_Calculs[[#This Row],[Début periode livraison]]))</f>
        <v>0</v>
      </c>
      <c r="Q745" t="e">
        <f ca="1">INDEX(INDIRECT(CONCATENATE("Tab_",Tab_Calculs[[#This Row],[Colonne1]])),Tab_Calculs[[#This Row],[index_date_livraison]]+1,7)*(Tab_Calculs[[#This Row],[fin mois]]-MIN(Tab_Calculs[[#This Row],[fin mois]],Tab_Calculs[[#This Row],[Date_livraison]]))</f>
        <v>#VALUE!</v>
      </c>
      <c r="R745" t="e">
        <f ca="1">Tab_Calculs[[#This Row],[Ratio_Cout_après_livr]]+Tab_Calculs[[#This Row],[Ratio_Cout_avant_livr]]+Tab_Calculs[[#This Row],[Ratio_Cout_avant_debut]]</f>
        <v>#VALUE!</v>
      </c>
      <c r="S745" t="str">
        <f ca="1">IFERROR(N745*VLOOKUP(Tab_Calculs[[#This Row],[Colonne1]],Controle_des_données!$B$7:$G$14,6,FALSE),"")</f>
        <v/>
      </c>
      <c r="T745" t="str">
        <f ca="1">IF(Tab_Calculs[[#This Row],[Combustible ]]="Electricité (kWh)",Tab_Calculs[[#This Row],[Conso_mois_kWh]]*2.3,Tab_Calculs[[#This Row],[Conso_mois_kWh]])</f>
        <v/>
      </c>
      <c r="U745" t="str">
        <f ca="1">IFERROR(N745*VLOOKUP(Tab_Calculs[[#This Row],[Colonne1]],Controle_des_données!$B$7:$H$14,7,FALSE),"")</f>
        <v/>
      </c>
      <c r="V745">
        <f ca="1">IFERROR(Tab_Calculs[[#This Row],[Cout_mois]]/Tab_Calculs[[#This Row],[Conso_mois_kWh]],0)</f>
        <v>0</v>
      </c>
      <c r="W745" t="str">
        <f>T(VLOOKUP(Tab_Calculs[[#This Row],[Compteur]],Site!$B$33:$G$40,3,FALSE))</f>
        <v/>
      </c>
      <c r="X745" t="str">
        <f>T(VLOOKUP(Tab_Calculs[[#This Row],[Compteur]],Site!$B$33:$G$40,4,FALSE))</f>
        <v/>
      </c>
      <c r="Y745" t="str">
        <f>T(VLOOKUP(Tab_Calculs[[#This Row],[Compteur]],Site!$B$33:$G$40,5,FALSE))</f>
        <v/>
      </c>
      <c r="Z745" t="str">
        <f>T(VLOOKUP(Tab_Calculs[[#This Row],[Compteur]],Site!$B$33:$G$40,6,FALSE))</f>
        <v/>
      </c>
      <c r="AA745">
        <f>IFERROR(GETPIVOTDATA("DJU(chauffagiste)",BDD_DJU!$P$13,"annee",Tab_Calculs[[#This Row],[ANNEE]],"mois_numero",Tab_Calculs[[#This Row],[MOIS]]),0)</f>
        <v>86.4</v>
      </c>
    </row>
    <row r="746" spans="1:27" x14ac:dyDescent="0.25">
      <c r="A746" s="3">
        <f>DATE(Tab_Calculs[[#This Row],[ANNEE]],Tab_Calculs[[#This Row],[MOIS]],1)</f>
        <v>45078</v>
      </c>
      <c r="B746" s="3">
        <f>EDATE(Tab_Calculs[[#This Row],[Début mois]],1)-1</f>
        <v>45107</v>
      </c>
      <c r="C746">
        <f t="shared" si="24"/>
        <v>6</v>
      </c>
      <c r="D746">
        <f t="shared" si="26"/>
        <v>2023</v>
      </c>
      <c r="E746" t="s">
        <v>83</v>
      </c>
      <c r="F746" t="str">
        <f>SUBSTITUTE(Tab_Calculs[[#This Row],[Compteur]]," ","_")</f>
        <v>Compteur_4</v>
      </c>
      <c r="G746" t="str">
        <f>T(INDEX(Site!$B$33:$G$40, MATCH(Tab_Calculs[[#This Row],[Compteur]], Site!$B$33:$B$40,0),2))</f>
        <v/>
      </c>
      <c r="H746" s="3">
        <f t="array" aca="1" ref="H746" ca="1">MIN(IF(INDIRECT(CONCATENATE(Tab_Calculs[[#This Row],[Colonne1]],"!$B$2:$B$243"))&gt;=Calculs_Consos!$A746,INDIRECT(CONCATENATE(Tab_Calculs[[#This Row],[Colonne1]],"!$B$2:$B$243"))))</f>
        <v>0</v>
      </c>
      <c r="I746" s="3">
        <f ca="1">INDEX(INDIRECT(CONCATENATE("Tab_",Tab_Calculs[[#This Row],[Colonne1]])),Tab_Calculs[[#This Row],[index_date_livraison]],1)</f>
        <v>0</v>
      </c>
      <c r="J746">
        <f ca="1">MATCH(Tab_Calculs[[#This Row],[Date_livraison]],INDIRECT(CONCATENATE("Tab_",Tab_Calculs[[#This Row],[Colonne1]],"[Fin de période]")),0)</f>
        <v>1</v>
      </c>
      <c r="K746" t="e">
        <f ca="1">INDEX(INDIRECT(CONCATENATE("Tab_",Tab_Calculs[[#This Row],[Colonne1]])),Tab_Calculs[[#This Row],[index_date_livraison]]-1,6)*(MAX(Tab_Calculs[[#This Row],[Début periode livraison]],Tab_Calculs[[#This Row],[Début mois]])-Tab_Calculs[[#This Row],[Début mois]])</f>
        <v>#VALUE!</v>
      </c>
      <c r="L746" s="94">
        <f ca="1">INDEX(INDIRECT(CONCATENATE("Tab_",Tab_Calculs[[#This Row],[Colonne1]])),Tab_Calculs[[#This Row],[index_date_livraison]],6)*(1+MIN(Tab_Calculs[[#This Row],[Date_livraison]],Tab_Calculs[[#This Row],[fin mois]])-MAX(Tab_Calculs[[#This Row],[Début mois]],Tab_Calculs[[#This Row],[Début periode livraison]]))</f>
        <v>0</v>
      </c>
      <c r="M746" s="94" t="e">
        <f ca="1">INDEX(INDIRECT(CONCATENATE("Tab_",Tab_Calculs[[#This Row],[Colonne1]])),Tab_Calculs[[#This Row],[index_date_livraison]]+1,6)*(Tab_Calculs[[#This Row],[fin mois]]-MIN(Tab_Calculs[[#This Row],[fin mois]],Tab_Calculs[[#This Row],[Date_livraison]]))</f>
        <v>#VALUE!</v>
      </c>
      <c r="N746" s="231" t="str">
        <f ca="1">IFERROR(Tab_Calculs[[#This Row],[Ratio_jour_après_livr]]+Tab_Calculs[[#This Row],[Ratio_jour_avant_livr]]+Tab_Calculs[[#This Row],[ratio_avant_debut]],"")</f>
        <v/>
      </c>
      <c r="O746" t="e">
        <f ca="1">INDEX(INDIRECT(CONCATENATE("Tab_",Tab_Calculs[[#This Row],[Colonne1]])),Tab_Calculs[[#This Row],[index_date_livraison]]-1,7)*(MAX(Tab_Calculs[[#This Row],[Début periode livraison]],Tab_Calculs[[#This Row],[Début mois]])-Tab_Calculs[[#This Row],[Début mois]])</f>
        <v>#VALUE!</v>
      </c>
      <c r="P746">
        <f ca="1">INDEX(INDIRECT(CONCATENATE("Tab_",Tab_Calculs[[#This Row],[Colonne1]])),Tab_Calculs[[#This Row],[index_date_livraison]],7)*(1+MIN(Tab_Calculs[[#This Row],[Date_livraison]],Tab_Calculs[[#This Row],[fin mois]])-MAX(Tab_Calculs[[#This Row],[Début mois]],Tab_Calculs[[#This Row],[Début periode livraison]]))</f>
        <v>0</v>
      </c>
      <c r="Q746" t="e">
        <f ca="1">INDEX(INDIRECT(CONCATENATE("Tab_",Tab_Calculs[[#This Row],[Colonne1]])),Tab_Calculs[[#This Row],[index_date_livraison]]+1,7)*(Tab_Calculs[[#This Row],[fin mois]]-MIN(Tab_Calculs[[#This Row],[fin mois]],Tab_Calculs[[#This Row],[Date_livraison]]))</f>
        <v>#VALUE!</v>
      </c>
      <c r="R746" t="e">
        <f ca="1">Tab_Calculs[[#This Row],[Ratio_Cout_après_livr]]+Tab_Calculs[[#This Row],[Ratio_Cout_avant_livr]]+Tab_Calculs[[#This Row],[Ratio_Cout_avant_debut]]</f>
        <v>#VALUE!</v>
      </c>
      <c r="S746" t="str">
        <f ca="1">IFERROR(N746*VLOOKUP(Tab_Calculs[[#This Row],[Colonne1]],Controle_des_données!$B$7:$G$14,6,FALSE),"")</f>
        <v/>
      </c>
      <c r="T746" t="str">
        <f ca="1">IF(Tab_Calculs[[#This Row],[Combustible ]]="Electricité (kWh)",Tab_Calculs[[#This Row],[Conso_mois_kWh]]*2.3,Tab_Calculs[[#This Row],[Conso_mois_kWh]])</f>
        <v/>
      </c>
      <c r="U746" t="str">
        <f ca="1">IFERROR(N746*VLOOKUP(Tab_Calculs[[#This Row],[Colonne1]],Controle_des_données!$B$7:$H$14,7,FALSE),"")</f>
        <v/>
      </c>
      <c r="V746">
        <f ca="1">IFERROR(Tab_Calculs[[#This Row],[Cout_mois]]/Tab_Calculs[[#This Row],[Conso_mois_kWh]],0)</f>
        <v>0</v>
      </c>
      <c r="W746" t="str">
        <f>T(VLOOKUP(Tab_Calculs[[#This Row],[Compteur]],Site!$B$33:$G$40,3,FALSE))</f>
        <v/>
      </c>
      <c r="X746" t="str">
        <f>T(VLOOKUP(Tab_Calculs[[#This Row],[Compteur]],Site!$B$33:$G$40,4,FALSE))</f>
        <v/>
      </c>
      <c r="Y746" t="str">
        <f>T(VLOOKUP(Tab_Calculs[[#This Row],[Compteur]],Site!$B$33:$G$40,5,FALSE))</f>
        <v/>
      </c>
      <c r="Z746" t="str">
        <f>T(VLOOKUP(Tab_Calculs[[#This Row],[Compteur]],Site!$B$33:$G$40,6,FALSE))</f>
        <v/>
      </c>
      <c r="AA746">
        <f>IFERROR(GETPIVOTDATA("DJU(chauffagiste)",BDD_DJU!$P$13,"annee",Tab_Calculs[[#This Row],[ANNEE]],"mois_numero",Tab_Calculs[[#This Row],[MOIS]]),0)</f>
        <v>17.3</v>
      </c>
    </row>
    <row r="747" spans="1:27" x14ac:dyDescent="0.25">
      <c r="A747" s="3">
        <f>DATE(Tab_Calculs[[#This Row],[ANNEE]],Tab_Calculs[[#This Row],[MOIS]],1)</f>
        <v>45108</v>
      </c>
      <c r="B747" s="3">
        <f>EDATE(Tab_Calculs[[#This Row],[Début mois]],1)-1</f>
        <v>45138</v>
      </c>
      <c r="C747">
        <f t="shared" si="24"/>
        <v>7</v>
      </c>
      <c r="D747">
        <f t="shared" si="26"/>
        <v>2023</v>
      </c>
      <c r="E747" t="s">
        <v>83</v>
      </c>
      <c r="F747" t="str">
        <f>SUBSTITUTE(Tab_Calculs[[#This Row],[Compteur]]," ","_")</f>
        <v>Compteur_4</v>
      </c>
      <c r="G747" t="str">
        <f>T(INDEX(Site!$B$33:$G$40, MATCH(Tab_Calculs[[#This Row],[Compteur]], Site!$B$33:$B$40,0),2))</f>
        <v/>
      </c>
      <c r="H747" s="3">
        <f t="array" aca="1" ref="H747" ca="1">MIN(IF(INDIRECT(CONCATENATE(Tab_Calculs[[#This Row],[Colonne1]],"!$B$2:$B$243"))&gt;=Calculs_Consos!$A747,INDIRECT(CONCATENATE(Tab_Calculs[[#This Row],[Colonne1]],"!$B$2:$B$243"))))</f>
        <v>0</v>
      </c>
      <c r="I747" s="3">
        <f ca="1">INDEX(INDIRECT(CONCATENATE("Tab_",Tab_Calculs[[#This Row],[Colonne1]])),Tab_Calculs[[#This Row],[index_date_livraison]],1)</f>
        <v>0</v>
      </c>
      <c r="J747">
        <f ca="1">MATCH(Tab_Calculs[[#This Row],[Date_livraison]],INDIRECT(CONCATENATE("Tab_",Tab_Calculs[[#This Row],[Colonne1]],"[Fin de période]")),0)</f>
        <v>1</v>
      </c>
      <c r="K747" t="e">
        <f ca="1">INDEX(INDIRECT(CONCATENATE("Tab_",Tab_Calculs[[#This Row],[Colonne1]])),Tab_Calculs[[#This Row],[index_date_livraison]]-1,6)*(MAX(Tab_Calculs[[#This Row],[Début periode livraison]],Tab_Calculs[[#This Row],[Début mois]])-Tab_Calculs[[#This Row],[Début mois]])</f>
        <v>#VALUE!</v>
      </c>
      <c r="L747" s="94">
        <f ca="1">INDEX(INDIRECT(CONCATENATE("Tab_",Tab_Calculs[[#This Row],[Colonne1]])),Tab_Calculs[[#This Row],[index_date_livraison]],6)*(1+MIN(Tab_Calculs[[#This Row],[Date_livraison]],Tab_Calculs[[#This Row],[fin mois]])-MAX(Tab_Calculs[[#This Row],[Début mois]],Tab_Calculs[[#This Row],[Début periode livraison]]))</f>
        <v>0</v>
      </c>
      <c r="M747" s="94" t="e">
        <f ca="1">INDEX(INDIRECT(CONCATENATE("Tab_",Tab_Calculs[[#This Row],[Colonne1]])),Tab_Calculs[[#This Row],[index_date_livraison]]+1,6)*(Tab_Calculs[[#This Row],[fin mois]]-MIN(Tab_Calculs[[#This Row],[fin mois]],Tab_Calculs[[#This Row],[Date_livraison]]))</f>
        <v>#VALUE!</v>
      </c>
      <c r="N747" s="231" t="str">
        <f ca="1">IFERROR(Tab_Calculs[[#This Row],[Ratio_jour_après_livr]]+Tab_Calculs[[#This Row],[Ratio_jour_avant_livr]]+Tab_Calculs[[#This Row],[ratio_avant_debut]],"")</f>
        <v/>
      </c>
      <c r="O747" t="e">
        <f ca="1">INDEX(INDIRECT(CONCATENATE("Tab_",Tab_Calculs[[#This Row],[Colonne1]])),Tab_Calculs[[#This Row],[index_date_livraison]]-1,7)*(MAX(Tab_Calculs[[#This Row],[Début periode livraison]],Tab_Calculs[[#This Row],[Début mois]])-Tab_Calculs[[#This Row],[Début mois]])</f>
        <v>#VALUE!</v>
      </c>
      <c r="P747">
        <f ca="1">INDEX(INDIRECT(CONCATENATE("Tab_",Tab_Calculs[[#This Row],[Colonne1]])),Tab_Calculs[[#This Row],[index_date_livraison]],7)*(1+MIN(Tab_Calculs[[#This Row],[Date_livraison]],Tab_Calculs[[#This Row],[fin mois]])-MAX(Tab_Calculs[[#This Row],[Début mois]],Tab_Calculs[[#This Row],[Début periode livraison]]))</f>
        <v>0</v>
      </c>
      <c r="Q747" t="e">
        <f ca="1">INDEX(INDIRECT(CONCATENATE("Tab_",Tab_Calculs[[#This Row],[Colonne1]])),Tab_Calculs[[#This Row],[index_date_livraison]]+1,7)*(Tab_Calculs[[#This Row],[fin mois]]-MIN(Tab_Calculs[[#This Row],[fin mois]],Tab_Calculs[[#This Row],[Date_livraison]]))</f>
        <v>#VALUE!</v>
      </c>
      <c r="R747" t="e">
        <f ca="1">Tab_Calculs[[#This Row],[Ratio_Cout_après_livr]]+Tab_Calculs[[#This Row],[Ratio_Cout_avant_livr]]+Tab_Calculs[[#This Row],[Ratio_Cout_avant_debut]]</f>
        <v>#VALUE!</v>
      </c>
      <c r="S747" t="str">
        <f ca="1">IFERROR(N747*VLOOKUP(Tab_Calculs[[#This Row],[Colonne1]],Controle_des_données!$B$7:$G$14,6,FALSE),"")</f>
        <v/>
      </c>
      <c r="T747" t="str">
        <f ca="1">IF(Tab_Calculs[[#This Row],[Combustible ]]="Electricité (kWh)",Tab_Calculs[[#This Row],[Conso_mois_kWh]]*2.3,Tab_Calculs[[#This Row],[Conso_mois_kWh]])</f>
        <v/>
      </c>
      <c r="U747" t="str">
        <f ca="1">IFERROR(N747*VLOOKUP(Tab_Calculs[[#This Row],[Colonne1]],Controle_des_données!$B$7:$H$14,7,FALSE),"")</f>
        <v/>
      </c>
      <c r="V747">
        <f ca="1">IFERROR(Tab_Calculs[[#This Row],[Cout_mois]]/Tab_Calculs[[#This Row],[Conso_mois_kWh]],0)</f>
        <v>0</v>
      </c>
      <c r="W747" t="str">
        <f>T(VLOOKUP(Tab_Calculs[[#This Row],[Compteur]],Site!$B$33:$G$40,3,FALSE))</f>
        <v/>
      </c>
      <c r="X747" t="str">
        <f>T(VLOOKUP(Tab_Calculs[[#This Row],[Compteur]],Site!$B$33:$G$40,4,FALSE))</f>
        <v/>
      </c>
      <c r="Y747" t="str">
        <f>T(VLOOKUP(Tab_Calculs[[#This Row],[Compteur]],Site!$B$33:$G$40,5,FALSE))</f>
        <v/>
      </c>
      <c r="Z747" t="str">
        <f>T(VLOOKUP(Tab_Calculs[[#This Row],[Compteur]],Site!$B$33:$G$40,6,FALSE))</f>
        <v/>
      </c>
      <c r="AA747">
        <f>IFERROR(GETPIVOTDATA("DJU(chauffagiste)",BDD_DJU!$P$13,"annee",Tab_Calculs[[#This Row],[ANNEE]],"mois_numero",Tab_Calculs[[#This Row],[MOIS]]),0)</f>
        <v>24.1</v>
      </c>
    </row>
    <row r="748" spans="1:27" x14ac:dyDescent="0.25">
      <c r="A748" s="3">
        <f>DATE(Tab_Calculs[[#This Row],[ANNEE]],Tab_Calculs[[#This Row],[MOIS]],1)</f>
        <v>45139</v>
      </c>
      <c r="B748" s="3">
        <f>EDATE(Tab_Calculs[[#This Row],[Début mois]],1)-1</f>
        <v>45169</v>
      </c>
      <c r="C748">
        <f t="shared" si="24"/>
        <v>8</v>
      </c>
      <c r="D748">
        <f t="shared" si="26"/>
        <v>2023</v>
      </c>
      <c r="E748" t="s">
        <v>83</v>
      </c>
      <c r="F748" t="str">
        <f>SUBSTITUTE(Tab_Calculs[[#This Row],[Compteur]]," ","_")</f>
        <v>Compteur_4</v>
      </c>
      <c r="G748" t="str">
        <f>T(INDEX(Site!$B$33:$G$40, MATCH(Tab_Calculs[[#This Row],[Compteur]], Site!$B$33:$B$40,0),2))</f>
        <v/>
      </c>
      <c r="H748" s="3">
        <f t="array" aca="1" ref="H748" ca="1">MIN(IF(INDIRECT(CONCATENATE(Tab_Calculs[[#This Row],[Colonne1]],"!$B$2:$B$243"))&gt;=Calculs_Consos!$A748,INDIRECT(CONCATENATE(Tab_Calculs[[#This Row],[Colonne1]],"!$B$2:$B$243"))))</f>
        <v>0</v>
      </c>
      <c r="I748" s="3">
        <f ca="1">INDEX(INDIRECT(CONCATENATE("Tab_",Tab_Calculs[[#This Row],[Colonne1]])),Tab_Calculs[[#This Row],[index_date_livraison]],1)</f>
        <v>0</v>
      </c>
      <c r="J748">
        <f ca="1">MATCH(Tab_Calculs[[#This Row],[Date_livraison]],INDIRECT(CONCATENATE("Tab_",Tab_Calculs[[#This Row],[Colonne1]],"[Fin de période]")),0)</f>
        <v>1</v>
      </c>
      <c r="K748" t="e">
        <f ca="1">INDEX(INDIRECT(CONCATENATE("Tab_",Tab_Calculs[[#This Row],[Colonne1]])),Tab_Calculs[[#This Row],[index_date_livraison]]-1,6)*(MAX(Tab_Calculs[[#This Row],[Début periode livraison]],Tab_Calculs[[#This Row],[Début mois]])-Tab_Calculs[[#This Row],[Début mois]])</f>
        <v>#VALUE!</v>
      </c>
      <c r="L748" s="94">
        <f ca="1">INDEX(INDIRECT(CONCATENATE("Tab_",Tab_Calculs[[#This Row],[Colonne1]])),Tab_Calculs[[#This Row],[index_date_livraison]],6)*(1+MIN(Tab_Calculs[[#This Row],[Date_livraison]],Tab_Calculs[[#This Row],[fin mois]])-MAX(Tab_Calculs[[#This Row],[Début mois]],Tab_Calculs[[#This Row],[Début periode livraison]]))</f>
        <v>0</v>
      </c>
      <c r="M748" s="94" t="e">
        <f ca="1">INDEX(INDIRECT(CONCATENATE("Tab_",Tab_Calculs[[#This Row],[Colonne1]])),Tab_Calculs[[#This Row],[index_date_livraison]]+1,6)*(Tab_Calculs[[#This Row],[fin mois]]-MIN(Tab_Calculs[[#This Row],[fin mois]],Tab_Calculs[[#This Row],[Date_livraison]]))</f>
        <v>#VALUE!</v>
      </c>
      <c r="N748" s="231" t="str">
        <f ca="1">IFERROR(Tab_Calculs[[#This Row],[Ratio_jour_après_livr]]+Tab_Calculs[[#This Row],[Ratio_jour_avant_livr]]+Tab_Calculs[[#This Row],[ratio_avant_debut]],"")</f>
        <v/>
      </c>
      <c r="O748" t="e">
        <f ca="1">INDEX(INDIRECT(CONCATENATE("Tab_",Tab_Calculs[[#This Row],[Colonne1]])),Tab_Calculs[[#This Row],[index_date_livraison]]-1,7)*(MAX(Tab_Calculs[[#This Row],[Début periode livraison]],Tab_Calculs[[#This Row],[Début mois]])-Tab_Calculs[[#This Row],[Début mois]])</f>
        <v>#VALUE!</v>
      </c>
      <c r="P748">
        <f ca="1">INDEX(INDIRECT(CONCATENATE("Tab_",Tab_Calculs[[#This Row],[Colonne1]])),Tab_Calculs[[#This Row],[index_date_livraison]],7)*(1+MIN(Tab_Calculs[[#This Row],[Date_livraison]],Tab_Calculs[[#This Row],[fin mois]])-MAX(Tab_Calculs[[#This Row],[Début mois]],Tab_Calculs[[#This Row],[Début periode livraison]]))</f>
        <v>0</v>
      </c>
      <c r="Q748" t="e">
        <f ca="1">INDEX(INDIRECT(CONCATENATE("Tab_",Tab_Calculs[[#This Row],[Colonne1]])),Tab_Calculs[[#This Row],[index_date_livraison]]+1,7)*(Tab_Calculs[[#This Row],[fin mois]]-MIN(Tab_Calculs[[#This Row],[fin mois]],Tab_Calculs[[#This Row],[Date_livraison]]))</f>
        <v>#VALUE!</v>
      </c>
      <c r="R748" t="e">
        <f ca="1">Tab_Calculs[[#This Row],[Ratio_Cout_après_livr]]+Tab_Calculs[[#This Row],[Ratio_Cout_avant_livr]]+Tab_Calculs[[#This Row],[Ratio_Cout_avant_debut]]</f>
        <v>#VALUE!</v>
      </c>
      <c r="S748" t="str">
        <f ca="1">IFERROR(N748*VLOOKUP(Tab_Calculs[[#This Row],[Colonne1]],Controle_des_données!$B$7:$G$14,6,FALSE),"")</f>
        <v/>
      </c>
      <c r="T748" t="str">
        <f ca="1">IF(Tab_Calculs[[#This Row],[Combustible ]]="Electricité (kWh)",Tab_Calculs[[#This Row],[Conso_mois_kWh]]*2.3,Tab_Calculs[[#This Row],[Conso_mois_kWh]])</f>
        <v/>
      </c>
      <c r="U748" t="str">
        <f ca="1">IFERROR(N748*VLOOKUP(Tab_Calculs[[#This Row],[Colonne1]],Controle_des_données!$B$7:$H$14,7,FALSE),"")</f>
        <v/>
      </c>
      <c r="V748">
        <f ca="1">IFERROR(Tab_Calculs[[#This Row],[Cout_mois]]/Tab_Calculs[[#This Row],[Conso_mois_kWh]],0)</f>
        <v>0</v>
      </c>
      <c r="W748" t="str">
        <f>T(VLOOKUP(Tab_Calculs[[#This Row],[Compteur]],Site!$B$33:$G$40,3,FALSE))</f>
        <v/>
      </c>
      <c r="X748" t="str">
        <f>T(VLOOKUP(Tab_Calculs[[#This Row],[Compteur]],Site!$B$33:$G$40,4,FALSE))</f>
        <v/>
      </c>
      <c r="Y748" t="str">
        <f>T(VLOOKUP(Tab_Calculs[[#This Row],[Compteur]],Site!$B$33:$G$40,5,FALSE))</f>
        <v/>
      </c>
      <c r="Z748" t="str">
        <f>T(VLOOKUP(Tab_Calculs[[#This Row],[Compteur]],Site!$B$33:$G$40,6,FALSE))</f>
        <v/>
      </c>
      <c r="AA748">
        <f>IFERROR(GETPIVOTDATA("DJU(chauffagiste)",BDD_DJU!$P$13,"annee",Tab_Calculs[[#This Row],[ANNEE]],"mois_numero",Tab_Calculs[[#This Row],[MOIS]]),0)</f>
        <v>27.9</v>
      </c>
    </row>
    <row r="749" spans="1:27" x14ac:dyDescent="0.25">
      <c r="A749" s="3">
        <f>DATE(Tab_Calculs[[#This Row],[ANNEE]],Tab_Calculs[[#This Row],[MOIS]],1)</f>
        <v>45170</v>
      </c>
      <c r="B749" s="3">
        <f>EDATE(Tab_Calculs[[#This Row],[Début mois]],1)-1</f>
        <v>45199</v>
      </c>
      <c r="C749">
        <f t="shared" si="24"/>
        <v>9</v>
      </c>
      <c r="D749">
        <f t="shared" si="26"/>
        <v>2023</v>
      </c>
      <c r="E749" t="s">
        <v>83</v>
      </c>
      <c r="F749" t="str">
        <f>SUBSTITUTE(Tab_Calculs[[#This Row],[Compteur]]," ","_")</f>
        <v>Compteur_4</v>
      </c>
      <c r="G749" t="str">
        <f>T(INDEX(Site!$B$33:$G$40, MATCH(Tab_Calculs[[#This Row],[Compteur]], Site!$B$33:$B$40,0),2))</f>
        <v/>
      </c>
      <c r="H749" s="3">
        <f t="array" aca="1" ref="H749" ca="1">MIN(IF(INDIRECT(CONCATENATE(Tab_Calculs[[#This Row],[Colonne1]],"!$B$2:$B$243"))&gt;=Calculs_Consos!$A749,INDIRECT(CONCATENATE(Tab_Calculs[[#This Row],[Colonne1]],"!$B$2:$B$243"))))</f>
        <v>0</v>
      </c>
      <c r="I749" s="3">
        <f ca="1">INDEX(INDIRECT(CONCATENATE("Tab_",Tab_Calculs[[#This Row],[Colonne1]])),Tab_Calculs[[#This Row],[index_date_livraison]],1)</f>
        <v>0</v>
      </c>
      <c r="J749">
        <f ca="1">MATCH(Tab_Calculs[[#This Row],[Date_livraison]],INDIRECT(CONCATENATE("Tab_",Tab_Calculs[[#This Row],[Colonne1]],"[Fin de période]")),0)</f>
        <v>1</v>
      </c>
      <c r="K749" t="e">
        <f ca="1">INDEX(INDIRECT(CONCATENATE("Tab_",Tab_Calculs[[#This Row],[Colonne1]])),Tab_Calculs[[#This Row],[index_date_livraison]]-1,6)*(MAX(Tab_Calculs[[#This Row],[Début periode livraison]],Tab_Calculs[[#This Row],[Début mois]])-Tab_Calculs[[#This Row],[Début mois]])</f>
        <v>#VALUE!</v>
      </c>
      <c r="L749" s="94">
        <f ca="1">INDEX(INDIRECT(CONCATENATE("Tab_",Tab_Calculs[[#This Row],[Colonne1]])),Tab_Calculs[[#This Row],[index_date_livraison]],6)*(1+MIN(Tab_Calculs[[#This Row],[Date_livraison]],Tab_Calculs[[#This Row],[fin mois]])-MAX(Tab_Calculs[[#This Row],[Début mois]],Tab_Calculs[[#This Row],[Début periode livraison]]))</f>
        <v>0</v>
      </c>
      <c r="M749" s="94" t="e">
        <f ca="1">INDEX(INDIRECT(CONCATENATE("Tab_",Tab_Calculs[[#This Row],[Colonne1]])),Tab_Calculs[[#This Row],[index_date_livraison]]+1,6)*(Tab_Calculs[[#This Row],[fin mois]]-MIN(Tab_Calculs[[#This Row],[fin mois]],Tab_Calculs[[#This Row],[Date_livraison]]))</f>
        <v>#VALUE!</v>
      </c>
      <c r="N749" s="231" t="str">
        <f ca="1">IFERROR(Tab_Calculs[[#This Row],[Ratio_jour_après_livr]]+Tab_Calculs[[#This Row],[Ratio_jour_avant_livr]]+Tab_Calculs[[#This Row],[ratio_avant_debut]],"")</f>
        <v/>
      </c>
      <c r="O749" t="e">
        <f ca="1">INDEX(INDIRECT(CONCATENATE("Tab_",Tab_Calculs[[#This Row],[Colonne1]])),Tab_Calculs[[#This Row],[index_date_livraison]]-1,7)*(MAX(Tab_Calculs[[#This Row],[Début periode livraison]],Tab_Calculs[[#This Row],[Début mois]])-Tab_Calculs[[#This Row],[Début mois]])</f>
        <v>#VALUE!</v>
      </c>
      <c r="P749">
        <f ca="1">INDEX(INDIRECT(CONCATENATE("Tab_",Tab_Calculs[[#This Row],[Colonne1]])),Tab_Calculs[[#This Row],[index_date_livraison]],7)*(1+MIN(Tab_Calculs[[#This Row],[Date_livraison]],Tab_Calculs[[#This Row],[fin mois]])-MAX(Tab_Calculs[[#This Row],[Début mois]],Tab_Calculs[[#This Row],[Début periode livraison]]))</f>
        <v>0</v>
      </c>
      <c r="Q749" t="e">
        <f ca="1">INDEX(INDIRECT(CONCATENATE("Tab_",Tab_Calculs[[#This Row],[Colonne1]])),Tab_Calculs[[#This Row],[index_date_livraison]]+1,7)*(Tab_Calculs[[#This Row],[fin mois]]-MIN(Tab_Calculs[[#This Row],[fin mois]],Tab_Calculs[[#This Row],[Date_livraison]]))</f>
        <v>#VALUE!</v>
      </c>
      <c r="R749" t="e">
        <f ca="1">Tab_Calculs[[#This Row],[Ratio_Cout_après_livr]]+Tab_Calculs[[#This Row],[Ratio_Cout_avant_livr]]+Tab_Calculs[[#This Row],[Ratio_Cout_avant_debut]]</f>
        <v>#VALUE!</v>
      </c>
      <c r="S749" t="str">
        <f ca="1">IFERROR(N749*VLOOKUP(Tab_Calculs[[#This Row],[Colonne1]],Controle_des_données!$B$7:$G$14,6,FALSE),"")</f>
        <v/>
      </c>
      <c r="T749" t="str">
        <f ca="1">IF(Tab_Calculs[[#This Row],[Combustible ]]="Electricité (kWh)",Tab_Calculs[[#This Row],[Conso_mois_kWh]]*2.3,Tab_Calculs[[#This Row],[Conso_mois_kWh]])</f>
        <v/>
      </c>
      <c r="U749" t="str">
        <f ca="1">IFERROR(N749*VLOOKUP(Tab_Calculs[[#This Row],[Colonne1]],Controle_des_données!$B$7:$H$14,7,FALSE),"")</f>
        <v/>
      </c>
      <c r="V749">
        <f ca="1">IFERROR(Tab_Calculs[[#This Row],[Cout_mois]]/Tab_Calculs[[#This Row],[Conso_mois_kWh]],0)</f>
        <v>0</v>
      </c>
      <c r="W749" t="str">
        <f>T(VLOOKUP(Tab_Calculs[[#This Row],[Compteur]],Site!$B$33:$G$40,3,FALSE))</f>
        <v/>
      </c>
      <c r="X749" t="str">
        <f>T(VLOOKUP(Tab_Calculs[[#This Row],[Compteur]],Site!$B$33:$G$40,4,FALSE))</f>
        <v/>
      </c>
      <c r="Y749" t="str">
        <f>T(VLOOKUP(Tab_Calculs[[#This Row],[Compteur]],Site!$B$33:$G$40,5,FALSE))</f>
        <v/>
      </c>
      <c r="Z749" t="str">
        <f>T(VLOOKUP(Tab_Calculs[[#This Row],[Compteur]],Site!$B$33:$G$40,6,FALSE))</f>
        <v/>
      </c>
      <c r="AA749">
        <f>IFERROR(GETPIVOTDATA("DJU(chauffagiste)",BDD_DJU!$P$13,"annee",Tab_Calculs[[#This Row],[ANNEE]],"mois_numero",Tab_Calculs[[#This Row],[MOIS]]),0)</f>
        <v>30.5</v>
      </c>
    </row>
    <row r="750" spans="1:27" x14ac:dyDescent="0.25">
      <c r="A750" s="3">
        <f>DATE(Tab_Calculs[[#This Row],[ANNEE]],Tab_Calculs[[#This Row],[MOIS]],1)</f>
        <v>45200</v>
      </c>
      <c r="B750" s="3">
        <f>EDATE(Tab_Calculs[[#This Row],[Début mois]],1)-1</f>
        <v>45230</v>
      </c>
      <c r="C750">
        <f t="shared" si="24"/>
        <v>10</v>
      </c>
      <c r="D750">
        <f t="shared" si="26"/>
        <v>2023</v>
      </c>
      <c r="E750" t="s">
        <v>83</v>
      </c>
      <c r="F750" t="str">
        <f>SUBSTITUTE(Tab_Calculs[[#This Row],[Compteur]]," ","_")</f>
        <v>Compteur_4</v>
      </c>
      <c r="G750" t="str">
        <f>T(INDEX(Site!$B$33:$G$40, MATCH(Tab_Calculs[[#This Row],[Compteur]], Site!$B$33:$B$40,0),2))</f>
        <v/>
      </c>
      <c r="H750" s="3">
        <f t="array" aca="1" ref="H750" ca="1">MIN(IF(INDIRECT(CONCATENATE(Tab_Calculs[[#This Row],[Colonne1]],"!$B$2:$B$243"))&gt;=Calculs_Consos!$A750,INDIRECT(CONCATENATE(Tab_Calculs[[#This Row],[Colonne1]],"!$B$2:$B$243"))))</f>
        <v>0</v>
      </c>
      <c r="I750" s="3">
        <f ca="1">INDEX(INDIRECT(CONCATENATE("Tab_",Tab_Calculs[[#This Row],[Colonne1]])),Tab_Calculs[[#This Row],[index_date_livraison]],1)</f>
        <v>0</v>
      </c>
      <c r="J750">
        <f ca="1">MATCH(Tab_Calculs[[#This Row],[Date_livraison]],INDIRECT(CONCATENATE("Tab_",Tab_Calculs[[#This Row],[Colonne1]],"[Fin de période]")),0)</f>
        <v>1</v>
      </c>
      <c r="K750" t="e">
        <f ca="1">INDEX(INDIRECT(CONCATENATE("Tab_",Tab_Calculs[[#This Row],[Colonne1]])),Tab_Calculs[[#This Row],[index_date_livraison]]-1,6)*(MAX(Tab_Calculs[[#This Row],[Début periode livraison]],Tab_Calculs[[#This Row],[Début mois]])-Tab_Calculs[[#This Row],[Début mois]])</f>
        <v>#VALUE!</v>
      </c>
      <c r="L750" s="94">
        <f ca="1">INDEX(INDIRECT(CONCATENATE("Tab_",Tab_Calculs[[#This Row],[Colonne1]])),Tab_Calculs[[#This Row],[index_date_livraison]],6)*(1+MIN(Tab_Calculs[[#This Row],[Date_livraison]],Tab_Calculs[[#This Row],[fin mois]])-MAX(Tab_Calculs[[#This Row],[Début mois]],Tab_Calculs[[#This Row],[Début periode livraison]]))</f>
        <v>0</v>
      </c>
      <c r="M750" s="94" t="e">
        <f ca="1">INDEX(INDIRECT(CONCATENATE("Tab_",Tab_Calculs[[#This Row],[Colonne1]])),Tab_Calculs[[#This Row],[index_date_livraison]]+1,6)*(Tab_Calculs[[#This Row],[fin mois]]-MIN(Tab_Calculs[[#This Row],[fin mois]],Tab_Calculs[[#This Row],[Date_livraison]]))</f>
        <v>#VALUE!</v>
      </c>
      <c r="N750" s="231" t="str">
        <f ca="1">IFERROR(Tab_Calculs[[#This Row],[Ratio_jour_après_livr]]+Tab_Calculs[[#This Row],[Ratio_jour_avant_livr]]+Tab_Calculs[[#This Row],[ratio_avant_debut]],"")</f>
        <v/>
      </c>
      <c r="O750" t="e">
        <f ca="1">INDEX(INDIRECT(CONCATENATE("Tab_",Tab_Calculs[[#This Row],[Colonne1]])),Tab_Calculs[[#This Row],[index_date_livraison]]-1,7)*(MAX(Tab_Calculs[[#This Row],[Début periode livraison]],Tab_Calculs[[#This Row],[Début mois]])-Tab_Calculs[[#This Row],[Début mois]])</f>
        <v>#VALUE!</v>
      </c>
      <c r="P750">
        <f ca="1">INDEX(INDIRECT(CONCATENATE("Tab_",Tab_Calculs[[#This Row],[Colonne1]])),Tab_Calculs[[#This Row],[index_date_livraison]],7)*(1+MIN(Tab_Calculs[[#This Row],[Date_livraison]],Tab_Calculs[[#This Row],[fin mois]])-MAX(Tab_Calculs[[#This Row],[Début mois]],Tab_Calculs[[#This Row],[Début periode livraison]]))</f>
        <v>0</v>
      </c>
      <c r="Q750" t="e">
        <f ca="1">INDEX(INDIRECT(CONCATENATE("Tab_",Tab_Calculs[[#This Row],[Colonne1]])),Tab_Calculs[[#This Row],[index_date_livraison]]+1,7)*(Tab_Calculs[[#This Row],[fin mois]]-MIN(Tab_Calculs[[#This Row],[fin mois]],Tab_Calculs[[#This Row],[Date_livraison]]))</f>
        <v>#VALUE!</v>
      </c>
      <c r="R750" t="e">
        <f ca="1">Tab_Calculs[[#This Row],[Ratio_Cout_après_livr]]+Tab_Calculs[[#This Row],[Ratio_Cout_avant_livr]]+Tab_Calculs[[#This Row],[Ratio_Cout_avant_debut]]</f>
        <v>#VALUE!</v>
      </c>
      <c r="S750" t="str">
        <f ca="1">IFERROR(N750*VLOOKUP(Tab_Calculs[[#This Row],[Colonne1]],Controle_des_données!$B$7:$G$14,6,FALSE),"")</f>
        <v/>
      </c>
      <c r="T750" t="str">
        <f ca="1">IF(Tab_Calculs[[#This Row],[Combustible ]]="Electricité (kWh)",Tab_Calculs[[#This Row],[Conso_mois_kWh]]*2.3,Tab_Calculs[[#This Row],[Conso_mois_kWh]])</f>
        <v/>
      </c>
      <c r="U750" t="str">
        <f ca="1">IFERROR(N750*VLOOKUP(Tab_Calculs[[#This Row],[Colonne1]],Controle_des_données!$B$7:$H$14,7,FALSE),"")</f>
        <v/>
      </c>
      <c r="V750">
        <f ca="1">IFERROR(Tab_Calculs[[#This Row],[Cout_mois]]/Tab_Calculs[[#This Row],[Conso_mois_kWh]],0)</f>
        <v>0</v>
      </c>
      <c r="W750" t="str">
        <f>T(VLOOKUP(Tab_Calculs[[#This Row],[Compteur]],Site!$B$33:$G$40,3,FALSE))</f>
        <v/>
      </c>
      <c r="X750" t="str">
        <f>T(VLOOKUP(Tab_Calculs[[#This Row],[Compteur]],Site!$B$33:$G$40,4,FALSE))</f>
        <v/>
      </c>
      <c r="Y750" t="str">
        <f>T(VLOOKUP(Tab_Calculs[[#This Row],[Compteur]],Site!$B$33:$G$40,5,FALSE))</f>
        <v/>
      </c>
      <c r="Z750" t="str">
        <f>T(VLOOKUP(Tab_Calculs[[#This Row],[Compteur]],Site!$B$33:$G$40,6,FALSE))</f>
        <v/>
      </c>
      <c r="AA750">
        <f>IFERROR(GETPIVOTDATA("DJU(chauffagiste)",BDD_DJU!$P$13,"annee",Tab_Calculs[[#This Row],[ANNEE]],"mois_numero",Tab_Calculs[[#This Row],[MOIS]]),0)</f>
        <v>115.8</v>
      </c>
    </row>
    <row r="751" spans="1:27" x14ac:dyDescent="0.25">
      <c r="A751" s="3">
        <f>DATE(Tab_Calculs[[#This Row],[ANNEE]],Tab_Calculs[[#This Row],[MOIS]],1)</f>
        <v>45231</v>
      </c>
      <c r="B751" s="3">
        <f>EDATE(Tab_Calculs[[#This Row],[Début mois]],1)-1</f>
        <v>45260</v>
      </c>
      <c r="C751">
        <f t="shared" si="24"/>
        <v>11</v>
      </c>
      <c r="D751">
        <f t="shared" si="26"/>
        <v>2023</v>
      </c>
      <c r="E751" t="s">
        <v>83</v>
      </c>
      <c r="F751" t="str">
        <f>SUBSTITUTE(Tab_Calculs[[#This Row],[Compteur]]," ","_")</f>
        <v>Compteur_4</v>
      </c>
      <c r="G751" t="str">
        <f>T(INDEX(Site!$B$33:$G$40, MATCH(Tab_Calculs[[#This Row],[Compteur]], Site!$B$33:$B$40,0),2))</f>
        <v/>
      </c>
      <c r="H751" s="3">
        <f t="array" aca="1" ref="H751" ca="1">MIN(IF(INDIRECT(CONCATENATE(Tab_Calculs[[#This Row],[Colonne1]],"!$B$2:$B$243"))&gt;=Calculs_Consos!$A751,INDIRECT(CONCATENATE(Tab_Calculs[[#This Row],[Colonne1]],"!$B$2:$B$243"))))</f>
        <v>0</v>
      </c>
      <c r="I751" s="3">
        <f ca="1">INDEX(INDIRECT(CONCATENATE("Tab_",Tab_Calculs[[#This Row],[Colonne1]])),Tab_Calculs[[#This Row],[index_date_livraison]],1)</f>
        <v>0</v>
      </c>
      <c r="J751">
        <f ca="1">MATCH(Tab_Calculs[[#This Row],[Date_livraison]],INDIRECT(CONCATENATE("Tab_",Tab_Calculs[[#This Row],[Colonne1]],"[Fin de période]")),0)</f>
        <v>1</v>
      </c>
      <c r="K751" t="e">
        <f ca="1">INDEX(INDIRECT(CONCATENATE("Tab_",Tab_Calculs[[#This Row],[Colonne1]])),Tab_Calculs[[#This Row],[index_date_livraison]]-1,6)*(MAX(Tab_Calculs[[#This Row],[Début periode livraison]],Tab_Calculs[[#This Row],[Début mois]])-Tab_Calculs[[#This Row],[Début mois]])</f>
        <v>#VALUE!</v>
      </c>
      <c r="L751" s="94">
        <f ca="1">INDEX(INDIRECT(CONCATENATE("Tab_",Tab_Calculs[[#This Row],[Colonne1]])),Tab_Calculs[[#This Row],[index_date_livraison]],6)*(1+MIN(Tab_Calculs[[#This Row],[Date_livraison]],Tab_Calculs[[#This Row],[fin mois]])-MAX(Tab_Calculs[[#This Row],[Début mois]],Tab_Calculs[[#This Row],[Début periode livraison]]))</f>
        <v>0</v>
      </c>
      <c r="M751" s="94" t="e">
        <f ca="1">INDEX(INDIRECT(CONCATENATE("Tab_",Tab_Calculs[[#This Row],[Colonne1]])),Tab_Calculs[[#This Row],[index_date_livraison]]+1,6)*(Tab_Calculs[[#This Row],[fin mois]]-MIN(Tab_Calculs[[#This Row],[fin mois]],Tab_Calculs[[#This Row],[Date_livraison]]))</f>
        <v>#VALUE!</v>
      </c>
      <c r="N751" s="231" t="str">
        <f ca="1">IFERROR(Tab_Calculs[[#This Row],[Ratio_jour_après_livr]]+Tab_Calculs[[#This Row],[Ratio_jour_avant_livr]]+Tab_Calculs[[#This Row],[ratio_avant_debut]],"")</f>
        <v/>
      </c>
      <c r="O751" t="e">
        <f ca="1">INDEX(INDIRECT(CONCATENATE("Tab_",Tab_Calculs[[#This Row],[Colonne1]])),Tab_Calculs[[#This Row],[index_date_livraison]]-1,7)*(MAX(Tab_Calculs[[#This Row],[Début periode livraison]],Tab_Calculs[[#This Row],[Début mois]])-Tab_Calculs[[#This Row],[Début mois]])</f>
        <v>#VALUE!</v>
      </c>
      <c r="P751">
        <f ca="1">INDEX(INDIRECT(CONCATENATE("Tab_",Tab_Calculs[[#This Row],[Colonne1]])),Tab_Calculs[[#This Row],[index_date_livraison]],7)*(1+MIN(Tab_Calculs[[#This Row],[Date_livraison]],Tab_Calculs[[#This Row],[fin mois]])-MAX(Tab_Calculs[[#This Row],[Début mois]],Tab_Calculs[[#This Row],[Début periode livraison]]))</f>
        <v>0</v>
      </c>
      <c r="Q751" t="e">
        <f ca="1">INDEX(INDIRECT(CONCATENATE("Tab_",Tab_Calculs[[#This Row],[Colonne1]])),Tab_Calculs[[#This Row],[index_date_livraison]]+1,7)*(Tab_Calculs[[#This Row],[fin mois]]-MIN(Tab_Calculs[[#This Row],[fin mois]],Tab_Calculs[[#This Row],[Date_livraison]]))</f>
        <v>#VALUE!</v>
      </c>
      <c r="R751" t="e">
        <f ca="1">Tab_Calculs[[#This Row],[Ratio_Cout_après_livr]]+Tab_Calculs[[#This Row],[Ratio_Cout_avant_livr]]+Tab_Calculs[[#This Row],[Ratio_Cout_avant_debut]]</f>
        <v>#VALUE!</v>
      </c>
      <c r="S751" t="str">
        <f ca="1">IFERROR(N751*VLOOKUP(Tab_Calculs[[#This Row],[Colonne1]],Controle_des_données!$B$7:$G$14,6,FALSE),"")</f>
        <v/>
      </c>
      <c r="T751" t="str">
        <f ca="1">IF(Tab_Calculs[[#This Row],[Combustible ]]="Electricité (kWh)",Tab_Calculs[[#This Row],[Conso_mois_kWh]]*2.3,Tab_Calculs[[#This Row],[Conso_mois_kWh]])</f>
        <v/>
      </c>
      <c r="U751" t="str">
        <f ca="1">IFERROR(N751*VLOOKUP(Tab_Calculs[[#This Row],[Colonne1]],Controle_des_données!$B$7:$H$14,7,FALSE),"")</f>
        <v/>
      </c>
      <c r="V751">
        <f ca="1">IFERROR(Tab_Calculs[[#This Row],[Cout_mois]]/Tab_Calculs[[#This Row],[Conso_mois_kWh]],0)</f>
        <v>0</v>
      </c>
      <c r="W751" t="str">
        <f>T(VLOOKUP(Tab_Calculs[[#This Row],[Compteur]],Site!$B$33:$G$40,3,FALSE))</f>
        <v/>
      </c>
      <c r="X751" t="str">
        <f>T(VLOOKUP(Tab_Calculs[[#This Row],[Compteur]],Site!$B$33:$G$40,4,FALSE))</f>
        <v/>
      </c>
      <c r="Y751" t="str">
        <f>T(VLOOKUP(Tab_Calculs[[#This Row],[Compteur]],Site!$B$33:$G$40,5,FALSE))</f>
        <v/>
      </c>
      <c r="Z751" t="str">
        <f>T(VLOOKUP(Tab_Calculs[[#This Row],[Compteur]],Site!$B$33:$G$40,6,FALSE))</f>
        <v/>
      </c>
      <c r="AA751">
        <f>IFERROR(GETPIVOTDATA("DJU(chauffagiste)",BDD_DJU!$P$13,"annee",Tab_Calculs[[#This Row],[ANNEE]],"mois_numero",Tab_Calculs[[#This Row],[MOIS]]),0)</f>
        <v>239.8</v>
      </c>
    </row>
    <row r="752" spans="1:27" x14ac:dyDescent="0.25">
      <c r="A752" s="3">
        <f>DATE(Tab_Calculs[[#This Row],[ANNEE]],Tab_Calculs[[#This Row],[MOIS]],1)</f>
        <v>45261</v>
      </c>
      <c r="B752" s="3">
        <f>EDATE(Tab_Calculs[[#This Row],[Début mois]],1)-1</f>
        <v>45291</v>
      </c>
      <c r="C752">
        <f t="shared" si="24"/>
        <v>12</v>
      </c>
      <c r="D752">
        <f t="shared" si="26"/>
        <v>2023</v>
      </c>
      <c r="E752" t="s">
        <v>83</v>
      </c>
      <c r="F752" t="str">
        <f>SUBSTITUTE(Tab_Calculs[[#This Row],[Compteur]]," ","_")</f>
        <v>Compteur_4</v>
      </c>
      <c r="G752" t="str">
        <f>T(INDEX(Site!$B$33:$G$40, MATCH(Tab_Calculs[[#This Row],[Compteur]], Site!$B$33:$B$40,0),2))</f>
        <v/>
      </c>
      <c r="H752" s="3">
        <f t="array" aca="1" ref="H752" ca="1">MIN(IF(INDIRECT(CONCATENATE(Tab_Calculs[[#This Row],[Colonne1]],"!$B$2:$B$243"))&gt;=Calculs_Consos!$A752,INDIRECT(CONCATENATE(Tab_Calculs[[#This Row],[Colonne1]],"!$B$2:$B$243"))))</f>
        <v>0</v>
      </c>
      <c r="I752" s="3">
        <f ca="1">INDEX(INDIRECT(CONCATENATE("Tab_",Tab_Calculs[[#This Row],[Colonne1]])),Tab_Calculs[[#This Row],[index_date_livraison]],1)</f>
        <v>0</v>
      </c>
      <c r="J752">
        <f ca="1">MATCH(Tab_Calculs[[#This Row],[Date_livraison]],INDIRECT(CONCATENATE("Tab_",Tab_Calculs[[#This Row],[Colonne1]],"[Fin de période]")),0)</f>
        <v>1</v>
      </c>
      <c r="K752" t="e">
        <f ca="1">INDEX(INDIRECT(CONCATENATE("Tab_",Tab_Calculs[[#This Row],[Colonne1]])),Tab_Calculs[[#This Row],[index_date_livraison]]-1,6)*(MAX(Tab_Calculs[[#This Row],[Début periode livraison]],Tab_Calculs[[#This Row],[Début mois]])-Tab_Calculs[[#This Row],[Début mois]])</f>
        <v>#VALUE!</v>
      </c>
      <c r="L752" s="94">
        <f ca="1">INDEX(INDIRECT(CONCATENATE("Tab_",Tab_Calculs[[#This Row],[Colonne1]])),Tab_Calculs[[#This Row],[index_date_livraison]],6)*(1+MIN(Tab_Calculs[[#This Row],[Date_livraison]],Tab_Calculs[[#This Row],[fin mois]])-MAX(Tab_Calculs[[#This Row],[Début mois]],Tab_Calculs[[#This Row],[Début periode livraison]]))</f>
        <v>0</v>
      </c>
      <c r="M752" s="94" t="e">
        <f ca="1">INDEX(INDIRECT(CONCATENATE("Tab_",Tab_Calculs[[#This Row],[Colonne1]])),Tab_Calculs[[#This Row],[index_date_livraison]]+1,6)*(Tab_Calculs[[#This Row],[fin mois]]-MIN(Tab_Calculs[[#This Row],[fin mois]],Tab_Calculs[[#This Row],[Date_livraison]]))</f>
        <v>#VALUE!</v>
      </c>
      <c r="N752" s="231" t="str">
        <f ca="1">IFERROR(Tab_Calculs[[#This Row],[Ratio_jour_après_livr]]+Tab_Calculs[[#This Row],[Ratio_jour_avant_livr]]+Tab_Calculs[[#This Row],[ratio_avant_debut]],"")</f>
        <v/>
      </c>
      <c r="O752" t="e">
        <f ca="1">INDEX(INDIRECT(CONCATENATE("Tab_",Tab_Calculs[[#This Row],[Colonne1]])),Tab_Calculs[[#This Row],[index_date_livraison]]-1,7)*(MAX(Tab_Calculs[[#This Row],[Début periode livraison]],Tab_Calculs[[#This Row],[Début mois]])-Tab_Calculs[[#This Row],[Début mois]])</f>
        <v>#VALUE!</v>
      </c>
      <c r="P752">
        <f ca="1">INDEX(INDIRECT(CONCATENATE("Tab_",Tab_Calculs[[#This Row],[Colonne1]])),Tab_Calculs[[#This Row],[index_date_livraison]],7)*(1+MIN(Tab_Calculs[[#This Row],[Date_livraison]],Tab_Calculs[[#This Row],[fin mois]])-MAX(Tab_Calculs[[#This Row],[Début mois]],Tab_Calculs[[#This Row],[Début periode livraison]]))</f>
        <v>0</v>
      </c>
      <c r="Q752" t="e">
        <f ca="1">INDEX(INDIRECT(CONCATENATE("Tab_",Tab_Calculs[[#This Row],[Colonne1]])),Tab_Calculs[[#This Row],[index_date_livraison]]+1,7)*(Tab_Calculs[[#This Row],[fin mois]]-MIN(Tab_Calculs[[#This Row],[fin mois]],Tab_Calculs[[#This Row],[Date_livraison]]))</f>
        <v>#VALUE!</v>
      </c>
      <c r="R752" t="e">
        <f ca="1">Tab_Calculs[[#This Row],[Ratio_Cout_après_livr]]+Tab_Calculs[[#This Row],[Ratio_Cout_avant_livr]]+Tab_Calculs[[#This Row],[Ratio_Cout_avant_debut]]</f>
        <v>#VALUE!</v>
      </c>
      <c r="S752" t="str">
        <f ca="1">IFERROR(N752*VLOOKUP(Tab_Calculs[[#This Row],[Colonne1]],Controle_des_données!$B$7:$G$14,6,FALSE),"")</f>
        <v/>
      </c>
      <c r="T752" t="str">
        <f ca="1">IF(Tab_Calculs[[#This Row],[Combustible ]]="Electricité (kWh)",Tab_Calculs[[#This Row],[Conso_mois_kWh]]*2.3,Tab_Calculs[[#This Row],[Conso_mois_kWh]])</f>
        <v/>
      </c>
      <c r="U752" t="str">
        <f ca="1">IFERROR(N752*VLOOKUP(Tab_Calculs[[#This Row],[Colonne1]],Controle_des_données!$B$7:$H$14,7,FALSE),"")</f>
        <v/>
      </c>
      <c r="V752">
        <f ca="1">IFERROR(Tab_Calculs[[#This Row],[Cout_mois]]/Tab_Calculs[[#This Row],[Conso_mois_kWh]],0)</f>
        <v>0</v>
      </c>
      <c r="W752" t="str">
        <f>T(VLOOKUP(Tab_Calculs[[#This Row],[Compteur]],Site!$B$33:$G$40,3,FALSE))</f>
        <v/>
      </c>
      <c r="X752" t="str">
        <f>T(VLOOKUP(Tab_Calculs[[#This Row],[Compteur]],Site!$B$33:$G$40,4,FALSE))</f>
        <v/>
      </c>
      <c r="Y752" t="str">
        <f>T(VLOOKUP(Tab_Calculs[[#This Row],[Compteur]],Site!$B$33:$G$40,5,FALSE))</f>
        <v/>
      </c>
      <c r="Z752" t="str">
        <f>T(VLOOKUP(Tab_Calculs[[#This Row],[Compteur]],Site!$B$33:$G$40,6,FALSE))</f>
        <v/>
      </c>
      <c r="AA752">
        <f>IFERROR(GETPIVOTDATA("DJU(chauffagiste)",BDD_DJU!$P$13,"annee",Tab_Calculs[[#This Row],[ANNEE]],"mois_numero",Tab_Calculs[[#This Row],[MOIS]]),0)</f>
        <v>300.89999999999998</v>
      </c>
    </row>
    <row r="753" spans="1:27" x14ac:dyDescent="0.25">
      <c r="A753" s="3">
        <f>DATE(Tab_Calculs[[#This Row],[ANNEE]],Tab_Calculs[[#This Row],[MOIS]],1)</f>
        <v>45292</v>
      </c>
      <c r="B753" s="3">
        <f>EDATE(Tab_Calculs[[#This Row],[Début mois]],1)-1</f>
        <v>45322</v>
      </c>
      <c r="C753">
        <f t="shared" si="24"/>
        <v>1</v>
      </c>
      <c r="D753">
        <f t="shared" si="26"/>
        <v>2024</v>
      </c>
      <c r="E753" t="s">
        <v>83</v>
      </c>
      <c r="F753" t="str">
        <f>SUBSTITUTE(Tab_Calculs[[#This Row],[Compteur]]," ","_")</f>
        <v>Compteur_4</v>
      </c>
      <c r="G753" t="str">
        <f>T(INDEX(Site!$B$33:$G$40, MATCH(Tab_Calculs[[#This Row],[Compteur]], Site!$B$33:$B$40,0),2))</f>
        <v/>
      </c>
      <c r="H753" s="3">
        <f t="array" aca="1" ref="H753" ca="1">MIN(IF(INDIRECT(CONCATENATE(Tab_Calculs[[#This Row],[Colonne1]],"!$B$2:$B$243"))&gt;=Calculs_Consos!$A753,INDIRECT(CONCATENATE(Tab_Calculs[[#This Row],[Colonne1]],"!$B$2:$B$243"))))</f>
        <v>0</v>
      </c>
      <c r="I753" s="3">
        <f ca="1">INDEX(INDIRECT(CONCATENATE("Tab_",Tab_Calculs[[#This Row],[Colonne1]])),Tab_Calculs[[#This Row],[index_date_livraison]],1)</f>
        <v>0</v>
      </c>
      <c r="J753">
        <f ca="1">MATCH(Tab_Calculs[[#This Row],[Date_livraison]],INDIRECT(CONCATENATE("Tab_",Tab_Calculs[[#This Row],[Colonne1]],"[Fin de période]")),0)</f>
        <v>1</v>
      </c>
      <c r="K753" t="e">
        <f ca="1">INDEX(INDIRECT(CONCATENATE("Tab_",Tab_Calculs[[#This Row],[Colonne1]])),Tab_Calculs[[#This Row],[index_date_livraison]]-1,6)*(MAX(Tab_Calculs[[#This Row],[Début periode livraison]],Tab_Calculs[[#This Row],[Début mois]])-Tab_Calculs[[#This Row],[Début mois]])</f>
        <v>#VALUE!</v>
      </c>
      <c r="L753" s="94">
        <f ca="1">INDEX(INDIRECT(CONCATENATE("Tab_",Tab_Calculs[[#This Row],[Colonne1]])),Tab_Calculs[[#This Row],[index_date_livraison]],6)*(1+MIN(Tab_Calculs[[#This Row],[Date_livraison]],Tab_Calculs[[#This Row],[fin mois]])-MAX(Tab_Calculs[[#This Row],[Début mois]],Tab_Calculs[[#This Row],[Début periode livraison]]))</f>
        <v>0</v>
      </c>
      <c r="M753" s="94" t="e">
        <f ca="1">INDEX(INDIRECT(CONCATENATE("Tab_",Tab_Calculs[[#This Row],[Colonne1]])),Tab_Calculs[[#This Row],[index_date_livraison]]+1,6)*(Tab_Calculs[[#This Row],[fin mois]]-MIN(Tab_Calculs[[#This Row],[fin mois]],Tab_Calculs[[#This Row],[Date_livraison]]))</f>
        <v>#VALUE!</v>
      </c>
      <c r="N753" s="231" t="str">
        <f ca="1">IFERROR(Tab_Calculs[[#This Row],[Ratio_jour_après_livr]]+Tab_Calculs[[#This Row],[Ratio_jour_avant_livr]]+Tab_Calculs[[#This Row],[ratio_avant_debut]],"")</f>
        <v/>
      </c>
      <c r="O753" t="e">
        <f ca="1">INDEX(INDIRECT(CONCATENATE("Tab_",Tab_Calculs[[#This Row],[Colonne1]])),Tab_Calculs[[#This Row],[index_date_livraison]]-1,7)*(MAX(Tab_Calculs[[#This Row],[Début periode livraison]],Tab_Calculs[[#This Row],[Début mois]])-Tab_Calculs[[#This Row],[Début mois]])</f>
        <v>#VALUE!</v>
      </c>
      <c r="P753">
        <f ca="1">INDEX(INDIRECT(CONCATENATE("Tab_",Tab_Calculs[[#This Row],[Colonne1]])),Tab_Calculs[[#This Row],[index_date_livraison]],7)*(1+MIN(Tab_Calculs[[#This Row],[Date_livraison]],Tab_Calculs[[#This Row],[fin mois]])-MAX(Tab_Calculs[[#This Row],[Début mois]],Tab_Calculs[[#This Row],[Début periode livraison]]))</f>
        <v>0</v>
      </c>
      <c r="Q753" t="e">
        <f ca="1">INDEX(INDIRECT(CONCATENATE("Tab_",Tab_Calculs[[#This Row],[Colonne1]])),Tab_Calculs[[#This Row],[index_date_livraison]]+1,7)*(Tab_Calculs[[#This Row],[fin mois]]-MIN(Tab_Calculs[[#This Row],[fin mois]],Tab_Calculs[[#This Row],[Date_livraison]]))</f>
        <v>#VALUE!</v>
      </c>
      <c r="R753" t="e">
        <f ca="1">Tab_Calculs[[#This Row],[Ratio_Cout_après_livr]]+Tab_Calculs[[#This Row],[Ratio_Cout_avant_livr]]+Tab_Calculs[[#This Row],[Ratio_Cout_avant_debut]]</f>
        <v>#VALUE!</v>
      </c>
      <c r="S753" t="str">
        <f ca="1">IFERROR(N753*VLOOKUP(Tab_Calculs[[#This Row],[Colonne1]],Controle_des_données!$B$7:$G$14,6,FALSE),"")</f>
        <v/>
      </c>
      <c r="T753" t="str">
        <f ca="1">IF(Tab_Calculs[[#This Row],[Combustible ]]="Electricité (kWh)",Tab_Calculs[[#This Row],[Conso_mois_kWh]]*2.3,Tab_Calculs[[#This Row],[Conso_mois_kWh]])</f>
        <v/>
      </c>
      <c r="U753" t="str">
        <f ca="1">IFERROR(N753*VLOOKUP(Tab_Calculs[[#This Row],[Colonne1]],Controle_des_données!$B$7:$H$14,7,FALSE),"")</f>
        <v/>
      </c>
      <c r="V753">
        <f ca="1">IFERROR(Tab_Calculs[[#This Row],[Cout_mois]]/Tab_Calculs[[#This Row],[Conso_mois_kWh]],0)</f>
        <v>0</v>
      </c>
      <c r="W753" t="str">
        <f>T(VLOOKUP(Tab_Calculs[[#This Row],[Compteur]],Site!$B$33:$G$40,3,FALSE))</f>
        <v/>
      </c>
      <c r="X753" t="str">
        <f>T(VLOOKUP(Tab_Calculs[[#This Row],[Compteur]],Site!$B$33:$G$40,4,FALSE))</f>
        <v/>
      </c>
      <c r="Y753" t="str">
        <f>T(VLOOKUP(Tab_Calculs[[#This Row],[Compteur]],Site!$B$33:$G$40,5,FALSE))</f>
        <v/>
      </c>
      <c r="Z753" t="str">
        <f>T(VLOOKUP(Tab_Calculs[[#This Row],[Compteur]],Site!$B$33:$G$40,6,FALSE))</f>
        <v/>
      </c>
      <c r="AA753">
        <f>IFERROR(GETPIVOTDATA("DJU(chauffagiste)",BDD_DJU!$P$13,"annee",Tab_Calculs[[#This Row],[ANNEE]],"mois_numero",Tab_Calculs[[#This Row],[MOIS]]),0)</f>
        <v>0</v>
      </c>
    </row>
    <row r="754" spans="1:27" x14ac:dyDescent="0.25">
      <c r="A754" s="3">
        <f>DATE(Tab_Calculs[[#This Row],[ANNEE]],Tab_Calculs[[#This Row],[MOIS]],1)</f>
        <v>45323</v>
      </c>
      <c r="B754" s="3">
        <f>EDATE(Tab_Calculs[[#This Row],[Début mois]],1)-1</f>
        <v>45351</v>
      </c>
      <c r="C754">
        <f t="shared" si="24"/>
        <v>2</v>
      </c>
      <c r="D754">
        <f t="shared" si="26"/>
        <v>2024</v>
      </c>
      <c r="E754" t="s">
        <v>83</v>
      </c>
      <c r="F754" t="str">
        <f>SUBSTITUTE(Tab_Calculs[[#This Row],[Compteur]]," ","_")</f>
        <v>Compteur_4</v>
      </c>
      <c r="G754" t="str">
        <f>T(INDEX(Site!$B$33:$G$40, MATCH(Tab_Calculs[[#This Row],[Compteur]], Site!$B$33:$B$40,0),2))</f>
        <v/>
      </c>
      <c r="H754" s="3">
        <f t="array" aca="1" ref="H754" ca="1">MIN(IF(INDIRECT(CONCATENATE(Tab_Calculs[[#This Row],[Colonne1]],"!$B$2:$B$243"))&gt;=Calculs_Consos!$A754,INDIRECT(CONCATENATE(Tab_Calculs[[#This Row],[Colonne1]],"!$B$2:$B$243"))))</f>
        <v>0</v>
      </c>
      <c r="I754" s="3">
        <f ca="1">INDEX(INDIRECT(CONCATENATE("Tab_",Tab_Calculs[[#This Row],[Colonne1]])),Tab_Calculs[[#This Row],[index_date_livraison]],1)</f>
        <v>0</v>
      </c>
      <c r="J754">
        <f ca="1">MATCH(Tab_Calculs[[#This Row],[Date_livraison]],INDIRECT(CONCATENATE("Tab_",Tab_Calculs[[#This Row],[Colonne1]],"[Fin de période]")),0)</f>
        <v>1</v>
      </c>
      <c r="K754" t="e">
        <f ca="1">INDEX(INDIRECT(CONCATENATE("Tab_",Tab_Calculs[[#This Row],[Colonne1]])),Tab_Calculs[[#This Row],[index_date_livraison]]-1,6)*(MAX(Tab_Calculs[[#This Row],[Début periode livraison]],Tab_Calculs[[#This Row],[Début mois]])-Tab_Calculs[[#This Row],[Début mois]])</f>
        <v>#VALUE!</v>
      </c>
      <c r="L754" s="94">
        <f ca="1">INDEX(INDIRECT(CONCATENATE("Tab_",Tab_Calculs[[#This Row],[Colonne1]])),Tab_Calculs[[#This Row],[index_date_livraison]],6)*(1+MIN(Tab_Calculs[[#This Row],[Date_livraison]],Tab_Calculs[[#This Row],[fin mois]])-MAX(Tab_Calculs[[#This Row],[Début mois]],Tab_Calculs[[#This Row],[Début periode livraison]]))</f>
        <v>0</v>
      </c>
      <c r="M754" s="94" t="e">
        <f ca="1">INDEX(INDIRECT(CONCATENATE("Tab_",Tab_Calculs[[#This Row],[Colonne1]])),Tab_Calculs[[#This Row],[index_date_livraison]]+1,6)*(Tab_Calculs[[#This Row],[fin mois]]-MIN(Tab_Calculs[[#This Row],[fin mois]],Tab_Calculs[[#This Row],[Date_livraison]]))</f>
        <v>#VALUE!</v>
      </c>
      <c r="N754" s="231" t="str">
        <f ca="1">IFERROR(Tab_Calculs[[#This Row],[Ratio_jour_après_livr]]+Tab_Calculs[[#This Row],[Ratio_jour_avant_livr]]+Tab_Calculs[[#This Row],[ratio_avant_debut]],"")</f>
        <v/>
      </c>
      <c r="O754" t="e">
        <f ca="1">INDEX(INDIRECT(CONCATENATE("Tab_",Tab_Calculs[[#This Row],[Colonne1]])),Tab_Calculs[[#This Row],[index_date_livraison]]-1,7)*(MAX(Tab_Calculs[[#This Row],[Début periode livraison]],Tab_Calculs[[#This Row],[Début mois]])-Tab_Calculs[[#This Row],[Début mois]])</f>
        <v>#VALUE!</v>
      </c>
      <c r="P754">
        <f ca="1">INDEX(INDIRECT(CONCATENATE("Tab_",Tab_Calculs[[#This Row],[Colonne1]])),Tab_Calculs[[#This Row],[index_date_livraison]],7)*(1+MIN(Tab_Calculs[[#This Row],[Date_livraison]],Tab_Calculs[[#This Row],[fin mois]])-MAX(Tab_Calculs[[#This Row],[Début mois]],Tab_Calculs[[#This Row],[Début periode livraison]]))</f>
        <v>0</v>
      </c>
      <c r="Q754" t="e">
        <f ca="1">INDEX(INDIRECT(CONCATENATE("Tab_",Tab_Calculs[[#This Row],[Colonne1]])),Tab_Calculs[[#This Row],[index_date_livraison]]+1,7)*(Tab_Calculs[[#This Row],[fin mois]]-MIN(Tab_Calculs[[#This Row],[fin mois]],Tab_Calculs[[#This Row],[Date_livraison]]))</f>
        <v>#VALUE!</v>
      </c>
      <c r="R754" t="e">
        <f ca="1">Tab_Calculs[[#This Row],[Ratio_Cout_après_livr]]+Tab_Calculs[[#This Row],[Ratio_Cout_avant_livr]]+Tab_Calculs[[#This Row],[Ratio_Cout_avant_debut]]</f>
        <v>#VALUE!</v>
      </c>
      <c r="S754" t="str">
        <f ca="1">IFERROR(N754*VLOOKUP(Tab_Calculs[[#This Row],[Colonne1]],Controle_des_données!$B$7:$G$14,6,FALSE),"")</f>
        <v/>
      </c>
      <c r="T754" t="str">
        <f ca="1">IF(Tab_Calculs[[#This Row],[Combustible ]]="Electricité (kWh)",Tab_Calculs[[#This Row],[Conso_mois_kWh]]*2.3,Tab_Calculs[[#This Row],[Conso_mois_kWh]])</f>
        <v/>
      </c>
      <c r="U754" t="str">
        <f ca="1">IFERROR(N754*VLOOKUP(Tab_Calculs[[#This Row],[Colonne1]],Controle_des_données!$B$7:$H$14,7,FALSE),"")</f>
        <v/>
      </c>
      <c r="V754">
        <f ca="1">IFERROR(Tab_Calculs[[#This Row],[Cout_mois]]/Tab_Calculs[[#This Row],[Conso_mois_kWh]],0)</f>
        <v>0</v>
      </c>
      <c r="W754" t="str">
        <f>T(VLOOKUP(Tab_Calculs[[#This Row],[Compteur]],Site!$B$33:$G$40,3,FALSE))</f>
        <v/>
      </c>
      <c r="X754" t="str">
        <f>T(VLOOKUP(Tab_Calculs[[#This Row],[Compteur]],Site!$B$33:$G$40,4,FALSE))</f>
        <v/>
      </c>
      <c r="Y754" t="str">
        <f>T(VLOOKUP(Tab_Calculs[[#This Row],[Compteur]],Site!$B$33:$G$40,5,FALSE))</f>
        <v/>
      </c>
      <c r="Z754" t="str">
        <f>T(VLOOKUP(Tab_Calculs[[#This Row],[Compteur]],Site!$B$33:$G$40,6,FALSE))</f>
        <v/>
      </c>
      <c r="AA754">
        <f>IFERROR(GETPIVOTDATA("DJU(chauffagiste)",BDD_DJU!$P$13,"annee",Tab_Calculs[[#This Row],[ANNEE]],"mois_numero",Tab_Calculs[[#This Row],[MOIS]]),0)</f>
        <v>0</v>
      </c>
    </row>
    <row r="755" spans="1:27" x14ac:dyDescent="0.25">
      <c r="A755" s="3">
        <f>DATE(Tab_Calculs[[#This Row],[ANNEE]],Tab_Calculs[[#This Row],[MOIS]],1)</f>
        <v>45352</v>
      </c>
      <c r="B755" s="3">
        <f>EDATE(Tab_Calculs[[#This Row],[Début mois]],1)-1</f>
        <v>45382</v>
      </c>
      <c r="C755">
        <f t="shared" si="24"/>
        <v>3</v>
      </c>
      <c r="D755">
        <f t="shared" si="26"/>
        <v>2024</v>
      </c>
      <c r="E755" t="s">
        <v>83</v>
      </c>
      <c r="F755" t="str">
        <f>SUBSTITUTE(Tab_Calculs[[#This Row],[Compteur]]," ","_")</f>
        <v>Compteur_4</v>
      </c>
      <c r="G755" t="str">
        <f>T(INDEX(Site!$B$33:$G$40, MATCH(Tab_Calculs[[#This Row],[Compteur]], Site!$B$33:$B$40,0),2))</f>
        <v/>
      </c>
      <c r="H755" s="3">
        <f t="array" aca="1" ref="H755" ca="1">MIN(IF(INDIRECT(CONCATENATE(Tab_Calculs[[#This Row],[Colonne1]],"!$B$2:$B$243"))&gt;=Calculs_Consos!$A755,INDIRECT(CONCATENATE(Tab_Calculs[[#This Row],[Colonne1]],"!$B$2:$B$243"))))</f>
        <v>0</v>
      </c>
      <c r="I755" s="3">
        <f ca="1">INDEX(INDIRECT(CONCATENATE("Tab_",Tab_Calculs[[#This Row],[Colonne1]])),Tab_Calculs[[#This Row],[index_date_livraison]],1)</f>
        <v>0</v>
      </c>
      <c r="J755">
        <f ca="1">MATCH(Tab_Calculs[[#This Row],[Date_livraison]],INDIRECT(CONCATENATE("Tab_",Tab_Calculs[[#This Row],[Colonne1]],"[Fin de période]")),0)</f>
        <v>1</v>
      </c>
      <c r="K755" t="e">
        <f ca="1">INDEX(INDIRECT(CONCATENATE("Tab_",Tab_Calculs[[#This Row],[Colonne1]])),Tab_Calculs[[#This Row],[index_date_livraison]]-1,6)*(MAX(Tab_Calculs[[#This Row],[Début periode livraison]],Tab_Calculs[[#This Row],[Début mois]])-Tab_Calculs[[#This Row],[Début mois]])</f>
        <v>#VALUE!</v>
      </c>
      <c r="L755" s="94">
        <f ca="1">INDEX(INDIRECT(CONCATENATE("Tab_",Tab_Calculs[[#This Row],[Colonne1]])),Tab_Calculs[[#This Row],[index_date_livraison]],6)*(1+MIN(Tab_Calculs[[#This Row],[Date_livraison]],Tab_Calculs[[#This Row],[fin mois]])-MAX(Tab_Calculs[[#This Row],[Début mois]],Tab_Calculs[[#This Row],[Début periode livraison]]))</f>
        <v>0</v>
      </c>
      <c r="M755" s="94" t="e">
        <f ca="1">INDEX(INDIRECT(CONCATENATE("Tab_",Tab_Calculs[[#This Row],[Colonne1]])),Tab_Calculs[[#This Row],[index_date_livraison]]+1,6)*(Tab_Calculs[[#This Row],[fin mois]]-MIN(Tab_Calculs[[#This Row],[fin mois]],Tab_Calculs[[#This Row],[Date_livraison]]))</f>
        <v>#VALUE!</v>
      </c>
      <c r="N755" s="231" t="str">
        <f ca="1">IFERROR(Tab_Calculs[[#This Row],[Ratio_jour_après_livr]]+Tab_Calculs[[#This Row],[Ratio_jour_avant_livr]]+Tab_Calculs[[#This Row],[ratio_avant_debut]],"")</f>
        <v/>
      </c>
      <c r="O755" t="e">
        <f ca="1">INDEX(INDIRECT(CONCATENATE("Tab_",Tab_Calculs[[#This Row],[Colonne1]])),Tab_Calculs[[#This Row],[index_date_livraison]]-1,7)*(MAX(Tab_Calculs[[#This Row],[Début periode livraison]],Tab_Calculs[[#This Row],[Début mois]])-Tab_Calculs[[#This Row],[Début mois]])</f>
        <v>#VALUE!</v>
      </c>
      <c r="P755">
        <f ca="1">INDEX(INDIRECT(CONCATENATE("Tab_",Tab_Calculs[[#This Row],[Colonne1]])),Tab_Calculs[[#This Row],[index_date_livraison]],7)*(1+MIN(Tab_Calculs[[#This Row],[Date_livraison]],Tab_Calculs[[#This Row],[fin mois]])-MAX(Tab_Calculs[[#This Row],[Début mois]],Tab_Calculs[[#This Row],[Début periode livraison]]))</f>
        <v>0</v>
      </c>
      <c r="Q755" t="e">
        <f ca="1">INDEX(INDIRECT(CONCATENATE("Tab_",Tab_Calculs[[#This Row],[Colonne1]])),Tab_Calculs[[#This Row],[index_date_livraison]]+1,7)*(Tab_Calculs[[#This Row],[fin mois]]-MIN(Tab_Calculs[[#This Row],[fin mois]],Tab_Calculs[[#This Row],[Date_livraison]]))</f>
        <v>#VALUE!</v>
      </c>
      <c r="R755" t="e">
        <f ca="1">Tab_Calculs[[#This Row],[Ratio_Cout_après_livr]]+Tab_Calculs[[#This Row],[Ratio_Cout_avant_livr]]+Tab_Calculs[[#This Row],[Ratio_Cout_avant_debut]]</f>
        <v>#VALUE!</v>
      </c>
      <c r="S755" t="str">
        <f ca="1">IFERROR(N755*VLOOKUP(Tab_Calculs[[#This Row],[Colonne1]],Controle_des_données!$B$7:$G$14,6,FALSE),"")</f>
        <v/>
      </c>
      <c r="T755" t="str">
        <f ca="1">IF(Tab_Calculs[[#This Row],[Combustible ]]="Electricité (kWh)",Tab_Calculs[[#This Row],[Conso_mois_kWh]]*2.3,Tab_Calculs[[#This Row],[Conso_mois_kWh]])</f>
        <v/>
      </c>
      <c r="U755" t="str">
        <f ca="1">IFERROR(N755*VLOOKUP(Tab_Calculs[[#This Row],[Colonne1]],Controle_des_données!$B$7:$H$14,7,FALSE),"")</f>
        <v/>
      </c>
      <c r="V755">
        <f ca="1">IFERROR(Tab_Calculs[[#This Row],[Cout_mois]]/Tab_Calculs[[#This Row],[Conso_mois_kWh]],0)</f>
        <v>0</v>
      </c>
      <c r="W755" t="str">
        <f>T(VLOOKUP(Tab_Calculs[[#This Row],[Compteur]],Site!$B$33:$G$40,3,FALSE))</f>
        <v/>
      </c>
      <c r="X755" t="str">
        <f>T(VLOOKUP(Tab_Calculs[[#This Row],[Compteur]],Site!$B$33:$G$40,4,FALSE))</f>
        <v/>
      </c>
      <c r="Y755" t="str">
        <f>T(VLOOKUP(Tab_Calculs[[#This Row],[Compteur]],Site!$B$33:$G$40,5,FALSE))</f>
        <v/>
      </c>
      <c r="Z755" t="str">
        <f>T(VLOOKUP(Tab_Calculs[[#This Row],[Compteur]],Site!$B$33:$G$40,6,FALSE))</f>
        <v/>
      </c>
      <c r="AA755">
        <f>IFERROR(GETPIVOTDATA("DJU(chauffagiste)",BDD_DJU!$P$13,"annee",Tab_Calculs[[#This Row],[ANNEE]],"mois_numero",Tab_Calculs[[#This Row],[MOIS]]),0)</f>
        <v>0</v>
      </c>
    </row>
    <row r="756" spans="1:27" x14ac:dyDescent="0.25">
      <c r="A756" s="3">
        <f>DATE(Tab_Calculs[[#This Row],[ANNEE]],Tab_Calculs[[#This Row],[MOIS]],1)</f>
        <v>45383</v>
      </c>
      <c r="B756" s="3">
        <f>EDATE(Tab_Calculs[[#This Row],[Début mois]],1)-1</f>
        <v>45412</v>
      </c>
      <c r="C756">
        <f t="shared" si="24"/>
        <v>4</v>
      </c>
      <c r="D756">
        <f t="shared" si="26"/>
        <v>2024</v>
      </c>
      <c r="E756" t="s">
        <v>83</v>
      </c>
      <c r="F756" t="str">
        <f>SUBSTITUTE(Tab_Calculs[[#This Row],[Compteur]]," ","_")</f>
        <v>Compteur_4</v>
      </c>
      <c r="G756" t="str">
        <f>T(INDEX(Site!$B$33:$G$40, MATCH(Tab_Calculs[[#This Row],[Compteur]], Site!$B$33:$B$40,0),2))</f>
        <v/>
      </c>
      <c r="H756" s="3">
        <f t="array" aca="1" ref="H756" ca="1">MIN(IF(INDIRECT(CONCATENATE(Tab_Calculs[[#This Row],[Colonne1]],"!$B$2:$B$243"))&gt;=Calculs_Consos!$A756,INDIRECT(CONCATENATE(Tab_Calculs[[#This Row],[Colonne1]],"!$B$2:$B$243"))))</f>
        <v>0</v>
      </c>
      <c r="I756" s="3">
        <f ca="1">INDEX(INDIRECT(CONCATENATE("Tab_",Tab_Calculs[[#This Row],[Colonne1]])),Tab_Calculs[[#This Row],[index_date_livraison]],1)</f>
        <v>0</v>
      </c>
      <c r="J756">
        <f ca="1">MATCH(Tab_Calculs[[#This Row],[Date_livraison]],INDIRECT(CONCATENATE("Tab_",Tab_Calculs[[#This Row],[Colonne1]],"[Fin de période]")),0)</f>
        <v>1</v>
      </c>
      <c r="K756" t="e">
        <f ca="1">INDEX(INDIRECT(CONCATENATE("Tab_",Tab_Calculs[[#This Row],[Colonne1]])),Tab_Calculs[[#This Row],[index_date_livraison]]-1,6)*(MAX(Tab_Calculs[[#This Row],[Début periode livraison]],Tab_Calculs[[#This Row],[Début mois]])-Tab_Calculs[[#This Row],[Début mois]])</f>
        <v>#VALUE!</v>
      </c>
      <c r="L756" s="94">
        <f ca="1">INDEX(INDIRECT(CONCATENATE("Tab_",Tab_Calculs[[#This Row],[Colonne1]])),Tab_Calculs[[#This Row],[index_date_livraison]],6)*(1+MIN(Tab_Calculs[[#This Row],[Date_livraison]],Tab_Calculs[[#This Row],[fin mois]])-MAX(Tab_Calculs[[#This Row],[Début mois]],Tab_Calculs[[#This Row],[Début periode livraison]]))</f>
        <v>0</v>
      </c>
      <c r="M756" s="94" t="e">
        <f ca="1">INDEX(INDIRECT(CONCATENATE("Tab_",Tab_Calculs[[#This Row],[Colonne1]])),Tab_Calculs[[#This Row],[index_date_livraison]]+1,6)*(Tab_Calculs[[#This Row],[fin mois]]-MIN(Tab_Calculs[[#This Row],[fin mois]],Tab_Calculs[[#This Row],[Date_livraison]]))</f>
        <v>#VALUE!</v>
      </c>
      <c r="N756" s="231" t="str">
        <f ca="1">IFERROR(Tab_Calculs[[#This Row],[Ratio_jour_après_livr]]+Tab_Calculs[[#This Row],[Ratio_jour_avant_livr]]+Tab_Calculs[[#This Row],[ratio_avant_debut]],"")</f>
        <v/>
      </c>
      <c r="O756" t="e">
        <f ca="1">INDEX(INDIRECT(CONCATENATE("Tab_",Tab_Calculs[[#This Row],[Colonne1]])),Tab_Calculs[[#This Row],[index_date_livraison]]-1,7)*(MAX(Tab_Calculs[[#This Row],[Début periode livraison]],Tab_Calculs[[#This Row],[Début mois]])-Tab_Calculs[[#This Row],[Début mois]])</f>
        <v>#VALUE!</v>
      </c>
      <c r="P756">
        <f ca="1">INDEX(INDIRECT(CONCATENATE("Tab_",Tab_Calculs[[#This Row],[Colonne1]])),Tab_Calculs[[#This Row],[index_date_livraison]],7)*(1+MIN(Tab_Calculs[[#This Row],[Date_livraison]],Tab_Calculs[[#This Row],[fin mois]])-MAX(Tab_Calculs[[#This Row],[Début mois]],Tab_Calculs[[#This Row],[Début periode livraison]]))</f>
        <v>0</v>
      </c>
      <c r="Q756" t="e">
        <f ca="1">INDEX(INDIRECT(CONCATENATE("Tab_",Tab_Calculs[[#This Row],[Colonne1]])),Tab_Calculs[[#This Row],[index_date_livraison]]+1,7)*(Tab_Calculs[[#This Row],[fin mois]]-MIN(Tab_Calculs[[#This Row],[fin mois]],Tab_Calculs[[#This Row],[Date_livraison]]))</f>
        <v>#VALUE!</v>
      </c>
      <c r="R756" t="e">
        <f ca="1">Tab_Calculs[[#This Row],[Ratio_Cout_après_livr]]+Tab_Calculs[[#This Row],[Ratio_Cout_avant_livr]]+Tab_Calculs[[#This Row],[Ratio_Cout_avant_debut]]</f>
        <v>#VALUE!</v>
      </c>
      <c r="S756" t="str">
        <f ca="1">IFERROR(N756*VLOOKUP(Tab_Calculs[[#This Row],[Colonne1]],Controle_des_données!$B$7:$G$14,6,FALSE),"")</f>
        <v/>
      </c>
      <c r="T756" t="str">
        <f ca="1">IF(Tab_Calculs[[#This Row],[Combustible ]]="Electricité (kWh)",Tab_Calculs[[#This Row],[Conso_mois_kWh]]*2.3,Tab_Calculs[[#This Row],[Conso_mois_kWh]])</f>
        <v/>
      </c>
      <c r="U756" t="str">
        <f ca="1">IFERROR(N756*VLOOKUP(Tab_Calculs[[#This Row],[Colonne1]],Controle_des_données!$B$7:$H$14,7,FALSE),"")</f>
        <v/>
      </c>
      <c r="V756">
        <f ca="1">IFERROR(Tab_Calculs[[#This Row],[Cout_mois]]/Tab_Calculs[[#This Row],[Conso_mois_kWh]],0)</f>
        <v>0</v>
      </c>
      <c r="W756" t="str">
        <f>T(VLOOKUP(Tab_Calculs[[#This Row],[Compteur]],Site!$B$33:$G$40,3,FALSE))</f>
        <v/>
      </c>
      <c r="X756" t="str">
        <f>T(VLOOKUP(Tab_Calculs[[#This Row],[Compteur]],Site!$B$33:$G$40,4,FALSE))</f>
        <v/>
      </c>
      <c r="Y756" t="str">
        <f>T(VLOOKUP(Tab_Calculs[[#This Row],[Compteur]],Site!$B$33:$G$40,5,FALSE))</f>
        <v/>
      </c>
      <c r="Z756" t="str">
        <f>T(VLOOKUP(Tab_Calculs[[#This Row],[Compteur]],Site!$B$33:$G$40,6,FALSE))</f>
        <v/>
      </c>
      <c r="AA756">
        <f>IFERROR(GETPIVOTDATA("DJU(chauffagiste)",BDD_DJU!$P$13,"annee",Tab_Calculs[[#This Row],[ANNEE]],"mois_numero",Tab_Calculs[[#This Row],[MOIS]]),0)</f>
        <v>0</v>
      </c>
    </row>
    <row r="757" spans="1:27" x14ac:dyDescent="0.25">
      <c r="A757" s="3">
        <f>DATE(Tab_Calculs[[#This Row],[ANNEE]],Tab_Calculs[[#This Row],[MOIS]],1)</f>
        <v>45413</v>
      </c>
      <c r="B757" s="3">
        <f>EDATE(Tab_Calculs[[#This Row],[Début mois]],1)-1</f>
        <v>45443</v>
      </c>
      <c r="C757">
        <f t="shared" si="24"/>
        <v>5</v>
      </c>
      <c r="D757">
        <f t="shared" si="26"/>
        <v>2024</v>
      </c>
      <c r="E757" t="s">
        <v>83</v>
      </c>
      <c r="F757" t="str">
        <f>SUBSTITUTE(Tab_Calculs[[#This Row],[Compteur]]," ","_")</f>
        <v>Compteur_4</v>
      </c>
      <c r="G757" t="str">
        <f>T(INDEX(Site!$B$33:$G$40, MATCH(Tab_Calculs[[#This Row],[Compteur]], Site!$B$33:$B$40,0),2))</f>
        <v/>
      </c>
      <c r="H757" s="3">
        <f t="array" aca="1" ref="H757" ca="1">MIN(IF(INDIRECT(CONCATENATE(Tab_Calculs[[#This Row],[Colonne1]],"!$B$2:$B$243"))&gt;=Calculs_Consos!$A757,INDIRECT(CONCATENATE(Tab_Calculs[[#This Row],[Colonne1]],"!$B$2:$B$243"))))</f>
        <v>0</v>
      </c>
      <c r="I757" s="3">
        <f ca="1">INDEX(INDIRECT(CONCATENATE("Tab_",Tab_Calculs[[#This Row],[Colonne1]])),Tab_Calculs[[#This Row],[index_date_livraison]],1)</f>
        <v>0</v>
      </c>
      <c r="J757">
        <f ca="1">MATCH(Tab_Calculs[[#This Row],[Date_livraison]],INDIRECT(CONCATENATE("Tab_",Tab_Calculs[[#This Row],[Colonne1]],"[Fin de période]")),0)</f>
        <v>1</v>
      </c>
      <c r="K757" t="e">
        <f ca="1">INDEX(INDIRECT(CONCATENATE("Tab_",Tab_Calculs[[#This Row],[Colonne1]])),Tab_Calculs[[#This Row],[index_date_livraison]]-1,6)*(MAX(Tab_Calculs[[#This Row],[Début periode livraison]],Tab_Calculs[[#This Row],[Début mois]])-Tab_Calculs[[#This Row],[Début mois]])</f>
        <v>#VALUE!</v>
      </c>
      <c r="L757" s="94">
        <f ca="1">INDEX(INDIRECT(CONCATENATE("Tab_",Tab_Calculs[[#This Row],[Colonne1]])),Tab_Calculs[[#This Row],[index_date_livraison]],6)*(1+MIN(Tab_Calculs[[#This Row],[Date_livraison]],Tab_Calculs[[#This Row],[fin mois]])-MAX(Tab_Calculs[[#This Row],[Début mois]],Tab_Calculs[[#This Row],[Début periode livraison]]))</f>
        <v>0</v>
      </c>
      <c r="M757" s="94" t="e">
        <f ca="1">INDEX(INDIRECT(CONCATENATE("Tab_",Tab_Calculs[[#This Row],[Colonne1]])),Tab_Calculs[[#This Row],[index_date_livraison]]+1,6)*(Tab_Calculs[[#This Row],[fin mois]]-MIN(Tab_Calculs[[#This Row],[fin mois]],Tab_Calculs[[#This Row],[Date_livraison]]))</f>
        <v>#VALUE!</v>
      </c>
      <c r="N757" s="231" t="str">
        <f ca="1">IFERROR(Tab_Calculs[[#This Row],[Ratio_jour_après_livr]]+Tab_Calculs[[#This Row],[Ratio_jour_avant_livr]]+Tab_Calculs[[#This Row],[ratio_avant_debut]],"")</f>
        <v/>
      </c>
      <c r="O757" t="e">
        <f ca="1">INDEX(INDIRECT(CONCATENATE("Tab_",Tab_Calculs[[#This Row],[Colonne1]])),Tab_Calculs[[#This Row],[index_date_livraison]]-1,7)*(MAX(Tab_Calculs[[#This Row],[Début periode livraison]],Tab_Calculs[[#This Row],[Début mois]])-Tab_Calculs[[#This Row],[Début mois]])</f>
        <v>#VALUE!</v>
      </c>
      <c r="P757">
        <f ca="1">INDEX(INDIRECT(CONCATENATE("Tab_",Tab_Calculs[[#This Row],[Colonne1]])),Tab_Calculs[[#This Row],[index_date_livraison]],7)*(1+MIN(Tab_Calculs[[#This Row],[Date_livraison]],Tab_Calculs[[#This Row],[fin mois]])-MAX(Tab_Calculs[[#This Row],[Début mois]],Tab_Calculs[[#This Row],[Début periode livraison]]))</f>
        <v>0</v>
      </c>
      <c r="Q757" t="e">
        <f ca="1">INDEX(INDIRECT(CONCATENATE("Tab_",Tab_Calculs[[#This Row],[Colonne1]])),Tab_Calculs[[#This Row],[index_date_livraison]]+1,7)*(Tab_Calculs[[#This Row],[fin mois]]-MIN(Tab_Calculs[[#This Row],[fin mois]],Tab_Calculs[[#This Row],[Date_livraison]]))</f>
        <v>#VALUE!</v>
      </c>
      <c r="R757" t="e">
        <f ca="1">Tab_Calculs[[#This Row],[Ratio_Cout_après_livr]]+Tab_Calculs[[#This Row],[Ratio_Cout_avant_livr]]+Tab_Calculs[[#This Row],[Ratio_Cout_avant_debut]]</f>
        <v>#VALUE!</v>
      </c>
      <c r="S757" t="str">
        <f ca="1">IFERROR(N757*VLOOKUP(Tab_Calculs[[#This Row],[Colonne1]],Controle_des_données!$B$7:$G$14,6,FALSE),"")</f>
        <v/>
      </c>
      <c r="T757" t="str">
        <f ca="1">IF(Tab_Calculs[[#This Row],[Combustible ]]="Electricité (kWh)",Tab_Calculs[[#This Row],[Conso_mois_kWh]]*2.3,Tab_Calculs[[#This Row],[Conso_mois_kWh]])</f>
        <v/>
      </c>
      <c r="U757" t="str">
        <f ca="1">IFERROR(N757*VLOOKUP(Tab_Calculs[[#This Row],[Colonne1]],Controle_des_données!$B$7:$H$14,7,FALSE),"")</f>
        <v/>
      </c>
      <c r="V757">
        <f ca="1">IFERROR(Tab_Calculs[[#This Row],[Cout_mois]]/Tab_Calculs[[#This Row],[Conso_mois_kWh]],0)</f>
        <v>0</v>
      </c>
      <c r="W757" t="str">
        <f>T(VLOOKUP(Tab_Calculs[[#This Row],[Compteur]],Site!$B$33:$G$40,3,FALSE))</f>
        <v/>
      </c>
      <c r="X757" t="str">
        <f>T(VLOOKUP(Tab_Calculs[[#This Row],[Compteur]],Site!$B$33:$G$40,4,FALSE))</f>
        <v/>
      </c>
      <c r="Y757" t="str">
        <f>T(VLOOKUP(Tab_Calculs[[#This Row],[Compteur]],Site!$B$33:$G$40,5,FALSE))</f>
        <v/>
      </c>
      <c r="Z757" t="str">
        <f>T(VLOOKUP(Tab_Calculs[[#This Row],[Compteur]],Site!$B$33:$G$40,6,FALSE))</f>
        <v/>
      </c>
      <c r="AA757">
        <f>IFERROR(GETPIVOTDATA("DJU(chauffagiste)",BDD_DJU!$P$13,"annee",Tab_Calculs[[#This Row],[ANNEE]],"mois_numero",Tab_Calculs[[#This Row],[MOIS]]),0)</f>
        <v>0</v>
      </c>
    </row>
    <row r="758" spans="1:27" x14ac:dyDescent="0.25">
      <c r="A758" s="3">
        <f>DATE(Tab_Calculs[[#This Row],[ANNEE]],Tab_Calculs[[#This Row],[MOIS]],1)</f>
        <v>45444</v>
      </c>
      <c r="B758" s="3">
        <f>EDATE(Tab_Calculs[[#This Row],[Début mois]],1)-1</f>
        <v>45473</v>
      </c>
      <c r="C758">
        <f t="shared" si="24"/>
        <v>6</v>
      </c>
      <c r="D758">
        <f t="shared" si="26"/>
        <v>2024</v>
      </c>
      <c r="E758" t="s">
        <v>83</v>
      </c>
      <c r="F758" t="str">
        <f>SUBSTITUTE(Tab_Calculs[[#This Row],[Compteur]]," ","_")</f>
        <v>Compteur_4</v>
      </c>
      <c r="G758" t="str">
        <f>T(INDEX(Site!$B$33:$G$40, MATCH(Tab_Calculs[[#This Row],[Compteur]], Site!$B$33:$B$40,0),2))</f>
        <v/>
      </c>
      <c r="H758" s="3">
        <f t="array" aca="1" ref="H758" ca="1">MIN(IF(INDIRECT(CONCATENATE(Tab_Calculs[[#This Row],[Colonne1]],"!$B$2:$B$243"))&gt;=Calculs_Consos!$A758,INDIRECT(CONCATENATE(Tab_Calculs[[#This Row],[Colonne1]],"!$B$2:$B$243"))))</f>
        <v>0</v>
      </c>
      <c r="I758" s="3">
        <f ca="1">INDEX(INDIRECT(CONCATENATE("Tab_",Tab_Calculs[[#This Row],[Colonne1]])),Tab_Calculs[[#This Row],[index_date_livraison]],1)</f>
        <v>0</v>
      </c>
      <c r="J758">
        <f ca="1">MATCH(Tab_Calculs[[#This Row],[Date_livraison]],INDIRECT(CONCATENATE("Tab_",Tab_Calculs[[#This Row],[Colonne1]],"[Fin de période]")),0)</f>
        <v>1</v>
      </c>
      <c r="K758" t="e">
        <f ca="1">INDEX(INDIRECT(CONCATENATE("Tab_",Tab_Calculs[[#This Row],[Colonne1]])),Tab_Calculs[[#This Row],[index_date_livraison]]-1,6)*(MAX(Tab_Calculs[[#This Row],[Début periode livraison]],Tab_Calculs[[#This Row],[Début mois]])-Tab_Calculs[[#This Row],[Début mois]])</f>
        <v>#VALUE!</v>
      </c>
      <c r="L758" s="94">
        <f ca="1">INDEX(INDIRECT(CONCATENATE("Tab_",Tab_Calculs[[#This Row],[Colonne1]])),Tab_Calculs[[#This Row],[index_date_livraison]],6)*(1+MIN(Tab_Calculs[[#This Row],[Date_livraison]],Tab_Calculs[[#This Row],[fin mois]])-MAX(Tab_Calculs[[#This Row],[Début mois]],Tab_Calculs[[#This Row],[Début periode livraison]]))</f>
        <v>0</v>
      </c>
      <c r="M758" s="94" t="e">
        <f ca="1">INDEX(INDIRECT(CONCATENATE("Tab_",Tab_Calculs[[#This Row],[Colonne1]])),Tab_Calculs[[#This Row],[index_date_livraison]]+1,6)*(Tab_Calculs[[#This Row],[fin mois]]-MIN(Tab_Calculs[[#This Row],[fin mois]],Tab_Calculs[[#This Row],[Date_livraison]]))</f>
        <v>#VALUE!</v>
      </c>
      <c r="N758" s="231" t="str">
        <f ca="1">IFERROR(Tab_Calculs[[#This Row],[Ratio_jour_après_livr]]+Tab_Calculs[[#This Row],[Ratio_jour_avant_livr]]+Tab_Calculs[[#This Row],[ratio_avant_debut]],"")</f>
        <v/>
      </c>
      <c r="O758" t="e">
        <f ca="1">INDEX(INDIRECT(CONCATENATE("Tab_",Tab_Calculs[[#This Row],[Colonne1]])),Tab_Calculs[[#This Row],[index_date_livraison]]-1,7)*(MAX(Tab_Calculs[[#This Row],[Début periode livraison]],Tab_Calculs[[#This Row],[Début mois]])-Tab_Calculs[[#This Row],[Début mois]])</f>
        <v>#VALUE!</v>
      </c>
      <c r="P758">
        <f ca="1">INDEX(INDIRECT(CONCATENATE("Tab_",Tab_Calculs[[#This Row],[Colonne1]])),Tab_Calculs[[#This Row],[index_date_livraison]],7)*(1+MIN(Tab_Calculs[[#This Row],[Date_livraison]],Tab_Calculs[[#This Row],[fin mois]])-MAX(Tab_Calculs[[#This Row],[Début mois]],Tab_Calculs[[#This Row],[Début periode livraison]]))</f>
        <v>0</v>
      </c>
      <c r="Q758" t="e">
        <f ca="1">INDEX(INDIRECT(CONCATENATE("Tab_",Tab_Calculs[[#This Row],[Colonne1]])),Tab_Calculs[[#This Row],[index_date_livraison]]+1,7)*(Tab_Calculs[[#This Row],[fin mois]]-MIN(Tab_Calculs[[#This Row],[fin mois]],Tab_Calculs[[#This Row],[Date_livraison]]))</f>
        <v>#VALUE!</v>
      </c>
      <c r="R758" t="e">
        <f ca="1">Tab_Calculs[[#This Row],[Ratio_Cout_après_livr]]+Tab_Calculs[[#This Row],[Ratio_Cout_avant_livr]]+Tab_Calculs[[#This Row],[Ratio_Cout_avant_debut]]</f>
        <v>#VALUE!</v>
      </c>
      <c r="S758" t="str">
        <f ca="1">IFERROR(N758*VLOOKUP(Tab_Calculs[[#This Row],[Colonne1]],Controle_des_données!$B$7:$G$14,6,FALSE),"")</f>
        <v/>
      </c>
      <c r="T758" t="str">
        <f ca="1">IF(Tab_Calculs[[#This Row],[Combustible ]]="Electricité (kWh)",Tab_Calculs[[#This Row],[Conso_mois_kWh]]*2.3,Tab_Calculs[[#This Row],[Conso_mois_kWh]])</f>
        <v/>
      </c>
      <c r="U758" t="str">
        <f ca="1">IFERROR(N758*VLOOKUP(Tab_Calculs[[#This Row],[Colonne1]],Controle_des_données!$B$7:$H$14,7,FALSE),"")</f>
        <v/>
      </c>
      <c r="V758">
        <f ca="1">IFERROR(Tab_Calculs[[#This Row],[Cout_mois]]/Tab_Calculs[[#This Row],[Conso_mois_kWh]],0)</f>
        <v>0</v>
      </c>
      <c r="W758" t="str">
        <f>T(VLOOKUP(Tab_Calculs[[#This Row],[Compteur]],Site!$B$33:$G$40,3,FALSE))</f>
        <v/>
      </c>
      <c r="X758" t="str">
        <f>T(VLOOKUP(Tab_Calculs[[#This Row],[Compteur]],Site!$B$33:$G$40,4,FALSE))</f>
        <v/>
      </c>
      <c r="Y758" t="str">
        <f>T(VLOOKUP(Tab_Calculs[[#This Row],[Compteur]],Site!$B$33:$G$40,5,FALSE))</f>
        <v/>
      </c>
      <c r="Z758" t="str">
        <f>T(VLOOKUP(Tab_Calculs[[#This Row],[Compteur]],Site!$B$33:$G$40,6,FALSE))</f>
        <v/>
      </c>
      <c r="AA758">
        <f>IFERROR(GETPIVOTDATA("DJU(chauffagiste)",BDD_DJU!$P$13,"annee",Tab_Calculs[[#This Row],[ANNEE]],"mois_numero",Tab_Calculs[[#This Row],[MOIS]]),0)</f>
        <v>0</v>
      </c>
    </row>
    <row r="759" spans="1:27" x14ac:dyDescent="0.25">
      <c r="A759" s="3">
        <f>DATE(Tab_Calculs[[#This Row],[ANNEE]],Tab_Calculs[[#This Row],[MOIS]],1)</f>
        <v>45474</v>
      </c>
      <c r="B759" s="3">
        <f>EDATE(Tab_Calculs[[#This Row],[Début mois]],1)-1</f>
        <v>45504</v>
      </c>
      <c r="C759">
        <f t="shared" si="24"/>
        <v>7</v>
      </c>
      <c r="D759">
        <f t="shared" si="26"/>
        <v>2024</v>
      </c>
      <c r="E759" t="s">
        <v>83</v>
      </c>
      <c r="F759" t="str">
        <f>SUBSTITUTE(Tab_Calculs[[#This Row],[Compteur]]," ","_")</f>
        <v>Compteur_4</v>
      </c>
      <c r="G759" t="str">
        <f>T(INDEX(Site!$B$33:$G$40, MATCH(Tab_Calculs[[#This Row],[Compteur]], Site!$B$33:$B$40,0),2))</f>
        <v/>
      </c>
      <c r="H759" s="3">
        <f t="array" aca="1" ref="H759" ca="1">MIN(IF(INDIRECT(CONCATENATE(Tab_Calculs[[#This Row],[Colonne1]],"!$B$2:$B$243"))&gt;=Calculs_Consos!$A759,INDIRECT(CONCATENATE(Tab_Calculs[[#This Row],[Colonne1]],"!$B$2:$B$243"))))</f>
        <v>0</v>
      </c>
      <c r="I759" s="3">
        <f ca="1">INDEX(INDIRECT(CONCATENATE("Tab_",Tab_Calculs[[#This Row],[Colonne1]])),Tab_Calculs[[#This Row],[index_date_livraison]],1)</f>
        <v>0</v>
      </c>
      <c r="J759">
        <f ca="1">MATCH(Tab_Calculs[[#This Row],[Date_livraison]],INDIRECT(CONCATENATE("Tab_",Tab_Calculs[[#This Row],[Colonne1]],"[Fin de période]")),0)</f>
        <v>1</v>
      </c>
      <c r="K759" t="e">
        <f ca="1">INDEX(INDIRECT(CONCATENATE("Tab_",Tab_Calculs[[#This Row],[Colonne1]])),Tab_Calculs[[#This Row],[index_date_livraison]]-1,6)*(MAX(Tab_Calculs[[#This Row],[Début periode livraison]],Tab_Calculs[[#This Row],[Début mois]])-Tab_Calculs[[#This Row],[Début mois]])</f>
        <v>#VALUE!</v>
      </c>
      <c r="L759" s="94">
        <f ca="1">INDEX(INDIRECT(CONCATENATE("Tab_",Tab_Calculs[[#This Row],[Colonne1]])),Tab_Calculs[[#This Row],[index_date_livraison]],6)*(1+MIN(Tab_Calculs[[#This Row],[Date_livraison]],Tab_Calculs[[#This Row],[fin mois]])-MAX(Tab_Calculs[[#This Row],[Début mois]],Tab_Calculs[[#This Row],[Début periode livraison]]))</f>
        <v>0</v>
      </c>
      <c r="M759" s="94" t="e">
        <f ca="1">INDEX(INDIRECT(CONCATENATE("Tab_",Tab_Calculs[[#This Row],[Colonne1]])),Tab_Calculs[[#This Row],[index_date_livraison]]+1,6)*(Tab_Calculs[[#This Row],[fin mois]]-MIN(Tab_Calculs[[#This Row],[fin mois]],Tab_Calculs[[#This Row],[Date_livraison]]))</f>
        <v>#VALUE!</v>
      </c>
      <c r="N759" s="231" t="str">
        <f ca="1">IFERROR(Tab_Calculs[[#This Row],[Ratio_jour_après_livr]]+Tab_Calculs[[#This Row],[Ratio_jour_avant_livr]]+Tab_Calculs[[#This Row],[ratio_avant_debut]],"")</f>
        <v/>
      </c>
      <c r="O759" t="e">
        <f ca="1">INDEX(INDIRECT(CONCATENATE("Tab_",Tab_Calculs[[#This Row],[Colonne1]])),Tab_Calculs[[#This Row],[index_date_livraison]]-1,7)*(MAX(Tab_Calculs[[#This Row],[Début periode livraison]],Tab_Calculs[[#This Row],[Début mois]])-Tab_Calculs[[#This Row],[Début mois]])</f>
        <v>#VALUE!</v>
      </c>
      <c r="P759">
        <f ca="1">INDEX(INDIRECT(CONCATENATE("Tab_",Tab_Calculs[[#This Row],[Colonne1]])),Tab_Calculs[[#This Row],[index_date_livraison]],7)*(1+MIN(Tab_Calculs[[#This Row],[Date_livraison]],Tab_Calculs[[#This Row],[fin mois]])-MAX(Tab_Calculs[[#This Row],[Début mois]],Tab_Calculs[[#This Row],[Début periode livraison]]))</f>
        <v>0</v>
      </c>
      <c r="Q759" t="e">
        <f ca="1">INDEX(INDIRECT(CONCATENATE("Tab_",Tab_Calculs[[#This Row],[Colonne1]])),Tab_Calculs[[#This Row],[index_date_livraison]]+1,7)*(Tab_Calculs[[#This Row],[fin mois]]-MIN(Tab_Calculs[[#This Row],[fin mois]],Tab_Calculs[[#This Row],[Date_livraison]]))</f>
        <v>#VALUE!</v>
      </c>
      <c r="R759" t="e">
        <f ca="1">Tab_Calculs[[#This Row],[Ratio_Cout_après_livr]]+Tab_Calculs[[#This Row],[Ratio_Cout_avant_livr]]+Tab_Calculs[[#This Row],[Ratio_Cout_avant_debut]]</f>
        <v>#VALUE!</v>
      </c>
      <c r="S759" t="str">
        <f ca="1">IFERROR(N759*VLOOKUP(Tab_Calculs[[#This Row],[Colonne1]],Controle_des_données!$B$7:$G$14,6,FALSE),"")</f>
        <v/>
      </c>
      <c r="T759" t="str">
        <f ca="1">IF(Tab_Calculs[[#This Row],[Combustible ]]="Electricité (kWh)",Tab_Calculs[[#This Row],[Conso_mois_kWh]]*2.3,Tab_Calculs[[#This Row],[Conso_mois_kWh]])</f>
        <v/>
      </c>
      <c r="U759" t="str">
        <f ca="1">IFERROR(N759*VLOOKUP(Tab_Calculs[[#This Row],[Colonne1]],Controle_des_données!$B$7:$H$14,7,FALSE),"")</f>
        <v/>
      </c>
      <c r="V759">
        <f ca="1">IFERROR(Tab_Calculs[[#This Row],[Cout_mois]]/Tab_Calculs[[#This Row],[Conso_mois_kWh]],0)</f>
        <v>0</v>
      </c>
      <c r="W759" t="str">
        <f>T(VLOOKUP(Tab_Calculs[[#This Row],[Compteur]],Site!$B$33:$G$40,3,FALSE))</f>
        <v/>
      </c>
      <c r="X759" t="str">
        <f>T(VLOOKUP(Tab_Calculs[[#This Row],[Compteur]],Site!$B$33:$G$40,4,FALSE))</f>
        <v/>
      </c>
      <c r="Y759" t="str">
        <f>T(VLOOKUP(Tab_Calculs[[#This Row],[Compteur]],Site!$B$33:$G$40,5,FALSE))</f>
        <v/>
      </c>
      <c r="Z759" t="str">
        <f>T(VLOOKUP(Tab_Calculs[[#This Row],[Compteur]],Site!$B$33:$G$40,6,FALSE))</f>
        <v/>
      </c>
      <c r="AA759">
        <f>IFERROR(GETPIVOTDATA("DJU(chauffagiste)",BDD_DJU!$P$13,"annee",Tab_Calculs[[#This Row],[ANNEE]],"mois_numero",Tab_Calculs[[#This Row],[MOIS]]),0)</f>
        <v>0</v>
      </c>
    </row>
    <row r="760" spans="1:27" x14ac:dyDescent="0.25">
      <c r="A760" s="3">
        <f>DATE(Tab_Calculs[[#This Row],[ANNEE]],Tab_Calculs[[#This Row],[MOIS]],1)</f>
        <v>45505</v>
      </c>
      <c r="B760" s="3">
        <f>EDATE(Tab_Calculs[[#This Row],[Début mois]],1)-1</f>
        <v>45535</v>
      </c>
      <c r="C760">
        <f t="shared" si="24"/>
        <v>8</v>
      </c>
      <c r="D760">
        <f t="shared" si="26"/>
        <v>2024</v>
      </c>
      <c r="E760" t="s">
        <v>83</v>
      </c>
      <c r="F760" t="str">
        <f>SUBSTITUTE(Tab_Calculs[[#This Row],[Compteur]]," ","_")</f>
        <v>Compteur_4</v>
      </c>
      <c r="G760" t="str">
        <f>T(INDEX(Site!$B$33:$G$40, MATCH(Tab_Calculs[[#This Row],[Compteur]], Site!$B$33:$B$40,0),2))</f>
        <v/>
      </c>
      <c r="H760" s="3">
        <f t="array" aca="1" ref="H760" ca="1">MIN(IF(INDIRECT(CONCATENATE(Tab_Calculs[[#This Row],[Colonne1]],"!$B$2:$B$243"))&gt;=Calculs_Consos!$A760,INDIRECT(CONCATENATE(Tab_Calculs[[#This Row],[Colonne1]],"!$B$2:$B$243"))))</f>
        <v>0</v>
      </c>
      <c r="I760" s="3">
        <f ca="1">INDEX(INDIRECT(CONCATENATE("Tab_",Tab_Calculs[[#This Row],[Colonne1]])),Tab_Calculs[[#This Row],[index_date_livraison]],1)</f>
        <v>0</v>
      </c>
      <c r="J760">
        <f ca="1">MATCH(Tab_Calculs[[#This Row],[Date_livraison]],INDIRECT(CONCATENATE("Tab_",Tab_Calculs[[#This Row],[Colonne1]],"[Fin de période]")),0)</f>
        <v>1</v>
      </c>
      <c r="K760" t="e">
        <f ca="1">INDEX(INDIRECT(CONCATENATE("Tab_",Tab_Calculs[[#This Row],[Colonne1]])),Tab_Calculs[[#This Row],[index_date_livraison]]-1,6)*(MAX(Tab_Calculs[[#This Row],[Début periode livraison]],Tab_Calculs[[#This Row],[Début mois]])-Tab_Calculs[[#This Row],[Début mois]])</f>
        <v>#VALUE!</v>
      </c>
      <c r="L760" s="94">
        <f ca="1">INDEX(INDIRECT(CONCATENATE("Tab_",Tab_Calculs[[#This Row],[Colonne1]])),Tab_Calculs[[#This Row],[index_date_livraison]],6)*(1+MIN(Tab_Calculs[[#This Row],[Date_livraison]],Tab_Calculs[[#This Row],[fin mois]])-MAX(Tab_Calculs[[#This Row],[Début mois]],Tab_Calculs[[#This Row],[Début periode livraison]]))</f>
        <v>0</v>
      </c>
      <c r="M760" s="94" t="e">
        <f ca="1">INDEX(INDIRECT(CONCATENATE("Tab_",Tab_Calculs[[#This Row],[Colonne1]])),Tab_Calculs[[#This Row],[index_date_livraison]]+1,6)*(Tab_Calculs[[#This Row],[fin mois]]-MIN(Tab_Calculs[[#This Row],[fin mois]],Tab_Calculs[[#This Row],[Date_livraison]]))</f>
        <v>#VALUE!</v>
      </c>
      <c r="N760" s="231" t="str">
        <f ca="1">IFERROR(Tab_Calculs[[#This Row],[Ratio_jour_après_livr]]+Tab_Calculs[[#This Row],[Ratio_jour_avant_livr]]+Tab_Calculs[[#This Row],[ratio_avant_debut]],"")</f>
        <v/>
      </c>
      <c r="O760" t="e">
        <f ca="1">INDEX(INDIRECT(CONCATENATE("Tab_",Tab_Calculs[[#This Row],[Colonne1]])),Tab_Calculs[[#This Row],[index_date_livraison]]-1,7)*(MAX(Tab_Calculs[[#This Row],[Début periode livraison]],Tab_Calculs[[#This Row],[Début mois]])-Tab_Calculs[[#This Row],[Début mois]])</f>
        <v>#VALUE!</v>
      </c>
      <c r="P760">
        <f ca="1">INDEX(INDIRECT(CONCATENATE("Tab_",Tab_Calculs[[#This Row],[Colonne1]])),Tab_Calculs[[#This Row],[index_date_livraison]],7)*(1+MIN(Tab_Calculs[[#This Row],[Date_livraison]],Tab_Calculs[[#This Row],[fin mois]])-MAX(Tab_Calculs[[#This Row],[Début mois]],Tab_Calculs[[#This Row],[Début periode livraison]]))</f>
        <v>0</v>
      </c>
      <c r="Q760" t="e">
        <f ca="1">INDEX(INDIRECT(CONCATENATE("Tab_",Tab_Calculs[[#This Row],[Colonne1]])),Tab_Calculs[[#This Row],[index_date_livraison]]+1,7)*(Tab_Calculs[[#This Row],[fin mois]]-MIN(Tab_Calculs[[#This Row],[fin mois]],Tab_Calculs[[#This Row],[Date_livraison]]))</f>
        <v>#VALUE!</v>
      </c>
      <c r="R760" t="e">
        <f ca="1">Tab_Calculs[[#This Row],[Ratio_Cout_après_livr]]+Tab_Calculs[[#This Row],[Ratio_Cout_avant_livr]]+Tab_Calculs[[#This Row],[Ratio_Cout_avant_debut]]</f>
        <v>#VALUE!</v>
      </c>
      <c r="S760" t="str">
        <f ca="1">IFERROR(N760*VLOOKUP(Tab_Calculs[[#This Row],[Colonne1]],Controle_des_données!$B$7:$G$14,6,FALSE),"")</f>
        <v/>
      </c>
      <c r="T760" t="str">
        <f ca="1">IF(Tab_Calculs[[#This Row],[Combustible ]]="Electricité (kWh)",Tab_Calculs[[#This Row],[Conso_mois_kWh]]*2.3,Tab_Calculs[[#This Row],[Conso_mois_kWh]])</f>
        <v/>
      </c>
      <c r="U760" t="str">
        <f ca="1">IFERROR(N760*VLOOKUP(Tab_Calculs[[#This Row],[Colonne1]],Controle_des_données!$B$7:$H$14,7,FALSE),"")</f>
        <v/>
      </c>
      <c r="V760">
        <f ca="1">IFERROR(Tab_Calculs[[#This Row],[Cout_mois]]/Tab_Calculs[[#This Row],[Conso_mois_kWh]],0)</f>
        <v>0</v>
      </c>
      <c r="W760" t="str">
        <f>T(VLOOKUP(Tab_Calculs[[#This Row],[Compteur]],Site!$B$33:$G$40,3,FALSE))</f>
        <v/>
      </c>
      <c r="X760" t="str">
        <f>T(VLOOKUP(Tab_Calculs[[#This Row],[Compteur]],Site!$B$33:$G$40,4,FALSE))</f>
        <v/>
      </c>
      <c r="Y760" t="str">
        <f>T(VLOOKUP(Tab_Calculs[[#This Row],[Compteur]],Site!$B$33:$G$40,5,FALSE))</f>
        <v/>
      </c>
      <c r="Z760" t="str">
        <f>T(VLOOKUP(Tab_Calculs[[#This Row],[Compteur]],Site!$B$33:$G$40,6,FALSE))</f>
        <v/>
      </c>
      <c r="AA760">
        <f>IFERROR(GETPIVOTDATA("DJU(chauffagiste)",BDD_DJU!$P$13,"annee",Tab_Calculs[[#This Row],[ANNEE]],"mois_numero",Tab_Calculs[[#This Row],[MOIS]]),0)</f>
        <v>0</v>
      </c>
    </row>
    <row r="761" spans="1:27" x14ac:dyDescent="0.25">
      <c r="A761" s="3">
        <f>DATE(Tab_Calculs[[#This Row],[ANNEE]],Tab_Calculs[[#This Row],[MOIS]],1)</f>
        <v>45536</v>
      </c>
      <c r="B761" s="3">
        <f>EDATE(Tab_Calculs[[#This Row],[Début mois]],1)-1</f>
        <v>45565</v>
      </c>
      <c r="C761">
        <f t="shared" si="24"/>
        <v>9</v>
      </c>
      <c r="D761">
        <f t="shared" si="26"/>
        <v>2024</v>
      </c>
      <c r="E761" t="s">
        <v>83</v>
      </c>
      <c r="F761" t="str">
        <f>SUBSTITUTE(Tab_Calculs[[#This Row],[Compteur]]," ","_")</f>
        <v>Compteur_4</v>
      </c>
      <c r="G761" t="str">
        <f>T(INDEX(Site!$B$33:$G$40, MATCH(Tab_Calculs[[#This Row],[Compteur]], Site!$B$33:$B$40,0),2))</f>
        <v/>
      </c>
      <c r="H761" s="3">
        <f t="array" aca="1" ref="H761" ca="1">MIN(IF(INDIRECT(CONCATENATE(Tab_Calculs[[#This Row],[Colonne1]],"!$B$2:$B$243"))&gt;=Calculs_Consos!$A761,INDIRECT(CONCATENATE(Tab_Calculs[[#This Row],[Colonne1]],"!$B$2:$B$243"))))</f>
        <v>0</v>
      </c>
      <c r="I761" s="3">
        <f ca="1">INDEX(INDIRECT(CONCATENATE("Tab_",Tab_Calculs[[#This Row],[Colonne1]])),Tab_Calculs[[#This Row],[index_date_livraison]],1)</f>
        <v>0</v>
      </c>
      <c r="J761">
        <f ca="1">MATCH(Tab_Calculs[[#This Row],[Date_livraison]],INDIRECT(CONCATENATE("Tab_",Tab_Calculs[[#This Row],[Colonne1]],"[Fin de période]")),0)</f>
        <v>1</v>
      </c>
      <c r="K761" t="e">
        <f ca="1">INDEX(INDIRECT(CONCATENATE("Tab_",Tab_Calculs[[#This Row],[Colonne1]])),Tab_Calculs[[#This Row],[index_date_livraison]]-1,6)*(MAX(Tab_Calculs[[#This Row],[Début periode livraison]],Tab_Calculs[[#This Row],[Début mois]])-Tab_Calculs[[#This Row],[Début mois]])</f>
        <v>#VALUE!</v>
      </c>
      <c r="L761" s="94">
        <f ca="1">INDEX(INDIRECT(CONCATENATE("Tab_",Tab_Calculs[[#This Row],[Colonne1]])),Tab_Calculs[[#This Row],[index_date_livraison]],6)*(1+MIN(Tab_Calculs[[#This Row],[Date_livraison]],Tab_Calculs[[#This Row],[fin mois]])-MAX(Tab_Calculs[[#This Row],[Début mois]],Tab_Calculs[[#This Row],[Début periode livraison]]))</f>
        <v>0</v>
      </c>
      <c r="M761" s="94" t="e">
        <f ca="1">INDEX(INDIRECT(CONCATENATE("Tab_",Tab_Calculs[[#This Row],[Colonne1]])),Tab_Calculs[[#This Row],[index_date_livraison]]+1,6)*(Tab_Calculs[[#This Row],[fin mois]]-MIN(Tab_Calculs[[#This Row],[fin mois]],Tab_Calculs[[#This Row],[Date_livraison]]))</f>
        <v>#VALUE!</v>
      </c>
      <c r="N761" s="231" t="str">
        <f ca="1">IFERROR(Tab_Calculs[[#This Row],[Ratio_jour_après_livr]]+Tab_Calculs[[#This Row],[Ratio_jour_avant_livr]]+Tab_Calculs[[#This Row],[ratio_avant_debut]],"")</f>
        <v/>
      </c>
      <c r="O761" t="e">
        <f ca="1">INDEX(INDIRECT(CONCATENATE("Tab_",Tab_Calculs[[#This Row],[Colonne1]])),Tab_Calculs[[#This Row],[index_date_livraison]]-1,7)*(MAX(Tab_Calculs[[#This Row],[Début periode livraison]],Tab_Calculs[[#This Row],[Début mois]])-Tab_Calculs[[#This Row],[Début mois]])</f>
        <v>#VALUE!</v>
      </c>
      <c r="P761">
        <f ca="1">INDEX(INDIRECT(CONCATENATE("Tab_",Tab_Calculs[[#This Row],[Colonne1]])),Tab_Calculs[[#This Row],[index_date_livraison]],7)*(1+MIN(Tab_Calculs[[#This Row],[Date_livraison]],Tab_Calculs[[#This Row],[fin mois]])-MAX(Tab_Calculs[[#This Row],[Début mois]],Tab_Calculs[[#This Row],[Début periode livraison]]))</f>
        <v>0</v>
      </c>
      <c r="Q761" t="e">
        <f ca="1">INDEX(INDIRECT(CONCATENATE("Tab_",Tab_Calculs[[#This Row],[Colonne1]])),Tab_Calculs[[#This Row],[index_date_livraison]]+1,7)*(Tab_Calculs[[#This Row],[fin mois]]-MIN(Tab_Calculs[[#This Row],[fin mois]],Tab_Calculs[[#This Row],[Date_livraison]]))</f>
        <v>#VALUE!</v>
      </c>
      <c r="R761" t="e">
        <f ca="1">Tab_Calculs[[#This Row],[Ratio_Cout_après_livr]]+Tab_Calculs[[#This Row],[Ratio_Cout_avant_livr]]+Tab_Calculs[[#This Row],[Ratio_Cout_avant_debut]]</f>
        <v>#VALUE!</v>
      </c>
      <c r="S761" t="str">
        <f ca="1">IFERROR(N761*VLOOKUP(Tab_Calculs[[#This Row],[Colonne1]],Controle_des_données!$B$7:$G$14,6,FALSE),"")</f>
        <v/>
      </c>
      <c r="T761" t="str">
        <f ca="1">IF(Tab_Calculs[[#This Row],[Combustible ]]="Electricité (kWh)",Tab_Calculs[[#This Row],[Conso_mois_kWh]]*2.3,Tab_Calculs[[#This Row],[Conso_mois_kWh]])</f>
        <v/>
      </c>
      <c r="U761" t="str">
        <f ca="1">IFERROR(N761*VLOOKUP(Tab_Calculs[[#This Row],[Colonne1]],Controle_des_données!$B$7:$H$14,7,FALSE),"")</f>
        <v/>
      </c>
      <c r="V761">
        <f ca="1">IFERROR(Tab_Calculs[[#This Row],[Cout_mois]]/Tab_Calculs[[#This Row],[Conso_mois_kWh]],0)</f>
        <v>0</v>
      </c>
      <c r="W761" t="str">
        <f>T(VLOOKUP(Tab_Calculs[[#This Row],[Compteur]],Site!$B$33:$G$40,3,FALSE))</f>
        <v/>
      </c>
      <c r="X761" t="str">
        <f>T(VLOOKUP(Tab_Calculs[[#This Row],[Compteur]],Site!$B$33:$G$40,4,FALSE))</f>
        <v/>
      </c>
      <c r="Y761" t="str">
        <f>T(VLOOKUP(Tab_Calculs[[#This Row],[Compteur]],Site!$B$33:$G$40,5,FALSE))</f>
        <v/>
      </c>
      <c r="Z761" t="str">
        <f>T(VLOOKUP(Tab_Calculs[[#This Row],[Compteur]],Site!$B$33:$G$40,6,FALSE))</f>
        <v/>
      </c>
      <c r="AA761">
        <f>IFERROR(GETPIVOTDATA("DJU(chauffagiste)",BDD_DJU!$P$13,"annee",Tab_Calculs[[#This Row],[ANNEE]],"mois_numero",Tab_Calculs[[#This Row],[MOIS]]),0)</f>
        <v>0</v>
      </c>
    </row>
    <row r="762" spans="1:27" x14ac:dyDescent="0.25">
      <c r="A762" s="3">
        <f>DATE(Tab_Calculs[[#This Row],[ANNEE]],Tab_Calculs[[#This Row],[MOIS]],1)</f>
        <v>45566</v>
      </c>
      <c r="B762" s="3">
        <f>EDATE(Tab_Calculs[[#This Row],[Début mois]],1)-1</f>
        <v>45596</v>
      </c>
      <c r="C762">
        <f t="shared" si="24"/>
        <v>10</v>
      </c>
      <c r="D762">
        <f t="shared" si="26"/>
        <v>2024</v>
      </c>
      <c r="E762" t="s">
        <v>83</v>
      </c>
      <c r="F762" t="str">
        <f>SUBSTITUTE(Tab_Calculs[[#This Row],[Compteur]]," ","_")</f>
        <v>Compteur_4</v>
      </c>
      <c r="G762" t="str">
        <f>T(INDEX(Site!$B$33:$G$40, MATCH(Tab_Calculs[[#This Row],[Compteur]], Site!$B$33:$B$40,0),2))</f>
        <v/>
      </c>
      <c r="H762" s="3">
        <f t="array" aca="1" ref="H762" ca="1">MIN(IF(INDIRECT(CONCATENATE(Tab_Calculs[[#This Row],[Colonne1]],"!$B$2:$B$243"))&gt;=Calculs_Consos!$A762,INDIRECT(CONCATENATE(Tab_Calculs[[#This Row],[Colonne1]],"!$B$2:$B$243"))))</f>
        <v>0</v>
      </c>
      <c r="I762" s="3">
        <f ca="1">INDEX(INDIRECT(CONCATENATE("Tab_",Tab_Calculs[[#This Row],[Colonne1]])),Tab_Calculs[[#This Row],[index_date_livraison]],1)</f>
        <v>0</v>
      </c>
      <c r="J762">
        <f ca="1">MATCH(Tab_Calculs[[#This Row],[Date_livraison]],INDIRECT(CONCATENATE("Tab_",Tab_Calculs[[#This Row],[Colonne1]],"[Fin de période]")),0)</f>
        <v>1</v>
      </c>
      <c r="K762" t="e">
        <f ca="1">INDEX(INDIRECT(CONCATENATE("Tab_",Tab_Calculs[[#This Row],[Colonne1]])),Tab_Calculs[[#This Row],[index_date_livraison]]-1,6)*(MAX(Tab_Calculs[[#This Row],[Début periode livraison]],Tab_Calculs[[#This Row],[Début mois]])-Tab_Calculs[[#This Row],[Début mois]])</f>
        <v>#VALUE!</v>
      </c>
      <c r="L762" s="94">
        <f ca="1">INDEX(INDIRECT(CONCATENATE("Tab_",Tab_Calculs[[#This Row],[Colonne1]])),Tab_Calculs[[#This Row],[index_date_livraison]],6)*(1+MIN(Tab_Calculs[[#This Row],[Date_livraison]],Tab_Calculs[[#This Row],[fin mois]])-MAX(Tab_Calculs[[#This Row],[Début mois]],Tab_Calculs[[#This Row],[Début periode livraison]]))</f>
        <v>0</v>
      </c>
      <c r="M762" s="94" t="e">
        <f ca="1">INDEX(INDIRECT(CONCATENATE("Tab_",Tab_Calculs[[#This Row],[Colonne1]])),Tab_Calculs[[#This Row],[index_date_livraison]]+1,6)*(Tab_Calculs[[#This Row],[fin mois]]-MIN(Tab_Calculs[[#This Row],[fin mois]],Tab_Calculs[[#This Row],[Date_livraison]]))</f>
        <v>#VALUE!</v>
      </c>
      <c r="N762" s="231" t="str">
        <f ca="1">IFERROR(Tab_Calculs[[#This Row],[Ratio_jour_après_livr]]+Tab_Calculs[[#This Row],[Ratio_jour_avant_livr]]+Tab_Calculs[[#This Row],[ratio_avant_debut]],"")</f>
        <v/>
      </c>
      <c r="O762" t="e">
        <f ca="1">INDEX(INDIRECT(CONCATENATE("Tab_",Tab_Calculs[[#This Row],[Colonne1]])),Tab_Calculs[[#This Row],[index_date_livraison]]-1,7)*(MAX(Tab_Calculs[[#This Row],[Début periode livraison]],Tab_Calculs[[#This Row],[Début mois]])-Tab_Calculs[[#This Row],[Début mois]])</f>
        <v>#VALUE!</v>
      </c>
      <c r="P762">
        <f ca="1">INDEX(INDIRECT(CONCATENATE("Tab_",Tab_Calculs[[#This Row],[Colonne1]])),Tab_Calculs[[#This Row],[index_date_livraison]],7)*(1+MIN(Tab_Calculs[[#This Row],[Date_livraison]],Tab_Calculs[[#This Row],[fin mois]])-MAX(Tab_Calculs[[#This Row],[Début mois]],Tab_Calculs[[#This Row],[Début periode livraison]]))</f>
        <v>0</v>
      </c>
      <c r="Q762" t="e">
        <f ca="1">INDEX(INDIRECT(CONCATENATE("Tab_",Tab_Calculs[[#This Row],[Colonne1]])),Tab_Calculs[[#This Row],[index_date_livraison]]+1,7)*(Tab_Calculs[[#This Row],[fin mois]]-MIN(Tab_Calculs[[#This Row],[fin mois]],Tab_Calculs[[#This Row],[Date_livraison]]))</f>
        <v>#VALUE!</v>
      </c>
      <c r="R762" t="e">
        <f ca="1">Tab_Calculs[[#This Row],[Ratio_Cout_après_livr]]+Tab_Calculs[[#This Row],[Ratio_Cout_avant_livr]]+Tab_Calculs[[#This Row],[Ratio_Cout_avant_debut]]</f>
        <v>#VALUE!</v>
      </c>
      <c r="S762" t="str">
        <f ca="1">IFERROR(N762*VLOOKUP(Tab_Calculs[[#This Row],[Colonne1]],Controle_des_données!$B$7:$G$14,6,FALSE),"")</f>
        <v/>
      </c>
      <c r="T762" t="str">
        <f ca="1">IF(Tab_Calculs[[#This Row],[Combustible ]]="Electricité (kWh)",Tab_Calculs[[#This Row],[Conso_mois_kWh]]*2.3,Tab_Calculs[[#This Row],[Conso_mois_kWh]])</f>
        <v/>
      </c>
      <c r="U762" t="str">
        <f ca="1">IFERROR(N762*VLOOKUP(Tab_Calculs[[#This Row],[Colonne1]],Controle_des_données!$B$7:$H$14,7,FALSE),"")</f>
        <v/>
      </c>
      <c r="V762">
        <f ca="1">IFERROR(Tab_Calculs[[#This Row],[Cout_mois]]/Tab_Calculs[[#This Row],[Conso_mois_kWh]],0)</f>
        <v>0</v>
      </c>
      <c r="W762" t="str">
        <f>T(VLOOKUP(Tab_Calculs[[#This Row],[Compteur]],Site!$B$33:$G$40,3,FALSE))</f>
        <v/>
      </c>
      <c r="X762" t="str">
        <f>T(VLOOKUP(Tab_Calculs[[#This Row],[Compteur]],Site!$B$33:$G$40,4,FALSE))</f>
        <v/>
      </c>
      <c r="Y762" t="str">
        <f>T(VLOOKUP(Tab_Calculs[[#This Row],[Compteur]],Site!$B$33:$G$40,5,FALSE))</f>
        <v/>
      </c>
      <c r="Z762" t="str">
        <f>T(VLOOKUP(Tab_Calculs[[#This Row],[Compteur]],Site!$B$33:$G$40,6,FALSE))</f>
        <v/>
      </c>
      <c r="AA762">
        <f>IFERROR(GETPIVOTDATA("DJU(chauffagiste)",BDD_DJU!$P$13,"annee",Tab_Calculs[[#This Row],[ANNEE]],"mois_numero",Tab_Calculs[[#This Row],[MOIS]]),0)</f>
        <v>0</v>
      </c>
    </row>
    <row r="763" spans="1:27" x14ac:dyDescent="0.25">
      <c r="A763" s="3">
        <f>DATE(Tab_Calculs[[#This Row],[ANNEE]],Tab_Calculs[[#This Row],[MOIS]],1)</f>
        <v>45597</v>
      </c>
      <c r="B763" s="3">
        <f>EDATE(Tab_Calculs[[#This Row],[Début mois]],1)-1</f>
        <v>45626</v>
      </c>
      <c r="C763">
        <f t="shared" si="24"/>
        <v>11</v>
      </c>
      <c r="D763">
        <f t="shared" si="26"/>
        <v>2024</v>
      </c>
      <c r="E763" t="s">
        <v>83</v>
      </c>
      <c r="F763" t="str">
        <f>SUBSTITUTE(Tab_Calculs[[#This Row],[Compteur]]," ","_")</f>
        <v>Compteur_4</v>
      </c>
      <c r="G763" t="str">
        <f>T(INDEX(Site!$B$33:$G$40, MATCH(Tab_Calculs[[#This Row],[Compteur]], Site!$B$33:$B$40,0),2))</f>
        <v/>
      </c>
      <c r="H763" s="3">
        <f t="array" aca="1" ref="H763" ca="1">MIN(IF(INDIRECT(CONCATENATE(Tab_Calculs[[#This Row],[Colonne1]],"!$B$2:$B$243"))&gt;=Calculs_Consos!$A763,INDIRECT(CONCATENATE(Tab_Calculs[[#This Row],[Colonne1]],"!$B$2:$B$243"))))</f>
        <v>0</v>
      </c>
      <c r="I763" s="3">
        <f ca="1">INDEX(INDIRECT(CONCATENATE("Tab_",Tab_Calculs[[#This Row],[Colonne1]])),Tab_Calculs[[#This Row],[index_date_livraison]],1)</f>
        <v>0</v>
      </c>
      <c r="J763">
        <f ca="1">MATCH(Tab_Calculs[[#This Row],[Date_livraison]],INDIRECT(CONCATENATE("Tab_",Tab_Calculs[[#This Row],[Colonne1]],"[Fin de période]")),0)</f>
        <v>1</v>
      </c>
      <c r="K763" t="e">
        <f ca="1">INDEX(INDIRECT(CONCATENATE("Tab_",Tab_Calculs[[#This Row],[Colonne1]])),Tab_Calculs[[#This Row],[index_date_livraison]]-1,6)*(MAX(Tab_Calculs[[#This Row],[Début periode livraison]],Tab_Calculs[[#This Row],[Début mois]])-Tab_Calculs[[#This Row],[Début mois]])</f>
        <v>#VALUE!</v>
      </c>
      <c r="L763" s="94">
        <f ca="1">INDEX(INDIRECT(CONCATENATE("Tab_",Tab_Calculs[[#This Row],[Colonne1]])),Tab_Calculs[[#This Row],[index_date_livraison]],6)*(1+MIN(Tab_Calculs[[#This Row],[Date_livraison]],Tab_Calculs[[#This Row],[fin mois]])-MAX(Tab_Calculs[[#This Row],[Début mois]],Tab_Calculs[[#This Row],[Début periode livraison]]))</f>
        <v>0</v>
      </c>
      <c r="M763" s="94" t="e">
        <f ca="1">INDEX(INDIRECT(CONCATENATE("Tab_",Tab_Calculs[[#This Row],[Colonne1]])),Tab_Calculs[[#This Row],[index_date_livraison]]+1,6)*(Tab_Calculs[[#This Row],[fin mois]]-MIN(Tab_Calculs[[#This Row],[fin mois]],Tab_Calculs[[#This Row],[Date_livraison]]))</f>
        <v>#VALUE!</v>
      </c>
      <c r="N763" s="231" t="str">
        <f ca="1">IFERROR(Tab_Calculs[[#This Row],[Ratio_jour_après_livr]]+Tab_Calculs[[#This Row],[Ratio_jour_avant_livr]]+Tab_Calculs[[#This Row],[ratio_avant_debut]],"")</f>
        <v/>
      </c>
      <c r="O763" t="e">
        <f ca="1">INDEX(INDIRECT(CONCATENATE("Tab_",Tab_Calculs[[#This Row],[Colonne1]])),Tab_Calculs[[#This Row],[index_date_livraison]]-1,7)*(MAX(Tab_Calculs[[#This Row],[Début periode livraison]],Tab_Calculs[[#This Row],[Début mois]])-Tab_Calculs[[#This Row],[Début mois]])</f>
        <v>#VALUE!</v>
      </c>
      <c r="P763">
        <f ca="1">INDEX(INDIRECT(CONCATENATE("Tab_",Tab_Calculs[[#This Row],[Colonne1]])),Tab_Calculs[[#This Row],[index_date_livraison]],7)*(1+MIN(Tab_Calculs[[#This Row],[Date_livraison]],Tab_Calculs[[#This Row],[fin mois]])-MAX(Tab_Calculs[[#This Row],[Début mois]],Tab_Calculs[[#This Row],[Début periode livraison]]))</f>
        <v>0</v>
      </c>
      <c r="Q763" t="e">
        <f ca="1">INDEX(INDIRECT(CONCATENATE("Tab_",Tab_Calculs[[#This Row],[Colonne1]])),Tab_Calculs[[#This Row],[index_date_livraison]]+1,7)*(Tab_Calculs[[#This Row],[fin mois]]-MIN(Tab_Calculs[[#This Row],[fin mois]],Tab_Calculs[[#This Row],[Date_livraison]]))</f>
        <v>#VALUE!</v>
      </c>
      <c r="R763" t="e">
        <f ca="1">Tab_Calculs[[#This Row],[Ratio_Cout_après_livr]]+Tab_Calculs[[#This Row],[Ratio_Cout_avant_livr]]+Tab_Calculs[[#This Row],[Ratio_Cout_avant_debut]]</f>
        <v>#VALUE!</v>
      </c>
      <c r="S763" t="str">
        <f ca="1">IFERROR(N763*VLOOKUP(Tab_Calculs[[#This Row],[Colonne1]],Controle_des_données!$B$7:$G$14,6,FALSE),"")</f>
        <v/>
      </c>
      <c r="T763" t="str">
        <f ca="1">IF(Tab_Calculs[[#This Row],[Combustible ]]="Electricité (kWh)",Tab_Calculs[[#This Row],[Conso_mois_kWh]]*2.3,Tab_Calculs[[#This Row],[Conso_mois_kWh]])</f>
        <v/>
      </c>
      <c r="U763" t="str">
        <f ca="1">IFERROR(N763*VLOOKUP(Tab_Calculs[[#This Row],[Colonne1]],Controle_des_données!$B$7:$H$14,7,FALSE),"")</f>
        <v/>
      </c>
      <c r="V763">
        <f ca="1">IFERROR(Tab_Calculs[[#This Row],[Cout_mois]]/Tab_Calculs[[#This Row],[Conso_mois_kWh]],0)</f>
        <v>0</v>
      </c>
      <c r="W763" t="str">
        <f>T(VLOOKUP(Tab_Calculs[[#This Row],[Compteur]],Site!$B$33:$G$40,3,FALSE))</f>
        <v/>
      </c>
      <c r="X763" t="str">
        <f>T(VLOOKUP(Tab_Calculs[[#This Row],[Compteur]],Site!$B$33:$G$40,4,FALSE))</f>
        <v/>
      </c>
      <c r="Y763" t="str">
        <f>T(VLOOKUP(Tab_Calculs[[#This Row],[Compteur]],Site!$B$33:$G$40,5,FALSE))</f>
        <v/>
      </c>
      <c r="Z763" t="str">
        <f>T(VLOOKUP(Tab_Calculs[[#This Row],[Compteur]],Site!$B$33:$G$40,6,FALSE))</f>
        <v/>
      </c>
      <c r="AA763">
        <f>IFERROR(GETPIVOTDATA("DJU(chauffagiste)",BDD_DJU!$P$13,"annee",Tab_Calculs[[#This Row],[ANNEE]],"mois_numero",Tab_Calculs[[#This Row],[MOIS]]),0)</f>
        <v>0</v>
      </c>
    </row>
    <row r="764" spans="1:27" x14ac:dyDescent="0.25">
      <c r="A764" s="3">
        <f>DATE(Tab_Calculs[[#This Row],[ANNEE]],Tab_Calculs[[#This Row],[MOIS]],1)</f>
        <v>45627</v>
      </c>
      <c r="B764" s="3">
        <f>EDATE(Tab_Calculs[[#This Row],[Début mois]],1)-1</f>
        <v>45657</v>
      </c>
      <c r="C764">
        <f t="shared" si="24"/>
        <v>12</v>
      </c>
      <c r="D764">
        <f>D752+1</f>
        <v>2024</v>
      </c>
      <c r="E764" t="s">
        <v>83</v>
      </c>
      <c r="F764" t="str">
        <f>SUBSTITUTE(Tab_Calculs[[#This Row],[Compteur]]," ","_")</f>
        <v>Compteur_4</v>
      </c>
      <c r="G764" t="str">
        <f>T(INDEX(Site!$B$33:$G$40, MATCH(Tab_Calculs[[#This Row],[Compteur]], Site!$B$33:$B$40,0),2))</f>
        <v/>
      </c>
      <c r="H764" s="3">
        <f t="array" aca="1" ref="H764" ca="1">MIN(IF(INDIRECT(CONCATENATE(Tab_Calculs[[#This Row],[Colonne1]],"!$B$2:$B$243"))&gt;=Calculs_Consos!$A764,INDIRECT(CONCATENATE(Tab_Calculs[[#This Row],[Colonne1]],"!$B$2:$B$243"))))</f>
        <v>0</v>
      </c>
      <c r="I764" s="3">
        <f ca="1">INDEX(INDIRECT(CONCATENATE("Tab_",Tab_Calculs[[#This Row],[Colonne1]])),Tab_Calculs[[#This Row],[index_date_livraison]],1)</f>
        <v>0</v>
      </c>
      <c r="J764">
        <f ca="1">MATCH(Tab_Calculs[[#This Row],[Date_livraison]],INDIRECT(CONCATENATE("Tab_",Tab_Calculs[[#This Row],[Colonne1]],"[Fin de période]")),0)</f>
        <v>1</v>
      </c>
      <c r="K764" t="e">
        <f ca="1">INDEX(INDIRECT(CONCATENATE("Tab_",Tab_Calculs[[#This Row],[Colonne1]])),Tab_Calculs[[#This Row],[index_date_livraison]]-1,6)*(MAX(Tab_Calculs[[#This Row],[Début periode livraison]],Tab_Calculs[[#This Row],[Début mois]])-Tab_Calculs[[#This Row],[Début mois]])</f>
        <v>#VALUE!</v>
      </c>
      <c r="L764" s="94">
        <f ca="1">INDEX(INDIRECT(CONCATENATE("Tab_",Tab_Calculs[[#This Row],[Colonne1]])),Tab_Calculs[[#This Row],[index_date_livraison]],6)*(1+MIN(Tab_Calculs[[#This Row],[Date_livraison]],Tab_Calculs[[#This Row],[fin mois]])-MAX(Tab_Calculs[[#This Row],[Début mois]],Tab_Calculs[[#This Row],[Début periode livraison]]))</f>
        <v>0</v>
      </c>
      <c r="M764" s="94" t="e">
        <f ca="1">INDEX(INDIRECT(CONCATENATE("Tab_",Tab_Calculs[[#This Row],[Colonne1]])),Tab_Calculs[[#This Row],[index_date_livraison]]+1,6)*(Tab_Calculs[[#This Row],[fin mois]]-MIN(Tab_Calculs[[#This Row],[fin mois]],Tab_Calculs[[#This Row],[Date_livraison]]))</f>
        <v>#VALUE!</v>
      </c>
      <c r="N764" s="231" t="str">
        <f ca="1">IFERROR(Tab_Calculs[[#This Row],[Ratio_jour_après_livr]]+Tab_Calculs[[#This Row],[Ratio_jour_avant_livr]]+Tab_Calculs[[#This Row],[ratio_avant_debut]],"")</f>
        <v/>
      </c>
      <c r="O764" t="e">
        <f ca="1">INDEX(INDIRECT(CONCATENATE("Tab_",Tab_Calculs[[#This Row],[Colonne1]])),Tab_Calculs[[#This Row],[index_date_livraison]]-1,7)*(MAX(Tab_Calculs[[#This Row],[Début periode livraison]],Tab_Calculs[[#This Row],[Début mois]])-Tab_Calculs[[#This Row],[Début mois]])</f>
        <v>#VALUE!</v>
      </c>
      <c r="P764">
        <f ca="1">INDEX(INDIRECT(CONCATENATE("Tab_",Tab_Calculs[[#This Row],[Colonne1]])),Tab_Calculs[[#This Row],[index_date_livraison]],7)*(1+MIN(Tab_Calculs[[#This Row],[Date_livraison]],Tab_Calculs[[#This Row],[fin mois]])-MAX(Tab_Calculs[[#This Row],[Début mois]],Tab_Calculs[[#This Row],[Début periode livraison]]))</f>
        <v>0</v>
      </c>
      <c r="Q764" t="e">
        <f ca="1">INDEX(INDIRECT(CONCATENATE("Tab_",Tab_Calculs[[#This Row],[Colonne1]])),Tab_Calculs[[#This Row],[index_date_livraison]]+1,7)*(Tab_Calculs[[#This Row],[fin mois]]-MIN(Tab_Calculs[[#This Row],[fin mois]],Tab_Calculs[[#This Row],[Date_livraison]]))</f>
        <v>#VALUE!</v>
      </c>
      <c r="R764" t="e">
        <f ca="1">Tab_Calculs[[#This Row],[Ratio_Cout_après_livr]]+Tab_Calculs[[#This Row],[Ratio_Cout_avant_livr]]+Tab_Calculs[[#This Row],[Ratio_Cout_avant_debut]]</f>
        <v>#VALUE!</v>
      </c>
      <c r="S764" t="str">
        <f ca="1">IFERROR(N764*VLOOKUP(Tab_Calculs[[#This Row],[Colonne1]],Controle_des_données!$B$7:$G$14,6,FALSE),"")</f>
        <v/>
      </c>
      <c r="T764" t="str">
        <f ca="1">IF(Tab_Calculs[[#This Row],[Combustible ]]="Electricité (kWh)",Tab_Calculs[[#This Row],[Conso_mois_kWh]]*2.3,Tab_Calculs[[#This Row],[Conso_mois_kWh]])</f>
        <v/>
      </c>
      <c r="U764" t="str">
        <f ca="1">IFERROR(N764*VLOOKUP(Tab_Calculs[[#This Row],[Colonne1]],Controle_des_données!$B$7:$H$14,7,FALSE),"")</f>
        <v/>
      </c>
      <c r="V764">
        <f ca="1">IFERROR(Tab_Calculs[[#This Row],[Cout_mois]]/Tab_Calculs[[#This Row],[Conso_mois_kWh]],0)</f>
        <v>0</v>
      </c>
      <c r="W764" t="str">
        <f>T(VLOOKUP(Tab_Calculs[[#This Row],[Compteur]],Site!$B$33:$G$40,3,FALSE))</f>
        <v/>
      </c>
      <c r="X764" t="str">
        <f>T(VLOOKUP(Tab_Calculs[[#This Row],[Compteur]],Site!$B$33:$G$40,4,FALSE))</f>
        <v/>
      </c>
      <c r="Y764" t="str">
        <f>T(VLOOKUP(Tab_Calculs[[#This Row],[Compteur]],Site!$B$33:$G$40,5,FALSE))</f>
        <v/>
      </c>
      <c r="Z764" t="str">
        <f>T(VLOOKUP(Tab_Calculs[[#This Row],[Compteur]],Site!$B$33:$G$40,6,FALSE))</f>
        <v/>
      </c>
      <c r="AA764">
        <f>IFERROR(GETPIVOTDATA("DJU(chauffagiste)",BDD_DJU!$P$13,"annee",Tab_Calculs[[#This Row],[ANNEE]],"mois_numero",Tab_Calculs[[#This Row],[MOIS]]),0)</f>
        <v>0</v>
      </c>
    </row>
    <row r="765" spans="1:27" x14ac:dyDescent="0.25">
      <c r="A765" s="3">
        <f>DATE(Tab_Calculs[[#This Row],[ANNEE]],Tab_Calculs[[#This Row],[MOIS]],1)</f>
        <v>45658</v>
      </c>
      <c r="B765" s="3">
        <f>EDATE(Tab_Calculs[[#This Row],[Début mois]],1)-1</f>
        <v>45688</v>
      </c>
      <c r="C765">
        <f t="shared" si="24"/>
        <v>1</v>
      </c>
      <c r="D765">
        <f t="shared" ref="D765:D776" si="27">D753+1</f>
        <v>2025</v>
      </c>
      <c r="E765" t="s">
        <v>83</v>
      </c>
      <c r="F765" t="str">
        <f>SUBSTITUTE(Tab_Calculs[[#This Row],[Compteur]]," ","_")</f>
        <v>Compteur_4</v>
      </c>
      <c r="G765" t="str">
        <f>T(INDEX(Site!$B$33:$G$40, MATCH(Tab_Calculs[[#This Row],[Compteur]], Site!$B$33:$B$40,0),2))</f>
        <v/>
      </c>
      <c r="H765" s="3">
        <f t="array" aca="1" ref="H765" ca="1">MIN(IF(INDIRECT(CONCATENATE(Tab_Calculs[[#This Row],[Colonne1]],"!$B$2:$B$243"))&gt;=Calculs_Consos!$A765,INDIRECT(CONCATENATE(Tab_Calculs[[#This Row],[Colonne1]],"!$B$2:$B$243"))))</f>
        <v>0</v>
      </c>
      <c r="I765" s="3">
        <f ca="1">INDEX(INDIRECT(CONCATENATE("Tab_",Tab_Calculs[[#This Row],[Colonne1]])),Tab_Calculs[[#This Row],[index_date_livraison]],1)</f>
        <v>0</v>
      </c>
      <c r="J765">
        <f ca="1">MATCH(Tab_Calculs[[#This Row],[Date_livraison]],INDIRECT(CONCATENATE("Tab_",Tab_Calculs[[#This Row],[Colonne1]],"[Fin de période]")),0)</f>
        <v>1</v>
      </c>
      <c r="K765" t="e">
        <f ca="1">INDEX(INDIRECT(CONCATENATE("Tab_",Tab_Calculs[[#This Row],[Colonne1]])),Tab_Calculs[[#This Row],[index_date_livraison]]-1,6)*(MAX(Tab_Calculs[[#This Row],[Début periode livraison]],Tab_Calculs[[#This Row],[Début mois]])-Tab_Calculs[[#This Row],[Début mois]])</f>
        <v>#VALUE!</v>
      </c>
      <c r="L765" s="94">
        <f ca="1">INDEX(INDIRECT(CONCATENATE("Tab_",Tab_Calculs[[#This Row],[Colonne1]])),Tab_Calculs[[#This Row],[index_date_livraison]],6)*(1+MIN(Tab_Calculs[[#This Row],[Date_livraison]],Tab_Calculs[[#This Row],[fin mois]])-MAX(Tab_Calculs[[#This Row],[Début mois]],Tab_Calculs[[#This Row],[Début periode livraison]]))</f>
        <v>0</v>
      </c>
      <c r="M765" s="94" t="e">
        <f ca="1">INDEX(INDIRECT(CONCATENATE("Tab_",Tab_Calculs[[#This Row],[Colonne1]])),Tab_Calculs[[#This Row],[index_date_livraison]]+1,6)*(Tab_Calculs[[#This Row],[fin mois]]-MIN(Tab_Calculs[[#This Row],[fin mois]],Tab_Calculs[[#This Row],[Date_livraison]]))</f>
        <v>#VALUE!</v>
      </c>
      <c r="N765" s="231" t="str">
        <f ca="1">IFERROR(Tab_Calculs[[#This Row],[Ratio_jour_après_livr]]+Tab_Calculs[[#This Row],[Ratio_jour_avant_livr]]+Tab_Calculs[[#This Row],[ratio_avant_debut]],"")</f>
        <v/>
      </c>
      <c r="O765" t="e">
        <f ca="1">INDEX(INDIRECT(CONCATENATE("Tab_",Tab_Calculs[[#This Row],[Colonne1]])),Tab_Calculs[[#This Row],[index_date_livraison]]-1,7)*(MAX(Tab_Calculs[[#This Row],[Début periode livraison]],Tab_Calculs[[#This Row],[Début mois]])-Tab_Calculs[[#This Row],[Début mois]])</f>
        <v>#VALUE!</v>
      </c>
      <c r="P765">
        <f ca="1">INDEX(INDIRECT(CONCATENATE("Tab_",Tab_Calculs[[#This Row],[Colonne1]])),Tab_Calculs[[#This Row],[index_date_livraison]],7)*(1+MIN(Tab_Calculs[[#This Row],[Date_livraison]],Tab_Calculs[[#This Row],[fin mois]])-MAX(Tab_Calculs[[#This Row],[Début mois]],Tab_Calculs[[#This Row],[Début periode livraison]]))</f>
        <v>0</v>
      </c>
      <c r="Q765" t="e">
        <f ca="1">INDEX(INDIRECT(CONCATENATE("Tab_",Tab_Calculs[[#This Row],[Colonne1]])),Tab_Calculs[[#This Row],[index_date_livraison]]+1,7)*(Tab_Calculs[[#This Row],[fin mois]]-MIN(Tab_Calculs[[#This Row],[fin mois]],Tab_Calculs[[#This Row],[Date_livraison]]))</f>
        <v>#VALUE!</v>
      </c>
      <c r="R765" t="e">
        <f ca="1">Tab_Calculs[[#This Row],[Ratio_Cout_après_livr]]+Tab_Calculs[[#This Row],[Ratio_Cout_avant_livr]]+Tab_Calculs[[#This Row],[Ratio_Cout_avant_debut]]</f>
        <v>#VALUE!</v>
      </c>
      <c r="S765" t="str">
        <f ca="1">IFERROR(N765*VLOOKUP(Tab_Calculs[[#This Row],[Colonne1]],Controle_des_données!$B$7:$G$14,6,FALSE),"")</f>
        <v/>
      </c>
      <c r="T765" t="str">
        <f ca="1">IF(Tab_Calculs[[#This Row],[Combustible ]]="Electricité (kWh)",Tab_Calculs[[#This Row],[Conso_mois_kWh]]*2.3,Tab_Calculs[[#This Row],[Conso_mois_kWh]])</f>
        <v/>
      </c>
      <c r="U765" t="str">
        <f ca="1">IFERROR(N765*VLOOKUP(Tab_Calculs[[#This Row],[Colonne1]],Controle_des_données!$B$7:$H$14,7,FALSE),"")</f>
        <v/>
      </c>
      <c r="V765">
        <f ca="1">IFERROR(Tab_Calculs[[#This Row],[Cout_mois]]/Tab_Calculs[[#This Row],[Conso_mois_kWh]],0)</f>
        <v>0</v>
      </c>
      <c r="W765" t="str">
        <f>T(VLOOKUP(Tab_Calculs[[#This Row],[Compteur]],Site!$B$33:$G$40,3,FALSE))</f>
        <v/>
      </c>
      <c r="X765" t="str">
        <f>T(VLOOKUP(Tab_Calculs[[#This Row],[Compteur]],Site!$B$33:$G$40,4,FALSE))</f>
        <v/>
      </c>
      <c r="Y765" t="str">
        <f>T(VLOOKUP(Tab_Calculs[[#This Row],[Compteur]],Site!$B$33:$G$40,5,FALSE))</f>
        <v/>
      </c>
      <c r="Z765" t="str">
        <f>T(VLOOKUP(Tab_Calculs[[#This Row],[Compteur]],Site!$B$33:$G$40,6,FALSE))</f>
        <v/>
      </c>
      <c r="AA765">
        <f>IFERROR(GETPIVOTDATA("DJU(chauffagiste)",BDD_DJU!$P$13,"annee",Tab_Calculs[[#This Row],[ANNEE]],"mois_numero",Tab_Calculs[[#This Row],[MOIS]]),0)</f>
        <v>0</v>
      </c>
    </row>
    <row r="766" spans="1:27" x14ac:dyDescent="0.25">
      <c r="A766" s="3">
        <f>DATE(Tab_Calculs[[#This Row],[ANNEE]],Tab_Calculs[[#This Row],[MOIS]],1)</f>
        <v>45689</v>
      </c>
      <c r="B766" s="3">
        <f>EDATE(Tab_Calculs[[#This Row],[Début mois]],1)-1</f>
        <v>45716</v>
      </c>
      <c r="C766">
        <f t="shared" si="24"/>
        <v>2</v>
      </c>
      <c r="D766">
        <f t="shared" si="27"/>
        <v>2025</v>
      </c>
      <c r="E766" t="s">
        <v>83</v>
      </c>
      <c r="F766" t="str">
        <f>SUBSTITUTE(Tab_Calculs[[#This Row],[Compteur]]," ","_")</f>
        <v>Compteur_4</v>
      </c>
      <c r="G766" t="str">
        <f>T(INDEX(Site!$B$33:$G$40, MATCH(Tab_Calculs[[#This Row],[Compteur]], Site!$B$33:$B$40,0),2))</f>
        <v/>
      </c>
      <c r="H766" s="3">
        <f t="array" aca="1" ref="H766" ca="1">MIN(IF(INDIRECT(CONCATENATE(Tab_Calculs[[#This Row],[Colonne1]],"!$B$2:$B$243"))&gt;=Calculs_Consos!$A766,INDIRECT(CONCATENATE(Tab_Calculs[[#This Row],[Colonne1]],"!$B$2:$B$243"))))</f>
        <v>0</v>
      </c>
      <c r="I766" s="3">
        <f ca="1">INDEX(INDIRECT(CONCATENATE("Tab_",Tab_Calculs[[#This Row],[Colonne1]])),Tab_Calculs[[#This Row],[index_date_livraison]],1)</f>
        <v>0</v>
      </c>
      <c r="J766">
        <f ca="1">MATCH(Tab_Calculs[[#This Row],[Date_livraison]],INDIRECT(CONCATENATE("Tab_",Tab_Calculs[[#This Row],[Colonne1]],"[Fin de période]")),0)</f>
        <v>1</v>
      </c>
      <c r="K766" t="e">
        <f ca="1">INDEX(INDIRECT(CONCATENATE("Tab_",Tab_Calculs[[#This Row],[Colonne1]])),Tab_Calculs[[#This Row],[index_date_livraison]]-1,6)*(MAX(Tab_Calculs[[#This Row],[Début periode livraison]],Tab_Calculs[[#This Row],[Début mois]])-Tab_Calculs[[#This Row],[Début mois]])</f>
        <v>#VALUE!</v>
      </c>
      <c r="L766" s="94">
        <f ca="1">INDEX(INDIRECT(CONCATENATE("Tab_",Tab_Calculs[[#This Row],[Colonne1]])),Tab_Calculs[[#This Row],[index_date_livraison]],6)*(1+MIN(Tab_Calculs[[#This Row],[Date_livraison]],Tab_Calculs[[#This Row],[fin mois]])-MAX(Tab_Calculs[[#This Row],[Début mois]],Tab_Calculs[[#This Row],[Début periode livraison]]))</f>
        <v>0</v>
      </c>
      <c r="M766" s="94" t="e">
        <f ca="1">INDEX(INDIRECT(CONCATENATE("Tab_",Tab_Calculs[[#This Row],[Colonne1]])),Tab_Calculs[[#This Row],[index_date_livraison]]+1,6)*(Tab_Calculs[[#This Row],[fin mois]]-MIN(Tab_Calculs[[#This Row],[fin mois]],Tab_Calculs[[#This Row],[Date_livraison]]))</f>
        <v>#VALUE!</v>
      </c>
      <c r="N766" s="231" t="str">
        <f ca="1">IFERROR(Tab_Calculs[[#This Row],[Ratio_jour_après_livr]]+Tab_Calculs[[#This Row],[Ratio_jour_avant_livr]]+Tab_Calculs[[#This Row],[ratio_avant_debut]],"")</f>
        <v/>
      </c>
      <c r="O766" t="e">
        <f ca="1">INDEX(INDIRECT(CONCATENATE("Tab_",Tab_Calculs[[#This Row],[Colonne1]])),Tab_Calculs[[#This Row],[index_date_livraison]]-1,7)*(MAX(Tab_Calculs[[#This Row],[Début periode livraison]],Tab_Calculs[[#This Row],[Début mois]])-Tab_Calculs[[#This Row],[Début mois]])</f>
        <v>#VALUE!</v>
      </c>
      <c r="P766">
        <f ca="1">INDEX(INDIRECT(CONCATENATE("Tab_",Tab_Calculs[[#This Row],[Colonne1]])),Tab_Calculs[[#This Row],[index_date_livraison]],7)*(1+MIN(Tab_Calculs[[#This Row],[Date_livraison]],Tab_Calculs[[#This Row],[fin mois]])-MAX(Tab_Calculs[[#This Row],[Début mois]],Tab_Calculs[[#This Row],[Début periode livraison]]))</f>
        <v>0</v>
      </c>
      <c r="Q766" t="e">
        <f ca="1">INDEX(INDIRECT(CONCATENATE("Tab_",Tab_Calculs[[#This Row],[Colonne1]])),Tab_Calculs[[#This Row],[index_date_livraison]]+1,7)*(Tab_Calculs[[#This Row],[fin mois]]-MIN(Tab_Calculs[[#This Row],[fin mois]],Tab_Calculs[[#This Row],[Date_livraison]]))</f>
        <v>#VALUE!</v>
      </c>
      <c r="R766" t="e">
        <f ca="1">Tab_Calculs[[#This Row],[Ratio_Cout_après_livr]]+Tab_Calculs[[#This Row],[Ratio_Cout_avant_livr]]+Tab_Calculs[[#This Row],[Ratio_Cout_avant_debut]]</f>
        <v>#VALUE!</v>
      </c>
      <c r="S766" t="str">
        <f ca="1">IFERROR(N766*VLOOKUP(Tab_Calculs[[#This Row],[Colonne1]],Controle_des_données!$B$7:$G$14,6,FALSE),"")</f>
        <v/>
      </c>
      <c r="T766" t="str">
        <f ca="1">IF(Tab_Calculs[[#This Row],[Combustible ]]="Electricité (kWh)",Tab_Calculs[[#This Row],[Conso_mois_kWh]]*2.3,Tab_Calculs[[#This Row],[Conso_mois_kWh]])</f>
        <v/>
      </c>
      <c r="U766" t="str">
        <f ca="1">IFERROR(N766*VLOOKUP(Tab_Calculs[[#This Row],[Colonne1]],Controle_des_données!$B$7:$H$14,7,FALSE),"")</f>
        <v/>
      </c>
      <c r="V766">
        <f ca="1">IFERROR(Tab_Calculs[[#This Row],[Cout_mois]]/Tab_Calculs[[#This Row],[Conso_mois_kWh]],0)</f>
        <v>0</v>
      </c>
      <c r="W766" t="str">
        <f>T(VLOOKUP(Tab_Calculs[[#This Row],[Compteur]],Site!$B$33:$G$40,3,FALSE))</f>
        <v/>
      </c>
      <c r="X766" t="str">
        <f>T(VLOOKUP(Tab_Calculs[[#This Row],[Compteur]],Site!$B$33:$G$40,4,FALSE))</f>
        <v/>
      </c>
      <c r="Y766" t="str">
        <f>T(VLOOKUP(Tab_Calculs[[#This Row],[Compteur]],Site!$B$33:$G$40,5,FALSE))</f>
        <v/>
      </c>
      <c r="Z766" t="str">
        <f>T(VLOOKUP(Tab_Calculs[[#This Row],[Compteur]],Site!$B$33:$G$40,6,FALSE))</f>
        <v/>
      </c>
      <c r="AA766">
        <f>IFERROR(GETPIVOTDATA("DJU(chauffagiste)",BDD_DJU!$P$13,"annee",Tab_Calculs[[#This Row],[ANNEE]],"mois_numero",Tab_Calculs[[#This Row],[MOIS]]),0)</f>
        <v>0</v>
      </c>
    </row>
    <row r="767" spans="1:27" x14ac:dyDescent="0.25">
      <c r="A767" s="3">
        <f>DATE(Tab_Calculs[[#This Row],[ANNEE]],Tab_Calculs[[#This Row],[MOIS]],1)</f>
        <v>45717</v>
      </c>
      <c r="B767" s="3">
        <f>EDATE(Tab_Calculs[[#This Row],[Début mois]],1)-1</f>
        <v>45747</v>
      </c>
      <c r="C767">
        <f t="shared" si="24"/>
        <v>3</v>
      </c>
      <c r="D767">
        <f t="shared" si="27"/>
        <v>2025</v>
      </c>
      <c r="E767" t="s">
        <v>83</v>
      </c>
      <c r="F767" t="str">
        <f>SUBSTITUTE(Tab_Calculs[[#This Row],[Compteur]]," ","_")</f>
        <v>Compteur_4</v>
      </c>
      <c r="G767" t="str">
        <f>T(INDEX(Site!$B$33:$G$40, MATCH(Tab_Calculs[[#This Row],[Compteur]], Site!$B$33:$B$40,0),2))</f>
        <v/>
      </c>
      <c r="H767" s="3">
        <f t="array" aca="1" ref="H767" ca="1">MIN(IF(INDIRECT(CONCATENATE(Tab_Calculs[[#This Row],[Colonne1]],"!$B$2:$B$243"))&gt;=Calculs_Consos!$A767,INDIRECT(CONCATENATE(Tab_Calculs[[#This Row],[Colonne1]],"!$B$2:$B$243"))))</f>
        <v>0</v>
      </c>
      <c r="I767" s="3">
        <f ca="1">INDEX(INDIRECT(CONCATENATE("Tab_",Tab_Calculs[[#This Row],[Colonne1]])),Tab_Calculs[[#This Row],[index_date_livraison]],1)</f>
        <v>0</v>
      </c>
      <c r="J767">
        <f ca="1">MATCH(Tab_Calculs[[#This Row],[Date_livraison]],INDIRECT(CONCATENATE("Tab_",Tab_Calculs[[#This Row],[Colonne1]],"[Fin de période]")),0)</f>
        <v>1</v>
      </c>
      <c r="K767" t="e">
        <f ca="1">INDEX(INDIRECT(CONCATENATE("Tab_",Tab_Calculs[[#This Row],[Colonne1]])),Tab_Calculs[[#This Row],[index_date_livraison]]-1,6)*(MAX(Tab_Calculs[[#This Row],[Début periode livraison]],Tab_Calculs[[#This Row],[Début mois]])-Tab_Calculs[[#This Row],[Début mois]])</f>
        <v>#VALUE!</v>
      </c>
      <c r="L767" s="94">
        <f ca="1">INDEX(INDIRECT(CONCATENATE("Tab_",Tab_Calculs[[#This Row],[Colonne1]])),Tab_Calculs[[#This Row],[index_date_livraison]],6)*(1+MIN(Tab_Calculs[[#This Row],[Date_livraison]],Tab_Calculs[[#This Row],[fin mois]])-MAX(Tab_Calculs[[#This Row],[Début mois]],Tab_Calculs[[#This Row],[Début periode livraison]]))</f>
        <v>0</v>
      </c>
      <c r="M767" s="94" t="e">
        <f ca="1">INDEX(INDIRECT(CONCATENATE("Tab_",Tab_Calculs[[#This Row],[Colonne1]])),Tab_Calculs[[#This Row],[index_date_livraison]]+1,6)*(Tab_Calculs[[#This Row],[fin mois]]-MIN(Tab_Calculs[[#This Row],[fin mois]],Tab_Calculs[[#This Row],[Date_livraison]]))</f>
        <v>#VALUE!</v>
      </c>
      <c r="N767" s="231" t="str">
        <f ca="1">IFERROR(Tab_Calculs[[#This Row],[Ratio_jour_après_livr]]+Tab_Calculs[[#This Row],[Ratio_jour_avant_livr]]+Tab_Calculs[[#This Row],[ratio_avant_debut]],"")</f>
        <v/>
      </c>
      <c r="O767" t="e">
        <f ca="1">INDEX(INDIRECT(CONCATENATE("Tab_",Tab_Calculs[[#This Row],[Colonne1]])),Tab_Calculs[[#This Row],[index_date_livraison]]-1,7)*(MAX(Tab_Calculs[[#This Row],[Début periode livraison]],Tab_Calculs[[#This Row],[Début mois]])-Tab_Calculs[[#This Row],[Début mois]])</f>
        <v>#VALUE!</v>
      </c>
      <c r="P767">
        <f ca="1">INDEX(INDIRECT(CONCATENATE("Tab_",Tab_Calculs[[#This Row],[Colonne1]])),Tab_Calculs[[#This Row],[index_date_livraison]],7)*(1+MIN(Tab_Calculs[[#This Row],[Date_livraison]],Tab_Calculs[[#This Row],[fin mois]])-MAX(Tab_Calculs[[#This Row],[Début mois]],Tab_Calculs[[#This Row],[Début periode livraison]]))</f>
        <v>0</v>
      </c>
      <c r="Q767" t="e">
        <f ca="1">INDEX(INDIRECT(CONCATENATE("Tab_",Tab_Calculs[[#This Row],[Colonne1]])),Tab_Calculs[[#This Row],[index_date_livraison]]+1,7)*(Tab_Calculs[[#This Row],[fin mois]]-MIN(Tab_Calculs[[#This Row],[fin mois]],Tab_Calculs[[#This Row],[Date_livraison]]))</f>
        <v>#VALUE!</v>
      </c>
      <c r="R767" t="e">
        <f ca="1">Tab_Calculs[[#This Row],[Ratio_Cout_après_livr]]+Tab_Calculs[[#This Row],[Ratio_Cout_avant_livr]]+Tab_Calculs[[#This Row],[Ratio_Cout_avant_debut]]</f>
        <v>#VALUE!</v>
      </c>
      <c r="S767" t="str">
        <f ca="1">IFERROR(N767*VLOOKUP(Tab_Calculs[[#This Row],[Colonne1]],Controle_des_données!$B$7:$G$14,6,FALSE),"")</f>
        <v/>
      </c>
      <c r="T767" t="str">
        <f ca="1">IF(Tab_Calculs[[#This Row],[Combustible ]]="Electricité (kWh)",Tab_Calculs[[#This Row],[Conso_mois_kWh]]*2.3,Tab_Calculs[[#This Row],[Conso_mois_kWh]])</f>
        <v/>
      </c>
      <c r="U767" t="str">
        <f ca="1">IFERROR(N767*VLOOKUP(Tab_Calculs[[#This Row],[Colonne1]],Controle_des_données!$B$7:$H$14,7,FALSE),"")</f>
        <v/>
      </c>
      <c r="V767">
        <f ca="1">IFERROR(Tab_Calculs[[#This Row],[Cout_mois]]/Tab_Calculs[[#This Row],[Conso_mois_kWh]],0)</f>
        <v>0</v>
      </c>
      <c r="W767" t="str">
        <f>T(VLOOKUP(Tab_Calculs[[#This Row],[Compteur]],Site!$B$33:$G$40,3,FALSE))</f>
        <v/>
      </c>
      <c r="X767" t="str">
        <f>T(VLOOKUP(Tab_Calculs[[#This Row],[Compteur]],Site!$B$33:$G$40,4,FALSE))</f>
        <v/>
      </c>
      <c r="Y767" t="str">
        <f>T(VLOOKUP(Tab_Calculs[[#This Row],[Compteur]],Site!$B$33:$G$40,5,FALSE))</f>
        <v/>
      </c>
      <c r="Z767" t="str">
        <f>T(VLOOKUP(Tab_Calculs[[#This Row],[Compteur]],Site!$B$33:$G$40,6,FALSE))</f>
        <v/>
      </c>
      <c r="AA767">
        <f>IFERROR(GETPIVOTDATA("DJU(chauffagiste)",BDD_DJU!$P$13,"annee",Tab_Calculs[[#This Row],[ANNEE]],"mois_numero",Tab_Calculs[[#This Row],[MOIS]]),0)</f>
        <v>0</v>
      </c>
    </row>
    <row r="768" spans="1:27" x14ac:dyDescent="0.25">
      <c r="A768" s="3">
        <f>DATE(Tab_Calculs[[#This Row],[ANNEE]],Tab_Calculs[[#This Row],[MOIS]],1)</f>
        <v>45748</v>
      </c>
      <c r="B768" s="3">
        <f>EDATE(Tab_Calculs[[#This Row],[Début mois]],1)-1</f>
        <v>45777</v>
      </c>
      <c r="C768">
        <f t="shared" si="24"/>
        <v>4</v>
      </c>
      <c r="D768">
        <f t="shared" si="27"/>
        <v>2025</v>
      </c>
      <c r="E768" t="s">
        <v>83</v>
      </c>
      <c r="F768" t="str">
        <f>SUBSTITUTE(Tab_Calculs[[#This Row],[Compteur]]," ","_")</f>
        <v>Compteur_4</v>
      </c>
      <c r="G768" t="str">
        <f>T(INDEX(Site!$B$33:$G$40, MATCH(Tab_Calculs[[#This Row],[Compteur]], Site!$B$33:$B$40,0),2))</f>
        <v/>
      </c>
      <c r="H768" s="3">
        <f t="array" aca="1" ref="H768" ca="1">MIN(IF(INDIRECT(CONCATENATE(Tab_Calculs[[#This Row],[Colonne1]],"!$B$2:$B$243"))&gt;=Calculs_Consos!$A768,INDIRECT(CONCATENATE(Tab_Calculs[[#This Row],[Colonne1]],"!$B$2:$B$243"))))</f>
        <v>0</v>
      </c>
      <c r="I768" s="3">
        <f ca="1">INDEX(INDIRECT(CONCATENATE("Tab_",Tab_Calculs[[#This Row],[Colonne1]])),Tab_Calculs[[#This Row],[index_date_livraison]],1)</f>
        <v>0</v>
      </c>
      <c r="J768">
        <f ca="1">MATCH(Tab_Calculs[[#This Row],[Date_livraison]],INDIRECT(CONCATENATE("Tab_",Tab_Calculs[[#This Row],[Colonne1]],"[Fin de période]")),0)</f>
        <v>1</v>
      </c>
      <c r="K768" t="e">
        <f ca="1">INDEX(INDIRECT(CONCATENATE("Tab_",Tab_Calculs[[#This Row],[Colonne1]])),Tab_Calculs[[#This Row],[index_date_livraison]]-1,6)*(MAX(Tab_Calculs[[#This Row],[Début periode livraison]],Tab_Calculs[[#This Row],[Début mois]])-Tab_Calculs[[#This Row],[Début mois]])</f>
        <v>#VALUE!</v>
      </c>
      <c r="L768" s="94">
        <f ca="1">INDEX(INDIRECT(CONCATENATE("Tab_",Tab_Calculs[[#This Row],[Colonne1]])),Tab_Calculs[[#This Row],[index_date_livraison]],6)*(1+MIN(Tab_Calculs[[#This Row],[Date_livraison]],Tab_Calculs[[#This Row],[fin mois]])-MAX(Tab_Calculs[[#This Row],[Début mois]],Tab_Calculs[[#This Row],[Début periode livraison]]))</f>
        <v>0</v>
      </c>
      <c r="M768" s="94" t="e">
        <f ca="1">INDEX(INDIRECT(CONCATENATE("Tab_",Tab_Calculs[[#This Row],[Colonne1]])),Tab_Calculs[[#This Row],[index_date_livraison]]+1,6)*(Tab_Calculs[[#This Row],[fin mois]]-MIN(Tab_Calculs[[#This Row],[fin mois]],Tab_Calculs[[#This Row],[Date_livraison]]))</f>
        <v>#VALUE!</v>
      </c>
      <c r="N768" s="231" t="str">
        <f ca="1">IFERROR(Tab_Calculs[[#This Row],[Ratio_jour_après_livr]]+Tab_Calculs[[#This Row],[Ratio_jour_avant_livr]]+Tab_Calculs[[#This Row],[ratio_avant_debut]],"")</f>
        <v/>
      </c>
      <c r="O768" t="e">
        <f ca="1">INDEX(INDIRECT(CONCATENATE("Tab_",Tab_Calculs[[#This Row],[Colonne1]])),Tab_Calculs[[#This Row],[index_date_livraison]]-1,7)*(MAX(Tab_Calculs[[#This Row],[Début periode livraison]],Tab_Calculs[[#This Row],[Début mois]])-Tab_Calculs[[#This Row],[Début mois]])</f>
        <v>#VALUE!</v>
      </c>
      <c r="P768">
        <f ca="1">INDEX(INDIRECT(CONCATENATE("Tab_",Tab_Calculs[[#This Row],[Colonne1]])),Tab_Calculs[[#This Row],[index_date_livraison]],7)*(1+MIN(Tab_Calculs[[#This Row],[Date_livraison]],Tab_Calculs[[#This Row],[fin mois]])-MAX(Tab_Calculs[[#This Row],[Début mois]],Tab_Calculs[[#This Row],[Début periode livraison]]))</f>
        <v>0</v>
      </c>
      <c r="Q768" t="e">
        <f ca="1">INDEX(INDIRECT(CONCATENATE("Tab_",Tab_Calculs[[#This Row],[Colonne1]])),Tab_Calculs[[#This Row],[index_date_livraison]]+1,7)*(Tab_Calculs[[#This Row],[fin mois]]-MIN(Tab_Calculs[[#This Row],[fin mois]],Tab_Calculs[[#This Row],[Date_livraison]]))</f>
        <v>#VALUE!</v>
      </c>
      <c r="R768" t="e">
        <f ca="1">Tab_Calculs[[#This Row],[Ratio_Cout_après_livr]]+Tab_Calculs[[#This Row],[Ratio_Cout_avant_livr]]+Tab_Calculs[[#This Row],[Ratio_Cout_avant_debut]]</f>
        <v>#VALUE!</v>
      </c>
      <c r="S768" t="str">
        <f ca="1">IFERROR(N768*VLOOKUP(Tab_Calculs[[#This Row],[Colonne1]],Controle_des_données!$B$7:$G$14,6,FALSE),"")</f>
        <v/>
      </c>
      <c r="T768" t="str">
        <f ca="1">IF(Tab_Calculs[[#This Row],[Combustible ]]="Electricité (kWh)",Tab_Calculs[[#This Row],[Conso_mois_kWh]]*2.3,Tab_Calculs[[#This Row],[Conso_mois_kWh]])</f>
        <v/>
      </c>
      <c r="U768" t="str">
        <f ca="1">IFERROR(N768*VLOOKUP(Tab_Calculs[[#This Row],[Colonne1]],Controle_des_données!$B$7:$H$14,7,FALSE),"")</f>
        <v/>
      </c>
      <c r="V768">
        <f ca="1">IFERROR(Tab_Calculs[[#This Row],[Cout_mois]]/Tab_Calculs[[#This Row],[Conso_mois_kWh]],0)</f>
        <v>0</v>
      </c>
      <c r="W768" t="str">
        <f>T(VLOOKUP(Tab_Calculs[[#This Row],[Compteur]],Site!$B$33:$G$40,3,FALSE))</f>
        <v/>
      </c>
      <c r="X768" t="str">
        <f>T(VLOOKUP(Tab_Calculs[[#This Row],[Compteur]],Site!$B$33:$G$40,4,FALSE))</f>
        <v/>
      </c>
      <c r="Y768" t="str">
        <f>T(VLOOKUP(Tab_Calculs[[#This Row],[Compteur]],Site!$B$33:$G$40,5,FALSE))</f>
        <v/>
      </c>
      <c r="Z768" t="str">
        <f>T(VLOOKUP(Tab_Calculs[[#This Row],[Compteur]],Site!$B$33:$G$40,6,FALSE))</f>
        <v/>
      </c>
      <c r="AA768">
        <f>IFERROR(GETPIVOTDATA("DJU(chauffagiste)",BDD_DJU!$P$13,"annee",Tab_Calculs[[#This Row],[ANNEE]],"mois_numero",Tab_Calculs[[#This Row],[MOIS]]),0)</f>
        <v>0</v>
      </c>
    </row>
    <row r="769" spans="1:27" x14ac:dyDescent="0.25">
      <c r="A769" s="3">
        <f>DATE(Tab_Calculs[[#This Row],[ANNEE]],Tab_Calculs[[#This Row],[MOIS]],1)</f>
        <v>45778</v>
      </c>
      <c r="B769" s="3">
        <f>EDATE(Tab_Calculs[[#This Row],[Début mois]],1)-1</f>
        <v>45808</v>
      </c>
      <c r="C769">
        <f t="shared" si="24"/>
        <v>5</v>
      </c>
      <c r="D769">
        <f t="shared" si="27"/>
        <v>2025</v>
      </c>
      <c r="E769" t="s">
        <v>83</v>
      </c>
      <c r="F769" t="str">
        <f>SUBSTITUTE(Tab_Calculs[[#This Row],[Compteur]]," ","_")</f>
        <v>Compteur_4</v>
      </c>
      <c r="G769" t="str">
        <f>T(INDEX(Site!$B$33:$G$40, MATCH(Tab_Calculs[[#This Row],[Compteur]], Site!$B$33:$B$40,0),2))</f>
        <v/>
      </c>
      <c r="H769" s="3">
        <f t="array" aca="1" ref="H769" ca="1">MIN(IF(INDIRECT(CONCATENATE(Tab_Calculs[[#This Row],[Colonne1]],"!$B$2:$B$243"))&gt;=Calculs_Consos!$A769,INDIRECT(CONCATENATE(Tab_Calculs[[#This Row],[Colonne1]],"!$B$2:$B$243"))))</f>
        <v>0</v>
      </c>
      <c r="I769" s="3">
        <f ca="1">INDEX(INDIRECT(CONCATENATE("Tab_",Tab_Calculs[[#This Row],[Colonne1]])),Tab_Calculs[[#This Row],[index_date_livraison]],1)</f>
        <v>0</v>
      </c>
      <c r="J769">
        <f ca="1">MATCH(Tab_Calculs[[#This Row],[Date_livraison]],INDIRECT(CONCATENATE("Tab_",Tab_Calculs[[#This Row],[Colonne1]],"[Fin de période]")),0)</f>
        <v>1</v>
      </c>
      <c r="K769" t="e">
        <f ca="1">INDEX(INDIRECT(CONCATENATE("Tab_",Tab_Calculs[[#This Row],[Colonne1]])),Tab_Calculs[[#This Row],[index_date_livraison]]-1,6)*(MAX(Tab_Calculs[[#This Row],[Début periode livraison]],Tab_Calculs[[#This Row],[Début mois]])-Tab_Calculs[[#This Row],[Début mois]])</f>
        <v>#VALUE!</v>
      </c>
      <c r="L769" s="94">
        <f ca="1">INDEX(INDIRECT(CONCATENATE("Tab_",Tab_Calculs[[#This Row],[Colonne1]])),Tab_Calculs[[#This Row],[index_date_livraison]],6)*(1+MIN(Tab_Calculs[[#This Row],[Date_livraison]],Tab_Calculs[[#This Row],[fin mois]])-MAX(Tab_Calculs[[#This Row],[Début mois]],Tab_Calculs[[#This Row],[Début periode livraison]]))</f>
        <v>0</v>
      </c>
      <c r="M769" s="94" t="e">
        <f ca="1">INDEX(INDIRECT(CONCATENATE("Tab_",Tab_Calculs[[#This Row],[Colonne1]])),Tab_Calculs[[#This Row],[index_date_livraison]]+1,6)*(Tab_Calculs[[#This Row],[fin mois]]-MIN(Tab_Calculs[[#This Row],[fin mois]],Tab_Calculs[[#This Row],[Date_livraison]]))</f>
        <v>#VALUE!</v>
      </c>
      <c r="N769" s="231" t="str">
        <f ca="1">IFERROR(Tab_Calculs[[#This Row],[Ratio_jour_après_livr]]+Tab_Calculs[[#This Row],[Ratio_jour_avant_livr]]+Tab_Calculs[[#This Row],[ratio_avant_debut]],"")</f>
        <v/>
      </c>
      <c r="O769" t="e">
        <f ca="1">INDEX(INDIRECT(CONCATENATE("Tab_",Tab_Calculs[[#This Row],[Colonne1]])),Tab_Calculs[[#This Row],[index_date_livraison]]-1,7)*(MAX(Tab_Calculs[[#This Row],[Début periode livraison]],Tab_Calculs[[#This Row],[Début mois]])-Tab_Calculs[[#This Row],[Début mois]])</f>
        <v>#VALUE!</v>
      </c>
      <c r="P769">
        <f ca="1">INDEX(INDIRECT(CONCATENATE("Tab_",Tab_Calculs[[#This Row],[Colonne1]])),Tab_Calculs[[#This Row],[index_date_livraison]],7)*(1+MIN(Tab_Calculs[[#This Row],[Date_livraison]],Tab_Calculs[[#This Row],[fin mois]])-MAX(Tab_Calculs[[#This Row],[Début mois]],Tab_Calculs[[#This Row],[Début periode livraison]]))</f>
        <v>0</v>
      </c>
      <c r="Q769" t="e">
        <f ca="1">INDEX(INDIRECT(CONCATENATE("Tab_",Tab_Calculs[[#This Row],[Colonne1]])),Tab_Calculs[[#This Row],[index_date_livraison]]+1,7)*(Tab_Calculs[[#This Row],[fin mois]]-MIN(Tab_Calculs[[#This Row],[fin mois]],Tab_Calculs[[#This Row],[Date_livraison]]))</f>
        <v>#VALUE!</v>
      </c>
      <c r="R769" t="e">
        <f ca="1">Tab_Calculs[[#This Row],[Ratio_Cout_après_livr]]+Tab_Calculs[[#This Row],[Ratio_Cout_avant_livr]]+Tab_Calculs[[#This Row],[Ratio_Cout_avant_debut]]</f>
        <v>#VALUE!</v>
      </c>
      <c r="S769" t="str">
        <f ca="1">IFERROR(N769*VLOOKUP(Tab_Calculs[[#This Row],[Colonne1]],Controle_des_données!$B$7:$G$14,6,FALSE),"")</f>
        <v/>
      </c>
      <c r="T769" t="str">
        <f ca="1">IF(Tab_Calculs[[#This Row],[Combustible ]]="Electricité (kWh)",Tab_Calculs[[#This Row],[Conso_mois_kWh]]*2.3,Tab_Calculs[[#This Row],[Conso_mois_kWh]])</f>
        <v/>
      </c>
      <c r="U769" t="str">
        <f ca="1">IFERROR(N769*VLOOKUP(Tab_Calculs[[#This Row],[Colonne1]],Controle_des_données!$B$7:$H$14,7,FALSE),"")</f>
        <v/>
      </c>
      <c r="V769">
        <f ca="1">IFERROR(Tab_Calculs[[#This Row],[Cout_mois]]/Tab_Calculs[[#This Row],[Conso_mois_kWh]],0)</f>
        <v>0</v>
      </c>
      <c r="W769" t="str">
        <f>T(VLOOKUP(Tab_Calculs[[#This Row],[Compteur]],Site!$B$33:$G$40,3,FALSE))</f>
        <v/>
      </c>
      <c r="X769" t="str">
        <f>T(VLOOKUP(Tab_Calculs[[#This Row],[Compteur]],Site!$B$33:$G$40,4,FALSE))</f>
        <v/>
      </c>
      <c r="Y769" t="str">
        <f>T(VLOOKUP(Tab_Calculs[[#This Row],[Compteur]],Site!$B$33:$G$40,5,FALSE))</f>
        <v/>
      </c>
      <c r="Z769" t="str">
        <f>T(VLOOKUP(Tab_Calculs[[#This Row],[Compteur]],Site!$B$33:$G$40,6,FALSE))</f>
        <v/>
      </c>
      <c r="AA769">
        <f>IFERROR(GETPIVOTDATA("DJU(chauffagiste)",BDD_DJU!$P$13,"annee",Tab_Calculs[[#This Row],[ANNEE]],"mois_numero",Tab_Calculs[[#This Row],[MOIS]]),0)</f>
        <v>0</v>
      </c>
    </row>
    <row r="770" spans="1:27" x14ac:dyDescent="0.25">
      <c r="A770" s="3">
        <f>DATE(Tab_Calculs[[#This Row],[ANNEE]],Tab_Calculs[[#This Row],[MOIS]],1)</f>
        <v>45809</v>
      </c>
      <c r="B770" s="3">
        <f>EDATE(Tab_Calculs[[#This Row],[Début mois]],1)-1</f>
        <v>45838</v>
      </c>
      <c r="C770">
        <f t="shared" si="24"/>
        <v>6</v>
      </c>
      <c r="D770">
        <f t="shared" si="27"/>
        <v>2025</v>
      </c>
      <c r="E770" t="s">
        <v>83</v>
      </c>
      <c r="F770" t="str">
        <f>SUBSTITUTE(Tab_Calculs[[#This Row],[Compteur]]," ","_")</f>
        <v>Compteur_4</v>
      </c>
      <c r="G770" t="str">
        <f>T(INDEX(Site!$B$33:$G$40, MATCH(Tab_Calculs[[#This Row],[Compteur]], Site!$B$33:$B$40,0),2))</f>
        <v/>
      </c>
      <c r="H770" s="3">
        <f t="array" aca="1" ref="H770" ca="1">MIN(IF(INDIRECT(CONCATENATE(Tab_Calculs[[#This Row],[Colonne1]],"!$B$2:$B$243"))&gt;=Calculs_Consos!$A770,INDIRECT(CONCATENATE(Tab_Calculs[[#This Row],[Colonne1]],"!$B$2:$B$243"))))</f>
        <v>0</v>
      </c>
      <c r="I770" s="3">
        <f ca="1">INDEX(INDIRECT(CONCATENATE("Tab_",Tab_Calculs[[#This Row],[Colonne1]])),Tab_Calculs[[#This Row],[index_date_livraison]],1)</f>
        <v>0</v>
      </c>
      <c r="J770">
        <f ca="1">MATCH(Tab_Calculs[[#This Row],[Date_livraison]],INDIRECT(CONCATENATE("Tab_",Tab_Calculs[[#This Row],[Colonne1]],"[Fin de période]")),0)</f>
        <v>1</v>
      </c>
      <c r="K770" t="e">
        <f ca="1">INDEX(INDIRECT(CONCATENATE("Tab_",Tab_Calculs[[#This Row],[Colonne1]])),Tab_Calculs[[#This Row],[index_date_livraison]]-1,6)*(MAX(Tab_Calculs[[#This Row],[Début periode livraison]],Tab_Calculs[[#This Row],[Début mois]])-Tab_Calculs[[#This Row],[Début mois]])</f>
        <v>#VALUE!</v>
      </c>
      <c r="L770" s="94">
        <f ca="1">INDEX(INDIRECT(CONCATENATE("Tab_",Tab_Calculs[[#This Row],[Colonne1]])),Tab_Calculs[[#This Row],[index_date_livraison]],6)*(1+MIN(Tab_Calculs[[#This Row],[Date_livraison]],Tab_Calculs[[#This Row],[fin mois]])-MAX(Tab_Calculs[[#This Row],[Début mois]],Tab_Calculs[[#This Row],[Début periode livraison]]))</f>
        <v>0</v>
      </c>
      <c r="M770" s="94" t="e">
        <f ca="1">INDEX(INDIRECT(CONCATENATE("Tab_",Tab_Calculs[[#This Row],[Colonne1]])),Tab_Calculs[[#This Row],[index_date_livraison]]+1,6)*(Tab_Calculs[[#This Row],[fin mois]]-MIN(Tab_Calculs[[#This Row],[fin mois]],Tab_Calculs[[#This Row],[Date_livraison]]))</f>
        <v>#VALUE!</v>
      </c>
      <c r="N770" s="231" t="str">
        <f ca="1">IFERROR(Tab_Calculs[[#This Row],[Ratio_jour_après_livr]]+Tab_Calculs[[#This Row],[Ratio_jour_avant_livr]]+Tab_Calculs[[#This Row],[ratio_avant_debut]],"")</f>
        <v/>
      </c>
      <c r="O770" t="e">
        <f ca="1">INDEX(INDIRECT(CONCATENATE("Tab_",Tab_Calculs[[#This Row],[Colonne1]])),Tab_Calculs[[#This Row],[index_date_livraison]]-1,7)*(MAX(Tab_Calculs[[#This Row],[Début periode livraison]],Tab_Calculs[[#This Row],[Début mois]])-Tab_Calculs[[#This Row],[Début mois]])</f>
        <v>#VALUE!</v>
      </c>
      <c r="P770">
        <f ca="1">INDEX(INDIRECT(CONCATENATE("Tab_",Tab_Calculs[[#This Row],[Colonne1]])),Tab_Calculs[[#This Row],[index_date_livraison]],7)*(1+MIN(Tab_Calculs[[#This Row],[Date_livraison]],Tab_Calculs[[#This Row],[fin mois]])-MAX(Tab_Calculs[[#This Row],[Début mois]],Tab_Calculs[[#This Row],[Début periode livraison]]))</f>
        <v>0</v>
      </c>
      <c r="Q770" t="e">
        <f ca="1">INDEX(INDIRECT(CONCATENATE("Tab_",Tab_Calculs[[#This Row],[Colonne1]])),Tab_Calculs[[#This Row],[index_date_livraison]]+1,7)*(Tab_Calculs[[#This Row],[fin mois]]-MIN(Tab_Calculs[[#This Row],[fin mois]],Tab_Calculs[[#This Row],[Date_livraison]]))</f>
        <v>#VALUE!</v>
      </c>
      <c r="R770" t="e">
        <f ca="1">Tab_Calculs[[#This Row],[Ratio_Cout_après_livr]]+Tab_Calculs[[#This Row],[Ratio_Cout_avant_livr]]+Tab_Calculs[[#This Row],[Ratio_Cout_avant_debut]]</f>
        <v>#VALUE!</v>
      </c>
      <c r="S770" t="str">
        <f ca="1">IFERROR(N770*VLOOKUP(Tab_Calculs[[#This Row],[Colonne1]],Controle_des_données!$B$7:$G$14,6,FALSE),"")</f>
        <v/>
      </c>
      <c r="T770" t="str">
        <f ca="1">IF(Tab_Calculs[[#This Row],[Combustible ]]="Electricité (kWh)",Tab_Calculs[[#This Row],[Conso_mois_kWh]]*2.3,Tab_Calculs[[#This Row],[Conso_mois_kWh]])</f>
        <v/>
      </c>
      <c r="U770" t="str">
        <f ca="1">IFERROR(N770*VLOOKUP(Tab_Calculs[[#This Row],[Colonne1]],Controle_des_données!$B$7:$H$14,7,FALSE),"")</f>
        <v/>
      </c>
      <c r="V770">
        <f ca="1">IFERROR(Tab_Calculs[[#This Row],[Cout_mois]]/Tab_Calculs[[#This Row],[Conso_mois_kWh]],0)</f>
        <v>0</v>
      </c>
      <c r="W770" t="str">
        <f>T(VLOOKUP(Tab_Calculs[[#This Row],[Compteur]],Site!$B$33:$G$40,3,FALSE))</f>
        <v/>
      </c>
      <c r="X770" t="str">
        <f>T(VLOOKUP(Tab_Calculs[[#This Row],[Compteur]],Site!$B$33:$G$40,4,FALSE))</f>
        <v/>
      </c>
      <c r="Y770" t="str">
        <f>T(VLOOKUP(Tab_Calculs[[#This Row],[Compteur]],Site!$B$33:$G$40,5,FALSE))</f>
        <v/>
      </c>
      <c r="Z770" t="str">
        <f>T(VLOOKUP(Tab_Calculs[[#This Row],[Compteur]],Site!$B$33:$G$40,6,FALSE))</f>
        <v/>
      </c>
      <c r="AA770">
        <f>IFERROR(GETPIVOTDATA("DJU(chauffagiste)",BDD_DJU!$P$13,"annee",Tab_Calculs[[#This Row],[ANNEE]],"mois_numero",Tab_Calculs[[#This Row],[MOIS]]),0)</f>
        <v>0</v>
      </c>
    </row>
    <row r="771" spans="1:27" x14ac:dyDescent="0.25">
      <c r="A771" s="3">
        <f>DATE(Tab_Calculs[[#This Row],[ANNEE]],Tab_Calculs[[#This Row],[MOIS]],1)</f>
        <v>45839</v>
      </c>
      <c r="B771" s="3">
        <f>EDATE(Tab_Calculs[[#This Row],[Début mois]],1)-1</f>
        <v>45869</v>
      </c>
      <c r="C771">
        <f t="shared" si="24"/>
        <v>7</v>
      </c>
      <c r="D771">
        <f t="shared" si="27"/>
        <v>2025</v>
      </c>
      <c r="E771" t="s">
        <v>83</v>
      </c>
      <c r="F771" t="str">
        <f>SUBSTITUTE(Tab_Calculs[[#This Row],[Compteur]]," ","_")</f>
        <v>Compteur_4</v>
      </c>
      <c r="G771" t="str">
        <f>T(INDEX(Site!$B$33:$G$40, MATCH(Tab_Calculs[[#This Row],[Compteur]], Site!$B$33:$B$40,0),2))</f>
        <v/>
      </c>
      <c r="H771" s="3">
        <f t="array" aca="1" ref="H771" ca="1">MIN(IF(INDIRECT(CONCATENATE(Tab_Calculs[[#This Row],[Colonne1]],"!$B$2:$B$243"))&gt;=Calculs_Consos!$A771,INDIRECT(CONCATENATE(Tab_Calculs[[#This Row],[Colonne1]],"!$B$2:$B$243"))))</f>
        <v>0</v>
      </c>
      <c r="I771" s="3">
        <f ca="1">INDEX(INDIRECT(CONCATENATE("Tab_",Tab_Calculs[[#This Row],[Colonne1]])),Tab_Calculs[[#This Row],[index_date_livraison]],1)</f>
        <v>0</v>
      </c>
      <c r="J771">
        <f ca="1">MATCH(Tab_Calculs[[#This Row],[Date_livraison]],INDIRECT(CONCATENATE("Tab_",Tab_Calculs[[#This Row],[Colonne1]],"[Fin de période]")),0)</f>
        <v>1</v>
      </c>
      <c r="K771" t="e">
        <f ca="1">INDEX(INDIRECT(CONCATENATE("Tab_",Tab_Calculs[[#This Row],[Colonne1]])),Tab_Calculs[[#This Row],[index_date_livraison]]-1,6)*(MAX(Tab_Calculs[[#This Row],[Début periode livraison]],Tab_Calculs[[#This Row],[Début mois]])-Tab_Calculs[[#This Row],[Début mois]])</f>
        <v>#VALUE!</v>
      </c>
      <c r="L771" s="94">
        <f ca="1">INDEX(INDIRECT(CONCATENATE("Tab_",Tab_Calculs[[#This Row],[Colonne1]])),Tab_Calculs[[#This Row],[index_date_livraison]],6)*(1+MIN(Tab_Calculs[[#This Row],[Date_livraison]],Tab_Calculs[[#This Row],[fin mois]])-MAX(Tab_Calculs[[#This Row],[Début mois]],Tab_Calculs[[#This Row],[Début periode livraison]]))</f>
        <v>0</v>
      </c>
      <c r="M771" s="94" t="e">
        <f ca="1">INDEX(INDIRECT(CONCATENATE("Tab_",Tab_Calculs[[#This Row],[Colonne1]])),Tab_Calculs[[#This Row],[index_date_livraison]]+1,6)*(Tab_Calculs[[#This Row],[fin mois]]-MIN(Tab_Calculs[[#This Row],[fin mois]],Tab_Calculs[[#This Row],[Date_livraison]]))</f>
        <v>#VALUE!</v>
      </c>
      <c r="N771" s="231" t="str">
        <f ca="1">IFERROR(Tab_Calculs[[#This Row],[Ratio_jour_après_livr]]+Tab_Calculs[[#This Row],[Ratio_jour_avant_livr]]+Tab_Calculs[[#This Row],[ratio_avant_debut]],"")</f>
        <v/>
      </c>
      <c r="O771" t="e">
        <f ca="1">INDEX(INDIRECT(CONCATENATE("Tab_",Tab_Calculs[[#This Row],[Colonne1]])),Tab_Calculs[[#This Row],[index_date_livraison]]-1,7)*(MAX(Tab_Calculs[[#This Row],[Début periode livraison]],Tab_Calculs[[#This Row],[Début mois]])-Tab_Calculs[[#This Row],[Début mois]])</f>
        <v>#VALUE!</v>
      </c>
      <c r="P771">
        <f ca="1">INDEX(INDIRECT(CONCATENATE("Tab_",Tab_Calculs[[#This Row],[Colonne1]])),Tab_Calculs[[#This Row],[index_date_livraison]],7)*(1+MIN(Tab_Calculs[[#This Row],[Date_livraison]],Tab_Calculs[[#This Row],[fin mois]])-MAX(Tab_Calculs[[#This Row],[Début mois]],Tab_Calculs[[#This Row],[Début periode livraison]]))</f>
        <v>0</v>
      </c>
      <c r="Q771" t="e">
        <f ca="1">INDEX(INDIRECT(CONCATENATE("Tab_",Tab_Calculs[[#This Row],[Colonne1]])),Tab_Calculs[[#This Row],[index_date_livraison]]+1,7)*(Tab_Calculs[[#This Row],[fin mois]]-MIN(Tab_Calculs[[#This Row],[fin mois]],Tab_Calculs[[#This Row],[Date_livraison]]))</f>
        <v>#VALUE!</v>
      </c>
      <c r="R771" t="e">
        <f ca="1">Tab_Calculs[[#This Row],[Ratio_Cout_après_livr]]+Tab_Calculs[[#This Row],[Ratio_Cout_avant_livr]]+Tab_Calculs[[#This Row],[Ratio_Cout_avant_debut]]</f>
        <v>#VALUE!</v>
      </c>
      <c r="S771" t="str">
        <f ca="1">IFERROR(N771*VLOOKUP(Tab_Calculs[[#This Row],[Colonne1]],Controle_des_données!$B$7:$G$14,6,FALSE),"")</f>
        <v/>
      </c>
      <c r="T771" t="str">
        <f ca="1">IF(Tab_Calculs[[#This Row],[Combustible ]]="Electricité (kWh)",Tab_Calculs[[#This Row],[Conso_mois_kWh]]*2.3,Tab_Calculs[[#This Row],[Conso_mois_kWh]])</f>
        <v/>
      </c>
      <c r="U771" t="str">
        <f ca="1">IFERROR(N771*VLOOKUP(Tab_Calculs[[#This Row],[Colonne1]],Controle_des_données!$B$7:$H$14,7,FALSE),"")</f>
        <v/>
      </c>
      <c r="V771">
        <f ca="1">IFERROR(Tab_Calculs[[#This Row],[Cout_mois]]/Tab_Calculs[[#This Row],[Conso_mois_kWh]],0)</f>
        <v>0</v>
      </c>
      <c r="W771" t="str">
        <f>T(VLOOKUP(Tab_Calculs[[#This Row],[Compteur]],Site!$B$33:$G$40,3,FALSE))</f>
        <v/>
      </c>
      <c r="X771" t="str">
        <f>T(VLOOKUP(Tab_Calculs[[#This Row],[Compteur]],Site!$B$33:$G$40,4,FALSE))</f>
        <v/>
      </c>
      <c r="Y771" t="str">
        <f>T(VLOOKUP(Tab_Calculs[[#This Row],[Compteur]],Site!$B$33:$G$40,5,FALSE))</f>
        <v/>
      </c>
      <c r="Z771" t="str">
        <f>T(VLOOKUP(Tab_Calculs[[#This Row],[Compteur]],Site!$B$33:$G$40,6,FALSE))</f>
        <v/>
      </c>
      <c r="AA771">
        <f>IFERROR(GETPIVOTDATA("DJU(chauffagiste)",BDD_DJU!$P$13,"annee",Tab_Calculs[[#This Row],[ANNEE]],"mois_numero",Tab_Calculs[[#This Row],[MOIS]]),0)</f>
        <v>0</v>
      </c>
    </row>
    <row r="772" spans="1:27" x14ac:dyDescent="0.25">
      <c r="A772" s="3">
        <f>DATE(Tab_Calculs[[#This Row],[ANNEE]],Tab_Calculs[[#This Row],[MOIS]],1)</f>
        <v>45870</v>
      </c>
      <c r="B772" s="3">
        <f>EDATE(Tab_Calculs[[#This Row],[Début mois]],1)-1</f>
        <v>45900</v>
      </c>
      <c r="C772">
        <f t="shared" si="24"/>
        <v>8</v>
      </c>
      <c r="D772">
        <f t="shared" si="27"/>
        <v>2025</v>
      </c>
      <c r="E772" t="s">
        <v>83</v>
      </c>
      <c r="F772" t="str">
        <f>SUBSTITUTE(Tab_Calculs[[#This Row],[Compteur]]," ","_")</f>
        <v>Compteur_4</v>
      </c>
      <c r="G772" t="str">
        <f>T(INDEX(Site!$B$33:$G$40, MATCH(Tab_Calculs[[#This Row],[Compteur]], Site!$B$33:$B$40,0),2))</f>
        <v/>
      </c>
      <c r="H772" s="3">
        <f t="array" aca="1" ref="H772" ca="1">MIN(IF(INDIRECT(CONCATENATE(Tab_Calculs[[#This Row],[Colonne1]],"!$B$2:$B$243"))&gt;=Calculs_Consos!$A772,INDIRECT(CONCATENATE(Tab_Calculs[[#This Row],[Colonne1]],"!$B$2:$B$243"))))</f>
        <v>0</v>
      </c>
      <c r="I772" s="3">
        <f ca="1">INDEX(INDIRECT(CONCATENATE("Tab_",Tab_Calculs[[#This Row],[Colonne1]])),Tab_Calculs[[#This Row],[index_date_livraison]],1)</f>
        <v>0</v>
      </c>
      <c r="J772">
        <f ca="1">MATCH(Tab_Calculs[[#This Row],[Date_livraison]],INDIRECT(CONCATENATE("Tab_",Tab_Calculs[[#This Row],[Colonne1]],"[Fin de période]")),0)</f>
        <v>1</v>
      </c>
      <c r="K772" t="e">
        <f ca="1">INDEX(INDIRECT(CONCATENATE("Tab_",Tab_Calculs[[#This Row],[Colonne1]])),Tab_Calculs[[#This Row],[index_date_livraison]]-1,6)*(MAX(Tab_Calculs[[#This Row],[Début periode livraison]],Tab_Calculs[[#This Row],[Début mois]])-Tab_Calculs[[#This Row],[Début mois]])</f>
        <v>#VALUE!</v>
      </c>
      <c r="L772" s="94">
        <f ca="1">INDEX(INDIRECT(CONCATENATE("Tab_",Tab_Calculs[[#This Row],[Colonne1]])),Tab_Calculs[[#This Row],[index_date_livraison]],6)*(1+MIN(Tab_Calculs[[#This Row],[Date_livraison]],Tab_Calculs[[#This Row],[fin mois]])-MAX(Tab_Calculs[[#This Row],[Début mois]],Tab_Calculs[[#This Row],[Début periode livraison]]))</f>
        <v>0</v>
      </c>
      <c r="M772" s="94" t="e">
        <f ca="1">INDEX(INDIRECT(CONCATENATE("Tab_",Tab_Calculs[[#This Row],[Colonne1]])),Tab_Calculs[[#This Row],[index_date_livraison]]+1,6)*(Tab_Calculs[[#This Row],[fin mois]]-MIN(Tab_Calculs[[#This Row],[fin mois]],Tab_Calculs[[#This Row],[Date_livraison]]))</f>
        <v>#VALUE!</v>
      </c>
      <c r="N772" s="231" t="str">
        <f ca="1">IFERROR(Tab_Calculs[[#This Row],[Ratio_jour_après_livr]]+Tab_Calculs[[#This Row],[Ratio_jour_avant_livr]]+Tab_Calculs[[#This Row],[ratio_avant_debut]],"")</f>
        <v/>
      </c>
      <c r="O772" t="e">
        <f ca="1">INDEX(INDIRECT(CONCATENATE("Tab_",Tab_Calculs[[#This Row],[Colonne1]])),Tab_Calculs[[#This Row],[index_date_livraison]]-1,7)*(MAX(Tab_Calculs[[#This Row],[Début periode livraison]],Tab_Calculs[[#This Row],[Début mois]])-Tab_Calculs[[#This Row],[Début mois]])</f>
        <v>#VALUE!</v>
      </c>
      <c r="P772">
        <f ca="1">INDEX(INDIRECT(CONCATENATE("Tab_",Tab_Calculs[[#This Row],[Colonne1]])),Tab_Calculs[[#This Row],[index_date_livraison]],7)*(1+MIN(Tab_Calculs[[#This Row],[Date_livraison]],Tab_Calculs[[#This Row],[fin mois]])-MAX(Tab_Calculs[[#This Row],[Début mois]],Tab_Calculs[[#This Row],[Début periode livraison]]))</f>
        <v>0</v>
      </c>
      <c r="Q772" t="e">
        <f ca="1">INDEX(INDIRECT(CONCATENATE("Tab_",Tab_Calculs[[#This Row],[Colonne1]])),Tab_Calculs[[#This Row],[index_date_livraison]]+1,7)*(Tab_Calculs[[#This Row],[fin mois]]-MIN(Tab_Calculs[[#This Row],[fin mois]],Tab_Calculs[[#This Row],[Date_livraison]]))</f>
        <v>#VALUE!</v>
      </c>
      <c r="R772" t="e">
        <f ca="1">Tab_Calculs[[#This Row],[Ratio_Cout_après_livr]]+Tab_Calculs[[#This Row],[Ratio_Cout_avant_livr]]+Tab_Calculs[[#This Row],[Ratio_Cout_avant_debut]]</f>
        <v>#VALUE!</v>
      </c>
      <c r="S772" t="str">
        <f ca="1">IFERROR(N772*VLOOKUP(Tab_Calculs[[#This Row],[Colonne1]],Controle_des_données!$B$7:$G$14,6,FALSE),"")</f>
        <v/>
      </c>
      <c r="T772" t="str">
        <f ca="1">IF(Tab_Calculs[[#This Row],[Combustible ]]="Electricité (kWh)",Tab_Calculs[[#This Row],[Conso_mois_kWh]]*2.3,Tab_Calculs[[#This Row],[Conso_mois_kWh]])</f>
        <v/>
      </c>
      <c r="U772" t="str">
        <f ca="1">IFERROR(N772*VLOOKUP(Tab_Calculs[[#This Row],[Colonne1]],Controle_des_données!$B$7:$H$14,7,FALSE),"")</f>
        <v/>
      </c>
      <c r="V772">
        <f ca="1">IFERROR(Tab_Calculs[[#This Row],[Cout_mois]]/Tab_Calculs[[#This Row],[Conso_mois_kWh]],0)</f>
        <v>0</v>
      </c>
      <c r="W772" t="str">
        <f>T(VLOOKUP(Tab_Calculs[[#This Row],[Compteur]],Site!$B$33:$G$40,3,FALSE))</f>
        <v/>
      </c>
      <c r="X772" t="str">
        <f>T(VLOOKUP(Tab_Calculs[[#This Row],[Compteur]],Site!$B$33:$G$40,4,FALSE))</f>
        <v/>
      </c>
      <c r="Y772" t="str">
        <f>T(VLOOKUP(Tab_Calculs[[#This Row],[Compteur]],Site!$B$33:$G$40,5,FALSE))</f>
        <v/>
      </c>
      <c r="Z772" t="str">
        <f>T(VLOOKUP(Tab_Calculs[[#This Row],[Compteur]],Site!$B$33:$G$40,6,FALSE))</f>
        <v/>
      </c>
      <c r="AA772">
        <f>IFERROR(GETPIVOTDATA("DJU(chauffagiste)",BDD_DJU!$P$13,"annee",Tab_Calculs[[#This Row],[ANNEE]],"mois_numero",Tab_Calculs[[#This Row],[MOIS]]),0)</f>
        <v>0</v>
      </c>
    </row>
    <row r="773" spans="1:27" x14ac:dyDescent="0.25">
      <c r="A773" s="3">
        <f>DATE(Tab_Calculs[[#This Row],[ANNEE]],Tab_Calculs[[#This Row],[MOIS]],1)</f>
        <v>45901</v>
      </c>
      <c r="B773" s="3">
        <f>EDATE(Tab_Calculs[[#This Row],[Début mois]],1)-1</f>
        <v>45930</v>
      </c>
      <c r="C773">
        <f t="shared" si="24"/>
        <v>9</v>
      </c>
      <c r="D773">
        <f t="shared" si="27"/>
        <v>2025</v>
      </c>
      <c r="E773" t="s">
        <v>83</v>
      </c>
      <c r="F773" t="str">
        <f>SUBSTITUTE(Tab_Calculs[[#This Row],[Compteur]]," ","_")</f>
        <v>Compteur_4</v>
      </c>
      <c r="G773" t="str">
        <f>T(INDEX(Site!$B$33:$G$40, MATCH(Tab_Calculs[[#This Row],[Compteur]], Site!$B$33:$B$40,0),2))</f>
        <v/>
      </c>
      <c r="H773" s="3">
        <f t="array" aca="1" ref="H773" ca="1">MIN(IF(INDIRECT(CONCATENATE(Tab_Calculs[[#This Row],[Colonne1]],"!$B$2:$B$243"))&gt;=Calculs_Consos!$A773,INDIRECT(CONCATENATE(Tab_Calculs[[#This Row],[Colonne1]],"!$B$2:$B$243"))))</f>
        <v>0</v>
      </c>
      <c r="I773" s="3">
        <f ca="1">INDEX(INDIRECT(CONCATENATE("Tab_",Tab_Calculs[[#This Row],[Colonne1]])),Tab_Calculs[[#This Row],[index_date_livraison]],1)</f>
        <v>0</v>
      </c>
      <c r="J773">
        <f ca="1">MATCH(Tab_Calculs[[#This Row],[Date_livraison]],INDIRECT(CONCATENATE("Tab_",Tab_Calculs[[#This Row],[Colonne1]],"[Fin de période]")),0)</f>
        <v>1</v>
      </c>
      <c r="K773" t="e">
        <f ca="1">INDEX(INDIRECT(CONCATENATE("Tab_",Tab_Calculs[[#This Row],[Colonne1]])),Tab_Calculs[[#This Row],[index_date_livraison]]-1,6)*(MAX(Tab_Calculs[[#This Row],[Début periode livraison]],Tab_Calculs[[#This Row],[Début mois]])-Tab_Calculs[[#This Row],[Début mois]])</f>
        <v>#VALUE!</v>
      </c>
      <c r="L773" s="94">
        <f ca="1">INDEX(INDIRECT(CONCATENATE("Tab_",Tab_Calculs[[#This Row],[Colonne1]])),Tab_Calculs[[#This Row],[index_date_livraison]],6)*(1+MIN(Tab_Calculs[[#This Row],[Date_livraison]],Tab_Calculs[[#This Row],[fin mois]])-MAX(Tab_Calculs[[#This Row],[Début mois]],Tab_Calculs[[#This Row],[Début periode livraison]]))</f>
        <v>0</v>
      </c>
      <c r="M773" s="94" t="e">
        <f ca="1">INDEX(INDIRECT(CONCATENATE("Tab_",Tab_Calculs[[#This Row],[Colonne1]])),Tab_Calculs[[#This Row],[index_date_livraison]]+1,6)*(Tab_Calculs[[#This Row],[fin mois]]-MIN(Tab_Calculs[[#This Row],[fin mois]],Tab_Calculs[[#This Row],[Date_livraison]]))</f>
        <v>#VALUE!</v>
      </c>
      <c r="N773" s="231" t="str">
        <f ca="1">IFERROR(Tab_Calculs[[#This Row],[Ratio_jour_après_livr]]+Tab_Calculs[[#This Row],[Ratio_jour_avant_livr]]+Tab_Calculs[[#This Row],[ratio_avant_debut]],"")</f>
        <v/>
      </c>
      <c r="O773" t="e">
        <f ca="1">INDEX(INDIRECT(CONCATENATE("Tab_",Tab_Calculs[[#This Row],[Colonne1]])),Tab_Calculs[[#This Row],[index_date_livraison]]-1,7)*(MAX(Tab_Calculs[[#This Row],[Début periode livraison]],Tab_Calculs[[#This Row],[Début mois]])-Tab_Calculs[[#This Row],[Début mois]])</f>
        <v>#VALUE!</v>
      </c>
      <c r="P773">
        <f ca="1">INDEX(INDIRECT(CONCATENATE("Tab_",Tab_Calculs[[#This Row],[Colonne1]])),Tab_Calculs[[#This Row],[index_date_livraison]],7)*(1+MIN(Tab_Calculs[[#This Row],[Date_livraison]],Tab_Calculs[[#This Row],[fin mois]])-MAX(Tab_Calculs[[#This Row],[Début mois]],Tab_Calculs[[#This Row],[Début periode livraison]]))</f>
        <v>0</v>
      </c>
      <c r="Q773" t="e">
        <f ca="1">INDEX(INDIRECT(CONCATENATE("Tab_",Tab_Calculs[[#This Row],[Colonne1]])),Tab_Calculs[[#This Row],[index_date_livraison]]+1,7)*(Tab_Calculs[[#This Row],[fin mois]]-MIN(Tab_Calculs[[#This Row],[fin mois]],Tab_Calculs[[#This Row],[Date_livraison]]))</f>
        <v>#VALUE!</v>
      </c>
      <c r="R773" t="e">
        <f ca="1">Tab_Calculs[[#This Row],[Ratio_Cout_après_livr]]+Tab_Calculs[[#This Row],[Ratio_Cout_avant_livr]]+Tab_Calculs[[#This Row],[Ratio_Cout_avant_debut]]</f>
        <v>#VALUE!</v>
      </c>
      <c r="S773" t="str">
        <f ca="1">IFERROR(N773*VLOOKUP(Tab_Calculs[[#This Row],[Colonne1]],Controle_des_données!$B$7:$G$14,6,FALSE),"")</f>
        <v/>
      </c>
      <c r="T773" t="str">
        <f ca="1">IF(Tab_Calculs[[#This Row],[Combustible ]]="Electricité (kWh)",Tab_Calculs[[#This Row],[Conso_mois_kWh]]*2.3,Tab_Calculs[[#This Row],[Conso_mois_kWh]])</f>
        <v/>
      </c>
      <c r="U773" t="str">
        <f ca="1">IFERROR(N773*VLOOKUP(Tab_Calculs[[#This Row],[Colonne1]],Controle_des_données!$B$7:$H$14,7,FALSE),"")</f>
        <v/>
      </c>
      <c r="V773">
        <f ca="1">IFERROR(Tab_Calculs[[#This Row],[Cout_mois]]/Tab_Calculs[[#This Row],[Conso_mois_kWh]],0)</f>
        <v>0</v>
      </c>
      <c r="W773" t="str">
        <f>T(VLOOKUP(Tab_Calculs[[#This Row],[Compteur]],Site!$B$33:$G$40,3,FALSE))</f>
        <v/>
      </c>
      <c r="X773" t="str">
        <f>T(VLOOKUP(Tab_Calculs[[#This Row],[Compteur]],Site!$B$33:$G$40,4,FALSE))</f>
        <v/>
      </c>
      <c r="Y773" t="str">
        <f>T(VLOOKUP(Tab_Calculs[[#This Row],[Compteur]],Site!$B$33:$G$40,5,FALSE))</f>
        <v/>
      </c>
      <c r="Z773" t="str">
        <f>T(VLOOKUP(Tab_Calculs[[#This Row],[Compteur]],Site!$B$33:$G$40,6,FALSE))</f>
        <v/>
      </c>
      <c r="AA773">
        <f>IFERROR(GETPIVOTDATA("DJU(chauffagiste)",BDD_DJU!$P$13,"annee",Tab_Calculs[[#This Row],[ANNEE]],"mois_numero",Tab_Calculs[[#This Row],[MOIS]]),0)</f>
        <v>0</v>
      </c>
    </row>
    <row r="774" spans="1:27" x14ac:dyDescent="0.25">
      <c r="A774" s="3">
        <f>DATE(Tab_Calculs[[#This Row],[ANNEE]],Tab_Calculs[[#This Row],[MOIS]],1)</f>
        <v>45931</v>
      </c>
      <c r="B774" s="3">
        <f>EDATE(Tab_Calculs[[#This Row],[Début mois]],1)-1</f>
        <v>45961</v>
      </c>
      <c r="C774">
        <f t="shared" si="24"/>
        <v>10</v>
      </c>
      <c r="D774">
        <f t="shared" si="27"/>
        <v>2025</v>
      </c>
      <c r="E774" t="s">
        <v>83</v>
      </c>
      <c r="F774" t="str">
        <f>SUBSTITUTE(Tab_Calculs[[#This Row],[Compteur]]," ","_")</f>
        <v>Compteur_4</v>
      </c>
      <c r="G774" t="str">
        <f>T(INDEX(Site!$B$33:$G$40, MATCH(Tab_Calculs[[#This Row],[Compteur]], Site!$B$33:$B$40,0),2))</f>
        <v/>
      </c>
      <c r="H774" s="3">
        <f t="array" aca="1" ref="H774" ca="1">MIN(IF(INDIRECT(CONCATENATE(Tab_Calculs[[#This Row],[Colonne1]],"!$B$2:$B$243"))&gt;=Calculs_Consos!$A774,INDIRECT(CONCATENATE(Tab_Calculs[[#This Row],[Colonne1]],"!$B$2:$B$243"))))</f>
        <v>0</v>
      </c>
      <c r="I774" s="3">
        <f ca="1">INDEX(INDIRECT(CONCATENATE("Tab_",Tab_Calculs[[#This Row],[Colonne1]])),Tab_Calculs[[#This Row],[index_date_livraison]],1)</f>
        <v>0</v>
      </c>
      <c r="J774">
        <f ca="1">MATCH(Tab_Calculs[[#This Row],[Date_livraison]],INDIRECT(CONCATENATE("Tab_",Tab_Calculs[[#This Row],[Colonne1]],"[Fin de période]")),0)</f>
        <v>1</v>
      </c>
      <c r="K774" t="e">
        <f ca="1">INDEX(INDIRECT(CONCATENATE("Tab_",Tab_Calculs[[#This Row],[Colonne1]])),Tab_Calculs[[#This Row],[index_date_livraison]]-1,6)*(MAX(Tab_Calculs[[#This Row],[Début periode livraison]],Tab_Calculs[[#This Row],[Début mois]])-Tab_Calculs[[#This Row],[Début mois]])</f>
        <v>#VALUE!</v>
      </c>
      <c r="L774" s="94">
        <f ca="1">INDEX(INDIRECT(CONCATENATE("Tab_",Tab_Calculs[[#This Row],[Colonne1]])),Tab_Calculs[[#This Row],[index_date_livraison]],6)*(1+MIN(Tab_Calculs[[#This Row],[Date_livraison]],Tab_Calculs[[#This Row],[fin mois]])-MAX(Tab_Calculs[[#This Row],[Début mois]],Tab_Calculs[[#This Row],[Début periode livraison]]))</f>
        <v>0</v>
      </c>
      <c r="M774" s="94" t="e">
        <f ca="1">INDEX(INDIRECT(CONCATENATE("Tab_",Tab_Calculs[[#This Row],[Colonne1]])),Tab_Calculs[[#This Row],[index_date_livraison]]+1,6)*(Tab_Calculs[[#This Row],[fin mois]]-MIN(Tab_Calculs[[#This Row],[fin mois]],Tab_Calculs[[#This Row],[Date_livraison]]))</f>
        <v>#VALUE!</v>
      </c>
      <c r="N774" s="231" t="str">
        <f ca="1">IFERROR(Tab_Calculs[[#This Row],[Ratio_jour_après_livr]]+Tab_Calculs[[#This Row],[Ratio_jour_avant_livr]]+Tab_Calculs[[#This Row],[ratio_avant_debut]],"")</f>
        <v/>
      </c>
      <c r="O774" t="e">
        <f ca="1">INDEX(INDIRECT(CONCATENATE("Tab_",Tab_Calculs[[#This Row],[Colonne1]])),Tab_Calculs[[#This Row],[index_date_livraison]]-1,7)*(MAX(Tab_Calculs[[#This Row],[Début periode livraison]],Tab_Calculs[[#This Row],[Début mois]])-Tab_Calculs[[#This Row],[Début mois]])</f>
        <v>#VALUE!</v>
      </c>
      <c r="P774">
        <f ca="1">INDEX(INDIRECT(CONCATENATE("Tab_",Tab_Calculs[[#This Row],[Colonne1]])),Tab_Calculs[[#This Row],[index_date_livraison]],7)*(1+MIN(Tab_Calculs[[#This Row],[Date_livraison]],Tab_Calculs[[#This Row],[fin mois]])-MAX(Tab_Calculs[[#This Row],[Début mois]],Tab_Calculs[[#This Row],[Début periode livraison]]))</f>
        <v>0</v>
      </c>
      <c r="Q774" t="e">
        <f ca="1">INDEX(INDIRECT(CONCATENATE("Tab_",Tab_Calculs[[#This Row],[Colonne1]])),Tab_Calculs[[#This Row],[index_date_livraison]]+1,7)*(Tab_Calculs[[#This Row],[fin mois]]-MIN(Tab_Calculs[[#This Row],[fin mois]],Tab_Calculs[[#This Row],[Date_livraison]]))</f>
        <v>#VALUE!</v>
      </c>
      <c r="R774" t="e">
        <f ca="1">Tab_Calculs[[#This Row],[Ratio_Cout_après_livr]]+Tab_Calculs[[#This Row],[Ratio_Cout_avant_livr]]+Tab_Calculs[[#This Row],[Ratio_Cout_avant_debut]]</f>
        <v>#VALUE!</v>
      </c>
      <c r="S774" t="str">
        <f ca="1">IFERROR(N774*VLOOKUP(Tab_Calculs[[#This Row],[Colonne1]],Controle_des_données!$B$7:$G$14,6,FALSE),"")</f>
        <v/>
      </c>
      <c r="T774" t="str">
        <f ca="1">IF(Tab_Calculs[[#This Row],[Combustible ]]="Electricité (kWh)",Tab_Calculs[[#This Row],[Conso_mois_kWh]]*2.3,Tab_Calculs[[#This Row],[Conso_mois_kWh]])</f>
        <v/>
      </c>
      <c r="U774" t="str">
        <f ca="1">IFERROR(N774*VLOOKUP(Tab_Calculs[[#This Row],[Colonne1]],Controle_des_données!$B$7:$H$14,7,FALSE),"")</f>
        <v/>
      </c>
      <c r="V774">
        <f ca="1">IFERROR(Tab_Calculs[[#This Row],[Cout_mois]]/Tab_Calculs[[#This Row],[Conso_mois_kWh]],0)</f>
        <v>0</v>
      </c>
      <c r="W774" t="str">
        <f>T(VLOOKUP(Tab_Calculs[[#This Row],[Compteur]],Site!$B$33:$G$40,3,FALSE))</f>
        <v/>
      </c>
      <c r="X774" t="str">
        <f>T(VLOOKUP(Tab_Calculs[[#This Row],[Compteur]],Site!$B$33:$G$40,4,FALSE))</f>
        <v/>
      </c>
      <c r="Y774" t="str">
        <f>T(VLOOKUP(Tab_Calculs[[#This Row],[Compteur]],Site!$B$33:$G$40,5,FALSE))</f>
        <v/>
      </c>
      <c r="Z774" t="str">
        <f>T(VLOOKUP(Tab_Calculs[[#This Row],[Compteur]],Site!$B$33:$G$40,6,FALSE))</f>
        <v/>
      </c>
      <c r="AA774">
        <f>IFERROR(GETPIVOTDATA("DJU(chauffagiste)",BDD_DJU!$P$13,"annee",Tab_Calculs[[#This Row],[ANNEE]],"mois_numero",Tab_Calculs[[#This Row],[MOIS]]),0)</f>
        <v>0</v>
      </c>
    </row>
    <row r="775" spans="1:27" x14ac:dyDescent="0.25">
      <c r="A775" s="3">
        <f>DATE(Tab_Calculs[[#This Row],[ANNEE]],Tab_Calculs[[#This Row],[MOIS]],1)</f>
        <v>45962</v>
      </c>
      <c r="B775" s="3">
        <f>EDATE(Tab_Calculs[[#This Row],[Début mois]],1)-1</f>
        <v>45991</v>
      </c>
      <c r="C775">
        <f t="shared" si="24"/>
        <v>11</v>
      </c>
      <c r="D775">
        <f t="shared" si="27"/>
        <v>2025</v>
      </c>
      <c r="E775" t="s">
        <v>83</v>
      </c>
      <c r="F775" t="str">
        <f>SUBSTITUTE(Tab_Calculs[[#This Row],[Compteur]]," ","_")</f>
        <v>Compteur_4</v>
      </c>
      <c r="G775" t="str">
        <f>T(INDEX(Site!$B$33:$G$40, MATCH(Tab_Calculs[[#This Row],[Compteur]], Site!$B$33:$B$40,0),2))</f>
        <v/>
      </c>
      <c r="H775" s="3">
        <f t="array" aca="1" ref="H775" ca="1">MIN(IF(INDIRECT(CONCATENATE(Tab_Calculs[[#This Row],[Colonne1]],"!$B$2:$B$243"))&gt;=Calculs_Consos!$A775,INDIRECT(CONCATENATE(Tab_Calculs[[#This Row],[Colonne1]],"!$B$2:$B$243"))))</f>
        <v>0</v>
      </c>
      <c r="I775" s="3">
        <f ca="1">INDEX(INDIRECT(CONCATENATE("Tab_",Tab_Calculs[[#This Row],[Colonne1]])),Tab_Calculs[[#This Row],[index_date_livraison]],1)</f>
        <v>0</v>
      </c>
      <c r="J775">
        <f ca="1">MATCH(Tab_Calculs[[#This Row],[Date_livraison]],INDIRECT(CONCATENATE("Tab_",Tab_Calculs[[#This Row],[Colonne1]],"[Fin de période]")),0)</f>
        <v>1</v>
      </c>
      <c r="K775" t="e">
        <f ca="1">INDEX(INDIRECT(CONCATENATE("Tab_",Tab_Calculs[[#This Row],[Colonne1]])),Tab_Calculs[[#This Row],[index_date_livraison]]-1,6)*(MAX(Tab_Calculs[[#This Row],[Début periode livraison]],Tab_Calculs[[#This Row],[Début mois]])-Tab_Calculs[[#This Row],[Début mois]])</f>
        <v>#VALUE!</v>
      </c>
      <c r="L775" s="94">
        <f ca="1">INDEX(INDIRECT(CONCATENATE("Tab_",Tab_Calculs[[#This Row],[Colonne1]])),Tab_Calculs[[#This Row],[index_date_livraison]],6)*(1+MIN(Tab_Calculs[[#This Row],[Date_livraison]],Tab_Calculs[[#This Row],[fin mois]])-MAX(Tab_Calculs[[#This Row],[Début mois]],Tab_Calculs[[#This Row],[Début periode livraison]]))</f>
        <v>0</v>
      </c>
      <c r="M775" s="94" t="e">
        <f ca="1">INDEX(INDIRECT(CONCATENATE("Tab_",Tab_Calculs[[#This Row],[Colonne1]])),Tab_Calculs[[#This Row],[index_date_livraison]]+1,6)*(Tab_Calculs[[#This Row],[fin mois]]-MIN(Tab_Calculs[[#This Row],[fin mois]],Tab_Calculs[[#This Row],[Date_livraison]]))</f>
        <v>#VALUE!</v>
      </c>
      <c r="N775" s="231" t="str">
        <f ca="1">IFERROR(Tab_Calculs[[#This Row],[Ratio_jour_après_livr]]+Tab_Calculs[[#This Row],[Ratio_jour_avant_livr]]+Tab_Calculs[[#This Row],[ratio_avant_debut]],"")</f>
        <v/>
      </c>
      <c r="O775" t="e">
        <f ca="1">INDEX(INDIRECT(CONCATENATE("Tab_",Tab_Calculs[[#This Row],[Colonne1]])),Tab_Calculs[[#This Row],[index_date_livraison]]-1,7)*(MAX(Tab_Calculs[[#This Row],[Début periode livraison]],Tab_Calculs[[#This Row],[Début mois]])-Tab_Calculs[[#This Row],[Début mois]])</f>
        <v>#VALUE!</v>
      </c>
      <c r="P775">
        <f ca="1">INDEX(INDIRECT(CONCATENATE("Tab_",Tab_Calculs[[#This Row],[Colonne1]])),Tab_Calculs[[#This Row],[index_date_livraison]],7)*(1+MIN(Tab_Calculs[[#This Row],[Date_livraison]],Tab_Calculs[[#This Row],[fin mois]])-MAX(Tab_Calculs[[#This Row],[Début mois]],Tab_Calculs[[#This Row],[Début periode livraison]]))</f>
        <v>0</v>
      </c>
      <c r="Q775" t="e">
        <f ca="1">INDEX(INDIRECT(CONCATENATE("Tab_",Tab_Calculs[[#This Row],[Colonne1]])),Tab_Calculs[[#This Row],[index_date_livraison]]+1,7)*(Tab_Calculs[[#This Row],[fin mois]]-MIN(Tab_Calculs[[#This Row],[fin mois]],Tab_Calculs[[#This Row],[Date_livraison]]))</f>
        <v>#VALUE!</v>
      </c>
      <c r="R775" t="e">
        <f ca="1">Tab_Calculs[[#This Row],[Ratio_Cout_après_livr]]+Tab_Calculs[[#This Row],[Ratio_Cout_avant_livr]]+Tab_Calculs[[#This Row],[Ratio_Cout_avant_debut]]</f>
        <v>#VALUE!</v>
      </c>
      <c r="S775" t="str">
        <f ca="1">IFERROR(N775*VLOOKUP(Tab_Calculs[[#This Row],[Colonne1]],Controle_des_données!$B$7:$G$14,6,FALSE),"")</f>
        <v/>
      </c>
      <c r="T775" t="str">
        <f ca="1">IF(Tab_Calculs[[#This Row],[Combustible ]]="Electricité (kWh)",Tab_Calculs[[#This Row],[Conso_mois_kWh]]*2.3,Tab_Calculs[[#This Row],[Conso_mois_kWh]])</f>
        <v/>
      </c>
      <c r="U775" t="str">
        <f ca="1">IFERROR(N775*VLOOKUP(Tab_Calculs[[#This Row],[Colonne1]],Controle_des_données!$B$7:$H$14,7,FALSE),"")</f>
        <v/>
      </c>
      <c r="V775">
        <f ca="1">IFERROR(Tab_Calculs[[#This Row],[Cout_mois]]/Tab_Calculs[[#This Row],[Conso_mois_kWh]],0)</f>
        <v>0</v>
      </c>
      <c r="W775" t="str">
        <f>T(VLOOKUP(Tab_Calculs[[#This Row],[Compteur]],Site!$B$33:$G$40,3,FALSE))</f>
        <v/>
      </c>
      <c r="X775" t="str">
        <f>T(VLOOKUP(Tab_Calculs[[#This Row],[Compteur]],Site!$B$33:$G$40,4,FALSE))</f>
        <v/>
      </c>
      <c r="Y775" t="str">
        <f>T(VLOOKUP(Tab_Calculs[[#This Row],[Compteur]],Site!$B$33:$G$40,5,FALSE))</f>
        <v/>
      </c>
      <c r="Z775" t="str">
        <f>T(VLOOKUP(Tab_Calculs[[#This Row],[Compteur]],Site!$B$33:$G$40,6,FALSE))</f>
        <v/>
      </c>
      <c r="AA775">
        <f>IFERROR(GETPIVOTDATA("DJU(chauffagiste)",BDD_DJU!$P$13,"annee",Tab_Calculs[[#This Row],[ANNEE]],"mois_numero",Tab_Calculs[[#This Row],[MOIS]]),0)</f>
        <v>0</v>
      </c>
    </row>
    <row r="776" spans="1:27" x14ac:dyDescent="0.25">
      <c r="A776" s="3">
        <f>DATE(Tab_Calculs[[#This Row],[ANNEE]],Tab_Calculs[[#This Row],[MOIS]],1)</f>
        <v>45992</v>
      </c>
      <c r="B776" s="3">
        <f>EDATE(Tab_Calculs[[#This Row],[Début mois]],1)-1</f>
        <v>46022</v>
      </c>
      <c r="C776">
        <f t="shared" si="24"/>
        <v>12</v>
      </c>
      <c r="D776">
        <f t="shared" si="27"/>
        <v>2025</v>
      </c>
      <c r="E776" t="s">
        <v>83</v>
      </c>
      <c r="F776" t="str">
        <f>SUBSTITUTE(Tab_Calculs[[#This Row],[Compteur]]," ","_")</f>
        <v>Compteur_4</v>
      </c>
      <c r="G776" t="str">
        <f>T(INDEX(Site!$B$33:$G$40, MATCH(Tab_Calculs[[#This Row],[Compteur]], Site!$B$33:$B$40,0),2))</f>
        <v/>
      </c>
      <c r="H776" s="3">
        <f t="array" aca="1" ref="H776" ca="1">MIN(IF(INDIRECT(CONCATENATE(Tab_Calculs[[#This Row],[Colonne1]],"!$B$2:$B$243"))&gt;=Calculs_Consos!$A776,INDIRECT(CONCATENATE(Tab_Calculs[[#This Row],[Colonne1]],"!$B$2:$B$243"))))</f>
        <v>0</v>
      </c>
      <c r="I776" s="3">
        <f ca="1">INDEX(INDIRECT(CONCATENATE("Tab_",Tab_Calculs[[#This Row],[Colonne1]])),Tab_Calculs[[#This Row],[index_date_livraison]],1)</f>
        <v>0</v>
      </c>
      <c r="J776">
        <f ca="1">MATCH(Tab_Calculs[[#This Row],[Date_livraison]],INDIRECT(CONCATENATE("Tab_",Tab_Calculs[[#This Row],[Colonne1]],"[Fin de période]")),0)</f>
        <v>1</v>
      </c>
      <c r="K776" t="e">
        <f ca="1">INDEX(INDIRECT(CONCATENATE("Tab_",Tab_Calculs[[#This Row],[Colonne1]])),Tab_Calculs[[#This Row],[index_date_livraison]]-1,6)*(MAX(Tab_Calculs[[#This Row],[Début periode livraison]],Tab_Calculs[[#This Row],[Début mois]])-Tab_Calculs[[#This Row],[Début mois]])</f>
        <v>#VALUE!</v>
      </c>
      <c r="L776" s="94">
        <f ca="1">INDEX(INDIRECT(CONCATENATE("Tab_",Tab_Calculs[[#This Row],[Colonne1]])),Tab_Calculs[[#This Row],[index_date_livraison]],6)*(1+MIN(Tab_Calculs[[#This Row],[Date_livraison]],Tab_Calculs[[#This Row],[fin mois]])-MAX(Tab_Calculs[[#This Row],[Début mois]],Tab_Calculs[[#This Row],[Début periode livraison]]))</f>
        <v>0</v>
      </c>
      <c r="M776" s="94" t="e">
        <f ca="1">INDEX(INDIRECT(CONCATENATE("Tab_",Tab_Calculs[[#This Row],[Colonne1]])),Tab_Calculs[[#This Row],[index_date_livraison]]+1,6)*(Tab_Calculs[[#This Row],[fin mois]]-MIN(Tab_Calculs[[#This Row],[fin mois]],Tab_Calculs[[#This Row],[Date_livraison]]))</f>
        <v>#VALUE!</v>
      </c>
      <c r="N776" s="231" t="str">
        <f ca="1">IFERROR(Tab_Calculs[[#This Row],[Ratio_jour_après_livr]]+Tab_Calculs[[#This Row],[Ratio_jour_avant_livr]]+Tab_Calculs[[#This Row],[ratio_avant_debut]],"")</f>
        <v/>
      </c>
      <c r="O776" t="e">
        <f ca="1">INDEX(INDIRECT(CONCATENATE("Tab_",Tab_Calculs[[#This Row],[Colonne1]])),Tab_Calculs[[#This Row],[index_date_livraison]]-1,7)*(MAX(Tab_Calculs[[#This Row],[Début periode livraison]],Tab_Calculs[[#This Row],[Début mois]])-Tab_Calculs[[#This Row],[Début mois]])</f>
        <v>#VALUE!</v>
      </c>
      <c r="P776">
        <f ca="1">INDEX(INDIRECT(CONCATENATE("Tab_",Tab_Calculs[[#This Row],[Colonne1]])),Tab_Calculs[[#This Row],[index_date_livraison]],7)*(1+MIN(Tab_Calculs[[#This Row],[Date_livraison]],Tab_Calculs[[#This Row],[fin mois]])-MAX(Tab_Calculs[[#This Row],[Début mois]],Tab_Calculs[[#This Row],[Début periode livraison]]))</f>
        <v>0</v>
      </c>
      <c r="Q776" t="e">
        <f ca="1">INDEX(INDIRECT(CONCATENATE("Tab_",Tab_Calculs[[#This Row],[Colonne1]])),Tab_Calculs[[#This Row],[index_date_livraison]]+1,7)*(Tab_Calculs[[#This Row],[fin mois]]-MIN(Tab_Calculs[[#This Row],[fin mois]],Tab_Calculs[[#This Row],[Date_livraison]]))</f>
        <v>#VALUE!</v>
      </c>
      <c r="R776" t="e">
        <f ca="1">Tab_Calculs[[#This Row],[Ratio_Cout_après_livr]]+Tab_Calculs[[#This Row],[Ratio_Cout_avant_livr]]+Tab_Calculs[[#This Row],[Ratio_Cout_avant_debut]]</f>
        <v>#VALUE!</v>
      </c>
      <c r="S776" t="str">
        <f ca="1">IFERROR(N776*VLOOKUP(Tab_Calculs[[#This Row],[Colonne1]],Controle_des_données!$B$7:$G$14,6,FALSE),"")</f>
        <v/>
      </c>
      <c r="T776" t="str">
        <f ca="1">IF(Tab_Calculs[[#This Row],[Combustible ]]="Electricité (kWh)",Tab_Calculs[[#This Row],[Conso_mois_kWh]]*2.3,Tab_Calculs[[#This Row],[Conso_mois_kWh]])</f>
        <v/>
      </c>
      <c r="U776" t="str">
        <f ca="1">IFERROR(N776*VLOOKUP(Tab_Calculs[[#This Row],[Colonne1]],Controle_des_données!$B$7:$H$14,7,FALSE),"")</f>
        <v/>
      </c>
      <c r="V776">
        <f ca="1">IFERROR(Tab_Calculs[[#This Row],[Cout_mois]]/Tab_Calculs[[#This Row],[Conso_mois_kWh]],0)</f>
        <v>0</v>
      </c>
      <c r="W776" t="str">
        <f>T(VLOOKUP(Tab_Calculs[[#This Row],[Compteur]],Site!$B$33:$G$40,3,FALSE))</f>
        <v/>
      </c>
      <c r="X776" t="str">
        <f>T(VLOOKUP(Tab_Calculs[[#This Row],[Compteur]],Site!$B$33:$G$40,4,FALSE))</f>
        <v/>
      </c>
      <c r="Y776" t="str">
        <f>T(VLOOKUP(Tab_Calculs[[#This Row],[Compteur]],Site!$B$33:$G$40,5,FALSE))</f>
        <v/>
      </c>
      <c r="Z776" t="str">
        <f>T(VLOOKUP(Tab_Calculs[[#This Row],[Compteur]],Site!$B$33:$G$40,6,FALSE))</f>
        <v/>
      </c>
      <c r="AA776">
        <f>IFERROR(GETPIVOTDATA("DJU(chauffagiste)",BDD_DJU!$P$13,"annee",Tab_Calculs[[#This Row],[ANNEE]],"mois_numero",Tab_Calculs[[#This Row],[MOIS]]),0)</f>
        <v>0</v>
      </c>
    </row>
    <row r="777" spans="1:27" x14ac:dyDescent="0.25">
      <c r="A777" s="3">
        <f>DATE(Tab_Calculs[[#This Row],[ANNEE]],Tab_Calculs[[#This Row],[MOIS]],1)</f>
        <v>40179</v>
      </c>
      <c r="B777" s="3">
        <f>EDATE(Tab_Calculs[[#This Row],[Début mois]],1)-1</f>
        <v>40209</v>
      </c>
      <c r="C777">
        <v>1</v>
      </c>
      <c r="D777">
        <v>2010</v>
      </c>
      <c r="E777" t="s">
        <v>84</v>
      </c>
      <c r="F777" t="str">
        <f>SUBSTITUTE(Tab_Calculs[[#This Row],[Compteur]]," ","_")</f>
        <v>Compteur_5</v>
      </c>
      <c r="G777" t="str">
        <f>T(INDEX(Site!$B$33:$G$40, MATCH(Tab_Calculs[[#This Row],[Compteur]], Site!$B$33:$B$40,0),2))</f>
        <v/>
      </c>
      <c r="H777" s="3">
        <f t="array" aca="1" ref="H777" ca="1">MIN(IF(INDIRECT(CONCATENATE(Tab_Calculs[[#This Row],[Colonne1]],"!$B$2:$B$243"))&gt;=Calculs_Consos!$A777,INDIRECT(CONCATENATE(Tab_Calculs[[#This Row],[Colonne1]],"!$B$2:$B$243"))))</f>
        <v>0</v>
      </c>
      <c r="I777" s="3">
        <f ca="1">INDEX(INDIRECT(CONCATENATE("Tab_",Tab_Calculs[[#This Row],[Colonne1]])),Tab_Calculs[[#This Row],[index_date_livraison]],1)</f>
        <v>0</v>
      </c>
      <c r="J777">
        <f ca="1">MATCH(Tab_Calculs[[#This Row],[Date_livraison]],INDIRECT(CONCATENATE("Tab_",Tab_Calculs[[#This Row],[Colonne1]],"[Fin de période]")),0)</f>
        <v>1</v>
      </c>
      <c r="K777" t="e">
        <f ca="1">INDEX(INDIRECT(CONCATENATE("Tab_",Tab_Calculs[[#This Row],[Colonne1]])),Tab_Calculs[[#This Row],[index_date_livraison]]-1,6)*(MAX(Tab_Calculs[[#This Row],[Début periode livraison]],Tab_Calculs[[#This Row],[Début mois]])-Tab_Calculs[[#This Row],[Début mois]])</f>
        <v>#VALUE!</v>
      </c>
      <c r="L777" s="94">
        <f ca="1">INDEX(INDIRECT(CONCATENATE("Tab_",Tab_Calculs[[#This Row],[Colonne1]])),Tab_Calculs[[#This Row],[index_date_livraison]],6)*(1+MIN(Tab_Calculs[[#This Row],[Date_livraison]],Tab_Calculs[[#This Row],[fin mois]])-MAX(Tab_Calculs[[#This Row],[Début mois]],Tab_Calculs[[#This Row],[Début periode livraison]]))</f>
        <v>0</v>
      </c>
      <c r="M777" s="94" t="e">
        <f ca="1">INDEX(INDIRECT(CONCATENATE("Tab_",Tab_Calculs[[#This Row],[Colonne1]])),Tab_Calculs[[#This Row],[index_date_livraison]]+1,6)*(Tab_Calculs[[#This Row],[fin mois]]-MIN(Tab_Calculs[[#This Row],[fin mois]],Tab_Calculs[[#This Row],[Date_livraison]]))</f>
        <v>#VALUE!</v>
      </c>
      <c r="N777" s="231" t="str">
        <f ca="1">IFERROR(Tab_Calculs[[#This Row],[Ratio_jour_après_livr]]+Tab_Calculs[[#This Row],[Ratio_jour_avant_livr]]+Tab_Calculs[[#This Row],[ratio_avant_debut]],"")</f>
        <v/>
      </c>
      <c r="O777" t="e">
        <f ca="1">INDEX(INDIRECT(CONCATENATE("Tab_",Tab_Calculs[[#This Row],[Colonne1]])),Tab_Calculs[[#This Row],[index_date_livraison]]-1,7)*(MAX(Tab_Calculs[[#This Row],[Début periode livraison]],Tab_Calculs[[#This Row],[Début mois]])-Tab_Calculs[[#This Row],[Début mois]])</f>
        <v>#VALUE!</v>
      </c>
      <c r="P777">
        <f ca="1">INDEX(INDIRECT(CONCATENATE("Tab_",Tab_Calculs[[#This Row],[Colonne1]])),Tab_Calculs[[#This Row],[index_date_livraison]],7)*(1+MIN(Tab_Calculs[[#This Row],[Date_livraison]],Tab_Calculs[[#This Row],[fin mois]])-MAX(Tab_Calculs[[#This Row],[Début mois]],Tab_Calculs[[#This Row],[Début periode livraison]]))</f>
        <v>0</v>
      </c>
      <c r="Q777" t="e">
        <f ca="1">INDEX(INDIRECT(CONCATENATE("Tab_",Tab_Calculs[[#This Row],[Colonne1]])),Tab_Calculs[[#This Row],[index_date_livraison]]+1,7)*(Tab_Calculs[[#This Row],[fin mois]]-MIN(Tab_Calculs[[#This Row],[fin mois]],Tab_Calculs[[#This Row],[Date_livraison]]))</f>
        <v>#VALUE!</v>
      </c>
      <c r="R777" t="e">
        <f ca="1">Tab_Calculs[[#This Row],[Ratio_Cout_après_livr]]+Tab_Calculs[[#This Row],[Ratio_Cout_avant_livr]]+Tab_Calculs[[#This Row],[Ratio_Cout_avant_debut]]</f>
        <v>#VALUE!</v>
      </c>
      <c r="S777" t="str">
        <f ca="1">IFERROR(N777*VLOOKUP(Tab_Calculs[[#This Row],[Colonne1]],Controle_des_données!$B$7:$G$14,6,FALSE),"")</f>
        <v/>
      </c>
      <c r="T777" t="str">
        <f ca="1">IF(Tab_Calculs[[#This Row],[Combustible ]]="Electricité (kWh)",Tab_Calculs[[#This Row],[Conso_mois_kWh]]*2.3,Tab_Calculs[[#This Row],[Conso_mois_kWh]])</f>
        <v/>
      </c>
      <c r="U777" t="str">
        <f ca="1">IFERROR(N777*VLOOKUP(Tab_Calculs[[#This Row],[Colonne1]],Controle_des_données!$B$7:$H$14,7,FALSE),"")</f>
        <v/>
      </c>
      <c r="V777">
        <f ca="1">IFERROR(Tab_Calculs[[#This Row],[Cout_mois]]/Tab_Calculs[[#This Row],[Conso_mois_kWh]],0)</f>
        <v>0</v>
      </c>
      <c r="W777" t="str">
        <f>T(VLOOKUP(Tab_Calculs[[#This Row],[Compteur]],Site!$B$33:$G$40,3,FALSE))</f>
        <v/>
      </c>
      <c r="X777" t="str">
        <f>T(VLOOKUP(Tab_Calculs[[#This Row],[Compteur]],Site!$B$33:$G$40,4,FALSE))</f>
        <v/>
      </c>
      <c r="Y777" t="str">
        <f>T(VLOOKUP(Tab_Calculs[[#This Row],[Compteur]],Site!$B$33:$G$40,5,FALSE))</f>
        <v/>
      </c>
      <c r="Z777" t="str">
        <f>T(VLOOKUP(Tab_Calculs[[#This Row],[Compteur]],Site!$B$33:$G$40,6,FALSE))</f>
        <v/>
      </c>
      <c r="AA777">
        <f>IFERROR(GETPIVOTDATA("DJU(chauffagiste)",BDD_DJU!$P$13,"annee",Tab_Calculs[[#This Row],[ANNEE]],"mois_numero",Tab_Calculs[[#This Row],[MOIS]]),0)</f>
        <v>487.6</v>
      </c>
    </row>
    <row r="778" spans="1:27" x14ac:dyDescent="0.25">
      <c r="A778" s="3">
        <f>DATE(Tab_Calculs[[#This Row],[ANNEE]],Tab_Calculs[[#This Row],[MOIS]],1)</f>
        <v>40210</v>
      </c>
      <c r="B778" s="3">
        <f>EDATE(Tab_Calculs[[#This Row],[Début mois]],1)-1</f>
        <v>40237</v>
      </c>
      <c r="C778">
        <v>2</v>
      </c>
      <c r="D778">
        <v>2010</v>
      </c>
      <c r="E778" t="s">
        <v>84</v>
      </c>
      <c r="F778" t="str">
        <f>SUBSTITUTE(Tab_Calculs[[#This Row],[Compteur]]," ","_")</f>
        <v>Compteur_5</v>
      </c>
      <c r="G778" t="str">
        <f>T(INDEX(Site!$B$33:$G$40, MATCH(Tab_Calculs[[#This Row],[Compteur]], Site!$B$33:$B$40,0),2))</f>
        <v/>
      </c>
      <c r="H778" s="3">
        <f t="array" aca="1" ref="H778" ca="1">MIN(IF(INDIRECT(CONCATENATE(Tab_Calculs[[#This Row],[Colonne1]],"!$B$2:$B$243"))&gt;=Calculs_Consos!$A778,INDIRECT(CONCATENATE(Tab_Calculs[[#This Row],[Colonne1]],"!$B$2:$B$243"))))</f>
        <v>0</v>
      </c>
      <c r="I778" s="3">
        <f ca="1">INDEX(INDIRECT(CONCATENATE("Tab_",Tab_Calculs[[#This Row],[Colonne1]])),Tab_Calculs[[#This Row],[index_date_livraison]],1)</f>
        <v>0</v>
      </c>
      <c r="J778">
        <f ca="1">MATCH(Tab_Calculs[[#This Row],[Date_livraison]],INDIRECT(CONCATENATE("Tab_",Tab_Calculs[[#This Row],[Colonne1]],"[Fin de période]")),0)</f>
        <v>1</v>
      </c>
      <c r="K778" t="e">
        <f ca="1">INDEX(INDIRECT(CONCATENATE("Tab_",Tab_Calculs[[#This Row],[Colonne1]])),Tab_Calculs[[#This Row],[index_date_livraison]]-1,6)*(MAX(Tab_Calculs[[#This Row],[Début periode livraison]],Tab_Calculs[[#This Row],[Début mois]])-Tab_Calculs[[#This Row],[Début mois]])</f>
        <v>#VALUE!</v>
      </c>
      <c r="L778" s="94">
        <f ca="1">INDEX(INDIRECT(CONCATENATE("Tab_",Tab_Calculs[[#This Row],[Colonne1]])),Tab_Calculs[[#This Row],[index_date_livraison]],6)*(1+MIN(Tab_Calculs[[#This Row],[Date_livraison]],Tab_Calculs[[#This Row],[fin mois]])-MAX(Tab_Calculs[[#This Row],[Début mois]],Tab_Calculs[[#This Row],[Début periode livraison]]))</f>
        <v>0</v>
      </c>
      <c r="M778" s="94" t="e">
        <f ca="1">INDEX(INDIRECT(CONCATENATE("Tab_",Tab_Calculs[[#This Row],[Colonne1]])),Tab_Calculs[[#This Row],[index_date_livraison]]+1,6)*(Tab_Calculs[[#This Row],[fin mois]]-MIN(Tab_Calculs[[#This Row],[fin mois]],Tab_Calculs[[#This Row],[Date_livraison]]))</f>
        <v>#VALUE!</v>
      </c>
      <c r="N778" s="231" t="str">
        <f ca="1">IFERROR(Tab_Calculs[[#This Row],[Ratio_jour_après_livr]]+Tab_Calculs[[#This Row],[Ratio_jour_avant_livr]]+Tab_Calculs[[#This Row],[ratio_avant_debut]],"")</f>
        <v/>
      </c>
      <c r="O778" t="e">
        <f ca="1">INDEX(INDIRECT(CONCATENATE("Tab_",Tab_Calculs[[#This Row],[Colonne1]])),Tab_Calculs[[#This Row],[index_date_livraison]]-1,7)*(MAX(Tab_Calculs[[#This Row],[Début periode livraison]],Tab_Calculs[[#This Row],[Début mois]])-Tab_Calculs[[#This Row],[Début mois]])</f>
        <v>#VALUE!</v>
      </c>
      <c r="P778">
        <f ca="1">INDEX(INDIRECT(CONCATENATE("Tab_",Tab_Calculs[[#This Row],[Colonne1]])),Tab_Calculs[[#This Row],[index_date_livraison]],7)*(1+MIN(Tab_Calculs[[#This Row],[Date_livraison]],Tab_Calculs[[#This Row],[fin mois]])-MAX(Tab_Calculs[[#This Row],[Début mois]],Tab_Calculs[[#This Row],[Début periode livraison]]))</f>
        <v>0</v>
      </c>
      <c r="Q778" t="e">
        <f ca="1">INDEX(INDIRECT(CONCATENATE("Tab_",Tab_Calculs[[#This Row],[Colonne1]])),Tab_Calculs[[#This Row],[index_date_livraison]]+1,7)*(Tab_Calculs[[#This Row],[fin mois]]-MIN(Tab_Calculs[[#This Row],[fin mois]],Tab_Calculs[[#This Row],[Date_livraison]]))</f>
        <v>#VALUE!</v>
      </c>
      <c r="R778" t="e">
        <f ca="1">Tab_Calculs[[#This Row],[Ratio_Cout_après_livr]]+Tab_Calculs[[#This Row],[Ratio_Cout_avant_livr]]+Tab_Calculs[[#This Row],[Ratio_Cout_avant_debut]]</f>
        <v>#VALUE!</v>
      </c>
      <c r="S778" t="str">
        <f ca="1">IFERROR(N778*VLOOKUP(Tab_Calculs[[#This Row],[Colonne1]],Controle_des_données!$B$7:$G$14,6,FALSE),"")</f>
        <v/>
      </c>
      <c r="T778" t="str">
        <f ca="1">IF(Tab_Calculs[[#This Row],[Combustible ]]="Electricité (kWh)",Tab_Calculs[[#This Row],[Conso_mois_kWh]]*2.3,Tab_Calculs[[#This Row],[Conso_mois_kWh]])</f>
        <v/>
      </c>
      <c r="U778" t="str">
        <f ca="1">IFERROR(N778*VLOOKUP(Tab_Calculs[[#This Row],[Colonne1]],Controle_des_données!$B$7:$H$14,7,FALSE),"")</f>
        <v/>
      </c>
      <c r="V778">
        <f ca="1">IFERROR(Tab_Calculs[[#This Row],[Cout_mois]]/Tab_Calculs[[#This Row],[Conso_mois_kWh]],0)</f>
        <v>0</v>
      </c>
      <c r="W778" t="str">
        <f>T(VLOOKUP(Tab_Calculs[[#This Row],[Compteur]],Site!$B$33:$G$40,3,FALSE))</f>
        <v/>
      </c>
      <c r="X778" t="str">
        <f>T(VLOOKUP(Tab_Calculs[[#This Row],[Compteur]],Site!$B$33:$G$40,4,FALSE))</f>
        <v/>
      </c>
      <c r="Y778" t="str">
        <f>T(VLOOKUP(Tab_Calculs[[#This Row],[Compteur]],Site!$B$33:$G$40,5,FALSE))</f>
        <v/>
      </c>
      <c r="Z778" t="str">
        <f>T(VLOOKUP(Tab_Calculs[[#This Row],[Compteur]],Site!$B$33:$G$40,6,FALSE))</f>
        <v/>
      </c>
      <c r="AA778">
        <f>IFERROR(GETPIVOTDATA("DJU(chauffagiste)",BDD_DJU!$P$13,"annee",Tab_Calculs[[#This Row],[ANNEE]],"mois_numero",Tab_Calculs[[#This Row],[MOIS]]),0)</f>
        <v>370.3</v>
      </c>
    </row>
    <row r="779" spans="1:27" x14ac:dyDescent="0.25">
      <c r="A779" s="3">
        <f>DATE(Tab_Calculs[[#This Row],[ANNEE]],Tab_Calculs[[#This Row],[MOIS]],1)</f>
        <v>40238</v>
      </c>
      <c r="B779" s="3">
        <f>EDATE(Tab_Calculs[[#This Row],[Début mois]],1)-1</f>
        <v>40268</v>
      </c>
      <c r="C779">
        <v>3</v>
      </c>
      <c r="D779">
        <v>2010</v>
      </c>
      <c r="E779" t="s">
        <v>84</v>
      </c>
      <c r="F779" t="str">
        <f>SUBSTITUTE(Tab_Calculs[[#This Row],[Compteur]]," ","_")</f>
        <v>Compteur_5</v>
      </c>
      <c r="G779" t="str">
        <f>T(INDEX(Site!$B$33:$G$40, MATCH(Tab_Calculs[[#This Row],[Compteur]], Site!$B$33:$B$40,0),2))</f>
        <v/>
      </c>
      <c r="H779" s="3">
        <f t="array" aca="1" ref="H779" ca="1">MIN(IF(INDIRECT(CONCATENATE(Tab_Calculs[[#This Row],[Colonne1]],"!$B$2:$B$243"))&gt;=Calculs_Consos!$A779,INDIRECT(CONCATENATE(Tab_Calculs[[#This Row],[Colonne1]],"!$B$2:$B$243"))))</f>
        <v>0</v>
      </c>
      <c r="I779" s="3">
        <f ca="1">INDEX(INDIRECT(CONCATENATE("Tab_",Tab_Calculs[[#This Row],[Colonne1]])),Tab_Calculs[[#This Row],[index_date_livraison]],1)</f>
        <v>0</v>
      </c>
      <c r="J779">
        <f ca="1">MATCH(Tab_Calculs[[#This Row],[Date_livraison]],INDIRECT(CONCATENATE("Tab_",Tab_Calculs[[#This Row],[Colonne1]],"[Fin de période]")),0)</f>
        <v>1</v>
      </c>
      <c r="K779" t="e">
        <f ca="1">INDEX(INDIRECT(CONCATENATE("Tab_",Tab_Calculs[[#This Row],[Colonne1]])),Tab_Calculs[[#This Row],[index_date_livraison]]-1,6)*(MAX(Tab_Calculs[[#This Row],[Début periode livraison]],Tab_Calculs[[#This Row],[Début mois]])-Tab_Calculs[[#This Row],[Début mois]])</f>
        <v>#VALUE!</v>
      </c>
      <c r="L779" s="94">
        <f ca="1">INDEX(INDIRECT(CONCATENATE("Tab_",Tab_Calculs[[#This Row],[Colonne1]])),Tab_Calculs[[#This Row],[index_date_livraison]],6)*(1+MIN(Tab_Calculs[[#This Row],[Date_livraison]],Tab_Calculs[[#This Row],[fin mois]])-MAX(Tab_Calculs[[#This Row],[Début mois]],Tab_Calculs[[#This Row],[Début periode livraison]]))</f>
        <v>0</v>
      </c>
      <c r="M779" s="94" t="e">
        <f ca="1">INDEX(INDIRECT(CONCATENATE("Tab_",Tab_Calculs[[#This Row],[Colonne1]])),Tab_Calculs[[#This Row],[index_date_livraison]]+1,6)*(Tab_Calculs[[#This Row],[fin mois]]-MIN(Tab_Calculs[[#This Row],[fin mois]],Tab_Calculs[[#This Row],[Date_livraison]]))</f>
        <v>#VALUE!</v>
      </c>
      <c r="N779" s="231" t="str">
        <f ca="1">IFERROR(Tab_Calculs[[#This Row],[Ratio_jour_après_livr]]+Tab_Calculs[[#This Row],[Ratio_jour_avant_livr]]+Tab_Calculs[[#This Row],[ratio_avant_debut]],"")</f>
        <v/>
      </c>
      <c r="O779" t="e">
        <f ca="1">INDEX(INDIRECT(CONCATENATE("Tab_",Tab_Calculs[[#This Row],[Colonne1]])),Tab_Calculs[[#This Row],[index_date_livraison]]-1,7)*(MAX(Tab_Calculs[[#This Row],[Début periode livraison]],Tab_Calculs[[#This Row],[Début mois]])-Tab_Calculs[[#This Row],[Début mois]])</f>
        <v>#VALUE!</v>
      </c>
      <c r="P779">
        <f ca="1">INDEX(INDIRECT(CONCATENATE("Tab_",Tab_Calculs[[#This Row],[Colonne1]])),Tab_Calculs[[#This Row],[index_date_livraison]],7)*(1+MIN(Tab_Calculs[[#This Row],[Date_livraison]],Tab_Calculs[[#This Row],[fin mois]])-MAX(Tab_Calculs[[#This Row],[Début mois]],Tab_Calculs[[#This Row],[Début periode livraison]]))</f>
        <v>0</v>
      </c>
      <c r="Q779" t="e">
        <f ca="1">INDEX(INDIRECT(CONCATENATE("Tab_",Tab_Calculs[[#This Row],[Colonne1]])),Tab_Calculs[[#This Row],[index_date_livraison]]+1,7)*(Tab_Calculs[[#This Row],[fin mois]]-MIN(Tab_Calculs[[#This Row],[fin mois]],Tab_Calculs[[#This Row],[Date_livraison]]))</f>
        <v>#VALUE!</v>
      </c>
      <c r="R779" t="e">
        <f ca="1">Tab_Calculs[[#This Row],[Ratio_Cout_après_livr]]+Tab_Calculs[[#This Row],[Ratio_Cout_avant_livr]]+Tab_Calculs[[#This Row],[Ratio_Cout_avant_debut]]</f>
        <v>#VALUE!</v>
      </c>
      <c r="S779" t="str">
        <f ca="1">IFERROR(N779*VLOOKUP(Tab_Calculs[[#This Row],[Colonne1]],Controle_des_données!$B$7:$G$14,6,FALSE),"")</f>
        <v/>
      </c>
      <c r="T779" t="str">
        <f ca="1">IF(Tab_Calculs[[#This Row],[Combustible ]]="Electricité (kWh)",Tab_Calculs[[#This Row],[Conso_mois_kWh]]*2.3,Tab_Calculs[[#This Row],[Conso_mois_kWh]])</f>
        <v/>
      </c>
      <c r="U779" t="str">
        <f ca="1">IFERROR(N779*VLOOKUP(Tab_Calculs[[#This Row],[Colonne1]],Controle_des_données!$B$7:$H$14,7,FALSE),"")</f>
        <v/>
      </c>
      <c r="V779">
        <f ca="1">IFERROR(Tab_Calculs[[#This Row],[Cout_mois]]/Tab_Calculs[[#This Row],[Conso_mois_kWh]],0)</f>
        <v>0</v>
      </c>
      <c r="W779" t="str">
        <f>T(VLOOKUP(Tab_Calculs[[#This Row],[Compteur]],Site!$B$33:$G$40,3,FALSE))</f>
        <v/>
      </c>
      <c r="X779" t="str">
        <f>T(VLOOKUP(Tab_Calculs[[#This Row],[Compteur]],Site!$B$33:$G$40,4,FALSE))</f>
        <v/>
      </c>
      <c r="Y779" t="str">
        <f>T(VLOOKUP(Tab_Calculs[[#This Row],[Compteur]],Site!$B$33:$G$40,5,FALSE))</f>
        <v/>
      </c>
      <c r="Z779" t="str">
        <f>T(VLOOKUP(Tab_Calculs[[#This Row],[Compteur]],Site!$B$33:$G$40,6,FALSE))</f>
        <v/>
      </c>
      <c r="AA779">
        <f>IFERROR(GETPIVOTDATA("DJU(chauffagiste)",BDD_DJU!$P$13,"annee",Tab_Calculs[[#This Row],[ANNEE]],"mois_numero",Tab_Calculs[[#This Row],[MOIS]]),0)</f>
        <v>312.8</v>
      </c>
    </row>
    <row r="780" spans="1:27" x14ac:dyDescent="0.25">
      <c r="A780" s="3">
        <f>DATE(Tab_Calculs[[#This Row],[ANNEE]],Tab_Calculs[[#This Row],[MOIS]],1)</f>
        <v>40269</v>
      </c>
      <c r="B780" s="3">
        <f>EDATE(Tab_Calculs[[#This Row],[Début mois]],1)-1</f>
        <v>40298</v>
      </c>
      <c r="C780">
        <v>4</v>
      </c>
      <c r="D780">
        <v>2010</v>
      </c>
      <c r="E780" t="s">
        <v>84</v>
      </c>
      <c r="F780" t="str">
        <f>SUBSTITUTE(Tab_Calculs[[#This Row],[Compteur]]," ","_")</f>
        <v>Compteur_5</v>
      </c>
      <c r="G780" t="str">
        <f>T(INDEX(Site!$B$33:$G$40, MATCH(Tab_Calculs[[#This Row],[Compteur]], Site!$B$33:$B$40,0),2))</f>
        <v/>
      </c>
      <c r="H780" s="3">
        <f t="array" aca="1" ref="H780" ca="1">MIN(IF(INDIRECT(CONCATENATE(Tab_Calculs[[#This Row],[Colonne1]],"!$B$2:$B$243"))&gt;=Calculs_Consos!$A780,INDIRECT(CONCATENATE(Tab_Calculs[[#This Row],[Colonne1]],"!$B$2:$B$243"))))</f>
        <v>0</v>
      </c>
      <c r="I780" s="3">
        <f ca="1">INDEX(INDIRECT(CONCATENATE("Tab_",Tab_Calculs[[#This Row],[Colonne1]])),Tab_Calculs[[#This Row],[index_date_livraison]],1)</f>
        <v>0</v>
      </c>
      <c r="J780">
        <f ca="1">MATCH(Tab_Calculs[[#This Row],[Date_livraison]],INDIRECT(CONCATENATE("Tab_",Tab_Calculs[[#This Row],[Colonne1]],"[Fin de période]")),0)</f>
        <v>1</v>
      </c>
      <c r="K780" t="e">
        <f ca="1">INDEX(INDIRECT(CONCATENATE("Tab_",Tab_Calculs[[#This Row],[Colonne1]])),Tab_Calculs[[#This Row],[index_date_livraison]]-1,6)*(MAX(Tab_Calculs[[#This Row],[Début periode livraison]],Tab_Calculs[[#This Row],[Début mois]])-Tab_Calculs[[#This Row],[Début mois]])</f>
        <v>#VALUE!</v>
      </c>
      <c r="L780" s="94">
        <f ca="1">INDEX(INDIRECT(CONCATENATE("Tab_",Tab_Calculs[[#This Row],[Colonne1]])),Tab_Calculs[[#This Row],[index_date_livraison]],6)*(1+MIN(Tab_Calculs[[#This Row],[Date_livraison]],Tab_Calculs[[#This Row],[fin mois]])-MAX(Tab_Calculs[[#This Row],[Début mois]],Tab_Calculs[[#This Row],[Début periode livraison]]))</f>
        <v>0</v>
      </c>
      <c r="M780" s="94" t="e">
        <f ca="1">INDEX(INDIRECT(CONCATENATE("Tab_",Tab_Calculs[[#This Row],[Colonne1]])),Tab_Calculs[[#This Row],[index_date_livraison]]+1,6)*(Tab_Calculs[[#This Row],[fin mois]]-MIN(Tab_Calculs[[#This Row],[fin mois]],Tab_Calculs[[#This Row],[Date_livraison]]))</f>
        <v>#VALUE!</v>
      </c>
      <c r="N780" s="231" t="str">
        <f ca="1">IFERROR(Tab_Calculs[[#This Row],[Ratio_jour_après_livr]]+Tab_Calculs[[#This Row],[Ratio_jour_avant_livr]]+Tab_Calculs[[#This Row],[ratio_avant_debut]],"")</f>
        <v/>
      </c>
      <c r="O780" t="e">
        <f ca="1">INDEX(INDIRECT(CONCATENATE("Tab_",Tab_Calculs[[#This Row],[Colonne1]])),Tab_Calculs[[#This Row],[index_date_livraison]]-1,7)*(MAX(Tab_Calculs[[#This Row],[Début periode livraison]],Tab_Calculs[[#This Row],[Début mois]])-Tab_Calculs[[#This Row],[Début mois]])</f>
        <v>#VALUE!</v>
      </c>
      <c r="P780">
        <f ca="1">INDEX(INDIRECT(CONCATENATE("Tab_",Tab_Calculs[[#This Row],[Colonne1]])),Tab_Calculs[[#This Row],[index_date_livraison]],7)*(1+MIN(Tab_Calculs[[#This Row],[Date_livraison]],Tab_Calculs[[#This Row],[fin mois]])-MAX(Tab_Calculs[[#This Row],[Début mois]],Tab_Calculs[[#This Row],[Début periode livraison]]))</f>
        <v>0</v>
      </c>
      <c r="Q780" t="e">
        <f ca="1">INDEX(INDIRECT(CONCATENATE("Tab_",Tab_Calculs[[#This Row],[Colonne1]])),Tab_Calculs[[#This Row],[index_date_livraison]]+1,7)*(Tab_Calculs[[#This Row],[fin mois]]-MIN(Tab_Calculs[[#This Row],[fin mois]],Tab_Calculs[[#This Row],[Date_livraison]]))</f>
        <v>#VALUE!</v>
      </c>
      <c r="R780" t="e">
        <f ca="1">Tab_Calculs[[#This Row],[Ratio_Cout_après_livr]]+Tab_Calculs[[#This Row],[Ratio_Cout_avant_livr]]+Tab_Calculs[[#This Row],[Ratio_Cout_avant_debut]]</f>
        <v>#VALUE!</v>
      </c>
      <c r="S780" t="str">
        <f ca="1">IFERROR(N780*VLOOKUP(Tab_Calculs[[#This Row],[Colonne1]],Controle_des_données!$B$7:$G$14,6,FALSE),"")</f>
        <v/>
      </c>
      <c r="T780" t="str">
        <f ca="1">IF(Tab_Calculs[[#This Row],[Combustible ]]="Electricité (kWh)",Tab_Calculs[[#This Row],[Conso_mois_kWh]]*2.3,Tab_Calculs[[#This Row],[Conso_mois_kWh]])</f>
        <v/>
      </c>
      <c r="U780" t="str">
        <f ca="1">IFERROR(N780*VLOOKUP(Tab_Calculs[[#This Row],[Colonne1]],Controle_des_données!$B$7:$H$14,7,FALSE),"")</f>
        <v/>
      </c>
      <c r="V780">
        <f ca="1">IFERROR(Tab_Calculs[[#This Row],[Cout_mois]]/Tab_Calculs[[#This Row],[Conso_mois_kWh]],0)</f>
        <v>0</v>
      </c>
      <c r="W780" t="str">
        <f>T(VLOOKUP(Tab_Calculs[[#This Row],[Compteur]],Site!$B$33:$G$40,3,FALSE))</f>
        <v/>
      </c>
      <c r="X780" t="str">
        <f>T(VLOOKUP(Tab_Calculs[[#This Row],[Compteur]],Site!$B$33:$G$40,4,FALSE))</f>
        <v/>
      </c>
      <c r="Y780" t="str">
        <f>T(VLOOKUP(Tab_Calculs[[#This Row],[Compteur]],Site!$B$33:$G$40,5,FALSE))</f>
        <v/>
      </c>
      <c r="Z780" t="str">
        <f>T(VLOOKUP(Tab_Calculs[[#This Row],[Compteur]],Site!$B$33:$G$40,6,FALSE))</f>
        <v/>
      </c>
      <c r="AA780">
        <f>IFERROR(GETPIVOTDATA("DJU(chauffagiste)",BDD_DJU!$P$13,"annee",Tab_Calculs[[#This Row],[ANNEE]],"mois_numero",Tab_Calculs[[#This Row],[MOIS]]),0)</f>
        <v>199.2</v>
      </c>
    </row>
    <row r="781" spans="1:27" x14ac:dyDescent="0.25">
      <c r="A781" s="3">
        <f>DATE(Tab_Calculs[[#This Row],[ANNEE]],Tab_Calculs[[#This Row],[MOIS]],1)</f>
        <v>40299</v>
      </c>
      <c r="B781" s="3">
        <f>EDATE(Tab_Calculs[[#This Row],[Début mois]],1)-1</f>
        <v>40329</v>
      </c>
      <c r="C781">
        <v>5</v>
      </c>
      <c r="D781">
        <v>2010</v>
      </c>
      <c r="E781" t="s">
        <v>84</v>
      </c>
      <c r="F781" t="str">
        <f>SUBSTITUTE(Tab_Calculs[[#This Row],[Compteur]]," ","_")</f>
        <v>Compteur_5</v>
      </c>
      <c r="G781" t="str">
        <f>T(INDEX(Site!$B$33:$G$40, MATCH(Tab_Calculs[[#This Row],[Compteur]], Site!$B$33:$B$40,0),2))</f>
        <v/>
      </c>
      <c r="H781" s="3">
        <f t="array" aca="1" ref="H781" ca="1">MIN(IF(INDIRECT(CONCATENATE(Tab_Calculs[[#This Row],[Colonne1]],"!$B$2:$B$243"))&gt;=Calculs_Consos!$A781,INDIRECT(CONCATENATE(Tab_Calculs[[#This Row],[Colonne1]],"!$B$2:$B$243"))))</f>
        <v>0</v>
      </c>
      <c r="I781" s="3">
        <f ca="1">INDEX(INDIRECT(CONCATENATE("Tab_",Tab_Calculs[[#This Row],[Colonne1]])),Tab_Calculs[[#This Row],[index_date_livraison]],1)</f>
        <v>0</v>
      </c>
      <c r="J781">
        <f ca="1">MATCH(Tab_Calculs[[#This Row],[Date_livraison]],INDIRECT(CONCATENATE("Tab_",Tab_Calculs[[#This Row],[Colonne1]],"[Fin de période]")),0)</f>
        <v>1</v>
      </c>
      <c r="K781" t="e">
        <f ca="1">INDEX(INDIRECT(CONCATENATE("Tab_",Tab_Calculs[[#This Row],[Colonne1]])),Tab_Calculs[[#This Row],[index_date_livraison]]-1,6)*(MAX(Tab_Calculs[[#This Row],[Début periode livraison]],Tab_Calculs[[#This Row],[Début mois]])-Tab_Calculs[[#This Row],[Début mois]])</f>
        <v>#VALUE!</v>
      </c>
      <c r="L781" s="94">
        <f ca="1">INDEX(INDIRECT(CONCATENATE("Tab_",Tab_Calculs[[#This Row],[Colonne1]])),Tab_Calculs[[#This Row],[index_date_livraison]],6)*(1+MIN(Tab_Calculs[[#This Row],[Date_livraison]],Tab_Calculs[[#This Row],[fin mois]])-MAX(Tab_Calculs[[#This Row],[Début mois]],Tab_Calculs[[#This Row],[Début periode livraison]]))</f>
        <v>0</v>
      </c>
      <c r="M781" s="94" t="e">
        <f ca="1">INDEX(INDIRECT(CONCATENATE("Tab_",Tab_Calculs[[#This Row],[Colonne1]])),Tab_Calculs[[#This Row],[index_date_livraison]]+1,6)*(Tab_Calculs[[#This Row],[fin mois]]-MIN(Tab_Calculs[[#This Row],[fin mois]],Tab_Calculs[[#This Row],[Date_livraison]]))</f>
        <v>#VALUE!</v>
      </c>
      <c r="N781" s="231" t="str">
        <f ca="1">IFERROR(Tab_Calculs[[#This Row],[Ratio_jour_après_livr]]+Tab_Calculs[[#This Row],[Ratio_jour_avant_livr]]+Tab_Calculs[[#This Row],[ratio_avant_debut]],"")</f>
        <v/>
      </c>
      <c r="O781" t="e">
        <f ca="1">INDEX(INDIRECT(CONCATENATE("Tab_",Tab_Calculs[[#This Row],[Colonne1]])),Tab_Calculs[[#This Row],[index_date_livraison]]-1,7)*(MAX(Tab_Calculs[[#This Row],[Début periode livraison]],Tab_Calculs[[#This Row],[Début mois]])-Tab_Calculs[[#This Row],[Début mois]])</f>
        <v>#VALUE!</v>
      </c>
      <c r="P781">
        <f ca="1">INDEX(INDIRECT(CONCATENATE("Tab_",Tab_Calculs[[#This Row],[Colonne1]])),Tab_Calculs[[#This Row],[index_date_livraison]],7)*(1+MIN(Tab_Calculs[[#This Row],[Date_livraison]],Tab_Calculs[[#This Row],[fin mois]])-MAX(Tab_Calculs[[#This Row],[Début mois]],Tab_Calculs[[#This Row],[Début periode livraison]]))</f>
        <v>0</v>
      </c>
      <c r="Q781" t="e">
        <f ca="1">INDEX(INDIRECT(CONCATENATE("Tab_",Tab_Calculs[[#This Row],[Colonne1]])),Tab_Calculs[[#This Row],[index_date_livraison]]+1,7)*(Tab_Calculs[[#This Row],[fin mois]]-MIN(Tab_Calculs[[#This Row],[fin mois]],Tab_Calculs[[#This Row],[Date_livraison]]))</f>
        <v>#VALUE!</v>
      </c>
      <c r="R781" t="e">
        <f ca="1">Tab_Calculs[[#This Row],[Ratio_Cout_après_livr]]+Tab_Calculs[[#This Row],[Ratio_Cout_avant_livr]]+Tab_Calculs[[#This Row],[Ratio_Cout_avant_debut]]</f>
        <v>#VALUE!</v>
      </c>
      <c r="S781" t="str">
        <f ca="1">IFERROR(N781*VLOOKUP(Tab_Calculs[[#This Row],[Colonne1]],Controle_des_données!$B$7:$G$14,6,FALSE),"")</f>
        <v/>
      </c>
      <c r="T781" t="str">
        <f ca="1">IF(Tab_Calculs[[#This Row],[Combustible ]]="Electricité (kWh)",Tab_Calculs[[#This Row],[Conso_mois_kWh]]*2.3,Tab_Calculs[[#This Row],[Conso_mois_kWh]])</f>
        <v/>
      </c>
      <c r="U781" t="str">
        <f ca="1">IFERROR(N781*VLOOKUP(Tab_Calculs[[#This Row],[Colonne1]],Controle_des_données!$B$7:$H$14,7,FALSE),"")</f>
        <v/>
      </c>
      <c r="V781">
        <f ca="1">IFERROR(Tab_Calculs[[#This Row],[Cout_mois]]/Tab_Calculs[[#This Row],[Conso_mois_kWh]],0)</f>
        <v>0</v>
      </c>
      <c r="W781" t="str">
        <f>T(VLOOKUP(Tab_Calculs[[#This Row],[Compteur]],Site!$B$33:$G$40,3,FALSE))</f>
        <v/>
      </c>
      <c r="X781" t="str">
        <f>T(VLOOKUP(Tab_Calculs[[#This Row],[Compteur]],Site!$B$33:$G$40,4,FALSE))</f>
        <v/>
      </c>
      <c r="Y781" t="str">
        <f>T(VLOOKUP(Tab_Calculs[[#This Row],[Compteur]],Site!$B$33:$G$40,5,FALSE))</f>
        <v/>
      </c>
      <c r="Z781" t="str">
        <f>T(VLOOKUP(Tab_Calculs[[#This Row],[Compteur]],Site!$B$33:$G$40,6,FALSE))</f>
        <v/>
      </c>
      <c r="AA781">
        <f>IFERROR(GETPIVOTDATA("DJU(chauffagiste)",BDD_DJU!$P$13,"annee",Tab_Calculs[[#This Row],[ANNEE]],"mois_numero",Tab_Calculs[[#This Row],[MOIS]]),0)</f>
        <v>155.4</v>
      </c>
    </row>
    <row r="782" spans="1:27" x14ac:dyDescent="0.25">
      <c r="A782" s="3">
        <f>DATE(Tab_Calculs[[#This Row],[ANNEE]],Tab_Calculs[[#This Row],[MOIS]],1)</f>
        <v>40330</v>
      </c>
      <c r="B782" s="3">
        <f>EDATE(Tab_Calculs[[#This Row],[Début mois]],1)-1</f>
        <v>40359</v>
      </c>
      <c r="C782">
        <v>6</v>
      </c>
      <c r="D782">
        <v>2010</v>
      </c>
      <c r="E782" t="s">
        <v>84</v>
      </c>
      <c r="F782" t="str">
        <f>SUBSTITUTE(Tab_Calculs[[#This Row],[Compteur]]," ","_")</f>
        <v>Compteur_5</v>
      </c>
      <c r="G782" t="str">
        <f>T(INDEX(Site!$B$33:$G$40, MATCH(Tab_Calculs[[#This Row],[Compteur]], Site!$B$33:$B$40,0),2))</f>
        <v/>
      </c>
      <c r="H782" s="3">
        <f t="array" aca="1" ref="H782" ca="1">MIN(IF(INDIRECT(CONCATENATE(Tab_Calculs[[#This Row],[Colonne1]],"!$B$2:$B$243"))&gt;=Calculs_Consos!$A782,INDIRECT(CONCATENATE(Tab_Calculs[[#This Row],[Colonne1]],"!$B$2:$B$243"))))</f>
        <v>0</v>
      </c>
      <c r="I782" s="3">
        <f ca="1">INDEX(INDIRECT(CONCATENATE("Tab_",Tab_Calculs[[#This Row],[Colonne1]])),Tab_Calculs[[#This Row],[index_date_livraison]],1)</f>
        <v>0</v>
      </c>
      <c r="J782">
        <f ca="1">MATCH(Tab_Calculs[[#This Row],[Date_livraison]],INDIRECT(CONCATENATE("Tab_",Tab_Calculs[[#This Row],[Colonne1]],"[Fin de période]")),0)</f>
        <v>1</v>
      </c>
      <c r="K782" t="e">
        <f ca="1">INDEX(INDIRECT(CONCATENATE("Tab_",Tab_Calculs[[#This Row],[Colonne1]])),Tab_Calculs[[#This Row],[index_date_livraison]]-1,6)*(MAX(Tab_Calculs[[#This Row],[Début periode livraison]],Tab_Calculs[[#This Row],[Début mois]])-Tab_Calculs[[#This Row],[Début mois]])</f>
        <v>#VALUE!</v>
      </c>
      <c r="L782" s="94">
        <f ca="1">INDEX(INDIRECT(CONCATENATE("Tab_",Tab_Calculs[[#This Row],[Colonne1]])),Tab_Calculs[[#This Row],[index_date_livraison]],6)*(1+MIN(Tab_Calculs[[#This Row],[Date_livraison]],Tab_Calculs[[#This Row],[fin mois]])-MAX(Tab_Calculs[[#This Row],[Début mois]],Tab_Calculs[[#This Row],[Début periode livraison]]))</f>
        <v>0</v>
      </c>
      <c r="M782" s="94" t="e">
        <f ca="1">INDEX(INDIRECT(CONCATENATE("Tab_",Tab_Calculs[[#This Row],[Colonne1]])),Tab_Calculs[[#This Row],[index_date_livraison]]+1,6)*(Tab_Calculs[[#This Row],[fin mois]]-MIN(Tab_Calculs[[#This Row],[fin mois]],Tab_Calculs[[#This Row],[Date_livraison]]))</f>
        <v>#VALUE!</v>
      </c>
      <c r="N782" s="231" t="str">
        <f ca="1">IFERROR(Tab_Calculs[[#This Row],[Ratio_jour_après_livr]]+Tab_Calculs[[#This Row],[Ratio_jour_avant_livr]]+Tab_Calculs[[#This Row],[ratio_avant_debut]],"")</f>
        <v/>
      </c>
      <c r="O782" t="e">
        <f ca="1">INDEX(INDIRECT(CONCATENATE("Tab_",Tab_Calculs[[#This Row],[Colonne1]])),Tab_Calculs[[#This Row],[index_date_livraison]]-1,7)*(MAX(Tab_Calculs[[#This Row],[Début periode livraison]],Tab_Calculs[[#This Row],[Début mois]])-Tab_Calculs[[#This Row],[Début mois]])</f>
        <v>#VALUE!</v>
      </c>
      <c r="P782">
        <f ca="1">INDEX(INDIRECT(CONCATENATE("Tab_",Tab_Calculs[[#This Row],[Colonne1]])),Tab_Calculs[[#This Row],[index_date_livraison]],7)*(1+MIN(Tab_Calculs[[#This Row],[Date_livraison]],Tab_Calculs[[#This Row],[fin mois]])-MAX(Tab_Calculs[[#This Row],[Début mois]],Tab_Calculs[[#This Row],[Début periode livraison]]))</f>
        <v>0</v>
      </c>
      <c r="Q782" t="e">
        <f ca="1">INDEX(INDIRECT(CONCATENATE("Tab_",Tab_Calculs[[#This Row],[Colonne1]])),Tab_Calculs[[#This Row],[index_date_livraison]]+1,7)*(Tab_Calculs[[#This Row],[fin mois]]-MIN(Tab_Calculs[[#This Row],[fin mois]],Tab_Calculs[[#This Row],[Date_livraison]]))</f>
        <v>#VALUE!</v>
      </c>
      <c r="R782" t="e">
        <f ca="1">Tab_Calculs[[#This Row],[Ratio_Cout_après_livr]]+Tab_Calculs[[#This Row],[Ratio_Cout_avant_livr]]+Tab_Calculs[[#This Row],[Ratio_Cout_avant_debut]]</f>
        <v>#VALUE!</v>
      </c>
      <c r="S782" t="str">
        <f ca="1">IFERROR(N782*VLOOKUP(Tab_Calculs[[#This Row],[Colonne1]],Controle_des_données!$B$7:$G$14,6,FALSE),"")</f>
        <v/>
      </c>
      <c r="T782" t="str">
        <f ca="1">IF(Tab_Calculs[[#This Row],[Combustible ]]="Electricité (kWh)",Tab_Calculs[[#This Row],[Conso_mois_kWh]]*2.3,Tab_Calculs[[#This Row],[Conso_mois_kWh]])</f>
        <v/>
      </c>
      <c r="U782" t="str">
        <f ca="1">IFERROR(N782*VLOOKUP(Tab_Calculs[[#This Row],[Colonne1]],Controle_des_données!$B$7:$H$14,7,FALSE),"")</f>
        <v/>
      </c>
      <c r="V782">
        <f ca="1">IFERROR(Tab_Calculs[[#This Row],[Cout_mois]]/Tab_Calculs[[#This Row],[Conso_mois_kWh]],0)</f>
        <v>0</v>
      </c>
      <c r="W782" t="str">
        <f>T(VLOOKUP(Tab_Calculs[[#This Row],[Compteur]],Site!$B$33:$G$40,3,FALSE))</f>
        <v/>
      </c>
      <c r="X782" t="str">
        <f>T(VLOOKUP(Tab_Calculs[[#This Row],[Compteur]],Site!$B$33:$G$40,4,FALSE))</f>
        <v/>
      </c>
      <c r="Y782" t="str">
        <f>T(VLOOKUP(Tab_Calculs[[#This Row],[Compteur]],Site!$B$33:$G$40,5,FALSE))</f>
        <v/>
      </c>
      <c r="Z782" t="str">
        <f>T(VLOOKUP(Tab_Calculs[[#This Row],[Compteur]],Site!$B$33:$G$40,6,FALSE))</f>
        <v/>
      </c>
      <c r="AA782">
        <f>IFERROR(GETPIVOTDATA("DJU(chauffagiste)",BDD_DJU!$P$13,"annee",Tab_Calculs[[#This Row],[ANNEE]],"mois_numero",Tab_Calculs[[#This Row],[MOIS]]),0)</f>
        <v>46.7</v>
      </c>
    </row>
    <row r="783" spans="1:27" x14ac:dyDescent="0.25">
      <c r="A783" s="3">
        <f>DATE(Tab_Calculs[[#This Row],[ANNEE]],Tab_Calculs[[#This Row],[MOIS]],1)</f>
        <v>40360</v>
      </c>
      <c r="B783" s="3">
        <f>EDATE(Tab_Calculs[[#This Row],[Début mois]],1)-1</f>
        <v>40390</v>
      </c>
      <c r="C783">
        <v>7</v>
      </c>
      <c r="D783">
        <v>2010</v>
      </c>
      <c r="E783" t="s">
        <v>84</v>
      </c>
      <c r="F783" t="str">
        <f>SUBSTITUTE(Tab_Calculs[[#This Row],[Compteur]]," ","_")</f>
        <v>Compteur_5</v>
      </c>
      <c r="G783" t="str">
        <f>T(INDEX(Site!$B$33:$G$40, MATCH(Tab_Calculs[[#This Row],[Compteur]], Site!$B$33:$B$40,0),2))</f>
        <v/>
      </c>
      <c r="H783" s="3">
        <f t="array" aca="1" ref="H783" ca="1">MIN(IF(INDIRECT(CONCATENATE(Tab_Calculs[[#This Row],[Colonne1]],"!$B$2:$B$243"))&gt;=Calculs_Consos!$A783,INDIRECT(CONCATENATE(Tab_Calculs[[#This Row],[Colonne1]],"!$B$2:$B$243"))))</f>
        <v>0</v>
      </c>
      <c r="I783" s="3">
        <f ca="1">INDEX(INDIRECT(CONCATENATE("Tab_",Tab_Calculs[[#This Row],[Colonne1]])),Tab_Calculs[[#This Row],[index_date_livraison]],1)</f>
        <v>0</v>
      </c>
      <c r="J783">
        <f ca="1">MATCH(Tab_Calculs[[#This Row],[Date_livraison]],INDIRECT(CONCATENATE("Tab_",Tab_Calculs[[#This Row],[Colonne1]],"[Fin de période]")),0)</f>
        <v>1</v>
      </c>
      <c r="K783" t="e">
        <f ca="1">INDEX(INDIRECT(CONCATENATE("Tab_",Tab_Calculs[[#This Row],[Colonne1]])),Tab_Calculs[[#This Row],[index_date_livraison]]-1,6)*(MAX(Tab_Calculs[[#This Row],[Début periode livraison]],Tab_Calculs[[#This Row],[Début mois]])-Tab_Calculs[[#This Row],[Début mois]])</f>
        <v>#VALUE!</v>
      </c>
      <c r="L783" s="94">
        <f ca="1">INDEX(INDIRECT(CONCATENATE("Tab_",Tab_Calculs[[#This Row],[Colonne1]])),Tab_Calculs[[#This Row],[index_date_livraison]],6)*(1+MIN(Tab_Calculs[[#This Row],[Date_livraison]],Tab_Calculs[[#This Row],[fin mois]])-MAX(Tab_Calculs[[#This Row],[Début mois]],Tab_Calculs[[#This Row],[Début periode livraison]]))</f>
        <v>0</v>
      </c>
      <c r="M783" s="94" t="e">
        <f ca="1">INDEX(INDIRECT(CONCATENATE("Tab_",Tab_Calculs[[#This Row],[Colonne1]])),Tab_Calculs[[#This Row],[index_date_livraison]]+1,6)*(Tab_Calculs[[#This Row],[fin mois]]-MIN(Tab_Calculs[[#This Row],[fin mois]],Tab_Calculs[[#This Row],[Date_livraison]]))</f>
        <v>#VALUE!</v>
      </c>
      <c r="N783" s="231" t="str">
        <f ca="1">IFERROR(Tab_Calculs[[#This Row],[Ratio_jour_après_livr]]+Tab_Calculs[[#This Row],[Ratio_jour_avant_livr]]+Tab_Calculs[[#This Row],[ratio_avant_debut]],"")</f>
        <v/>
      </c>
      <c r="O783" t="e">
        <f ca="1">INDEX(INDIRECT(CONCATENATE("Tab_",Tab_Calculs[[#This Row],[Colonne1]])),Tab_Calculs[[#This Row],[index_date_livraison]]-1,7)*(MAX(Tab_Calculs[[#This Row],[Début periode livraison]],Tab_Calculs[[#This Row],[Début mois]])-Tab_Calculs[[#This Row],[Début mois]])</f>
        <v>#VALUE!</v>
      </c>
      <c r="P783">
        <f ca="1">INDEX(INDIRECT(CONCATENATE("Tab_",Tab_Calculs[[#This Row],[Colonne1]])),Tab_Calculs[[#This Row],[index_date_livraison]],7)*(1+MIN(Tab_Calculs[[#This Row],[Date_livraison]],Tab_Calculs[[#This Row],[fin mois]])-MAX(Tab_Calculs[[#This Row],[Début mois]],Tab_Calculs[[#This Row],[Début periode livraison]]))</f>
        <v>0</v>
      </c>
      <c r="Q783" t="e">
        <f ca="1">INDEX(INDIRECT(CONCATENATE("Tab_",Tab_Calculs[[#This Row],[Colonne1]])),Tab_Calculs[[#This Row],[index_date_livraison]]+1,7)*(Tab_Calculs[[#This Row],[fin mois]]-MIN(Tab_Calculs[[#This Row],[fin mois]],Tab_Calculs[[#This Row],[Date_livraison]]))</f>
        <v>#VALUE!</v>
      </c>
      <c r="R783" t="e">
        <f ca="1">Tab_Calculs[[#This Row],[Ratio_Cout_après_livr]]+Tab_Calculs[[#This Row],[Ratio_Cout_avant_livr]]+Tab_Calculs[[#This Row],[Ratio_Cout_avant_debut]]</f>
        <v>#VALUE!</v>
      </c>
      <c r="S783" t="str">
        <f ca="1">IFERROR(N783*VLOOKUP(Tab_Calculs[[#This Row],[Colonne1]],Controle_des_données!$B$7:$G$14,6,FALSE),"")</f>
        <v/>
      </c>
      <c r="T783" t="str">
        <f ca="1">IF(Tab_Calculs[[#This Row],[Combustible ]]="Electricité (kWh)",Tab_Calculs[[#This Row],[Conso_mois_kWh]]*2.3,Tab_Calculs[[#This Row],[Conso_mois_kWh]])</f>
        <v/>
      </c>
      <c r="U783" t="str">
        <f ca="1">IFERROR(N783*VLOOKUP(Tab_Calculs[[#This Row],[Colonne1]],Controle_des_données!$B$7:$H$14,7,FALSE),"")</f>
        <v/>
      </c>
      <c r="V783">
        <f ca="1">IFERROR(Tab_Calculs[[#This Row],[Cout_mois]]/Tab_Calculs[[#This Row],[Conso_mois_kWh]],0)</f>
        <v>0</v>
      </c>
      <c r="W783" t="str">
        <f>T(VLOOKUP(Tab_Calculs[[#This Row],[Compteur]],Site!$B$33:$G$40,3,FALSE))</f>
        <v/>
      </c>
      <c r="X783" t="str">
        <f>T(VLOOKUP(Tab_Calculs[[#This Row],[Compteur]],Site!$B$33:$G$40,4,FALSE))</f>
        <v/>
      </c>
      <c r="Y783" t="str">
        <f>T(VLOOKUP(Tab_Calculs[[#This Row],[Compteur]],Site!$B$33:$G$40,5,FALSE))</f>
        <v/>
      </c>
      <c r="Z783" t="str">
        <f>T(VLOOKUP(Tab_Calculs[[#This Row],[Compteur]],Site!$B$33:$G$40,6,FALSE))</f>
        <v/>
      </c>
      <c r="AA783">
        <f>IFERROR(GETPIVOTDATA("DJU(chauffagiste)",BDD_DJU!$P$13,"annee",Tab_Calculs[[#This Row],[ANNEE]],"mois_numero",Tab_Calculs[[#This Row],[MOIS]]),0)</f>
        <v>22.2</v>
      </c>
    </row>
    <row r="784" spans="1:27" x14ac:dyDescent="0.25">
      <c r="A784" s="3">
        <f>DATE(Tab_Calculs[[#This Row],[ANNEE]],Tab_Calculs[[#This Row],[MOIS]],1)</f>
        <v>40391</v>
      </c>
      <c r="B784" s="3">
        <f>EDATE(Tab_Calculs[[#This Row],[Début mois]],1)-1</f>
        <v>40421</v>
      </c>
      <c r="C784">
        <v>8</v>
      </c>
      <c r="D784">
        <v>2010</v>
      </c>
      <c r="E784" t="s">
        <v>84</v>
      </c>
      <c r="F784" t="str">
        <f>SUBSTITUTE(Tab_Calculs[[#This Row],[Compteur]]," ","_")</f>
        <v>Compteur_5</v>
      </c>
      <c r="G784" t="str">
        <f>T(INDEX(Site!$B$33:$G$40, MATCH(Tab_Calculs[[#This Row],[Compteur]], Site!$B$33:$B$40,0),2))</f>
        <v/>
      </c>
      <c r="H784" s="3">
        <f t="array" aca="1" ref="H784" ca="1">MIN(IF(INDIRECT(CONCATENATE(Tab_Calculs[[#This Row],[Colonne1]],"!$B$2:$B$243"))&gt;=Calculs_Consos!$A784,INDIRECT(CONCATENATE(Tab_Calculs[[#This Row],[Colonne1]],"!$B$2:$B$243"))))</f>
        <v>0</v>
      </c>
      <c r="I784" s="3">
        <f ca="1">INDEX(INDIRECT(CONCATENATE("Tab_",Tab_Calculs[[#This Row],[Colonne1]])),Tab_Calculs[[#This Row],[index_date_livraison]],1)</f>
        <v>0</v>
      </c>
      <c r="J784">
        <f ca="1">MATCH(Tab_Calculs[[#This Row],[Date_livraison]],INDIRECT(CONCATENATE("Tab_",Tab_Calculs[[#This Row],[Colonne1]],"[Fin de période]")),0)</f>
        <v>1</v>
      </c>
      <c r="K784" t="e">
        <f ca="1">INDEX(INDIRECT(CONCATENATE("Tab_",Tab_Calculs[[#This Row],[Colonne1]])),Tab_Calculs[[#This Row],[index_date_livraison]]-1,6)*(MAX(Tab_Calculs[[#This Row],[Début periode livraison]],Tab_Calculs[[#This Row],[Début mois]])-Tab_Calculs[[#This Row],[Début mois]])</f>
        <v>#VALUE!</v>
      </c>
      <c r="L784" s="94">
        <f ca="1">INDEX(INDIRECT(CONCATENATE("Tab_",Tab_Calculs[[#This Row],[Colonne1]])),Tab_Calculs[[#This Row],[index_date_livraison]],6)*(1+MIN(Tab_Calculs[[#This Row],[Date_livraison]],Tab_Calculs[[#This Row],[fin mois]])-MAX(Tab_Calculs[[#This Row],[Début mois]],Tab_Calculs[[#This Row],[Début periode livraison]]))</f>
        <v>0</v>
      </c>
      <c r="M784" s="94" t="e">
        <f ca="1">INDEX(INDIRECT(CONCATENATE("Tab_",Tab_Calculs[[#This Row],[Colonne1]])),Tab_Calculs[[#This Row],[index_date_livraison]]+1,6)*(Tab_Calculs[[#This Row],[fin mois]]-MIN(Tab_Calculs[[#This Row],[fin mois]],Tab_Calculs[[#This Row],[Date_livraison]]))</f>
        <v>#VALUE!</v>
      </c>
      <c r="N784" s="231" t="str">
        <f ca="1">IFERROR(Tab_Calculs[[#This Row],[Ratio_jour_après_livr]]+Tab_Calculs[[#This Row],[Ratio_jour_avant_livr]]+Tab_Calculs[[#This Row],[ratio_avant_debut]],"")</f>
        <v/>
      </c>
      <c r="O784" t="e">
        <f ca="1">INDEX(INDIRECT(CONCATENATE("Tab_",Tab_Calculs[[#This Row],[Colonne1]])),Tab_Calculs[[#This Row],[index_date_livraison]]-1,7)*(MAX(Tab_Calculs[[#This Row],[Début periode livraison]],Tab_Calculs[[#This Row],[Début mois]])-Tab_Calculs[[#This Row],[Début mois]])</f>
        <v>#VALUE!</v>
      </c>
      <c r="P784">
        <f ca="1">INDEX(INDIRECT(CONCATENATE("Tab_",Tab_Calculs[[#This Row],[Colonne1]])),Tab_Calculs[[#This Row],[index_date_livraison]],7)*(1+MIN(Tab_Calculs[[#This Row],[Date_livraison]],Tab_Calculs[[#This Row],[fin mois]])-MAX(Tab_Calculs[[#This Row],[Début mois]],Tab_Calculs[[#This Row],[Début periode livraison]]))</f>
        <v>0</v>
      </c>
      <c r="Q784" t="e">
        <f ca="1">INDEX(INDIRECT(CONCATENATE("Tab_",Tab_Calculs[[#This Row],[Colonne1]])),Tab_Calculs[[#This Row],[index_date_livraison]]+1,7)*(Tab_Calculs[[#This Row],[fin mois]]-MIN(Tab_Calculs[[#This Row],[fin mois]],Tab_Calculs[[#This Row],[Date_livraison]]))</f>
        <v>#VALUE!</v>
      </c>
      <c r="R784" t="e">
        <f ca="1">Tab_Calculs[[#This Row],[Ratio_Cout_après_livr]]+Tab_Calculs[[#This Row],[Ratio_Cout_avant_livr]]+Tab_Calculs[[#This Row],[Ratio_Cout_avant_debut]]</f>
        <v>#VALUE!</v>
      </c>
      <c r="S784" t="str">
        <f ca="1">IFERROR(N784*VLOOKUP(Tab_Calculs[[#This Row],[Colonne1]],Controle_des_données!$B$7:$G$14,6,FALSE),"")</f>
        <v/>
      </c>
      <c r="T784" t="str">
        <f ca="1">IF(Tab_Calculs[[#This Row],[Combustible ]]="Electricité (kWh)",Tab_Calculs[[#This Row],[Conso_mois_kWh]]*2.3,Tab_Calculs[[#This Row],[Conso_mois_kWh]])</f>
        <v/>
      </c>
      <c r="U784" t="str">
        <f ca="1">IFERROR(N784*VLOOKUP(Tab_Calculs[[#This Row],[Colonne1]],Controle_des_données!$B$7:$H$14,7,FALSE),"")</f>
        <v/>
      </c>
      <c r="V784">
        <f ca="1">IFERROR(Tab_Calculs[[#This Row],[Cout_mois]]/Tab_Calculs[[#This Row],[Conso_mois_kWh]],0)</f>
        <v>0</v>
      </c>
      <c r="W784" t="str">
        <f>T(VLOOKUP(Tab_Calculs[[#This Row],[Compteur]],Site!$B$33:$G$40,3,FALSE))</f>
        <v/>
      </c>
      <c r="X784" t="str">
        <f>T(VLOOKUP(Tab_Calculs[[#This Row],[Compteur]],Site!$B$33:$G$40,4,FALSE))</f>
        <v/>
      </c>
      <c r="Y784" t="str">
        <f>T(VLOOKUP(Tab_Calculs[[#This Row],[Compteur]],Site!$B$33:$G$40,5,FALSE))</f>
        <v/>
      </c>
      <c r="Z784" t="str">
        <f>T(VLOOKUP(Tab_Calculs[[#This Row],[Compteur]],Site!$B$33:$G$40,6,FALSE))</f>
        <v/>
      </c>
      <c r="AA784">
        <f>IFERROR(GETPIVOTDATA("DJU(chauffagiste)",BDD_DJU!$P$13,"annee",Tab_Calculs[[#This Row],[ANNEE]],"mois_numero",Tab_Calculs[[#This Row],[MOIS]]),0)</f>
        <v>41.5</v>
      </c>
    </row>
    <row r="785" spans="1:27" x14ac:dyDescent="0.25">
      <c r="A785" s="3">
        <f>DATE(Tab_Calculs[[#This Row],[ANNEE]],Tab_Calculs[[#This Row],[MOIS]],1)</f>
        <v>40422</v>
      </c>
      <c r="B785" s="3">
        <f>EDATE(Tab_Calculs[[#This Row],[Début mois]],1)-1</f>
        <v>40451</v>
      </c>
      <c r="C785">
        <v>9</v>
      </c>
      <c r="D785">
        <v>2010</v>
      </c>
      <c r="E785" t="s">
        <v>84</v>
      </c>
      <c r="F785" t="str">
        <f>SUBSTITUTE(Tab_Calculs[[#This Row],[Compteur]]," ","_")</f>
        <v>Compteur_5</v>
      </c>
      <c r="G785" t="str">
        <f>T(INDEX(Site!$B$33:$G$40, MATCH(Tab_Calculs[[#This Row],[Compteur]], Site!$B$33:$B$40,0),2))</f>
        <v/>
      </c>
      <c r="H785" s="3">
        <f t="array" aca="1" ref="H785" ca="1">MIN(IF(INDIRECT(CONCATENATE(Tab_Calculs[[#This Row],[Colonne1]],"!$B$2:$B$243"))&gt;=Calculs_Consos!$A785,INDIRECT(CONCATENATE(Tab_Calculs[[#This Row],[Colonne1]],"!$B$2:$B$243"))))</f>
        <v>0</v>
      </c>
      <c r="I785" s="3">
        <f ca="1">INDEX(INDIRECT(CONCATENATE("Tab_",Tab_Calculs[[#This Row],[Colonne1]])),Tab_Calculs[[#This Row],[index_date_livraison]],1)</f>
        <v>0</v>
      </c>
      <c r="J785">
        <f ca="1">MATCH(Tab_Calculs[[#This Row],[Date_livraison]],INDIRECT(CONCATENATE("Tab_",Tab_Calculs[[#This Row],[Colonne1]],"[Fin de période]")),0)</f>
        <v>1</v>
      </c>
      <c r="K785" t="e">
        <f ca="1">INDEX(INDIRECT(CONCATENATE("Tab_",Tab_Calculs[[#This Row],[Colonne1]])),Tab_Calculs[[#This Row],[index_date_livraison]]-1,6)*(MAX(Tab_Calculs[[#This Row],[Début periode livraison]],Tab_Calculs[[#This Row],[Début mois]])-Tab_Calculs[[#This Row],[Début mois]])</f>
        <v>#VALUE!</v>
      </c>
      <c r="L785" s="94">
        <f ca="1">INDEX(INDIRECT(CONCATENATE("Tab_",Tab_Calculs[[#This Row],[Colonne1]])),Tab_Calculs[[#This Row],[index_date_livraison]],6)*(1+MIN(Tab_Calculs[[#This Row],[Date_livraison]],Tab_Calculs[[#This Row],[fin mois]])-MAX(Tab_Calculs[[#This Row],[Début mois]],Tab_Calculs[[#This Row],[Début periode livraison]]))</f>
        <v>0</v>
      </c>
      <c r="M785" s="94" t="e">
        <f ca="1">INDEX(INDIRECT(CONCATENATE("Tab_",Tab_Calculs[[#This Row],[Colonne1]])),Tab_Calculs[[#This Row],[index_date_livraison]]+1,6)*(Tab_Calculs[[#This Row],[fin mois]]-MIN(Tab_Calculs[[#This Row],[fin mois]],Tab_Calculs[[#This Row],[Date_livraison]]))</f>
        <v>#VALUE!</v>
      </c>
      <c r="N785" s="231" t="str">
        <f ca="1">IFERROR(Tab_Calculs[[#This Row],[Ratio_jour_après_livr]]+Tab_Calculs[[#This Row],[Ratio_jour_avant_livr]]+Tab_Calculs[[#This Row],[ratio_avant_debut]],"")</f>
        <v/>
      </c>
      <c r="O785" t="e">
        <f ca="1">INDEX(INDIRECT(CONCATENATE("Tab_",Tab_Calculs[[#This Row],[Colonne1]])),Tab_Calculs[[#This Row],[index_date_livraison]]-1,7)*(MAX(Tab_Calculs[[#This Row],[Début periode livraison]],Tab_Calculs[[#This Row],[Début mois]])-Tab_Calculs[[#This Row],[Début mois]])</f>
        <v>#VALUE!</v>
      </c>
      <c r="P785">
        <f ca="1">INDEX(INDIRECT(CONCATENATE("Tab_",Tab_Calculs[[#This Row],[Colonne1]])),Tab_Calculs[[#This Row],[index_date_livraison]],7)*(1+MIN(Tab_Calculs[[#This Row],[Date_livraison]],Tab_Calculs[[#This Row],[fin mois]])-MAX(Tab_Calculs[[#This Row],[Début mois]],Tab_Calculs[[#This Row],[Début periode livraison]]))</f>
        <v>0</v>
      </c>
      <c r="Q785" t="e">
        <f ca="1">INDEX(INDIRECT(CONCATENATE("Tab_",Tab_Calculs[[#This Row],[Colonne1]])),Tab_Calculs[[#This Row],[index_date_livraison]]+1,7)*(Tab_Calculs[[#This Row],[fin mois]]-MIN(Tab_Calculs[[#This Row],[fin mois]],Tab_Calculs[[#This Row],[Date_livraison]]))</f>
        <v>#VALUE!</v>
      </c>
      <c r="R785" t="e">
        <f ca="1">Tab_Calculs[[#This Row],[Ratio_Cout_après_livr]]+Tab_Calculs[[#This Row],[Ratio_Cout_avant_livr]]+Tab_Calculs[[#This Row],[Ratio_Cout_avant_debut]]</f>
        <v>#VALUE!</v>
      </c>
      <c r="S785" t="str">
        <f ca="1">IFERROR(N785*VLOOKUP(Tab_Calculs[[#This Row],[Colonne1]],Controle_des_données!$B$7:$G$14,6,FALSE),"")</f>
        <v/>
      </c>
      <c r="T785" t="str">
        <f ca="1">IF(Tab_Calculs[[#This Row],[Combustible ]]="Electricité (kWh)",Tab_Calculs[[#This Row],[Conso_mois_kWh]]*2.3,Tab_Calculs[[#This Row],[Conso_mois_kWh]])</f>
        <v/>
      </c>
      <c r="U785" t="str">
        <f ca="1">IFERROR(N785*VLOOKUP(Tab_Calculs[[#This Row],[Colonne1]],Controle_des_données!$B$7:$H$14,7,FALSE),"")</f>
        <v/>
      </c>
      <c r="V785">
        <f ca="1">IFERROR(Tab_Calculs[[#This Row],[Cout_mois]]/Tab_Calculs[[#This Row],[Conso_mois_kWh]],0)</f>
        <v>0</v>
      </c>
      <c r="W785" t="str">
        <f>T(VLOOKUP(Tab_Calculs[[#This Row],[Compteur]],Site!$B$33:$G$40,3,FALSE))</f>
        <v/>
      </c>
      <c r="X785" t="str">
        <f>T(VLOOKUP(Tab_Calculs[[#This Row],[Compteur]],Site!$B$33:$G$40,4,FALSE))</f>
        <v/>
      </c>
      <c r="Y785" t="str">
        <f>T(VLOOKUP(Tab_Calculs[[#This Row],[Compteur]],Site!$B$33:$G$40,5,FALSE))</f>
        <v/>
      </c>
      <c r="Z785" t="str">
        <f>T(VLOOKUP(Tab_Calculs[[#This Row],[Compteur]],Site!$B$33:$G$40,6,FALSE))</f>
        <v/>
      </c>
      <c r="AA785">
        <f>IFERROR(GETPIVOTDATA("DJU(chauffagiste)",BDD_DJU!$P$13,"annee",Tab_Calculs[[#This Row],[ANNEE]],"mois_numero",Tab_Calculs[[#This Row],[MOIS]]),0)</f>
        <v>95.4</v>
      </c>
    </row>
    <row r="786" spans="1:27" x14ac:dyDescent="0.25">
      <c r="A786" s="3">
        <f>DATE(Tab_Calculs[[#This Row],[ANNEE]],Tab_Calculs[[#This Row],[MOIS]],1)</f>
        <v>40452</v>
      </c>
      <c r="B786" s="3">
        <f>EDATE(Tab_Calculs[[#This Row],[Début mois]],1)-1</f>
        <v>40482</v>
      </c>
      <c r="C786">
        <v>10</v>
      </c>
      <c r="D786">
        <v>2010</v>
      </c>
      <c r="E786" t="s">
        <v>84</v>
      </c>
      <c r="F786" t="str">
        <f>SUBSTITUTE(Tab_Calculs[[#This Row],[Compteur]]," ","_")</f>
        <v>Compteur_5</v>
      </c>
      <c r="G786" t="str">
        <f>T(INDEX(Site!$B$33:$G$40, MATCH(Tab_Calculs[[#This Row],[Compteur]], Site!$B$33:$B$40,0),2))</f>
        <v/>
      </c>
      <c r="H786" s="3">
        <f t="array" aca="1" ref="H786" ca="1">MIN(IF(INDIRECT(CONCATENATE(Tab_Calculs[[#This Row],[Colonne1]],"!$B$2:$B$243"))&gt;=Calculs_Consos!$A786,INDIRECT(CONCATENATE(Tab_Calculs[[#This Row],[Colonne1]],"!$B$2:$B$243"))))</f>
        <v>0</v>
      </c>
      <c r="I786" s="3">
        <f ca="1">INDEX(INDIRECT(CONCATENATE("Tab_",Tab_Calculs[[#This Row],[Colonne1]])),Tab_Calculs[[#This Row],[index_date_livraison]],1)</f>
        <v>0</v>
      </c>
      <c r="J786">
        <f ca="1">MATCH(Tab_Calculs[[#This Row],[Date_livraison]],INDIRECT(CONCATENATE("Tab_",Tab_Calculs[[#This Row],[Colonne1]],"[Fin de période]")),0)</f>
        <v>1</v>
      </c>
      <c r="K786" t="e">
        <f ca="1">INDEX(INDIRECT(CONCATENATE("Tab_",Tab_Calculs[[#This Row],[Colonne1]])),Tab_Calculs[[#This Row],[index_date_livraison]]-1,6)*(MAX(Tab_Calculs[[#This Row],[Début periode livraison]],Tab_Calculs[[#This Row],[Début mois]])-Tab_Calculs[[#This Row],[Début mois]])</f>
        <v>#VALUE!</v>
      </c>
      <c r="L786" s="94">
        <f ca="1">INDEX(INDIRECT(CONCATENATE("Tab_",Tab_Calculs[[#This Row],[Colonne1]])),Tab_Calculs[[#This Row],[index_date_livraison]],6)*(1+MIN(Tab_Calculs[[#This Row],[Date_livraison]],Tab_Calculs[[#This Row],[fin mois]])-MAX(Tab_Calculs[[#This Row],[Début mois]],Tab_Calculs[[#This Row],[Début periode livraison]]))</f>
        <v>0</v>
      </c>
      <c r="M786" s="94" t="e">
        <f ca="1">INDEX(INDIRECT(CONCATENATE("Tab_",Tab_Calculs[[#This Row],[Colonne1]])),Tab_Calculs[[#This Row],[index_date_livraison]]+1,6)*(Tab_Calculs[[#This Row],[fin mois]]-MIN(Tab_Calculs[[#This Row],[fin mois]],Tab_Calculs[[#This Row],[Date_livraison]]))</f>
        <v>#VALUE!</v>
      </c>
      <c r="N786" s="231" t="str">
        <f ca="1">IFERROR(Tab_Calculs[[#This Row],[Ratio_jour_après_livr]]+Tab_Calculs[[#This Row],[Ratio_jour_avant_livr]]+Tab_Calculs[[#This Row],[ratio_avant_debut]],"")</f>
        <v/>
      </c>
      <c r="O786" t="e">
        <f ca="1">INDEX(INDIRECT(CONCATENATE("Tab_",Tab_Calculs[[#This Row],[Colonne1]])),Tab_Calculs[[#This Row],[index_date_livraison]]-1,7)*(MAX(Tab_Calculs[[#This Row],[Début periode livraison]],Tab_Calculs[[#This Row],[Début mois]])-Tab_Calculs[[#This Row],[Début mois]])</f>
        <v>#VALUE!</v>
      </c>
      <c r="P786">
        <f ca="1">INDEX(INDIRECT(CONCATENATE("Tab_",Tab_Calculs[[#This Row],[Colonne1]])),Tab_Calculs[[#This Row],[index_date_livraison]],7)*(1+MIN(Tab_Calculs[[#This Row],[Date_livraison]],Tab_Calculs[[#This Row],[fin mois]])-MAX(Tab_Calculs[[#This Row],[Début mois]],Tab_Calculs[[#This Row],[Début periode livraison]]))</f>
        <v>0</v>
      </c>
      <c r="Q786" t="e">
        <f ca="1">INDEX(INDIRECT(CONCATENATE("Tab_",Tab_Calculs[[#This Row],[Colonne1]])),Tab_Calculs[[#This Row],[index_date_livraison]]+1,7)*(Tab_Calculs[[#This Row],[fin mois]]-MIN(Tab_Calculs[[#This Row],[fin mois]],Tab_Calculs[[#This Row],[Date_livraison]]))</f>
        <v>#VALUE!</v>
      </c>
      <c r="R786" t="e">
        <f ca="1">Tab_Calculs[[#This Row],[Ratio_Cout_après_livr]]+Tab_Calculs[[#This Row],[Ratio_Cout_avant_livr]]+Tab_Calculs[[#This Row],[Ratio_Cout_avant_debut]]</f>
        <v>#VALUE!</v>
      </c>
      <c r="S786" t="str">
        <f ca="1">IFERROR(N786*VLOOKUP(Tab_Calculs[[#This Row],[Colonne1]],Controle_des_données!$B$7:$G$14,6,FALSE),"")</f>
        <v/>
      </c>
      <c r="T786" t="str">
        <f ca="1">IF(Tab_Calculs[[#This Row],[Combustible ]]="Electricité (kWh)",Tab_Calculs[[#This Row],[Conso_mois_kWh]]*2.3,Tab_Calculs[[#This Row],[Conso_mois_kWh]])</f>
        <v/>
      </c>
      <c r="U786" t="str">
        <f ca="1">IFERROR(N786*VLOOKUP(Tab_Calculs[[#This Row],[Colonne1]],Controle_des_données!$B$7:$H$14,7,FALSE),"")</f>
        <v/>
      </c>
      <c r="V786">
        <f ca="1">IFERROR(Tab_Calculs[[#This Row],[Cout_mois]]/Tab_Calculs[[#This Row],[Conso_mois_kWh]],0)</f>
        <v>0</v>
      </c>
      <c r="W786" t="str">
        <f>T(VLOOKUP(Tab_Calculs[[#This Row],[Compteur]],Site!$B$33:$G$40,3,FALSE))</f>
        <v/>
      </c>
      <c r="X786" t="str">
        <f>T(VLOOKUP(Tab_Calculs[[#This Row],[Compteur]],Site!$B$33:$G$40,4,FALSE))</f>
        <v/>
      </c>
      <c r="Y786" t="str">
        <f>T(VLOOKUP(Tab_Calculs[[#This Row],[Compteur]],Site!$B$33:$G$40,5,FALSE))</f>
        <v/>
      </c>
      <c r="Z786" t="str">
        <f>T(VLOOKUP(Tab_Calculs[[#This Row],[Compteur]],Site!$B$33:$G$40,6,FALSE))</f>
        <v/>
      </c>
      <c r="AA786">
        <f>IFERROR(GETPIVOTDATA("DJU(chauffagiste)",BDD_DJU!$P$13,"annee",Tab_Calculs[[#This Row],[ANNEE]],"mois_numero",Tab_Calculs[[#This Row],[MOIS]]),0)</f>
        <v>190.1</v>
      </c>
    </row>
    <row r="787" spans="1:27" x14ac:dyDescent="0.25">
      <c r="A787" s="3">
        <f>DATE(Tab_Calculs[[#This Row],[ANNEE]],Tab_Calculs[[#This Row],[MOIS]],1)</f>
        <v>40483</v>
      </c>
      <c r="B787" s="3">
        <f>EDATE(Tab_Calculs[[#This Row],[Début mois]],1)-1</f>
        <v>40512</v>
      </c>
      <c r="C787">
        <v>11</v>
      </c>
      <c r="D787">
        <v>2010</v>
      </c>
      <c r="E787" t="s">
        <v>84</v>
      </c>
      <c r="F787" t="str">
        <f>SUBSTITUTE(Tab_Calculs[[#This Row],[Compteur]]," ","_")</f>
        <v>Compteur_5</v>
      </c>
      <c r="G787" t="str">
        <f>T(INDEX(Site!$B$33:$G$40, MATCH(Tab_Calculs[[#This Row],[Compteur]], Site!$B$33:$B$40,0),2))</f>
        <v/>
      </c>
      <c r="H787" s="3">
        <f t="array" aca="1" ref="H787" ca="1">MIN(IF(INDIRECT(CONCATENATE(Tab_Calculs[[#This Row],[Colonne1]],"!$B$2:$B$243"))&gt;=Calculs_Consos!$A787,INDIRECT(CONCATENATE(Tab_Calculs[[#This Row],[Colonne1]],"!$B$2:$B$243"))))</f>
        <v>0</v>
      </c>
      <c r="I787" s="3">
        <f ca="1">INDEX(INDIRECT(CONCATENATE("Tab_",Tab_Calculs[[#This Row],[Colonne1]])),Tab_Calculs[[#This Row],[index_date_livraison]],1)</f>
        <v>0</v>
      </c>
      <c r="J787">
        <f ca="1">MATCH(Tab_Calculs[[#This Row],[Date_livraison]],INDIRECT(CONCATENATE("Tab_",Tab_Calculs[[#This Row],[Colonne1]],"[Fin de période]")),0)</f>
        <v>1</v>
      </c>
      <c r="K787" t="e">
        <f ca="1">INDEX(INDIRECT(CONCATENATE("Tab_",Tab_Calculs[[#This Row],[Colonne1]])),Tab_Calculs[[#This Row],[index_date_livraison]]-1,6)*(MAX(Tab_Calculs[[#This Row],[Début periode livraison]],Tab_Calculs[[#This Row],[Début mois]])-Tab_Calculs[[#This Row],[Début mois]])</f>
        <v>#VALUE!</v>
      </c>
      <c r="L787" s="94">
        <f ca="1">INDEX(INDIRECT(CONCATENATE("Tab_",Tab_Calculs[[#This Row],[Colonne1]])),Tab_Calculs[[#This Row],[index_date_livraison]],6)*(1+MIN(Tab_Calculs[[#This Row],[Date_livraison]],Tab_Calculs[[#This Row],[fin mois]])-MAX(Tab_Calculs[[#This Row],[Début mois]],Tab_Calculs[[#This Row],[Début periode livraison]]))</f>
        <v>0</v>
      </c>
      <c r="M787" s="94" t="e">
        <f ca="1">INDEX(INDIRECT(CONCATENATE("Tab_",Tab_Calculs[[#This Row],[Colonne1]])),Tab_Calculs[[#This Row],[index_date_livraison]]+1,6)*(Tab_Calculs[[#This Row],[fin mois]]-MIN(Tab_Calculs[[#This Row],[fin mois]],Tab_Calculs[[#This Row],[Date_livraison]]))</f>
        <v>#VALUE!</v>
      </c>
      <c r="N787" s="231" t="str">
        <f ca="1">IFERROR(Tab_Calculs[[#This Row],[Ratio_jour_après_livr]]+Tab_Calculs[[#This Row],[Ratio_jour_avant_livr]]+Tab_Calculs[[#This Row],[ratio_avant_debut]],"")</f>
        <v/>
      </c>
      <c r="O787" t="e">
        <f ca="1">INDEX(INDIRECT(CONCATENATE("Tab_",Tab_Calculs[[#This Row],[Colonne1]])),Tab_Calculs[[#This Row],[index_date_livraison]]-1,7)*(MAX(Tab_Calculs[[#This Row],[Début periode livraison]],Tab_Calculs[[#This Row],[Début mois]])-Tab_Calculs[[#This Row],[Début mois]])</f>
        <v>#VALUE!</v>
      </c>
      <c r="P787">
        <f ca="1">INDEX(INDIRECT(CONCATENATE("Tab_",Tab_Calculs[[#This Row],[Colonne1]])),Tab_Calculs[[#This Row],[index_date_livraison]],7)*(1+MIN(Tab_Calculs[[#This Row],[Date_livraison]],Tab_Calculs[[#This Row],[fin mois]])-MAX(Tab_Calculs[[#This Row],[Début mois]],Tab_Calculs[[#This Row],[Début periode livraison]]))</f>
        <v>0</v>
      </c>
      <c r="Q787" t="e">
        <f ca="1">INDEX(INDIRECT(CONCATENATE("Tab_",Tab_Calculs[[#This Row],[Colonne1]])),Tab_Calculs[[#This Row],[index_date_livraison]]+1,7)*(Tab_Calculs[[#This Row],[fin mois]]-MIN(Tab_Calculs[[#This Row],[fin mois]],Tab_Calculs[[#This Row],[Date_livraison]]))</f>
        <v>#VALUE!</v>
      </c>
      <c r="R787" t="e">
        <f ca="1">Tab_Calculs[[#This Row],[Ratio_Cout_après_livr]]+Tab_Calculs[[#This Row],[Ratio_Cout_avant_livr]]+Tab_Calculs[[#This Row],[Ratio_Cout_avant_debut]]</f>
        <v>#VALUE!</v>
      </c>
      <c r="S787" t="str">
        <f ca="1">IFERROR(N787*VLOOKUP(Tab_Calculs[[#This Row],[Colonne1]],Controle_des_données!$B$7:$G$14,6,FALSE),"")</f>
        <v/>
      </c>
      <c r="T787" t="str">
        <f ca="1">IF(Tab_Calculs[[#This Row],[Combustible ]]="Electricité (kWh)",Tab_Calculs[[#This Row],[Conso_mois_kWh]]*2.3,Tab_Calculs[[#This Row],[Conso_mois_kWh]])</f>
        <v/>
      </c>
      <c r="U787" t="str">
        <f ca="1">IFERROR(N787*VLOOKUP(Tab_Calculs[[#This Row],[Colonne1]],Controle_des_données!$B$7:$H$14,7,FALSE),"")</f>
        <v/>
      </c>
      <c r="V787">
        <f ca="1">IFERROR(Tab_Calculs[[#This Row],[Cout_mois]]/Tab_Calculs[[#This Row],[Conso_mois_kWh]],0)</f>
        <v>0</v>
      </c>
      <c r="W787" t="str">
        <f>T(VLOOKUP(Tab_Calculs[[#This Row],[Compteur]],Site!$B$33:$G$40,3,FALSE))</f>
        <v/>
      </c>
      <c r="X787" t="str">
        <f>T(VLOOKUP(Tab_Calculs[[#This Row],[Compteur]],Site!$B$33:$G$40,4,FALSE))</f>
        <v/>
      </c>
      <c r="Y787" t="str">
        <f>T(VLOOKUP(Tab_Calculs[[#This Row],[Compteur]],Site!$B$33:$G$40,5,FALSE))</f>
        <v/>
      </c>
      <c r="Z787" t="str">
        <f>T(VLOOKUP(Tab_Calculs[[#This Row],[Compteur]],Site!$B$33:$G$40,6,FALSE))</f>
        <v/>
      </c>
      <c r="AA787">
        <f>IFERROR(GETPIVOTDATA("DJU(chauffagiste)",BDD_DJU!$P$13,"annee",Tab_Calculs[[#This Row],[ANNEE]],"mois_numero",Tab_Calculs[[#This Row],[MOIS]]),0)</f>
        <v>320.89999999999998</v>
      </c>
    </row>
    <row r="788" spans="1:27" x14ac:dyDescent="0.25">
      <c r="A788" s="3">
        <f>DATE(Tab_Calculs[[#This Row],[ANNEE]],Tab_Calculs[[#This Row],[MOIS]],1)</f>
        <v>40513</v>
      </c>
      <c r="B788" s="3">
        <f>EDATE(Tab_Calculs[[#This Row],[Début mois]],1)-1</f>
        <v>40543</v>
      </c>
      <c r="C788">
        <v>12</v>
      </c>
      <c r="D788">
        <v>2010</v>
      </c>
      <c r="E788" t="s">
        <v>84</v>
      </c>
      <c r="F788" t="str">
        <f>SUBSTITUTE(Tab_Calculs[[#This Row],[Compteur]]," ","_")</f>
        <v>Compteur_5</v>
      </c>
      <c r="G788" t="str">
        <f>T(INDEX(Site!$B$33:$G$40, MATCH(Tab_Calculs[[#This Row],[Compteur]], Site!$B$33:$B$40,0),2))</f>
        <v/>
      </c>
      <c r="H788" s="3">
        <f t="array" aca="1" ref="H788" ca="1">MIN(IF(INDIRECT(CONCATENATE(Tab_Calculs[[#This Row],[Colonne1]],"!$B$2:$B$243"))&gt;=Calculs_Consos!$A788,INDIRECT(CONCATENATE(Tab_Calculs[[#This Row],[Colonne1]],"!$B$2:$B$243"))))</f>
        <v>0</v>
      </c>
      <c r="I788" s="3">
        <f ca="1">INDEX(INDIRECT(CONCATENATE("Tab_",Tab_Calculs[[#This Row],[Colonne1]])),Tab_Calculs[[#This Row],[index_date_livraison]],1)</f>
        <v>0</v>
      </c>
      <c r="J788">
        <f ca="1">MATCH(Tab_Calculs[[#This Row],[Date_livraison]],INDIRECT(CONCATENATE("Tab_",Tab_Calculs[[#This Row],[Colonne1]],"[Fin de période]")),0)</f>
        <v>1</v>
      </c>
      <c r="K788" t="e">
        <f ca="1">INDEX(INDIRECT(CONCATENATE("Tab_",Tab_Calculs[[#This Row],[Colonne1]])),Tab_Calculs[[#This Row],[index_date_livraison]]-1,6)*(MAX(Tab_Calculs[[#This Row],[Début periode livraison]],Tab_Calculs[[#This Row],[Début mois]])-Tab_Calculs[[#This Row],[Début mois]])</f>
        <v>#VALUE!</v>
      </c>
      <c r="L788" s="94">
        <f ca="1">INDEX(INDIRECT(CONCATENATE("Tab_",Tab_Calculs[[#This Row],[Colonne1]])),Tab_Calculs[[#This Row],[index_date_livraison]],6)*(1+MIN(Tab_Calculs[[#This Row],[Date_livraison]],Tab_Calculs[[#This Row],[fin mois]])-MAX(Tab_Calculs[[#This Row],[Début mois]],Tab_Calculs[[#This Row],[Début periode livraison]]))</f>
        <v>0</v>
      </c>
      <c r="M788" s="94" t="e">
        <f ca="1">INDEX(INDIRECT(CONCATENATE("Tab_",Tab_Calculs[[#This Row],[Colonne1]])),Tab_Calculs[[#This Row],[index_date_livraison]]+1,6)*(Tab_Calculs[[#This Row],[fin mois]]-MIN(Tab_Calculs[[#This Row],[fin mois]],Tab_Calculs[[#This Row],[Date_livraison]]))</f>
        <v>#VALUE!</v>
      </c>
      <c r="N788" s="231" t="str">
        <f ca="1">IFERROR(Tab_Calculs[[#This Row],[Ratio_jour_après_livr]]+Tab_Calculs[[#This Row],[Ratio_jour_avant_livr]]+Tab_Calculs[[#This Row],[ratio_avant_debut]],"")</f>
        <v/>
      </c>
      <c r="O788" t="e">
        <f ca="1">INDEX(INDIRECT(CONCATENATE("Tab_",Tab_Calculs[[#This Row],[Colonne1]])),Tab_Calculs[[#This Row],[index_date_livraison]]-1,7)*(MAX(Tab_Calculs[[#This Row],[Début periode livraison]],Tab_Calculs[[#This Row],[Début mois]])-Tab_Calculs[[#This Row],[Début mois]])</f>
        <v>#VALUE!</v>
      </c>
      <c r="P788">
        <f ca="1">INDEX(INDIRECT(CONCATENATE("Tab_",Tab_Calculs[[#This Row],[Colonne1]])),Tab_Calculs[[#This Row],[index_date_livraison]],7)*(1+MIN(Tab_Calculs[[#This Row],[Date_livraison]],Tab_Calculs[[#This Row],[fin mois]])-MAX(Tab_Calculs[[#This Row],[Début mois]],Tab_Calculs[[#This Row],[Début periode livraison]]))</f>
        <v>0</v>
      </c>
      <c r="Q788" t="e">
        <f ca="1">INDEX(INDIRECT(CONCATENATE("Tab_",Tab_Calculs[[#This Row],[Colonne1]])),Tab_Calculs[[#This Row],[index_date_livraison]]+1,7)*(Tab_Calculs[[#This Row],[fin mois]]-MIN(Tab_Calculs[[#This Row],[fin mois]],Tab_Calculs[[#This Row],[Date_livraison]]))</f>
        <v>#VALUE!</v>
      </c>
      <c r="R788" t="e">
        <f ca="1">Tab_Calculs[[#This Row],[Ratio_Cout_après_livr]]+Tab_Calculs[[#This Row],[Ratio_Cout_avant_livr]]+Tab_Calculs[[#This Row],[Ratio_Cout_avant_debut]]</f>
        <v>#VALUE!</v>
      </c>
      <c r="S788" t="str">
        <f ca="1">IFERROR(N788*VLOOKUP(Tab_Calculs[[#This Row],[Colonne1]],Controle_des_données!$B$7:$G$14,6,FALSE),"")</f>
        <v/>
      </c>
      <c r="T788" t="str">
        <f ca="1">IF(Tab_Calculs[[#This Row],[Combustible ]]="Electricité (kWh)",Tab_Calculs[[#This Row],[Conso_mois_kWh]]*2.3,Tab_Calculs[[#This Row],[Conso_mois_kWh]])</f>
        <v/>
      </c>
      <c r="U788" t="str">
        <f ca="1">IFERROR(N788*VLOOKUP(Tab_Calculs[[#This Row],[Colonne1]],Controle_des_données!$B$7:$H$14,7,FALSE),"")</f>
        <v/>
      </c>
      <c r="V788">
        <f ca="1">IFERROR(Tab_Calculs[[#This Row],[Cout_mois]]/Tab_Calculs[[#This Row],[Conso_mois_kWh]],0)</f>
        <v>0</v>
      </c>
      <c r="W788" t="str">
        <f>T(VLOOKUP(Tab_Calculs[[#This Row],[Compteur]],Site!$B$33:$G$40,3,FALSE))</f>
        <v/>
      </c>
      <c r="X788" t="str">
        <f>T(VLOOKUP(Tab_Calculs[[#This Row],[Compteur]],Site!$B$33:$G$40,4,FALSE))</f>
        <v/>
      </c>
      <c r="Y788" t="str">
        <f>T(VLOOKUP(Tab_Calculs[[#This Row],[Compteur]],Site!$B$33:$G$40,5,FALSE))</f>
        <v/>
      </c>
      <c r="Z788" t="str">
        <f>T(VLOOKUP(Tab_Calculs[[#This Row],[Compteur]],Site!$B$33:$G$40,6,FALSE))</f>
        <v/>
      </c>
      <c r="AA788">
        <f>IFERROR(GETPIVOTDATA("DJU(chauffagiste)",BDD_DJU!$P$13,"annee",Tab_Calculs[[#This Row],[ANNEE]],"mois_numero",Tab_Calculs[[#This Row],[MOIS]]),0)</f>
        <v>500.7</v>
      </c>
    </row>
    <row r="789" spans="1:27" x14ac:dyDescent="0.25">
      <c r="A789" s="3">
        <f>DATE(Tab_Calculs[[#This Row],[ANNEE]],Tab_Calculs[[#This Row],[MOIS]],1)</f>
        <v>40544</v>
      </c>
      <c r="B789" s="3">
        <f>EDATE(Tab_Calculs[[#This Row],[Début mois]],1)-1</f>
        <v>40574</v>
      </c>
      <c r="C789">
        <v>1</v>
      </c>
      <c r="D789">
        <v>2011</v>
      </c>
      <c r="E789" t="s">
        <v>84</v>
      </c>
      <c r="F789" t="str">
        <f>SUBSTITUTE(Tab_Calculs[[#This Row],[Compteur]]," ","_")</f>
        <v>Compteur_5</v>
      </c>
      <c r="G789" t="str">
        <f>T(INDEX(Site!$B$33:$G$40, MATCH(Tab_Calculs[[#This Row],[Compteur]], Site!$B$33:$B$40,0),2))</f>
        <v/>
      </c>
      <c r="H789" s="3">
        <f t="array" aca="1" ref="H789" ca="1">MIN(IF(INDIRECT(CONCATENATE(Tab_Calculs[[#This Row],[Colonne1]],"!$B$2:$B$243"))&gt;=Calculs_Consos!$A789,INDIRECT(CONCATENATE(Tab_Calculs[[#This Row],[Colonne1]],"!$B$2:$B$243"))))</f>
        <v>0</v>
      </c>
      <c r="I789" s="3">
        <f ca="1">INDEX(INDIRECT(CONCATENATE("Tab_",Tab_Calculs[[#This Row],[Colonne1]])),Tab_Calculs[[#This Row],[index_date_livraison]],1)</f>
        <v>0</v>
      </c>
      <c r="J789">
        <f ca="1">MATCH(Tab_Calculs[[#This Row],[Date_livraison]],INDIRECT(CONCATENATE("Tab_",Tab_Calculs[[#This Row],[Colonne1]],"[Fin de période]")),0)</f>
        <v>1</v>
      </c>
      <c r="K789" t="e">
        <f ca="1">INDEX(INDIRECT(CONCATENATE("Tab_",Tab_Calculs[[#This Row],[Colonne1]])),Tab_Calculs[[#This Row],[index_date_livraison]]-1,6)*(MAX(Tab_Calculs[[#This Row],[Début periode livraison]],Tab_Calculs[[#This Row],[Début mois]])-Tab_Calculs[[#This Row],[Début mois]])</f>
        <v>#VALUE!</v>
      </c>
      <c r="L789" s="94">
        <f ca="1">INDEX(INDIRECT(CONCATENATE("Tab_",Tab_Calculs[[#This Row],[Colonne1]])),Tab_Calculs[[#This Row],[index_date_livraison]],6)*(1+MIN(Tab_Calculs[[#This Row],[Date_livraison]],Tab_Calculs[[#This Row],[fin mois]])-MAX(Tab_Calculs[[#This Row],[Début mois]],Tab_Calculs[[#This Row],[Début periode livraison]]))</f>
        <v>0</v>
      </c>
      <c r="M789" s="94" t="e">
        <f ca="1">INDEX(INDIRECT(CONCATENATE("Tab_",Tab_Calculs[[#This Row],[Colonne1]])),Tab_Calculs[[#This Row],[index_date_livraison]]+1,6)*(Tab_Calculs[[#This Row],[fin mois]]-MIN(Tab_Calculs[[#This Row],[fin mois]],Tab_Calculs[[#This Row],[Date_livraison]]))</f>
        <v>#VALUE!</v>
      </c>
      <c r="N789" s="231" t="str">
        <f ca="1">IFERROR(Tab_Calculs[[#This Row],[Ratio_jour_après_livr]]+Tab_Calculs[[#This Row],[Ratio_jour_avant_livr]]+Tab_Calculs[[#This Row],[ratio_avant_debut]],"")</f>
        <v/>
      </c>
      <c r="O789" t="e">
        <f ca="1">INDEX(INDIRECT(CONCATENATE("Tab_",Tab_Calculs[[#This Row],[Colonne1]])),Tab_Calculs[[#This Row],[index_date_livraison]]-1,7)*(MAX(Tab_Calculs[[#This Row],[Début periode livraison]],Tab_Calculs[[#This Row],[Début mois]])-Tab_Calculs[[#This Row],[Début mois]])</f>
        <v>#VALUE!</v>
      </c>
      <c r="P789">
        <f ca="1">INDEX(INDIRECT(CONCATENATE("Tab_",Tab_Calculs[[#This Row],[Colonne1]])),Tab_Calculs[[#This Row],[index_date_livraison]],7)*(1+MIN(Tab_Calculs[[#This Row],[Date_livraison]],Tab_Calculs[[#This Row],[fin mois]])-MAX(Tab_Calculs[[#This Row],[Début mois]],Tab_Calculs[[#This Row],[Début periode livraison]]))</f>
        <v>0</v>
      </c>
      <c r="Q789" t="e">
        <f ca="1">INDEX(INDIRECT(CONCATENATE("Tab_",Tab_Calculs[[#This Row],[Colonne1]])),Tab_Calculs[[#This Row],[index_date_livraison]]+1,7)*(Tab_Calculs[[#This Row],[fin mois]]-MIN(Tab_Calculs[[#This Row],[fin mois]],Tab_Calculs[[#This Row],[Date_livraison]]))</f>
        <v>#VALUE!</v>
      </c>
      <c r="R789" t="e">
        <f ca="1">Tab_Calculs[[#This Row],[Ratio_Cout_après_livr]]+Tab_Calculs[[#This Row],[Ratio_Cout_avant_livr]]+Tab_Calculs[[#This Row],[Ratio_Cout_avant_debut]]</f>
        <v>#VALUE!</v>
      </c>
      <c r="S789" t="str">
        <f ca="1">IFERROR(N789*VLOOKUP(Tab_Calculs[[#This Row],[Colonne1]],Controle_des_données!$B$7:$G$14,6,FALSE),"")</f>
        <v/>
      </c>
      <c r="T789" t="str">
        <f ca="1">IF(Tab_Calculs[[#This Row],[Combustible ]]="Electricité (kWh)",Tab_Calculs[[#This Row],[Conso_mois_kWh]]*2.3,Tab_Calculs[[#This Row],[Conso_mois_kWh]])</f>
        <v/>
      </c>
      <c r="U789" t="str">
        <f ca="1">IFERROR(N789*VLOOKUP(Tab_Calculs[[#This Row],[Colonne1]],Controle_des_données!$B$7:$H$14,7,FALSE),"")</f>
        <v/>
      </c>
      <c r="V789">
        <f ca="1">IFERROR(Tab_Calculs[[#This Row],[Cout_mois]]/Tab_Calculs[[#This Row],[Conso_mois_kWh]],0)</f>
        <v>0</v>
      </c>
      <c r="W789" t="str">
        <f>T(VLOOKUP(Tab_Calculs[[#This Row],[Compteur]],Site!$B$33:$G$40,3,FALSE))</f>
        <v/>
      </c>
      <c r="X789" t="str">
        <f>T(VLOOKUP(Tab_Calculs[[#This Row],[Compteur]],Site!$B$33:$G$40,4,FALSE))</f>
        <v/>
      </c>
      <c r="Y789" t="str">
        <f>T(VLOOKUP(Tab_Calculs[[#This Row],[Compteur]],Site!$B$33:$G$40,5,FALSE))</f>
        <v/>
      </c>
      <c r="Z789" t="str">
        <f>T(VLOOKUP(Tab_Calculs[[#This Row],[Compteur]],Site!$B$33:$G$40,6,FALSE))</f>
        <v/>
      </c>
      <c r="AA789">
        <f>IFERROR(GETPIVOTDATA("DJU(chauffagiste)",BDD_DJU!$P$13,"annee",Tab_Calculs[[#This Row],[ANNEE]],"mois_numero",Tab_Calculs[[#This Row],[MOIS]]),0)</f>
        <v>392.2</v>
      </c>
    </row>
    <row r="790" spans="1:27" x14ac:dyDescent="0.25">
      <c r="A790" s="3">
        <f>DATE(Tab_Calculs[[#This Row],[ANNEE]],Tab_Calculs[[#This Row],[MOIS]],1)</f>
        <v>40575</v>
      </c>
      <c r="B790" s="3">
        <f>EDATE(Tab_Calculs[[#This Row],[Début mois]],1)-1</f>
        <v>40602</v>
      </c>
      <c r="C790">
        <v>2</v>
      </c>
      <c r="D790">
        <v>2011</v>
      </c>
      <c r="E790" t="s">
        <v>84</v>
      </c>
      <c r="F790" t="str">
        <f>SUBSTITUTE(Tab_Calculs[[#This Row],[Compteur]]," ","_")</f>
        <v>Compteur_5</v>
      </c>
      <c r="G790" t="str">
        <f>T(INDEX(Site!$B$33:$G$40, MATCH(Tab_Calculs[[#This Row],[Compteur]], Site!$B$33:$B$40,0),2))</f>
        <v/>
      </c>
      <c r="H790" s="3">
        <f t="array" aca="1" ref="H790" ca="1">MIN(IF(INDIRECT(CONCATENATE(Tab_Calculs[[#This Row],[Colonne1]],"!$B$2:$B$243"))&gt;=Calculs_Consos!$A790,INDIRECT(CONCATENATE(Tab_Calculs[[#This Row],[Colonne1]],"!$B$2:$B$243"))))</f>
        <v>0</v>
      </c>
      <c r="I790" s="3">
        <f ca="1">INDEX(INDIRECT(CONCATENATE("Tab_",Tab_Calculs[[#This Row],[Colonne1]])),Tab_Calculs[[#This Row],[index_date_livraison]],1)</f>
        <v>0</v>
      </c>
      <c r="J790">
        <f ca="1">MATCH(Tab_Calculs[[#This Row],[Date_livraison]],INDIRECT(CONCATENATE("Tab_",Tab_Calculs[[#This Row],[Colonne1]],"[Fin de période]")),0)</f>
        <v>1</v>
      </c>
      <c r="K790" t="e">
        <f ca="1">INDEX(INDIRECT(CONCATENATE("Tab_",Tab_Calculs[[#This Row],[Colonne1]])),Tab_Calculs[[#This Row],[index_date_livraison]]-1,6)*(MAX(Tab_Calculs[[#This Row],[Début periode livraison]],Tab_Calculs[[#This Row],[Début mois]])-Tab_Calculs[[#This Row],[Début mois]])</f>
        <v>#VALUE!</v>
      </c>
      <c r="L790" s="94">
        <f ca="1">INDEX(INDIRECT(CONCATENATE("Tab_",Tab_Calculs[[#This Row],[Colonne1]])),Tab_Calculs[[#This Row],[index_date_livraison]],6)*(1+MIN(Tab_Calculs[[#This Row],[Date_livraison]],Tab_Calculs[[#This Row],[fin mois]])-MAX(Tab_Calculs[[#This Row],[Début mois]],Tab_Calculs[[#This Row],[Début periode livraison]]))</f>
        <v>0</v>
      </c>
      <c r="M790" s="94" t="e">
        <f ca="1">INDEX(INDIRECT(CONCATENATE("Tab_",Tab_Calculs[[#This Row],[Colonne1]])),Tab_Calculs[[#This Row],[index_date_livraison]]+1,6)*(Tab_Calculs[[#This Row],[fin mois]]-MIN(Tab_Calculs[[#This Row],[fin mois]],Tab_Calculs[[#This Row],[Date_livraison]]))</f>
        <v>#VALUE!</v>
      </c>
      <c r="N790" s="231" t="str">
        <f ca="1">IFERROR(Tab_Calculs[[#This Row],[Ratio_jour_après_livr]]+Tab_Calculs[[#This Row],[Ratio_jour_avant_livr]]+Tab_Calculs[[#This Row],[ratio_avant_debut]],"")</f>
        <v/>
      </c>
      <c r="O790" t="e">
        <f ca="1">INDEX(INDIRECT(CONCATENATE("Tab_",Tab_Calculs[[#This Row],[Colonne1]])),Tab_Calculs[[#This Row],[index_date_livraison]]-1,7)*(MAX(Tab_Calculs[[#This Row],[Début periode livraison]],Tab_Calculs[[#This Row],[Début mois]])-Tab_Calculs[[#This Row],[Début mois]])</f>
        <v>#VALUE!</v>
      </c>
      <c r="P790">
        <f ca="1">INDEX(INDIRECT(CONCATENATE("Tab_",Tab_Calculs[[#This Row],[Colonne1]])),Tab_Calculs[[#This Row],[index_date_livraison]],7)*(1+MIN(Tab_Calculs[[#This Row],[Date_livraison]],Tab_Calculs[[#This Row],[fin mois]])-MAX(Tab_Calculs[[#This Row],[Début mois]],Tab_Calculs[[#This Row],[Début periode livraison]]))</f>
        <v>0</v>
      </c>
      <c r="Q790" t="e">
        <f ca="1">INDEX(INDIRECT(CONCATENATE("Tab_",Tab_Calculs[[#This Row],[Colonne1]])),Tab_Calculs[[#This Row],[index_date_livraison]]+1,7)*(Tab_Calculs[[#This Row],[fin mois]]-MIN(Tab_Calculs[[#This Row],[fin mois]],Tab_Calculs[[#This Row],[Date_livraison]]))</f>
        <v>#VALUE!</v>
      </c>
      <c r="R790" t="e">
        <f ca="1">Tab_Calculs[[#This Row],[Ratio_Cout_après_livr]]+Tab_Calculs[[#This Row],[Ratio_Cout_avant_livr]]+Tab_Calculs[[#This Row],[Ratio_Cout_avant_debut]]</f>
        <v>#VALUE!</v>
      </c>
      <c r="S790" t="str">
        <f ca="1">IFERROR(N790*VLOOKUP(Tab_Calculs[[#This Row],[Colonne1]],Controle_des_données!$B$7:$G$14,6,FALSE),"")</f>
        <v/>
      </c>
      <c r="T790" t="str">
        <f ca="1">IF(Tab_Calculs[[#This Row],[Combustible ]]="Electricité (kWh)",Tab_Calculs[[#This Row],[Conso_mois_kWh]]*2.3,Tab_Calculs[[#This Row],[Conso_mois_kWh]])</f>
        <v/>
      </c>
      <c r="U790" t="str">
        <f ca="1">IFERROR(N790*VLOOKUP(Tab_Calculs[[#This Row],[Colonne1]],Controle_des_données!$B$7:$H$14,7,FALSE),"")</f>
        <v/>
      </c>
      <c r="V790">
        <f ca="1">IFERROR(Tab_Calculs[[#This Row],[Cout_mois]]/Tab_Calculs[[#This Row],[Conso_mois_kWh]],0)</f>
        <v>0</v>
      </c>
      <c r="W790" t="str">
        <f>T(VLOOKUP(Tab_Calculs[[#This Row],[Compteur]],Site!$B$33:$G$40,3,FALSE))</f>
        <v/>
      </c>
      <c r="X790" t="str">
        <f>T(VLOOKUP(Tab_Calculs[[#This Row],[Compteur]],Site!$B$33:$G$40,4,FALSE))</f>
        <v/>
      </c>
      <c r="Y790" t="str">
        <f>T(VLOOKUP(Tab_Calculs[[#This Row],[Compteur]],Site!$B$33:$G$40,5,FALSE))</f>
        <v/>
      </c>
      <c r="Z790" t="str">
        <f>T(VLOOKUP(Tab_Calculs[[#This Row],[Compteur]],Site!$B$33:$G$40,6,FALSE))</f>
        <v/>
      </c>
      <c r="AA790">
        <f>IFERROR(GETPIVOTDATA("DJU(chauffagiste)",BDD_DJU!$P$13,"annee",Tab_Calculs[[#This Row],[ANNEE]],"mois_numero",Tab_Calculs[[#This Row],[MOIS]]),0)</f>
        <v>299.10000000000002</v>
      </c>
    </row>
    <row r="791" spans="1:27" x14ac:dyDescent="0.25">
      <c r="A791" s="3">
        <f>DATE(Tab_Calculs[[#This Row],[ANNEE]],Tab_Calculs[[#This Row],[MOIS]],1)</f>
        <v>40603</v>
      </c>
      <c r="B791" s="3">
        <f>EDATE(Tab_Calculs[[#This Row],[Début mois]],1)-1</f>
        <v>40633</v>
      </c>
      <c r="C791">
        <v>3</v>
      </c>
      <c r="D791">
        <v>2011</v>
      </c>
      <c r="E791" t="s">
        <v>84</v>
      </c>
      <c r="F791" t="str">
        <f>SUBSTITUTE(Tab_Calculs[[#This Row],[Compteur]]," ","_")</f>
        <v>Compteur_5</v>
      </c>
      <c r="G791" t="str">
        <f>T(INDEX(Site!$B$33:$G$40, MATCH(Tab_Calculs[[#This Row],[Compteur]], Site!$B$33:$B$40,0),2))</f>
        <v/>
      </c>
      <c r="H791" s="3">
        <f t="array" aca="1" ref="H791" ca="1">MIN(IF(INDIRECT(CONCATENATE(Tab_Calculs[[#This Row],[Colonne1]],"!$B$2:$B$243"))&gt;=Calculs_Consos!$A791,INDIRECT(CONCATENATE(Tab_Calculs[[#This Row],[Colonne1]],"!$B$2:$B$243"))))</f>
        <v>0</v>
      </c>
      <c r="I791" s="3">
        <f ca="1">INDEX(INDIRECT(CONCATENATE("Tab_",Tab_Calculs[[#This Row],[Colonne1]])),Tab_Calculs[[#This Row],[index_date_livraison]],1)</f>
        <v>0</v>
      </c>
      <c r="J791">
        <f ca="1">MATCH(Tab_Calculs[[#This Row],[Date_livraison]],INDIRECT(CONCATENATE("Tab_",Tab_Calculs[[#This Row],[Colonne1]],"[Fin de période]")),0)</f>
        <v>1</v>
      </c>
      <c r="K791" t="e">
        <f ca="1">INDEX(INDIRECT(CONCATENATE("Tab_",Tab_Calculs[[#This Row],[Colonne1]])),Tab_Calculs[[#This Row],[index_date_livraison]]-1,6)*(MAX(Tab_Calculs[[#This Row],[Début periode livraison]],Tab_Calculs[[#This Row],[Début mois]])-Tab_Calculs[[#This Row],[Début mois]])</f>
        <v>#VALUE!</v>
      </c>
      <c r="L791" s="94">
        <f ca="1">INDEX(INDIRECT(CONCATENATE("Tab_",Tab_Calculs[[#This Row],[Colonne1]])),Tab_Calculs[[#This Row],[index_date_livraison]],6)*(1+MIN(Tab_Calculs[[#This Row],[Date_livraison]],Tab_Calculs[[#This Row],[fin mois]])-MAX(Tab_Calculs[[#This Row],[Début mois]],Tab_Calculs[[#This Row],[Début periode livraison]]))</f>
        <v>0</v>
      </c>
      <c r="M791" s="94" t="e">
        <f ca="1">INDEX(INDIRECT(CONCATENATE("Tab_",Tab_Calculs[[#This Row],[Colonne1]])),Tab_Calculs[[#This Row],[index_date_livraison]]+1,6)*(Tab_Calculs[[#This Row],[fin mois]]-MIN(Tab_Calculs[[#This Row],[fin mois]],Tab_Calculs[[#This Row],[Date_livraison]]))</f>
        <v>#VALUE!</v>
      </c>
      <c r="N791" s="231" t="str">
        <f ca="1">IFERROR(Tab_Calculs[[#This Row],[Ratio_jour_après_livr]]+Tab_Calculs[[#This Row],[Ratio_jour_avant_livr]]+Tab_Calculs[[#This Row],[ratio_avant_debut]],"")</f>
        <v/>
      </c>
      <c r="O791" t="e">
        <f ca="1">INDEX(INDIRECT(CONCATENATE("Tab_",Tab_Calculs[[#This Row],[Colonne1]])),Tab_Calculs[[#This Row],[index_date_livraison]]-1,7)*(MAX(Tab_Calculs[[#This Row],[Début periode livraison]],Tab_Calculs[[#This Row],[Début mois]])-Tab_Calculs[[#This Row],[Début mois]])</f>
        <v>#VALUE!</v>
      </c>
      <c r="P791">
        <f ca="1">INDEX(INDIRECT(CONCATENATE("Tab_",Tab_Calculs[[#This Row],[Colonne1]])),Tab_Calculs[[#This Row],[index_date_livraison]],7)*(1+MIN(Tab_Calculs[[#This Row],[Date_livraison]],Tab_Calculs[[#This Row],[fin mois]])-MAX(Tab_Calculs[[#This Row],[Début mois]],Tab_Calculs[[#This Row],[Début periode livraison]]))</f>
        <v>0</v>
      </c>
      <c r="Q791" t="e">
        <f ca="1">INDEX(INDIRECT(CONCATENATE("Tab_",Tab_Calculs[[#This Row],[Colonne1]])),Tab_Calculs[[#This Row],[index_date_livraison]]+1,7)*(Tab_Calculs[[#This Row],[fin mois]]-MIN(Tab_Calculs[[#This Row],[fin mois]],Tab_Calculs[[#This Row],[Date_livraison]]))</f>
        <v>#VALUE!</v>
      </c>
      <c r="R791" t="e">
        <f ca="1">Tab_Calculs[[#This Row],[Ratio_Cout_après_livr]]+Tab_Calculs[[#This Row],[Ratio_Cout_avant_livr]]+Tab_Calculs[[#This Row],[Ratio_Cout_avant_debut]]</f>
        <v>#VALUE!</v>
      </c>
      <c r="S791" t="str">
        <f ca="1">IFERROR(N791*VLOOKUP(Tab_Calculs[[#This Row],[Colonne1]],Controle_des_données!$B$7:$G$14,6,FALSE),"")</f>
        <v/>
      </c>
      <c r="T791" t="str">
        <f ca="1">IF(Tab_Calculs[[#This Row],[Combustible ]]="Electricité (kWh)",Tab_Calculs[[#This Row],[Conso_mois_kWh]]*2.3,Tab_Calculs[[#This Row],[Conso_mois_kWh]])</f>
        <v/>
      </c>
      <c r="U791" t="str">
        <f ca="1">IFERROR(N791*VLOOKUP(Tab_Calculs[[#This Row],[Colonne1]],Controle_des_données!$B$7:$H$14,7,FALSE),"")</f>
        <v/>
      </c>
      <c r="V791">
        <f ca="1">IFERROR(Tab_Calculs[[#This Row],[Cout_mois]]/Tab_Calculs[[#This Row],[Conso_mois_kWh]],0)</f>
        <v>0</v>
      </c>
      <c r="W791" t="str">
        <f>T(VLOOKUP(Tab_Calculs[[#This Row],[Compteur]],Site!$B$33:$G$40,3,FALSE))</f>
        <v/>
      </c>
      <c r="X791" t="str">
        <f>T(VLOOKUP(Tab_Calculs[[#This Row],[Compteur]],Site!$B$33:$G$40,4,FALSE))</f>
        <v/>
      </c>
      <c r="Y791" t="str">
        <f>T(VLOOKUP(Tab_Calculs[[#This Row],[Compteur]],Site!$B$33:$G$40,5,FALSE))</f>
        <v/>
      </c>
      <c r="Z791" t="str">
        <f>T(VLOOKUP(Tab_Calculs[[#This Row],[Compteur]],Site!$B$33:$G$40,6,FALSE))</f>
        <v/>
      </c>
      <c r="AA791">
        <f>IFERROR(GETPIVOTDATA("DJU(chauffagiste)",BDD_DJU!$P$13,"annee",Tab_Calculs[[#This Row],[ANNEE]],"mois_numero",Tab_Calculs[[#This Row],[MOIS]]),0)</f>
        <v>266.5</v>
      </c>
    </row>
    <row r="792" spans="1:27" x14ac:dyDescent="0.25">
      <c r="A792" s="3">
        <f>DATE(Tab_Calculs[[#This Row],[ANNEE]],Tab_Calculs[[#This Row],[MOIS]],1)</f>
        <v>40634</v>
      </c>
      <c r="B792" s="3">
        <f>EDATE(Tab_Calculs[[#This Row],[Début mois]],1)-1</f>
        <v>40663</v>
      </c>
      <c r="C792">
        <v>4</v>
      </c>
      <c r="D792">
        <v>2011</v>
      </c>
      <c r="E792" t="s">
        <v>84</v>
      </c>
      <c r="F792" t="str">
        <f>SUBSTITUTE(Tab_Calculs[[#This Row],[Compteur]]," ","_")</f>
        <v>Compteur_5</v>
      </c>
      <c r="G792" t="str">
        <f>T(INDEX(Site!$B$33:$G$40, MATCH(Tab_Calculs[[#This Row],[Compteur]], Site!$B$33:$B$40,0),2))</f>
        <v/>
      </c>
      <c r="H792" s="3">
        <f t="array" aca="1" ref="H792" ca="1">MIN(IF(INDIRECT(CONCATENATE(Tab_Calculs[[#This Row],[Colonne1]],"!$B$2:$B$243"))&gt;=Calculs_Consos!$A792,INDIRECT(CONCATENATE(Tab_Calculs[[#This Row],[Colonne1]],"!$B$2:$B$243"))))</f>
        <v>0</v>
      </c>
      <c r="I792" s="3">
        <f ca="1">INDEX(INDIRECT(CONCATENATE("Tab_",Tab_Calculs[[#This Row],[Colonne1]])),Tab_Calculs[[#This Row],[index_date_livraison]],1)</f>
        <v>0</v>
      </c>
      <c r="J792">
        <f ca="1">MATCH(Tab_Calculs[[#This Row],[Date_livraison]],INDIRECT(CONCATENATE("Tab_",Tab_Calculs[[#This Row],[Colonne1]],"[Fin de période]")),0)</f>
        <v>1</v>
      </c>
      <c r="K792" t="e">
        <f ca="1">INDEX(INDIRECT(CONCATENATE("Tab_",Tab_Calculs[[#This Row],[Colonne1]])),Tab_Calculs[[#This Row],[index_date_livraison]]-1,6)*(MAX(Tab_Calculs[[#This Row],[Début periode livraison]],Tab_Calculs[[#This Row],[Début mois]])-Tab_Calculs[[#This Row],[Début mois]])</f>
        <v>#VALUE!</v>
      </c>
      <c r="L792" s="94">
        <f ca="1">INDEX(INDIRECT(CONCATENATE("Tab_",Tab_Calculs[[#This Row],[Colonne1]])),Tab_Calculs[[#This Row],[index_date_livraison]],6)*(1+MIN(Tab_Calculs[[#This Row],[Date_livraison]],Tab_Calculs[[#This Row],[fin mois]])-MAX(Tab_Calculs[[#This Row],[Début mois]],Tab_Calculs[[#This Row],[Début periode livraison]]))</f>
        <v>0</v>
      </c>
      <c r="M792" s="94" t="e">
        <f ca="1">INDEX(INDIRECT(CONCATENATE("Tab_",Tab_Calculs[[#This Row],[Colonne1]])),Tab_Calculs[[#This Row],[index_date_livraison]]+1,6)*(Tab_Calculs[[#This Row],[fin mois]]-MIN(Tab_Calculs[[#This Row],[fin mois]],Tab_Calculs[[#This Row],[Date_livraison]]))</f>
        <v>#VALUE!</v>
      </c>
      <c r="N792" s="231" t="str">
        <f ca="1">IFERROR(Tab_Calculs[[#This Row],[Ratio_jour_après_livr]]+Tab_Calculs[[#This Row],[Ratio_jour_avant_livr]]+Tab_Calculs[[#This Row],[ratio_avant_debut]],"")</f>
        <v/>
      </c>
      <c r="O792" t="e">
        <f ca="1">INDEX(INDIRECT(CONCATENATE("Tab_",Tab_Calculs[[#This Row],[Colonne1]])),Tab_Calculs[[#This Row],[index_date_livraison]]-1,7)*(MAX(Tab_Calculs[[#This Row],[Début periode livraison]],Tab_Calculs[[#This Row],[Début mois]])-Tab_Calculs[[#This Row],[Début mois]])</f>
        <v>#VALUE!</v>
      </c>
      <c r="P792">
        <f ca="1">INDEX(INDIRECT(CONCATENATE("Tab_",Tab_Calculs[[#This Row],[Colonne1]])),Tab_Calculs[[#This Row],[index_date_livraison]],7)*(1+MIN(Tab_Calculs[[#This Row],[Date_livraison]],Tab_Calculs[[#This Row],[fin mois]])-MAX(Tab_Calculs[[#This Row],[Début mois]],Tab_Calculs[[#This Row],[Début periode livraison]]))</f>
        <v>0</v>
      </c>
      <c r="Q792" t="e">
        <f ca="1">INDEX(INDIRECT(CONCATENATE("Tab_",Tab_Calculs[[#This Row],[Colonne1]])),Tab_Calculs[[#This Row],[index_date_livraison]]+1,7)*(Tab_Calculs[[#This Row],[fin mois]]-MIN(Tab_Calculs[[#This Row],[fin mois]],Tab_Calculs[[#This Row],[Date_livraison]]))</f>
        <v>#VALUE!</v>
      </c>
      <c r="R792" t="e">
        <f ca="1">Tab_Calculs[[#This Row],[Ratio_Cout_après_livr]]+Tab_Calculs[[#This Row],[Ratio_Cout_avant_livr]]+Tab_Calculs[[#This Row],[Ratio_Cout_avant_debut]]</f>
        <v>#VALUE!</v>
      </c>
      <c r="S792" t="str">
        <f ca="1">IFERROR(N792*VLOOKUP(Tab_Calculs[[#This Row],[Colonne1]],Controle_des_données!$B$7:$G$14,6,FALSE),"")</f>
        <v/>
      </c>
      <c r="T792" t="str">
        <f ca="1">IF(Tab_Calculs[[#This Row],[Combustible ]]="Electricité (kWh)",Tab_Calculs[[#This Row],[Conso_mois_kWh]]*2.3,Tab_Calculs[[#This Row],[Conso_mois_kWh]])</f>
        <v/>
      </c>
      <c r="U792" t="str">
        <f ca="1">IFERROR(N792*VLOOKUP(Tab_Calculs[[#This Row],[Colonne1]],Controle_des_données!$B$7:$H$14,7,FALSE),"")</f>
        <v/>
      </c>
      <c r="V792">
        <f ca="1">IFERROR(Tab_Calculs[[#This Row],[Cout_mois]]/Tab_Calculs[[#This Row],[Conso_mois_kWh]],0)</f>
        <v>0</v>
      </c>
      <c r="W792" t="str">
        <f>T(VLOOKUP(Tab_Calculs[[#This Row],[Compteur]],Site!$B$33:$G$40,3,FALSE))</f>
        <v/>
      </c>
      <c r="X792" t="str">
        <f>T(VLOOKUP(Tab_Calculs[[#This Row],[Compteur]],Site!$B$33:$G$40,4,FALSE))</f>
        <v/>
      </c>
      <c r="Y792" t="str">
        <f>T(VLOOKUP(Tab_Calculs[[#This Row],[Compteur]],Site!$B$33:$G$40,5,FALSE))</f>
        <v/>
      </c>
      <c r="Z792" t="str">
        <f>T(VLOOKUP(Tab_Calculs[[#This Row],[Compteur]],Site!$B$33:$G$40,6,FALSE))</f>
        <v/>
      </c>
      <c r="AA792">
        <f>IFERROR(GETPIVOTDATA("DJU(chauffagiste)",BDD_DJU!$P$13,"annee",Tab_Calculs[[#This Row],[ANNEE]],"mois_numero",Tab_Calculs[[#This Row],[MOIS]]),0)</f>
        <v>136.19999999999999</v>
      </c>
    </row>
    <row r="793" spans="1:27" x14ac:dyDescent="0.25">
      <c r="A793" s="3">
        <f>DATE(Tab_Calculs[[#This Row],[ANNEE]],Tab_Calculs[[#This Row],[MOIS]],1)</f>
        <v>40664</v>
      </c>
      <c r="B793" s="3">
        <f>EDATE(Tab_Calculs[[#This Row],[Début mois]],1)-1</f>
        <v>40694</v>
      </c>
      <c r="C793">
        <v>5</v>
      </c>
      <c r="D793">
        <v>2011</v>
      </c>
      <c r="E793" t="s">
        <v>84</v>
      </c>
      <c r="F793" t="str">
        <f>SUBSTITUTE(Tab_Calculs[[#This Row],[Compteur]]," ","_")</f>
        <v>Compteur_5</v>
      </c>
      <c r="G793" t="str">
        <f>T(INDEX(Site!$B$33:$G$40, MATCH(Tab_Calculs[[#This Row],[Compteur]], Site!$B$33:$B$40,0),2))</f>
        <v/>
      </c>
      <c r="H793" s="3">
        <f t="array" aca="1" ref="H793" ca="1">MIN(IF(INDIRECT(CONCATENATE(Tab_Calculs[[#This Row],[Colonne1]],"!$B$2:$B$243"))&gt;=Calculs_Consos!$A793,INDIRECT(CONCATENATE(Tab_Calculs[[#This Row],[Colonne1]],"!$B$2:$B$243"))))</f>
        <v>0</v>
      </c>
      <c r="I793" s="3">
        <f ca="1">INDEX(INDIRECT(CONCATENATE("Tab_",Tab_Calculs[[#This Row],[Colonne1]])),Tab_Calculs[[#This Row],[index_date_livraison]],1)</f>
        <v>0</v>
      </c>
      <c r="J793">
        <f ca="1">MATCH(Tab_Calculs[[#This Row],[Date_livraison]],INDIRECT(CONCATENATE("Tab_",Tab_Calculs[[#This Row],[Colonne1]],"[Fin de période]")),0)</f>
        <v>1</v>
      </c>
      <c r="K793" t="e">
        <f ca="1">INDEX(INDIRECT(CONCATENATE("Tab_",Tab_Calculs[[#This Row],[Colonne1]])),Tab_Calculs[[#This Row],[index_date_livraison]]-1,6)*(MAX(Tab_Calculs[[#This Row],[Début periode livraison]],Tab_Calculs[[#This Row],[Début mois]])-Tab_Calculs[[#This Row],[Début mois]])</f>
        <v>#VALUE!</v>
      </c>
      <c r="L793" s="94">
        <f ca="1">INDEX(INDIRECT(CONCATENATE("Tab_",Tab_Calculs[[#This Row],[Colonne1]])),Tab_Calculs[[#This Row],[index_date_livraison]],6)*(1+MIN(Tab_Calculs[[#This Row],[Date_livraison]],Tab_Calculs[[#This Row],[fin mois]])-MAX(Tab_Calculs[[#This Row],[Début mois]],Tab_Calculs[[#This Row],[Début periode livraison]]))</f>
        <v>0</v>
      </c>
      <c r="M793" s="94" t="e">
        <f ca="1">INDEX(INDIRECT(CONCATENATE("Tab_",Tab_Calculs[[#This Row],[Colonne1]])),Tab_Calculs[[#This Row],[index_date_livraison]]+1,6)*(Tab_Calculs[[#This Row],[fin mois]]-MIN(Tab_Calculs[[#This Row],[fin mois]],Tab_Calculs[[#This Row],[Date_livraison]]))</f>
        <v>#VALUE!</v>
      </c>
      <c r="N793" s="231" t="str">
        <f ca="1">IFERROR(Tab_Calculs[[#This Row],[Ratio_jour_après_livr]]+Tab_Calculs[[#This Row],[Ratio_jour_avant_livr]]+Tab_Calculs[[#This Row],[ratio_avant_debut]],"")</f>
        <v/>
      </c>
      <c r="O793" t="e">
        <f ca="1">INDEX(INDIRECT(CONCATENATE("Tab_",Tab_Calculs[[#This Row],[Colonne1]])),Tab_Calculs[[#This Row],[index_date_livraison]]-1,7)*(MAX(Tab_Calculs[[#This Row],[Début periode livraison]],Tab_Calculs[[#This Row],[Début mois]])-Tab_Calculs[[#This Row],[Début mois]])</f>
        <v>#VALUE!</v>
      </c>
      <c r="P793">
        <f ca="1">INDEX(INDIRECT(CONCATENATE("Tab_",Tab_Calculs[[#This Row],[Colonne1]])),Tab_Calculs[[#This Row],[index_date_livraison]],7)*(1+MIN(Tab_Calculs[[#This Row],[Date_livraison]],Tab_Calculs[[#This Row],[fin mois]])-MAX(Tab_Calculs[[#This Row],[Début mois]],Tab_Calculs[[#This Row],[Début periode livraison]]))</f>
        <v>0</v>
      </c>
      <c r="Q793" t="e">
        <f ca="1">INDEX(INDIRECT(CONCATENATE("Tab_",Tab_Calculs[[#This Row],[Colonne1]])),Tab_Calculs[[#This Row],[index_date_livraison]]+1,7)*(Tab_Calculs[[#This Row],[fin mois]]-MIN(Tab_Calculs[[#This Row],[fin mois]],Tab_Calculs[[#This Row],[Date_livraison]]))</f>
        <v>#VALUE!</v>
      </c>
      <c r="R793" t="e">
        <f ca="1">Tab_Calculs[[#This Row],[Ratio_Cout_après_livr]]+Tab_Calculs[[#This Row],[Ratio_Cout_avant_livr]]+Tab_Calculs[[#This Row],[Ratio_Cout_avant_debut]]</f>
        <v>#VALUE!</v>
      </c>
      <c r="S793" t="str">
        <f ca="1">IFERROR(N793*VLOOKUP(Tab_Calculs[[#This Row],[Colonne1]],Controle_des_données!$B$7:$G$14,6,FALSE),"")</f>
        <v/>
      </c>
      <c r="T793" t="str">
        <f ca="1">IF(Tab_Calculs[[#This Row],[Combustible ]]="Electricité (kWh)",Tab_Calculs[[#This Row],[Conso_mois_kWh]]*2.3,Tab_Calculs[[#This Row],[Conso_mois_kWh]])</f>
        <v/>
      </c>
      <c r="U793" t="str">
        <f ca="1">IFERROR(N793*VLOOKUP(Tab_Calculs[[#This Row],[Colonne1]],Controle_des_données!$B$7:$H$14,7,FALSE),"")</f>
        <v/>
      </c>
      <c r="V793">
        <f ca="1">IFERROR(Tab_Calculs[[#This Row],[Cout_mois]]/Tab_Calculs[[#This Row],[Conso_mois_kWh]],0)</f>
        <v>0</v>
      </c>
      <c r="W793" t="str">
        <f>T(VLOOKUP(Tab_Calculs[[#This Row],[Compteur]],Site!$B$33:$G$40,3,FALSE))</f>
        <v/>
      </c>
      <c r="X793" t="str">
        <f>T(VLOOKUP(Tab_Calculs[[#This Row],[Compteur]],Site!$B$33:$G$40,4,FALSE))</f>
        <v/>
      </c>
      <c r="Y793" t="str">
        <f>T(VLOOKUP(Tab_Calculs[[#This Row],[Compteur]],Site!$B$33:$G$40,5,FALSE))</f>
        <v/>
      </c>
      <c r="Z793" t="str">
        <f>T(VLOOKUP(Tab_Calculs[[#This Row],[Compteur]],Site!$B$33:$G$40,6,FALSE))</f>
        <v/>
      </c>
      <c r="AA793">
        <f>IFERROR(GETPIVOTDATA("DJU(chauffagiste)",BDD_DJU!$P$13,"annee",Tab_Calculs[[#This Row],[ANNEE]],"mois_numero",Tab_Calculs[[#This Row],[MOIS]]),0)</f>
        <v>91.9</v>
      </c>
    </row>
    <row r="794" spans="1:27" x14ac:dyDescent="0.25">
      <c r="A794" s="3">
        <f>DATE(Tab_Calculs[[#This Row],[ANNEE]],Tab_Calculs[[#This Row],[MOIS]],1)</f>
        <v>40695</v>
      </c>
      <c r="B794" s="3">
        <f>EDATE(Tab_Calculs[[#This Row],[Début mois]],1)-1</f>
        <v>40724</v>
      </c>
      <c r="C794">
        <v>6</v>
      </c>
      <c r="D794">
        <v>2011</v>
      </c>
      <c r="E794" t="s">
        <v>84</v>
      </c>
      <c r="F794" t="str">
        <f>SUBSTITUTE(Tab_Calculs[[#This Row],[Compteur]]," ","_")</f>
        <v>Compteur_5</v>
      </c>
      <c r="G794" t="str">
        <f>T(INDEX(Site!$B$33:$G$40, MATCH(Tab_Calculs[[#This Row],[Compteur]], Site!$B$33:$B$40,0),2))</f>
        <v/>
      </c>
      <c r="H794" s="3">
        <f t="array" aca="1" ref="H794" ca="1">MIN(IF(INDIRECT(CONCATENATE(Tab_Calculs[[#This Row],[Colonne1]],"!$B$2:$B$243"))&gt;=Calculs_Consos!$A794,INDIRECT(CONCATENATE(Tab_Calculs[[#This Row],[Colonne1]],"!$B$2:$B$243"))))</f>
        <v>0</v>
      </c>
      <c r="I794" s="3">
        <f ca="1">INDEX(INDIRECT(CONCATENATE("Tab_",Tab_Calculs[[#This Row],[Colonne1]])),Tab_Calculs[[#This Row],[index_date_livraison]],1)</f>
        <v>0</v>
      </c>
      <c r="J794">
        <f ca="1">MATCH(Tab_Calculs[[#This Row],[Date_livraison]],INDIRECT(CONCATENATE("Tab_",Tab_Calculs[[#This Row],[Colonne1]],"[Fin de période]")),0)</f>
        <v>1</v>
      </c>
      <c r="K794" t="e">
        <f ca="1">INDEX(INDIRECT(CONCATENATE("Tab_",Tab_Calculs[[#This Row],[Colonne1]])),Tab_Calculs[[#This Row],[index_date_livraison]]-1,6)*(MAX(Tab_Calculs[[#This Row],[Début periode livraison]],Tab_Calculs[[#This Row],[Début mois]])-Tab_Calculs[[#This Row],[Début mois]])</f>
        <v>#VALUE!</v>
      </c>
      <c r="L794" s="94">
        <f ca="1">INDEX(INDIRECT(CONCATENATE("Tab_",Tab_Calculs[[#This Row],[Colonne1]])),Tab_Calculs[[#This Row],[index_date_livraison]],6)*(1+MIN(Tab_Calculs[[#This Row],[Date_livraison]],Tab_Calculs[[#This Row],[fin mois]])-MAX(Tab_Calculs[[#This Row],[Début mois]],Tab_Calculs[[#This Row],[Début periode livraison]]))</f>
        <v>0</v>
      </c>
      <c r="M794" s="94" t="e">
        <f ca="1">INDEX(INDIRECT(CONCATENATE("Tab_",Tab_Calculs[[#This Row],[Colonne1]])),Tab_Calculs[[#This Row],[index_date_livraison]]+1,6)*(Tab_Calculs[[#This Row],[fin mois]]-MIN(Tab_Calculs[[#This Row],[fin mois]],Tab_Calculs[[#This Row],[Date_livraison]]))</f>
        <v>#VALUE!</v>
      </c>
      <c r="N794" s="231" t="str">
        <f ca="1">IFERROR(Tab_Calculs[[#This Row],[Ratio_jour_après_livr]]+Tab_Calculs[[#This Row],[Ratio_jour_avant_livr]]+Tab_Calculs[[#This Row],[ratio_avant_debut]],"")</f>
        <v/>
      </c>
      <c r="O794" t="e">
        <f ca="1">INDEX(INDIRECT(CONCATENATE("Tab_",Tab_Calculs[[#This Row],[Colonne1]])),Tab_Calculs[[#This Row],[index_date_livraison]]-1,7)*(MAX(Tab_Calculs[[#This Row],[Début periode livraison]],Tab_Calculs[[#This Row],[Début mois]])-Tab_Calculs[[#This Row],[Début mois]])</f>
        <v>#VALUE!</v>
      </c>
      <c r="P794">
        <f ca="1">INDEX(INDIRECT(CONCATENATE("Tab_",Tab_Calculs[[#This Row],[Colonne1]])),Tab_Calculs[[#This Row],[index_date_livraison]],7)*(1+MIN(Tab_Calculs[[#This Row],[Date_livraison]],Tab_Calculs[[#This Row],[fin mois]])-MAX(Tab_Calculs[[#This Row],[Début mois]],Tab_Calculs[[#This Row],[Début periode livraison]]))</f>
        <v>0</v>
      </c>
      <c r="Q794" t="e">
        <f ca="1">INDEX(INDIRECT(CONCATENATE("Tab_",Tab_Calculs[[#This Row],[Colonne1]])),Tab_Calculs[[#This Row],[index_date_livraison]]+1,7)*(Tab_Calculs[[#This Row],[fin mois]]-MIN(Tab_Calculs[[#This Row],[fin mois]],Tab_Calculs[[#This Row],[Date_livraison]]))</f>
        <v>#VALUE!</v>
      </c>
      <c r="R794" t="e">
        <f ca="1">Tab_Calculs[[#This Row],[Ratio_Cout_après_livr]]+Tab_Calculs[[#This Row],[Ratio_Cout_avant_livr]]+Tab_Calculs[[#This Row],[Ratio_Cout_avant_debut]]</f>
        <v>#VALUE!</v>
      </c>
      <c r="S794" t="str">
        <f ca="1">IFERROR(N794*VLOOKUP(Tab_Calculs[[#This Row],[Colonne1]],Controle_des_données!$B$7:$G$14,6,FALSE),"")</f>
        <v/>
      </c>
      <c r="T794" t="str">
        <f ca="1">IF(Tab_Calculs[[#This Row],[Combustible ]]="Electricité (kWh)",Tab_Calculs[[#This Row],[Conso_mois_kWh]]*2.3,Tab_Calculs[[#This Row],[Conso_mois_kWh]])</f>
        <v/>
      </c>
      <c r="U794" t="str">
        <f ca="1">IFERROR(N794*VLOOKUP(Tab_Calculs[[#This Row],[Colonne1]],Controle_des_données!$B$7:$H$14,7,FALSE),"")</f>
        <v/>
      </c>
      <c r="V794">
        <f ca="1">IFERROR(Tab_Calculs[[#This Row],[Cout_mois]]/Tab_Calculs[[#This Row],[Conso_mois_kWh]],0)</f>
        <v>0</v>
      </c>
      <c r="W794" t="str">
        <f>T(VLOOKUP(Tab_Calculs[[#This Row],[Compteur]],Site!$B$33:$G$40,3,FALSE))</f>
        <v/>
      </c>
      <c r="X794" t="str">
        <f>T(VLOOKUP(Tab_Calculs[[#This Row],[Compteur]],Site!$B$33:$G$40,4,FALSE))</f>
        <v/>
      </c>
      <c r="Y794" t="str">
        <f>T(VLOOKUP(Tab_Calculs[[#This Row],[Compteur]],Site!$B$33:$G$40,5,FALSE))</f>
        <v/>
      </c>
      <c r="Z794" t="str">
        <f>T(VLOOKUP(Tab_Calculs[[#This Row],[Compteur]],Site!$B$33:$G$40,6,FALSE))</f>
        <v/>
      </c>
      <c r="AA794">
        <f>IFERROR(GETPIVOTDATA("DJU(chauffagiste)",BDD_DJU!$P$13,"annee",Tab_Calculs[[#This Row],[ANNEE]],"mois_numero",Tab_Calculs[[#This Row],[MOIS]]),0)</f>
        <v>55.8</v>
      </c>
    </row>
    <row r="795" spans="1:27" x14ac:dyDescent="0.25">
      <c r="A795" s="3">
        <f>DATE(Tab_Calculs[[#This Row],[ANNEE]],Tab_Calculs[[#This Row],[MOIS]],1)</f>
        <v>40725</v>
      </c>
      <c r="B795" s="3">
        <f>EDATE(Tab_Calculs[[#This Row],[Début mois]],1)-1</f>
        <v>40755</v>
      </c>
      <c r="C795">
        <v>7</v>
      </c>
      <c r="D795">
        <v>2011</v>
      </c>
      <c r="E795" t="s">
        <v>84</v>
      </c>
      <c r="F795" t="str">
        <f>SUBSTITUTE(Tab_Calculs[[#This Row],[Compteur]]," ","_")</f>
        <v>Compteur_5</v>
      </c>
      <c r="G795" t="str">
        <f>T(INDEX(Site!$B$33:$G$40, MATCH(Tab_Calculs[[#This Row],[Compteur]], Site!$B$33:$B$40,0),2))</f>
        <v/>
      </c>
      <c r="H795" s="3">
        <f t="array" aca="1" ref="H795" ca="1">MIN(IF(INDIRECT(CONCATENATE(Tab_Calculs[[#This Row],[Colonne1]],"!$B$2:$B$243"))&gt;=Calculs_Consos!$A795,INDIRECT(CONCATENATE(Tab_Calculs[[#This Row],[Colonne1]],"!$B$2:$B$243"))))</f>
        <v>0</v>
      </c>
      <c r="I795" s="3">
        <f ca="1">INDEX(INDIRECT(CONCATENATE("Tab_",Tab_Calculs[[#This Row],[Colonne1]])),Tab_Calculs[[#This Row],[index_date_livraison]],1)</f>
        <v>0</v>
      </c>
      <c r="J795">
        <f ca="1">MATCH(Tab_Calculs[[#This Row],[Date_livraison]],INDIRECT(CONCATENATE("Tab_",Tab_Calculs[[#This Row],[Colonne1]],"[Fin de période]")),0)</f>
        <v>1</v>
      </c>
      <c r="K795" t="e">
        <f ca="1">INDEX(INDIRECT(CONCATENATE("Tab_",Tab_Calculs[[#This Row],[Colonne1]])),Tab_Calculs[[#This Row],[index_date_livraison]]-1,6)*(MAX(Tab_Calculs[[#This Row],[Début periode livraison]],Tab_Calculs[[#This Row],[Début mois]])-Tab_Calculs[[#This Row],[Début mois]])</f>
        <v>#VALUE!</v>
      </c>
      <c r="L795" s="94">
        <f ca="1">INDEX(INDIRECT(CONCATENATE("Tab_",Tab_Calculs[[#This Row],[Colonne1]])),Tab_Calculs[[#This Row],[index_date_livraison]],6)*(1+MIN(Tab_Calculs[[#This Row],[Date_livraison]],Tab_Calculs[[#This Row],[fin mois]])-MAX(Tab_Calculs[[#This Row],[Début mois]],Tab_Calculs[[#This Row],[Début periode livraison]]))</f>
        <v>0</v>
      </c>
      <c r="M795" s="94" t="e">
        <f ca="1">INDEX(INDIRECT(CONCATENATE("Tab_",Tab_Calculs[[#This Row],[Colonne1]])),Tab_Calculs[[#This Row],[index_date_livraison]]+1,6)*(Tab_Calculs[[#This Row],[fin mois]]-MIN(Tab_Calculs[[#This Row],[fin mois]],Tab_Calculs[[#This Row],[Date_livraison]]))</f>
        <v>#VALUE!</v>
      </c>
      <c r="N795" s="231" t="str">
        <f ca="1">IFERROR(Tab_Calculs[[#This Row],[Ratio_jour_après_livr]]+Tab_Calculs[[#This Row],[Ratio_jour_avant_livr]]+Tab_Calculs[[#This Row],[ratio_avant_debut]],"")</f>
        <v/>
      </c>
      <c r="O795" t="e">
        <f ca="1">INDEX(INDIRECT(CONCATENATE("Tab_",Tab_Calculs[[#This Row],[Colonne1]])),Tab_Calculs[[#This Row],[index_date_livraison]]-1,7)*(MAX(Tab_Calculs[[#This Row],[Début periode livraison]],Tab_Calculs[[#This Row],[Début mois]])-Tab_Calculs[[#This Row],[Début mois]])</f>
        <v>#VALUE!</v>
      </c>
      <c r="P795">
        <f ca="1">INDEX(INDIRECT(CONCATENATE("Tab_",Tab_Calculs[[#This Row],[Colonne1]])),Tab_Calculs[[#This Row],[index_date_livraison]],7)*(1+MIN(Tab_Calculs[[#This Row],[Date_livraison]],Tab_Calculs[[#This Row],[fin mois]])-MAX(Tab_Calculs[[#This Row],[Début mois]],Tab_Calculs[[#This Row],[Début periode livraison]]))</f>
        <v>0</v>
      </c>
      <c r="Q795" t="e">
        <f ca="1">INDEX(INDIRECT(CONCATENATE("Tab_",Tab_Calculs[[#This Row],[Colonne1]])),Tab_Calculs[[#This Row],[index_date_livraison]]+1,7)*(Tab_Calculs[[#This Row],[fin mois]]-MIN(Tab_Calculs[[#This Row],[fin mois]],Tab_Calculs[[#This Row],[Date_livraison]]))</f>
        <v>#VALUE!</v>
      </c>
      <c r="R795" t="e">
        <f ca="1">Tab_Calculs[[#This Row],[Ratio_Cout_après_livr]]+Tab_Calculs[[#This Row],[Ratio_Cout_avant_livr]]+Tab_Calculs[[#This Row],[Ratio_Cout_avant_debut]]</f>
        <v>#VALUE!</v>
      </c>
      <c r="S795" t="str">
        <f ca="1">IFERROR(N795*VLOOKUP(Tab_Calculs[[#This Row],[Colonne1]],Controle_des_données!$B$7:$G$14,6,FALSE),"")</f>
        <v/>
      </c>
      <c r="T795" t="str">
        <f ca="1">IF(Tab_Calculs[[#This Row],[Combustible ]]="Electricité (kWh)",Tab_Calculs[[#This Row],[Conso_mois_kWh]]*2.3,Tab_Calculs[[#This Row],[Conso_mois_kWh]])</f>
        <v/>
      </c>
      <c r="U795" t="str">
        <f ca="1">IFERROR(N795*VLOOKUP(Tab_Calculs[[#This Row],[Colonne1]],Controle_des_données!$B$7:$H$14,7,FALSE),"")</f>
        <v/>
      </c>
      <c r="V795">
        <f ca="1">IFERROR(Tab_Calculs[[#This Row],[Cout_mois]]/Tab_Calculs[[#This Row],[Conso_mois_kWh]],0)</f>
        <v>0</v>
      </c>
      <c r="W795" t="str">
        <f>T(VLOOKUP(Tab_Calculs[[#This Row],[Compteur]],Site!$B$33:$G$40,3,FALSE))</f>
        <v/>
      </c>
      <c r="X795" t="str">
        <f>T(VLOOKUP(Tab_Calculs[[#This Row],[Compteur]],Site!$B$33:$G$40,4,FALSE))</f>
        <v/>
      </c>
      <c r="Y795" t="str">
        <f>T(VLOOKUP(Tab_Calculs[[#This Row],[Compteur]],Site!$B$33:$G$40,5,FALSE))</f>
        <v/>
      </c>
      <c r="Z795" t="str">
        <f>T(VLOOKUP(Tab_Calculs[[#This Row],[Compteur]],Site!$B$33:$G$40,6,FALSE))</f>
        <v/>
      </c>
      <c r="AA795">
        <f>IFERROR(GETPIVOTDATA("DJU(chauffagiste)",BDD_DJU!$P$13,"annee",Tab_Calculs[[#This Row],[ANNEE]],"mois_numero",Tab_Calculs[[#This Row],[MOIS]]),0)</f>
        <v>50.8</v>
      </c>
    </row>
    <row r="796" spans="1:27" x14ac:dyDescent="0.25">
      <c r="A796" s="3">
        <f>DATE(Tab_Calculs[[#This Row],[ANNEE]],Tab_Calculs[[#This Row],[MOIS]],1)</f>
        <v>40756</v>
      </c>
      <c r="B796" s="3">
        <f>EDATE(Tab_Calculs[[#This Row],[Début mois]],1)-1</f>
        <v>40786</v>
      </c>
      <c r="C796">
        <v>8</v>
      </c>
      <c r="D796">
        <v>2011</v>
      </c>
      <c r="E796" t="s">
        <v>84</v>
      </c>
      <c r="F796" t="str">
        <f>SUBSTITUTE(Tab_Calculs[[#This Row],[Compteur]]," ","_")</f>
        <v>Compteur_5</v>
      </c>
      <c r="G796" t="str">
        <f>T(INDEX(Site!$B$33:$G$40, MATCH(Tab_Calculs[[#This Row],[Compteur]], Site!$B$33:$B$40,0),2))</f>
        <v/>
      </c>
      <c r="H796" s="3">
        <f t="array" aca="1" ref="H796" ca="1">MIN(IF(INDIRECT(CONCATENATE(Tab_Calculs[[#This Row],[Colonne1]],"!$B$2:$B$243"))&gt;=Calculs_Consos!$A796,INDIRECT(CONCATENATE(Tab_Calculs[[#This Row],[Colonne1]],"!$B$2:$B$243"))))</f>
        <v>0</v>
      </c>
      <c r="I796" s="3">
        <f ca="1">INDEX(INDIRECT(CONCATENATE("Tab_",Tab_Calculs[[#This Row],[Colonne1]])),Tab_Calculs[[#This Row],[index_date_livraison]],1)</f>
        <v>0</v>
      </c>
      <c r="J796">
        <f ca="1">MATCH(Tab_Calculs[[#This Row],[Date_livraison]],INDIRECT(CONCATENATE("Tab_",Tab_Calculs[[#This Row],[Colonne1]],"[Fin de période]")),0)</f>
        <v>1</v>
      </c>
      <c r="K796" t="e">
        <f ca="1">INDEX(INDIRECT(CONCATENATE("Tab_",Tab_Calculs[[#This Row],[Colonne1]])),Tab_Calculs[[#This Row],[index_date_livraison]]-1,6)*(MAX(Tab_Calculs[[#This Row],[Début periode livraison]],Tab_Calculs[[#This Row],[Début mois]])-Tab_Calculs[[#This Row],[Début mois]])</f>
        <v>#VALUE!</v>
      </c>
      <c r="L796" s="94">
        <f ca="1">INDEX(INDIRECT(CONCATENATE("Tab_",Tab_Calculs[[#This Row],[Colonne1]])),Tab_Calculs[[#This Row],[index_date_livraison]],6)*(1+MIN(Tab_Calculs[[#This Row],[Date_livraison]],Tab_Calculs[[#This Row],[fin mois]])-MAX(Tab_Calculs[[#This Row],[Début mois]],Tab_Calculs[[#This Row],[Début periode livraison]]))</f>
        <v>0</v>
      </c>
      <c r="M796" s="94" t="e">
        <f ca="1">INDEX(INDIRECT(CONCATENATE("Tab_",Tab_Calculs[[#This Row],[Colonne1]])),Tab_Calculs[[#This Row],[index_date_livraison]]+1,6)*(Tab_Calculs[[#This Row],[fin mois]]-MIN(Tab_Calculs[[#This Row],[fin mois]],Tab_Calculs[[#This Row],[Date_livraison]]))</f>
        <v>#VALUE!</v>
      </c>
      <c r="N796" s="231" t="str">
        <f ca="1">IFERROR(Tab_Calculs[[#This Row],[Ratio_jour_après_livr]]+Tab_Calculs[[#This Row],[Ratio_jour_avant_livr]]+Tab_Calculs[[#This Row],[ratio_avant_debut]],"")</f>
        <v/>
      </c>
      <c r="O796" t="e">
        <f ca="1">INDEX(INDIRECT(CONCATENATE("Tab_",Tab_Calculs[[#This Row],[Colonne1]])),Tab_Calculs[[#This Row],[index_date_livraison]]-1,7)*(MAX(Tab_Calculs[[#This Row],[Début periode livraison]],Tab_Calculs[[#This Row],[Début mois]])-Tab_Calculs[[#This Row],[Début mois]])</f>
        <v>#VALUE!</v>
      </c>
      <c r="P796">
        <f ca="1">INDEX(INDIRECT(CONCATENATE("Tab_",Tab_Calculs[[#This Row],[Colonne1]])),Tab_Calculs[[#This Row],[index_date_livraison]],7)*(1+MIN(Tab_Calculs[[#This Row],[Date_livraison]],Tab_Calculs[[#This Row],[fin mois]])-MAX(Tab_Calculs[[#This Row],[Début mois]],Tab_Calculs[[#This Row],[Début periode livraison]]))</f>
        <v>0</v>
      </c>
      <c r="Q796" t="e">
        <f ca="1">INDEX(INDIRECT(CONCATENATE("Tab_",Tab_Calculs[[#This Row],[Colonne1]])),Tab_Calculs[[#This Row],[index_date_livraison]]+1,7)*(Tab_Calculs[[#This Row],[fin mois]]-MIN(Tab_Calculs[[#This Row],[fin mois]],Tab_Calculs[[#This Row],[Date_livraison]]))</f>
        <v>#VALUE!</v>
      </c>
      <c r="R796" t="e">
        <f ca="1">Tab_Calculs[[#This Row],[Ratio_Cout_après_livr]]+Tab_Calculs[[#This Row],[Ratio_Cout_avant_livr]]+Tab_Calculs[[#This Row],[Ratio_Cout_avant_debut]]</f>
        <v>#VALUE!</v>
      </c>
      <c r="S796" t="str">
        <f ca="1">IFERROR(N796*VLOOKUP(Tab_Calculs[[#This Row],[Colonne1]],Controle_des_données!$B$7:$G$14,6,FALSE),"")</f>
        <v/>
      </c>
      <c r="T796" t="str">
        <f ca="1">IF(Tab_Calculs[[#This Row],[Combustible ]]="Electricité (kWh)",Tab_Calculs[[#This Row],[Conso_mois_kWh]]*2.3,Tab_Calculs[[#This Row],[Conso_mois_kWh]])</f>
        <v/>
      </c>
      <c r="U796" t="str">
        <f ca="1">IFERROR(N796*VLOOKUP(Tab_Calculs[[#This Row],[Colonne1]],Controle_des_données!$B$7:$H$14,7,FALSE),"")</f>
        <v/>
      </c>
      <c r="V796">
        <f ca="1">IFERROR(Tab_Calculs[[#This Row],[Cout_mois]]/Tab_Calculs[[#This Row],[Conso_mois_kWh]],0)</f>
        <v>0</v>
      </c>
      <c r="W796" t="str">
        <f>T(VLOOKUP(Tab_Calculs[[#This Row],[Compteur]],Site!$B$33:$G$40,3,FALSE))</f>
        <v/>
      </c>
      <c r="X796" t="str">
        <f>T(VLOOKUP(Tab_Calculs[[#This Row],[Compteur]],Site!$B$33:$G$40,4,FALSE))</f>
        <v/>
      </c>
      <c r="Y796" t="str">
        <f>T(VLOOKUP(Tab_Calculs[[#This Row],[Compteur]],Site!$B$33:$G$40,5,FALSE))</f>
        <v/>
      </c>
      <c r="Z796" t="str">
        <f>T(VLOOKUP(Tab_Calculs[[#This Row],[Compteur]],Site!$B$33:$G$40,6,FALSE))</f>
        <v/>
      </c>
      <c r="AA796">
        <f>IFERROR(GETPIVOTDATA("DJU(chauffagiste)",BDD_DJU!$P$13,"annee",Tab_Calculs[[#This Row],[ANNEE]],"mois_numero",Tab_Calculs[[#This Row],[MOIS]]),0)</f>
        <v>34.700000000000003</v>
      </c>
    </row>
    <row r="797" spans="1:27" x14ac:dyDescent="0.25">
      <c r="A797" s="3">
        <f>DATE(Tab_Calculs[[#This Row],[ANNEE]],Tab_Calculs[[#This Row],[MOIS]],1)</f>
        <v>40787</v>
      </c>
      <c r="B797" s="3">
        <f>EDATE(Tab_Calculs[[#This Row],[Début mois]],1)-1</f>
        <v>40816</v>
      </c>
      <c r="C797">
        <v>9</v>
      </c>
      <c r="D797">
        <v>2011</v>
      </c>
      <c r="E797" t="s">
        <v>84</v>
      </c>
      <c r="F797" t="str">
        <f>SUBSTITUTE(Tab_Calculs[[#This Row],[Compteur]]," ","_")</f>
        <v>Compteur_5</v>
      </c>
      <c r="G797" t="str">
        <f>T(INDEX(Site!$B$33:$G$40, MATCH(Tab_Calculs[[#This Row],[Compteur]], Site!$B$33:$B$40,0),2))</f>
        <v/>
      </c>
      <c r="H797" s="3">
        <f t="array" aca="1" ref="H797" ca="1">MIN(IF(INDIRECT(CONCATENATE(Tab_Calculs[[#This Row],[Colonne1]],"!$B$2:$B$243"))&gt;=Calculs_Consos!$A797,INDIRECT(CONCATENATE(Tab_Calculs[[#This Row],[Colonne1]],"!$B$2:$B$243"))))</f>
        <v>0</v>
      </c>
      <c r="I797" s="3">
        <f ca="1">INDEX(INDIRECT(CONCATENATE("Tab_",Tab_Calculs[[#This Row],[Colonne1]])),Tab_Calculs[[#This Row],[index_date_livraison]],1)</f>
        <v>0</v>
      </c>
      <c r="J797">
        <f ca="1">MATCH(Tab_Calculs[[#This Row],[Date_livraison]],INDIRECT(CONCATENATE("Tab_",Tab_Calculs[[#This Row],[Colonne1]],"[Fin de période]")),0)</f>
        <v>1</v>
      </c>
      <c r="K797" t="e">
        <f ca="1">INDEX(INDIRECT(CONCATENATE("Tab_",Tab_Calculs[[#This Row],[Colonne1]])),Tab_Calculs[[#This Row],[index_date_livraison]]-1,6)*(MAX(Tab_Calculs[[#This Row],[Début periode livraison]],Tab_Calculs[[#This Row],[Début mois]])-Tab_Calculs[[#This Row],[Début mois]])</f>
        <v>#VALUE!</v>
      </c>
      <c r="L797" s="94">
        <f ca="1">INDEX(INDIRECT(CONCATENATE("Tab_",Tab_Calculs[[#This Row],[Colonne1]])),Tab_Calculs[[#This Row],[index_date_livraison]],6)*(1+MIN(Tab_Calculs[[#This Row],[Date_livraison]],Tab_Calculs[[#This Row],[fin mois]])-MAX(Tab_Calculs[[#This Row],[Début mois]],Tab_Calculs[[#This Row],[Début periode livraison]]))</f>
        <v>0</v>
      </c>
      <c r="M797" s="94" t="e">
        <f ca="1">INDEX(INDIRECT(CONCATENATE("Tab_",Tab_Calculs[[#This Row],[Colonne1]])),Tab_Calculs[[#This Row],[index_date_livraison]]+1,6)*(Tab_Calculs[[#This Row],[fin mois]]-MIN(Tab_Calculs[[#This Row],[fin mois]],Tab_Calculs[[#This Row],[Date_livraison]]))</f>
        <v>#VALUE!</v>
      </c>
      <c r="N797" s="231" t="str">
        <f ca="1">IFERROR(Tab_Calculs[[#This Row],[Ratio_jour_après_livr]]+Tab_Calculs[[#This Row],[Ratio_jour_avant_livr]]+Tab_Calculs[[#This Row],[ratio_avant_debut]],"")</f>
        <v/>
      </c>
      <c r="O797" t="e">
        <f ca="1">INDEX(INDIRECT(CONCATENATE("Tab_",Tab_Calculs[[#This Row],[Colonne1]])),Tab_Calculs[[#This Row],[index_date_livraison]]-1,7)*(MAX(Tab_Calculs[[#This Row],[Début periode livraison]],Tab_Calculs[[#This Row],[Début mois]])-Tab_Calculs[[#This Row],[Début mois]])</f>
        <v>#VALUE!</v>
      </c>
      <c r="P797">
        <f ca="1">INDEX(INDIRECT(CONCATENATE("Tab_",Tab_Calculs[[#This Row],[Colonne1]])),Tab_Calculs[[#This Row],[index_date_livraison]],7)*(1+MIN(Tab_Calculs[[#This Row],[Date_livraison]],Tab_Calculs[[#This Row],[fin mois]])-MAX(Tab_Calculs[[#This Row],[Début mois]],Tab_Calculs[[#This Row],[Début periode livraison]]))</f>
        <v>0</v>
      </c>
      <c r="Q797" t="e">
        <f ca="1">INDEX(INDIRECT(CONCATENATE("Tab_",Tab_Calculs[[#This Row],[Colonne1]])),Tab_Calculs[[#This Row],[index_date_livraison]]+1,7)*(Tab_Calculs[[#This Row],[fin mois]]-MIN(Tab_Calculs[[#This Row],[fin mois]],Tab_Calculs[[#This Row],[Date_livraison]]))</f>
        <v>#VALUE!</v>
      </c>
      <c r="R797" t="e">
        <f ca="1">Tab_Calculs[[#This Row],[Ratio_Cout_après_livr]]+Tab_Calculs[[#This Row],[Ratio_Cout_avant_livr]]+Tab_Calculs[[#This Row],[Ratio_Cout_avant_debut]]</f>
        <v>#VALUE!</v>
      </c>
      <c r="S797" t="str">
        <f ca="1">IFERROR(N797*VLOOKUP(Tab_Calculs[[#This Row],[Colonne1]],Controle_des_données!$B$7:$G$14,6,FALSE),"")</f>
        <v/>
      </c>
      <c r="T797" t="str">
        <f ca="1">IF(Tab_Calculs[[#This Row],[Combustible ]]="Electricité (kWh)",Tab_Calculs[[#This Row],[Conso_mois_kWh]]*2.3,Tab_Calculs[[#This Row],[Conso_mois_kWh]])</f>
        <v/>
      </c>
      <c r="U797" t="str">
        <f ca="1">IFERROR(N797*VLOOKUP(Tab_Calculs[[#This Row],[Colonne1]],Controle_des_données!$B$7:$H$14,7,FALSE),"")</f>
        <v/>
      </c>
      <c r="V797">
        <f ca="1">IFERROR(Tab_Calculs[[#This Row],[Cout_mois]]/Tab_Calculs[[#This Row],[Conso_mois_kWh]],0)</f>
        <v>0</v>
      </c>
      <c r="W797" t="str">
        <f>T(VLOOKUP(Tab_Calculs[[#This Row],[Compteur]],Site!$B$33:$G$40,3,FALSE))</f>
        <v/>
      </c>
      <c r="X797" t="str">
        <f>T(VLOOKUP(Tab_Calculs[[#This Row],[Compteur]],Site!$B$33:$G$40,4,FALSE))</f>
        <v/>
      </c>
      <c r="Y797" t="str">
        <f>T(VLOOKUP(Tab_Calculs[[#This Row],[Compteur]],Site!$B$33:$G$40,5,FALSE))</f>
        <v/>
      </c>
      <c r="Z797" t="str">
        <f>T(VLOOKUP(Tab_Calculs[[#This Row],[Compteur]],Site!$B$33:$G$40,6,FALSE))</f>
        <v/>
      </c>
      <c r="AA797">
        <f>IFERROR(GETPIVOTDATA("DJU(chauffagiste)",BDD_DJU!$P$13,"annee",Tab_Calculs[[#This Row],[ANNEE]],"mois_numero",Tab_Calculs[[#This Row],[MOIS]]),0)</f>
        <v>51.3</v>
      </c>
    </row>
    <row r="798" spans="1:27" x14ac:dyDescent="0.25">
      <c r="A798" s="3">
        <f>DATE(Tab_Calculs[[#This Row],[ANNEE]],Tab_Calculs[[#This Row],[MOIS]],1)</f>
        <v>40817</v>
      </c>
      <c r="B798" s="3">
        <f>EDATE(Tab_Calculs[[#This Row],[Début mois]],1)-1</f>
        <v>40847</v>
      </c>
      <c r="C798">
        <v>10</v>
      </c>
      <c r="D798">
        <v>2011</v>
      </c>
      <c r="E798" t="s">
        <v>84</v>
      </c>
      <c r="F798" t="str">
        <f>SUBSTITUTE(Tab_Calculs[[#This Row],[Compteur]]," ","_")</f>
        <v>Compteur_5</v>
      </c>
      <c r="G798" t="str">
        <f>T(INDEX(Site!$B$33:$G$40, MATCH(Tab_Calculs[[#This Row],[Compteur]], Site!$B$33:$B$40,0),2))</f>
        <v/>
      </c>
      <c r="H798" s="3">
        <f t="array" aca="1" ref="H798" ca="1">MIN(IF(INDIRECT(CONCATENATE(Tab_Calculs[[#This Row],[Colonne1]],"!$B$2:$B$243"))&gt;=Calculs_Consos!$A798,INDIRECT(CONCATENATE(Tab_Calculs[[#This Row],[Colonne1]],"!$B$2:$B$243"))))</f>
        <v>0</v>
      </c>
      <c r="I798" s="3">
        <f ca="1">INDEX(INDIRECT(CONCATENATE("Tab_",Tab_Calculs[[#This Row],[Colonne1]])),Tab_Calculs[[#This Row],[index_date_livraison]],1)</f>
        <v>0</v>
      </c>
      <c r="J798">
        <f ca="1">MATCH(Tab_Calculs[[#This Row],[Date_livraison]],INDIRECT(CONCATENATE("Tab_",Tab_Calculs[[#This Row],[Colonne1]],"[Fin de période]")),0)</f>
        <v>1</v>
      </c>
      <c r="K798" t="e">
        <f ca="1">INDEX(INDIRECT(CONCATENATE("Tab_",Tab_Calculs[[#This Row],[Colonne1]])),Tab_Calculs[[#This Row],[index_date_livraison]]-1,6)*(MAX(Tab_Calculs[[#This Row],[Début periode livraison]],Tab_Calculs[[#This Row],[Début mois]])-Tab_Calculs[[#This Row],[Début mois]])</f>
        <v>#VALUE!</v>
      </c>
      <c r="L798" s="94">
        <f ca="1">INDEX(INDIRECT(CONCATENATE("Tab_",Tab_Calculs[[#This Row],[Colonne1]])),Tab_Calculs[[#This Row],[index_date_livraison]],6)*(1+MIN(Tab_Calculs[[#This Row],[Date_livraison]],Tab_Calculs[[#This Row],[fin mois]])-MAX(Tab_Calculs[[#This Row],[Début mois]],Tab_Calculs[[#This Row],[Début periode livraison]]))</f>
        <v>0</v>
      </c>
      <c r="M798" s="94" t="e">
        <f ca="1">INDEX(INDIRECT(CONCATENATE("Tab_",Tab_Calculs[[#This Row],[Colonne1]])),Tab_Calculs[[#This Row],[index_date_livraison]]+1,6)*(Tab_Calculs[[#This Row],[fin mois]]-MIN(Tab_Calculs[[#This Row],[fin mois]],Tab_Calculs[[#This Row],[Date_livraison]]))</f>
        <v>#VALUE!</v>
      </c>
      <c r="N798" s="231" t="str">
        <f ca="1">IFERROR(Tab_Calculs[[#This Row],[Ratio_jour_après_livr]]+Tab_Calculs[[#This Row],[Ratio_jour_avant_livr]]+Tab_Calculs[[#This Row],[ratio_avant_debut]],"")</f>
        <v/>
      </c>
      <c r="O798" t="e">
        <f ca="1">INDEX(INDIRECT(CONCATENATE("Tab_",Tab_Calculs[[#This Row],[Colonne1]])),Tab_Calculs[[#This Row],[index_date_livraison]]-1,7)*(MAX(Tab_Calculs[[#This Row],[Début periode livraison]],Tab_Calculs[[#This Row],[Début mois]])-Tab_Calculs[[#This Row],[Début mois]])</f>
        <v>#VALUE!</v>
      </c>
      <c r="P798">
        <f ca="1">INDEX(INDIRECT(CONCATENATE("Tab_",Tab_Calculs[[#This Row],[Colonne1]])),Tab_Calculs[[#This Row],[index_date_livraison]],7)*(1+MIN(Tab_Calculs[[#This Row],[Date_livraison]],Tab_Calculs[[#This Row],[fin mois]])-MAX(Tab_Calculs[[#This Row],[Début mois]],Tab_Calculs[[#This Row],[Début periode livraison]]))</f>
        <v>0</v>
      </c>
      <c r="Q798" t="e">
        <f ca="1">INDEX(INDIRECT(CONCATENATE("Tab_",Tab_Calculs[[#This Row],[Colonne1]])),Tab_Calculs[[#This Row],[index_date_livraison]]+1,7)*(Tab_Calculs[[#This Row],[fin mois]]-MIN(Tab_Calculs[[#This Row],[fin mois]],Tab_Calculs[[#This Row],[Date_livraison]]))</f>
        <v>#VALUE!</v>
      </c>
      <c r="R798" t="e">
        <f ca="1">Tab_Calculs[[#This Row],[Ratio_Cout_après_livr]]+Tab_Calculs[[#This Row],[Ratio_Cout_avant_livr]]+Tab_Calculs[[#This Row],[Ratio_Cout_avant_debut]]</f>
        <v>#VALUE!</v>
      </c>
      <c r="S798" t="str">
        <f ca="1">IFERROR(N798*VLOOKUP(Tab_Calculs[[#This Row],[Colonne1]],Controle_des_données!$B$7:$G$14,6,FALSE),"")</f>
        <v/>
      </c>
      <c r="T798" t="str">
        <f ca="1">IF(Tab_Calculs[[#This Row],[Combustible ]]="Electricité (kWh)",Tab_Calculs[[#This Row],[Conso_mois_kWh]]*2.3,Tab_Calculs[[#This Row],[Conso_mois_kWh]])</f>
        <v/>
      </c>
      <c r="U798" t="str">
        <f ca="1">IFERROR(N798*VLOOKUP(Tab_Calculs[[#This Row],[Colonne1]],Controle_des_données!$B$7:$H$14,7,FALSE),"")</f>
        <v/>
      </c>
      <c r="V798">
        <f ca="1">IFERROR(Tab_Calculs[[#This Row],[Cout_mois]]/Tab_Calculs[[#This Row],[Conso_mois_kWh]],0)</f>
        <v>0</v>
      </c>
      <c r="W798" t="str">
        <f>T(VLOOKUP(Tab_Calculs[[#This Row],[Compteur]],Site!$B$33:$G$40,3,FALSE))</f>
        <v/>
      </c>
      <c r="X798" t="str">
        <f>T(VLOOKUP(Tab_Calculs[[#This Row],[Compteur]],Site!$B$33:$G$40,4,FALSE))</f>
        <v/>
      </c>
      <c r="Y798" t="str">
        <f>T(VLOOKUP(Tab_Calculs[[#This Row],[Compteur]],Site!$B$33:$G$40,5,FALSE))</f>
        <v/>
      </c>
      <c r="Z798" t="str">
        <f>T(VLOOKUP(Tab_Calculs[[#This Row],[Compteur]],Site!$B$33:$G$40,6,FALSE))</f>
        <v/>
      </c>
      <c r="AA798">
        <f>IFERROR(GETPIVOTDATA("DJU(chauffagiste)",BDD_DJU!$P$13,"annee",Tab_Calculs[[#This Row],[ANNEE]],"mois_numero",Tab_Calculs[[#This Row],[MOIS]]),0)</f>
        <v>145.6</v>
      </c>
    </row>
    <row r="799" spans="1:27" x14ac:dyDescent="0.25">
      <c r="A799" s="3">
        <f>DATE(Tab_Calculs[[#This Row],[ANNEE]],Tab_Calculs[[#This Row],[MOIS]],1)</f>
        <v>40848</v>
      </c>
      <c r="B799" s="3">
        <f>EDATE(Tab_Calculs[[#This Row],[Début mois]],1)-1</f>
        <v>40877</v>
      </c>
      <c r="C799">
        <v>11</v>
      </c>
      <c r="D799">
        <v>2011</v>
      </c>
      <c r="E799" t="s">
        <v>84</v>
      </c>
      <c r="F799" t="str">
        <f>SUBSTITUTE(Tab_Calculs[[#This Row],[Compteur]]," ","_")</f>
        <v>Compteur_5</v>
      </c>
      <c r="G799" t="str">
        <f>T(INDEX(Site!$B$33:$G$40, MATCH(Tab_Calculs[[#This Row],[Compteur]], Site!$B$33:$B$40,0),2))</f>
        <v/>
      </c>
      <c r="H799" s="3">
        <f t="array" aca="1" ref="H799" ca="1">MIN(IF(INDIRECT(CONCATENATE(Tab_Calculs[[#This Row],[Colonne1]],"!$B$2:$B$243"))&gt;=Calculs_Consos!$A799,INDIRECT(CONCATENATE(Tab_Calculs[[#This Row],[Colonne1]],"!$B$2:$B$243"))))</f>
        <v>0</v>
      </c>
      <c r="I799" s="3">
        <f ca="1">INDEX(INDIRECT(CONCATENATE("Tab_",Tab_Calculs[[#This Row],[Colonne1]])),Tab_Calculs[[#This Row],[index_date_livraison]],1)</f>
        <v>0</v>
      </c>
      <c r="J799">
        <f ca="1">MATCH(Tab_Calculs[[#This Row],[Date_livraison]],INDIRECT(CONCATENATE("Tab_",Tab_Calculs[[#This Row],[Colonne1]],"[Fin de période]")),0)</f>
        <v>1</v>
      </c>
      <c r="K799" t="e">
        <f ca="1">INDEX(INDIRECT(CONCATENATE("Tab_",Tab_Calculs[[#This Row],[Colonne1]])),Tab_Calculs[[#This Row],[index_date_livraison]]-1,6)*(MAX(Tab_Calculs[[#This Row],[Début periode livraison]],Tab_Calculs[[#This Row],[Début mois]])-Tab_Calculs[[#This Row],[Début mois]])</f>
        <v>#VALUE!</v>
      </c>
      <c r="L799" s="94">
        <f ca="1">INDEX(INDIRECT(CONCATENATE("Tab_",Tab_Calculs[[#This Row],[Colonne1]])),Tab_Calculs[[#This Row],[index_date_livraison]],6)*(1+MIN(Tab_Calculs[[#This Row],[Date_livraison]],Tab_Calculs[[#This Row],[fin mois]])-MAX(Tab_Calculs[[#This Row],[Début mois]],Tab_Calculs[[#This Row],[Début periode livraison]]))</f>
        <v>0</v>
      </c>
      <c r="M799" s="94" t="e">
        <f ca="1">INDEX(INDIRECT(CONCATENATE("Tab_",Tab_Calculs[[#This Row],[Colonne1]])),Tab_Calculs[[#This Row],[index_date_livraison]]+1,6)*(Tab_Calculs[[#This Row],[fin mois]]-MIN(Tab_Calculs[[#This Row],[fin mois]],Tab_Calculs[[#This Row],[Date_livraison]]))</f>
        <v>#VALUE!</v>
      </c>
      <c r="N799" s="231" t="str">
        <f ca="1">IFERROR(Tab_Calculs[[#This Row],[Ratio_jour_après_livr]]+Tab_Calculs[[#This Row],[Ratio_jour_avant_livr]]+Tab_Calculs[[#This Row],[ratio_avant_debut]],"")</f>
        <v/>
      </c>
      <c r="O799" t="e">
        <f ca="1">INDEX(INDIRECT(CONCATENATE("Tab_",Tab_Calculs[[#This Row],[Colonne1]])),Tab_Calculs[[#This Row],[index_date_livraison]]-1,7)*(MAX(Tab_Calculs[[#This Row],[Début periode livraison]],Tab_Calculs[[#This Row],[Début mois]])-Tab_Calculs[[#This Row],[Début mois]])</f>
        <v>#VALUE!</v>
      </c>
      <c r="P799">
        <f ca="1">INDEX(INDIRECT(CONCATENATE("Tab_",Tab_Calculs[[#This Row],[Colonne1]])),Tab_Calculs[[#This Row],[index_date_livraison]],7)*(1+MIN(Tab_Calculs[[#This Row],[Date_livraison]],Tab_Calculs[[#This Row],[fin mois]])-MAX(Tab_Calculs[[#This Row],[Début mois]],Tab_Calculs[[#This Row],[Début periode livraison]]))</f>
        <v>0</v>
      </c>
      <c r="Q799" t="e">
        <f ca="1">INDEX(INDIRECT(CONCATENATE("Tab_",Tab_Calculs[[#This Row],[Colonne1]])),Tab_Calculs[[#This Row],[index_date_livraison]]+1,7)*(Tab_Calculs[[#This Row],[fin mois]]-MIN(Tab_Calculs[[#This Row],[fin mois]],Tab_Calculs[[#This Row],[Date_livraison]]))</f>
        <v>#VALUE!</v>
      </c>
      <c r="R799" t="e">
        <f ca="1">Tab_Calculs[[#This Row],[Ratio_Cout_après_livr]]+Tab_Calculs[[#This Row],[Ratio_Cout_avant_livr]]+Tab_Calculs[[#This Row],[Ratio_Cout_avant_debut]]</f>
        <v>#VALUE!</v>
      </c>
      <c r="S799" t="str">
        <f ca="1">IFERROR(N799*VLOOKUP(Tab_Calculs[[#This Row],[Colonne1]],Controle_des_données!$B$7:$G$14,6,FALSE),"")</f>
        <v/>
      </c>
      <c r="T799" t="str">
        <f ca="1">IF(Tab_Calculs[[#This Row],[Combustible ]]="Electricité (kWh)",Tab_Calculs[[#This Row],[Conso_mois_kWh]]*2.3,Tab_Calculs[[#This Row],[Conso_mois_kWh]])</f>
        <v/>
      </c>
      <c r="U799" t="str">
        <f ca="1">IFERROR(N799*VLOOKUP(Tab_Calculs[[#This Row],[Colonne1]],Controle_des_données!$B$7:$H$14,7,FALSE),"")</f>
        <v/>
      </c>
      <c r="V799">
        <f ca="1">IFERROR(Tab_Calculs[[#This Row],[Cout_mois]]/Tab_Calculs[[#This Row],[Conso_mois_kWh]],0)</f>
        <v>0</v>
      </c>
      <c r="W799" t="str">
        <f>T(VLOOKUP(Tab_Calculs[[#This Row],[Compteur]],Site!$B$33:$G$40,3,FALSE))</f>
        <v/>
      </c>
      <c r="X799" t="str">
        <f>T(VLOOKUP(Tab_Calculs[[#This Row],[Compteur]],Site!$B$33:$G$40,4,FALSE))</f>
        <v/>
      </c>
      <c r="Y799" t="str">
        <f>T(VLOOKUP(Tab_Calculs[[#This Row],[Compteur]],Site!$B$33:$G$40,5,FALSE))</f>
        <v/>
      </c>
      <c r="Z799" t="str">
        <f>T(VLOOKUP(Tab_Calculs[[#This Row],[Compteur]],Site!$B$33:$G$40,6,FALSE))</f>
        <v/>
      </c>
      <c r="AA799">
        <f>IFERROR(GETPIVOTDATA("DJU(chauffagiste)",BDD_DJU!$P$13,"annee",Tab_Calculs[[#This Row],[ANNEE]],"mois_numero",Tab_Calculs[[#This Row],[MOIS]]),0)</f>
        <v>205.3</v>
      </c>
    </row>
    <row r="800" spans="1:27" x14ac:dyDescent="0.25">
      <c r="A800" s="3">
        <f>DATE(Tab_Calculs[[#This Row],[ANNEE]],Tab_Calculs[[#This Row],[MOIS]],1)</f>
        <v>40878</v>
      </c>
      <c r="B800" s="3">
        <f>EDATE(Tab_Calculs[[#This Row],[Début mois]],1)-1</f>
        <v>40908</v>
      </c>
      <c r="C800">
        <v>12</v>
      </c>
      <c r="D800">
        <v>2011</v>
      </c>
      <c r="E800" t="s">
        <v>84</v>
      </c>
      <c r="F800" t="str">
        <f>SUBSTITUTE(Tab_Calculs[[#This Row],[Compteur]]," ","_")</f>
        <v>Compteur_5</v>
      </c>
      <c r="G800" t="str">
        <f>T(INDEX(Site!$B$33:$G$40, MATCH(Tab_Calculs[[#This Row],[Compteur]], Site!$B$33:$B$40,0),2))</f>
        <v/>
      </c>
      <c r="H800" s="3">
        <f t="array" aca="1" ref="H800" ca="1">MIN(IF(INDIRECT(CONCATENATE(Tab_Calculs[[#This Row],[Colonne1]],"!$B$2:$B$243"))&gt;=Calculs_Consos!$A800,INDIRECT(CONCATENATE(Tab_Calculs[[#This Row],[Colonne1]],"!$B$2:$B$243"))))</f>
        <v>0</v>
      </c>
      <c r="I800" s="3">
        <f ca="1">INDEX(INDIRECT(CONCATENATE("Tab_",Tab_Calculs[[#This Row],[Colonne1]])),Tab_Calculs[[#This Row],[index_date_livraison]],1)</f>
        <v>0</v>
      </c>
      <c r="J800">
        <f ca="1">MATCH(Tab_Calculs[[#This Row],[Date_livraison]],INDIRECT(CONCATENATE("Tab_",Tab_Calculs[[#This Row],[Colonne1]],"[Fin de période]")),0)</f>
        <v>1</v>
      </c>
      <c r="K800" t="e">
        <f ca="1">INDEX(INDIRECT(CONCATENATE("Tab_",Tab_Calculs[[#This Row],[Colonne1]])),Tab_Calculs[[#This Row],[index_date_livraison]]-1,6)*(MAX(Tab_Calculs[[#This Row],[Début periode livraison]],Tab_Calculs[[#This Row],[Début mois]])-Tab_Calculs[[#This Row],[Début mois]])</f>
        <v>#VALUE!</v>
      </c>
      <c r="L800" s="94">
        <f ca="1">INDEX(INDIRECT(CONCATENATE("Tab_",Tab_Calculs[[#This Row],[Colonne1]])),Tab_Calculs[[#This Row],[index_date_livraison]],6)*(1+MIN(Tab_Calculs[[#This Row],[Date_livraison]],Tab_Calculs[[#This Row],[fin mois]])-MAX(Tab_Calculs[[#This Row],[Début mois]],Tab_Calculs[[#This Row],[Début periode livraison]]))</f>
        <v>0</v>
      </c>
      <c r="M800" s="94" t="e">
        <f ca="1">INDEX(INDIRECT(CONCATENATE("Tab_",Tab_Calculs[[#This Row],[Colonne1]])),Tab_Calculs[[#This Row],[index_date_livraison]]+1,6)*(Tab_Calculs[[#This Row],[fin mois]]-MIN(Tab_Calculs[[#This Row],[fin mois]],Tab_Calculs[[#This Row],[Date_livraison]]))</f>
        <v>#VALUE!</v>
      </c>
      <c r="N800" s="231" t="str">
        <f ca="1">IFERROR(Tab_Calculs[[#This Row],[Ratio_jour_après_livr]]+Tab_Calculs[[#This Row],[Ratio_jour_avant_livr]]+Tab_Calculs[[#This Row],[ratio_avant_debut]],"")</f>
        <v/>
      </c>
      <c r="O800" t="e">
        <f ca="1">INDEX(INDIRECT(CONCATENATE("Tab_",Tab_Calculs[[#This Row],[Colonne1]])),Tab_Calculs[[#This Row],[index_date_livraison]]-1,7)*(MAX(Tab_Calculs[[#This Row],[Début periode livraison]],Tab_Calculs[[#This Row],[Début mois]])-Tab_Calculs[[#This Row],[Début mois]])</f>
        <v>#VALUE!</v>
      </c>
      <c r="P800">
        <f ca="1">INDEX(INDIRECT(CONCATENATE("Tab_",Tab_Calculs[[#This Row],[Colonne1]])),Tab_Calculs[[#This Row],[index_date_livraison]],7)*(1+MIN(Tab_Calculs[[#This Row],[Date_livraison]],Tab_Calculs[[#This Row],[fin mois]])-MAX(Tab_Calculs[[#This Row],[Début mois]],Tab_Calculs[[#This Row],[Début periode livraison]]))</f>
        <v>0</v>
      </c>
      <c r="Q800" t="e">
        <f ca="1">INDEX(INDIRECT(CONCATENATE("Tab_",Tab_Calculs[[#This Row],[Colonne1]])),Tab_Calculs[[#This Row],[index_date_livraison]]+1,7)*(Tab_Calculs[[#This Row],[fin mois]]-MIN(Tab_Calculs[[#This Row],[fin mois]],Tab_Calculs[[#This Row],[Date_livraison]]))</f>
        <v>#VALUE!</v>
      </c>
      <c r="R800" t="e">
        <f ca="1">Tab_Calculs[[#This Row],[Ratio_Cout_après_livr]]+Tab_Calculs[[#This Row],[Ratio_Cout_avant_livr]]+Tab_Calculs[[#This Row],[Ratio_Cout_avant_debut]]</f>
        <v>#VALUE!</v>
      </c>
      <c r="S800" t="str">
        <f ca="1">IFERROR(N800*VLOOKUP(Tab_Calculs[[#This Row],[Colonne1]],Controle_des_données!$B$7:$G$14,6,FALSE),"")</f>
        <v/>
      </c>
      <c r="T800" t="str">
        <f ca="1">IF(Tab_Calculs[[#This Row],[Combustible ]]="Electricité (kWh)",Tab_Calculs[[#This Row],[Conso_mois_kWh]]*2.3,Tab_Calculs[[#This Row],[Conso_mois_kWh]])</f>
        <v/>
      </c>
      <c r="U800" t="str">
        <f ca="1">IFERROR(N800*VLOOKUP(Tab_Calculs[[#This Row],[Colonne1]],Controle_des_données!$B$7:$H$14,7,FALSE),"")</f>
        <v/>
      </c>
      <c r="V800">
        <f ca="1">IFERROR(Tab_Calculs[[#This Row],[Cout_mois]]/Tab_Calculs[[#This Row],[Conso_mois_kWh]],0)</f>
        <v>0</v>
      </c>
      <c r="W800" t="str">
        <f>T(VLOOKUP(Tab_Calculs[[#This Row],[Compteur]],Site!$B$33:$G$40,3,FALSE))</f>
        <v/>
      </c>
      <c r="X800" t="str">
        <f>T(VLOOKUP(Tab_Calculs[[#This Row],[Compteur]],Site!$B$33:$G$40,4,FALSE))</f>
        <v/>
      </c>
      <c r="Y800" t="str">
        <f>T(VLOOKUP(Tab_Calculs[[#This Row],[Compteur]],Site!$B$33:$G$40,5,FALSE))</f>
        <v/>
      </c>
      <c r="Z800" t="str">
        <f>T(VLOOKUP(Tab_Calculs[[#This Row],[Compteur]],Site!$B$33:$G$40,6,FALSE))</f>
        <v/>
      </c>
      <c r="AA800">
        <f>IFERROR(GETPIVOTDATA("DJU(chauffagiste)",BDD_DJU!$P$13,"annee",Tab_Calculs[[#This Row],[ANNEE]],"mois_numero",Tab_Calculs[[#This Row],[MOIS]]),0)</f>
        <v>307.5</v>
      </c>
    </row>
    <row r="801" spans="1:27" x14ac:dyDescent="0.25">
      <c r="A801" s="3">
        <f>DATE(Tab_Calculs[[#This Row],[ANNEE]],Tab_Calculs[[#This Row],[MOIS]],1)</f>
        <v>40909</v>
      </c>
      <c r="B801" s="3">
        <f>EDATE(Tab_Calculs[[#This Row],[Début mois]],1)-1</f>
        <v>40939</v>
      </c>
      <c r="C801">
        <v>1</v>
      </c>
      <c r="D801">
        <v>2012</v>
      </c>
      <c r="E801" t="s">
        <v>84</v>
      </c>
      <c r="F801" t="str">
        <f>SUBSTITUTE(Tab_Calculs[[#This Row],[Compteur]]," ","_")</f>
        <v>Compteur_5</v>
      </c>
      <c r="G801" t="str">
        <f>T(INDEX(Site!$B$33:$G$40, MATCH(Tab_Calculs[[#This Row],[Compteur]], Site!$B$33:$B$40,0),2))</f>
        <v/>
      </c>
      <c r="H801" s="3">
        <f t="array" aca="1" ref="H801" ca="1">MIN(IF(INDIRECT(CONCATENATE(Tab_Calculs[[#This Row],[Colonne1]],"!$B$2:$B$243"))&gt;=Calculs_Consos!$A801,INDIRECT(CONCATENATE(Tab_Calculs[[#This Row],[Colonne1]],"!$B$2:$B$243"))))</f>
        <v>0</v>
      </c>
      <c r="I801" s="3">
        <f ca="1">INDEX(INDIRECT(CONCATENATE("Tab_",Tab_Calculs[[#This Row],[Colonne1]])),Tab_Calculs[[#This Row],[index_date_livraison]],1)</f>
        <v>0</v>
      </c>
      <c r="J801">
        <f ca="1">MATCH(Tab_Calculs[[#This Row],[Date_livraison]],INDIRECT(CONCATENATE("Tab_",Tab_Calculs[[#This Row],[Colonne1]],"[Fin de période]")),0)</f>
        <v>1</v>
      </c>
      <c r="K801" t="e">
        <f ca="1">INDEX(INDIRECT(CONCATENATE("Tab_",Tab_Calculs[[#This Row],[Colonne1]])),Tab_Calculs[[#This Row],[index_date_livraison]]-1,6)*(MAX(Tab_Calculs[[#This Row],[Début periode livraison]],Tab_Calculs[[#This Row],[Début mois]])-Tab_Calculs[[#This Row],[Début mois]])</f>
        <v>#VALUE!</v>
      </c>
      <c r="L801" s="94">
        <f ca="1">INDEX(INDIRECT(CONCATENATE("Tab_",Tab_Calculs[[#This Row],[Colonne1]])),Tab_Calculs[[#This Row],[index_date_livraison]],6)*(1+MIN(Tab_Calculs[[#This Row],[Date_livraison]],Tab_Calculs[[#This Row],[fin mois]])-MAX(Tab_Calculs[[#This Row],[Début mois]],Tab_Calculs[[#This Row],[Début periode livraison]]))</f>
        <v>0</v>
      </c>
      <c r="M801" s="94" t="e">
        <f ca="1">INDEX(INDIRECT(CONCATENATE("Tab_",Tab_Calculs[[#This Row],[Colonne1]])),Tab_Calculs[[#This Row],[index_date_livraison]]+1,6)*(Tab_Calculs[[#This Row],[fin mois]]-MIN(Tab_Calculs[[#This Row],[fin mois]],Tab_Calculs[[#This Row],[Date_livraison]]))</f>
        <v>#VALUE!</v>
      </c>
      <c r="N801" s="231" t="str">
        <f ca="1">IFERROR(Tab_Calculs[[#This Row],[Ratio_jour_après_livr]]+Tab_Calculs[[#This Row],[Ratio_jour_avant_livr]]+Tab_Calculs[[#This Row],[ratio_avant_debut]],"")</f>
        <v/>
      </c>
      <c r="O801" t="e">
        <f ca="1">INDEX(INDIRECT(CONCATENATE("Tab_",Tab_Calculs[[#This Row],[Colonne1]])),Tab_Calculs[[#This Row],[index_date_livraison]]-1,7)*(MAX(Tab_Calculs[[#This Row],[Début periode livraison]],Tab_Calculs[[#This Row],[Début mois]])-Tab_Calculs[[#This Row],[Début mois]])</f>
        <v>#VALUE!</v>
      </c>
      <c r="P801">
        <f ca="1">INDEX(INDIRECT(CONCATENATE("Tab_",Tab_Calculs[[#This Row],[Colonne1]])),Tab_Calculs[[#This Row],[index_date_livraison]],7)*(1+MIN(Tab_Calculs[[#This Row],[Date_livraison]],Tab_Calculs[[#This Row],[fin mois]])-MAX(Tab_Calculs[[#This Row],[Début mois]],Tab_Calculs[[#This Row],[Début periode livraison]]))</f>
        <v>0</v>
      </c>
      <c r="Q801" t="e">
        <f ca="1">INDEX(INDIRECT(CONCATENATE("Tab_",Tab_Calculs[[#This Row],[Colonne1]])),Tab_Calculs[[#This Row],[index_date_livraison]]+1,7)*(Tab_Calculs[[#This Row],[fin mois]]-MIN(Tab_Calculs[[#This Row],[fin mois]],Tab_Calculs[[#This Row],[Date_livraison]]))</f>
        <v>#VALUE!</v>
      </c>
      <c r="R801" t="e">
        <f ca="1">Tab_Calculs[[#This Row],[Ratio_Cout_après_livr]]+Tab_Calculs[[#This Row],[Ratio_Cout_avant_livr]]+Tab_Calculs[[#This Row],[Ratio_Cout_avant_debut]]</f>
        <v>#VALUE!</v>
      </c>
      <c r="S801" t="str">
        <f ca="1">IFERROR(N801*VLOOKUP(Tab_Calculs[[#This Row],[Colonne1]],Controle_des_données!$B$7:$G$14,6,FALSE),"")</f>
        <v/>
      </c>
      <c r="T801" t="str">
        <f ca="1">IF(Tab_Calculs[[#This Row],[Combustible ]]="Electricité (kWh)",Tab_Calculs[[#This Row],[Conso_mois_kWh]]*2.3,Tab_Calculs[[#This Row],[Conso_mois_kWh]])</f>
        <v/>
      </c>
      <c r="U801" t="str">
        <f ca="1">IFERROR(N801*VLOOKUP(Tab_Calculs[[#This Row],[Colonne1]],Controle_des_données!$B$7:$H$14,7,FALSE),"")</f>
        <v/>
      </c>
      <c r="V801">
        <f ca="1">IFERROR(Tab_Calculs[[#This Row],[Cout_mois]]/Tab_Calculs[[#This Row],[Conso_mois_kWh]],0)</f>
        <v>0</v>
      </c>
      <c r="W801" t="str">
        <f>T(VLOOKUP(Tab_Calculs[[#This Row],[Compteur]],Site!$B$33:$G$40,3,FALSE))</f>
        <v/>
      </c>
      <c r="X801" t="str">
        <f>T(VLOOKUP(Tab_Calculs[[#This Row],[Compteur]],Site!$B$33:$G$40,4,FALSE))</f>
        <v/>
      </c>
      <c r="Y801" t="str">
        <f>T(VLOOKUP(Tab_Calculs[[#This Row],[Compteur]],Site!$B$33:$G$40,5,FALSE))</f>
        <v/>
      </c>
      <c r="Z801" t="str">
        <f>T(VLOOKUP(Tab_Calculs[[#This Row],[Compteur]],Site!$B$33:$G$40,6,FALSE))</f>
        <v/>
      </c>
      <c r="AA801">
        <f>IFERROR(GETPIVOTDATA("DJU(chauffagiste)",BDD_DJU!$P$13,"annee",Tab_Calculs[[#This Row],[ANNEE]],"mois_numero",Tab_Calculs[[#This Row],[MOIS]]),0)</f>
        <v>348.8</v>
      </c>
    </row>
    <row r="802" spans="1:27" x14ac:dyDescent="0.25">
      <c r="A802" s="3">
        <f>DATE(Tab_Calculs[[#This Row],[ANNEE]],Tab_Calculs[[#This Row],[MOIS]],1)</f>
        <v>40940</v>
      </c>
      <c r="B802" s="3">
        <f>EDATE(Tab_Calculs[[#This Row],[Début mois]],1)-1</f>
        <v>40968</v>
      </c>
      <c r="C802">
        <v>2</v>
      </c>
      <c r="D802">
        <v>2012</v>
      </c>
      <c r="E802" t="s">
        <v>84</v>
      </c>
      <c r="F802" t="str">
        <f>SUBSTITUTE(Tab_Calculs[[#This Row],[Compteur]]," ","_")</f>
        <v>Compteur_5</v>
      </c>
      <c r="G802" t="str">
        <f>T(INDEX(Site!$B$33:$G$40, MATCH(Tab_Calculs[[#This Row],[Compteur]], Site!$B$33:$B$40,0),2))</f>
        <v/>
      </c>
      <c r="H802" s="3">
        <f t="array" aca="1" ref="H802" ca="1">MIN(IF(INDIRECT(CONCATENATE(Tab_Calculs[[#This Row],[Colonne1]],"!$B$2:$B$243"))&gt;=Calculs_Consos!$A802,INDIRECT(CONCATENATE(Tab_Calculs[[#This Row],[Colonne1]],"!$B$2:$B$243"))))</f>
        <v>0</v>
      </c>
      <c r="I802" s="3">
        <f ca="1">INDEX(INDIRECT(CONCATENATE("Tab_",Tab_Calculs[[#This Row],[Colonne1]])),Tab_Calculs[[#This Row],[index_date_livraison]],1)</f>
        <v>0</v>
      </c>
      <c r="J802">
        <f ca="1">MATCH(Tab_Calculs[[#This Row],[Date_livraison]],INDIRECT(CONCATENATE("Tab_",Tab_Calculs[[#This Row],[Colonne1]],"[Fin de période]")),0)</f>
        <v>1</v>
      </c>
      <c r="K802" t="e">
        <f ca="1">INDEX(INDIRECT(CONCATENATE("Tab_",Tab_Calculs[[#This Row],[Colonne1]])),Tab_Calculs[[#This Row],[index_date_livraison]]-1,6)*(MAX(Tab_Calculs[[#This Row],[Début periode livraison]],Tab_Calculs[[#This Row],[Début mois]])-Tab_Calculs[[#This Row],[Début mois]])</f>
        <v>#VALUE!</v>
      </c>
      <c r="L802" s="94">
        <f ca="1">INDEX(INDIRECT(CONCATENATE("Tab_",Tab_Calculs[[#This Row],[Colonne1]])),Tab_Calculs[[#This Row],[index_date_livraison]],6)*(1+MIN(Tab_Calculs[[#This Row],[Date_livraison]],Tab_Calculs[[#This Row],[fin mois]])-MAX(Tab_Calculs[[#This Row],[Début mois]],Tab_Calculs[[#This Row],[Début periode livraison]]))</f>
        <v>0</v>
      </c>
      <c r="M802" s="94" t="e">
        <f ca="1">INDEX(INDIRECT(CONCATENATE("Tab_",Tab_Calculs[[#This Row],[Colonne1]])),Tab_Calculs[[#This Row],[index_date_livraison]]+1,6)*(Tab_Calculs[[#This Row],[fin mois]]-MIN(Tab_Calculs[[#This Row],[fin mois]],Tab_Calculs[[#This Row],[Date_livraison]]))</f>
        <v>#VALUE!</v>
      </c>
      <c r="N802" s="231" t="str">
        <f ca="1">IFERROR(Tab_Calculs[[#This Row],[Ratio_jour_après_livr]]+Tab_Calculs[[#This Row],[Ratio_jour_avant_livr]]+Tab_Calculs[[#This Row],[ratio_avant_debut]],"")</f>
        <v/>
      </c>
      <c r="O802" t="e">
        <f ca="1">INDEX(INDIRECT(CONCATENATE("Tab_",Tab_Calculs[[#This Row],[Colonne1]])),Tab_Calculs[[#This Row],[index_date_livraison]]-1,7)*(MAX(Tab_Calculs[[#This Row],[Début periode livraison]],Tab_Calculs[[#This Row],[Début mois]])-Tab_Calculs[[#This Row],[Début mois]])</f>
        <v>#VALUE!</v>
      </c>
      <c r="P802">
        <f ca="1">INDEX(INDIRECT(CONCATENATE("Tab_",Tab_Calculs[[#This Row],[Colonne1]])),Tab_Calculs[[#This Row],[index_date_livraison]],7)*(1+MIN(Tab_Calculs[[#This Row],[Date_livraison]],Tab_Calculs[[#This Row],[fin mois]])-MAX(Tab_Calculs[[#This Row],[Début mois]],Tab_Calculs[[#This Row],[Début periode livraison]]))</f>
        <v>0</v>
      </c>
      <c r="Q802" t="e">
        <f ca="1">INDEX(INDIRECT(CONCATENATE("Tab_",Tab_Calculs[[#This Row],[Colonne1]])),Tab_Calculs[[#This Row],[index_date_livraison]]+1,7)*(Tab_Calculs[[#This Row],[fin mois]]-MIN(Tab_Calculs[[#This Row],[fin mois]],Tab_Calculs[[#This Row],[Date_livraison]]))</f>
        <v>#VALUE!</v>
      </c>
      <c r="R802" t="e">
        <f ca="1">Tab_Calculs[[#This Row],[Ratio_Cout_après_livr]]+Tab_Calculs[[#This Row],[Ratio_Cout_avant_livr]]+Tab_Calculs[[#This Row],[Ratio_Cout_avant_debut]]</f>
        <v>#VALUE!</v>
      </c>
      <c r="S802" t="str">
        <f ca="1">IFERROR(N802*VLOOKUP(Tab_Calculs[[#This Row],[Colonne1]],Controle_des_données!$B$7:$G$14,6,FALSE),"")</f>
        <v/>
      </c>
      <c r="T802" t="str">
        <f ca="1">IF(Tab_Calculs[[#This Row],[Combustible ]]="Electricité (kWh)",Tab_Calculs[[#This Row],[Conso_mois_kWh]]*2.3,Tab_Calculs[[#This Row],[Conso_mois_kWh]])</f>
        <v/>
      </c>
      <c r="U802" t="str">
        <f ca="1">IFERROR(N802*VLOOKUP(Tab_Calculs[[#This Row],[Colonne1]],Controle_des_données!$B$7:$H$14,7,FALSE),"")</f>
        <v/>
      </c>
      <c r="V802">
        <f ca="1">IFERROR(Tab_Calculs[[#This Row],[Cout_mois]]/Tab_Calculs[[#This Row],[Conso_mois_kWh]],0)</f>
        <v>0</v>
      </c>
      <c r="W802" t="str">
        <f>T(VLOOKUP(Tab_Calculs[[#This Row],[Compteur]],Site!$B$33:$G$40,3,FALSE))</f>
        <v/>
      </c>
      <c r="X802" t="str">
        <f>T(VLOOKUP(Tab_Calculs[[#This Row],[Compteur]],Site!$B$33:$G$40,4,FALSE))</f>
        <v/>
      </c>
      <c r="Y802" t="str">
        <f>T(VLOOKUP(Tab_Calculs[[#This Row],[Compteur]],Site!$B$33:$G$40,5,FALSE))</f>
        <v/>
      </c>
      <c r="Z802" t="str">
        <f>T(VLOOKUP(Tab_Calculs[[#This Row],[Compteur]],Site!$B$33:$G$40,6,FALSE))</f>
        <v/>
      </c>
      <c r="AA802">
        <f>IFERROR(GETPIVOTDATA("DJU(chauffagiste)",BDD_DJU!$P$13,"annee",Tab_Calculs[[#This Row],[ANNEE]],"mois_numero",Tab_Calculs[[#This Row],[MOIS]]),0)</f>
        <v>469.8</v>
      </c>
    </row>
    <row r="803" spans="1:27" x14ac:dyDescent="0.25">
      <c r="A803" s="3">
        <f>DATE(Tab_Calculs[[#This Row],[ANNEE]],Tab_Calculs[[#This Row],[MOIS]],1)</f>
        <v>40969</v>
      </c>
      <c r="B803" s="3">
        <f>EDATE(Tab_Calculs[[#This Row],[Début mois]],1)-1</f>
        <v>40999</v>
      </c>
      <c r="C803">
        <v>3</v>
      </c>
      <c r="D803">
        <v>2012</v>
      </c>
      <c r="E803" t="s">
        <v>84</v>
      </c>
      <c r="F803" t="str">
        <f>SUBSTITUTE(Tab_Calculs[[#This Row],[Compteur]]," ","_")</f>
        <v>Compteur_5</v>
      </c>
      <c r="G803" t="str">
        <f>T(INDEX(Site!$B$33:$G$40, MATCH(Tab_Calculs[[#This Row],[Compteur]], Site!$B$33:$B$40,0),2))</f>
        <v/>
      </c>
      <c r="H803" s="3">
        <f t="array" aca="1" ref="H803" ca="1">MIN(IF(INDIRECT(CONCATENATE(Tab_Calculs[[#This Row],[Colonne1]],"!$B$2:$B$243"))&gt;=Calculs_Consos!$A803,INDIRECT(CONCATENATE(Tab_Calculs[[#This Row],[Colonne1]],"!$B$2:$B$243"))))</f>
        <v>0</v>
      </c>
      <c r="I803" s="3">
        <f ca="1">INDEX(INDIRECT(CONCATENATE("Tab_",Tab_Calculs[[#This Row],[Colonne1]])),Tab_Calculs[[#This Row],[index_date_livraison]],1)</f>
        <v>0</v>
      </c>
      <c r="J803">
        <f ca="1">MATCH(Tab_Calculs[[#This Row],[Date_livraison]],INDIRECT(CONCATENATE("Tab_",Tab_Calculs[[#This Row],[Colonne1]],"[Fin de période]")),0)</f>
        <v>1</v>
      </c>
      <c r="K803" t="e">
        <f ca="1">INDEX(INDIRECT(CONCATENATE("Tab_",Tab_Calculs[[#This Row],[Colonne1]])),Tab_Calculs[[#This Row],[index_date_livraison]]-1,6)*(MAX(Tab_Calculs[[#This Row],[Début periode livraison]],Tab_Calculs[[#This Row],[Début mois]])-Tab_Calculs[[#This Row],[Début mois]])</f>
        <v>#VALUE!</v>
      </c>
      <c r="L803" s="94">
        <f ca="1">INDEX(INDIRECT(CONCATENATE("Tab_",Tab_Calculs[[#This Row],[Colonne1]])),Tab_Calculs[[#This Row],[index_date_livraison]],6)*(1+MIN(Tab_Calculs[[#This Row],[Date_livraison]],Tab_Calculs[[#This Row],[fin mois]])-MAX(Tab_Calculs[[#This Row],[Début mois]],Tab_Calculs[[#This Row],[Début periode livraison]]))</f>
        <v>0</v>
      </c>
      <c r="M803" s="94" t="e">
        <f ca="1">INDEX(INDIRECT(CONCATENATE("Tab_",Tab_Calculs[[#This Row],[Colonne1]])),Tab_Calculs[[#This Row],[index_date_livraison]]+1,6)*(Tab_Calculs[[#This Row],[fin mois]]-MIN(Tab_Calculs[[#This Row],[fin mois]],Tab_Calculs[[#This Row],[Date_livraison]]))</f>
        <v>#VALUE!</v>
      </c>
      <c r="N803" s="231" t="str">
        <f ca="1">IFERROR(Tab_Calculs[[#This Row],[Ratio_jour_après_livr]]+Tab_Calculs[[#This Row],[Ratio_jour_avant_livr]]+Tab_Calculs[[#This Row],[ratio_avant_debut]],"")</f>
        <v/>
      </c>
      <c r="O803" t="e">
        <f ca="1">INDEX(INDIRECT(CONCATENATE("Tab_",Tab_Calculs[[#This Row],[Colonne1]])),Tab_Calculs[[#This Row],[index_date_livraison]]-1,7)*(MAX(Tab_Calculs[[#This Row],[Début periode livraison]],Tab_Calculs[[#This Row],[Début mois]])-Tab_Calculs[[#This Row],[Début mois]])</f>
        <v>#VALUE!</v>
      </c>
      <c r="P803">
        <f ca="1">INDEX(INDIRECT(CONCATENATE("Tab_",Tab_Calculs[[#This Row],[Colonne1]])),Tab_Calculs[[#This Row],[index_date_livraison]],7)*(1+MIN(Tab_Calculs[[#This Row],[Date_livraison]],Tab_Calculs[[#This Row],[fin mois]])-MAX(Tab_Calculs[[#This Row],[Début mois]],Tab_Calculs[[#This Row],[Début periode livraison]]))</f>
        <v>0</v>
      </c>
      <c r="Q803" t="e">
        <f ca="1">INDEX(INDIRECT(CONCATENATE("Tab_",Tab_Calculs[[#This Row],[Colonne1]])),Tab_Calculs[[#This Row],[index_date_livraison]]+1,7)*(Tab_Calculs[[#This Row],[fin mois]]-MIN(Tab_Calculs[[#This Row],[fin mois]],Tab_Calculs[[#This Row],[Date_livraison]]))</f>
        <v>#VALUE!</v>
      </c>
      <c r="R803" t="e">
        <f ca="1">Tab_Calculs[[#This Row],[Ratio_Cout_après_livr]]+Tab_Calculs[[#This Row],[Ratio_Cout_avant_livr]]+Tab_Calculs[[#This Row],[Ratio_Cout_avant_debut]]</f>
        <v>#VALUE!</v>
      </c>
      <c r="S803" t="str">
        <f ca="1">IFERROR(N803*VLOOKUP(Tab_Calculs[[#This Row],[Colonne1]],Controle_des_données!$B$7:$G$14,6,FALSE),"")</f>
        <v/>
      </c>
      <c r="T803" t="str">
        <f ca="1">IF(Tab_Calculs[[#This Row],[Combustible ]]="Electricité (kWh)",Tab_Calculs[[#This Row],[Conso_mois_kWh]]*2.3,Tab_Calculs[[#This Row],[Conso_mois_kWh]])</f>
        <v/>
      </c>
      <c r="U803" t="str">
        <f ca="1">IFERROR(N803*VLOOKUP(Tab_Calculs[[#This Row],[Colonne1]],Controle_des_données!$B$7:$H$14,7,FALSE),"")</f>
        <v/>
      </c>
      <c r="V803">
        <f ca="1">IFERROR(Tab_Calculs[[#This Row],[Cout_mois]]/Tab_Calculs[[#This Row],[Conso_mois_kWh]],0)</f>
        <v>0</v>
      </c>
      <c r="W803" t="str">
        <f>T(VLOOKUP(Tab_Calculs[[#This Row],[Compteur]],Site!$B$33:$G$40,3,FALSE))</f>
        <v/>
      </c>
      <c r="X803" t="str">
        <f>T(VLOOKUP(Tab_Calculs[[#This Row],[Compteur]],Site!$B$33:$G$40,4,FALSE))</f>
        <v/>
      </c>
      <c r="Y803" t="str">
        <f>T(VLOOKUP(Tab_Calculs[[#This Row],[Compteur]],Site!$B$33:$G$40,5,FALSE))</f>
        <v/>
      </c>
      <c r="Z803" t="str">
        <f>T(VLOOKUP(Tab_Calculs[[#This Row],[Compteur]],Site!$B$33:$G$40,6,FALSE))</f>
        <v/>
      </c>
      <c r="AA803">
        <f>IFERROR(GETPIVOTDATA("DJU(chauffagiste)",BDD_DJU!$P$13,"annee",Tab_Calculs[[#This Row],[ANNEE]],"mois_numero",Tab_Calculs[[#This Row],[MOIS]]),0)</f>
        <v>247.3</v>
      </c>
    </row>
    <row r="804" spans="1:27" x14ac:dyDescent="0.25">
      <c r="A804" s="3">
        <f>DATE(Tab_Calculs[[#This Row],[ANNEE]],Tab_Calculs[[#This Row],[MOIS]],1)</f>
        <v>41000</v>
      </c>
      <c r="B804" s="3">
        <f>EDATE(Tab_Calculs[[#This Row],[Début mois]],1)-1</f>
        <v>41029</v>
      </c>
      <c r="C804">
        <v>4</v>
      </c>
      <c r="D804">
        <v>2012</v>
      </c>
      <c r="E804" t="s">
        <v>84</v>
      </c>
      <c r="F804" t="str">
        <f>SUBSTITUTE(Tab_Calculs[[#This Row],[Compteur]]," ","_")</f>
        <v>Compteur_5</v>
      </c>
      <c r="G804" t="str">
        <f>T(INDEX(Site!$B$33:$G$40, MATCH(Tab_Calculs[[#This Row],[Compteur]], Site!$B$33:$B$40,0),2))</f>
        <v/>
      </c>
      <c r="H804" s="3">
        <f t="array" aca="1" ref="H804" ca="1">MIN(IF(INDIRECT(CONCATENATE(Tab_Calculs[[#This Row],[Colonne1]],"!$B$2:$B$243"))&gt;=Calculs_Consos!$A804,INDIRECT(CONCATENATE(Tab_Calculs[[#This Row],[Colonne1]],"!$B$2:$B$243"))))</f>
        <v>0</v>
      </c>
      <c r="I804" s="3">
        <f ca="1">INDEX(INDIRECT(CONCATENATE("Tab_",Tab_Calculs[[#This Row],[Colonne1]])),Tab_Calculs[[#This Row],[index_date_livraison]],1)</f>
        <v>0</v>
      </c>
      <c r="J804">
        <f ca="1">MATCH(Tab_Calculs[[#This Row],[Date_livraison]],INDIRECT(CONCATENATE("Tab_",Tab_Calculs[[#This Row],[Colonne1]],"[Fin de période]")),0)</f>
        <v>1</v>
      </c>
      <c r="K804" t="e">
        <f ca="1">INDEX(INDIRECT(CONCATENATE("Tab_",Tab_Calculs[[#This Row],[Colonne1]])),Tab_Calculs[[#This Row],[index_date_livraison]]-1,6)*(MAX(Tab_Calculs[[#This Row],[Début periode livraison]],Tab_Calculs[[#This Row],[Début mois]])-Tab_Calculs[[#This Row],[Début mois]])</f>
        <v>#VALUE!</v>
      </c>
      <c r="L804" s="94">
        <f ca="1">INDEX(INDIRECT(CONCATENATE("Tab_",Tab_Calculs[[#This Row],[Colonne1]])),Tab_Calculs[[#This Row],[index_date_livraison]],6)*(1+MIN(Tab_Calculs[[#This Row],[Date_livraison]],Tab_Calculs[[#This Row],[fin mois]])-MAX(Tab_Calculs[[#This Row],[Début mois]],Tab_Calculs[[#This Row],[Début periode livraison]]))</f>
        <v>0</v>
      </c>
      <c r="M804" s="94" t="e">
        <f ca="1">INDEX(INDIRECT(CONCATENATE("Tab_",Tab_Calculs[[#This Row],[Colonne1]])),Tab_Calculs[[#This Row],[index_date_livraison]]+1,6)*(Tab_Calculs[[#This Row],[fin mois]]-MIN(Tab_Calculs[[#This Row],[fin mois]],Tab_Calculs[[#This Row],[Date_livraison]]))</f>
        <v>#VALUE!</v>
      </c>
      <c r="N804" s="231" t="str">
        <f ca="1">IFERROR(Tab_Calculs[[#This Row],[Ratio_jour_après_livr]]+Tab_Calculs[[#This Row],[Ratio_jour_avant_livr]]+Tab_Calculs[[#This Row],[ratio_avant_debut]],"")</f>
        <v/>
      </c>
      <c r="O804" t="e">
        <f ca="1">INDEX(INDIRECT(CONCATENATE("Tab_",Tab_Calculs[[#This Row],[Colonne1]])),Tab_Calculs[[#This Row],[index_date_livraison]]-1,7)*(MAX(Tab_Calculs[[#This Row],[Début periode livraison]],Tab_Calculs[[#This Row],[Début mois]])-Tab_Calculs[[#This Row],[Début mois]])</f>
        <v>#VALUE!</v>
      </c>
      <c r="P804">
        <f ca="1">INDEX(INDIRECT(CONCATENATE("Tab_",Tab_Calculs[[#This Row],[Colonne1]])),Tab_Calculs[[#This Row],[index_date_livraison]],7)*(1+MIN(Tab_Calculs[[#This Row],[Date_livraison]],Tab_Calculs[[#This Row],[fin mois]])-MAX(Tab_Calculs[[#This Row],[Début mois]],Tab_Calculs[[#This Row],[Début periode livraison]]))</f>
        <v>0</v>
      </c>
      <c r="Q804" t="e">
        <f ca="1">INDEX(INDIRECT(CONCATENATE("Tab_",Tab_Calculs[[#This Row],[Colonne1]])),Tab_Calculs[[#This Row],[index_date_livraison]]+1,7)*(Tab_Calculs[[#This Row],[fin mois]]-MIN(Tab_Calculs[[#This Row],[fin mois]],Tab_Calculs[[#This Row],[Date_livraison]]))</f>
        <v>#VALUE!</v>
      </c>
      <c r="R804" t="e">
        <f ca="1">Tab_Calculs[[#This Row],[Ratio_Cout_après_livr]]+Tab_Calculs[[#This Row],[Ratio_Cout_avant_livr]]+Tab_Calculs[[#This Row],[Ratio_Cout_avant_debut]]</f>
        <v>#VALUE!</v>
      </c>
      <c r="S804" t="str">
        <f ca="1">IFERROR(N804*VLOOKUP(Tab_Calculs[[#This Row],[Colonne1]],Controle_des_données!$B$7:$G$14,6,FALSE),"")</f>
        <v/>
      </c>
      <c r="T804" t="str">
        <f ca="1">IF(Tab_Calculs[[#This Row],[Combustible ]]="Electricité (kWh)",Tab_Calculs[[#This Row],[Conso_mois_kWh]]*2.3,Tab_Calculs[[#This Row],[Conso_mois_kWh]])</f>
        <v/>
      </c>
      <c r="U804" t="str">
        <f ca="1">IFERROR(N804*VLOOKUP(Tab_Calculs[[#This Row],[Colonne1]],Controle_des_données!$B$7:$H$14,7,FALSE),"")</f>
        <v/>
      </c>
      <c r="V804">
        <f ca="1">IFERROR(Tab_Calculs[[#This Row],[Cout_mois]]/Tab_Calculs[[#This Row],[Conso_mois_kWh]],0)</f>
        <v>0</v>
      </c>
      <c r="W804" t="str">
        <f>T(VLOOKUP(Tab_Calculs[[#This Row],[Compteur]],Site!$B$33:$G$40,3,FALSE))</f>
        <v/>
      </c>
      <c r="X804" t="str">
        <f>T(VLOOKUP(Tab_Calculs[[#This Row],[Compteur]],Site!$B$33:$G$40,4,FALSE))</f>
        <v/>
      </c>
      <c r="Y804" t="str">
        <f>T(VLOOKUP(Tab_Calculs[[#This Row],[Compteur]],Site!$B$33:$G$40,5,FALSE))</f>
        <v/>
      </c>
      <c r="Z804" t="str">
        <f>T(VLOOKUP(Tab_Calculs[[#This Row],[Compteur]],Site!$B$33:$G$40,6,FALSE))</f>
        <v/>
      </c>
      <c r="AA804">
        <f>IFERROR(GETPIVOTDATA("DJU(chauffagiste)",BDD_DJU!$P$13,"annee",Tab_Calculs[[#This Row],[ANNEE]],"mois_numero",Tab_Calculs[[#This Row],[MOIS]]),0)</f>
        <v>253.8</v>
      </c>
    </row>
    <row r="805" spans="1:27" x14ac:dyDescent="0.25">
      <c r="A805" s="3">
        <f>DATE(Tab_Calculs[[#This Row],[ANNEE]],Tab_Calculs[[#This Row],[MOIS]],1)</f>
        <v>41030</v>
      </c>
      <c r="B805" s="3">
        <f>EDATE(Tab_Calculs[[#This Row],[Début mois]],1)-1</f>
        <v>41060</v>
      </c>
      <c r="C805">
        <v>5</v>
      </c>
      <c r="D805">
        <v>2012</v>
      </c>
      <c r="E805" t="s">
        <v>84</v>
      </c>
      <c r="F805" t="str">
        <f>SUBSTITUTE(Tab_Calculs[[#This Row],[Compteur]]," ","_")</f>
        <v>Compteur_5</v>
      </c>
      <c r="G805" t="str">
        <f>T(INDEX(Site!$B$33:$G$40, MATCH(Tab_Calculs[[#This Row],[Compteur]], Site!$B$33:$B$40,0),2))</f>
        <v/>
      </c>
      <c r="H805" s="3">
        <f t="array" aca="1" ref="H805" ca="1">MIN(IF(INDIRECT(CONCATENATE(Tab_Calculs[[#This Row],[Colonne1]],"!$B$2:$B$243"))&gt;=Calculs_Consos!$A805,INDIRECT(CONCATENATE(Tab_Calculs[[#This Row],[Colonne1]],"!$B$2:$B$243"))))</f>
        <v>0</v>
      </c>
      <c r="I805" s="3">
        <f ca="1">INDEX(INDIRECT(CONCATENATE("Tab_",Tab_Calculs[[#This Row],[Colonne1]])),Tab_Calculs[[#This Row],[index_date_livraison]],1)</f>
        <v>0</v>
      </c>
      <c r="J805">
        <f ca="1">MATCH(Tab_Calculs[[#This Row],[Date_livraison]],INDIRECT(CONCATENATE("Tab_",Tab_Calculs[[#This Row],[Colonne1]],"[Fin de période]")),0)</f>
        <v>1</v>
      </c>
      <c r="K805" t="e">
        <f ca="1">INDEX(INDIRECT(CONCATENATE("Tab_",Tab_Calculs[[#This Row],[Colonne1]])),Tab_Calculs[[#This Row],[index_date_livraison]]-1,6)*(MAX(Tab_Calculs[[#This Row],[Début periode livraison]],Tab_Calculs[[#This Row],[Début mois]])-Tab_Calculs[[#This Row],[Début mois]])</f>
        <v>#VALUE!</v>
      </c>
      <c r="L805" s="94">
        <f ca="1">INDEX(INDIRECT(CONCATENATE("Tab_",Tab_Calculs[[#This Row],[Colonne1]])),Tab_Calculs[[#This Row],[index_date_livraison]],6)*(1+MIN(Tab_Calculs[[#This Row],[Date_livraison]],Tab_Calculs[[#This Row],[fin mois]])-MAX(Tab_Calculs[[#This Row],[Début mois]],Tab_Calculs[[#This Row],[Début periode livraison]]))</f>
        <v>0</v>
      </c>
      <c r="M805" s="94" t="e">
        <f ca="1">INDEX(INDIRECT(CONCATENATE("Tab_",Tab_Calculs[[#This Row],[Colonne1]])),Tab_Calculs[[#This Row],[index_date_livraison]]+1,6)*(Tab_Calculs[[#This Row],[fin mois]]-MIN(Tab_Calculs[[#This Row],[fin mois]],Tab_Calculs[[#This Row],[Date_livraison]]))</f>
        <v>#VALUE!</v>
      </c>
      <c r="N805" s="231" t="str">
        <f ca="1">IFERROR(Tab_Calculs[[#This Row],[Ratio_jour_après_livr]]+Tab_Calculs[[#This Row],[Ratio_jour_avant_livr]]+Tab_Calculs[[#This Row],[ratio_avant_debut]],"")</f>
        <v/>
      </c>
      <c r="O805" t="e">
        <f ca="1">INDEX(INDIRECT(CONCATENATE("Tab_",Tab_Calculs[[#This Row],[Colonne1]])),Tab_Calculs[[#This Row],[index_date_livraison]]-1,7)*(MAX(Tab_Calculs[[#This Row],[Début periode livraison]],Tab_Calculs[[#This Row],[Début mois]])-Tab_Calculs[[#This Row],[Début mois]])</f>
        <v>#VALUE!</v>
      </c>
      <c r="P805">
        <f ca="1">INDEX(INDIRECT(CONCATENATE("Tab_",Tab_Calculs[[#This Row],[Colonne1]])),Tab_Calculs[[#This Row],[index_date_livraison]],7)*(1+MIN(Tab_Calculs[[#This Row],[Date_livraison]],Tab_Calculs[[#This Row],[fin mois]])-MAX(Tab_Calculs[[#This Row],[Début mois]],Tab_Calculs[[#This Row],[Début periode livraison]]))</f>
        <v>0</v>
      </c>
      <c r="Q805" t="e">
        <f ca="1">INDEX(INDIRECT(CONCATENATE("Tab_",Tab_Calculs[[#This Row],[Colonne1]])),Tab_Calculs[[#This Row],[index_date_livraison]]+1,7)*(Tab_Calculs[[#This Row],[fin mois]]-MIN(Tab_Calculs[[#This Row],[fin mois]],Tab_Calculs[[#This Row],[Date_livraison]]))</f>
        <v>#VALUE!</v>
      </c>
      <c r="R805" t="e">
        <f ca="1">Tab_Calculs[[#This Row],[Ratio_Cout_après_livr]]+Tab_Calculs[[#This Row],[Ratio_Cout_avant_livr]]+Tab_Calculs[[#This Row],[Ratio_Cout_avant_debut]]</f>
        <v>#VALUE!</v>
      </c>
      <c r="S805" t="str">
        <f ca="1">IFERROR(N805*VLOOKUP(Tab_Calculs[[#This Row],[Colonne1]],Controle_des_données!$B$7:$G$14,6,FALSE),"")</f>
        <v/>
      </c>
      <c r="T805" t="str">
        <f ca="1">IF(Tab_Calculs[[#This Row],[Combustible ]]="Electricité (kWh)",Tab_Calculs[[#This Row],[Conso_mois_kWh]]*2.3,Tab_Calculs[[#This Row],[Conso_mois_kWh]])</f>
        <v/>
      </c>
      <c r="U805" t="str">
        <f ca="1">IFERROR(N805*VLOOKUP(Tab_Calculs[[#This Row],[Colonne1]],Controle_des_données!$B$7:$H$14,7,FALSE),"")</f>
        <v/>
      </c>
      <c r="V805">
        <f ca="1">IFERROR(Tab_Calculs[[#This Row],[Cout_mois]]/Tab_Calculs[[#This Row],[Conso_mois_kWh]],0)</f>
        <v>0</v>
      </c>
      <c r="W805" t="str">
        <f>T(VLOOKUP(Tab_Calculs[[#This Row],[Compteur]],Site!$B$33:$G$40,3,FALSE))</f>
        <v/>
      </c>
      <c r="X805" t="str">
        <f>T(VLOOKUP(Tab_Calculs[[#This Row],[Compteur]],Site!$B$33:$G$40,4,FALSE))</f>
        <v/>
      </c>
      <c r="Y805" t="str">
        <f>T(VLOOKUP(Tab_Calculs[[#This Row],[Compteur]],Site!$B$33:$G$40,5,FALSE))</f>
        <v/>
      </c>
      <c r="Z805" t="str">
        <f>T(VLOOKUP(Tab_Calculs[[#This Row],[Compteur]],Site!$B$33:$G$40,6,FALSE))</f>
        <v/>
      </c>
      <c r="AA805">
        <f>IFERROR(GETPIVOTDATA("DJU(chauffagiste)",BDD_DJU!$P$13,"annee",Tab_Calculs[[#This Row],[ANNEE]],"mois_numero",Tab_Calculs[[#This Row],[MOIS]]),0)</f>
        <v>113.8</v>
      </c>
    </row>
    <row r="806" spans="1:27" x14ac:dyDescent="0.25">
      <c r="A806" s="3">
        <f>DATE(Tab_Calculs[[#This Row],[ANNEE]],Tab_Calculs[[#This Row],[MOIS]],1)</f>
        <v>41061</v>
      </c>
      <c r="B806" s="3">
        <f>EDATE(Tab_Calculs[[#This Row],[Début mois]],1)-1</f>
        <v>41090</v>
      </c>
      <c r="C806">
        <v>6</v>
      </c>
      <c r="D806">
        <v>2012</v>
      </c>
      <c r="E806" t="s">
        <v>84</v>
      </c>
      <c r="F806" t="str">
        <f>SUBSTITUTE(Tab_Calculs[[#This Row],[Compteur]]," ","_")</f>
        <v>Compteur_5</v>
      </c>
      <c r="G806" t="str">
        <f>T(INDEX(Site!$B$33:$G$40, MATCH(Tab_Calculs[[#This Row],[Compteur]], Site!$B$33:$B$40,0),2))</f>
        <v/>
      </c>
      <c r="H806" s="3">
        <f t="array" aca="1" ref="H806" ca="1">MIN(IF(INDIRECT(CONCATENATE(Tab_Calculs[[#This Row],[Colonne1]],"!$B$2:$B$243"))&gt;=Calculs_Consos!$A806,INDIRECT(CONCATENATE(Tab_Calculs[[#This Row],[Colonne1]],"!$B$2:$B$243"))))</f>
        <v>0</v>
      </c>
      <c r="I806" s="3">
        <f ca="1">INDEX(INDIRECT(CONCATENATE("Tab_",Tab_Calculs[[#This Row],[Colonne1]])),Tab_Calculs[[#This Row],[index_date_livraison]],1)</f>
        <v>0</v>
      </c>
      <c r="J806">
        <f ca="1">MATCH(Tab_Calculs[[#This Row],[Date_livraison]],INDIRECT(CONCATENATE("Tab_",Tab_Calculs[[#This Row],[Colonne1]],"[Fin de période]")),0)</f>
        <v>1</v>
      </c>
      <c r="K806" t="e">
        <f ca="1">INDEX(INDIRECT(CONCATENATE("Tab_",Tab_Calculs[[#This Row],[Colonne1]])),Tab_Calculs[[#This Row],[index_date_livraison]]-1,6)*(MAX(Tab_Calculs[[#This Row],[Début periode livraison]],Tab_Calculs[[#This Row],[Début mois]])-Tab_Calculs[[#This Row],[Début mois]])</f>
        <v>#VALUE!</v>
      </c>
      <c r="L806" s="94">
        <f ca="1">INDEX(INDIRECT(CONCATENATE("Tab_",Tab_Calculs[[#This Row],[Colonne1]])),Tab_Calculs[[#This Row],[index_date_livraison]],6)*(1+MIN(Tab_Calculs[[#This Row],[Date_livraison]],Tab_Calculs[[#This Row],[fin mois]])-MAX(Tab_Calculs[[#This Row],[Début mois]],Tab_Calculs[[#This Row],[Début periode livraison]]))</f>
        <v>0</v>
      </c>
      <c r="M806" s="94" t="e">
        <f ca="1">INDEX(INDIRECT(CONCATENATE("Tab_",Tab_Calculs[[#This Row],[Colonne1]])),Tab_Calculs[[#This Row],[index_date_livraison]]+1,6)*(Tab_Calculs[[#This Row],[fin mois]]-MIN(Tab_Calculs[[#This Row],[fin mois]],Tab_Calculs[[#This Row],[Date_livraison]]))</f>
        <v>#VALUE!</v>
      </c>
      <c r="N806" s="231" t="str">
        <f ca="1">IFERROR(Tab_Calculs[[#This Row],[Ratio_jour_après_livr]]+Tab_Calculs[[#This Row],[Ratio_jour_avant_livr]]+Tab_Calculs[[#This Row],[ratio_avant_debut]],"")</f>
        <v/>
      </c>
      <c r="O806" t="e">
        <f ca="1">INDEX(INDIRECT(CONCATENATE("Tab_",Tab_Calculs[[#This Row],[Colonne1]])),Tab_Calculs[[#This Row],[index_date_livraison]]-1,7)*(MAX(Tab_Calculs[[#This Row],[Début periode livraison]],Tab_Calculs[[#This Row],[Début mois]])-Tab_Calculs[[#This Row],[Début mois]])</f>
        <v>#VALUE!</v>
      </c>
      <c r="P806">
        <f ca="1">INDEX(INDIRECT(CONCATENATE("Tab_",Tab_Calculs[[#This Row],[Colonne1]])),Tab_Calculs[[#This Row],[index_date_livraison]],7)*(1+MIN(Tab_Calculs[[#This Row],[Date_livraison]],Tab_Calculs[[#This Row],[fin mois]])-MAX(Tab_Calculs[[#This Row],[Début mois]],Tab_Calculs[[#This Row],[Début periode livraison]]))</f>
        <v>0</v>
      </c>
      <c r="Q806" t="e">
        <f ca="1">INDEX(INDIRECT(CONCATENATE("Tab_",Tab_Calculs[[#This Row],[Colonne1]])),Tab_Calculs[[#This Row],[index_date_livraison]]+1,7)*(Tab_Calculs[[#This Row],[fin mois]]-MIN(Tab_Calculs[[#This Row],[fin mois]],Tab_Calculs[[#This Row],[Date_livraison]]))</f>
        <v>#VALUE!</v>
      </c>
      <c r="R806" t="e">
        <f ca="1">Tab_Calculs[[#This Row],[Ratio_Cout_après_livr]]+Tab_Calculs[[#This Row],[Ratio_Cout_avant_livr]]+Tab_Calculs[[#This Row],[Ratio_Cout_avant_debut]]</f>
        <v>#VALUE!</v>
      </c>
      <c r="S806" t="str">
        <f ca="1">IFERROR(N806*VLOOKUP(Tab_Calculs[[#This Row],[Colonne1]],Controle_des_données!$B$7:$G$14,6,FALSE),"")</f>
        <v/>
      </c>
      <c r="T806" t="str">
        <f ca="1">IF(Tab_Calculs[[#This Row],[Combustible ]]="Electricité (kWh)",Tab_Calculs[[#This Row],[Conso_mois_kWh]]*2.3,Tab_Calculs[[#This Row],[Conso_mois_kWh]])</f>
        <v/>
      </c>
      <c r="U806" t="str">
        <f ca="1">IFERROR(N806*VLOOKUP(Tab_Calculs[[#This Row],[Colonne1]],Controle_des_données!$B$7:$H$14,7,FALSE),"")</f>
        <v/>
      </c>
      <c r="V806">
        <f ca="1">IFERROR(Tab_Calculs[[#This Row],[Cout_mois]]/Tab_Calculs[[#This Row],[Conso_mois_kWh]],0)</f>
        <v>0</v>
      </c>
      <c r="W806" t="str">
        <f>T(VLOOKUP(Tab_Calculs[[#This Row],[Compteur]],Site!$B$33:$G$40,3,FALSE))</f>
        <v/>
      </c>
      <c r="X806" t="str">
        <f>T(VLOOKUP(Tab_Calculs[[#This Row],[Compteur]],Site!$B$33:$G$40,4,FALSE))</f>
        <v/>
      </c>
      <c r="Y806" t="str">
        <f>T(VLOOKUP(Tab_Calculs[[#This Row],[Compteur]],Site!$B$33:$G$40,5,FALSE))</f>
        <v/>
      </c>
      <c r="Z806" t="str">
        <f>T(VLOOKUP(Tab_Calculs[[#This Row],[Compteur]],Site!$B$33:$G$40,6,FALSE))</f>
        <v/>
      </c>
      <c r="AA806">
        <f>IFERROR(GETPIVOTDATA("DJU(chauffagiste)",BDD_DJU!$P$13,"annee",Tab_Calculs[[#This Row],[ANNEE]],"mois_numero",Tab_Calculs[[#This Row],[MOIS]]),0)</f>
        <v>59.4</v>
      </c>
    </row>
    <row r="807" spans="1:27" x14ac:dyDescent="0.25">
      <c r="A807" s="3">
        <f>DATE(Tab_Calculs[[#This Row],[ANNEE]],Tab_Calculs[[#This Row],[MOIS]],1)</f>
        <v>41091</v>
      </c>
      <c r="B807" s="3">
        <f>EDATE(Tab_Calculs[[#This Row],[Début mois]],1)-1</f>
        <v>41121</v>
      </c>
      <c r="C807">
        <v>7</v>
      </c>
      <c r="D807">
        <v>2012</v>
      </c>
      <c r="E807" t="s">
        <v>84</v>
      </c>
      <c r="F807" t="str">
        <f>SUBSTITUTE(Tab_Calculs[[#This Row],[Compteur]]," ","_")</f>
        <v>Compteur_5</v>
      </c>
      <c r="G807" t="str">
        <f>T(INDEX(Site!$B$33:$G$40, MATCH(Tab_Calculs[[#This Row],[Compteur]], Site!$B$33:$B$40,0),2))</f>
        <v/>
      </c>
      <c r="H807" s="3">
        <f t="array" aca="1" ref="H807" ca="1">MIN(IF(INDIRECT(CONCATENATE(Tab_Calculs[[#This Row],[Colonne1]],"!$B$2:$B$243"))&gt;=Calculs_Consos!$A807,INDIRECT(CONCATENATE(Tab_Calculs[[#This Row],[Colonne1]],"!$B$2:$B$243"))))</f>
        <v>0</v>
      </c>
      <c r="I807" s="3">
        <f ca="1">INDEX(INDIRECT(CONCATENATE("Tab_",Tab_Calculs[[#This Row],[Colonne1]])),Tab_Calculs[[#This Row],[index_date_livraison]],1)</f>
        <v>0</v>
      </c>
      <c r="J807">
        <f ca="1">MATCH(Tab_Calculs[[#This Row],[Date_livraison]],INDIRECT(CONCATENATE("Tab_",Tab_Calculs[[#This Row],[Colonne1]],"[Fin de période]")),0)</f>
        <v>1</v>
      </c>
      <c r="K807" t="e">
        <f ca="1">INDEX(INDIRECT(CONCATENATE("Tab_",Tab_Calculs[[#This Row],[Colonne1]])),Tab_Calculs[[#This Row],[index_date_livraison]]-1,6)*(MAX(Tab_Calculs[[#This Row],[Début periode livraison]],Tab_Calculs[[#This Row],[Début mois]])-Tab_Calculs[[#This Row],[Début mois]])</f>
        <v>#VALUE!</v>
      </c>
      <c r="L807" s="94">
        <f ca="1">INDEX(INDIRECT(CONCATENATE("Tab_",Tab_Calculs[[#This Row],[Colonne1]])),Tab_Calculs[[#This Row],[index_date_livraison]],6)*(1+MIN(Tab_Calculs[[#This Row],[Date_livraison]],Tab_Calculs[[#This Row],[fin mois]])-MAX(Tab_Calculs[[#This Row],[Début mois]],Tab_Calculs[[#This Row],[Début periode livraison]]))</f>
        <v>0</v>
      </c>
      <c r="M807" s="94" t="e">
        <f ca="1">INDEX(INDIRECT(CONCATENATE("Tab_",Tab_Calculs[[#This Row],[Colonne1]])),Tab_Calculs[[#This Row],[index_date_livraison]]+1,6)*(Tab_Calculs[[#This Row],[fin mois]]-MIN(Tab_Calculs[[#This Row],[fin mois]],Tab_Calculs[[#This Row],[Date_livraison]]))</f>
        <v>#VALUE!</v>
      </c>
      <c r="N807" s="231" t="str">
        <f ca="1">IFERROR(Tab_Calculs[[#This Row],[Ratio_jour_après_livr]]+Tab_Calculs[[#This Row],[Ratio_jour_avant_livr]]+Tab_Calculs[[#This Row],[ratio_avant_debut]],"")</f>
        <v/>
      </c>
      <c r="O807" t="e">
        <f ca="1">INDEX(INDIRECT(CONCATENATE("Tab_",Tab_Calculs[[#This Row],[Colonne1]])),Tab_Calculs[[#This Row],[index_date_livraison]]-1,7)*(MAX(Tab_Calculs[[#This Row],[Début periode livraison]],Tab_Calculs[[#This Row],[Début mois]])-Tab_Calculs[[#This Row],[Début mois]])</f>
        <v>#VALUE!</v>
      </c>
      <c r="P807">
        <f ca="1">INDEX(INDIRECT(CONCATENATE("Tab_",Tab_Calculs[[#This Row],[Colonne1]])),Tab_Calculs[[#This Row],[index_date_livraison]],7)*(1+MIN(Tab_Calculs[[#This Row],[Date_livraison]],Tab_Calculs[[#This Row],[fin mois]])-MAX(Tab_Calculs[[#This Row],[Début mois]],Tab_Calculs[[#This Row],[Début periode livraison]]))</f>
        <v>0</v>
      </c>
      <c r="Q807" t="e">
        <f ca="1">INDEX(INDIRECT(CONCATENATE("Tab_",Tab_Calculs[[#This Row],[Colonne1]])),Tab_Calculs[[#This Row],[index_date_livraison]]+1,7)*(Tab_Calculs[[#This Row],[fin mois]]-MIN(Tab_Calculs[[#This Row],[fin mois]],Tab_Calculs[[#This Row],[Date_livraison]]))</f>
        <v>#VALUE!</v>
      </c>
      <c r="R807" t="e">
        <f ca="1">Tab_Calculs[[#This Row],[Ratio_Cout_après_livr]]+Tab_Calculs[[#This Row],[Ratio_Cout_avant_livr]]+Tab_Calculs[[#This Row],[Ratio_Cout_avant_debut]]</f>
        <v>#VALUE!</v>
      </c>
      <c r="S807" t="str">
        <f ca="1">IFERROR(N807*VLOOKUP(Tab_Calculs[[#This Row],[Colonne1]],Controle_des_données!$B$7:$G$14,6,FALSE),"")</f>
        <v/>
      </c>
      <c r="T807" t="str">
        <f ca="1">IF(Tab_Calculs[[#This Row],[Combustible ]]="Electricité (kWh)",Tab_Calculs[[#This Row],[Conso_mois_kWh]]*2.3,Tab_Calculs[[#This Row],[Conso_mois_kWh]])</f>
        <v/>
      </c>
      <c r="U807" t="str">
        <f ca="1">IFERROR(N807*VLOOKUP(Tab_Calculs[[#This Row],[Colonne1]],Controle_des_données!$B$7:$H$14,7,FALSE),"")</f>
        <v/>
      </c>
      <c r="V807">
        <f ca="1">IFERROR(Tab_Calculs[[#This Row],[Cout_mois]]/Tab_Calculs[[#This Row],[Conso_mois_kWh]],0)</f>
        <v>0</v>
      </c>
      <c r="W807" t="str">
        <f>T(VLOOKUP(Tab_Calculs[[#This Row],[Compteur]],Site!$B$33:$G$40,3,FALSE))</f>
        <v/>
      </c>
      <c r="X807" t="str">
        <f>T(VLOOKUP(Tab_Calculs[[#This Row],[Compteur]],Site!$B$33:$G$40,4,FALSE))</f>
        <v/>
      </c>
      <c r="Y807" t="str">
        <f>T(VLOOKUP(Tab_Calculs[[#This Row],[Compteur]],Site!$B$33:$G$40,5,FALSE))</f>
        <v/>
      </c>
      <c r="Z807" t="str">
        <f>T(VLOOKUP(Tab_Calculs[[#This Row],[Compteur]],Site!$B$33:$G$40,6,FALSE))</f>
        <v/>
      </c>
      <c r="AA807">
        <f>IFERROR(GETPIVOTDATA("DJU(chauffagiste)",BDD_DJU!$P$13,"annee",Tab_Calculs[[#This Row],[ANNEE]],"mois_numero",Tab_Calculs[[#This Row],[MOIS]]),0)</f>
        <v>48.9</v>
      </c>
    </row>
    <row r="808" spans="1:27" x14ac:dyDescent="0.25">
      <c r="A808" s="3">
        <f>DATE(Tab_Calculs[[#This Row],[ANNEE]],Tab_Calculs[[#This Row],[MOIS]],1)</f>
        <v>41122</v>
      </c>
      <c r="B808" s="3">
        <f>EDATE(Tab_Calculs[[#This Row],[Début mois]],1)-1</f>
        <v>41152</v>
      </c>
      <c r="C808">
        <v>8</v>
      </c>
      <c r="D808">
        <v>2012</v>
      </c>
      <c r="E808" t="s">
        <v>84</v>
      </c>
      <c r="F808" t="str">
        <f>SUBSTITUTE(Tab_Calculs[[#This Row],[Compteur]]," ","_")</f>
        <v>Compteur_5</v>
      </c>
      <c r="G808" t="str">
        <f>T(INDEX(Site!$B$33:$G$40, MATCH(Tab_Calculs[[#This Row],[Compteur]], Site!$B$33:$B$40,0),2))</f>
        <v/>
      </c>
      <c r="H808" s="3">
        <f t="array" aca="1" ref="H808" ca="1">MIN(IF(INDIRECT(CONCATENATE(Tab_Calculs[[#This Row],[Colonne1]],"!$B$2:$B$243"))&gt;=Calculs_Consos!$A808,INDIRECT(CONCATENATE(Tab_Calculs[[#This Row],[Colonne1]],"!$B$2:$B$243"))))</f>
        <v>0</v>
      </c>
      <c r="I808" s="3">
        <f ca="1">INDEX(INDIRECT(CONCATENATE("Tab_",Tab_Calculs[[#This Row],[Colonne1]])),Tab_Calculs[[#This Row],[index_date_livraison]],1)</f>
        <v>0</v>
      </c>
      <c r="J808">
        <f ca="1">MATCH(Tab_Calculs[[#This Row],[Date_livraison]],INDIRECT(CONCATENATE("Tab_",Tab_Calculs[[#This Row],[Colonne1]],"[Fin de période]")),0)</f>
        <v>1</v>
      </c>
      <c r="K808" t="e">
        <f ca="1">INDEX(INDIRECT(CONCATENATE("Tab_",Tab_Calculs[[#This Row],[Colonne1]])),Tab_Calculs[[#This Row],[index_date_livraison]]-1,6)*(MAX(Tab_Calculs[[#This Row],[Début periode livraison]],Tab_Calculs[[#This Row],[Début mois]])-Tab_Calculs[[#This Row],[Début mois]])</f>
        <v>#VALUE!</v>
      </c>
      <c r="L808" s="94">
        <f ca="1">INDEX(INDIRECT(CONCATENATE("Tab_",Tab_Calculs[[#This Row],[Colonne1]])),Tab_Calculs[[#This Row],[index_date_livraison]],6)*(1+MIN(Tab_Calculs[[#This Row],[Date_livraison]],Tab_Calculs[[#This Row],[fin mois]])-MAX(Tab_Calculs[[#This Row],[Début mois]],Tab_Calculs[[#This Row],[Début periode livraison]]))</f>
        <v>0</v>
      </c>
      <c r="M808" s="94" t="e">
        <f ca="1">INDEX(INDIRECT(CONCATENATE("Tab_",Tab_Calculs[[#This Row],[Colonne1]])),Tab_Calculs[[#This Row],[index_date_livraison]]+1,6)*(Tab_Calculs[[#This Row],[fin mois]]-MIN(Tab_Calculs[[#This Row],[fin mois]],Tab_Calculs[[#This Row],[Date_livraison]]))</f>
        <v>#VALUE!</v>
      </c>
      <c r="N808" s="231" t="str">
        <f ca="1">IFERROR(Tab_Calculs[[#This Row],[Ratio_jour_après_livr]]+Tab_Calculs[[#This Row],[Ratio_jour_avant_livr]]+Tab_Calculs[[#This Row],[ratio_avant_debut]],"")</f>
        <v/>
      </c>
      <c r="O808" t="e">
        <f ca="1">INDEX(INDIRECT(CONCATENATE("Tab_",Tab_Calculs[[#This Row],[Colonne1]])),Tab_Calculs[[#This Row],[index_date_livraison]]-1,7)*(MAX(Tab_Calculs[[#This Row],[Début periode livraison]],Tab_Calculs[[#This Row],[Début mois]])-Tab_Calculs[[#This Row],[Début mois]])</f>
        <v>#VALUE!</v>
      </c>
      <c r="P808">
        <f ca="1">INDEX(INDIRECT(CONCATENATE("Tab_",Tab_Calculs[[#This Row],[Colonne1]])),Tab_Calculs[[#This Row],[index_date_livraison]],7)*(1+MIN(Tab_Calculs[[#This Row],[Date_livraison]],Tab_Calculs[[#This Row],[fin mois]])-MAX(Tab_Calculs[[#This Row],[Début mois]],Tab_Calculs[[#This Row],[Début periode livraison]]))</f>
        <v>0</v>
      </c>
      <c r="Q808" t="e">
        <f ca="1">INDEX(INDIRECT(CONCATENATE("Tab_",Tab_Calculs[[#This Row],[Colonne1]])),Tab_Calculs[[#This Row],[index_date_livraison]]+1,7)*(Tab_Calculs[[#This Row],[fin mois]]-MIN(Tab_Calculs[[#This Row],[fin mois]],Tab_Calculs[[#This Row],[Date_livraison]]))</f>
        <v>#VALUE!</v>
      </c>
      <c r="R808" t="e">
        <f ca="1">Tab_Calculs[[#This Row],[Ratio_Cout_après_livr]]+Tab_Calculs[[#This Row],[Ratio_Cout_avant_livr]]+Tab_Calculs[[#This Row],[Ratio_Cout_avant_debut]]</f>
        <v>#VALUE!</v>
      </c>
      <c r="S808" t="str">
        <f ca="1">IFERROR(N808*VLOOKUP(Tab_Calculs[[#This Row],[Colonne1]],Controle_des_données!$B$7:$G$14,6,FALSE),"")</f>
        <v/>
      </c>
      <c r="T808" t="str">
        <f ca="1">IF(Tab_Calculs[[#This Row],[Combustible ]]="Electricité (kWh)",Tab_Calculs[[#This Row],[Conso_mois_kWh]]*2.3,Tab_Calculs[[#This Row],[Conso_mois_kWh]])</f>
        <v/>
      </c>
      <c r="U808" t="str">
        <f ca="1">IFERROR(N808*VLOOKUP(Tab_Calculs[[#This Row],[Colonne1]],Controle_des_données!$B$7:$H$14,7,FALSE),"")</f>
        <v/>
      </c>
      <c r="V808">
        <f ca="1">IFERROR(Tab_Calculs[[#This Row],[Cout_mois]]/Tab_Calculs[[#This Row],[Conso_mois_kWh]],0)</f>
        <v>0</v>
      </c>
      <c r="W808" t="str">
        <f>T(VLOOKUP(Tab_Calculs[[#This Row],[Compteur]],Site!$B$33:$G$40,3,FALSE))</f>
        <v/>
      </c>
      <c r="X808" t="str">
        <f>T(VLOOKUP(Tab_Calculs[[#This Row],[Compteur]],Site!$B$33:$G$40,4,FALSE))</f>
        <v/>
      </c>
      <c r="Y808" t="str">
        <f>T(VLOOKUP(Tab_Calculs[[#This Row],[Compteur]],Site!$B$33:$G$40,5,FALSE))</f>
        <v/>
      </c>
      <c r="Z808" t="str">
        <f>T(VLOOKUP(Tab_Calculs[[#This Row],[Compteur]],Site!$B$33:$G$40,6,FALSE))</f>
        <v/>
      </c>
      <c r="AA808">
        <f>IFERROR(GETPIVOTDATA("DJU(chauffagiste)",BDD_DJU!$P$13,"annee",Tab_Calculs[[#This Row],[ANNEE]],"mois_numero",Tab_Calculs[[#This Row],[MOIS]]),0)</f>
        <v>28.8</v>
      </c>
    </row>
    <row r="809" spans="1:27" x14ac:dyDescent="0.25">
      <c r="A809" s="3">
        <f>DATE(Tab_Calculs[[#This Row],[ANNEE]],Tab_Calculs[[#This Row],[MOIS]],1)</f>
        <v>41153</v>
      </c>
      <c r="B809" s="3">
        <f>EDATE(Tab_Calculs[[#This Row],[Début mois]],1)-1</f>
        <v>41182</v>
      </c>
      <c r="C809">
        <v>9</v>
      </c>
      <c r="D809">
        <v>2012</v>
      </c>
      <c r="E809" t="s">
        <v>84</v>
      </c>
      <c r="F809" t="str">
        <f>SUBSTITUTE(Tab_Calculs[[#This Row],[Compteur]]," ","_")</f>
        <v>Compteur_5</v>
      </c>
      <c r="G809" t="str">
        <f>T(INDEX(Site!$B$33:$G$40, MATCH(Tab_Calculs[[#This Row],[Compteur]], Site!$B$33:$B$40,0),2))</f>
        <v/>
      </c>
      <c r="H809" s="3">
        <f t="array" aca="1" ref="H809" ca="1">MIN(IF(INDIRECT(CONCATENATE(Tab_Calculs[[#This Row],[Colonne1]],"!$B$2:$B$243"))&gt;=Calculs_Consos!$A809,INDIRECT(CONCATENATE(Tab_Calculs[[#This Row],[Colonne1]],"!$B$2:$B$243"))))</f>
        <v>0</v>
      </c>
      <c r="I809" s="3">
        <f ca="1">INDEX(INDIRECT(CONCATENATE("Tab_",Tab_Calculs[[#This Row],[Colonne1]])),Tab_Calculs[[#This Row],[index_date_livraison]],1)</f>
        <v>0</v>
      </c>
      <c r="J809">
        <f ca="1">MATCH(Tab_Calculs[[#This Row],[Date_livraison]],INDIRECT(CONCATENATE("Tab_",Tab_Calculs[[#This Row],[Colonne1]],"[Fin de période]")),0)</f>
        <v>1</v>
      </c>
      <c r="K809" t="e">
        <f ca="1">INDEX(INDIRECT(CONCATENATE("Tab_",Tab_Calculs[[#This Row],[Colonne1]])),Tab_Calculs[[#This Row],[index_date_livraison]]-1,6)*(MAX(Tab_Calculs[[#This Row],[Début periode livraison]],Tab_Calculs[[#This Row],[Début mois]])-Tab_Calculs[[#This Row],[Début mois]])</f>
        <v>#VALUE!</v>
      </c>
      <c r="L809" s="94">
        <f ca="1">INDEX(INDIRECT(CONCATENATE("Tab_",Tab_Calculs[[#This Row],[Colonne1]])),Tab_Calculs[[#This Row],[index_date_livraison]],6)*(1+MIN(Tab_Calculs[[#This Row],[Date_livraison]],Tab_Calculs[[#This Row],[fin mois]])-MAX(Tab_Calculs[[#This Row],[Début mois]],Tab_Calculs[[#This Row],[Début periode livraison]]))</f>
        <v>0</v>
      </c>
      <c r="M809" s="94" t="e">
        <f ca="1">INDEX(INDIRECT(CONCATENATE("Tab_",Tab_Calculs[[#This Row],[Colonne1]])),Tab_Calculs[[#This Row],[index_date_livraison]]+1,6)*(Tab_Calculs[[#This Row],[fin mois]]-MIN(Tab_Calculs[[#This Row],[fin mois]],Tab_Calculs[[#This Row],[Date_livraison]]))</f>
        <v>#VALUE!</v>
      </c>
      <c r="N809" s="231" t="str">
        <f ca="1">IFERROR(Tab_Calculs[[#This Row],[Ratio_jour_après_livr]]+Tab_Calculs[[#This Row],[Ratio_jour_avant_livr]]+Tab_Calculs[[#This Row],[ratio_avant_debut]],"")</f>
        <v/>
      </c>
      <c r="O809" t="e">
        <f ca="1">INDEX(INDIRECT(CONCATENATE("Tab_",Tab_Calculs[[#This Row],[Colonne1]])),Tab_Calculs[[#This Row],[index_date_livraison]]-1,7)*(MAX(Tab_Calculs[[#This Row],[Début periode livraison]],Tab_Calculs[[#This Row],[Début mois]])-Tab_Calculs[[#This Row],[Début mois]])</f>
        <v>#VALUE!</v>
      </c>
      <c r="P809">
        <f ca="1">INDEX(INDIRECT(CONCATENATE("Tab_",Tab_Calculs[[#This Row],[Colonne1]])),Tab_Calculs[[#This Row],[index_date_livraison]],7)*(1+MIN(Tab_Calculs[[#This Row],[Date_livraison]],Tab_Calculs[[#This Row],[fin mois]])-MAX(Tab_Calculs[[#This Row],[Début mois]],Tab_Calculs[[#This Row],[Début periode livraison]]))</f>
        <v>0</v>
      </c>
      <c r="Q809" t="e">
        <f ca="1">INDEX(INDIRECT(CONCATENATE("Tab_",Tab_Calculs[[#This Row],[Colonne1]])),Tab_Calculs[[#This Row],[index_date_livraison]]+1,7)*(Tab_Calculs[[#This Row],[fin mois]]-MIN(Tab_Calculs[[#This Row],[fin mois]],Tab_Calculs[[#This Row],[Date_livraison]]))</f>
        <v>#VALUE!</v>
      </c>
      <c r="R809" t="e">
        <f ca="1">Tab_Calculs[[#This Row],[Ratio_Cout_après_livr]]+Tab_Calculs[[#This Row],[Ratio_Cout_avant_livr]]+Tab_Calculs[[#This Row],[Ratio_Cout_avant_debut]]</f>
        <v>#VALUE!</v>
      </c>
      <c r="S809" t="str">
        <f ca="1">IFERROR(N809*VLOOKUP(Tab_Calculs[[#This Row],[Colonne1]],Controle_des_données!$B$7:$G$14,6,FALSE),"")</f>
        <v/>
      </c>
      <c r="T809" t="str">
        <f ca="1">IF(Tab_Calculs[[#This Row],[Combustible ]]="Electricité (kWh)",Tab_Calculs[[#This Row],[Conso_mois_kWh]]*2.3,Tab_Calculs[[#This Row],[Conso_mois_kWh]])</f>
        <v/>
      </c>
      <c r="U809" t="str">
        <f ca="1">IFERROR(N809*VLOOKUP(Tab_Calculs[[#This Row],[Colonne1]],Controle_des_données!$B$7:$H$14,7,FALSE),"")</f>
        <v/>
      </c>
      <c r="V809">
        <f ca="1">IFERROR(Tab_Calculs[[#This Row],[Cout_mois]]/Tab_Calculs[[#This Row],[Conso_mois_kWh]],0)</f>
        <v>0</v>
      </c>
      <c r="W809" t="str">
        <f>T(VLOOKUP(Tab_Calculs[[#This Row],[Compteur]],Site!$B$33:$G$40,3,FALSE))</f>
        <v/>
      </c>
      <c r="X809" t="str">
        <f>T(VLOOKUP(Tab_Calculs[[#This Row],[Compteur]],Site!$B$33:$G$40,4,FALSE))</f>
        <v/>
      </c>
      <c r="Y809" t="str">
        <f>T(VLOOKUP(Tab_Calculs[[#This Row],[Compteur]],Site!$B$33:$G$40,5,FALSE))</f>
        <v/>
      </c>
      <c r="Z809" t="str">
        <f>T(VLOOKUP(Tab_Calculs[[#This Row],[Compteur]],Site!$B$33:$G$40,6,FALSE))</f>
        <v/>
      </c>
      <c r="AA809">
        <f>IFERROR(GETPIVOTDATA("DJU(chauffagiste)",BDD_DJU!$P$13,"annee",Tab_Calculs[[#This Row],[ANNEE]],"mois_numero",Tab_Calculs[[#This Row],[MOIS]]),0)</f>
        <v>108.1</v>
      </c>
    </row>
    <row r="810" spans="1:27" x14ac:dyDescent="0.25">
      <c r="A810" s="3">
        <f>DATE(Tab_Calculs[[#This Row],[ANNEE]],Tab_Calculs[[#This Row],[MOIS]],1)</f>
        <v>41183</v>
      </c>
      <c r="B810" s="3">
        <f>EDATE(Tab_Calculs[[#This Row],[Début mois]],1)-1</f>
        <v>41213</v>
      </c>
      <c r="C810">
        <v>10</v>
      </c>
      <c r="D810">
        <v>2012</v>
      </c>
      <c r="E810" t="s">
        <v>84</v>
      </c>
      <c r="F810" t="str">
        <f>SUBSTITUTE(Tab_Calculs[[#This Row],[Compteur]]," ","_")</f>
        <v>Compteur_5</v>
      </c>
      <c r="G810" t="str">
        <f>T(INDEX(Site!$B$33:$G$40, MATCH(Tab_Calculs[[#This Row],[Compteur]], Site!$B$33:$B$40,0),2))</f>
        <v/>
      </c>
      <c r="H810" s="3">
        <f t="array" aca="1" ref="H810" ca="1">MIN(IF(INDIRECT(CONCATENATE(Tab_Calculs[[#This Row],[Colonne1]],"!$B$2:$B$243"))&gt;=Calculs_Consos!$A810,INDIRECT(CONCATENATE(Tab_Calculs[[#This Row],[Colonne1]],"!$B$2:$B$243"))))</f>
        <v>0</v>
      </c>
      <c r="I810" s="3">
        <f ca="1">INDEX(INDIRECT(CONCATENATE("Tab_",Tab_Calculs[[#This Row],[Colonne1]])),Tab_Calculs[[#This Row],[index_date_livraison]],1)</f>
        <v>0</v>
      </c>
      <c r="J810">
        <f ca="1">MATCH(Tab_Calculs[[#This Row],[Date_livraison]],INDIRECT(CONCATENATE("Tab_",Tab_Calculs[[#This Row],[Colonne1]],"[Fin de période]")),0)</f>
        <v>1</v>
      </c>
      <c r="K810" t="e">
        <f ca="1">INDEX(INDIRECT(CONCATENATE("Tab_",Tab_Calculs[[#This Row],[Colonne1]])),Tab_Calculs[[#This Row],[index_date_livraison]]-1,6)*(MAX(Tab_Calculs[[#This Row],[Début periode livraison]],Tab_Calculs[[#This Row],[Début mois]])-Tab_Calculs[[#This Row],[Début mois]])</f>
        <v>#VALUE!</v>
      </c>
      <c r="L810" s="94">
        <f ca="1">INDEX(INDIRECT(CONCATENATE("Tab_",Tab_Calculs[[#This Row],[Colonne1]])),Tab_Calculs[[#This Row],[index_date_livraison]],6)*(1+MIN(Tab_Calculs[[#This Row],[Date_livraison]],Tab_Calculs[[#This Row],[fin mois]])-MAX(Tab_Calculs[[#This Row],[Début mois]],Tab_Calculs[[#This Row],[Début periode livraison]]))</f>
        <v>0</v>
      </c>
      <c r="M810" s="94" t="e">
        <f ca="1">INDEX(INDIRECT(CONCATENATE("Tab_",Tab_Calculs[[#This Row],[Colonne1]])),Tab_Calculs[[#This Row],[index_date_livraison]]+1,6)*(Tab_Calculs[[#This Row],[fin mois]]-MIN(Tab_Calculs[[#This Row],[fin mois]],Tab_Calculs[[#This Row],[Date_livraison]]))</f>
        <v>#VALUE!</v>
      </c>
      <c r="N810" s="231" t="str">
        <f ca="1">IFERROR(Tab_Calculs[[#This Row],[Ratio_jour_après_livr]]+Tab_Calculs[[#This Row],[Ratio_jour_avant_livr]]+Tab_Calculs[[#This Row],[ratio_avant_debut]],"")</f>
        <v/>
      </c>
      <c r="O810" t="e">
        <f ca="1">INDEX(INDIRECT(CONCATENATE("Tab_",Tab_Calculs[[#This Row],[Colonne1]])),Tab_Calculs[[#This Row],[index_date_livraison]]-1,7)*(MAX(Tab_Calculs[[#This Row],[Début periode livraison]],Tab_Calculs[[#This Row],[Début mois]])-Tab_Calculs[[#This Row],[Début mois]])</f>
        <v>#VALUE!</v>
      </c>
      <c r="P810">
        <f ca="1">INDEX(INDIRECT(CONCATENATE("Tab_",Tab_Calculs[[#This Row],[Colonne1]])),Tab_Calculs[[#This Row],[index_date_livraison]],7)*(1+MIN(Tab_Calculs[[#This Row],[Date_livraison]],Tab_Calculs[[#This Row],[fin mois]])-MAX(Tab_Calculs[[#This Row],[Début mois]],Tab_Calculs[[#This Row],[Début periode livraison]]))</f>
        <v>0</v>
      </c>
      <c r="Q810" t="e">
        <f ca="1">INDEX(INDIRECT(CONCATENATE("Tab_",Tab_Calculs[[#This Row],[Colonne1]])),Tab_Calculs[[#This Row],[index_date_livraison]]+1,7)*(Tab_Calculs[[#This Row],[fin mois]]-MIN(Tab_Calculs[[#This Row],[fin mois]],Tab_Calculs[[#This Row],[Date_livraison]]))</f>
        <v>#VALUE!</v>
      </c>
      <c r="R810" t="e">
        <f ca="1">Tab_Calculs[[#This Row],[Ratio_Cout_après_livr]]+Tab_Calculs[[#This Row],[Ratio_Cout_avant_livr]]+Tab_Calculs[[#This Row],[Ratio_Cout_avant_debut]]</f>
        <v>#VALUE!</v>
      </c>
      <c r="S810" t="str">
        <f ca="1">IFERROR(N810*VLOOKUP(Tab_Calculs[[#This Row],[Colonne1]],Controle_des_données!$B$7:$G$14,6,FALSE),"")</f>
        <v/>
      </c>
      <c r="T810" t="str">
        <f ca="1">IF(Tab_Calculs[[#This Row],[Combustible ]]="Electricité (kWh)",Tab_Calculs[[#This Row],[Conso_mois_kWh]]*2.3,Tab_Calculs[[#This Row],[Conso_mois_kWh]])</f>
        <v/>
      </c>
      <c r="U810" t="str">
        <f ca="1">IFERROR(N810*VLOOKUP(Tab_Calculs[[#This Row],[Colonne1]],Controle_des_données!$B$7:$H$14,7,FALSE),"")</f>
        <v/>
      </c>
      <c r="V810">
        <f ca="1">IFERROR(Tab_Calculs[[#This Row],[Cout_mois]]/Tab_Calculs[[#This Row],[Conso_mois_kWh]],0)</f>
        <v>0</v>
      </c>
      <c r="W810" t="str">
        <f>T(VLOOKUP(Tab_Calculs[[#This Row],[Compteur]],Site!$B$33:$G$40,3,FALSE))</f>
        <v/>
      </c>
      <c r="X810" t="str">
        <f>T(VLOOKUP(Tab_Calculs[[#This Row],[Compteur]],Site!$B$33:$G$40,4,FALSE))</f>
        <v/>
      </c>
      <c r="Y810" t="str">
        <f>T(VLOOKUP(Tab_Calculs[[#This Row],[Compteur]],Site!$B$33:$G$40,5,FALSE))</f>
        <v/>
      </c>
      <c r="Z810" t="str">
        <f>T(VLOOKUP(Tab_Calculs[[#This Row],[Compteur]],Site!$B$33:$G$40,6,FALSE))</f>
        <v/>
      </c>
      <c r="AA810">
        <f>IFERROR(GETPIVOTDATA("DJU(chauffagiste)",BDD_DJU!$P$13,"annee",Tab_Calculs[[#This Row],[ANNEE]],"mois_numero",Tab_Calculs[[#This Row],[MOIS]]),0)</f>
        <v>161.69999999999999</v>
      </c>
    </row>
    <row r="811" spans="1:27" x14ac:dyDescent="0.25">
      <c r="A811" s="3">
        <f>DATE(Tab_Calculs[[#This Row],[ANNEE]],Tab_Calculs[[#This Row],[MOIS]],1)</f>
        <v>41214</v>
      </c>
      <c r="B811" s="3">
        <f>EDATE(Tab_Calculs[[#This Row],[Début mois]],1)-1</f>
        <v>41243</v>
      </c>
      <c r="C811">
        <v>11</v>
      </c>
      <c r="D811">
        <v>2012</v>
      </c>
      <c r="E811" t="s">
        <v>84</v>
      </c>
      <c r="F811" t="str">
        <f>SUBSTITUTE(Tab_Calculs[[#This Row],[Compteur]]," ","_")</f>
        <v>Compteur_5</v>
      </c>
      <c r="G811" t="str">
        <f>T(INDEX(Site!$B$33:$G$40, MATCH(Tab_Calculs[[#This Row],[Compteur]], Site!$B$33:$B$40,0),2))</f>
        <v/>
      </c>
      <c r="H811" s="3">
        <f t="array" aca="1" ref="H811" ca="1">MIN(IF(INDIRECT(CONCATENATE(Tab_Calculs[[#This Row],[Colonne1]],"!$B$2:$B$243"))&gt;=Calculs_Consos!$A811,INDIRECT(CONCATENATE(Tab_Calculs[[#This Row],[Colonne1]],"!$B$2:$B$243"))))</f>
        <v>0</v>
      </c>
      <c r="I811" s="3">
        <f ca="1">INDEX(INDIRECT(CONCATENATE("Tab_",Tab_Calculs[[#This Row],[Colonne1]])),Tab_Calculs[[#This Row],[index_date_livraison]],1)</f>
        <v>0</v>
      </c>
      <c r="J811">
        <f ca="1">MATCH(Tab_Calculs[[#This Row],[Date_livraison]],INDIRECT(CONCATENATE("Tab_",Tab_Calculs[[#This Row],[Colonne1]],"[Fin de période]")),0)</f>
        <v>1</v>
      </c>
      <c r="K811" t="e">
        <f ca="1">INDEX(INDIRECT(CONCATENATE("Tab_",Tab_Calculs[[#This Row],[Colonne1]])),Tab_Calculs[[#This Row],[index_date_livraison]]-1,6)*(MAX(Tab_Calculs[[#This Row],[Début periode livraison]],Tab_Calculs[[#This Row],[Début mois]])-Tab_Calculs[[#This Row],[Début mois]])</f>
        <v>#VALUE!</v>
      </c>
      <c r="L811" s="94">
        <f ca="1">INDEX(INDIRECT(CONCATENATE("Tab_",Tab_Calculs[[#This Row],[Colonne1]])),Tab_Calculs[[#This Row],[index_date_livraison]],6)*(1+MIN(Tab_Calculs[[#This Row],[Date_livraison]],Tab_Calculs[[#This Row],[fin mois]])-MAX(Tab_Calculs[[#This Row],[Début mois]],Tab_Calculs[[#This Row],[Début periode livraison]]))</f>
        <v>0</v>
      </c>
      <c r="M811" s="94" t="e">
        <f ca="1">INDEX(INDIRECT(CONCATENATE("Tab_",Tab_Calculs[[#This Row],[Colonne1]])),Tab_Calculs[[#This Row],[index_date_livraison]]+1,6)*(Tab_Calculs[[#This Row],[fin mois]]-MIN(Tab_Calculs[[#This Row],[fin mois]],Tab_Calculs[[#This Row],[Date_livraison]]))</f>
        <v>#VALUE!</v>
      </c>
      <c r="N811" s="231" t="str">
        <f ca="1">IFERROR(Tab_Calculs[[#This Row],[Ratio_jour_après_livr]]+Tab_Calculs[[#This Row],[Ratio_jour_avant_livr]]+Tab_Calculs[[#This Row],[ratio_avant_debut]],"")</f>
        <v/>
      </c>
      <c r="O811" t="e">
        <f ca="1">INDEX(INDIRECT(CONCATENATE("Tab_",Tab_Calculs[[#This Row],[Colonne1]])),Tab_Calculs[[#This Row],[index_date_livraison]]-1,7)*(MAX(Tab_Calculs[[#This Row],[Début periode livraison]],Tab_Calculs[[#This Row],[Début mois]])-Tab_Calculs[[#This Row],[Début mois]])</f>
        <v>#VALUE!</v>
      </c>
      <c r="P811">
        <f ca="1">INDEX(INDIRECT(CONCATENATE("Tab_",Tab_Calculs[[#This Row],[Colonne1]])),Tab_Calculs[[#This Row],[index_date_livraison]],7)*(1+MIN(Tab_Calculs[[#This Row],[Date_livraison]],Tab_Calculs[[#This Row],[fin mois]])-MAX(Tab_Calculs[[#This Row],[Début mois]],Tab_Calculs[[#This Row],[Début periode livraison]]))</f>
        <v>0</v>
      </c>
      <c r="Q811" t="e">
        <f ca="1">INDEX(INDIRECT(CONCATENATE("Tab_",Tab_Calculs[[#This Row],[Colonne1]])),Tab_Calculs[[#This Row],[index_date_livraison]]+1,7)*(Tab_Calculs[[#This Row],[fin mois]]-MIN(Tab_Calculs[[#This Row],[fin mois]],Tab_Calculs[[#This Row],[Date_livraison]]))</f>
        <v>#VALUE!</v>
      </c>
      <c r="R811" t="e">
        <f ca="1">Tab_Calculs[[#This Row],[Ratio_Cout_après_livr]]+Tab_Calculs[[#This Row],[Ratio_Cout_avant_livr]]+Tab_Calculs[[#This Row],[Ratio_Cout_avant_debut]]</f>
        <v>#VALUE!</v>
      </c>
      <c r="S811" t="str">
        <f ca="1">IFERROR(N811*VLOOKUP(Tab_Calculs[[#This Row],[Colonne1]],Controle_des_données!$B$7:$G$14,6,FALSE),"")</f>
        <v/>
      </c>
      <c r="T811" t="str">
        <f ca="1">IF(Tab_Calculs[[#This Row],[Combustible ]]="Electricité (kWh)",Tab_Calculs[[#This Row],[Conso_mois_kWh]]*2.3,Tab_Calculs[[#This Row],[Conso_mois_kWh]])</f>
        <v/>
      </c>
      <c r="U811" t="str">
        <f ca="1">IFERROR(N811*VLOOKUP(Tab_Calculs[[#This Row],[Colonne1]],Controle_des_données!$B$7:$H$14,7,FALSE),"")</f>
        <v/>
      </c>
      <c r="V811">
        <f ca="1">IFERROR(Tab_Calculs[[#This Row],[Cout_mois]]/Tab_Calculs[[#This Row],[Conso_mois_kWh]],0)</f>
        <v>0</v>
      </c>
      <c r="W811" t="str">
        <f>T(VLOOKUP(Tab_Calculs[[#This Row],[Compteur]],Site!$B$33:$G$40,3,FALSE))</f>
        <v/>
      </c>
      <c r="X811" t="str">
        <f>T(VLOOKUP(Tab_Calculs[[#This Row],[Compteur]],Site!$B$33:$G$40,4,FALSE))</f>
        <v/>
      </c>
      <c r="Y811" t="str">
        <f>T(VLOOKUP(Tab_Calculs[[#This Row],[Compteur]],Site!$B$33:$G$40,5,FALSE))</f>
        <v/>
      </c>
      <c r="Z811" t="str">
        <f>T(VLOOKUP(Tab_Calculs[[#This Row],[Compteur]],Site!$B$33:$G$40,6,FALSE))</f>
        <v/>
      </c>
      <c r="AA811">
        <f>IFERROR(GETPIVOTDATA("DJU(chauffagiste)",BDD_DJU!$P$13,"annee",Tab_Calculs[[#This Row],[ANNEE]],"mois_numero",Tab_Calculs[[#This Row],[MOIS]]),0)</f>
        <v>300.39999999999998</v>
      </c>
    </row>
    <row r="812" spans="1:27" x14ac:dyDescent="0.25">
      <c r="A812" s="3">
        <f>DATE(Tab_Calculs[[#This Row],[ANNEE]],Tab_Calculs[[#This Row],[MOIS]],1)</f>
        <v>41244</v>
      </c>
      <c r="B812" s="3">
        <f>EDATE(Tab_Calculs[[#This Row],[Début mois]],1)-1</f>
        <v>41274</v>
      </c>
      <c r="C812">
        <v>12</v>
      </c>
      <c r="D812">
        <v>2012</v>
      </c>
      <c r="E812" t="s">
        <v>84</v>
      </c>
      <c r="F812" t="str">
        <f>SUBSTITUTE(Tab_Calculs[[#This Row],[Compteur]]," ","_")</f>
        <v>Compteur_5</v>
      </c>
      <c r="G812" t="str">
        <f>T(INDEX(Site!$B$33:$G$40, MATCH(Tab_Calculs[[#This Row],[Compteur]], Site!$B$33:$B$40,0),2))</f>
        <v/>
      </c>
      <c r="H812" s="3">
        <f t="array" aca="1" ref="H812" ca="1">MIN(IF(INDIRECT(CONCATENATE(Tab_Calculs[[#This Row],[Colonne1]],"!$B$2:$B$243"))&gt;=Calculs_Consos!$A812,INDIRECT(CONCATENATE(Tab_Calculs[[#This Row],[Colonne1]],"!$B$2:$B$243"))))</f>
        <v>0</v>
      </c>
      <c r="I812" s="3">
        <f ca="1">INDEX(INDIRECT(CONCATENATE("Tab_",Tab_Calculs[[#This Row],[Colonne1]])),Tab_Calculs[[#This Row],[index_date_livraison]],1)</f>
        <v>0</v>
      </c>
      <c r="J812">
        <f ca="1">MATCH(Tab_Calculs[[#This Row],[Date_livraison]],INDIRECT(CONCATENATE("Tab_",Tab_Calculs[[#This Row],[Colonne1]],"[Fin de période]")),0)</f>
        <v>1</v>
      </c>
      <c r="K812" t="e">
        <f ca="1">INDEX(INDIRECT(CONCATENATE("Tab_",Tab_Calculs[[#This Row],[Colonne1]])),Tab_Calculs[[#This Row],[index_date_livraison]]-1,6)*(MAX(Tab_Calculs[[#This Row],[Début periode livraison]],Tab_Calculs[[#This Row],[Début mois]])-Tab_Calculs[[#This Row],[Début mois]])</f>
        <v>#VALUE!</v>
      </c>
      <c r="L812" s="94">
        <f ca="1">INDEX(INDIRECT(CONCATENATE("Tab_",Tab_Calculs[[#This Row],[Colonne1]])),Tab_Calculs[[#This Row],[index_date_livraison]],6)*(1+MIN(Tab_Calculs[[#This Row],[Date_livraison]],Tab_Calculs[[#This Row],[fin mois]])-MAX(Tab_Calculs[[#This Row],[Début mois]],Tab_Calculs[[#This Row],[Début periode livraison]]))</f>
        <v>0</v>
      </c>
      <c r="M812" s="94" t="e">
        <f ca="1">INDEX(INDIRECT(CONCATENATE("Tab_",Tab_Calculs[[#This Row],[Colonne1]])),Tab_Calculs[[#This Row],[index_date_livraison]]+1,6)*(Tab_Calculs[[#This Row],[fin mois]]-MIN(Tab_Calculs[[#This Row],[fin mois]],Tab_Calculs[[#This Row],[Date_livraison]]))</f>
        <v>#VALUE!</v>
      </c>
      <c r="N812" s="231" t="str">
        <f ca="1">IFERROR(Tab_Calculs[[#This Row],[Ratio_jour_après_livr]]+Tab_Calculs[[#This Row],[Ratio_jour_avant_livr]]+Tab_Calculs[[#This Row],[ratio_avant_debut]],"")</f>
        <v/>
      </c>
      <c r="O812" t="e">
        <f ca="1">INDEX(INDIRECT(CONCATENATE("Tab_",Tab_Calculs[[#This Row],[Colonne1]])),Tab_Calculs[[#This Row],[index_date_livraison]]-1,7)*(MAX(Tab_Calculs[[#This Row],[Début periode livraison]],Tab_Calculs[[#This Row],[Début mois]])-Tab_Calculs[[#This Row],[Début mois]])</f>
        <v>#VALUE!</v>
      </c>
      <c r="P812">
        <f ca="1">INDEX(INDIRECT(CONCATENATE("Tab_",Tab_Calculs[[#This Row],[Colonne1]])),Tab_Calculs[[#This Row],[index_date_livraison]],7)*(1+MIN(Tab_Calculs[[#This Row],[Date_livraison]],Tab_Calculs[[#This Row],[fin mois]])-MAX(Tab_Calculs[[#This Row],[Début mois]],Tab_Calculs[[#This Row],[Début periode livraison]]))</f>
        <v>0</v>
      </c>
      <c r="Q812" t="e">
        <f ca="1">INDEX(INDIRECT(CONCATENATE("Tab_",Tab_Calculs[[#This Row],[Colonne1]])),Tab_Calculs[[#This Row],[index_date_livraison]]+1,7)*(Tab_Calculs[[#This Row],[fin mois]]-MIN(Tab_Calculs[[#This Row],[fin mois]],Tab_Calculs[[#This Row],[Date_livraison]]))</f>
        <v>#VALUE!</v>
      </c>
      <c r="R812" t="e">
        <f ca="1">Tab_Calculs[[#This Row],[Ratio_Cout_après_livr]]+Tab_Calculs[[#This Row],[Ratio_Cout_avant_livr]]+Tab_Calculs[[#This Row],[Ratio_Cout_avant_debut]]</f>
        <v>#VALUE!</v>
      </c>
      <c r="S812" t="str">
        <f ca="1">IFERROR(N812*VLOOKUP(Tab_Calculs[[#This Row],[Colonne1]],Controle_des_données!$B$7:$G$14,6,FALSE),"")</f>
        <v/>
      </c>
      <c r="T812" t="str">
        <f ca="1">IF(Tab_Calculs[[#This Row],[Combustible ]]="Electricité (kWh)",Tab_Calculs[[#This Row],[Conso_mois_kWh]]*2.3,Tab_Calculs[[#This Row],[Conso_mois_kWh]])</f>
        <v/>
      </c>
      <c r="U812" t="str">
        <f ca="1">IFERROR(N812*VLOOKUP(Tab_Calculs[[#This Row],[Colonne1]],Controle_des_données!$B$7:$H$14,7,FALSE),"")</f>
        <v/>
      </c>
      <c r="V812">
        <f ca="1">IFERROR(Tab_Calculs[[#This Row],[Cout_mois]]/Tab_Calculs[[#This Row],[Conso_mois_kWh]],0)</f>
        <v>0</v>
      </c>
      <c r="W812" t="str">
        <f>T(VLOOKUP(Tab_Calculs[[#This Row],[Compteur]],Site!$B$33:$G$40,3,FALSE))</f>
        <v/>
      </c>
      <c r="X812" t="str">
        <f>T(VLOOKUP(Tab_Calculs[[#This Row],[Compteur]],Site!$B$33:$G$40,4,FALSE))</f>
        <v/>
      </c>
      <c r="Y812" t="str">
        <f>T(VLOOKUP(Tab_Calculs[[#This Row],[Compteur]],Site!$B$33:$G$40,5,FALSE))</f>
        <v/>
      </c>
      <c r="Z812" t="str">
        <f>T(VLOOKUP(Tab_Calculs[[#This Row],[Compteur]],Site!$B$33:$G$40,6,FALSE))</f>
        <v/>
      </c>
      <c r="AA812">
        <f>IFERROR(GETPIVOTDATA("DJU(chauffagiste)",BDD_DJU!$P$13,"annee",Tab_Calculs[[#This Row],[ANNEE]],"mois_numero",Tab_Calculs[[#This Row],[MOIS]]),0)</f>
        <v>333.7</v>
      </c>
    </row>
    <row r="813" spans="1:27" x14ac:dyDescent="0.25">
      <c r="A813" s="3">
        <f>DATE(Tab_Calculs[[#This Row],[ANNEE]],Tab_Calculs[[#This Row],[MOIS]],1)</f>
        <v>41275</v>
      </c>
      <c r="B813" s="3">
        <f>EDATE(Tab_Calculs[[#This Row],[Début mois]],1)-1</f>
        <v>41305</v>
      </c>
      <c r="C813">
        <v>1</v>
      </c>
      <c r="D813">
        <v>2013</v>
      </c>
      <c r="E813" t="s">
        <v>84</v>
      </c>
      <c r="F813" t="str">
        <f>SUBSTITUTE(Tab_Calculs[[#This Row],[Compteur]]," ","_")</f>
        <v>Compteur_5</v>
      </c>
      <c r="G813" t="str">
        <f>T(INDEX(Site!$B$33:$G$40, MATCH(Tab_Calculs[[#This Row],[Compteur]], Site!$B$33:$B$40,0),2))</f>
        <v/>
      </c>
      <c r="H813" s="3">
        <f t="array" aca="1" ref="H813" ca="1">MIN(IF(INDIRECT(CONCATENATE(Tab_Calculs[[#This Row],[Colonne1]],"!$B$2:$B$243"))&gt;=Calculs_Consos!$A813,INDIRECT(CONCATENATE(Tab_Calculs[[#This Row],[Colonne1]],"!$B$2:$B$243"))))</f>
        <v>0</v>
      </c>
      <c r="I813" s="3">
        <f ca="1">INDEX(INDIRECT(CONCATENATE("Tab_",Tab_Calculs[[#This Row],[Colonne1]])),Tab_Calculs[[#This Row],[index_date_livraison]],1)</f>
        <v>0</v>
      </c>
      <c r="J813">
        <f ca="1">MATCH(Tab_Calculs[[#This Row],[Date_livraison]],INDIRECT(CONCATENATE("Tab_",Tab_Calculs[[#This Row],[Colonne1]],"[Fin de période]")),0)</f>
        <v>1</v>
      </c>
      <c r="K813" t="e">
        <f ca="1">INDEX(INDIRECT(CONCATENATE("Tab_",Tab_Calculs[[#This Row],[Colonne1]])),Tab_Calculs[[#This Row],[index_date_livraison]]-1,6)*(MAX(Tab_Calculs[[#This Row],[Début periode livraison]],Tab_Calculs[[#This Row],[Début mois]])-Tab_Calculs[[#This Row],[Début mois]])</f>
        <v>#VALUE!</v>
      </c>
      <c r="L813" s="94">
        <f ca="1">INDEX(INDIRECT(CONCATENATE("Tab_",Tab_Calculs[[#This Row],[Colonne1]])),Tab_Calculs[[#This Row],[index_date_livraison]],6)*(1+MIN(Tab_Calculs[[#This Row],[Date_livraison]],Tab_Calculs[[#This Row],[fin mois]])-MAX(Tab_Calculs[[#This Row],[Début mois]],Tab_Calculs[[#This Row],[Début periode livraison]]))</f>
        <v>0</v>
      </c>
      <c r="M813" s="94" t="e">
        <f ca="1">INDEX(INDIRECT(CONCATENATE("Tab_",Tab_Calculs[[#This Row],[Colonne1]])),Tab_Calculs[[#This Row],[index_date_livraison]]+1,6)*(Tab_Calculs[[#This Row],[fin mois]]-MIN(Tab_Calculs[[#This Row],[fin mois]],Tab_Calculs[[#This Row],[Date_livraison]]))</f>
        <v>#VALUE!</v>
      </c>
      <c r="N813" s="231" t="str">
        <f ca="1">IFERROR(Tab_Calculs[[#This Row],[Ratio_jour_après_livr]]+Tab_Calculs[[#This Row],[Ratio_jour_avant_livr]]+Tab_Calculs[[#This Row],[ratio_avant_debut]],"")</f>
        <v/>
      </c>
      <c r="O813" t="e">
        <f ca="1">INDEX(INDIRECT(CONCATENATE("Tab_",Tab_Calculs[[#This Row],[Colonne1]])),Tab_Calculs[[#This Row],[index_date_livraison]]-1,7)*(MAX(Tab_Calculs[[#This Row],[Début periode livraison]],Tab_Calculs[[#This Row],[Début mois]])-Tab_Calculs[[#This Row],[Début mois]])</f>
        <v>#VALUE!</v>
      </c>
      <c r="P813">
        <f ca="1">INDEX(INDIRECT(CONCATENATE("Tab_",Tab_Calculs[[#This Row],[Colonne1]])),Tab_Calculs[[#This Row],[index_date_livraison]],7)*(1+MIN(Tab_Calculs[[#This Row],[Date_livraison]],Tab_Calculs[[#This Row],[fin mois]])-MAX(Tab_Calculs[[#This Row],[Début mois]],Tab_Calculs[[#This Row],[Début periode livraison]]))</f>
        <v>0</v>
      </c>
      <c r="Q813" t="e">
        <f ca="1">INDEX(INDIRECT(CONCATENATE("Tab_",Tab_Calculs[[#This Row],[Colonne1]])),Tab_Calculs[[#This Row],[index_date_livraison]]+1,7)*(Tab_Calculs[[#This Row],[fin mois]]-MIN(Tab_Calculs[[#This Row],[fin mois]],Tab_Calculs[[#This Row],[Date_livraison]]))</f>
        <v>#VALUE!</v>
      </c>
      <c r="R813" t="e">
        <f ca="1">Tab_Calculs[[#This Row],[Ratio_Cout_après_livr]]+Tab_Calculs[[#This Row],[Ratio_Cout_avant_livr]]+Tab_Calculs[[#This Row],[Ratio_Cout_avant_debut]]</f>
        <v>#VALUE!</v>
      </c>
      <c r="S813" t="str">
        <f ca="1">IFERROR(N813*VLOOKUP(Tab_Calculs[[#This Row],[Colonne1]],Controle_des_données!$B$7:$G$14,6,FALSE),"")</f>
        <v/>
      </c>
      <c r="T813" t="str">
        <f ca="1">IF(Tab_Calculs[[#This Row],[Combustible ]]="Electricité (kWh)",Tab_Calculs[[#This Row],[Conso_mois_kWh]]*2.3,Tab_Calculs[[#This Row],[Conso_mois_kWh]])</f>
        <v/>
      </c>
      <c r="U813" t="str">
        <f ca="1">IFERROR(N813*VLOOKUP(Tab_Calculs[[#This Row],[Colonne1]],Controle_des_données!$B$7:$H$14,7,FALSE),"")</f>
        <v/>
      </c>
      <c r="V813">
        <f ca="1">IFERROR(Tab_Calculs[[#This Row],[Cout_mois]]/Tab_Calculs[[#This Row],[Conso_mois_kWh]],0)</f>
        <v>0</v>
      </c>
      <c r="W813" t="str">
        <f>T(VLOOKUP(Tab_Calculs[[#This Row],[Compteur]],Site!$B$33:$G$40,3,FALSE))</f>
        <v/>
      </c>
      <c r="X813" t="str">
        <f>T(VLOOKUP(Tab_Calculs[[#This Row],[Compteur]],Site!$B$33:$G$40,4,FALSE))</f>
        <v/>
      </c>
      <c r="Y813" t="str">
        <f>T(VLOOKUP(Tab_Calculs[[#This Row],[Compteur]],Site!$B$33:$G$40,5,FALSE))</f>
        <v/>
      </c>
      <c r="Z813" t="str">
        <f>T(VLOOKUP(Tab_Calculs[[#This Row],[Compteur]],Site!$B$33:$G$40,6,FALSE))</f>
        <v/>
      </c>
      <c r="AA813">
        <f>IFERROR(GETPIVOTDATA("DJU(chauffagiste)",BDD_DJU!$P$13,"annee",Tab_Calculs[[#This Row],[ANNEE]],"mois_numero",Tab_Calculs[[#This Row],[MOIS]]),0)</f>
        <v>409.5</v>
      </c>
    </row>
    <row r="814" spans="1:27" x14ac:dyDescent="0.25">
      <c r="A814" s="3">
        <f>DATE(Tab_Calculs[[#This Row],[ANNEE]],Tab_Calculs[[#This Row],[MOIS]],1)</f>
        <v>41306</v>
      </c>
      <c r="B814" s="3">
        <f>EDATE(Tab_Calculs[[#This Row],[Début mois]],1)-1</f>
        <v>41333</v>
      </c>
      <c r="C814">
        <v>2</v>
      </c>
      <c r="D814">
        <v>2013</v>
      </c>
      <c r="E814" t="s">
        <v>84</v>
      </c>
      <c r="F814" t="str">
        <f>SUBSTITUTE(Tab_Calculs[[#This Row],[Compteur]]," ","_")</f>
        <v>Compteur_5</v>
      </c>
      <c r="G814" t="str">
        <f>T(INDEX(Site!$B$33:$G$40, MATCH(Tab_Calculs[[#This Row],[Compteur]], Site!$B$33:$B$40,0),2))</f>
        <v/>
      </c>
      <c r="H814" s="3">
        <f t="array" aca="1" ref="H814" ca="1">MIN(IF(INDIRECT(CONCATENATE(Tab_Calculs[[#This Row],[Colonne1]],"!$B$2:$B$243"))&gt;=Calculs_Consos!$A814,INDIRECT(CONCATENATE(Tab_Calculs[[#This Row],[Colonne1]],"!$B$2:$B$243"))))</f>
        <v>0</v>
      </c>
      <c r="I814" s="3">
        <f ca="1">INDEX(INDIRECT(CONCATENATE("Tab_",Tab_Calculs[[#This Row],[Colonne1]])),Tab_Calculs[[#This Row],[index_date_livraison]],1)</f>
        <v>0</v>
      </c>
      <c r="J814">
        <f ca="1">MATCH(Tab_Calculs[[#This Row],[Date_livraison]],INDIRECT(CONCATENATE("Tab_",Tab_Calculs[[#This Row],[Colonne1]],"[Fin de période]")),0)</f>
        <v>1</v>
      </c>
      <c r="K814" t="e">
        <f ca="1">INDEX(INDIRECT(CONCATENATE("Tab_",Tab_Calculs[[#This Row],[Colonne1]])),Tab_Calculs[[#This Row],[index_date_livraison]]-1,6)*(MAX(Tab_Calculs[[#This Row],[Début periode livraison]],Tab_Calculs[[#This Row],[Début mois]])-Tab_Calculs[[#This Row],[Début mois]])</f>
        <v>#VALUE!</v>
      </c>
      <c r="L814" s="94">
        <f ca="1">INDEX(INDIRECT(CONCATENATE("Tab_",Tab_Calculs[[#This Row],[Colonne1]])),Tab_Calculs[[#This Row],[index_date_livraison]],6)*(1+MIN(Tab_Calculs[[#This Row],[Date_livraison]],Tab_Calculs[[#This Row],[fin mois]])-MAX(Tab_Calculs[[#This Row],[Début mois]],Tab_Calculs[[#This Row],[Début periode livraison]]))</f>
        <v>0</v>
      </c>
      <c r="M814" s="94" t="e">
        <f ca="1">INDEX(INDIRECT(CONCATENATE("Tab_",Tab_Calculs[[#This Row],[Colonne1]])),Tab_Calculs[[#This Row],[index_date_livraison]]+1,6)*(Tab_Calculs[[#This Row],[fin mois]]-MIN(Tab_Calculs[[#This Row],[fin mois]],Tab_Calculs[[#This Row],[Date_livraison]]))</f>
        <v>#VALUE!</v>
      </c>
      <c r="N814" s="231" t="str">
        <f ca="1">IFERROR(Tab_Calculs[[#This Row],[Ratio_jour_après_livr]]+Tab_Calculs[[#This Row],[Ratio_jour_avant_livr]]+Tab_Calculs[[#This Row],[ratio_avant_debut]],"")</f>
        <v/>
      </c>
      <c r="O814" t="e">
        <f ca="1">INDEX(INDIRECT(CONCATENATE("Tab_",Tab_Calculs[[#This Row],[Colonne1]])),Tab_Calculs[[#This Row],[index_date_livraison]]-1,7)*(MAX(Tab_Calculs[[#This Row],[Début periode livraison]],Tab_Calculs[[#This Row],[Début mois]])-Tab_Calculs[[#This Row],[Début mois]])</f>
        <v>#VALUE!</v>
      </c>
      <c r="P814">
        <f ca="1">INDEX(INDIRECT(CONCATENATE("Tab_",Tab_Calculs[[#This Row],[Colonne1]])),Tab_Calculs[[#This Row],[index_date_livraison]],7)*(1+MIN(Tab_Calculs[[#This Row],[Date_livraison]],Tab_Calculs[[#This Row],[fin mois]])-MAX(Tab_Calculs[[#This Row],[Début mois]],Tab_Calculs[[#This Row],[Début periode livraison]]))</f>
        <v>0</v>
      </c>
      <c r="Q814" t="e">
        <f ca="1">INDEX(INDIRECT(CONCATENATE("Tab_",Tab_Calculs[[#This Row],[Colonne1]])),Tab_Calculs[[#This Row],[index_date_livraison]]+1,7)*(Tab_Calculs[[#This Row],[fin mois]]-MIN(Tab_Calculs[[#This Row],[fin mois]],Tab_Calculs[[#This Row],[Date_livraison]]))</f>
        <v>#VALUE!</v>
      </c>
      <c r="R814" t="e">
        <f ca="1">Tab_Calculs[[#This Row],[Ratio_Cout_après_livr]]+Tab_Calculs[[#This Row],[Ratio_Cout_avant_livr]]+Tab_Calculs[[#This Row],[Ratio_Cout_avant_debut]]</f>
        <v>#VALUE!</v>
      </c>
      <c r="S814" t="str">
        <f ca="1">IFERROR(N814*VLOOKUP(Tab_Calculs[[#This Row],[Colonne1]],Controle_des_données!$B$7:$G$14,6,FALSE),"")</f>
        <v/>
      </c>
      <c r="T814" t="str">
        <f ca="1">IF(Tab_Calculs[[#This Row],[Combustible ]]="Electricité (kWh)",Tab_Calculs[[#This Row],[Conso_mois_kWh]]*2.3,Tab_Calculs[[#This Row],[Conso_mois_kWh]])</f>
        <v/>
      </c>
      <c r="U814" t="str">
        <f ca="1">IFERROR(N814*VLOOKUP(Tab_Calculs[[#This Row],[Colonne1]],Controle_des_données!$B$7:$H$14,7,FALSE),"")</f>
        <v/>
      </c>
      <c r="V814">
        <f ca="1">IFERROR(Tab_Calculs[[#This Row],[Cout_mois]]/Tab_Calculs[[#This Row],[Conso_mois_kWh]],0)</f>
        <v>0</v>
      </c>
      <c r="W814" t="str">
        <f>T(VLOOKUP(Tab_Calculs[[#This Row],[Compteur]],Site!$B$33:$G$40,3,FALSE))</f>
        <v/>
      </c>
      <c r="X814" t="str">
        <f>T(VLOOKUP(Tab_Calculs[[#This Row],[Compteur]],Site!$B$33:$G$40,4,FALSE))</f>
        <v/>
      </c>
      <c r="Y814" t="str">
        <f>T(VLOOKUP(Tab_Calculs[[#This Row],[Compteur]],Site!$B$33:$G$40,5,FALSE))</f>
        <v/>
      </c>
      <c r="Z814" t="str">
        <f>T(VLOOKUP(Tab_Calculs[[#This Row],[Compteur]],Site!$B$33:$G$40,6,FALSE))</f>
        <v/>
      </c>
      <c r="AA814">
        <f>IFERROR(GETPIVOTDATA("DJU(chauffagiste)",BDD_DJU!$P$13,"annee",Tab_Calculs[[#This Row],[ANNEE]],"mois_numero",Tab_Calculs[[#This Row],[MOIS]]),0)</f>
        <v>389.8</v>
      </c>
    </row>
    <row r="815" spans="1:27" x14ac:dyDescent="0.25">
      <c r="A815" s="3">
        <f>DATE(Tab_Calculs[[#This Row],[ANNEE]],Tab_Calculs[[#This Row],[MOIS]],1)</f>
        <v>41334</v>
      </c>
      <c r="B815" s="3">
        <f>EDATE(Tab_Calculs[[#This Row],[Début mois]],1)-1</f>
        <v>41364</v>
      </c>
      <c r="C815">
        <v>3</v>
      </c>
      <c r="D815">
        <v>2013</v>
      </c>
      <c r="E815" t="s">
        <v>84</v>
      </c>
      <c r="F815" t="str">
        <f>SUBSTITUTE(Tab_Calculs[[#This Row],[Compteur]]," ","_")</f>
        <v>Compteur_5</v>
      </c>
      <c r="G815" t="str">
        <f>T(INDEX(Site!$B$33:$G$40, MATCH(Tab_Calculs[[#This Row],[Compteur]], Site!$B$33:$B$40,0),2))</f>
        <v/>
      </c>
      <c r="H815" s="3">
        <f t="array" aca="1" ref="H815" ca="1">MIN(IF(INDIRECT(CONCATENATE(Tab_Calculs[[#This Row],[Colonne1]],"!$B$2:$B$243"))&gt;=Calculs_Consos!$A815,INDIRECT(CONCATENATE(Tab_Calculs[[#This Row],[Colonne1]],"!$B$2:$B$243"))))</f>
        <v>0</v>
      </c>
      <c r="I815" s="3">
        <f ca="1">INDEX(INDIRECT(CONCATENATE("Tab_",Tab_Calculs[[#This Row],[Colonne1]])),Tab_Calculs[[#This Row],[index_date_livraison]],1)</f>
        <v>0</v>
      </c>
      <c r="J815">
        <f ca="1">MATCH(Tab_Calculs[[#This Row],[Date_livraison]],INDIRECT(CONCATENATE("Tab_",Tab_Calculs[[#This Row],[Colonne1]],"[Fin de période]")),0)</f>
        <v>1</v>
      </c>
      <c r="K815" t="e">
        <f ca="1">INDEX(INDIRECT(CONCATENATE("Tab_",Tab_Calculs[[#This Row],[Colonne1]])),Tab_Calculs[[#This Row],[index_date_livraison]]-1,6)*(MAX(Tab_Calculs[[#This Row],[Début periode livraison]],Tab_Calculs[[#This Row],[Début mois]])-Tab_Calculs[[#This Row],[Début mois]])</f>
        <v>#VALUE!</v>
      </c>
      <c r="L815" s="94">
        <f ca="1">INDEX(INDIRECT(CONCATENATE("Tab_",Tab_Calculs[[#This Row],[Colonne1]])),Tab_Calculs[[#This Row],[index_date_livraison]],6)*(1+MIN(Tab_Calculs[[#This Row],[Date_livraison]],Tab_Calculs[[#This Row],[fin mois]])-MAX(Tab_Calculs[[#This Row],[Début mois]],Tab_Calculs[[#This Row],[Début periode livraison]]))</f>
        <v>0</v>
      </c>
      <c r="M815" s="94" t="e">
        <f ca="1">INDEX(INDIRECT(CONCATENATE("Tab_",Tab_Calculs[[#This Row],[Colonne1]])),Tab_Calculs[[#This Row],[index_date_livraison]]+1,6)*(Tab_Calculs[[#This Row],[fin mois]]-MIN(Tab_Calculs[[#This Row],[fin mois]],Tab_Calculs[[#This Row],[Date_livraison]]))</f>
        <v>#VALUE!</v>
      </c>
      <c r="N815" s="231" t="str">
        <f ca="1">IFERROR(Tab_Calculs[[#This Row],[Ratio_jour_après_livr]]+Tab_Calculs[[#This Row],[Ratio_jour_avant_livr]]+Tab_Calculs[[#This Row],[ratio_avant_debut]],"")</f>
        <v/>
      </c>
      <c r="O815" t="e">
        <f ca="1">INDEX(INDIRECT(CONCATENATE("Tab_",Tab_Calculs[[#This Row],[Colonne1]])),Tab_Calculs[[#This Row],[index_date_livraison]]-1,7)*(MAX(Tab_Calculs[[#This Row],[Début periode livraison]],Tab_Calculs[[#This Row],[Début mois]])-Tab_Calculs[[#This Row],[Début mois]])</f>
        <v>#VALUE!</v>
      </c>
      <c r="P815">
        <f ca="1">INDEX(INDIRECT(CONCATENATE("Tab_",Tab_Calculs[[#This Row],[Colonne1]])),Tab_Calculs[[#This Row],[index_date_livraison]],7)*(1+MIN(Tab_Calculs[[#This Row],[Date_livraison]],Tab_Calculs[[#This Row],[fin mois]])-MAX(Tab_Calculs[[#This Row],[Début mois]],Tab_Calculs[[#This Row],[Début periode livraison]]))</f>
        <v>0</v>
      </c>
      <c r="Q815" t="e">
        <f ca="1">INDEX(INDIRECT(CONCATENATE("Tab_",Tab_Calculs[[#This Row],[Colonne1]])),Tab_Calculs[[#This Row],[index_date_livraison]]+1,7)*(Tab_Calculs[[#This Row],[fin mois]]-MIN(Tab_Calculs[[#This Row],[fin mois]],Tab_Calculs[[#This Row],[Date_livraison]]))</f>
        <v>#VALUE!</v>
      </c>
      <c r="R815" t="e">
        <f ca="1">Tab_Calculs[[#This Row],[Ratio_Cout_après_livr]]+Tab_Calculs[[#This Row],[Ratio_Cout_avant_livr]]+Tab_Calculs[[#This Row],[Ratio_Cout_avant_debut]]</f>
        <v>#VALUE!</v>
      </c>
      <c r="S815" t="str">
        <f ca="1">IFERROR(N815*VLOOKUP(Tab_Calculs[[#This Row],[Colonne1]],Controle_des_données!$B$7:$G$14,6,FALSE),"")</f>
        <v/>
      </c>
      <c r="T815" t="str">
        <f ca="1">IF(Tab_Calculs[[#This Row],[Combustible ]]="Electricité (kWh)",Tab_Calculs[[#This Row],[Conso_mois_kWh]]*2.3,Tab_Calculs[[#This Row],[Conso_mois_kWh]])</f>
        <v/>
      </c>
      <c r="U815" t="str">
        <f ca="1">IFERROR(N815*VLOOKUP(Tab_Calculs[[#This Row],[Colonne1]],Controle_des_données!$B$7:$H$14,7,FALSE),"")</f>
        <v/>
      </c>
      <c r="V815">
        <f ca="1">IFERROR(Tab_Calculs[[#This Row],[Cout_mois]]/Tab_Calculs[[#This Row],[Conso_mois_kWh]],0)</f>
        <v>0</v>
      </c>
      <c r="W815" t="str">
        <f>T(VLOOKUP(Tab_Calculs[[#This Row],[Compteur]],Site!$B$33:$G$40,3,FALSE))</f>
        <v/>
      </c>
      <c r="X815" t="str">
        <f>T(VLOOKUP(Tab_Calculs[[#This Row],[Compteur]],Site!$B$33:$G$40,4,FALSE))</f>
        <v/>
      </c>
      <c r="Y815" t="str">
        <f>T(VLOOKUP(Tab_Calculs[[#This Row],[Compteur]],Site!$B$33:$G$40,5,FALSE))</f>
        <v/>
      </c>
      <c r="Z815" t="str">
        <f>T(VLOOKUP(Tab_Calculs[[#This Row],[Compteur]],Site!$B$33:$G$40,6,FALSE))</f>
        <v/>
      </c>
      <c r="AA815">
        <f>IFERROR(GETPIVOTDATA("DJU(chauffagiste)",BDD_DJU!$P$13,"annee",Tab_Calculs[[#This Row],[ANNEE]],"mois_numero",Tab_Calculs[[#This Row],[MOIS]]),0)</f>
        <v>360.4</v>
      </c>
    </row>
    <row r="816" spans="1:27" x14ac:dyDescent="0.25">
      <c r="A816" s="3">
        <f>DATE(Tab_Calculs[[#This Row],[ANNEE]],Tab_Calculs[[#This Row],[MOIS]],1)</f>
        <v>41365</v>
      </c>
      <c r="B816" s="3">
        <f>EDATE(Tab_Calculs[[#This Row],[Début mois]],1)-1</f>
        <v>41394</v>
      </c>
      <c r="C816">
        <v>4</v>
      </c>
      <c r="D816">
        <v>2013</v>
      </c>
      <c r="E816" t="s">
        <v>84</v>
      </c>
      <c r="F816" t="str">
        <f>SUBSTITUTE(Tab_Calculs[[#This Row],[Compteur]]," ","_")</f>
        <v>Compteur_5</v>
      </c>
      <c r="G816" t="str">
        <f>T(INDEX(Site!$B$33:$G$40, MATCH(Tab_Calculs[[#This Row],[Compteur]], Site!$B$33:$B$40,0),2))</f>
        <v/>
      </c>
      <c r="H816" s="3">
        <f t="array" aca="1" ref="H816" ca="1">MIN(IF(INDIRECT(CONCATENATE(Tab_Calculs[[#This Row],[Colonne1]],"!$B$2:$B$243"))&gt;=Calculs_Consos!$A816,INDIRECT(CONCATENATE(Tab_Calculs[[#This Row],[Colonne1]],"!$B$2:$B$243"))))</f>
        <v>0</v>
      </c>
      <c r="I816" s="3">
        <f ca="1">INDEX(INDIRECT(CONCATENATE("Tab_",Tab_Calculs[[#This Row],[Colonne1]])),Tab_Calculs[[#This Row],[index_date_livraison]],1)</f>
        <v>0</v>
      </c>
      <c r="J816">
        <f ca="1">MATCH(Tab_Calculs[[#This Row],[Date_livraison]],INDIRECT(CONCATENATE("Tab_",Tab_Calculs[[#This Row],[Colonne1]],"[Fin de période]")),0)</f>
        <v>1</v>
      </c>
      <c r="K816" t="e">
        <f ca="1">INDEX(INDIRECT(CONCATENATE("Tab_",Tab_Calculs[[#This Row],[Colonne1]])),Tab_Calculs[[#This Row],[index_date_livraison]]-1,6)*(MAX(Tab_Calculs[[#This Row],[Début periode livraison]],Tab_Calculs[[#This Row],[Début mois]])-Tab_Calculs[[#This Row],[Début mois]])</f>
        <v>#VALUE!</v>
      </c>
      <c r="L816" s="94">
        <f ca="1">INDEX(INDIRECT(CONCATENATE("Tab_",Tab_Calculs[[#This Row],[Colonne1]])),Tab_Calculs[[#This Row],[index_date_livraison]],6)*(1+MIN(Tab_Calculs[[#This Row],[Date_livraison]],Tab_Calculs[[#This Row],[fin mois]])-MAX(Tab_Calculs[[#This Row],[Début mois]],Tab_Calculs[[#This Row],[Début periode livraison]]))</f>
        <v>0</v>
      </c>
      <c r="M816" s="94" t="e">
        <f ca="1">INDEX(INDIRECT(CONCATENATE("Tab_",Tab_Calculs[[#This Row],[Colonne1]])),Tab_Calculs[[#This Row],[index_date_livraison]]+1,6)*(Tab_Calculs[[#This Row],[fin mois]]-MIN(Tab_Calculs[[#This Row],[fin mois]],Tab_Calculs[[#This Row],[Date_livraison]]))</f>
        <v>#VALUE!</v>
      </c>
      <c r="N816" s="231" t="str">
        <f ca="1">IFERROR(Tab_Calculs[[#This Row],[Ratio_jour_après_livr]]+Tab_Calculs[[#This Row],[Ratio_jour_avant_livr]]+Tab_Calculs[[#This Row],[ratio_avant_debut]],"")</f>
        <v/>
      </c>
      <c r="O816" t="e">
        <f ca="1">INDEX(INDIRECT(CONCATENATE("Tab_",Tab_Calculs[[#This Row],[Colonne1]])),Tab_Calculs[[#This Row],[index_date_livraison]]-1,7)*(MAX(Tab_Calculs[[#This Row],[Début periode livraison]],Tab_Calculs[[#This Row],[Début mois]])-Tab_Calculs[[#This Row],[Début mois]])</f>
        <v>#VALUE!</v>
      </c>
      <c r="P816">
        <f ca="1">INDEX(INDIRECT(CONCATENATE("Tab_",Tab_Calculs[[#This Row],[Colonne1]])),Tab_Calculs[[#This Row],[index_date_livraison]],7)*(1+MIN(Tab_Calculs[[#This Row],[Date_livraison]],Tab_Calculs[[#This Row],[fin mois]])-MAX(Tab_Calculs[[#This Row],[Début mois]],Tab_Calculs[[#This Row],[Début periode livraison]]))</f>
        <v>0</v>
      </c>
      <c r="Q816" t="e">
        <f ca="1">INDEX(INDIRECT(CONCATENATE("Tab_",Tab_Calculs[[#This Row],[Colonne1]])),Tab_Calculs[[#This Row],[index_date_livraison]]+1,7)*(Tab_Calculs[[#This Row],[fin mois]]-MIN(Tab_Calculs[[#This Row],[fin mois]],Tab_Calculs[[#This Row],[Date_livraison]]))</f>
        <v>#VALUE!</v>
      </c>
      <c r="R816" t="e">
        <f ca="1">Tab_Calculs[[#This Row],[Ratio_Cout_après_livr]]+Tab_Calculs[[#This Row],[Ratio_Cout_avant_livr]]+Tab_Calculs[[#This Row],[Ratio_Cout_avant_debut]]</f>
        <v>#VALUE!</v>
      </c>
      <c r="S816" t="str">
        <f ca="1">IFERROR(N816*VLOOKUP(Tab_Calculs[[#This Row],[Colonne1]],Controle_des_données!$B$7:$G$14,6,FALSE),"")</f>
        <v/>
      </c>
      <c r="T816" t="str">
        <f ca="1">IF(Tab_Calculs[[#This Row],[Combustible ]]="Electricité (kWh)",Tab_Calculs[[#This Row],[Conso_mois_kWh]]*2.3,Tab_Calculs[[#This Row],[Conso_mois_kWh]])</f>
        <v/>
      </c>
      <c r="U816" t="str">
        <f ca="1">IFERROR(N816*VLOOKUP(Tab_Calculs[[#This Row],[Colonne1]],Controle_des_données!$B$7:$H$14,7,FALSE),"")</f>
        <v/>
      </c>
      <c r="V816">
        <f ca="1">IFERROR(Tab_Calculs[[#This Row],[Cout_mois]]/Tab_Calculs[[#This Row],[Conso_mois_kWh]],0)</f>
        <v>0</v>
      </c>
      <c r="W816" t="str">
        <f>T(VLOOKUP(Tab_Calculs[[#This Row],[Compteur]],Site!$B$33:$G$40,3,FALSE))</f>
        <v/>
      </c>
      <c r="X816" t="str">
        <f>T(VLOOKUP(Tab_Calculs[[#This Row],[Compteur]],Site!$B$33:$G$40,4,FALSE))</f>
        <v/>
      </c>
      <c r="Y816" t="str">
        <f>T(VLOOKUP(Tab_Calculs[[#This Row],[Compteur]],Site!$B$33:$G$40,5,FALSE))</f>
        <v/>
      </c>
      <c r="Z816" t="str">
        <f>T(VLOOKUP(Tab_Calculs[[#This Row],[Compteur]],Site!$B$33:$G$40,6,FALSE))</f>
        <v/>
      </c>
      <c r="AA816">
        <f>IFERROR(GETPIVOTDATA("DJU(chauffagiste)",BDD_DJU!$P$13,"annee",Tab_Calculs[[#This Row],[ANNEE]],"mois_numero",Tab_Calculs[[#This Row],[MOIS]]),0)</f>
        <v>247.2</v>
      </c>
    </row>
    <row r="817" spans="1:27" x14ac:dyDescent="0.25">
      <c r="A817" s="3">
        <f>DATE(Tab_Calculs[[#This Row],[ANNEE]],Tab_Calculs[[#This Row],[MOIS]],1)</f>
        <v>41395</v>
      </c>
      <c r="B817" s="3">
        <f>EDATE(Tab_Calculs[[#This Row],[Début mois]],1)-1</f>
        <v>41425</v>
      </c>
      <c r="C817">
        <v>5</v>
      </c>
      <c r="D817">
        <v>2013</v>
      </c>
      <c r="E817" t="s">
        <v>84</v>
      </c>
      <c r="F817" t="str">
        <f>SUBSTITUTE(Tab_Calculs[[#This Row],[Compteur]]," ","_")</f>
        <v>Compteur_5</v>
      </c>
      <c r="G817" t="str">
        <f>T(INDEX(Site!$B$33:$G$40, MATCH(Tab_Calculs[[#This Row],[Compteur]], Site!$B$33:$B$40,0),2))</f>
        <v/>
      </c>
      <c r="H817" s="3">
        <f t="array" aca="1" ref="H817" ca="1">MIN(IF(INDIRECT(CONCATENATE(Tab_Calculs[[#This Row],[Colonne1]],"!$B$2:$B$243"))&gt;=Calculs_Consos!$A817,INDIRECT(CONCATENATE(Tab_Calculs[[#This Row],[Colonne1]],"!$B$2:$B$243"))))</f>
        <v>0</v>
      </c>
      <c r="I817" s="3">
        <f ca="1">INDEX(INDIRECT(CONCATENATE("Tab_",Tab_Calculs[[#This Row],[Colonne1]])),Tab_Calculs[[#This Row],[index_date_livraison]],1)</f>
        <v>0</v>
      </c>
      <c r="J817">
        <f ca="1">MATCH(Tab_Calculs[[#This Row],[Date_livraison]],INDIRECT(CONCATENATE("Tab_",Tab_Calculs[[#This Row],[Colonne1]],"[Fin de période]")),0)</f>
        <v>1</v>
      </c>
      <c r="K817" t="e">
        <f ca="1">INDEX(INDIRECT(CONCATENATE("Tab_",Tab_Calculs[[#This Row],[Colonne1]])),Tab_Calculs[[#This Row],[index_date_livraison]]-1,6)*(MAX(Tab_Calculs[[#This Row],[Début periode livraison]],Tab_Calculs[[#This Row],[Début mois]])-Tab_Calculs[[#This Row],[Début mois]])</f>
        <v>#VALUE!</v>
      </c>
      <c r="L817" s="94">
        <f ca="1">INDEX(INDIRECT(CONCATENATE("Tab_",Tab_Calculs[[#This Row],[Colonne1]])),Tab_Calculs[[#This Row],[index_date_livraison]],6)*(1+MIN(Tab_Calculs[[#This Row],[Date_livraison]],Tab_Calculs[[#This Row],[fin mois]])-MAX(Tab_Calculs[[#This Row],[Début mois]],Tab_Calculs[[#This Row],[Début periode livraison]]))</f>
        <v>0</v>
      </c>
      <c r="M817" s="94" t="e">
        <f ca="1">INDEX(INDIRECT(CONCATENATE("Tab_",Tab_Calculs[[#This Row],[Colonne1]])),Tab_Calculs[[#This Row],[index_date_livraison]]+1,6)*(Tab_Calculs[[#This Row],[fin mois]]-MIN(Tab_Calculs[[#This Row],[fin mois]],Tab_Calculs[[#This Row],[Date_livraison]]))</f>
        <v>#VALUE!</v>
      </c>
      <c r="N817" s="231" t="str">
        <f ca="1">IFERROR(Tab_Calculs[[#This Row],[Ratio_jour_après_livr]]+Tab_Calculs[[#This Row],[Ratio_jour_avant_livr]]+Tab_Calculs[[#This Row],[ratio_avant_debut]],"")</f>
        <v/>
      </c>
      <c r="O817" t="e">
        <f ca="1">INDEX(INDIRECT(CONCATENATE("Tab_",Tab_Calculs[[#This Row],[Colonne1]])),Tab_Calculs[[#This Row],[index_date_livraison]]-1,7)*(MAX(Tab_Calculs[[#This Row],[Début periode livraison]],Tab_Calculs[[#This Row],[Début mois]])-Tab_Calculs[[#This Row],[Début mois]])</f>
        <v>#VALUE!</v>
      </c>
      <c r="P817">
        <f ca="1">INDEX(INDIRECT(CONCATENATE("Tab_",Tab_Calculs[[#This Row],[Colonne1]])),Tab_Calculs[[#This Row],[index_date_livraison]],7)*(1+MIN(Tab_Calculs[[#This Row],[Date_livraison]],Tab_Calculs[[#This Row],[fin mois]])-MAX(Tab_Calculs[[#This Row],[Début mois]],Tab_Calculs[[#This Row],[Début periode livraison]]))</f>
        <v>0</v>
      </c>
      <c r="Q817" t="e">
        <f ca="1">INDEX(INDIRECT(CONCATENATE("Tab_",Tab_Calculs[[#This Row],[Colonne1]])),Tab_Calculs[[#This Row],[index_date_livraison]]+1,7)*(Tab_Calculs[[#This Row],[fin mois]]-MIN(Tab_Calculs[[#This Row],[fin mois]],Tab_Calculs[[#This Row],[Date_livraison]]))</f>
        <v>#VALUE!</v>
      </c>
      <c r="R817" t="e">
        <f ca="1">Tab_Calculs[[#This Row],[Ratio_Cout_après_livr]]+Tab_Calculs[[#This Row],[Ratio_Cout_avant_livr]]+Tab_Calculs[[#This Row],[Ratio_Cout_avant_debut]]</f>
        <v>#VALUE!</v>
      </c>
      <c r="S817" t="str">
        <f ca="1">IFERROR(N817*VLOOKUP(Tab_Calculs[[#This Row],[Colonne1]],Controle_des_données!$B$7:$G$14,6,FALSE),"")</f>
        <v/>
      </c>
      <c r="T817" t="str">
        <f ca="1">IF(Tab_Calculs[[#This Row],[Combustible ]]="Electricité (kWh)",Tab_Calculs[[#This Row],[Conso_mois_kWh]]*2.3,Tab_Calculs[[#This Row],[Conso_mois_kWh]])</f>
        <v/>
      </c>
      <c r="U817" t="str">
        <f ca="1">IFERROR(N817*VLOOKUP(Tab_Calculs[[#This Row],[Colonne1]],Controle_des_données!$B$7:$H$14,7,FALSE),"")</f>
        <v/>
      </c>
      <c r="V817">
        <f ca="1">IFERROR(Tab_Calculs[[#This Row],[Cout_mois]]/Tab_Calculs[[#This Row],[Conso_mois_kWh]],0)</f>
        <v>0</v>
      </c>
      <c r="W817" t="str">
        <f>T(VLOOKUP(Tab_Calculs[[#This Row],[Compteur]],Site!$B$33:$G$40,3,FALSE))</f>
        <v/>
      </c>
      <c r="X817" t="str">
        <f>T(VLOOKUP(Tab_Calculs[[#This Row],[Compteur]],Site!$B$33:$G$40,4,FALSE))</f>
        <v/>
      </c>
      <c r="Y817" t="str">
        <f>T(VLOOKUP(Tab_Calculs[[#This Row],[Compteur]],Site!$B$33:$G$40,5,FALSE))</f>
        <v/>
      </c>
      <c r="Z817" t="str">
        <f>T(VLOOKUP(Tab_Calculs[[#This Row],[Compteur]],Site!$B$33:$G$40,6,FALSE))</f>
        <v/>
      </c>
      <c r="AA817">
        <f>IFERROR(GETPIVOTDATA("DJU(chauffagiste)",BDD_DJU!$P$13,"annee",Tab_Calculs[[#This Row],[ANNEE]],"mois_numero",Tab_Calculs[[#This Row],[MOIS]]),0)</f>
        <v>175.2</v>
      </c>
    </row>
    <row r="818" spans="1:27" x14ac:dyDescent="0.25">
      <c r="A818" s="3">
        <f>DATE(Tab_Calculs[[#This Row],[ANNEE]],Tab_Calculs[[#This Row],[MOIS]],1)</f>
        <v>41426</v>
      </c>
      <c r="B818" s="3">
        <f>EDATE(Tab_Calculs[[#This Row],[Début mois]],1)-1</f>
        <v>41455</v>
      </c>
      <c r="C818">
        <v>6</v>
      </c>
      <c r="D818">
        <v>2013</v>
      </c>
      <c r="E818" t="s">
        <v>84</v>
      </c>
      <c r="F818" t="str">
        <f>SUBSTITUTE(Tab_Calculs[[#This Row],[Compteur]]," ","_")</f>
        <v>Compteur_5</v>
      </c>
      <c r="G818" t="str">
        <f>T(INDEX(Site!$B$33:$G$40, MATCH(Tab_Calculs[[#This Row],[Compteur]], Site!$B$33:$B$40,0),2))</f>
        <v/>
      </c>
      <c r="H818" s="3">
        <f t="array" aca="1" ref="H818" ca="1">MIN(IF(INDIRECT(CONCATENATE(Tab_Calculs[[#This Row],[Colonne1]],"!$B$2:$B$243"))&gt;=Calculs_Consos!$A818,INDIRECT(CONCATENATE(Tab_Calculs[[#This Row],[Colonne1]],"!$B$2:$B$243"))))</f>
        <v>0</v>
      </c>
      <c r="I818" s="3">
        <f ca="1">INDEX(INDIRECT(CONCATENATE("Tab_",Tab_Calculs[[#This Row],[Colonne1]])),Tab_Calculs[[#This Row],[index_date_livraison]],1)</f>
        <v>0</v>
      </c>
      <c r="J818">
        <f ca="1">MATCH(Tab_Calculs[[#This Row],[Date_livraison]],INDIRECT(CONCATENATE("Tab_",Tab_Calculs[[#This Row],[Colonne1]],"[Fin de période]")),0)</f>
        <v>1</v>
      </c>
      <c r="K818" t="e">
        <f ca="1">INDEX(INDIRECT(CONCATENATE("Tab_",Tab_Calculs[[#This Row],[Colonne1]])),Tab_Calculs[[#This Row],[index_date_livraison]]-1,6)*(MAX(Tab_Calculs[[#This Row],[Début periode livraison]],Tab_Calculs[[#This Row],[Début mois]])-Tab_Calculs[[#This Row],[Début mois]])</f>
        <v>#VALUE!</v>
      </c>
      <c r="L818" s="94">
        <f ca="1">INDEX(INDIRECT(CONCATENATE("Tab_",Tab_Calculs[[#This Row],[Colonne1]])),Tab_Calculs[[#This Row],[index_date_livraison]],6)*(1+MIN(Tab_Calculs[[#This Row],[Date_livraison]],Tab_Calculs[[#This Row],[fin mois]])-MAX(Tab_Calculs[[#This Row],[Début mois]],Tab_Calculs[[#This Row],[Début periode livraison]]))</f>
        <v>0</v>
      </c>
      <c r="M818" s="94" t="e">
        <f ca="1">INDEX(INDIRECT(CONCATENATE("Tab_",Tab_Calculs[[#This Row],[Colonne1]])),Tab_Calculs[[#This Row],[index_date_livraison]]+1,6)*(Tab_Calculs[[#This Row],[fin mois]]-MIN(Tab_Calculs[[#This Row],[fin mois]],Tab_Calculs[[#This Row],[Date_livraison]]))</f>
        <v>#VALUE!</v>
      </c>
      <c r="N818" s="231" t="str">
        <f ca="1">IFERROR(Tab_Calculs[[#This Row],[Ratio_jour_après_livr]]+Tab_Calculs[[#This Row],[Ratio_jour_avant_livr]]+Tab_Calculs[[#This Row],[ratio_avant_debut]],"")</f>
        <v/>
      </c>
      <c r="O818" t="e">
        <f ca="1">INDEX(INDIRECT(CONCATENATE("Tab_",Tab_Calculs[[#This Row],[Colonne1]])),Tab_Calculs[[#This Row],[index_date_livraison]]-1,7)*(MAX(Tab_Calculs[[#This Row],[Début periode livraison]],Tab_Calculs[[#This Row],[Début mois]])-Tab_Calculs[[#This Row],[Début mois]])</f>
        <v>#VALUE!</v>
      </c>
      <c r="P818">
        <f ca="1">INDEX(INDIRECT(CONCATENATE("Tab_",Tab_Calculs[[#This Row],[Colonne1]])),Tab_Calculs[[#This Row],[index_date_livraison]],7)*(1+MIN(Tab_Calculs[[#This Row],[Date_livraison]],Tab_Calculs[[#This Row],[fin mois]])-MAX(Tab_Calculs[[#This Row],[Début mois]],Tab_Calculs[[#This Row],[Début periode livraison]]))</f>
        <v>0</v>
      </c>
      <c r="Q818" t="e">
        <f ca="1">INDEX(INDIRECT(CONCATENATE("Tab_",Tab_Calculs[[#This Row],[Colonne1]])),Tab_Calculs[[#This Row],[index_date_livraison]]+1,7)*(Tab_Calculs[[#This Row],[fin mois]]-MIN(Tab_Calculs[[#This Row],[fin mois]],Tab_Calculs[[#This Row],[Date_livraison]]))</f>
        <v>#VALUE!</v>
      </c>
      <c r="R818" t="e">
        <f ca="1">Tab_Calculs[[#This Row],[Ratio_Cout_après_livr]]+Tab_Calculs[[#This Row],[Ratio_Cout_avant_livr]]+Tab_Calculs[[#This Row],[Ratio_Cout_avant_debut]]</f>
        <v>#VALUE!</v>
      </c>
      <c r="S818" t="str">
        <f ca="1">IFERROR(N818*VLOOKUP(Tab_Calculs[[#This Row],[Colonne1]],Controle_des_données!$B$7:$G$14,6,FALSE),"")</f>
        <v/>
      </c>
      <c r="T818" t="str">
        <f ca="1">IF(Tab_Calculs[[#This Row],[Combustible ]]="Electricité (kWh)",Tab_Calculs[[#This Row],[Conso_mois_kWh]]*2.3,Tab_Calculs[[#This Row],[Conso_mois_kWh]])</f>
        <v/>
      </c>
      <c r="U818" t="str">
        <f ca="1">IFERROR(N818*VLOOKUP(Tab_Calculs[[#This Row],[Colonne1]],Controle_des_données!$B$7:$H$14,7,FALSE),"")</f>
        <v/>
      </c>
      <c r="V818">
        <f ca="1">IFERROR(Tab_Calculs[[#This Row],[Cout_mois]]/Tab_Calculs[[#This Row],[Conso_mois_kWh]],0)</f>
        <v>0</v>
      </c>
      <c r="W818" t="str">
        <f>T(VLOOKUP(Tab_Calculs[[#This Row],[Compteur]],Site!$B$33:$G$40,3,FALSE))</f>
        <v/>
      </c>
      <c r="X818" t="str">
        <f>T(VLOOKUP(Tab_Calculs[[#This Row],[Compteur]],Site!$B$33:$G$40,4,FALSE))</f>
        <v/>
      </c>
      <c r="Y818" t="str">
        <f>T(VLOOKUP(Tab_Calculs[[#This Row],[Compteur]],Site!$B$33:$G$40,5,FALSE))</f>
        <v/>
      </c>
      <c r="Z818" t="str">
        <f>T(VLOOKUP(Tab_Calculs[[#This Row],[Compteur]],Site!$B$33:$G$40,6,FALSE))</f>
        <v/>
      </c>
      <c r="AA818">
        <f>IFERROR(GETPIVOTDATA("DJU(chauffagiste)",BDD_DJU!$P$13,"annee",Tab_Calculs[[#This Row],[ANNEE]],"mois_numero",Tab_Calculs[[#This Row],[MOIS]]),0)</f>
        <v>68</v>
      </c>
    </row>
    <row r="819" spans="1:27" x14ac:dyDescent="0.25">
      <c r="A819" s="3">
        <f>DATE(Tab_Calculs[[#This Row],[ANNEE]],Tab_Calculs[[#This Row],[MOIS]],1)</f>
        <v>41456</v>
      </c>
      <c r="B819" s="3">
        <f>EDATE(Tab_Calculs[[#This Row],[Début mois]],1)-1</f>
        <v>41486</v>
      </c>
      <c r="C819">
        <v>7</v>
      </c>
      <c r="D819">
        <v>2013</v>
      </c>
      <c r="E819" t="s">
        <v>84</v>
      </c>
      <c r="F819" t="str">
        <f>SUBSTITUTE(Tab_Calculs[[#This Row],[Compteur]]," ","_")</f>
        <v>Compteur_5</v>
      </c>
      <c r="G819" t="str">
        <f>T(INDEX(Site!$B$33:$G$40, MATCH(Tab_Calculs[[#This Row],[Compteur]], Site!$B$33:$B$40,0),2))</f>
        <v/>
      </c>
      <c r="H819" s="3">
        <f t="array" aca="1" ref="H819" ca="1">MIN(IF(INDIRECT(CONCATENATE(Tab_Calculs[[#This Row],[Colonne1]],"!$B$2:$B$243"))&gt;=Calculs_Consos!$A819,INDIRECT(CONCATENATE(Tab_Calculs[[#This Row],[Colonne1]],"!$B$2:$B$243"))))</f>
        <v>0</v>
      </c>
      <c r="I819" s="3">
        <f ca="1">INDEX(INDIRECT(CONCATENATE("Tab_",Tab_Calculs[[#This Row],[Colonne1]])),Tab_Calculs[[#This Row],[index_date_livraison]],1)</f>
        <v>0</v>
      </c>
      <c r="J819">
        <f ca="1">MATCH(Tab_Calculs[[#This Row],[Date_livraison]],INDIRECT(CONCATENATE("Tab_",Tab_Calculs[[#This Row],[Colonne1]],"[Fin de période]")),0)</f>
        <v>1</v>
      </c>
      <c r="K819" t="e">
        <f ca="1">INDEX(INDIRECT(CONCATENATE("Tab_",Tab_Calculs[[#This Row],[Colonne1]])),Tab_Calculs[[#This Row],[index_date_livraison]]-1,6)*(MAX(Tab_Calculs[[#This Row],[Début periode livraison]],Tab_Calculs[[#This Row],[Début mois]])-Tab_Calculs[[#This Row],[Début mois]])</f>
        <v>#VALUE!</v>
      </c>
      <c r="L819" s="94">
        <f ca="1">INDEX(INDIRECT(CONCATENATE("Tab_",Tab_Calculs[[#This Row],[Colonne1]])),Tab_Calculs[[#This Row],[index_date_livraison]],6)*(1+MIN(Tab_Calculs[[#This Row],[Date_livraison]],Tab_Calculs[[#This Row],[fin mois]])-MAX(Tab_Calculs[[#This Row],[Début mois]],Tab_Calculs[[#This Row],[Début periode livraison]]))</f>
        <v>0</v>
      </c>
      <c r="M819" s="94" t="e">
        <f ca="1">INDEX(INDIRECT(CONCATENATE("Tab_",Tab_Calculs[[#This Row],[Colonne1]])),Tab_Calculs[[#This Row],[index_date_livraison]]+1,6)*(Tab_Calculs[[#This Row],[fin mois]]-MIN(Tab_Calculs[[#This Row],[fin mois]],Tab_Calculs[[#This Row],[Date_livraison]]))</f>
        <v>#VALUE!</v>
      </c>
      <c r="N819" s="231" t="str">
        <f ca="1">IFERROR(Tab_Calculs[[#This Row],[Ratio_jour_après_livr]]+Tab_Calculs[[#This Row],[Ratio_jour_avant_livr]]+Tab_Calculs[[#This Row],[ratio_avant_debut]],"")</f>
        <v/>
      </c>
      <c r="O819" t="e">
        <f ca="1">INDEX(INDIRECT(CONCATENATE("Tab_",Tab_Calculs[[#This Row],[Colonne1]])),Tab_Calculs[[#This Row],[index_date_livraison]]-1,7)*(MAX(Tab_Calculs[[#This Row],[Début periode livraison]],Tab_Calculs[[#This Row],[Début mois]])-Tab_Calculs[[#This Row],[Début mois]])</f>
        <v>#VALUE!</v>
      </c>
      <c r="P819">
        <f ca="1">INDEX(INDIRECT(CONCATENATE("Tab_",Tab_Calculs[[#This Row],[Colonne1]])),Tab_Calculs[[#This Row],[index_date_livraison]],7)*(1+MIN(Tab_Calculs[[#This Row],[Date_livraison]],Tab_Calculs[[#This Row],[fin mois]])-MAX(Tab_Calculs[[#This Row],[Début mois]],Tab_Calculs[[#This Row],[Début periode livraison]]))</f>
        <v>0</v>
      </c>
      <c r="Q819" t="e">
        <f ca="1">INDEX(INDIRECT(CONCATENATE("Tab_",Tab_Calculs[[#This Row],[Colonne1]])),Tab_Calculs[[#This Row],[index_date_livraison]]+1,7)*(Tab_Calculs[[#This Row],[fin mois]]-MIN(Tab_Calculs[[#This Row],[fin mois]],Tab_Calculs[[#This Row],[Date_livraison]]))</f>
        <v>#VALUE!</v>
      </c>
      <c r="R819" t="e">
        <f ca="1">Tab_Calculs[[#This Row],[Ratio_Cout_après_livr]]+Tab_Calculs[[#This Row],[Ratio_Cout_avant_livr]]+Tab_Calculs[[#This Row],[Ratio_Cout_avant_debut]]</f>
        <v>#VALUE!</v>
      </c>
      <c r="S819" t="str">
        <f ca="1">IFERROR(N819*VLOOKUP(Tab_Calculs[[#This Row],[Colonne1]],Controle_des_données!$B$7:$G$14,6,FALSE),"")</f>
        <v/>
      </c>
      <c r="T819" t="str">
        <f ca="1">IF(Tab_Calculs[[#This Row],[Combustible ]]="Electricité (kWh)",Tab_Calculs[[#This Row],[Conso_mois_kWh]]*2.3,Tab_Calculs[[#This Row],[Conso_mois_kWh]])</f>
        <v/>
      </c>
      <c r="U819" t="str">
        <f ca="1">IFERROR(N819*VLOOKUP(Tab_Calculs[[#This Row],[Colonne1]],Controle_des_données!$B$7:$H$14,7,FALSE),"")</f>
        <v/>
      </c>
      <c r="V819">
        <f ca="1">IFERROR(Tab_Calculs[[#This Row],[Cout_mois]]/Tab_Calculs[[#This Row],[Conso_mois_kWh]],0)</f>
        <v>0</v>
      </c>
      <c r="W819" t="str">
        <f>T(VLOOKUP(Tab_Calculs[[#This Row],[Compteur]],Site!$B$33:$G$40,3,FALSE))</f>
        <v/>
      </c>
      <c r="X819" t="str">
        <f>T(VLOOKUP(Tab_Calculs[[#This Row],[Compteur]],Site!$B$33:$G$40,4,FALSE))</f>
        <v/>
      </c>
      <c r="Y819" t="str">
        <f>T(VLOOKUP(Tab_Calculs[[#This Row],[Compteur]],Site!$B$33:$G$40,5,FALSE))</f>
        <v/>
      </c>
      <c r="Z819" t="str">
        <f>T(VLOOKUP(Tab_Calculs[[#This Row],[Compteur]],Site!$B$33:$G$40,6,FALSE))</f>
        <v/>
      </c>
      <c r="AA819">
        <f>IFERROR(GETPIVOTDATA("DJU(chauffagiste)",BDD_DJU!$P$13,"annee",Tab_Calculs[[#This Row],[ANNEE]],"mois_numero",Tab_Calculs[[#This Row],[MOIS]]),0)</f>
        <v>13.3</v>
      </c>
    </row>
    <row r="820" spans="1:27" x14ac:dyDescent="0.25">
      <c r="A820" s="3">
        <f>DATE(Tab_Calculs[[#This Row],[ANNEE]],Tab_Calculs[[#This Row],[MOIS]],1)</f>
        <v>41487</v>
      </c>
      <c r="B820" s="3">
        <f>EDATE(Tab_Calculs[[#This Row],[Début mois]],1)-1</f>
        <v>41517</v>
      </c>
      <c r="C820">
        <v>8</v>
      </c>
      <c r="D820">
        <v>2013</v>
      </c>
      <c r="E820" t="s">
        <v>84</v>
      </c>
      <c r="F820" t="str">
        <f>SUBSTITUTE(Tab_Calculs[[#This Row],[Compteur]]," ","_")</f>
        <v>Compteur_5</v>
      </c>
      <c r="G820" t="str">
        <f>T(INDEX(Site!$B$33:$G$40, MATCH(Tab_Calculs[[#This Row],[Compteur]], Site!$B$33:$B$40,0),2))</f>
        <v/>
      </c>
      <c r="H820" s="3">
        <f t="array" aca="1" ref="H820" ca="1">MIN(IF(INDIRECT(CONCATENATE(Tab_Calculs[[#This Row],[Colonne1]],"!$B$2:$B$243"))&gt;=Calculs_Consos!$A820,INDIRECT(CONCATENATE(Tab_Calculs[[#This Row],[Colonne1]],"!$B$2:$B$243"))))</f>
        <v>0</v>
      </c>
      <c r="I820" s="3">
        <f ca="1">INDEX(INDIRECT(CONCATENATE("Tab_",Tab_Calculs[[#This Row],[Colonne1]])),Tab_Calculs[[#This Row],[index_date_livraison]],1)</f>
        <v>0</v>
      </c>
      <c r="J820">
        <f ca="1">MATCH(Tab_Calculs[[#This Row],[Date_livraison]],INDIRECT(CONCATENATE("Tab_",Tab_Calculs[[#This Row],[Colonne1]],"[Fin de période]")),0)</f>
        <v>1</v>
      </c>
      <c r="K820" t="e">
        <f ca="1">INDEX(INDIRECT(CONCATENATE("Tab_",Tab_Calculs[[#This Row],[Colonne1]])),Tab_Calculs[[#This Row],[index_date_livraison]]-1,6)*(MAX(Tab_Calculs[[#This Row],[Début periode livraison]],Tab_Calculs[[#This Row],[Début mois]])-Tab_Calculs[[#This Row],[Début mois]])</f>
        <v>#VALUE!</v>
      </c>
      <c r="L820" s="94">
        <f ca="1">INDEX(INDIRECT(CONCATENATE("Tab_",Tab_Calculs[[#This Row],[Colonne1]])),Tab_Calculs[[#This Row],[index_date_livraison]],6)*(1+MIN(Tab_Calculs[[#This Row],[Date_livraison]],Tab_Calculs[[#This Row],[fin mois]])-MAX(Tab_Calculs[[#This Row],[Début mois]],Tab_Calculs[[#This Row],[Début periode livraison]]))</f>
        <v>0</v>
      </c>
      <c r="M820" s="94" t="e">
        <f ca="1">INDEX(INDIRECT(CONCATENATE("Tab_",Tab_Calculs[[#This Row],[Colonne1]])),Tab_Calculs[[#This Row],[index_date_livraison]]+1,6)*(Tab_Calculs[[#This Row],[fin mois]]-MIN(Tab_Calculs[[#This Row],[fin mois]],Tab_Calculs[[#This Row],[Date_livraison]]))</f>
        <v>#VALUE!</v>
      </c>
      <c r="N820" s="231" t="str">
        <f ca="1">IFERROR(Tab_Calculs[[#This Row],[Ratio_jour_après_livr]]+Tab_Calculs[[#This Row],[Ratio_jour_avant_livr]]+Tab_Calculs[[#This Row],[ratio_avant_debut]],"")</f>
        <v/>
      </c>
      <c r="O820" t="e">
        <f ca="1">INDEX(INDIRECT(CONCATENATE("Tab_",Tab_Calculs[[#This Row],[Colonne1]])),Tab_Calculs[[#This Row],[index_date_livraison]]-1,7)*(MAX(Tab_Calculs[[#This Row],[Début periode livraison]],Tab_Calculs[[#This Row],[Début mois]])-Tab_Calculs[[#This Row],[Début mois]])</f>
        <v>#VALUE!</v>
      </c>
      <c r="P820">
        <f ca="1">INDEX(INDIRECT(CONCATENATE("Tab_",Tab_Calculs[[#This Row],[Colonne1]])),Tab_Calculs[[#This Row],[index_date_livraison]],7)*(1+MIN(Tab_Calculs[[#This Row],[Date_livraison]],Tab_Calculs[[#This Row],[fin mois]])-MAX(Tab_Calculs[[#This Row],[Début mois]],Tab_Calculs[[#This Row],[Début periode livraison]]))</f>
        <v>0</v>
      </c>
      <c r="Q820" t="e">
        <f ca="1">INDEX(INDIRECT(CONCATENATE("Tab_",Tab_Calculs[[#This Row],[Colonne1]])),Tab_Calculs[[#This Row],[index_date_livraison]]+1,7)*(Tab_Calculs[[#This Row],[fin mois]]-MIN(Tab_Calculs[[#This Row],[fin mois]],Tab_Calculs[[#This Row],[Date_livraison]]))</f>
        <v>#VALUE!</v>
      </c>
      <c r="R820" t="e">
        <f ca="1">Tab_Calculs[[#This Row],[Ratio_Cout_après_livr]]+Tab_Calculs[[#This Row],[Ratio_Cout_avant_livr]]+Tab_Calculs[[#This Row],[Ratio_Cout_avant_debut]]</f>
        <v>#VALUE!</v>
      </c>
      <c r="S820" t="str">
        <f ca="1">IFERROR(N820*VLOOKUP(Tab_Calculs[[#This Row],[Colonne1]],Controle_des_données!$B$7:$G$14,6,FALSE),"")</f>
        <v/>
      </c>
      <c r="T820" t="str">
        <f ca="1">IF(Tab_Calculs[[#This Row],[Combustible ]]="Electricité (kWh)",Tab_Calculs[[#This Row],[Conso_mois_kWh]]*2.3,Tab_Calculs[[#This Row],[Conso_mois_kWh]])</f>
        <v/>
      </c>
      <c r="U820" t="str">
        <f ca="1">IFERROR(N820*VLOOKUP(Tab_Calculs[[#This Row],[Colonne1]],Controle_des_données!$B$7:$H$14,7,FALSE),"")</f>
        <v/>
      </c>
      <c r="V820">
        <f ca="1">IFERROR(Tab_Calculs[[#This Row],[Cout_mois]]/Tab_Calculs[[#This Row],[Conso_mois_kWh]],0)</f>
        <v>0</v>
      </c>
      <c r="W820" t="str">
        <f>T(VLOOKUP(Tab_Calculs[[#This Row],[Compteur]],Site!$B$33:$G$40,3,FALSE))</f>
        <v/>
      </c>
      <c r="X820" t="str">
        <f>T(VLOOKUP(Tab_Calculs[[#This Row],[Compteur]],Site!$B$33:$G$40,4,FALSE))</f>
        <v/>
      </c>
      <c r="Y820" t="str">
        <f>T(VLOOKUP(Tab_Calculs[[#This Row],[Compteur]],Site!$B$33:$G$40,5,FALSE))</f>
        <v/>
      </c>
      <c r="Z820" t="str">
        <f>T(VLOOKUP(Tab_Calculs[[#This Row],[Compteur]],Site!$B$33:$G$40,6,FALSE))</f>
        <v/>
      </c>
      <c r="AA820">
        <f>IFERROR(GETPIVOTDATA("DJU(chauffagiste)",BDD_DJU!$P$13,"annee",Tab_Calculs[[#This Row],[ANNEE]],"mois_numero",Tab_Calculs[[#This Row],[MOIS]]),0)</f>
        <v>38.5</v>
      </c>
    </row>
    <row r="821" spans="1:27" x14ac:dyDescent="0.25">
      <c r="A821" s="3">
        <f>DATE(Tab_Calculs[[#This Row],[ANNEE]],Tab_Calculs[[#This Row],[MOIS]],1)</f>
        <v>41518</v>
      </c>
      <c r="B821" s="3">
        <f>EDATE(Tab_Calculs[[#This Row],[Début mois]],1)-1</f>
        <v>41547</v>
      </c>
      <c r="C821">
        <v>9</v>
      </c>
      <c r="D821">
        <v>2013</v>
      </c>
      <c r="E821" t="s">
        <v>84</v>
      </c>
      <c r="F821" t="str">
        <f>SUBSTITUTE(Tab_Calculs[[#This Row],[Compteur]]," ","_")</f>
        <v>Compteur_5</v>
      </c>
      <c r="G821" t="str">
        <f>T(INDEX(Site!$B$33:$G$40, MATCH(Tab_Calculs[[#This Row],[Compteur]], Site!$B$33:$B$40,0),2))</f>
        <v/>
      </c>
      <c r="H821" s="3">
        <f t="array" aca="1" ref="H821" ca="1">MIN(IF(INDIRECT(CONCATENATE(Tab_Calculs[[#This Row],[Colonne1]],"!$B$2:$B$243"))&gt;=Calculs_Consos!$A821,INDIRECT(CONCATENATE(Tab_Calculs[[#This Row],[Colonne1]],"!$B$2:$B$243"))))</f>
        <v>0</v>
      </c>
      <c r="I821" s="3">
        <f ca="1">INDEX(INDIRECT(CONCATENATE("Tab_",Tab_Calculs[[#This Row],[Colonne1]])),Tab_Calculs[[#This Row],[index_date_livraison]],1)</f>
        <v>0</v>
      </c>
      <c r="J821">
        <f ca="1">MATCH(Tab_Calculs[[#This Row],[Date_livraison]],INDIRECT(CONCATENATE("Tab_",Tab_Calculs[[#This Row],[Colonne1]],"[Fin de période]")),0)</f>
        <v>1</v>
      </c>
      <c r="K821" t="e">
        <f ca="1">INDEX(INDIRECT(CONCATENATE("Tab_",Tab_Calculs[[#This Row],[Colonne1]])),Tab_Calculs[[#This Row],[index_date_livraison]]-1,6)*(MAX(Tab_Calculs[[#This Row],[Début periode livraison]],Tab_Calculs[[#This Row],[Début mois]])-Tab_Calculs[[#This Row],[Début mois]])</f>
        <v>#VALUE!</v>
      </c>
      <c r="L821" s="94">
        <f ca="1">INDEX(INDIRECT(CONCATENATE("Tab_",Tab_Calculs[[#This Row],[Colonne1]])),Tab_Calculs[[#This Row],[index_date_livraison]],6)*(1+MIN(Tab_Calculs[[#This Row],[Date_livraison]],Tab_Calculs[[#This Row],[fin mois]])-MAX(Tab_Calculs[[#This Row],[Début mois]],Tab_Calculs[[#This Row],[Début periode livraison]]))</f>
        <v>0</v>
      </c>
      <c r="M821" s="94" t="e">
        <f ca="1">INDEX(INDIRECT(CONCATENATE("Tab_",Tab_Calculs[[#This Row],[Colonne1]])),Tab_Calculs[[#This Row],[index_date_livraison]]+1,6)*(Tab_Calculs[[#This Row],[fin mois]]-MIN(Tab_Calculs[[#This Row],[fin mois]],Tab_Calculs[[#This Row],[Date_livraison]]))</f>
        <v>#VALUE!</v>
      </c>
      <c r="N821" s="231" t="str">
        <f ca="1">IFERROR(Tab_Calculs[[#This Row],[Ratio_jour_après_livr]]+Tab_Calculs[[#This Row],[Ratio_jour_avant_livr]]+Tab_Calculs[[#This Row],[ratio_avant_debut]],"")</f>
        <v/>
      </c>
      <c r="O821" t="e">
        <f ca="1">INDEX(INDIRECT(CONCATENATE("Tab_",Tab_Calculs[[#This Row],[Colonne1]])),Tab_Calculs[[#This Row],[index_date_livraison]]-1,7)*(MAX(Tab_Calculs[[#This Row],[Début periode livraison]],Tab_Calculs[[#This Row],[Début mois]])-Tab_Calculs[[#This Row],[Début mois]])</f>
        <v>#VALUE!</v>
      </c>
      <c r="P821">
        <f ca="1">INDEX(INDIRECT(CONCATENATE("Tab_",Tab_Calculs[[#This Row],[Colonne1]])),Tab_Calculs[[#This Row],[index_date_livraison]],7)*(1+MIN(Tab_Calculs[[#This Row],[Date_livraison]],Tab_Calculs[[#This Row],[fin mois]])-MAX(Tab_Calculs[[#This Row],[Début mois]],Tab_Calculs[[#This Row],[Début periode livraison]]))</f>
        <v>0</v>
      </c>
      <c r="Q821" t="e">
        <f ca="1">INDEX(INDIRECT(CONCATENATE("Tab_",Tab_Calculs[[#This Row],[Colonne1]])),Tab_Calculs[[#This Row],[index_date_livraison]]+1,7)*(Tab_Calculs[[#This Row],[fin mois]]-MIN(Tab_Calculs[[#This Row],[fin mois]],Tab_Calculs[[#This Row],[Date_livraison]]))</f>
        <v>#VALUE!</v>
      </c>
      <c r="R821" t="e">
        <f ca="1">Tab_Calculs[[#This Row],[Ratio_Cout_après_livr]]+Tab_Calculs[[#This Row],[Ratio_Cout_avant_livr]]+Tab_Calculs[[#This Row],[Ratio_Cout_avant_debut]]</f>
        <v>#VALUE!</v>
      </c>
      <c r="S821" t="str">
        <f ca="1">IFERROR(N821*VLOOKUP(Tab_Calculs[[#This Row],[Colonne1]],Controle_des_données!$B$7:$G$14,6,FALSE),"")</f>
        <v/>
      </c>
      <c r="T821" t="str">
        <f ca="1">IF(Tab_Calculs[[#This Row],[Combustible ]]="Electricité (kWh)",Tab_Calculs[[#This Row],[Conso_mois_kWh]]*2.3,Tab_Calculs[[#This Row],[Conso_mois_kWh]])</f>
        <v/>
      </c>
      <c r="U821" t="str">
        <f ca="1">IFERROR(N821*VLOOKUP(Tab_Calculs[[#This Row],[Colonne1]],Controle_des_données!$B$7:$H$14,7,FALSE),"")</f>
        <v/>
      </c>
      <c r="V821">
        <f ca="1">IFERROR(Tab_Calculs[[#This Row],[Cout_mois]]/Tab_Calculs[[#This Row],[Conso_mois_kWh]],0)</f>
        <v>0</v>
      </c>
      <c r="W821" t="str">
        <f>T(VLOOKUP(Tab_Calculs[[#This Row],[Compteur]],Site!$B$33:$G$40,3,FALSE))</f>
        <v/>
      </c>
      <c r="X821" t="str">
        <f>T(VLOOKUP(Tab_Calculs[[#This Row],[Compteur]],Site!$B$33:$G$40,4,FALSE))</f>
        <v/>
      </c>
      <c r="Y821" t="str">
        <f>T(VLOOKUP(Tab_Calculs[[#This Row],[Compteur]],Site!$B$33:$G$40,5,FALSE))</f>
        <v/>
      </c>
      <c r="Z821" t="str">
        <f>T(VLOOKUP(Tab_Calculs[[#This Row],[Compteur]],Site!$B$33:$G$40,6,FALSE))</f>
        <v/>
      </c>
      <c r="AA821">
        <f>IFERROR(GETPIVOTDATA("DJU(chauffagiste)",BDD_DJU!$P$13,"annee",Tab_Calculs[[#This Row],[ANNEE]],"mois_numero",Tab_Calculs[[#This Row],[MOIS]]),0)</f>
        <v>69.2</v>
      </c>
    </row>
    <row r="822" spans="1:27" x14ac:dyDescent="0.25">
      <c r="A822" s="3">
        <f>DATE(Tab_Calculs[[#This Row],[ANNEE]],Tab_Calculs[[#This Row],[MOIS]],1)</f>
        <v>41548</v>
      </c>
      <c r="B822" s="3">
        <f>EDATE(Tab_Calculs[[#This Row],[Début mois]],1)-1</f>
        <v>41578</v>
      </c>
      <c r="C822">
        <v>10</v>
      </c>
      <c r="D822">
        <v>2013</v>
      </c>
      <c r="E822" t="s">
        <v>84</v>
      </c>
      <c r="F822" t="str">
        <f>SUBSTITUTE(Tab_Calculs[[#This Row],[Compteur]]," ","_")</f>
        <v>Compteur_5</v>
      </c>
      <c r="G822" t="str">
        <f>T(INDEX(Site!$B$33:$G$40, MATCH(Tab_Calculs[[#This Row],[Compteur]], Site!$B$33:$B$40,0),2))</f>
        <v/>
      </c>
      <c r="H822" s="3">
        <f t="array" aca="1" ref="H822" ca="1">MIN(IF(INDIRECT(CONCATENATE(Tab_Calculs[[#This Row],[Colonne1]],"!$B$2:$B$243"))&gt;=Calculs_Consos!$A822,INDIRECT(CONCATENATE(Tab_Calculs[[#This Row],[Colonne1]],"!$B$2:$B$243"))))</f>
        <v>0</v>
      </c>
      <c r="I822" s="3">
        <f ca="1">INDEX(INDIRECT(CONCATENATE("Tab_",Tab_Calculs[[#This Row],[Colonne1]])),Tab_Calculs[[#This Row],[index_date_livraison]],1)</f>
        <v>0</v>
      </c>
      <c r="J822">
        <f ca="1">MATCH(Tab_Calculs[[#This Row],[Date_livraison]],INDIRECT(CONCATENATE("Tab_",Tab_Calculs[[#This Row],[Colonne1]],"[Fin de période]")),0)</f>
        <v>1</v>
      </c>
      <c r="K822" t="e">
        <f ca="1">INDEX(INDIRECT(CONCATENATE("Tab_",Tab_Calculs[[#This Row],[Colonne1]])),Tab_Calculs[[#This Row],[index_date_livraison]]-1,6)*(MAX(Tab_Calculs[[#This Row],[Début periode livraison]],Tab_Calculs[[#This Row],[Début mois]])-Tab_Calculs[[#This Row],[Début mois]])</f>
        <v>#VALUE!</v>
      </c>
      <c r="L822" s="94">
        <f ca="1">INDEX(INDIRECT(CONCATENATE("Tab_",Tab_Calculs[[#This Row],[Colonne1]])),Tab_Calculs[[#This Row],[index_date_livraison]],6)*(1+MIN(Tab_Calculs[[#This Row],[Date_livraison]],Tab_Calculs[[#This Row],[fin mois]])-MAX(Tab_Calculs[[#This Row],[Début mois]],Tab_Calculs[[#This Row],[Début periode livraison]]))</f>
        <v>0</v>
      </c>
      <c r="M822" s="94" t="e">
        <f ca="1">INDEX(INDIRECT(CONCATENATE("Tab_",Tab_Calculs[[#This Row],[Colonne1]])),Tab_Calculs[[#This Row],[index_date_livraison]]+1,6)*(Tab_Calculs[[#This Row],[fin mois]]-MIN(Tab_Calculs[[#This Row],[fin mois]],Tab_Calculs[[#This Row],[Date_livraison]]))</f>
        <v>#VALUE!</v>
      </c>
      <c r="N822" s="231" t="str">
        <f ca="1">IFERROR(Tab_Calculs[[#This Row],[Ratio_jour_après_livr]]+Tab_Calculs[[#This Row],[Ratio_jour_avant_livr]]+Tab_Calculs[[#This Row],[ratio_avant_debut]],"")</f>
        <v/>
      </c>
      <c r="O822" t="e">
        <f ca="1">INDEX(INDIRECT(CONCATENATE("Tab_",Tab_Calculs[[#This Row],[Colonne1]])),Tab_Calculs[[#This Row],[index_date_livraison]]-1,7)*(MAX(Tab_Calculs[[#This Row],[Début periode livraison]],Tab_Calculs[[#This Row],[Début mois]])-Tab_Calculs[[#This Row],[Début mois]])</f>
        <v>#VALUE!</v>
      </c>
      <c r="P822">
        <f ca="1">INDEX(INDIRECT(CONCATENATE("Tab_",Tab_Calculs[[#This Row],[Colonne1]])),Tab_Calculs[[#This Row],[index_date_livraison]],7)*(1+MIN(Tab_Calculs[[#This Row],[Date_livraison]],Tab_Calculs[[#This Row],[fin mois]])-MAX(Tab_Calculs[[#This Row],[Début mois]],Tab_Calculs[[#This Row],[Début periode livraison]]))</f>
        <v>0</v>
      </c>
      <c r="Q822" t="e">
        <f ca="1">INDEX(INDIRECT(CONCATENATE("Tab_",Tab_Calculs[[#This Row],[Colonne1]])),Tab_Calculs[[#This Row],[index_date_livraison]]+1,7)*(Tab_Calculs[[#This Row],[fin mois]]-MIN(Tab_Calculs[[#This Row],[fin mois]],Tab_Calculs[[#This Row],[Date_livraison]]))</f>
        <v>#VALUE!</v>
      </c>
      <c r="R822" t="e">
        <f ca="1">Tab_Calculs[[#This Row],[Ratio_Cout_après_livr]]+Tab_Calculs[[#This Row],[Ratio_Cout_avant_livr]]+Tab_Calculs[[#This Row],[Ratio_Cout_avant_debut]]</f>
        <v>#VALUE!</v>
      </c>
      <c r="S822" t="str">
        <f ca="1">IFERROR(N822*VLOOKUP(Tab_Calculs[[#This Row],[Colonne1]],Controle_des_données!$B$7:$G$14,6,FALSE),"")</f>
        <v/>
      </c>
      <c r="T822" t="str">
        <f ca="1">IF(Tab_Calculs[[#This Row],[Combustible ]]="Electricité (kWh)",Tab_Calculs[[#This Row],[Conso_mois_kWh]]*2.3,Tab_Calculs[[#This Row],[Conso_mois_kWh]])</f>
        <v/>
      </c>
      <c r="U822" t="str">
        <f ca="1">IFERROR(N822*VLOOKUP(Tab_Calculs[[#This Row],[Colonne1]],Controle_des_données!$B$7:$H$14,7,FALSE),"")</f>
        <v/>
      </c>
      <c r="V822">
        <f ca="1">IFERROR(Tab_Calculs[[#This Row],[Cout_mois]]/Tab_Calculs[[#This Row],[Conso_mois_kWh]],0)</f>
        <v>0</v>
      </c>
      <c r="W822" t="str">
        <f>T(VLOOKUP(Tab_Calculs[[#This Row],[Compteur]],Site!$B$33:$G$40,3,FALSE))</f>
        <v/>
      </c>
      <c r="X822" t="str">
        <f>T(VLOOKUP(Tab_Calculs[[#This Row],[Compteur]],Site!$B$33:$G$40,4,FALSE))</f>
        <v/>
      </c>
      <c r="Y822" t="str">
        <f>T(VLOOKUP(Tab_Calculs[[#This Row],[Compteur]],Site!$B$33:$G$40,5,FALSE))</f>
        <v/>
      </c>
      <c r="Z822" t="str">
        <f>T(VLOOKUP(Tab_Calculs[[#This Row],[Compteur]],Site!$B$33:$G$40,6,FALSE))</f>
        <v/>
      </c>
      <c r="AA822">
        <f>IFERROR(GETPIVOTDATA("DJU(chauffagiste)",BDD_DJU!$P$13,"annee",Tab_Calculs[[#This Row],[ANNEE]],"mois_numero",Tab_Calculs[[#This Row],[MOIS]]),0)</f>
        <v>122.6</v>
      </c>
    </row>
    <row r="823" spans="1:27" x14ac:dyDescent="0.25">
      <c r="A823" s="3">
        <f>DATE(Tab_Calculs[[#This Row],[ANNEE]],Tab_Calculs[[#This Row],[MOIS]],1)</f>
        <v>41579</v>
      </c>
      <c r="B823" s="3">
        <f>EDATE(Tab_Calculs[[#This Row],[Début mois]],1)-1</f>
        <v>41608</v>
      </c>
      <c r="C823">
        <v>11</v>
      </c>
      <c r="D823">
        <v>2013</v>
      </c>
      <c r="E823" t="s">
        <v>84</v>
      </c>
      <c r="F823" t="str">
        <f>SUBSTITUTE(Tab_Calculs[[#This Row],[Compteur]]," ","_")</f>
        <v>Compteur_5</v>
      </c>
      <c r="G823" t="str">
        <f>T(INDEX(Site!$B$33:$G$40, MATCH(Tab_Calculs[[#This Row],[Compteur]], Site!$B$33:$B$40,0),2))</f>
        <v/>
      </c>
      <c r="H823" s="3">
        <f t="array" aca="1" ref="H823" ca="1">MIN(IF(INDIRECT(CONCATENATE(Tab_Calculs[[#This Row],[Colonne1]],"!$B$2:$B$243"))&gt;=Calculs_Consos!$A823,INDIRECT(CONCATENATE(Tab_Calculs[[#This Row],[Colonne1]],"!$B$2:$B$243"))))</f>
        <v>0</v>
      </c>
      <c r="I823" s="3">
        <f ca="1">INDEX(INDIRECT(CONCATENATE("Tab_",Tab_Calculs[[#This Row],[Colonne1]])),Tab_Calculs[[#This Row],[index_date_livraison]],1)</f>
        <v>0</v>
      </c>
      <c r="J823">
        <f ca="1">MATCH(Tab_Calculs[[#This Row],[Date_livraison]],INDIRECT(CONCATENATE("Tab_",Tab_Calculs[[#This Row],[Colonne1]],"[Fin de période]")),0)</f>
        <v>1</v>
      </c>
      <c r="K823" t="e">
        <f ca="1">INDEX(INDIRECT(CONCATENATE("Tab_",Tab_Calculs[[#This Row],[Colonne1]])),Tab_Calculs[[#This Row],[index_date_livraison]]-1,6)*(MAX(Tab_Calculs[[#This Row],[Début periode livraison]],Tab_Calculs[[#This Row],[Début mois]])-Tab_Calculs[[#This Row],[Début mois]])</f>
        <v>#VALUE!</v>
      </c>
      <c r="L823" s="94">
        <f ca="1">INDEX(INDIRECT(CONCATENATE("Tab_",Tab_Calculs[[#This Row],[Colonne1]])),Tab_Calculs[[#This Row],[index_date_livraison]],6)*(1+MIN(Tab_Calculs[[#This Row],[Date_livraison]],Tab_Calculs[[#This Row],[fin mois]])-MAX(Tab_Calculs[[#This Row],[Début mois]],Tab_Calculs[[#This Row],[Début periode livraison]]))</f>
        <v>0</v>
      </c>
      <c r="M823" s="94" t="e">
        <f ca="1">INDEX(INDIRECT(CONCATENATE("Tab_",Tab_Calculs[[#This Row],[Colonne1]])),Tab_Calculs[[#This Row],[index_date_livraison]]+1,6)*(Tab_Calculs[[#This Row],[fin mois]]-MIN(Tab_Calculs[[#This Row],[fin mois]],Tab_Calculs[[#This Row],[Date_livraison]]))</f>
        <v>#VALUE!</v>
      </c>
      <c r="N823" s="231" t="str">
        <f ca="1">IFERROR(Tab_Calculs[[#This Row],[Ratio_jour_après_livr]]+Tab_Calculs[[#This Row],[Ratio_jour_avant_livr]]+Tab_Calculs[[#This Row],[ratio_avant_debut]],"")</f>
        <v/>
      </c>
      <c r="O823" t="e">
        <f ca="1">INDEX(INDIRECT(CONCATENATE("Tab_",Tab_Calculs[[#This Row],[Colonne1]])),Tab_Calculs[[#This Row],[index_date_livraison]]-1,7)*(MAX(Tab_Calculs[[#This Row],[Début periode livraison]],Tab_Calculs[[#This Row],[Début mois]])-Tab_Calculs[[#This Row],[Début mois]])</f>
        <v>#VALUE!</v>
      </c>
      <c r="P823">
        <f ca="1">INDEX(INDIRECT(CONCATENATE("Tab_",Tab_Calculs[[#This Row],[Colonne1]])),Tab_Calculs[[#This Row],[index_date_livraison]],7)*(1+MIN(Tab_Calculs[[#This Row],[Date_livraison]],Tab_Calculs[[#This Row],[fin mois]])-MAX(Tab_Calculs[[#This Row],[Début mois]],Tab_Calculs[[#This Row],[Début periode livraison]]))</f>
        <v>0</v>
      </c>
      <c r="Q823" t="e">
        <f ca="1">INDEX(INDIRECT(CONCATENATE("Tab_",Tab_Calculs[[#This Row],[Colonne1]])),Tab_Calculs[[#This Row],[index_date_livraison]]+1,7)*(Tab_Calculs[[#This Row],[fin mois]]-MIN(Tab_Calculs[[#This Row],[fin mois]],Tab_Calculs[[#This Row],[Date_livraison]]))</f>
        <v>#VALUE!</v>
      </c>
      <c r="R823" t="e">
        <f ca="1">Tab_Calculs[[#This Row],[Ratio_Cout_après_livr]]+Tab_Calculs[[#This Row],[Ratio_Cout_avant_livr]]+Tab_Calculs[[#This Row],[Ratio_Cout_avant_debut]]</f>
        <v>#VALUE!</v>
      </c>
      <c r="S823" t="str">
        <f ca="1">IFERROR(N823*VLOOKUP(Tab_Calculs[[#This Row],[Colonne1]],Controle_des_données!$B$7:$G$14,6,FALSE),"")</f>
        <v/>
      </c>
      <c r="T823" t="str">
        <f ca="1">IF(Tab_Calculs[[#This Row],[Combustible ]]="Electricité (kWh)",Tab_Calculs[[#This Row],[Conso_mois_kWh]]*2.3,Tab_Calculs[[#This Row],[Conso_mois_kWh]])</f>
        <v/>
      </c>
      <c r="U823" t="str">
        <f ca="1">IFERROR(N823*VLOOKUP(Tab_Calculs[[#This Row],[Colonne1]],Controle_des_données!$B$7:$H$14,7,FALSE),"")</f>
        <v/>
      </c>
      <c r="V823">
        <f ca="1">IFERROR(Tab_Calculs[[#This Row],[Cout_mois]]/Tab_Calculs[[#This Row],[Conso_mois_kWh]],0)</f>
        <v>0</v>
      </c>
      <c r="W823" t="str">
        <f>T(VLOOKUP(Tab_Calculs[[#This Row],[Compteur]],Site!$B$33:$G$40,3,FALSE))</f>
        <v/>
      </c>
      <c r="X823" t="str">
        <f>T(VLOOKUP(Tab_Calculs[[#This Row],[Compteur]],Site!$B$33:$G$40,4,FALSE))</f>
        <v/>
      </c>
      <c r="Y823" t="str">
        <f>T(VLOOKUP(Tab_Calculs[[#This Row],[Compteur]],Site!$B$33:$G$40,5,FALSE))</f>
        <v/>
      </c>
      <c r="Z823" t="str">
        <f>T(VLOOKUP(Tab_Calculs[[#This Row],[Compteur]],Site!$B$33:$G$40,6,FALSE))</f>
        <v/>
      </c>
      <c r="AA823">
        <f>IFERROR(GETPIVOTDATA("DJU(chauffagiste)",BDD_DJU!$P$13,"annee",Tab_Calculs[[#This Row],[ANNEE]],"mois_numero",Tab_Calculs[[#This Row],[MOIS]]),0)</f>
        <v>311.10000000000002</v>
      </c>
    </row>
    <row r="824" spans="1:27" x14ac:dyDescent="0.25">
      <c r="A824" s="3">
        <f>DATE(Tab_Calculs[[#This Row],[ANNEE]],Tab_Calculs[[#This Row],[MOIS]],1)</f>
        <v>41609</v>
      </c>
      <c r="B824" s="3">
        <f>EDATE(Tab_Calculs[[#This Row],[Début mois]],1)-1</f>
        <v>41639</v>
      </c>
      <c r="C824">
        <v>12</v>
      </c>
      <c r="D824">
        <v>2013</v>
      </c>
      <c r="E824" t="s">
        <v>84</v>
      </c>
      <c r="F824" t="str">
        <f>SUBSTITUTE(Tab_Calculs[[#This Row],[Compteur]]," ","_")</f>
        <v>Compteur_5</v>
      </c>
      <c r="G824" t="str">
        <f>T(INDEX(Site!$B$33:$G$40, MATCH(Tab_Calculs[[#This Row],[Compteur]], Site!$B$33:$B$40,0),2))</f>
        <v/>
      </c>
      <c r="H824" s="3">
        <f t="array" aca="1" ref="H824" ca="1">MIN(IF(INDIRECT(CONCATENATE(Tab_Calculs[[#This Row],[Colonne1]],"!$B$2:$B$243"))&gt;=Calculs_Consos!$A824,INDIRECT(CONCATENATE(Tab_Calculs[[#This Row],[Colonne1]],"!$B$2:$B$243"))))</f>
        <v>0</v>
      </c>
      <c r="I824" s="3">
        <f ca="1">INDEX(INDIRECT(CONCATENATE("Tab_",Tab_Calculs[[#This Row],[Colonne1]])),Tab_Calculs[[#This Row],[index_date_livraison]],1)</f>
        <v>0</v>
      </c>
      <c r="J824">
        <f ca="1">MATCH(Tab_Calculs[[#This Row],[Date_livraison]],INDIRECT(CONCATENATE("Tab_",Tab_Calculs[[#This Row],[Colonne1]],"[Fin de période]")),0)</f>
        <v>1</v>
      </c>
      <c r="K824" t="e">
        <f ca="1">INDEX(INDIRECT(CONCATENATE("Tab_",Tab_Calculs[[#This Row],[Colonne1]])),Tab_Calculs[[#This Row],[index_date_livraison]]-1,6)*(MAX(Tab_Calculs[[#This Row],[Début periode livraison]],Tab_Calculs[[#This Row],[Début mois]])-Tab_Calculs[[#This Row],[Début mois]])</f>
        <v>#VALUE!</v>
      </c>
      <c r="L824" s="94">
        <f ca="1">INDEX(INDIRECT(CONCATENATE("Tab_",Tab_Calculs[[#This Row],[Colonne1]])),Tab_Calculs[[#This Row],[index_date_livraison]],6)*(1+MIN(Tab_Calculs[[#This Row],[Date_livraison]],Tab_Calculs[[#This Row],[fin mois]])-MAX(Tab_Calculs[[#This Row],[Début mois]],Tab_Calculs[[#This Row],[Début periode livraison]]))</f>
        <v>0</v>
      </c>
      <c r="M824" s="94" t="e">
        <f ca="1">INDEX(INDIRECT(CONCATENATE("Tab_",Tab_Calculs[[#This Row],[Colonne1]])),Tab_Calculs[[#This Row],[index_date_livraison]]+1,6)*(Tab_Calculs[[#This Row],[fin mois]]-MIN(Tab_Calculs[[#This Row],[fin mois]],Tab_Calculs[[#This Row],[Date_livraison]]))</f>
        <v>#VALUE!</v>
      </c>
      <c r="N824" s="231" t="str">
        <f ca="1">IFERROR(Tab_Calculs[[#This Row],[Ratio_jour_après_livr]]+Tab_Calculs[[#This Row],[Ratio_jour_avant_livr]]+Tab_Calculs[[#This Row],[ratio_avant_debut]],"")</f>
        <v/>
      </c>
      <c r="O824" t="e">
        <f ca="1">INDEX(INDIRECT(CONCATENATE("Tab_",Tab_Calculs[[#This Row],[Colonne1]])),Tab_Calculs[[#This Row],[index_date_livraison]]-1,7)*(MAX(Tab_Calculs[[#This Row],[Début periode livraison]],Tab_Calculs[[#This Row],[Début mois]])-Tab_Calculs[[#This Row],[Début mois]])</f>
        <v>#VALUE!</v>
      </c>
      <c r="P824">
        <f ca="1">INDEX(INDIRECT(CONCATENATE("Tab_",Tab_Calculs[[#This Row],[Colonne1]])),Tab_Calculs[[#This Row],[index_date_livraison]],7)*(1+MIN(Tab_Calculs[[#This Row],[Date_livraison]],Tab_Calculs[[#This Row],[fin mois]])-MAX(Tab_Calculs[[#This Row],[Début mois]],Tab_Calculs[[#This Row],[Début periode livraison]]))</f>
        <v>0</v>
      </c>
      <c r="Q824" t="e">
        <f ca="1">INDEX(INDIRECT(CONCATENATE("Tab_",Tab_Calculs[[#This Row],[Colonne1]])),Tab_Calculs[[#This Row],[index_date_livraison]]+1,7)*(Tab_Calculs[[#This Row],[fin mois]]-MIN(Tab_Calculs[[#This Row],[fin mois]],Tab_Calculs[[#This Row],[Date_livraison]]))</f>
        <v>#VALUE!</v>
      </c>
      <c r="R824" t="e">
        <f ca="1">Tab_Calculs[[#This Row],[Ratio_Cout_après_livr]]+Tab_Calculs[[#This Row],[Ratio_Cout_avant_livr]]+Tab_Calculs[[#This Row],[Ratio_Cout_avant_debut]]</f>
        <v>#VALUE!</v>
      </c>
      <c r="S824" t="str">
        <f ca="1">IFERROR(N824*VLOOKUP(Tab_Calculs[[#This Row],[Colonne1]],Controle_des_données!$B$7:$G$14,6,FALSE),"")</f>
        <v/>
      </c>
      <c r="T824" t="str">
        <f ca="1">IF(Tab_Calculs[[#This Row],[Combustible ]]="Electricité (kWh)",Tab_Calculs[[#This Row],[Conso_mois_kWh]]*2.3,Tab_Calculs[[#This Row],[Conso_mois_kWh]])</f>
        <v/>
      </c>
      <c r="U824" t="str">
        <f ca="1">IFERROR(N824*VLOOKUP(Tab_Calculs[[#This Row],[Colonne1]],Controle_des_données!$B$7:$H$14,7,FALSE),"")</f>
        <v/>
      </c>
      <c r="V824">
        <f ca="1">IFERROR(Tab_Calculs[[#This Row],[Cout_mois]]/Tab_Calculs[[#This Row],[Conso_mois_kWh]],0)</f>
        <v>0</v>
      </c>
      <c r="W824" t="str">
        <f>T(VLOOKUP(Tab_Calculs[[#This Row],[Compteur]],Site!$B$33:$G$40,3,FALSE))</f>
        <v/>
      </c>
      <c r="X824" t="str">
        <f>T(VLOOKUP(Tab_Calculs[[#This Row],[Compteur]],Site!$B$33:$G$40,4,FALSE))</f>
        <v/>
      </c>
      <c r="Y824" t="str">
        <f>T(VLOOKUP(Tab_Calculs[[#This Row],[Compteur]],Site!$B$33:$G$40,5,FALSE))</f>
        <v/>
      </c>
      <c r="Z824" t="str">
        <f>T(VLOOKUP(Tab_Calculs[[#This Row],[Compteur]],Site!$B$33:$G$40,6,FALSE))</f>
        <v/>
      </c>
      <c r="AA824">
        <f>IFERROR(GETPIVOTDATA("DJU(chauffagiste)",BDD_DJU!$P$13,"annee",Tab_Calculs[[#This Row],[ANNEE]],"mois_numero",Tab_Calculs[[#This Row],[MOIS]]),0)</f>
        <v>380.4</v>
      </c>
    </row>
    <row r="825" spans="1:27" x14ac:dyDescent="0.25">
      <c r="A825" s="3">
        <f>DATE(Tab_Calculs[[#This Row],[ANNEE]],Tab_Calculs[[#This Row],[MOIS]],1)</f>
        <v>41640</v>
      </c>
      <c r="B825" s="3">
        <f>EDATE(Tab_Calculs[[#This Row],[Début mois]],1)-1</f>
        <v>41670</v>
      </c>
      <c r="C825">
        <v>1</v>
      </c>
      <c r="D825">
        <v>2014</v>
      </c>
      <c r="E825" t="s">
        <v>84</v>
      </c>
      <c r="F825" t="str">
        <f>SUBSTITUTE(Tab_Calculs[[#This Row],[Compteur]]," ","_")</f>
        <v>Compteur_5</v>
      </c>
      <c r="G825" t="str">
        <f>T(INDEX(Site!$B$33:$G$40, MATCH(Tab_Calculs[[#This Row],[Compteur]], Site!$B$33:$B$40,0),2))</f>
        <v/>
      </c>
      <c r="H825" s="3">
        <f t="array" aca="1" ref="H825" ca="1">MIN(IF(INDIRECT(CONCATENATE(Tab_Calculs[[#This Row],[Colonne1]],"!$B$2:$B$243"))&gt;=Calculs_Consos!$A825,INDIRECT(CONCATENATE(Tab_Calculs[[#This Row],[Colonne1]],"!$B$2:$B$243"))))</f>
        <v>0</v>
      </c>
      <c r="I825" s="3">
        <f ca="1">INDEX(INDIRECT(CONCATENATE("Tab_",Tab_Calculs[[#This Row],[Colonne1]])),Tab_Calculs[[#This Row],[index_date_livraison]],1)</f>
        <v>0</v>
      </c>
      <c r="J825">
        <f ca="1">MATCH(Tab_Calculs[[#This Row],[Date_livraison]],INDIRECT(CONCATENATE("Tab_",Tab_Calculs[[#This Row],[Colonne1]],"[Fin de période]")),0)</f>
        <v>1</v>
      </c>
      <c r="K825" t="e">
        <f ca="1">INDEX(INDIRECT(CONCATENATE("Tab_",Tab_Calculs[[#This Row],[Colonne1]])),Tab_Calculs[[#This Row],[index_date_livraison]]-1,6)*(MAX(Tab_Calculs[[#This Row],[Début periode livraison]],Tab_Calculs[[#This Row],[Début mois]])-Tab_Calculs[[#This Row],[Début mois]])</f>
        <v>#VALUE!</v>
      </c>
      <c r="L825" s="94">
        <f ca="1">INDEX(INDIRECT(CONCATENATE("Tab_",Tab_Calculs[[#This Row],[Colonne1]])),Tab_Calculs[[#This Row],[index_date_livraison]],6)*(1+MIN(Tab_Calculs[[#This Row],[Date_livraison]],Tab_Calculs[[#This Row],[fin mois]])-MAX(Tab_Calculs[[#This Row],[Début mois]],Tab_Calculs[[#This Row],[Début periode livraison]]))</f>
        <v>0</v>
      </c>
      <c r="M825" s="94" t="e">
        <f ca="1">INDEX(INDIRECT(CONCATENATE("Tab_",Tab_Calculs[[#This Row],[Colonne1]])),Tab_Calculs[[#This Row],[index_date_livraison]]+1,6)*(Tab_Calculs[[#This Row],[fin mois]]-MIN(Tab_Calculs[[#This Row],[fin mois]],Tab_Calculs[[#This Row],[Date_livraison]]))</f>
        <v>#VALUE!</v>
      </c>
      <c r="N825" s="231" t="str">
        <f ca="1">IFERROR(Tab_Calculs[[#This Row],[Ratio_jour_après_livr]]+Tab_Calculs[[#This Row],[Ratio_jour_avant_livr]]+Tab_Calculs[[#This Row],[ratio_avant_debut]],"")</f>
        <v/>
      </c>
      <c r="O825" t="e">
        <f ca="1">INDEX(INDIRECT(CONCATENATE("Tab_",Tab_Calculs[[#This Row],[Colonne1]])),Tab_Calculs[[#This Row],[index_date_livraison]]-1,7)*(MAX(Tab_Calculs[[#This Row],[Début periode livraison]],Tab_Calculs[[#This Row],[Début mois]])-Tab_Calculs[[#This Row],[Début mois]])</f>
        <v>#VALUE!</v>
      </c>
      <c r="P825">
        <f ca="1">INDEX(INDIRECT(CONCATENATE("Tab_",Tab_Calculs[[#This Row],[Colonne1]])),Tab_Calculs[[#This Row],[index_date_livraison]],7)*(1+MIN(Tab_Calculs[[#This Row],[Date_livraison]],Tab_Calculs[[#This Row],[fin mois]])-MAX(Tab_Calculs[[#This Row],[Début mois]],Tab_Calculs[[#This Row],[Début periode livraison]]))</f>
        <v>0</v>
      </c>
      <c r="Q825" t="e">
        <f ca="1">INDEX(INDIRECT(CONCATENATE("Tab_",Tab_Calculs[[#This Row],[Colonne1]])),Tab_Calculs[[#This Row],[index_date_livraison]]+1,7)*(Tab_Calculs[[#This Row],[fin mois]]-MIN(Tab_Calculs[[#This Row],[fin mois]],Tab_Calculs[[#This Row],[Date_livraison]]))</f>
        <v>#VALUE!</v>
      </c>
      <c r="R825" t="e">
        <f ca="1">Tab_Calculs[[#This Row],[Ratio_Cout_après_livr]]+Tab_Calculs[[#This Row],[Ratio_Cout_avant_livr]]+Tab_Calculs[[#This Row],[Ratio_Cout_avant_debut]]</f>
        <v>#VALUE!</v>
      </c>
      <c r="S825" t="str">
        <f ca="1">IFERROR(N825*VLOOKUP(Tab_Calculs[[#This Row],[Colonne1]],Controle_des_données!$B$7:$G$14,6,FALSE),"")</f>
        <v/>
      </c>
      <c r="T825" t="str">
        <f ca="1">IF(Tab_Calculs[[#This Row],[Combustible ]]="Electricité (kWh)",Tab_Calculs[[#This Row],[Conso_mois_kWh]]*2.3,Tab_Calculs[[#This Row],[Conso_mois_kWh]])</f>
        <v/>
      </c>
      <c r="U825" t="str">
        <f ca="1">IFERROR(N825*VLOOKUP(Tab_Calculs[[#This Row],[Colonne1]],Controle_des_données!$B$7:$H$14,7,FALSE),"")</f>
        <v/>
      </c>
      <c r="V825">
        <f ca="1">IFERROR(Tab_Calculs[[#This Row],[Cout_mois]]/Tab_Calculs[[#This Row],[Conso_mois_kWh]],0)</f>
        <v>0</v>
      </c>
      <c r="W825" t="str">
        <f>T(VLOOKUP(Tab_Calculs[[#This Row],[Compteur]],Site!$B$33:$G$40,3,FALSE))</f>
        <v/>
      </c>
      <c r="X825" t="str">
        <f>T(VLOOKUP(Tab_Calculs[[#This Row],[Compteur]],Site!$B$33:$G$40,4,FALSE))</f>
        <v/>
      </c>
      <c r="Y825" t="str">
        <f>T(VLOOKUP(Tab_Calculs[[#This Row],[Compteur]],Site!$B$33:$G$40,5,FALSE))</f>
        <v/>
      </c>
      <c r="Z825" t="str">
        <f>T(VLOOKUP(Tab_Calculs[[#This Row],[Compteur]],Site!$B$33:$G$40,6,FALSE))</f>
        <v/>
      </c>
      <c r="AA825">
        <f>IFERROR(GETPIVOTDATA("DJU(chauffagiste)",BDD_DJU!$P$13,"annee",Tab_Calculs[[#This Row],[ANNEE]],"mois_numero",Tab_Calculs[[#This Row],[MOIS]]),0)</f>
        <v>320.5</v>
      </c>
    </row>
    <row r="826" spans="1:27" x14ac:dyDescent="0.25">
      <c r="A826" s="3">
        <f>DATE(Tab_Calculs[[#This Row],[ANNEE]],Tab_Calculs[[#This Row],[MOIS]],1)</f>
        <v>41671</v>
      </c>
      <c r="B826" s="3">
        <f>EDATE(Tab_Calculs[[#This Row],[Début mois]],1)-1</f>
        <v>41698</v>
      </c>
      <c r="C826">
        <v>2</v>
      </c>
      <c r="D826">
        <v>2014</v>
      </c>
      <c r="E826" t="s">
        <v>84</v>
      </c>
      <c r="F826" t="str">
        <f>SUBSTITUTE(Tab_Calculs[[#This Row],[Compteur]]," ","_")</f>
        <v>Compteur_5</v>
      </c>
      <c r="G826" t="str">
        <f>T(INDEX(Site!$B$33:$G$40, MATCH(Tab_Calculs[[#This Row],[Compteur]], Site!$B$33:$B$40,0),2))</f>
        <v/>
      </c>
      <c r="H826" s="3">
        <f t="array" aca="1" ref="H826" ca="1">MIN(IF(INDIRECT(CONCATENATE(Tab_Calculs[[#This Row],[Colonne1]],"!$B$2:$B$243"))&gt;=Calculs_Consos!$A826,INDIRECT(CONCATENATE(Tab_Calculs[[#This Row],[Colonne1]],"!$B$2:$B$243"))))</f>
        <v>0</v>
      </c>
      <c r="I826" s="3">
        <f ca="1">INDEX(INDIRECT(CONCATENATE("Tab_",Tab_Calculs[[#This Row],[Colonne1]])),Tab_Calculs[[#This Row],[index_date_livraison]],1)</f>
        <v>0</v>
      </c>
      <c r="J826">
        <f ca="1">MATCH(Tab_Calculs[[#This Row],[Date_livraison]],INDIRECT(CONCATENATE("Tab_",Tab_Calculs[[#This Row],[Colonne1]],"[Fin de période]")),0)</f>
        <v>1</v>
      </c>
      <c r="K826" t="e">
        <f ca="1">INDEX(INDIRECT(CONCATENATE("Tab_",Tab_Calculs[[#This Row],[Colonne1]])),Tab_Calculs[[#This Row],[index_date_livraison]]-1,6)*(MAX(Tab_Calculs[[#This Row],[Début periode livraison]],Tab_Calculs[[#This Row],[Début mois]])-Tab_Calculs[[#This Row],[Début mois]])</f>
        <v>#VALUE!</v>
      </c>
      <c r="L826" s="94">
        <f ca="1">INDEX(INDIRECT(CONCATENATE("Tab_",Tab_Calculs[[#This Row],[Colonne1]])),Tab_Calculs[[#This Row],[index_date_livraison]],6)*(1+MIN(Tab_Calculs[[#This Row],[Date_livraison]],Tab_Calculs[[#This Row],[fin mois]])-MAX(Tab_Calculs[[#This Row],[Début mois]],Tab_Calculs[[#This Row],[Début periode livraison]]))</f>
        <v>0</v>
      </c>
      <c r="M826" s="94" t="e">
        <f ca="1">INDEX(INDIRECT(CONCATENATE("Tab_",Tab_Calculs[[#This Row],[Colonne1]])),Tab_Calculs[[#This Row],[index_date_livraison]]+1,6)*(Tab_Calculs[[#This Row],[fin mois]]-MIN(Tab_Calculs[[#This Row],[fin mois]],Tab_Calculs[[#This Row],[Date_livraison]]))</f>
        <v>#VALUE!</v>
      </c>
      <c r="N826" s="231" t="str">
        <f ca="1">IFERROR(Tab_Calculs[[#This Row],[Ratio_jour_après_livr]]+Tab_Calculs[[#This Row],[Ratio_jour_avant_livr]]+Tab_Calculs[[#This Row],[ratio_avant_debut]],"")</f>
        <v/>
      </c>
      <c r="O826" t="e">
        <f ca="1">INDEX(INDIRECT(CONCATENATE("Tab_",Tab_Calculs[[#This Row],[Colonne1]])),Tab_Calculs[[#This Row],[index_date_livraison]]-1,7)*(MAX(Tab_Calculs[[#This Row],[Début periode livraison]],Tab_Calculs[[#This Row],[Début mois]])-Tab_Calculs[[#This Row],[Début mois]])</f>
        <v>#VALUE!</v>
      </c>
      <c r="P826">
        <f ca="1">INDEX(INDIRECT(CONCATENATE("Tab_",Tab_Calculs[[#This Row],[Colonne1]])),Tab_Calculs[[#This Row],[index_date_livraison]],7)*(1+MIN(Tab_Calculs[[#This Row],[Date_livraison]],Tab_Calculs[[#This Row],[fin mois]])-MAX(Tab_Calculs[[#This Row],[Début mois]],Tab_Calculs[[#This Row],[Début periode livraison]]))</f>
        <v>0</v>
      </c>
      <c r="Q826" t="e">
        <f ca="1">INDEX(INDIRECT(CONCATENATE("Tab_",Tab_Calculs[[#This Row],[Colonne1]])),Tab_Calculs[[#This Row],[index_date_livraison]]+1,7)*(Tab_Calculs[[#This Row],[fin mois]]-MIN(Tab_Calculs[[#This Row],[fin mois]],Tab_Calculs[[#This Row],[Date_livraison]]))</f>
        <v>#VALUE!</v>
      </c>
      <c r="R826" t="e">
        <f ca="1">Tab_Calculs[[#This Row],[Ratio_Cout_après_livr]]+Tab_Calculs[[#This Row],[Ratio_Cout_avant_livr]]+Tab_Calculs[[#This Row],[Ratio_Cout_avant_debut]]</f>
        <v>#VALUE!</v>
      </c>
      <c r="S826" t="str">
        <f ca="1">IFERROR(N826*VLOOKUP(Tab_Calculs[[#This Row],[Colonne1]],Controle_des_données!$B$7:$G$14,6,FALSE),"")</f>
        <v/>
      </c>
      <c r="T826" t="str">
        <f ca="1">IF(Tab_Calculs[[#This Row],[Combustible ]]="Electricité (kWh)",Tab_Calculs[[#This Row],[Conso_mois_kWh]]*2.3,Tab_Calculs[[#This Row],[Conso_mois_kWh]])</f>
        <v/>
      </c>
      <c r="U826" t="str">
        <f ca="1">IFERROR(N826*VLOOKUP(Tab_Calculs[[#This Row],[Colonne1]],Controle_des_données!$B$7:$H$14,7,FALSE),"")</f>
        <v/>
      </c>
      <c r="V826">
        <f ca="1">IFERROR(Tab_Calculs[[#This Row],[Cout_mois]]/Tab_Calculs[[#This Row],[Conso_mois_kWh]],0)</f>
        <v>0</v>
      </c>
      <c r="W826" t="str">
        <f>T(VLOOKUP(Tab_Calculs[[#This Row],[Compteur]],Site!$B$33:$G$40,3,FALSE))</f>
        <v/>
      </c>
      <c r="X826" t="str">
        <f>T(VLOOKUP(Tab_Calculs[[#This Row],[Compteur]],Site!$B$33:$G$40,4,FALSE))</f>
        <v/>
      </c>
      <c r="Y826" t="str">
        <f>T(VLOOKUP(Tab_Calculs[[#This Row],[Compteur]],Site!$B$33:$G$40,5,FALSE))</f>
        <v/>
      </c>
      <c r="Z826" t="str">
        <f>T(VLOOKUP(Tab_Calculs[[#This Row],[Compteur]],Site!$B$33:$G$40,6,FALSE))</f>
        <v/>
      </c>
      <c r="AA826">
        <f>IFERROR(GETPIVOTDATA("DJU(chauffagiste)",BDD_DJU!$P$13,"annee",Tab_Calculs[[#This Row],[ANNEE]],"mois_numero",Tab_Calculs[[#This Row],[MOIS]]),0)</f>
        <v>281.3</v>
      </c>
    </row>
    <row r="827" spans="1:27" x14ac:dyDescent="0.25">
      <c r="A827" s="3">
        <f>DATE(Tab_Calculs[[#This Row],[ANNEE]],Tab_Calculs[[#This Row],[MOIS]],1)</f>
        <v>41699</v>
      </c>
      <c r="B827" s="3">
        <f>EDATE(Tab_Calculs[[#This Row],[Début mois]],1)-1</f>
        <v>41729</v>
      </c>
      <c r="C827">
        <v>3</v>
      </c>
      <c r="D827">
        <v>2014</v>
      </c>
      <c r="E827" t="s">
        <v>84</v>
      </c>
      <c r="F827" t="str">
        <f>SUBSTITUTE(Tab_Calculs[[#This Row],[Compteur]]," ","_")</f>
        <v>Compteur_5</v>
      </c>
      <c r="G827" t="str">
        <f>T(INDEX(Site!$B$33:$G$40, MATCH(Tab_Calculs[[#This Row],[Compteur]], Site!$B$33:$B$40,0),2))</f>
        <v/>
      </c>
      <c r="H827" s="3">
        <f t="array" aca="1" ref="H827" ca="1">MIN(IF(INDIRECT(CONCATENATE(Tab_Calculs[[#This Row],[Colonne1]],"!$B$2:$B$243"))&gt;=Calculs_Consos!$A827,INDIRECT(CONCATENATE(Tab_Calculs[[#This Row],[Colonne1]],"!$B$2:$B$243"))))</f>
        <v>0</v>
      </c>
      <c r="I827" s="3">
        <f ca="1">INDEX(INDIRECT(CONCATENATE("Tab_",Tab_Calculs[[#This Row],[Colonne1]])),Tab_Calculs[[#This Row],[index_date_livraison]],1)</f>
        <v>0</v>
      </c>
      <c r="J827">
        <f ca="1">MATCH(Tab_Calculs[[#This Row],[Date_livraison]],INDIRECT(CONCATENATE("Tab_",Tab_Calculs[[#This Row],[Colonne1]],"[Fin de période]")),0)</f>
        <v>1</v>
      </c>
      <c r="K827" t="e">
        <f ca="1">INDEX(INDIRECT(CONCATENATE("Tab_",Tab_Calculs[[#This Row],[Colonne1]])),Tab_Calculs[[#This Row],[index_date_livraison]]-1,6)*(MAX(Tab_Calculs[[#This Row],[Début periode livraison]],Tab_Calculs[[#This Row],[Début mois]])-Tab_Calculs[[#This Row],[Début mois]])</f>
        <v>#VALUE!</v>
      </c>
      <c r="L827" s="94">
        <f ca="1">INDEX(INDIRECT(CONCATENATE("Tab_",Tab_Calculs[[#This Row],[Colonne1]])),Tab_Calculs[[#This Row],[index_date_livraison]],6)*(1+MIN(Tab_Calculs[[#This Row],[Date_livraison]],Tab_Calculs[[#This Row],[fin mois]])-MAX(Tab_Calculs[[#This Row],[Début mois]],Tab_Calculs[[#This Row],[Début periode livraison]]))</f>
        <v>0</v>
      </c>
      <c r="M827" s="94" t="e">
        <f ca="1">INDEX(INDIRECT(CONCATENATE("Tab_",Tab_Calculs[[#This Row],[Colonne1]])),Tab_Calculs[[#This Row],[index_date_livraison]]+1,6)*(Tab_Calculs[[#This Row],[fin mois]]-MIN(Tab_Calculs[[#This Row],[fin mois]],Tab_Calculs[[#This Row],[Date_livraison]]))</f>
        <v>#VALUE!</v>
      </c>
      <c r="N827" s="231" t="str">
        <f ca="1">IFERROR(Tab_Calculs[[#This Row],[Ratio_jour_après_livr]]+Tab_Calculs[[#This Row],[Ratio_jour_avant_livr]]+Tab_Calculs[[#This Row],[ratio_avant_debut]],"")</f>
        <v/>
      </c>
      <c r="O827" t="e">
        <f ca="1">INDEX(INDIRECT(CONCATENATE("Tab_",Tab_Calculs[[#This Row],[Colonne1]])),Tab_Calculs[[#This Row],[index_date_livraison]]-1,7)*(MAX(Tab_Calculs[[#This Row],[Début periode livraison]],Tab_Calculs[[#This Row],[Début mois]])-Tab_Calculs[[#This Row],[Début mois]])</f>
        <v>#VALUE!</v>
      </c>
      <c r="P827">
        <f ca="1">INDEX(INDIRECT(CONCATENATE("Tab_",Tab_Calculs[[#This Row],[Colonne1]])),Tab_Calculs[[#This Row],[index_date_livraison]],7)*(1+MIN(Tab_Calculs[[#This Row],[Date_livraison]],Tab_Calculs[[#This Row],[fin mois]])-MAX(Tab_Calculs[[#This Row],[Début mois]],Tab_Calculs[[#This Row],[Début periode livraison]]))</f>
        <v>0</v>
      </c>
      <c r="Q827" t="e">
        <f ca="1">INDEX(INDIRECT(CONCATENATE("Tab_",Tab_Calculs[[#This Row],[Colonne1]])),Tab_Calculs[[#This Row],[index_date_livraison]]+1,7)*(Tab_Calculs[[#This Row],[fin mois]]-MIN(Tab_Calculs[[#This Row],[fin mois]],Tab_Calculs[[#This Row],[Date_livraison]]))</f>
        <v>#VALUE!</v>
      </c>
      <c r="R827" t="e">
        <f ca="1">Tab_Calculs[[#This Row],[Ratio_Cout_après_livr]]+Tab_Calculs[[#This Row],[Ratio_Cout_avant_livr]]+Tab_Calculs[[#This Row],[Ratio_Cout_avant_debut]]</f>
        <v>#VALUE!</v>
      </c>
      <c r="S827" t="str">
        <f ca="1">IFERROR(N827*VLOOKUP(Tab_Calculs[[#This Row],[Colonne1]],Controle_des_données!$B$7:$G$14,6,FALSE),"")</f>
        <v/>
      </c>
      <c r="T827" t="str">
        <f ca="1">IF(Tab_Calculs[[#This Row],[Combustible ]]="Electricité (kWh)",Tab_Calculs[[#This Row],[Conso_mois_kWh]]*2.3,Tab_Calculs[[#This Row],[Conso_mois_kWh]])</f>
        <v/>
      </c>
      <c r="U827" t="str">
        <f ca="1">IFERROR(N827*VLOOKUP(Tab_Calculs[[#This Row],[Colonne1]],Controle_des_données!$B$7:$H$14,7,FALSE),"")</f>
        <v/>
      </c>
      <c r="V827">
        <f ca="1">IFERROR(Tab_Calculs[[#This Row],[Cout_mois]]/Tab_Calculs[[#This Row],[Conso_mois_kWh]],0)</f>
        <v>0</v>
      </c>
      <c r="W827" t="str">
        <f>T(VLOOKUP(Tab_Calculs[[#This Row],[Compteur]],Site!$B$33:$G$40,3,FALSE))</f>
        <v/>
      </c>
      <c r="X827" t="str">
        <f>T(VLOOKUP(Tab_Calculs[[#This Row],[Compteur]],Site!$B$33:$G$40,4,FALSE))</f>
        <v/>
      </c>
      <c r="Y827" t="str">
        <f>T(VLOOKUP(Tab_Calculs[[#This Row],[Compteur]],Site!$B$33:$G$40,5,FALSE))</f>
        <v/>
      </c>
      <c r="Z827" t="str">
        <f>T(VLOOKUP(Tab_Calculs[[#This Row],[Compteur]],Site!$B$33:$G$40,6,FALSE))</f>
        <v/>
      </c>
      <c r="AA827">
        <f>IFERROR(GETPIVOTDATA("DJU(chauffagiste)",BDD_DJU!$P$13,"annee",Tab_Calculs[[#This Row],[ANNEE]],"mois_numero",Tab_Calculs[[#This Row],[MOIS]]),0)</f>
        <v>263.89999999999998</v>
      </c>
    </row>
    <row r="828" spans="1:27" x14ac:dyDescent="0.25">
      <c r="A828" s="3">
        <f>DATE(Tab_Calculs[[#This Row],[ANNEE]],Tab_Calculs[[#This Row],[MOIS]],1)</f>
        <v>41730</v>
      </c>
      <c r="B828" s="3">
        <f>EDATE(Tab_Calculs[[#This Row],[Début mois]],1)-1</f>
        <v>41759</v>
      </c>
      <c r="C828">
        <v>4</v>
      </c>
      <c r="D828">
        <v>2014</v>
      </c>
      <c r="E828" t="s">
        <v>84</v>
      </c>
      <c r="F828" t="str">
        <f>SUBSTITUTE(Tab_Calculs[[#This Row],[Compteur]]," ","_")</f>
        <v>Compteur_5</v>
      </c>
      <c r="G828" t="str">
        <f>T(INDEX(Site!$B$33:$G$40, MATCH(Tab_Calculs[[#This Row],[Compteur]], Site!$B$33:$B$40,0),2))</f>
        <v/>
      </c>
      <c r="H828" s="3">
        <f t="array" aca="1" ref="H828" ca="1">MIN(IF(INDIRECT(CONCATENATE(Tab_Calculs[[#This Row],[Colonne1]],"!$B$2:$B$243"))&gt;=Calculs_Consos!$A828,INDIRECT(CONCATENATE(Tab_Calculs[[#This Row],[Colonne1]],"!$B$2:$B$243"))))</f>
        <v>0</v>
      </c>
      <c r="I828" s="3">
        <f ca="1">INDEX(INDIRECT(CONCATENATE("Tab_",Tab_Calculs[[#This Row],[Colonne1]])),Tab_Calculs[[#This Row],[index_date_livraison]],1)</f>
        <v>0</v>
      </c>
      <c r="J828">
        <f ca="1">MATCH(Tab_Calculs[[#This Row],[Date_livraison]],INDIRECT(CONCATENATE("Tab_",Tab_Calculs[[#This Row],[Colonne1]],"[Fin de période]")),0)</f>
        <v>1</v>
      </c>
      <c r="K828" t="e">
        <f ca="1">INDEX(INDIRECT(CONCATENATE("Tab_",Tab_Calculs[[#This Row],[Colonne1]])),Tab_Calculs[[#This Row],[index_date_livraison]]-1,6)*(MAX(Tab_Calculs[[#This Row],[Début periode livraison]],Tab_Calculs[[#This Row],[Début mois]])-Tab_Calculs[[#This Row],[Début mois]])</f>
        <v>#VALUE!</v>
      </c>
      <c r="L828" s="94">
        <f ca="1">INDEX(INDIRECT(CONCATENATE("Tab_",Tab_Calculs[[#This Row],[Colonne1]])),Tab_Calculs[[#This Row],[index_date_livraison]],6)*(1+MIN(Tab_Calculs[[#This Row],[Date_livraison]],Tab_Calculs[[#This Row],[fin mois]])-MAX(Tab_Calculs[[#This Row],[Début mois]],Tab_Calculs[[#This Row],[Début periode livraison]]))</f>
        <v>0</v>
      </c>
      <c r="M828" s="94" t="e">
        <f ca="1">INDEX(INDIRECT(CONCATENATE("Tab_",Tab_Calculs[[#This Row],[Colonne1]])),Tab_Calculs[[#This Row],[index_date_livraison]]+1,6)*(Tab_Calculs[[#This Row],[fin mois]]-MIN(Tab_Calculs[[#This Row],[fin mois]],Tab_Calculs[[#This Row],[Date_livraison]]))</f>
        <v>#VALUE!</v>
      </c>
      <c r="N828" s="231" t="str">
        <f ca="1">IFERROR(Tab_Calculs[[#This Row],[Ratio_jour_après_livr]]+Tab_Calculs[[#This Row],[Ratio_jour_avant_livr]]+Tab_Calculs[[#This Row],[ratio_avant_debut]],"")</f>
        <v/>
      </c>
      <c r="O828" t="e">
        <f ca="1">INDEX(INDIRECT(CONCATENATE("Tab_",Tab_Calculs[[#This Row],[Colonne1]])),Tab_Calculs[[#This Row],[index_date_livraison]]-1,7)*(MAX(Tab_Calculs[[#This Row],[Début periode livraison]],Tab_Calculs[[#This Row],[Début mois]])-Tab_Calculs[[#This Row],[Début mois]])</f>
        <v>#VALUE!</v>
      </c>
      <c r="P828">
        <f ca="1">INDEX(INDIRECT(CONCATENATE("Tab_",Tab_Calculs[[#This Row],[Colonne1]])),Tab_Calculs[[#This Row],[index_date_livraison]],7)*(1+MIN(Tab_Calculs[[#This Row],[Date_livraison]],Tab_Calculs[[#This Row],[fin mois]])-MAX(Tab_Calculs[[#This Row],[Début mois]],Tab_Calculs[[#This Row],[Début periode livraison]]))</f>
        <v>0</v>
      </c>
      <c r="Q828" t="e">
        <f ca="1">INDEX(INDIRECT(CONCATENATE("Tab_",Tab_Calculs[[#This Row],[Colonne1]])),Tab_Calculs[[#This Row],[index_date_livraison]]+1,7)*(Tab_Calculs[[#This Row],[fin mois]]-MIN(Tab_Calculs[[#This Row],[fin mois]],Tab_Calculs[[#This Row],[Date_livraison]]))</f>
        <v>#VALUE!</v>
      </c>
      <c r="R828" t="e">
        <f ca="1">Tab_Calculs[[#This Row],[Ratio_Cout_après_livr]]+Tab_Calculs[[#This Row],[Ratio_Cout_avant_livr]]+Tab_Calculs[[#This Row],[Ratio_Cout_avant_debut]]</f>
        <v>#VALUE!</v>
      </c>
      <c r="S828" t="str">
        <f ca="1">IFERROR(N828*VLOOKUP(Tab_Calculs[[#This Row],[Colonne1]],Controle_des_données!$B$7:$G$14,6,FALSE),"")</f>
        <v/>
      </c>
      <c r="T828" t="str">
        <f ca="1">IF(Tab_Calculs[[#This Row],[Combustible ]]="Electricité (kWh)",Tab_Calculs[[#This Row],[Conso_mois_kWh]]*2.3,Tab_Calculs[[#This Row],[Conso_mois_kWh]])</f>
        <v/>
      </c>
      <c r="U828" t="str">
        <f ca="1">IFERROR(N828*VLOOKUP(Tab_Calculs[[#This Row],[Colonne1]],Controle_des_données!$B$7:$H$14,7,FALSE),"")</f>
        <v/>
      </c>
      <c r="V828">
        <f ca="1">IFERROR(Tab_Calculs[[#This Row],[Cout_mois]]/Tab_Calculs[[#This Row],[Conso_mois_kWh]],0)</f>
        <v>0</v>
      </c>
      <c r="W828" t="str">
        <f>T(VLOOKUP(Tab_Calculs[[#This Row],[Compteur]],Site!$B$33:$G$40,3,FALSE))</f>
        <v/>
      </c>
      <c r="X828" t="str">
        <f>T(VLOOKUP(Tab_Calculs[[#This Row],[Compteur]],Site!$B$33:$G$40,4,FALSE))</f>
        <v/>
      </c>
      <c r="Y828" t="str">
        <f>T(VLOOKUP(Tab_Calculs[[#This Row],[Compteur]],Site!$B$33:$G$40,5,FALSE))</f>
        <v/>
      </c>
      <c r="Z828" t="str">
        <f>T(VLOOKUP(Tab_Calculs[[#This Row],[Compteur]],Site!$B$33:$G$40,6,FALSE))</f>
        <v/>
      </c>
      <c r="AA828">
        <f>IFERROR(GETPIVOTDATA("DJU(chauffagiste)",BDD_DJU!$P$13,"annee",Tab_Calculs[[#This Row],[ANNEE]],"mois_numero",Tab_Calculs[[#This Row],[MOIS]]),0)</f>
        <v>174.2</v>
      </c>
    </row>
    <row r="829" spans="1:27" x14ac:dyDescent="0.25">
      <c r="A829" s="3">
        <f>DATE(Tab_Calculs[[#This Row],[ANNEE]],Tab_Calculs[[#This Row],[MOIS]],1)</f>
        <v>41760</v>
      </c>
      <c r="B829" s="3">
        <f>EDATE(Tab_Calculs[[#This Row],[Début mois]],1)-1</f>
        <v>41790</v>
      </c>
      <c r="C829">
        <v>5</v>
      </c>
      <c r="D829">
        <v>2014</v>
      </c>
      <c r="E829" t="s">
        <v>84</v>
      </c>
      <c r="F829" t="str">
        <f>SUBSTITUTE(Tab_Calculs[[#This Row],[Compteur]]," ","_")</f>
        <v>Compteur_5</v>
      </c>
      <c r="G829" t="str">
        <f>T(INDEX(Site!$B$33:$G$40, MATCH(Tab_Calculs[[#This Row],[Compteur]], Site!$B$33:$B$40,0),2))</f>
        <v/>
      </c>
      <c r="H829" s="3">
        <f t="array" aca="1" ref="H829" ca="1">MIN(IF(INDIRECT(CONCATENATE(Tab_Calculs[[#This Row],[Colonne1]],"!$B$2:$B$243"))&gt;=Calculs_Consos!$A829,INDIRECT(CONCATENATE(Tab_Calculs[[#This Row],[Colonne1]],"!$B$2:$B$243"))))</f>
        <v>0</v>
      </c>
      <c r="I829" s="3">
        <f ca="1">INDEX(INDIRECT(CONCATENATE("Tab_",Tab_Calculs[[#This Row],[Colonne1]])),Tab_Calculs[[#This Row],[index_date_livraison]],1)</f>
        <v>0</v>
      </c>
      <c r="J829">
        <f ca="1">MATCH(Tab_Calculs[[#This Row],[Date_livraison]],INDIRECT(CONCATENATE("Tab_",Tab_Calculs[[#This Row],[Colonne1]],"[Fin de période]")),0)</f>
        <v>1</v>
      </c>
      <c r="K829" t="e">
        <f ca="1">INDEX(INDIRECT(CONCATENATE("Tab_",Tab_Calculs[[#This Row],[Colonne1]])),Tab_Calculs[[#This Row],[index_date_livraison]]-1,6)*(MAX(Tab_Calculs[[#This Row],[Début periode livraison]],Tab_Calculs[[#This Row],[Début mois]])-Tab_Calculs[[#This Row],[Début mois]])</f>
        <v>#VALUE!</v>
      </c>
      <c r="L829" s="94">
        <f ca="1">INDEX(INDIRECT(CONCATENATE("Tab_",Tab_Calculs[[#This Row],[Colonne1]])),Tab_Calculs[[#This Row],[index_date_livraison]],6)*(1+MIN(Tab_Calculs[[#This Row],[Date_livraison]],Tab_Calculs[[#This Row],[fin mois]])-MAX(Tab_Calculs[[#This Row],[Début mois]],Tab_Calculs[[#This Row],[Début periode livraison]]))</f>
        <v>0</v>
      </c>
      <c r="M829" s="94" t="e">
        <f ca="1">INDEX(INDIRECT(CONCATENATE("Tab_",Tab_Calculs[[#This Row],[Colonne1]])),Tab_Calculs[[#This Row],[index_date_livraison]]+1,6)*(Tab_Calculs[[#This Row],[fin mois]]-MIN(Tab_Calculs[[#This Row],[fin mois]],Tab_Calculs[[#This Row],[Date_livraison]]))</f>
        <v>#VALUE!</v>
      </c>
      <c r="N829" s="231" t="str">
        <f ca="1">IFERROR(Tab_Calculs[[#This Row],[Ratio_jour_après_livr]]+Tab_Calculs[[#This Row],[Ratio_jour_avant_livr]]+Tab_Calculs[[#This Row],[ratio_avant_debut]],"")</f>
        <v/>
      </c>
      <c r="O829" t="e">
        <f ca="1">INDEX(INDIRECT(CONCATENATE("Tab_",Tab_Calculs[[#This Row],[Colonne1]])),Tab_Calculs[[#This Row],[index_date_livraison]]-1,7)*(MAX(Tab_Calculs[[#This Row],[Début periode livraison]],Tab_Calculs[[#This Row],[Début mois]])-Tab_Calculs[[#This Row],[Début mois]])</f>
        <v>#VALUE!</v>
      </c>
      <c r="P829">
        <f ca="1">INDEX(INDIRECT(CONCATENATE("Tab_",Tab_Calculs[[#This Row],[Colonne1]])),Tab_Calculs[[#This Row],[index_date_livraison]],7)*(1+MIN(Tab_Calculs[[#This Row],[Date_livraison]],Tab_Calculs[[#This Row],[fin mois]])-MAX(Tab_Calculs[[#This Row],[Début mois]],Tab_Calculs[[#This Row],[Début periode livraison]]))</f>
        <v>0</v>
      </c>
      <c r="Q829" t="e">
        <f ca="1">INDEX(INDIRECT(CONCATENATE("Tab_",Tab_Calculs[[#This Row],[Colonne1]])),Tab_Calculs[[#This Row],[index_date_livraison]]+1,7)*(Tab_Calculs[[#This Row],[fin mois]]-MIN(Tab_Calculs[[#This Row],[fin mois]],Tab_Calculs[[#This Row],[Date_livraison]]))</f>
        <v>#VALUE!</v>
      </c>
      <c r="R829" t="e">
        <f ca="1">Tab_Calculs[[#This Row],[Ratio_Cout_après_livr]]+Tab_Calculs[[#This Row],[Ratio_Cout_avant_livr]]+Tab_Calculs[[#This Row],[Ratio_Cout_avant_debut]]</f>
        <v>#VALUE!</v>
      </c>
      <c r="S829" t="str">
        <f ca="1">IFERROR(N829*VLOOKUP(Tab_Calculs[[#This Row],[Colonne1]],Controle_des_données!$B$7:$G$14,6,FALSE),"")</f>
        <v/>
      </c>
      <c r="T829" t="str">
        <f ca="1">IF(Tab_Calculs[[#This Row],[Combustible ]]="Electricité (kWh)",Tab_Calculs[[#This Row],[Conso_mois_kWh]]*2.3,Tab_Calculs[[#This Row],[Conso_mois_kWh]])</f>
        <v/>
      </c>
      <c r="U829" t="str">
        <f ca="1">IFERROR(N829*VLOOKUP(Tab_Calculs[[#This Row],[Colonne1]],Controle_des_données!$B$7:$H$14,7,FALSE),"")</f>
        <v/>
      </c>
      <c r="V829">
        <f ca="1">IFERROR(Tab_Calculs[[#This Row],[Cout_mois]]/Tab_Calculs[[#This Row],[Conso_mois_kWh]],0)</f>
        <v>0</v>
      </c>
      <c r="W829" t="str">
        <f>T(VLOOKUP(Tab_Calculs[[#This Row],[Compteur]],Site!$B$33:$G$40,3,FALSE))</f>
        <v/>
      </c>
      <c r="X829" t="str">
        <f>T(VLOOKUP(Tab_Calculs[[#This Row],[Compteur]],Site!$B$33:$G$40,4,FALSE))</f>
        <v/>
      </c>
      <c r="Y829" t="str">
        <f>T(VLOOKUP(Tab_Calculs[[#This Row],[Compteur]],Site!$B$33:$G$40,5,FALSE))</f>
        <v/>
      </c>
      <c r="Z829" t="str">
        <f>T(VLOOKUP(Tab_Calculs[[#This Row],[Compteur]],Site!$B$33:$G$40,6,FALSE))</f>
        <v/>
      </c>
      <c r="AA829">
        <f>IFERROR(GETPIVOTDATA("DJU(chauffagiste)",BDD_DJU!$P$13,"annee",Tab_Calculs[[#This Row],[ANNEE]],"mois_numero",Tab_Calculs[[#This Row],[MOIS]]),0)</f>
        <v>134.5</v>
      </c>
    </row>
    <row r="830" spans="1:27" x14ac:dyDescent="0.25">
      <c r="A830" s="3">
        <f>DATE(Tab_Calculs[[#This Row],[ANNEE]],Tab_Calculs[[#This Row],[MOIS]],1)</f>
        <v>41791</v>
      </c>
      <c r="B830" s="3">
        <f>EDATE(Tab_Calculs[[#This Row],[Début mois]],1)-1</f>
        <v>41820</v>
      </c>
      <c r="C830">
        <v>6</v>
      </c>
      <c r="D830">
        <v>2014</v>
      </c>
      <c r="E830" t="s">
        <v>84</v>
      </c>
      <c r="F830" t="str">
        <f>SUBSTITUTE(Tab_Calculs[[#This Row],[Compteur]]," ","_")</f>
        <v>Compteur_5</v>
      </c>
      <c r="G830" t="str">
        <f>T(INDEX(Site!$B$33:$G$40, MATCH(Tab_Calculs[[#This Row],[Compteur]], Site!$B$33:$B$40,0),2))</f>
        <v/>
      </c>
      <c r="H830" s="3">
        <f t="array" aca="1" ref="H830" ca="1">MIN(IF(INDIRECT(CONCATENATE(Tab_Calculs[[#This Row],[Colonne1]],"!$B$2:$B$243"))&gt;=Calculs_Consos!$A830,INDIRECT(CONCATENATE(Tab_Calculs[[#This Row],[Colonne1]],"!$B$2:$B$243"))))</f>
        <v>0</v>
      </c>
      <c r="I830" s="3">
        <f ca="1">INDEX(INDIRECT(CONCATENATE("Tab_",Tab_Calculs[[#This Row],[Colonne1]])),Tab_Calculs[[#This Row],[index_date_livraison]],1)</f>
        <v>0</v>
      </c>
      <c r="J830">
        <f ca="1">MATCH(Tab_Calculs[[#This Row],[Date_livraison]],INDIRECT(CONCATENATE("Tab_",Tab_Calculs[[#This Row],[Colonne1]],"[Fin de période]")),0)</f>
        <v>1</v>
      </c>
      <c r="K830" t="e">
        <f ca="1">INDEX(INDIRECT(CONCATENATE("Tab_",Tab_Calculs[[#This Row],[Colonne1]])),Tab_Calculs[[#This Row],[index_date_livraison]]-1,6)*(MAX(Tab_Calculs[[#This Row],[Début periode livraison]],Tab_Calculs[[#This Row],[Début mois]])-Tab_Calculs[[#This Row],[Début mois]])</f>
        <v>#VALUE!</v>
      </c>
      <c r="L830" s="94">
        <f ca="1">INDEX(INDIRECT(CONCATENATE("Tab_",Tab_Calculs[[#This Row],[Colonne1]])),Tab_Calculs[[#This Row],[index_date_livraison]],6)*(1+MIN(Tab_Calculs[[#This Row],[Date_livraison]],Tab_Calculs[[#This Row],[fin mois]])-MAX(Tab_Calculs[[#This Row],[Début mois]],Tab_Calculs[[#This Row],[Début periode livraison]]))</f>
        <v>0</v>
      </c>
      <c r="M830" s="94" t="e">
        <f ca="1">INDEX(INDIRECT(CONCATENATE("Tab_",Tab_Calculs[[#This Row],[Colonne1]])),Tab_Calculs[[#This Row],[index_date_livraison]]+1,6)*(Tab_Calculs[[#This Row],[fin mois]]-MIN(Tab_Calculs[[#This Row],[fin mois]],Tab_Calculs[[#This Row],[Date_livraison]]))</f>
        <v>#VALUE!</v>
      </c>
      <c r="N830" s="231" t="str">
        <f ca="1">IFERROR(Tab_Calculs[[#This Row],[Ratio_jour_après_livr]]+Tab_Calculs[[#This Row],[Ratio_jour_avant_livr]]+Tab_Calculs[[#This Row],[ratio_avant_debut]],"")</f>
        <v/>
      </c>
      <c r="O830" t="e">
        <f ca="1">INDEX(INDIRECT(CONCATENATE("Tab_",Tab_Calculs[[#This Row],[Colonne1]])),Tab_Calculs[[#This Row],[index_date_livraison]]-1,7)*(MAX(Tab_Calculs[[#This Row],[Début periode livraison]],Tab_Calculs[[#This Row],[Début mois]])-Tab_Calculs[[#This Row],[Début mois]])</f>
        <v>#VALUE!</v>
      </c>
      <c r="P830">
        <f ca="1">INDEX(INDIRECT(CONCATENATE("Tab_",Tab_Calculs[[#This Row],[Colonne1]])),Tab_Calculs[[#This Row],[index_date_livraison]],7)*(1+MIN(Tab_Calculs[[#This Row],[Date_livraison]],Tab_Calculs[[#This Row],[fin mois]])-MAX(Tab_Calculs[[#This Row],[Début mois]],Tab_Calculs[[#This Row],[Début periode livraison]]))</f>
        <v>0</v>
      </c>
      <c r="Q830" t="e">
        <f ca="1">INDEX(INDIRECT(CONCATENATE("Tab_",Tab_Calculs[[#This Row],[Colonne1]])),Tab_Calculs[[#This Row],[index_date_livraison]]+1,7)*(Tab_Calculs[[#This Row],[fin mois]]-MIN(Tab_Calculs[[#This Row],[fin mois]],Tab_Calculs[[#This Row],[Date_livraison]]))</f>
        <v>#VALUE!</v>
      </c>
      <c r="R830" t="e">
        <f ca="1">Tab_Calculs[[#This Row],[Ratio_Cout_après_livr]]+Tab_Calculs[[#This Row],[Ratio_Cout_avant_livr]]+Tab_Calculs[[#This Row],[Ratio_Cout_avant_debut]]</f>
        <v>#VALUE!</v>
      </c>
      <c r="S830" t="str">
        <f ca="1">IFERROR(N830*VLOOKUP(Tab_Calculs[[#This Row],[Colonne1]],Controle_des_données!$B$7:$G$14,6,FALSE),"")</f>
        <v/>
      </c>
      <c r="T830" t="str">
        <f ca="1">IF(Tab_Calculs[[#This Row],[Combustible ]]="Electricité (kWh)",Tab_Calculs[[#This Row],[Conso_mois_kWh]]*2.3,Tab_Calculs[[#This Row],[Conso_mois_kWh]])</f>
        <v/>
      </c>
      <c r="U830" t="str">
        <f ca="1">IFERROR(N830*VLOOKUP(Tab_Calculs[[#This Row],[Colonne1]],Controle_des_données!$B$7:$H$14,7,FALSE),"")</f>
        <v/>
      </c>
      <c r="V830">
        <f ca="1">IFERROR(Tab_Calculs[[#This Row],[Cout_mois]]/Tab_Calculs[[#This Row],[Conso_mois_kWh]],0)</f>
        <v>0</v>
      </c>
      <c r="W830" t="str">
        <f>T(VLOOKUP(Tab_Calculs[[#This Row],[Compteur]],Site!$B$33:$G$40,3,FALSE))</f>
        <v/>
      </c>
      <c r="X830" t="str">
        <f>T(VLOOKUP(Tab_Calculs[[#This Row],[Compteur]],Site!$B$33:$G$40,4,FALSE))</f>
        <v/>
      </c>
      <c r="Y830" t="str">
        <f>T(VLOOKUP(Tab_Calculs[[#This Row],[Compteur]],Site!$B$33:$G$40,5,FALSE))</f>
        <v/>
      </c>
      <c r="Z830" t="str">
        <f>T(VLOOKUP(Tab_Calculs[[#This Row],[Compteur]],Site!$B$33:$G$40,6,FALSE))</f>
        <v/>
      </c>
      <c r="AA830">
        <f>IFERROR(GETPIVOTDATA("DJU(chauffagiste)",BDD_DJU!$P$13,"annee",Tab_Calculs[[#This Row],[ANNEE]],"mois_numero",Tab_Calculs[[#This Row],[MOIS]]),0)</f>
        <v>48.5</v>
      </c>
    </row>
    <row r="831" spans="1:27" x14ac:dyDescent="0.25">
      <c r="A831" s="3">
        <f>DATE(Tab_Calculs[[#This Row],[ANNEE]],Tab_Calculs[[#This Row],[MOIS]],1)</f>
        <v>41821</v>
      </c>
      <c r="B831" s="3">
        <f>EDATE(Tab_Calculs[[#This Row],[Début mois]],1)-1</f>
        <v>41851</v>
      </c>
      <c r="C831">
        <v>7</v>
      </c>
      <c r="D831">
        <v>2014</v>
      </c>
      <c r="E831" t="s">
        <v>84</v>
      </c>
      <c r="F831" t="str">
        <f>SUBSTITUTE(Tab_Calculs[[#This Row],[Compteur]]," ","_")</f>
        <v>Compteur_5</v>
      </c>
      <c r="G831" t="str">
        <f>T(INDEX(Site!$B$33:$G$40, MATCH(Tab_Calculs[[#This Row],[Compteur]], Site!$B$33:$B$40,0),2))</f>
        <v/>
      </c>
      <c r="H831" s="3">
        <f t="array" aca="1" ref="H831" ca="1">MIN(IF(INDIRECT(CONCATENATE(Tab_Calculs[[#This Row],[Colonne1]],"!$B$2:$B$243"))&gt;=Calculs_Consos!$A831,INDIRECT(CONCATENATE(Tab_Calculs[[#This Row],[Colonne1]],"!$B$2:$B$243"))))</f>
        <v>0</v>
      </c>
      <c r="I831" s="3">
        <f ca="1">INDEX(INDIRECT(CONCATENATE("Tab_",Tab_Calculs[[#This Row],[Colonne1]])),Tab_Calculs[[#This Row],[index_date_livraison]],1)</f>
        <v>0</v>
      </c>
      <c r="J831">
        <f ca="1">MATCH(Tab_Calculs[[#This Row],[Date_livraison]],INDIRECT(CONCATENATE("Tab_",Tab_Calculs[[#This Row],[Colonne1]],"[Fin de période]")),0)</f>
        <v>1</v>
      </c>
      <c r="K831" t="e">
        <f ca="1">INDEX(INDIRECT(CONCATENATE("Tab_",Tab_Calculs[[#This Row],[Colonne1]])),Tab_Calculs[[#This Row],[index_date_livraison]]-1,6)*(MAX(Tab_Calculs[[#This Row],[Début periode livraison]],Tab_Calculs[[#This Row],[Début mois]])-Tab_Calculs[[#This Row],[Début mois]])</f>
        <v>#VALUE!</v>
      </c>
      <c r="L831" s="94">
        <f ca="1">INDEX(INDIRECT(CONCATENATE("Tab_",Tab_Calculs[[#This Row],[Colonne1]])),Tab_Calculs[[#This Row],[index_date_livraison]],6)*(1+MIN(Tab_Calculs[[#This Row],[Date_livraison]],Tab_Calculs[[#This Row],[fin mois]])-MAX(Tab_Calculs[[#This Row],[Début mois]],Tab_Calculs[[#This Row],[Début periode livraison]]))</f>
        <v>0</v>
      </c>
      <c r="M831" s="94" t="e">
        <f ca="1">INDEX(INDIRECT(CONCATENATE("Tab_",Tab_Calculs[[#This Row],[Colonne1]])),Tab_Calculs[[#This Row],[index_date_livraison]]+1,6)*(Tab_Calculs[[#This Row],[fin mois]]-MIN(Tab_Calculs[[#This Row],[fin mois]],Tab_Calculs[[#This Row],[Date_livraison]]))</f>
        <v>#VALUE!</v>
      </c>
      <c r="N831" s="231" t="str">
        <f ca="1">IFERROR(Tab_Calculs[[#This Row],[Ratio_jour_après_livr]]+Tab_Calculs[[#This Row],[Ratio_jour_avant_livr]]+Tab_Calculs[[#This Row],[ratio_avant_debut]],"")</f>
        <v/>
      </c>
      <c r="O831" t="e">
        <f ca="1">INDEX(INDIRECT(CONCATENATE("Tab_",Tab_Calculs[[#This Row],[Colonne1]])),Tab_Calculs[[#This Row],[index_date_livraison]]-1,7)*(MAX(Tab_Calculs[[#This Row],[Début periode livraison]],Tab_Calculs[[#This Row],[Début mois]])-Tab_Calculs[[#This Row],[Début mois]])</f>
        <v>#VALUE!</v>
      </c>
      <c r="P831">
        <f ca="1">INDEX(INDIRECT(CONCATENATE("Tab_",Tab_Calculs[[#This Row],[Colonne1]])),Tab_Calculs[[#This Row],[index_date_livraison]],7)*(1+MIN(Tab_Calculs[[#This Row],[Date_livraison]],Tab_Calculs[[#This Row],[fin mois]])-MAX(Tab_Calculs[[#This Row],[Début mois]],Tab_Calculs[[#This Row],[Début periode livraison]]))</f>
        <v>0</v>
      </c>
      <c r="Q831" t="e">
        <f ca="1">INDEX(INDIRECT(CONCATENATE("Tab_",Tab_Calculs[[#This Row],[Colonne1]])),Tab_Calculs[[#This Row],[index_date_livraison]]+1,7)*(Tab_Calculs[[#This Row],[fin mois]]-MIN(Tab_Calculs[[#This Row],[fin mois]],Tab_Calculs[[#This Row],[Date_livraison]]))</f>
        <v>#VALUE!</v>
      </c>
      <c r="R831" t="e">
        <f ca="1">Tab_Calculs[[#This Row],[Ratio_Cout_après_livr]]+Tab_Calculs[[#This Row],[Ratio_Cout_avant_livr]]+Tab_Calculs[[#This Row],[Ratio_Cout_avant_debut]]</f>
        <v>#VALUE!</v>
      </c>
      <c r="S831" t="str">
        <f ca="1">IFERROR(N831*VLOOKUP(Tab_Calculs[[#This Row],[Colonne1]],Controle_des_données!$B$7:$G$14,6,FALSE),"")</f>
        <v/>
      </c>
      <c r="T831" t="str">
        <f ca="1">IF(Tab_Calculs[[#This Row],[Combustible ]]="Electricité (kWh)",Tab_Calculs[[#This Row],[Conso_mois_kWh]]*2.3,Tab_Calculs[[#This Row],[Conso_mois_kWh]])</f>
        <v/>
      </c>
      <c r="U831" t="str">
        <f ca="1">IFERROR(N831*VLOOKUP(Tab_Calculs[[#This Row],[Colonne1]],Controle_des_données!$B$7:$H$14,7,FALSE),"")</f>
        <v/>
      </c>
      <c r="V831">
        <f ca="1">IFERROR(Tab_Calculs[[#This Row],[Cout_mois]]/Tab_Calculs[[#This Row],[Conso_mois_kWh]],0)</f>
        <v>0</v>
      </c>
      <c r="W831" t="str">
        <f>T(VLOOKUP(Tab_Calculs[[#This Row],[Compteur]],Site!$B$33:$G$40,3,FALSE))</f>
        <v/>
      </c>
      <c r="X831" t="str">
        <f>T(VLOOKUP(Tab_Calculs[[#This Row],[Compteur]],Site!$B$33:$G$40,4,FALSE))</f>
        <v/>
      </c>
      <c r="Y831" t="str">
        <f>T(VLOOKUP(Tab_Calculs[[#This Row],[Compteur]],Site!$B$33:$G$40,5,FALSE))</f>
        <v/>
      </c>
      <c r="Z831" t="str">
        <f>T(VLOOKUP(Tab_Calculs[[#This Row],[Compteur]],Site!$B$33:$G$40,6,FALSE))</f>
        <v/>
      </c>
      <c r="AA831">
        <f>IFERROR(GETPIVOTDATA("DJU(chauffagiste)",BDD_DJU!$P$13,"annee",Tab_Calculs[[#This Row],[ANNEE]],"mois_numero",Tab_Calculs[[#This Row],[MOIS]]),0)</f>
        <v>22.6</v>
      </c>
    </row>
    <row r="832" spans="1:27" x14ac:dyDescent="0.25">
      <c r="A832" s="3">
        <f>DATE(Tab_Calculs[[#This Row],[ANNEE]],Tab_Calculs[[#This Row],[MOIS]],1)</f>
        <v>41852</v>
      </c>
      <c r="B832" s="3">
        <f>EDATE(Tab_Calculs[[#This Row],[Début mois]],1)-1</f>
        <v>41882</v>
      </c>
      <c r="C832">
        <v>8</v>
      </c>
      <c r="D832">
        <v>2014</v>
      </c>
      <c r="E832" t="s">
        <v>84</v>
      </c>
      <c r="F832" t="str">
        <f>SUBSTITUTE(Tab_Calculs[[#This Row],[Compteur]]," ","_")</f>
        <v>Compteur_5</v>
      </c>
      <c r="G832" t="str">
        <f>T(INDEX(Site!$B$33:$G$40, MATCH(Tab_Calculs[[#This Row],[Compteur]], Site!$B$33:$B$40,0),2))</f>
        <v/>
      </c>
      <c r="H832" s="3">
        <f t="array" aca="1" ref="H832" ca="1">MIN(IF(INDIRECT(CONCATENATE(Tab_Calculs[[#This Row],[Colonne1]],"!$B$2:$B$243"))&gt;=Calculs_Consos!$A832,INDIRECT(CONCATENATE(Tab_Calculs[[#This Row],[Colonne1]],"!$B$2:$B$243"))))</f>
        <v>0</v>
      </c>
      <c r="I832" s="3">
        <f ca="1">INDEX(INDIRECT(CONCATENATE("Tab_",Tab_Calculs[[#This Row],[Colonne1]])),Tab_Calculs[[#This Row],[index_date_livraison]],1)</f>
        <v>0</v>
      </c>
      <c r="J832">
        <f ca="1">MATCH(Tab_Calculs[[#This Row],[Date_livraison]],INDIRECT(CONCATENATE("Tab_",Tab_Calculs[[#This Row],[Colonne1]],"[Fin de période]")),0)</f>
        <v>1</v>
      </c>
      <c r="K832" t="e">
        <f ca="1">INDEX(INDIRECT(CONCATENATE("Tab_",Tab_Calculs[[#This Row],[Colonne1]])),Tab_Calculs[[#This Row],[index_date_livraison]]-1,6)*(MAX(Tab_Calculs[[#This Row],[Début periode livraison]],Tab_Calculs[[#This Row],[Début mois]])-Tab_Calculs[[#This Row],[Début mois]])</f>
        <v>#VALUE!</v>
      </c>
      <c r="L832" s="94">
        <f ca="1">INDEX(INDIRECT(CONCATENATE("Tab_",Tab_Calculs[[#This Row],[Colonne1]])),Tab_Calculs[[#This Row],[index_date_livraison]],6)*(1+MIN(Tab_Calculs[[#This Row],[Date_livraison]],Tab_Calculs[[#This Row],[fin mois]])-MAX(Tab_Calculs[[#This Row],[Début mois]],Tab_Calculs[[#This Row],[Début periode livraison]]))</f>
        <v>0</v>
      </c>
      <c r="M832" s="94" t="e">
        <f ca="1">INDEX(INDIRECT(CONCATENATE("Tab_",Tab_Calculs[[#This Row],[Colonne1]])),Tab_Calculs[[#This Row],[index_date_livraison]]+1,6)*(Tab_Calculs[[#This Row],[fin mois]]-MIN(Tab_Calculs[[#This Row],[fin mois]],Tab_Calculs[[#This Row],[Date_livraison]]))</f>
        <v>#VALUE!</v>
      </c>
      <c r="N832" s="231" t="str">
        <f ca="1">IFERROR(Tab_Calculs[[#This Row],[Ratio_jour_après_livr]]+Tab_Calculs[[#This Row],[Ratio_jour_avant_livr]]+Tab_Calculs[[#This Row],[ratio_avant_debut]],"")</f>
        <v/>
      </c>
      <c r="O832" t="e">
        <f ca="1">INDEX(INDIRECT(CONCATENATE("Tab_",Tab_Calculs[[#This Row],[Colonne1]])),Tab_Calculs[[#This Row],[index_date_livraison]]-1,7)*(MAX(Tab_Calculs[[#This Row],[Début periode livraison]],Tab_Calculs[[#This Row],[Début mois]])-Tab_Calculs[[#This Row],[Début mois]])</f>
        <v>#VALUE!</v>
      </c>
      <c r="P832">
        <f ca="1">INDEX(INDIRECT(CONCATENATE("Tab_",Tab_Calculs[[#This Row],[Colonne1]])),Tab_Calculs[[#This Row],[index_date_livraison]],7)*(1+MIN(Tab_Calculs[[#This Row],[Date_livraison]],Tab_Calculs[[#This Row],[fin mois]])-MAX(Tab_Calculs[[#This Row],[Début mois]],Tab_Calculs[[#This Row],[Début periode livraison]]))</f>
        <v>0</v>
      </c>
      <c r="Q832" t="e">
        <f ca="1">INDEX(INDIRECT(CONCATENATE("Tab_",Tab_Calculs[[#This Row],[Colonne1]])),Tab_Calculs[[#This Row],[index_date_livraison]]+1,7)*(Tab_Calculs[[#This Row],[fin mois]]-MIN(Tab_Calculs[[#This Row],[fin mois]],Tab_Calculs[[#This Row],[Date_livraison]]))</f>
        <v>#VALUE!</v>
      </c>
      <c r="R832" t="e">
        <f ca="1">Tab_Calculs[[#This Row],[Ratio_Cout_après_livr]]+Tab_Calculs[[#This Row],[Ratio_Cout_avant_livr]]+Tab_Calculs[[#This Row],[Ratio_Cout_avant_debut]]</f>
        <v>#VALUE!</v>
      </c>
      <c r="S832" t="str">
        <f ca="1">IFERROR(N832*VLOOKUP(Tab_Calculs[[#This Row],[Colonne1]],Controle_des_données!$B$7:$G$14,6,FALSE),"")</f>
        <v/>
      </c>
      <c r="T832" t="str">
        <f ca="1">IF(Tab_Calculs[[#This Row],[Combustible ]]="Electricité (kWh)",Tab_Calculs[[#This Row],[Conso_mois_kWh]]*2.3,Tab_Calculs[[#This Row],[Conso_mois_kWh]])</f>
        <v/>
      </c>
      <c r="U832" t="str">
        <f ca="1">IFERROR(N832*VLOOKUP(Tab_Calculs[[#This Row],[Colonne1]],Controle_des_données!$B$7:$H$14,7,FALSE),"")</f>
        <v/>
      </c>
      <c r="V832">
        <f ca="1">IFERROR(Tab_Calculs[[#This Row],[Cout_mois]]/Tab_Calculs[[#This Row],[Conso_mois_kWh]],0)</f>
        <v>0</v>
      </c>
      <c r="W832" t="str">
        <f>T(VLOOKUP(Tab_Calculs[[#This Row],[Compteur]],Site!$B$33:$G$40,3,FALSE))</f>
        <v/>
      </c>
      <c r="X832" t="str">
        <f>T(VLOOKUP(Tab_Calculs[[#This Row],[Compteur]],Site!$B$33:$G$40,4,FALSE))</f>
        <v/>
      </c>
      <c r="Y832" t="str">
        <f>T(VLOOKUP(Tab_Calculs[[#This Row],[Compteur]],Site!$B$33:$G$40,5,FALSE))</f>
        <v/>
      </c>
      <c r="Z832" t="str">
        <f>T(VLOOKUP(Tab_Calculs[[#This Row],[Compteur]],Site!$B$33:$G$40,6,FALSE))</f>
        <v/>
      </c>
      <c r="AA832">
        <f>IFERROR(GETPIVOTDATA("DJU(chauffagiste)",BDD_DJU!$P$13,"annee",Tab_Calculs[[#This Row],[ANNEE]],"mois_numero",Tab_Calculs[[#This Row],[MOIS]]),0)</f>
        <v>51.9</v>
      </c>
    </row>
    <row r="833" spans="1:27" x14ac:dyDescent="0.25">
      <c r="A833" s="3">
        <f>DATE(Tab_Calculs[[#This Row],[ANNEE]],Tab_Calculs[[#This Row],[MOIS]],1)</f>
        <v>41883</v>
      </c>
      <c r="B833" s="3">
        <f>EDATE(Tab_Calculs[[#This Row],[Début mois]],1)-1</f>
        <v>41912</v>
      </c>
      <c r="C833">
        <v>9</v>
      </c>
      <c r="D833">
        <v>2014</v>
      </c>
      <c r="E833" t="s">
        <v>84</v>
      </c>
      <c r="F833" t="str">
        <f>SUBSTITUTE(Tab_Calculs[[#This Row],[Compteur]]," ","_")</f>
        <v>Compteur_5</v>
      </c>
      <c r="G833" t="str">
        <f>T(INDEX(Site!$B$33:$G$40, MATCH(Tab_Calculs[[#This Row],[Compteur]], Site!$B$33:$B$40,0),2))</f>
        <v/>
      </c>
      <c r="H833" s="3">
        <f t="array" aca="1" ref="H833" ca="1">MIN(IF(INDIRECT(CONCATENATE(Tab_Calculs[[#This Row],[Colonne1]],"!$B$2:$B$243"))&gt;=Calculs_Consos!$A833,INDIRECT(CONCATENATE(Tab_Calculs[[#This Row],[Colonne1]],"!$B$2:$B$243"))))</f>
        <v>0</v>
      </c>
      <c r="I833" s="3">
        <f ca="1">INDEX(INDIRECT(CONCATENATE("Tab_",Tab_Calculs[[#This Row],[Colonne1]])),Tab_Calculs[[#This Row],[index_date_livraison]],1)</f>
        <v>0</v>
      </c>
      <c r="J833">
        <f ca="1">MATCH(Tab_Calculs[[#This Row],[Date_livraison]],INDIRECT(CONCATENATE("Tab_",Tab_Calculs[[#This Row],[Colonne1]],"[Fin de période]")),0)</f>
        <v>1</v>
      </c>
      <c r="K833" t="e">
        <f ca="1">INDEX(INDIRECT(CONCATENATE("Tab_",Tab_Calculs[[#This Row],[Colonne1]])),Tab_Calculs[[#This Row],[index_date_livraison]]-1,6)*(MAX(Tab_Calculs[[#This Row],[Début periode livraison]],Tab_Calculs[[#This Row],[Début mois]])-Tab_Calculs[[#This Row],[Début mois]])</f>
        <v>#VALUE!</v>
      </c>
      <c r="L833" s="94">
        <f ca="1">INDEX(INDIRECT(CONCATENATE("Tab_",Tab_Calculs[[#This Row],[Colonne1]])),Tab_Calculs[[#This Row],[index_date_livraison]],6)*(1+MIN(Tab_Calculs[[#This Row],[Date_livraison]],Tab_Calculs[[#This Row],[fin mois]])-MAX(Tab_Calculs[[#This Row],[Début mois]],Tab_Calculs[[#This Row],[Début periode livraison]]))</f>
        <v>0</v>
      </c>
      <c r="M833" s="94" t="e">
        <f ca="1">INDEX(INDIRECT(CONCATENATE("Tab_",Tab_Calculs[[#This Row],[Colonne1]])),Tab_Calculs[[#This Row],[index_date_livraison]]+1,6)*(Tab_Calculs[[#This Row],[fin mois]]-MIN(Tab_Calculs[[#This Row],[fin mois]],Tab_Calculs[[#This Row],[Date_livraison]]))</f>
        <v>#VALUE!</v>
      </c>
      <c r="N833" s="231" t="str">
        <f ca="1">IFERROR(Tab_Calculs[[#This Row],[Ratio_jour_après_livr]]+Tab_Calculs[[#This Row],[Ratio_jour_avant_livr]]+Tab_Calculs[[#This Row],[ratio_avant_debut]],"")</f>
        <v/>
      </c>
      <c r="O833" t="e">
        <f ca="1">INDEX(INDIRECT(CONCATENATE("Tab_",Tab_Calculs[[#This Row],[Colonne1]])),Tab_Calculs[[#This Row],[index_date_livraison]]-1,7)*(MAX(Tab_Calculs[[#This Row],[Début periode livraison]],Tab_Calculs[[#This Row],[Début mois]])-Tab_Calculs[[#This Row],[Début mois]])</f>
        <v>#VALUE!</v>
      </c>
      <c r="P833">
        <f ca="1">INDEX(INDIRECT(CONCATENATE("Tab_",Tab_Calculs[[#This Row],[Colonne1]])),Tab_Calculs[[#This Row],[index_date_livraison]],7)*(1+MIN(Tab_Calculs[[#This Row],[Date_livraison]],Tab_Calculs[[#This Row],[fin mois]])-MAX(Tab_Calculs[[#This Row],[Début mois]],Tab_Calculs[[#This Row],[Début periode livraison]]))</f>
        <v>0</v>
      </c>
      <c r="Q833" t="e">
        <f ca="1">INDEX(INDIRECT(CONCATENATE("Tab_",Tab_Calculs[[#This Row],[Colonne1]])),Tab_Calculs[[#This Row],[index_date_livraison]]+1,7)*(Tab_Calculs[[#This Row],[fin mois]]-MIN(Tab_Calculs[[#This Row],[fin mois]],Tab_Calculs[[#This Row],[Date_livraison]]))</f>
        <v>#VALUE!</v>
      </c>
      <c r="R833" t="e">
        <f ca="1">Tab_Calculs[[#This Row],[Ratio_Cout_après_livr]]+Tab_Calculs[[#This Row],[Ratio_Cout_avant_livr]]+Tab_Calculs[[#This Row],[Ratio_Cout_avant_debut]]</f>
        <v>#VALUE!</v>
      </c>
      <c r="S833" t="str">
        <f ca="1">IFERROR(N833*VLOOKUP(Tab_Calculs[[#This Row],[Colonne1]],Controle_des_données!$B$7:$G$14,6,FALSE),"")</f>
        <v/>
      </c>
      <c r="T833" t="str">
        <f ca="1">IF(Tab_Calculs[[#This Row],[Combustible ]]="Electricité (kWh)",Tab_Calculs[[#This Row],[Conso_mois_kWh]]*2.3,Tab_Calculs[[#This Row],[Conso_mois_kWh]])</f>
        <v/>
      </c>
      <c r="U833" t="str">
        <f ca="1">IFERROR(N833*VLOOKUP(Tab_Calculs[[#This Row],[Colonne1]],Controle_des_données!$B$7:$H$14,7,FALSE),"")</f>
        <v/>
      </c>
      <c r="V833">
        <f ca="1">IFERROR(Tab_Calculs[[#This Row],[Cout_mois]]/Tab_Calculs[[#This Row],[Conso_mois_kWh]],0)</f>
        <v>0</v>
      </c>
      <c r="W833" t="str">
        <f>T(VLOOKUP(Tab_Calculs[[#This Row],[Compteur]],Site!$B$33:$G$40,3,FALSE))</f>
        <v/>
      </c>
      <c r="X833" t="str">
        <f>T(VLOOKUP(Tab_Calculs[[#This Row],[Compteur]],Site!$B$33:$G$40,4,FALSE))</f>
        <v/>
      </c>
      <c r="Y833" t="str">
        <f>T(VLOOKUP(Tab_Calculs[[#This Row],[Compteur]],Site!$B$33:$G$40,5,FALSE))</f>
        <v/>
      </c>
      <c r="Z833" t="str">
        <f>T(VLOOKUP(Tab_Calculs[[#This Row],[Compteur]],Site!$B$33:$G$40,6,FALSE))</f>
        <v/>
      </c>
      <c r="AA833">
        <f>IFERROR(GETPIVOTDATA("DJU(chauffagiste)",BDD_DJU!$P$13,"annee",Tab_Calculs[[#This Row],[ANNEE]],"mois_numero",Tab_Calculs[[#This Row],[MOIS]]),0)</f>
        <v>54.3</v>
      </c>
    </row>
    <row r="834" spans="1:27" x14ac:dyDescent="0.25">
      <c r="A834" s="3">
        <f>DATE(Tab_Calculs[[#This Row],[ANNEE]],Tab_Calculs[[#This Row],[MOIS]],1)</f>
        <v>41913</v>
      </c>
      <c r="B834" s="3">
        <f>EDATE(Tab_Calculs[[#This Row],[Début mois]],1)-1</f>
        <v>41943</v>
      </c>
      <c r="C834">
        <v>10</v>
      </c>
      <c r="D834">
        <v>2014</v>
      </c>
      <c r="E834" t="s">
        <v>84</v>
      </c>
      <c r="F834" t="str">
        <f>SUBSTITUTE(Tab_Calculs[[#This Row],[Compteur]]," ","_")</f>
        <v>Compteur_5</v>
      </c>
      <c r="G834" t="str">
        <f>T(INDEX(Site!$B$33:$G$40, MATCH(Tab_Calculs[[#This Row],[Compteur]], Site!$B$33:$B$40,0),2))</f>
        <v/>
      </c>
      <c r="H834" s="3">
        <f t="array" aca="1" ref="H834" ca="1">MIN(IF(INDIRECT(CONCATENATE(Tab_Calculs[[#This Row],[Colonne1]],"!$B$2:$B$243"))&gt;=Calculs_Consos!$A834,INDIRECT(CONCATENATE(Tab_Calculs[[#This Row],[Colonne1]],"!$B$2:$B$243"))))</f>
        <v>0</v>
      </c>
      <c r="I834" s="3">
        <f ca="1">INDEX(INDIRECT(CONCATENATE("Tab_",Tab_Calculs[[#This Row],[Colonne1]])),Tab_Calculs[[#This Row],[index_date_livraison]],1)</f>
        <v>0</v>
      </c>
      <c r="J834">
        <f ca="1">MATCH(Tab_Calculs[[#This Row],[Date_livraison]],INDIRECT(CONCATENATE("Tab_",Tab_Calculs[[#This Row],[Colonne1]],"[Fin de période]")),0)</f>
        <v>1</v>
      </c>
      <c r="K834" t="e">
        <f ca="1">INDEX(INDIRECT(CONCATENATE("Tab_",Tab_Calculs[[#This Row],[Colonne1]])),Tab_Calculs[[#This Row],[index_date_livraison]]-1,6)*(MAX(Tab_Calculs[[#This Row],[Début periode livraison]],Tab_Calculs[[#This Row],[Début mois]])-Tab_Calculs[[#This Row],[Début mois]])</f>
        <v>#VALUE!</v>
      </c>
      <c r="L834" s="94">
        <f ca="1">INDEX(INDIRECT(CONCATENATE("Tab_",Tab_Calculs[[#This Row],[Colonne1]])),Tab_Calculs[[#This Row],[index_date_livraison]],6)*(1+MIN(Tab_Calculs[[#This Row],[Date_livraison]],Tab_Calculs[[#This Row],[fin mois]])-MAX(Tab_Calculs[[#This Row],[Début mois]],Tab_Calculs[[#This Row],[Début periode livraison]]))</f>
        <v>0</v>
      </c>
      <c r="M834" s="94" t="e">
        <f ca="1">INDEX(INDIRECT(CONCATENATE("Tab_",Tab_Calculs[[#This Row],[Colonne1]])),Tab_Calculs[[#This Row],[index_date_livraison]]+1,6)*(Tab_Calculs[[#This Row],[fin mois]]-MIN(Tab_Calculs[[#This Row],[fin mois]],Tab_Calculs[[#This Row],[Date_livraison]]))</f>
        <v>#VALUE!</v>
      </c>
      <c r="N834" s="231" t="str">
        <f ca="1">IFERROR(Tab_Calculs[[#This Row],[Ratio_jour_après_livr]]+Tab_Calculs[[#This Row],[Ratio_jour_avant_livr]]+Tab_Calculs[[#This Row],[ratio_avant_debut]],"")</f>
        <v/>
      </c>
      <c r="O834" t="e">
        <f ca="1">INDEX(INDIRECT(CONCATENATE("Tab_",Tab_Calculs[[#This Row],[Colonne1]])),Tab_Calculs[[#This Row],[index_date_livraison]]-1,7)*(MAX(Tab_Calculs[[#This Row],[Début periode livraison]],Tab_Calculs[[#This Row],[Début mois]])-Tab_Calculs[[#This Row],[Début mois]])</f>
        <v>#VALUE!</v>
      </c>
      <c r="P834">
        <f ca="1">INDEX(INDIRECT(CONCATENATE("Tab_",Tab_Calculs[[#This Row],[Colonne1]])),Tab_Calculs[[#This Row],[index_date_livraison]],7)*(1+MIN(Tab_Calculs[[#This Row],[Date_livraison]],Tab_Calculs[[#This Row],[fin mois]])-MAX(Tab_Calculs[[#This Row],[Début mois]],Tab_Calculs[[#This Row],[Début periode livraison]]))</f>
        <v>0</v>
      </c>
      <c r="Q834" t="e">
        <f ca="1">INDEX(INDIRECT(CONCATENATE("Tab_",Tab_Calculs[[#This Row],[Colonne1]])),Tab_Calculs[[#This Row],[index_date_livraison]]+1,7)*(Tab_Calculs[[#This Row],[fin mois]]-MIN(Tab_Calculs[[#This Row],[fin mois]],Tab_Calculs[[#This Row],[Date_livraison]]))</f>
        <v>#VALUE!</v>
      </c>
      <c r="R834" t="e">
        <f ca="1">Tab_Calculs[[#This Row],[Ratio_Cout_après_livr]]+Tab_Calculs[[#This Row],[Ratio_Cout_avant_livr]]+Tab_Calculs[[#This Row],[Ratio_Cout_avant_debut]]</f>
        <v>#VALUE!</v>
      </c>
      <c r="S834" t="str">
        <f ca="1">IFERROR(N834*VLOOKUP(Tab_Calculs[[#This Row],[Colonne1]],Controle_des_données!$B$7:$G$14,6,FALSE),"")</f>
        <v/>
      </c>
      <c r="T834" t="str">
        <f ca="1">IF(Tab_Calculs[[#This Row],[Combustible ]]="Electricité (kWh)",Tab_Calculs[[#This Row],[Conso_mois_kWh]]*2.3,Tab_Calculs[[#This Row],[Conso_mois_kWh]])</f>
        <v/>
      </c>
      <c r="U834" t="str">
        <f ca="1">IFERROR(N834*VLOOKUP(Tab_Calculs[[#This Row],[Colonne1]],Controle_des_données!$B$7:$H$14,7,FALSE),"")</f>
        <v/>
      </c>
      <c r="V834">
        <f ca="1">IFERROR(Tab_Calculs[[#This Row],[Cout_mois]]/Tab_Calculs[[#This Row],[Conso_mois_kWh]],0)</f>
        <v>0</v>
      </c>
      <c r="W834" t="str">
        <f>T(VLOOKUP(Tab_Calculs[[#This Row],[Compteur]],Site!$B$33:$G$40,3,FALSE))</f>
        <v/>
      </c>
      <c r="X834" t="str">
        <f>T(VLOOKUP(Tab_Calculs[[#This Row],[Compteur]],Site!$B$33:$G$40,4,FALSE))</f>
        <v/>
      </c>
      <c r="Y834" t="str">
        <f>T(VLOOKUP(Tab_Calculs[[#This Row],[Compteur]],Site!$B$33:$G$40,5,FALSE))</f>
        <v/>
      </c>
      <c r="Z834" t="str">
        <f>T(VLOOKUP(Tab_Calculs[[#This Row],[Compteur]],Site!$B$33:$G$40,6,FALSE))</f>
        <v/>
      </c>
      <c r="AA834">
        <f>IFERROR(GETPIVOTDATA("DJU(chauffagiste)",BDD_DJU!$P$13,"annee",Tab_Calculs[[#This Row],[ANNEE]],"mois_numero",Tab_Calculs[[#This Row],[MOIS]]),0)</f>
        <v>124.2</v>
      </c>
    </row>
    <row r="835" spans="1:27" x14ac:dyDescent="0.25">
      <c r="A835" s="3">
        <f>DATE(Tab_Calculs[[#This Row],[ANNEE]],Tab_Calculs[[#This Row],[MOIS]],1)</f>
        <v>41944</v>
      </c>
      <c r="B835" s="3">
        <f>EDATE(Tab_Calculs[[#This Row],[Début mois]],1)-1</f>
        <v>41973</v>
      </c>
      <c r="C835">
        <v>11</v>
      </c>
      <c r="D835">
        <v>2014</v>
      </c>
      <c r="E835" t="s">
        <v>84</v>
      </c>
      <c r="F835" t="str">
        <f>SUBSTITUTE(Tab_Calculs[[#This Row],[Compteur]]," ","_")</f>
        <v>Compteur_5</v>
      </c>
      <c r="G835" t="str">
        <f>T(INDEX(Site!$B$33:$G$40, MATCH(Tab_Calculs[[#This Row],[Compteur]], Site!$B$33:$B$40,0),2))</f>
        <v/>
      </c>
      <c r="H835" s="3">
        <f t="array" aca="1" ref="H835" ca="1">MIN(IF(INDIRECT(CONCATENATE(Tab_Calculs[[#This Row],[Colonne1]],"!$B$2:$B$243"))&gt;=Calculs_Consos!$A835,INDIRECT(CONCATENATE(Tab_Calculs[[#This Row],[Colonne1]],"!$B$2:$B$243"))))</f>
        <v>0</v>
      </c>
      <c r="I835" s="3">
        <f ca="1">INDEX(INDIRECT(CONCATENATE("Tab_",Tab_Calculs[[#This Row],[Colonne1]])),Tab_Calculs[[#This Row],[index_date_livraison]],1)</f>
        <v>0</v>
      </c>
      <c r="J835">
        <f ca="1">MATCH(Tab_Calculs[[#This Row],[Date_livraison]],INDIRECT(CONCATENATE("Tab_",Tab_Calculs[[#This Row],[Colonne1]],"[Fin de période]")),0)</f>
        <v>1</v>
      </c>
      <c r="K835" t="e">
        <f ca="1">INDEX(INDIRECT(CONCATENATE("Tab_",Tab_Calculs[[#This Row],[Colonne1]])),Tab_Calculs[[#This Row],[index_date_livraison]]-1,6)*(MAX(Tab_Calculs[[#This Row],[Début periode livraison]],Tab_Calculs[[#This Row],[Début mois]])-Tab_Calculs[[#This Row],[Début mois]])</f>
        <v>#VALUE!</v>
      </c>
      <c r="L835" s="94">
        <f ca="1">INDEX(INDIRECT(CONCATENATE("Tab_",Tab_Calculs[[#This Row],[Colonne1]])),Tab_Calculs[[#This Row],[index_date_livraison]],6)*(1+MIN(Tab_Calculs[[#This Row],[Date_livraison]],Tab_Calculs[[#This Row],[fin mois]])-MAX(Tab_Calculs[[#This Row],[Début mois]],Tab_Calculs[[#This Row],[Début periode livraison]]))</f>
        <v>0</v>
      </c>
      <c r="M835" s="94" t="e">
        <f ca="1">INDEX(INDIRECT(CONCATENATE("Tab_",Tab_Calculs[[#This Row],[Colonne1]])),Tab_Calculs[[#This Row],[index_date_livraison]]+1,6)*(Tab_Calculs[[#This Row],[fin mois]]-MIN(Tab_Calculs[[#This Row],[fin mois]],Tab_Calculs[[#This Row],[Date_livraison]]))</f>
        <v>#VALUE!</v>
      </c>
      <c r="N835" s="231" t="str">
        <f ca="1">IFERROR(Tab_Calculs[[#This Row],[Ratio_jour_après_livr]]+Tab_Calculs[[#This Row],[Ratio_jour_avant_livr]]+Tab_Calculs[[#This Row],[ratio_avant_debut]],"")</f>
        <v/>
      </c>
      <c r="O835" t="e">
        <f ca="1">INDEX(INDIRECT(CONCATENATE("Tab_",Tab_Calculs[[#This Row],[Colonne1]])),Tab_Calculs[[#This Row],[index_date_livraison]]-1,7)*(MAX(Tab_Calculs[[#This Row],[Début periode livraison]],Tab_Calculs[[#This Row],[Début mois]])-Tab_Calculs[[#This Row],[Début mois]])</f>
        <v>#VALUE!</v>
      </c>
      <c r="P835">
        <f ca="1">INDEX(INDIRECT(CONCATENATE("Tab_",Tab_Calculs[[#This Row],[Colonne1]])),Tab_Calculs[[#This Row],[index_date_livraison]],7)*(1+MIN(Tab_Calculs[[#This Row],[Date_livraison]],Tab_Calculs[[#This Row],[fin mois]])-MAX(Tab_Calculs[[#This Row],[Début mois]],Tab_Calculs[[#This Row],[Début periode livraison]]))</f>
        <v>0</v>
      </c>
      <c r="Q835" t="e">
        <f ca="1">INDEX(INDIRECT(CONCATENATE("Tab_",Tab_Calculs[[#This Row],[Colonne1]])),Tab_Calculs[[#This Row],[index_date_livraison]]+1,7)*(Tab_Calculs[[#This Row],[fin mois]]-MIN(Tab_Calculs[[#This Row],[fin mois]],Tab_Calculs[[#This Row],[Date_livraison]]))</f>
        <v>#VALUE!</v>
      </c>
      <c r="R835" t="e">
        <f ca="1">Tab_Calculs[[#This Row],[Ratio_Cout_après_livr]]+Tab_Calculs[[#This Row],[Ratio_Cout_avant_livr]]+Tab_Calculs[[#This Row],[Ratio_Cout_avant_debut]]</f>
        <v>#VALUE!</v>
      </c>
      <c r="S835" t="str">
        <f ca="1">IFERROR(N835*VLOOKUP(Tab_Calculs[[#This Row],[Colonne1]],Controle_des_données!$B$7:$G$14,6,FALSE),"")</f>
        <v/>
      </c>
      <c r="T835" t="str">
        <f ca="1">IF(Tab_Calculs[[#This Row],[Combustible ]]="Electricité (kWh)",Tab_Calculs[[#This Row],[Conso_mois_kWh]]*2.3,Tab_Calculs[[#This Row],[Conso_mois_kWh]])</f>
        <v/>
      </c>
      <c r="U835" t="str">
        <f ca="1">IFERROR(N835*VLOOKUP(Tab_Calculs[[#This Row],[Colonne1]],Controle_des_données!$B$7:$H$14,7,FALSE),"")</f>
        <v/>
      </c>
      <c r="V835">
        <f ca="1">IFERROR(Tab_Calculs[[#This Row],[Cout_mois]]/Tab_Calculs[[#This Row],[Conso_mois_kWh]],0)</f>
        <v>0</v>
      </c>
      <c r="W835" t="str">
        <f>T(VLOOKUP(Tab_Calculs[[#This Row],[Compteur]],Site!$B$33:$G$40,3,FALSE))</f>
        <v/>
      </c>
      <c r="X835" t="str">
        <f>T(VLOOKUP(Tab_Calculs[[#This Row],[Compteur]],Site!$B$33:$G$40,4,FALSE))</f>
        <v/>
      </c>
      <c r="Y835" t="str">
        <f>T(VLOOKUP(Tab_Calculs[[#This Row],[Compteur]],Site!$B$33:$G$40,5,FALSE))</f>
        <v/>
      </c>
      <c r="Z835" t="str">
        <f>T(VLOOKUP(Tab_Calculs[[#This Row],[Compteur]],Site!$B$33:$G$40,6,FALSE))</f>
        <v/>
      </c>
      <c r="AA835">
        <f>IFERROR(GETPIVOTDATA("DJU(chauffagiste)",BDD_DJU!$P$13,"annee",Tab_Calculs[[#This Row],[ANNEE]],"mois_numero",Tab_Calculs[[#This Row],[MOIS]]),0)</f>
        <v>219.5</v>
      </c>
    </row>
    <row r="836" spans="1:27" x14ac:dyDescent="0.25">
      <c r="A836" s="3">
        <f>DATE(Tab_Calculs[[#This Row],[ANNEE]],Tab_Calculs[[#This Row],[MOIS]],1)</f>
        <v>41974</v>
      </c>
      <c r="B836" s="3">
        <f>EDATE(Tab_Calculs[[#This Row],[Début mois]],1)-1</f>
        <v>42004</v>
      </c>
      <c r="C836">
        <v>12</v>
      </c>
      <c r="D836">
        <v>2014</v>
      </c>
      <c r="E836" t="s">
        <v>84</v>
      </c>
      <c r="F836" t="str">
        <f>SUBSTITUTE(Tab_Calculs[[#This Row],[Compteur]]," ","_")</f>
        <v>Compteur_5</v>
      </c>
      <c r="G836" t="str">
        <f>T(INDEX(Site!$B$33:$G$40, MATCH(Tab_Calculs[[#This Row],[Compteur]], Site!$B$33:$B$40,0),2))</f>
        <v/>
      </c>
      <c r="H836" s="3">
        <f t="array" aca="1" ref="H836" ca="1">MIN(IF(INDIRECT(CONCATENATE(Tab_Calculs[[#This Row],[Colonne1]],"!$B$2:$B$243"))&gt;=Calculs_Consos!$A836,INDIRECT(CONCATENATE(Tab_Calculs[[#This Row],[Colonne1]],"!$B$2:$B$243"))))</f>
        <v>0</v>
      </c>
      <c r="I836" s="3">
        <f ca="1">INDEX(INDIRECT(CONCATENATE("Tab_",Tab_Calculs[[#This Row],[Colonne1]])),Tab_Calculs[[#This Row],[index_date_livraison]],1)</f>
        <v>0</v>
      </c>
      <c r="J836">
        <f ca="1">MATCH(Tab_Calculs[[#This Row],[Date_livraison]],INDIRECT(CONCATENATE("Tab_",Tab_Calculs[[#This Row],[Colonne1]],"[Fin de période]")),0)</f>
        <v>1</v>
      </c>
      <c r="K836" t="e">
        <f ca="1">INDEX(INDIRECT(CONCATENATE("Tab_",Tab_Calculs[[#This Row],[Colonne1]])),Tab_Calculs[[#This Row],[index_date_livraison]]-1,6)*(MAX(Tab_Calculs[[#This Row],[Début periode livraison]],Tab_Calculs[[#This Row],[Début mois]])-Tab_Calculs[[#This Row],[Début mois]])</f>
        <v>#VALUE!</v>
      </c>
      <c r="L836" s="94">
        <f ca="1">INDEX(INDIRECT(CONCATENATE("Tab_",Tab_Calculs[[#This Row],[Colonne1]])),Tab_Calculs[[#This Row],[index_date_livraison]],6)*(1+MIN(Tab_Calculs[[#This Row],[Date_livraison]],Tab_Calculs[[#This Row],[fin mois]])-MAX(Tab_Calculs[[#This Row],[Début mois]],Tab_Calculs[[#This Row],[Début periode livraison]]))</f>
        <v>0</v>
      </c>
      <c r="M836" s="94" t="e">
        <f ca="1">INDEX(INDIRECT(CONCATENATE("Tab_",Tab_Calculs[[#This Row],[Colonne1]])),Tab_Calculs[[#This Row],[index_date_livraison]]+1,6)*(Tab_Calculs[[#This Row],[fin mois]]-MIN(Tab_Calculs[[#This Row],[fin mois]],Tab_Calculs[[#This Row],[Date_livraison]]))</f>
        <v>#VALUE!</v>
      </c>
      <c r="N836" s="231" t="str">
        <f ca="1">IFERROR(Tab_Calculs[[#This Row],[Ratio_jour_après_livr]]+Tab_Calculs[[#This Row],[Ratio_jour_avant_livr]]+Tab_Calculs[[#This Row],[ratio_avant_debut]],"")</f>
        <v/>
      </c>
      <c r="O836" t="e">
        <f ca="1">INDEX(INDIRECT(CONCATENATE("Tab_",Tab_Calculs[[#This Row],[Colonne1]])),Tab_Calculs[[#This Row],[index_date_livraison]]-1,7)*(MAX(Tab_Calculs[[#This Row],[Début periode livraison]],Tab_Calculs[[#This Row],[Début mois]])-Tab_Calculs[[#This Row],[Début mois]])</f>
        <v>#VALUE!</v>
      </c>
      <c r="P836">
        <f ca="1">INDEX(INDIRECT(CONCATENATE("Tab_",Tab_Calculs[[#This Row],[Colonne1]])),Tab_Calculs[[#This Row],[index_date_livraison]],7)*(1+MIN(Tab_Calculs[[#This Row],[Date_livraison]],Tab_Calculs[[#This Row],[fin mois]])-MAX(Tab_Calculs[[#This Row],[Début mois]],Tab_Calculs[[#This Row],[Début periode livraison]]))</f>
        <v>0</v>
      </c>
      <c r="Q836" t="e">
        <f ca="1">INDEX(INDIRECT(CONCATENATE("Tab_",Tab_Calculs[[#This Row],[Colonne1]])),Tab_Calculs[[#This Row],[index_date_livraison]]+1,7)*(Tab_Calculs[[#This Row],[fin mois]]-MIN(Tab_Calculs[[#This Row],[fin mois]],Tab_Calculs[[#This Row],[Date_livraison]]))</f>
        <v>#VALUE!</v>
      </c>
      <c r="R836" t="e">
        <f ca="1">Tab_Calculs[[#This Row],[Ratio_Cout_après_livr]]+Tab_Calculs[[#This Row],[Ratio_Cout_avant_livr]]+Tab_Calculs[[#This Row],[Ratio_Cout_avant_debut]]</f>
        <v>#VALUE!</v>
      </c>
      <c r="S836" t="str">
        <f ca="1">IFERROR(N836*VLOOKUP(Tab_Calculs[[#This Row],[Colonne1]],Controle_des_données!$B$7:$G$14,6,FALSE),"")</f>
        <v/>
      </c>
      <c r="T836" t="str">
        <f ca="1">IF(Tab_Calculs[[#This Row],[Combustible ]]="Electricité (kWh)",Tab_Calculs[[#This Row],[Conso_mois_kWh]]*2.3,Tab_Calculs[[#This Row],[Conso_mois_kWh]])</f>
        <v/>
      </c>
      <c r="U836" t="str">
        <f ca="1">IFERROR(N836*VLOOKUP(Tab_Calculs[[#This Row],[Colonne1]],Controle_des_données!$B$7:$H$14,7,FALSE),"")</f>
        <v/>
      </c>
      <c r="V836">
        <f ca="1">IFERROR(Tab_Calculs[[#This Row],[Cout_mois]]/Tab_Calculs[[#This Row],[Conso_mois_kWh]],0)</f>
        <v>0</v>
      </c>
      <c r="W836" t="str">
        <f>T(VLOOKUP(Tab_Calculs[[#This Row],[Compteur]],Site!$B$33:$G$40,3,FALSE))</f>
        <v/>
      </c>
      <c r="X836" t="str">
        <f>T(VLOOKUP(Tab_Calculs[[#This Row],[Compteur]],Site!$B$33:$G$40,4,FALSE))</f>
        <v/>
      </c>
      <c r="Y836" t="str">
        <f>T(VLOOKUP(Tab_Calculs[[#This Row],[Compteur]],Site!$B$33:$G$40,5,FALSE))</f>
        <v/>
      </c>
      <c r="Z836" t="str">
        <f>T(VLOOKUP(Tab_Calculs[[#This Row],[Compteur]],Site!$B$33:$G$40,6,FALSE))</f>
        <v/>
      </c>
      <c r="AA836">
        <f>IFERROR(GETPIVOTDATA("DJU(chauffagiste)",BDD_DJU!$P$13,"annee",Tab_Calculs[[#This Row],[ANNEE]],"mois_numero",Tab_Calculs[[#This Row],[MOIS]]),0)</f>
        <v>374.8</v>
      </c>
    </row>
    <row r="837" spans="1:27" x14ac:dyDescent="0.25">
      <c r="A837" s="3">
        <f>DATE(Tab_Calculs[[#This Row],[ANNEE]],Tab_Calculs[[#This Row],[MOIS]],1)</f>
        <v>42005</v>
      </c>
      <c r="B837" s="3">
        <f>EDATE(Tab_Calculs[[#This Row],[Début mois]],1)-1</f>
        <v>42035</v>
      </c>
      <c r="C837">
        <v>1</v>
      </c>
      <c r="D837">
        <f>D825+1</f>
        <v>2015</v>
      </c>
      <c r="E837" t="s">
        <v>84</v>
      </c>
      <c r="F837" t="str">
        <f>SUBSTITUTE(Tab_Calculs[[#This Row],[Compteur]]," ","_")</f>
        <v>Compteur_5</v>
      </c>
      <c r="G837" t="str">
        <f>T(INDEX(Site!$B$33:$G$40, MATCH(Tab_Calculs[[#This Row],[Compteur]], Site!$B$33:$B$40,0),2))</f>
        <v/>
      </c>
      <c r="H837" s="3">
        <f t="array" aca="1" ref="H837" ca="1">MIN(IF(INDIRECT(CONCATENATE(Tab_Calculs[[#This Row],[Colonne1]],"!$B$2:$B$243"))&gt;=Calculs_Consos!$A837,INDIRECT(CONCATENATE(Tab_Calculs[[#This Row],[Colonne1]],"!$B$2:$B$243"))))</f>
        <v>0</v>
      </c>
      <c r="I837" s="3">
        <f ca="1">INDEX(INDIRECT(CONCATENATE("Tab_",Tab_Calculs[[#This Row],[Colonne1]])),Tab_Calculs[[#This Row],[index_date_livraison]],1)</f>
        <v>0</v>
      </c>
      <c r="J837">
        <f ca="1">MATCH(Tab_Calculs[[#This Row],[Date_livraison]],INDIRECT(CONCATENATE("Tab_",Tab_Calculs[[#This Row],[Colonne1]],"[Fin de période]")),0)</f>
        <v>1</v>
      </c>
      <c r="K837" t="e">
        <f ca="1">INDEX(INDIRECT(CONCATENATE("Tab_",Tab_Calculs[[#This Row],[Colonne1]])),Tab_Calculs[[#This Row],[index_date_livraison]]-1,6)*(MAX(Tab_Calculs[[#This Row],[Début periode livraison]],Tab_Calculs[[#This Row],[Début mois]])-Tab_Calculs[[#This Row],[Début mois]])</f>
        <v>#VALUE!</v>
      </c>
      <c r="L837" s="94">
        <f ca="1">INDEX(INDIRECT(CONCATENATE("Tab_",Tab_Calculs[[#This Row],[Colonne1]])),Tab_Calculs[[#This Row],[index_date_livraison]],6)*(1+MIN(Tab_Calculs[[#This Row],[Date_livraison]],Tab_Calculs[[#This Row],[fin mois]])-MAX(Tab_Calculs[[#This Row],[Début mois]],Tab_Calculs[[#This Row],[Début periode livraison]]))</f>
        <v>0</v>
      </c>
      <c r="M837" s="94" t="e">
        <f ca="1">INDEX(INDIRECT(CONCATENATE("Tab_",Tab_Calculs[[#This Row],[Colonne1]])),Tab_Calculs[[#This Row],[index_date_livraison]]+1,6)*(Tab_Calculs[[#This Row],[fin mois]]-MIN(Tab_Calculs[[#This Row],[fin mois]],Tab_Calculs[[#This Row],[Date_livraison]]))</f>
        <v>#VALUE!</v>
      </c>
      <c r="N837" s="231" t="str">
        <f ca="1">IFERROR(Tab_Calculs[[#This Row],[Ratio_jour_après_livr]]+Tab_Calculs[[#This Row],[Ratio_jour_avant_livr]]+Tab_Calculs[[#This Row],[ratio_avant_debut]],"")</f>
        <v/>
      </c>
      <c r="O837" t="e">
        <f ca="1">INDEX(INDIRECT(CONCATENATE("Tab_",Tab_Calculs[[#This Row],[Colonne1]])),Tab_Calculs[[#This Row],[index_date_livraison]]-1,7)*(MAX(Tab_Calculs[[#This Row],[Début periode livraison]],Tab_Calculs[[#This Row],[Début mois]])-Tab_Calculs[[#This Row],[Début mois]])</f>
        <v>#VALUE!</v>
      </c>
      <c r="P837">
        <f ca="1">INDEX(INDIRECT(CONCATENATE("Tab_",Tab_Calculs[[#This Row],[Colonne1]])),Tab_Calculs[[#This Row],[index_date_livraison]],7)*(1+MIN(Tab_Calculs[[#This Row],[Date_livraison]],Tab_Calculs[[#This Row],[fin mois]])-MAX(Tab_Calculs[[#This Row],[Début mois]],Tab_Calculs[[#This Row],[Début periode livraison]]))</f>
        <v>0</v>
      </c>
      <c r="Q837" t="e">
        <f ca="1">INDEX(INDIRECT(CONCATENATE("Tab_",Tab_Calculs[[#This Row],[Colonne1]])),Tab_Calculs[[#This Row],[index_date_livraison]]+1,7)*(Tab_Calculs[[#This Row],[fin mois]]-MIN(Tab_Calculs[[#This Row],[fin mois]],Tab_Calculs[[#This Row],[Date_livraison]]))</f>
        <v>#VALUE!</v>
      </c>
      <c r="R837" t="e">
        <f ca="1">Tab_Calculs[[#This Row],[Ratio_Cout_après_livr]]+Tab_Calculs[[#This Row],[Ratio_Cout_avant_livr]]+Tab_Calculs[[#This Row],[Ratio_Cout_avant_debut]]</f>
        <v>#VALUE!</v>
      </c>
      <c r="S837" t="str">
        <f ca="1">IFERROR(N837*VLOOKUP(Tab_Calculs[[#This Row],[Colonne1]],Controle_des_données!$B$7:$G$14,6,FALSE),"")</f>
        <v/>
      </c>
      <c r="T837" t="str">
        <f ca="1">IF(Tab_Calculs[[#This Row],[Combustible ]]="Electricité (kWh)",Tab_Calculs[[#This Row],[Conso_mois_kWh]]*2.3,Tab_Calculs[[#This Row],[Conso_mois_kWh]])</f>
        <v/>
      </c>
      <c r="U837" t="str">
        <f ca="1">IFERROR(N837*VLOOKUP(Tab_Calculs[[#This Row],[Colonne1]],Controle_des_données!$B$7:$H$14,7,FALSE),"")</f>
        <v/>
      </c>
      <c r="V837">
        <f ca="1">IFERROR(Tab_Calculs[[#This Row],[Cout_mois]]/Tab_Calculs[[#This Row],[Conso_mois_kWh]],0)</f>
        <v>0</v>
      </c>
      <c r="W837" t="str">
        <f>T(VLOOKUP(Tab_Calculs[[#This Row],[Compteur]],Site!$B$33:$G$40,3,FALSE))</f>
        <v/>
      </c>
      <c r="X837" t="str">
        <f>T(VLOOKUP(Tab_Calculs[[#This Row],[Compteur]],Site!$B$33:$G$40,4,FALSE))</f>
        <v/>
      </c>
      <c r="Y837" t="str">
        <f>T(VLOOKUP(Tab_Calculs[[#This Row],[Compteur]],Site!$B$33:$G$40,5,FALSE))</f>
        <v/>
      </c>
      <c r="Z837" t="str">
        <f>T(VLOOKUP(Tab_Calculs[[#This Row],[Compteur]],Site!$B$33:$G$40,6,FALSE))</f>
        <v/>
      </c>
      <c r="AA837">
        <f>IFERROR(GETPIVOTDATA("DJU(chauffagiste)",BDD_DJU!$P$13,"annee",Tab_Calculs[[#This Row],[ANNEE]],"mois_numero",Tab_Calculs[[#This Row],[MOIS]]),0)</f>
        <v>392.1</v>
      </c>
    </row>
    <row r="838" spans="1:27" x14ac:dyDescent="0.25">
      <c r="A838" s="3">
        <f>DATE(Tab_Calculs[[#This Row],[ANNEE]],Tab_Calculs[[#This Row],[MOIS]],1)</f>
        <v>42036</v>
      </c>
      <c r="B838" s="3">
        <f>EDATE(Tab_Calculs[[#This Row],[Début mois]],1)-1</f>
        <v>42063</v>
      </c>
      <c r="C838">
        <v>2</v>
      </c>
      <c r="D838">
        <f t="shared" ref="D838:D901" si="28">D826+1</f>
        <v>2015</v>
      </c>
      <c r="E838" t="s">
        <v>84</v>
      </c>
      <c r="F838" t="str">
        <f>SUBSTITUTE(Tab_Calculs[[#This Row],[Compteur]]," ","_")</f>
        <v>Compteur_5</v>
      </c>
      <c r="G838" t="str">
        <f>T(INDEX(Site!$B$33:$G$40, MATCH(Tab_Calculs[[#This Row],[Compteur]], Site!$B$33:$B$40,0),2))</f>
        <v/>
      </c>
      <c r="H838" s="3">
        <f t="array" aca="1" ref="H838" ca="1">MIN(IF(INDIRECT(CONCATENATE(Tab_Calculs[[#This Row],[Colonne1]],"!$B$2:$B$243"))&gt;=Calculs_Consos!$A838,INDIRECT(CONCATENATE(Tab_Calculs[[#This Row],[Colonne1]],"!$B$2:$B$243"))))</f>
        <v>0</v>
      </c>
      <c r="I838" s="3">
        <f ca="1">INDEX(INDIRECT(CONCATENATE("Tab_",Tab_Calculs[[#This Row],[Colonne1]])),Tab_Calculs[[#This Row],[index_date_livraison]],1)</f>
        <v>0</v>
      </c>
      <c r="J838">
        <f ca="1">MATCH(Tab_Calculs[[#This Row],[Date_livraison]],INDIRECT(CONCATENATE("Tab_",Tab_Calculs[[#This Row],[Colonne1]],"[Fin de période]")),0)</f>
        <v>1</v>
      </c>
      <c r="K838" t="e">
        <f ca="1">INDEX(INDIRECT(CONCATENATE("Tab_",Tab_Calculs[[#This Row],[Colonne1]])),Tab_Calculs[[#This Row],[index_date_livraison]]-1,6)*(MAX(Tab_Calculs[[#This Row],[Début periode livraison]],Tab_Calculs[[#This Row],[Début mois]])-Tab_Calculs[[#This Row],[Début mois]])</f>
        <v>#VALUE!</v>
      </c>
      <c r="L838" s="94">
        <f ca="1">INDEX(INDIRECT(CONCATENATE("Tab_",Tab_Calculs[[#This Row],[Colonne1]])),Tab_Calculs[[#This Row],[index_date_livraison]],6)*(1+MIN(Tab_Calculs[[#This Row],[Date_livraison]],Tab_Calculs[[#This Row],[fin mois]])-MAX(Tab_Calculs[[#This Row],[Début mois]],Tab_Calculs[[#This Row],[Début periode livraison]]))</f>
        <v>0</v>
      </c>
      <c r="M838" s="94" t="e">
        <f ca="1">INDEX(INDIRECT(CONCATENATE("Tab_",Tab_Calculs[[#This Row],[Colonne1]])),Tab_Calculs[[#This Row],[index_date_livraison]]+1,6)*(Tab_Calculs[[#This Row],[fin mois]]-MIN(Tab_Calculs[[#This Row],[fin mois]],Tab_Calculs[[#This Row],[Date_livraison]]))</f>
        <v>#VALUE!</v>
      </c>
      <c r="N838" s="231" t="str">
        <f ca="1">IFERROR(Tab_Calculs[[#This Row],[Ratio_jour_après_livr]]+Tab_Calculs[[#This Row],[Ratio_jour_avant_livr]]+Tab_Calculs[[#This Row],[ratio_avant_debut]],"")</f>
        <v/>
      </c>
      <c r="O838" t="e">
        <f ca="1">INDEX(INDIRECT(CONCATENATE("Tab_",Tab_Calculs[[#This Row],[Colonne1]])),Tab_Calculs[[#This Row],[index_date_livraison]]-1,7)*(MAX(Tab_Calculs[[#This Row],[Début periode livraison]],Tab_Calculs[[#This Row],[Début mois]])-Tab_Calculs[[#This Row],[Début mois]])</f>
        <v>#VALUE!</v>
      </c>
      <c r="P838">
        <f ca="1">INDEX(INDIRECT(CONCATENATE("Tab_",Tab_Calculs[[#This Row],[Colonne1]])),Tab_Calculs[[#This Row],[index_date_livraison]],7)*(1+MIN(Tab_Calculs[[#This Row],[Date_livraison]],Tab_Calculs[[#This Row],[fin mois]])-MAX(Tab_Calculs[[#This Row],[Début mois]],Tab_Calculs[[#This Row],[Début periode livraison]]))</f>
        <v>0</v>
      </c>
      <c r="Q838" t="e">
        <f ca="1">INDEX(INDIRECT(CONCATENATE("Tab_",Tab_Calculs[[#This Row],[Colonne1]])),Tab_Calculs[[#This Row],[index_date_livraison]]+1,7)*(Tab_Calculs[[#This Row],[fin mois]]-MIN(Tab_Calculs[[#This Row],[fin mois]],Tab_Calculs[[#This Row],[Date_livraison]]))</f>
        <v>#VALUE!</v>
      </c>
      <c r="R838" t="e">
        <f ca="1">Tab_Calculs[[#This Row],[Ratio_Cout_après_livr]]+Tab_Calculs[[#This Row],[Ratio_Cout_avant_livr]]+Tab_Calculs[[#This Row],[Ratio_Cout_avant_debut]]</f>
        <v>#VALUE!</v>
      </c>
      <c r="S838" t="str">
        <f ca="1">IFERROR(N838*VLOOKUP(Tab_Calculs[[#This Row],[Colonne1]],Controle_des_données!$B$7:$G$14,6,FALSE),"")</f>
        <v/>
      </c>
      <c r="T838" t="str">
        <f ca="1">IF(Tab_Calculs[[#This Row],[Combustible ]]="Electricité (kWh)",Tab_Calculs[[#This Row],[Conso_mois_kWh]]*2.3,Tab_Calculs[[#This Row],[Conso_mois_kWh]])</f>
        <v/>
      </c>
      <c r="U838" t="str">
        <f ca="1">IFERROR(N838*VLOOKUP(Tab_Calculs[[#This Row],[Colonne1]],Controle_des_données!$B$7:$H$14,7,FALSE),"")</f>
        <v/>
      </c>
      <c r="V838">
        <f ca="1">IFERROR(Tab_Calculs[[#This Row],[Cout_mois]]/Tab_Calculs[[#This Row],[Conso_mois_kWh]],0)</f>
        <v>0</v>
      </c>
      <c r="W838" t="str">
        <f>T(VLOOKUP(Tab_Calculs[[#This Row],[Compteur]],Site!$B$33:$G$40,3,FALSE))</f>
        <v/>
      </c>
      <c r="X838" t="str">
        <f>T(VLOOKUP(Tab_Calculs[[#This Row],[Compteur]],Site!$B$33:$G$40,4,FALSE))</f>
        <v/>
      </c>
      <c r="Y838" t="str">
        <f>T(VLOOKUP(Tab_Calculs[[#This Row],[Compteur]],Site!$B$33:$G$40,5,FALSE))</f>
        <v/>
      </c>
      <c r="Z838" t="str">
        <f>T(VLOOKUP(Tab_Calculs[[#This Row],[Compteur]],Site!$B$33:$G$40,6,FALSE))</f>
        <v/>
      </c>
      <c r="AA838">
        <f>IFERROR(GETPIVOTDATA("DJU(chauffagiste)",BDD_DJU!$P$13,"annee",Tab_Calculs[[#This Row],[ANNEE]],"mois_numero",Tab_Calculs[[#This Row],[MOIS]]),0)</f>
        <v>366.9</v>
      </c>
    </row>
    <row r="839" spans="1:27" x14ac:dyDescent="0.25">
      <c r="A839" s="3">
        <f>DATE(Tab_Calculs[[#This Row],[ANNEE]],Tab_Calculs[[#This Row],[MOIS]],1)</f>
        <v>42064</v>
      </c>
      <c r="B839" s="3">
        <f>EDATE(Tab_Calculs[[#This Row],[Début mois]],1)-1</f>
        <v>42094</v>
      </c>
      <c r="C839">
        <v>3</v>
      </c>
      <c r="D839">
        <f t="shared" si="28"/>
        <v>2015</v>
      </c>
      <c r="E839" t="s">
        <v>84</v>
      </c>
      <c r="F839" t="str">
        <f>SUBSTITUTE(Tab_Calculs[[#This Row],[Compteur]]," ","_")</f>
        <v>Compteur_5</v>
      </c>
      <c r="G839" t="str">
        <f>T(INDEX(Site!$B$33:$G$40, MATCH(Tab_Calculs[[#This Row],[Compteur]], Site!$B$33:$B$40,0),2))</f>
        <v/>
      </c>
      <c r="H839" s="3">
        <f t="array" aca="1" ref="H839" ca="1">MIN(IF(INDIRECT(CONCATENATE(Tab_Calculs[[#This Row],[Colonne1]],"!$B$2:$B$243"))&gt;=Calculs_Consos!$A839,INDIRECT(CONCATENATE(Tab_Calculs[[#This Row],[Colonne1]],"!$B$2:$B$243"))))</f>
        <v>0</v>
      </c>
      <c r="I839" s="3">
        <f ca="1">INDEX(INDIRECT(CONCATENATE("Tab_",Tab_Calculs[[#This Row],[Colonne1]])),Tab_Calculs[[#This Row],[index_date_livraison]],1)</f>
        <v>0</v>
      </c>
      <c r="J839">
        <f ca="1">MATCH(Tab_Calculs[[#This Row],[Date_livraison]],INDIRECT(CONCATENATE("Tab_",Tab_Calculs[[#This Row],[Colonne1]],"[Fin de période]")),0)</f>
        <v>1</v>
      </c>
      <c r="K839" t="e">
        <f ca="1">INDEX(INDIRECT(CONCATENATE("Tab_",Tab_Calculs[[#This Row],[Colonne1]])),Tab_Calculs[[#This Row],[index_date_livraison]]-1,6)*(MAX(Tab_Calculs[[#This Row],[Début periode livraison]],Tab_Calculs[[#This Row],[Début mois]])-Tab_Calculs[[#This Row],[Début mois]])</f>
        <v>#VALUE!</v>
      </c>
      <c r="L839" s="94">
        <f ca="1">INDEX(INDIRECT(CONCATENATE("Tab_",Tab_Calculs[[#This Row],[Colonne1]])),Tab_Calculs[[#This Row],[index_date_livraison]],6)*(1+MIN(Tab_Calculs[[#This Row],[Date_livraison]],Tab_Calculs[[#This Row],[fin mois]])-MAX(Tab_Calculs[[#This Row],[Début mois]],Tab_Calculs[[#This Row],[Début periode livraison]]))</f>
        <v>0</v>
      </c>
      <c r="M839" s="94" t="e">
        <f ca="1">INDEX(INDIRECT(CONCATENATE("Tab_",Tab_Calculs[[#This Row],[Colonne1]])),Tab_Calculs[[#This Row],[index_date_livraison]]+1,6)*(Tab_Calculs[[#This Row],[fin mois]]-MIN(Tab_Calculs[[#This Row],[fin mois]],Tab_Calculs[[#This Row],[Date_livraison]]))</f>
        <v>#VALUE!</v>
      </c>
      <c r="N839" s="231" t="str">
        <f ca="1">IFERROR(Tab_Calculs[[#This Row],[Ratio_jour_après_livr]]+Tab_Calculs[[#This Row],[Ratio_jour_avant_livr]]+Tab_Calculs[[#This Row],[ratio_avant_debut]],"")</f>
        <v/>
      </c>
      <c r="O839" t="e">
        <f ca="1">INDEX(INDIRECT(CONCATENATE("Tab_",Tab_Calculs[[#This Row],[Colonne1]])),Tab_Calculs[[#This Row],[index_date_livraison]]-1,7)*(MAX(Tab_Calculs[[#This Row],[Début periode livraison]],Tab_Calculs[[#This Row],[Début mois]])-Tab_Calculs[[#This Row],[Début mois]])</f>
        <v>#VALUE!</v>
      </c>
      <c r="P839">
        <f ca="1">INDEX(INDIRECT(CONCATENATE("Tab_",Tab_Calculs[[#This Row],[Colonne1]])),Tab_Calculs[[#This Row],[index_date_livraison]],7)*(1+MIN(Tab_Calculs[[#This Row],[Date_livraison]],Tab_Calculs[[#This Row],[fin mois]])-MAX(Tab_Calculs[[#This Row],[Début mois]],Tab_Calculs[[#This Row],[Début periode livraison]]))</f>
        <v>0</v>
      </c>
      <c r="Q839" t="e">
        <f ca="1">INDEX(INDIRECT(CONCATENATE("Tab_",Tab_Calculs[[#This Row],[Colonne1]])),Tab_Calculs[[#This Row],[index_date_livraison]]+1,7)*(Tab_Calculs[[#This Row],[fin mois]]-MIN(Tab_Calculs[[#This Row],[fin mois]],Tab_Calculs[[#This Row],[Date_livraison]]))</f>
        <v>#VALUE!</v>
      </c>
      <c r="R839" t="e">
        <f ca="1">Tab_Calculs[[#This Row],[Ratio_Cout_après_livr]]+Tab_Calculs[[#This Row],[Ratio_Cout_avant_livr]]+Tab_Calculs[[#This Row],[Ratio_Cout_avant_debut]]</f>
        <v>#VALUE!</v>
      </c>
      <c r="S839" t="str">
        <f ca="1">IFERROR(N839*VLOOKUP(Tab_Calculs[[#This Row],[Colonne1]],Controle_des_données!$B$7:$G$14,6,FALSE),"")</f>
        <v/>
      </c>
      <c r="T839" t="str">
        <f ca="1">IF(Tab_Calculs[[#This Row],[Combustible ]]="Electricité (kWh)",Tab_Calculs[[#This Row],[Conso_mois_kWh]]*2.3,Tab_Calculs[[#This Row],[Conso_mois_kWh]])</f>
        <v/>
      </c>
      <c r="U839" t="str">
        <f ca="1">IFERROR(N839*VLOOKUP(Tab_Calculs[[#This Row],[Colonne1]],Controle_des_données!$B$7:$H$14,7,FALSE),"")</f>
        <v/>
      </c>
      <c r="V839">
        <f ca="1">IFERROR(Tab_Calculs[[#This Row],[Cout_mois]]/Tab_Calculs[[#This Row],[Conso_mois_kWh]],0)</f>
        <v>0</v>
      </c>
      <c r="W839" t="str">
        <f>T(VLOOKUP(Tab_Calculs[[#This Row],[Compteur]],Site!$B$33:$G$40,3,FALSE))</f>
        <v/>
      </c>
      <c r="X839" t="str">
        <f>T(VLOOKUP(Tab_Calculs[[#This Row],[Compteur]],Site!$B$33:$G$40,4,FALSE))</f>
        <v/>
      </c>
      <c r="Y839" t="str">
        <f>T(VLOOKUP(Tab_Calculs[[#This Row],[Compteur]],Site!$B$33:$G$40,5,FALSE))</f>
        <v/>
      </c>
      <c r="Z839" t="str">
        <f>T(VLOOKUP(Tab_Calculs[[#This Row],[Compteur]],Site!$B$33:$G$40,6,FALSE))</f>
        <v/>
      </c>
      <c r="AA839">
        <f>IFERROR(GETPIVOTDATA("DJU(chauffagiste)",BDD_DJU!$P$13,"annee",Tab_Calculs[[#This Row],[ANNEE]],"mois_numero",Tab_Calculs[[#This Row],[MOIS]]),0)</f>
        <v>303.8</v>
      </c>
    </row>
    <row r="840" spans="1:27" x14ac:dyDescent="0.25">
      <c r="A840" s="3">
        <f>DATE(Tab_Calculs[[#This Row],[ANNEE]],Tab_Calculs[[#This Row],[MOIS]],1)</f>
        <v>42095</v>
      </c>
      <c r="B840" s="3">
        <f>EDATE(Tab_Calculs[[#This Row],[Début mois]],1)-1</f>
        <v>42124</v>
      </c>
      <c r="C840">
        <v>4</v>
      </c>
      <c r="D840">
        <f t="shared" si="28"/>
        <v>2015</v>
      </c>
      <c r="E840" t="s">
        <v>84</v>
      </c>
      <c r="F840" t="str">
        <f>SUBSTITUTE(Tab_Calculs[[#This Row],[Compteur]]," ","_")</f>
        <v>Compteur_5</v>
      </c>
      <c r="G840" t="str">
        <f>T(INDEX(Site!$B$33:$G$40, MATCH(Tab_Calculs[[#This Row],[Compteur]], Site!$B$33:$B$40,0),2))</f>
        <v/>
      </c>
      <c r="H840" s="3">
        <f t="array" aca="1" ref="H840" ca="1">MIN(IF(INDIRECT(CONCATENATE(Tab_Calculs[[#This Row],[Colonne1]],"!$B$2:$B$243"))&gt;=Calculs_Consos!$A840,INDIRECT(CONCATENATE(Tab_Calculs[[#This Row],[Colonne1]],"!$B$2:$B$243"))))</f>
        <v>0</v>
      </c>
      <c r="I840" s="3">
        <f ca="1">INDEX(INDIRECT(CONCATENATE("Tab_",Tab_Calculs[[#This Row],[Colonne1]])),Tab_Calculs[[#This Row],[index_date_livraison]],1)</f>
        <v>0</v>
      </c>
      <c r="J840">
        <f ca="1">MATCH(Tab_Calculs[[#This Row],[Date_livraison]],INDIRECT(CONCATENATE("Tab_",Tab_Calculs[[#This Row],[Colonne1]],"[Fin de période]")),0)</f>
        <v>1</v>
      </c>
      <c r="K840" t="e">
        <f ca="1">INDEX(INDIRECT(CONCATENATE("Tab_",Tab_Calculs[[#This Row],[Colonne1]])),Tab_Calculs[[#This Row],[index_date_livraison]]-1,6)*(MAX(Tab_Calculs[[#This Row],[Début periode livraison]],Tab_Calculs[[#This Row],[Début mois]])-Tab_Calculs[[#This Row],[Début mois]])</f>
        <v>#VALUE!</v>
      </c>
      <c r="L840" s="94">
        <f ca="1">INDEX(INDIRECT(CONCATENATE("Tab_",Tab_Calculs[[#This Row],[Colonne1]])),Tab_Calculs[[#This Row],[index_date_livraison]],6)*(1+MIN(Tab_Calculs[[#This Row],[Date_livraison]],Tab_Calculs[[#This Row],[fin mois]])-MAX(Tab_Calculs[[#This Row],[Début mois]],Tab_Calculs[[#This Row],[Début periode livraison]]))</f>
        <v>0</v>
      </c>
      <c r="M840" s="94" t="e">
        <f ca="1">INDEX(INDIRECT(CONCATENATE("Tab_",Tab_Calculs[[#This Row],[Colonne1]])),Tab_Calculs[[#This Row],[index_date_livraison]]+1,6)*(Tab_Calculs[[#This Row],[fin mois]]-MIN(Tab_Calculs[[#This Row],[fin mois]],Tab_Calculs[[#This Row],[Date_livraison]]))</f>
        <v>#VALUE!</v>
      </c>
      <c r="N840" s="231" t="str">
        <f ca="1">IFERROR(Tab_Calculs[[#This Row],[Ratio_jour_après_livr]]+Tab_Calculs[[#This Row],[Ratio_jour_avant_livr]]+Tab_Calculs[[#This Row],[ratio_avant_debut]],"")</f>
        <v/>
      </c>
      <c r="O840" t="e">
        <f ca="1">INDEX(INDIRECT(CONCATENATE("Tab_",Tab_Calculs[[#This Row],[Colonne1]])),Tab_Calculs[[#This Row],[index_date_livraison]]-1,7)*(MAX(Tab_Calculs[[#This Row],[Début periode livraison]],Tab_Calculs[[#This Row],[Début mois]])-Tab_Calculs[[#This Row],[Début mois]])</f>
        <v>#VALUE!</v>
      </c>
      <c r="P840">
        <f ca="1">INDEX(INDIRECT(CONCATENATE("Tab_",Tab_Calculs[[#This Row],[Colonne1]])),Tab_Calculs[[#This Row],[index_date_livraison]],7)*(1+MIN(Tab_Calculs[[#This Row],[Date_livraison]],Tab_Calculs[[#This Row],[fin mois]])-MAX(Tab_Calculs[[#This Row],[Début mois]],Tab_Calculs[[#This Row],[Début periode livraison]]))</f>
        <v>0</v>
      </c>
      <c r="Q840" t="e">
        <f ca="1">INDEX(INDIRECT(CONCATENATE("Tab_",Tab_Calculs[[#This Row],[Colonne1]])),Tab_Calculs[[#This Row],[index_date_livraison]]+1,7)*(Tab_Calculs[[#This Row],[fin mois]]-MIN(Tab_Calculs[[#This Row],[fin mois]],Tab_Calculs[[#This Row],[Date_livraison]]))</f>
        <v>#VALUE!</v>
      </c>
      <c r="R840" t="e">
        <f ca="1">Tab_Calculs[[#This Row],[Ratio_Cout_après_livr]]+Tab_Calculs[[#This Row],[Ratio_Cout_avant_livr]]+Tab_Calculs[[#This Row],[Ratio_Cout_avant_debut]]</f>
        <v>#VALUE!</v>
      </c>
      <c r="S840" t="str">
        <f ca="1">IFERROR(N840*VLOOKUP(Tab_Calculs[[#This Row],[Colonne1]],Controle_des_données!$B$7:$G$14,6,FALSE),"")</f>
        <v/>
      </c>
      <c r="T840" t="str">
        <f ca="1">IF(Tab_Calculs[[#This Row],[Combustible ]]="Electricité (kWh)",Tab_Calculs[[#This Row],[Conso_mois_kWh]]*2.3,Tab_Calculs[[#This Row],[Conso_mois_kWh]])</f>
        <v/>
      </c>
      <c r="U840" t="str">
        <f ca="1">IFERROR(N840*VLOOKUP(Tab_Calculs[[#This Row],[Colonne1]],Controle_des_données!$B$7:$H$14,7,FALSE),"")</f>
        <v/>
      </c>
      <c r="V840">
        <f ca="1">IFERROR(Tab_Calculs[[#This Row],[Cout_mois]]/Tab_Calculs[[#This Row],[Conso_mois_kWh]],0)</f>
        <v>0</v>
      </c>
      <c r="W840" t="str">
        <f>T(VLOOKUP(Tab_Calculs[[#This Row],[Compteur]],Site!$B$33:$G$40,3,FALSE))</f>
        <v/>
      </c>
      <c r="X840" t="str">
        <f>T(VLOOKUP(Tab_Calculs[[#This Row],[Compteur]],Site!$B$33:$G$40,4,FALSE))</f>
        <v/>
      </c>
      <c r="Y840" t="str">
        <f>T(VLOOKUP(Tab_Calculs[[#This Row],[Compteur]],Site!$B$33:$G$40,5,FALSE))</f>
        <v/>
      </c>
      <c r="Z840" t="str">
        <f>T(VLOOKUP(Tab_Calculs[[#This Row],[Compteur]],Site!$B$33:$G$40,6,FALSE))</f>
        <v/>
      </c>
      <c r="AA840">
        <f>IFERROR(GETPIVOTDATA("DJU(chauffagiste)",BDD_DJU!$P$13,"annee",Tab_Calculs[[#This Row],[ANNEE]],"mois_numero",Tab_Calculs[[#This Row],[MOIS]]),0)</f>
        <v>166.6</v>
      </c>
    </row>
    <row r="841" spans="1:27" x14ac:dyDescent="0.25">
      <c r="A841" s="3">
        <f>DATE(Tab_Calculs[[#This Row],[ANNEE]],Tab_Calculs[[#This Row],[MOIS]],1)</f>
        <v>42125</v>
      </c>
      <c r="B841" s="3">
        <f>EDATE(Tab_Calculs[[#This Row],[Début mois]],1)-1</f>
        <v>42155</v>
      </c>
      <c r="C841">
        <v>5</v>
      </c>
      <c r="D841">
        <f t="shared" si="28"/>
        <v>2015</v>
      </c>
      <c r="E841" t="s">
        <v>84</v>
      </c>
      <c r="F841" t="str">
        <f>SUBSTITUTE(Tab_Calculs[[#This Row],[Compteur]]," ","_")</f>
        <v>Compteur_5</v>
      </c>
      <c r="G841" t="str">
        <f>T(INDEX(Site!$B$33:$G$40, MATCH(Tab_Calculs[[#This Row],[Compteur]], Site!$B$33:$B$40,0),2))</f>
        <v/>
      </c>
      <c r="H841" s="3">
        <f t="array" aca="1" ref="H841" ca="1">MIN(IF(INDIRECT(CONCATENATE(Tab_Calculs[[#This Row],[Colonne1]],"!$B$2:$B$243"))&gt;=Calculs_Consos!$A841,INDIRECT(CONCATENATE(Tab_Calculs[[#This Row],[Colonne1]],"!$B$2:$B$243"))))</f>
        <v>0</v>
      </c>
      <c r="I841" s="3">
        <f ca="1">INDEX(INDIRECT(CONCATENATE("Tab_",Tab_Calculs[[#This Row],[Colonne1]])),Tab_Calculs[[#This Row],[index_date_livraison]],1)</f>
        <v>0</v>
      </c>
      <c r="J841">
        <f ca="1">MATCH(Tab_Calculs[[#This Row],[Date_livraison]],INDIRECT(CONCATENATE("Tab_",Tab_Calculs[[#This Row],[Colonne1]],"[Fin de période]")),0)</f>
        <v>1</v>
      </c>
      <c r="K841" t="e">
        <f ca="1">INDEX(INDIRECT(CONCATENATE("Tab_",Tab_Calculs[[#This Row],[Colonne1]])),Tab_Calculs[[#This Row],[index_date_livraison]]-1,6)*(MAX(Tab_Calculs[[#This Row],[Début periode livraison]],Tab_Calculs[[#This Row],[Début mois]])-Tab_Calculs[[#This Row],[Début mois]])</f>
        <v>#VALUE!</v>
      </c>
      <c r="L841" s="94">
        <f ca="1">INDEX(INDIRECT(CONCATENATE("Tab_",Tab_Calculs[[#This Row],[Colonne1]])),Tab_Calculs[[#This Row],[index_date_livraison]],6)*(1+MIN(Tab_Calculs[[#This Row],[Date_livraison]],Tab_Calculs[[#This Row],[fin mois]])-MAX(Tab_Calculs[[#This Row],[Début mois]],Tab_Calculs[[#This Row],[Début periode livraison]]))</f>
        <v>0</v>
      </c>
      <c r="M841" s="94" t="e">
        <f ca="1">INDEX(INDIRECT(CONCATENATE("Tab_",Tab_Calculs[[#This Row],[Colonne1]])),Tab_Calculs[[#This Row],[index_date_livraison]]+1,6)*(Tab_Calculs[[#This Row],[fin mois]]-MIN(Tab_Calculs[[#This Row],[fin mois]],Tab_Calculs[[#This Row],[Date_livraison]]))</f>
        <v>#VALUE!</v>
      </c>
      <c r="N841" s="231" t="str">
        <f ca="1">IFERROR(Tab_Calculs[[#This Row],[Ratio_jour_après_livr]]+Tab_Calculs[[#This Row],[Ratio_jour_avant_livr]]+Tab_Calculs[[#This Row],[ratio_avant_debut]],"")</f>
        <v/>
      </c>
      <c r="O841" t="e">
        <f ca="1">INDEX(INDIRECT(CONCATENATE("Tab_",Tab_Calculs[[#This Row],[Colonne1]])),Tab_Calculs[[#This Row],[index_date_livraison]]-1,7)*(MAX(Tab_Calculs[[#This Row],[Début periode livraison]],Tab_Calculs[[#This Row],[Début mois]])-Tab_Calculs[[#This Row],[Début mois]])</f>
        <v>#VALUE!</v>
      </c>
      <c r="P841">
        <f ca="1">INDEX(INDIRECT(CONCATENATE("Tab_",Tab_Calculs[[#This Row],[Colonne1]])),Tab_Calculs[[#This Row],[index_date_livraison]],7)*(1+MIN(Tab_Calculs[[#This Row],[Date_livraison]],Tab_Calculs[[#This Row],[fin mois]])-MAX(Tab_Calculs[[#This Row],[Début mois]],Tab_Calculs[[#This Row],[Début periode livraison]]))</f>
        <v>0</v>
      </c>
      <c r="Q841" t="e">
        <f ca="1">INDEX(INDIRECT(CONCATENATE("Tab_",Tab_Calculs[[#This Row],[Colonne1]])),Tab_Calculs[[#This Row],[index_date_livraison]]+1,7)*(Tab_Calculs[[#This Row],[fin mois]]-MIN(Tab_Calculs[[#This Row],[fin mois]],Tab_Calculs[[#This Row],[Date_livraison]]))</f>
        <v>#VALUE!</v>
      </c>
      <c r="R841" t="e">
        <f ca="1">Tab_Calculs[[#This Row],[Ratio_Cout_après_livr]]+Tab_Calculs[[#This Row],[Ratio_Cout_avant_livr]]+Tab_Calculs[[#This Row],[Ratio_Cout_avant_debut]]</f>
        <v>#VALUE!</v>
      </c>
      <c r="S841" t="str">
        <f ca="1">IFERROR(N841*VLOOKUP(Tab_Calculs[[#This Row],[Colonne1]],Controle_des_données!$B$7:$G$14,6,FALSE),"")</f>
        <v/>
      </c>
      <c r="T841" t="str">
        <f ca="1">IF(Tab_Calculs[[#This Row],[Combustible ]]="Electricité (kWh)",Tab_Calculs[[#This Row],[Conso_mois_kWh]]*2.3,Tab_Calculs[[#This Row],[Conso_mois_kWh]])</f>
        <v/>
      </c>
      <c r="U841" t="str">
        <f ca="1">IFERROR(N841*VLOOKUP(Tab_Calculs[[#This Row],[Colonne1]],Controle_des_données!$B$7:$H$14,7,FALSE),"")</f>
        <v/>
      </c>
      <c r="V841">
        <f ca="1">IFERROR(Tab_Calculs[[#This Row],[Cout_mois]]/Tab_Calculs[[#This Row],[Conso_mois_kWh]],0)</f>
        <v>0</v>
      </c>
      <c r="W841" t="str">
        <f>T(VLOOKUP(Tab_Calculs[[#This Row],[Compteur]],Site!$B$33:$G$40,3,FALSE))</f>
        <v/>
      </c>
      <c r="X841" t="str">
        <f>T(VLOOKUP(Tab_Calculs[[#This Row],[Compteur]],Site!$B$33:$G$40,4,FALSE))</f>
        <v/>
      </c>
      <c r="Y841" t="str">
        <f>T(VLOOKUP(Tab_Calculs[[#This Row],[Compteur]],Site!$B$33:$G$40,5,FALSE))</f>
        <v/>
      </c>
      <c r="Z841" t="str">
        <f>T(VLOOKUP(Tab_Calculs[[#This Row],[Compteur]],Site!$B$33:$G$40,6,FALSE))</f>
        <v/>
      </c>
      <c r="AA841">
        <f>IFERROR(GETPIVOTDATA("DJU(chauffagiste)",BDD_DJU!$P$13,"annee",Tab_Calculs[[#This Row],[ANNEE]],"mois_numero",Tab_Calculs[[#This Row],[MOIS]]),0)</f>
        <v>119.9</v>
      </c>
    </row>
    <row r="842" spans="1:27" x14ac:dyDescent="0.25">
      <c r="A842" s="3">
        <f>DATE(Tab_Calculs[[#This Row],[ANNEE]],Tab_Calculs[[#This Row],[MOIS]],1)</f>
        <v>42156</v>
      </c>
      <c r="B842" s="3">
        <f>EDATE(Tab_Calculs[[#This Row],[Début mois]],1)-1</f>
        <v>42185</v>
      </c>
      <c r="C842">
        <v>6</v>
      </c>
      <c r="D842">
        <f t="shared" si="28"/>
        <v>2015</v>
      </c>
      <c r="E842" t="s">
        <v>84</v>
      </c>
      <c r="F842" t="str">
        <f>SUBSTITUTE(Tab_Calculs[[#This Row],[Compteur]]," ","_")</f>
        <v>Compteur_5</v>
      </c>
      <c r="G842" t="str">
        <f>T(INDEX(Site!$B$33:$G$40, MATCH(Tab_Calculs[[#This Row],[Compteur]], Site!$B$33:$B$40,0),2))</f>
        <v/>
      </c>
      <c r="H842" s="3">
        <f t="array" aca="1" ref="H842" ca="1">MIN(IF(INDIRECT(CONCATENATE(Tab_Calculs[[#This Row],[Colonne1]],"!$B$2:$B$243"))&gt;=Calculs_Consos!$A842,INDIRECT(CONCATENATE(Tab_Calculs[[#This Row],[Colonne1]],"!$B$2:$B$243"))))</f>
        <v>0</v>
      </c>
      <c r="I842" s="3">
        <f ca="1">INDEX(INDIRECT(CONCATENATE("Tab_",Tab_Calculs[[#This Row],[Colonne1]])),Tab_Calculs[[#This Row],[index_date_livraison]],1)</f>
        <v>0</v>
      </c>
      <c r="J842">
        <f ca="1">MATCH(Tab_Calculs[[#This Row],[Date_livraison]],INDIRECT(CONCATENATE("Tab_",Tab_Calculs[[#This Row],[Colonne1]],"[Fin de période]")),0)</f>
        <v>1</v>
      </c>
      <c r="K842" t="e">
        <f ca="1">INDEX(INDIRECT(CONCATENATE("Tab_",Tab_Calculs[[#This Row],[Colonne1]])),Tab_Calculs[[#This Row],[index_date_livraison]]-1,6)*(MAX(Tab_Calculs[[#This Row],[Début periode livraison]],Tab_Calculs[[#This Row],[Début mois]])-Tab_Calculs[[#This Row],[Début mois]])</f>
        <v>#VALUE!</v>
      </c>
      <c r="L842" s="94">
        <f ca="1">INDEX(INDIRECT(CONCATENATE("Tab_",Tab_Calculs[[#This Row],[Colonne1]])),Tab_Calculs[[#This Row],[index_date_livraison]],6)*(1+MIN(Tab_Calculs[[#This Row],[Date_livraison]],Tab_Calculs[[#This Row],[fin mois]])-MAX(Tab_Calculs[[#This Row],[Début mois]],Tab_Calculs[[#This Row],[Début periode livraison]]))</f>
        <v>0</v>
      </c>
      <c r="M842" s="94" t="e">
        <f ca="1">INDEX(INDIRECT(CONCATENATE("Tab_",Tab_Calculs[[#This Row],[Colonne1]])),Tab_Calculs[[#This Row],[index_date_livraison]]+1,6)*(Tab_Calculs[[#This Row],[fin mois]]-MIN(Tab_Calculs[[#This Row],[fin mois]],Tab_Calculs[[#This Row],[Date_livraison]]))</f>
        <v>#VALUE!</v>
      </c>
      <c r="N842" s="231" t="str">
        <f ca="1">IFERROR(Tab_Calculs[[#This Row],[Ratio_jour_après_livr]]+Tab_Calculs[[#This Row],[Ratio_jour_avant_livr]]+Tab_Calculs[[#This Row],[ratio_avant_debut]],"")</f>
        <v/>
      </c>
      <c r="O842" t="e">
        <f ca="1">INDEX(INDIRECT(CONCATENATE("Tab_",Tab_Calculs[[#This Row],[Colonne1]])),Tab_Calculs[[#This Row],[index_date_livraison]]-1,7)*(MAX(Tab_Calculs[[#This Row],[Début periode livraison]],Tab_Calculs[[#This Row],[Début mois]])-Tab_Calculs[[#This Row],[Début mois]])</f>
        <v>#VALUE!</v>
      </c>
      <c r="P842">
        <f ca="1">INDEX(INDIRECT(CONCATENATE("Tab_",Tab_Calculs[[#This Row],[Colonne1]])),Tab_Calculs[[#This Row],[index_date_livraison]],7)*(1+MIN(Tab_Calculs[[#This Row],[Date_livraison]],Tab_Calculs[[#This Row],[fin mois]])-MAX(Tab_Calculs[[#This Row],[Début mois]],Tab_Calculs[[#This Row],[Début periode livraison]]))</f>
        <v>0</v>
      </c>
      <c r="Q842" t="e">
        <f ca="1">INDEX(INDIRECT(CONCATENATE("Tab_",Tab_Calculs[[#This Row],[Colonne1]])),Tab_Calculs[[#This Row],[index_date_livraison]]+1,7)*(Tab_Calculs[[#This Row],[fin mois]]-MIN(Tab_Calculs[[#This Row],[fin mois]],Tab_Calculs[[#This Row],[Date_livraison]]))</f>
        <v>#VALUE!</v>
      </c>
      <c r="R842" t="e">
        <f ca="1">Tab_Calculs[[#This Row],[Ratio_Cout_après_livr]]+Tab_Calculs[[#This Row],[Ratio_Cout_avant_livr]]+Tab_Calculs[[#This Row],[Ratio_Cout_avant_debut]]</f>
        <v>#VALUE!</v>
      </c>
      <c r="S842" t="str">
        <f ca="1">IFERROR(N842*VLOOKUP(Tab_Calculs[[#This Row],[Colonne1]],Controle_des_données!$B$7:$G$14,6,FALSE),"")</f>
        <v/>
      </c>
      <c r="T842" t="str">
        <f ca="1">IF(Tab_Calculs[[#This Row],[Combustible ]]="Electricité (kWh)",Tab_Calculs[[#This Row],[Conso_mois_kWh]]*2.3,Tab_Calculs[[#This Row],[Conso_mois_kWh]])</f>
        <v/>
      </c>
      <c r="U842" t="str">
        <f ca="1">IFERROR(N842*VLOOKUP(Tab_Calculs[[#This Row],[Colonne1]],Controle_des_données!$B$7:$H$14,7,FALSE),"")</f>
        <v/>
      </c>
      <c r="V842">
        <f ca="1">IFERROR(Tab_Calculs[[#This Row],[Cout_mois]]/Tab_Calculs[[#This Row],[Conso_mois_kWh]],0)</f>
        <v>0</v>
      </c>
      <c r="W842" t="str">
        <f>T(VLOOKUP(Tab_Calculs[[#This Row],[Compteur]],Site!$B$33:$G$40,3,FALSE))</f>
        <v/>
      </c>
      <c r="X842" t="str">
        <f>T(VLOOKUP(Tab_Calculs[[#This Row],[Compteur]],Site!$B$33:$G$40,4,FALSE))</f>
        <v/>
      </c>
      <c r="Y842" t="str">
        <f>T(VLOOKUP(Tab_Calculs[[#This Row],[Compteur]],Site!$B$33:$G$40,5,FALSE))</f>
        <v/>
      </c>
      <c r="Z842" t="str">
        <f>T(VLOOKUP(Tab_Calculs[[#This Row],[Compteur]],Site!$B$33:$G$40,6,FALSE))</f>
        <v/>
      </c>
      <c r="AA842">
        <f>IFERROR(GETPIVOTDATA("DJU(chauffagiste)",BDD_DJU!$P$13,"annee",Tab_Calculs[[#This Row],[ANNEE]],"mois_numero",Tab_Calculs[[#This Row],[MOIS]]),0)</f>
        <v>51.8</v>
      </c>
    </row>
    <row r="843" spans="1:27" x14ac:dyDescent="0.25">
      <c r="A843" s="3">
        <f>DATE(Tab_Calculs[[#This Row],[ANNEE]],Tab_Calculs[[#This Row],[MOIS]],1)</f>
        <v>42186</v>
      </c>
      <c r="B843" s="3">
        <f>EDATE(Tab_Calculs[[#This Row],[Début mois]],1)-1</f>
        <v>42216</v>
      </c>
      <c r="C843">
        <v>7</v>
      </c>
      <c r="D843">
        <f t="shared" si="28"/>
        <v>2015</v>
      </c>
      <c r="E843" t="s">
        <v>84</v>
      </c>
      <c r="F843" t="str">
        <f>SUBSTITUTE(Tab_Calculs[[#This Row],[Compteur]]," ","_")</f>
        <v>Compteur_5</v>
      </c>
      <c r="G843" t="str">
        <f>T(INDEX(Site!$B$33:$G$40, MATCH(Tab_Calculs[[#This Row],[Compteur]], Site!$B$33:$B$40,0),2))</f>
        <v/>
      </c>
      <c r="H843" s="3">
        <f t="array" aca="1" ref="H843" ca="1">MIN(IF(INDIRECT(CONCATENATE(Tab_Calculs[[#This Row],[Colonne1]],"!$B$2:$B$243"))&gt;=Calculs_Consos!$A843,INDIRECT(CONCATENATE(Tab_Calculs[[#This Row],[Colonne1]],"!$B$2:$B$243"))))</f>
        <v>0</v>
      </c>
      <c r="I843" s="3">
        <f ca="1">INDEX(INDIRECT(CONCATENATE("Tab_",Tab_Calculs[[#This Row],[Colonne1]])),Tab_Calculs[[#This Row],[index_date_livraison]],1)</f>
        <v>0</v>
      </c>
      <c r="J843">
        <f ca="1">MATCH(Tab_Calculs[[#This Row],[Date_livraison]],INDIRECT(CONCATENATE("Tab_",Tab_Calculs[[#This Row],[Colonne1]],"[Fin de période]")),0)</f>
        <v>1</v>
      </c>
      <c r="K843" t="e">
        <f ca="1">INDEX(INDIRECT(CONCATENATE("Tab_",Tab_Calculs[[#This Row],[Colonne1]])),Tab_Calculs[[#This Row],[index_date_livraison]]-1,6)*(MAX(Tab_Calculs[[#This Row],[Début periode livraison]],Tab_Calculs[[#This Row],[Début mois]])-Tab_Calculs[[#This Row],[Début mois]])</f>
        <v>#VALUE!</v>
      </c>
      <c r="L843" s="94">
        <f ca="1">INDEX(INDIRECT(CONCATENATE("Tab_",Tab_Calculs[[#This Row],[Colonne1]])),Tab_Calculs[[#This Row],[index_date_livraison]],6)*(1+MIN(Tab_Calculs[[#This Row],[Date_livraison]],Tab_Calculs[[#This Row],[fin mois]])-MAX(Tab_Calculs[[#This Row],[Début mois]],Tab_Calculs[[#This Row],[Début periode livraison]]))</f>
        <v>0</v>
      </c>
      <c r="M843" s="94" t="e">
        <f ca="1">INDEX(INDIRECT(CONCATENATE("Tab_",Tab_Calculs[[#This Row],[Colonne1]])),Tab_Calculs[[#This Row],[index_date_livraison]]+1,6)*(Tab_Calculs[[#This Row],[fin mois]]-MIN(Tab_Calculs[[#This Row],[fin mois]],Tab_Calculs[[#This Row],[Date_livraison]]))</f>
        <v>#VALUE!</v>
      </c>
      <c r="N843" s="231" t="str">
        <f ca="1">IFERROR(Tab_Calculs[[#This Row],[Ratio_jour_après_livr]]+Tab_Calculs[[#This Row],[Ratio_jour_avant_livr]]+Tab_Calculs[[#This Row],[ratio_avant_debut]],"")</f>
        <v/>
      </c>
      <c r="O843" t="e">
        <f ca="1">INDEX(INDIRECT(CONCATENATE("Tab_",Tab_Calculs[[#This Row],[Colonne1]])),Tab_Calculs[[#This Row],[index_date_livraison]]-1,7)*(MAX(Tab_Calculs[[#This Row],[Début periode livraison]],Tab_Calculs[[#This Row],[Début mois]])-Tab_Calculs[[#This Row],[Début mois]])</f>
        <v>#VALUE!</v>
      </c>
      <c r="P843">
        <f ca="1">INDEX(INDIRECT(CONCATENATE("Tab_",Tab_Calculs[[#This Row],[Colonne1]])),Tab_Calculs[[#This Row],[index_date_livraison]],7)*(1+MIN(Tab_Calculs[[#This Row],[Date_livraison]],Tab_Calculs[[#This Row],[fin mois]])-MAX(Tab_Calculs[[#This Row],[Début mois]],Tab_Calculs[[#This Row],[Début periode livraison]]))</f>
        <v>0</v>
      </c>
      <c r="Q843" t="e">
        <f ca="1">INDEX(INDIRECT(CONCATENATE("Tab_",Tab_Calculs[[#This Row],[Colonne1]])),Tab_Calculs[[#This Row],[index_date_livraison]]+1,7)*(Tab_Calculs[[#This Row],[fin mois]]-MIN(Tab_Calculs[[#This Row],[fin mois]],Tab_Calculs[[#This Row],[Date_livraison]]))</f>
        <v>#VALUE!</v>
      </c>
      <c r="R843" t="e">
        <f ca="1">Tab_Calculs[[#This Row],[Ratio_Cout_après_livr]]+Tab_Calculs[[#This Row],[Ratio_Cout_avant_livr]]+Tab_Calculs[[#This Row],[Ratio_Cout_avant_debut]]</f>
        <v>#VALUE!</v>
      </c>
      <c r="S843" t="str">
        <f ca="1">IFERROR(N843*VLOOKUP(Tab_Calculs[[#This Row],[Colonne1]],Controle_des_données!$B$7:$G$14,6,FALSE),"")</f>
        <v/>
      </c>
      <c r="T843" t="str">
        <f ca="1">IF(Tab_Calculs[[#This Row],[Combustible ]]="Electricité (kWh)",Tab_Calculs[[#This Row],[Conso_mois_kWh]]*2.3,Tab_Calculs[[#This Row],[Conso_mois_kWh]])</f>
        <v/>
      </c>
      <c r="U843" t="str">
        <f ca="1">IFERROR(N843*VLOOKUP(Tab_Calculs[[#This Row],[Colonne1]],Controle_des_données!$B$7:$H$14,7,FALSE),"")</f>
        <v/>
      </c>
      <c r="V843">
        <f ca="1">IFERROR(Tab_Calculs[[#This Row],[Cout_mois]]/Tab_Calculs[[#This Row],[Conso_mois_kWh]],0)</f>
        <v>0</v>
      </c>
      <c r="W843" t="str">
        <f>T(VLOOKUP(Tab_Calculs[[#This Row],[Compteur]],Site!$B$33:$G$40,3,FALSE))</f>
        <v/>
      </c>
      <c r="X843" t="str">
        <f>T(VLOOKUP(Tab_Calculs[[#This Row],[Compteur]],Site!$B$33:$G$40,4,FALSE))</f>
        <v/>
      </c>
      <c r="Y843" t="str">
        <f>T(VLOOKUP(Tab_Calculs[[#This Row],[Compteur]],Site!$B$33:$G$40,5,FALSE))</f>
        <v/>
      </c>
      <c r="Z843" t="str">
        <f>T(VLOOKUP(Tab_Calculs[[#This Row],[Compteur]],Site!$B$33:$G$40,6,FALSE))</f>
        <v/>
      </c>
      <c r="AA843">
        <f>IFERROR(GETPIVOTDATA("DJU(chauffagiste)",BDD_DJU!$P$13,"annee",Tab_Calculs[[#This Row],[ANNEE]],"mois_numero",Tab_Calculs[[#This Row],[MOIS]]),0)</f>
        <v>29</v>
      </c>
    </row>
    <row r="844" spans="1:27" x14ac:dyDescent="0.25">
      <c r="A844" s="3">
        <f>DATE(Tab_Calculs[[#This Row],[ANNEE]],Tab_Calculs[[#This Row],[MOIS]],1)</f>
        <v>42217</v>
      </c>
      <c r="B844" s="3">
        <f>EDATE(Tab_Calculs[[#This Row],[Début mois]],1)-1</f>
        <v>42247</v>
      </c>
      <c r="C844">
        <v>8</v>
      </c>
      <c r="D844">
        <f t="shared" si="28"/>
        <v>2015</v>
      </c>
      <c r="E844" t="s">
        <v>84</v>
      </c>
      <c r="F844" t="str">
        <f>SUBSTITUTE(Tab_Calculs[[#This Row],[Compteur]]," ","_")</f>
        <v>Compteur_5</v>
      </c>
      <c r="G844" t="str">
        <f>T(INDEX(Site!$B$33:$G$40, MATCH(Tab_Calculs[[#This Row],[Compteur]], Site!$B$33:$B$40,0),2))</f>
        <v/>
      </c>
      <c r="H844" s="3">
        <f t="array" aca="1" ref="H844" ca="1">MIN(IF(INDIRECT(CONCATENATE(Tab_Calculs[[#This Row],[Colonne1]],"!$B$2:$B$243"))&gt;=Calculs_Consos!$A844,INDIRECT(CONCATENATE(Tab_Calculs[[#This Row],[Colonne1]],"!$B$2:$B$243"))))</f>
        <v>0</v>
      </c>
      <c r="I844" s="3">
        <f ca="1">INDEX(INDIRECT(CONCATENATE("Tab_",Tab_Calculs[[#This Row],[Colonne1]])),Tab_Calculs[[#This Row],[index_date_livraison]],1)</f>
        <v>0</v>
      </c>
      <c r="J844">
        <f ca="1">MATCH(Tab_Calculs[[#This Row],[Date_livraison]],INDIRECT(CONCATENATE("Tab_",Tab_Calculs[[#This Row],[Colonne1]],"[Fin de période]")),0)</f>
        <v>1</v>
      </c>
      <c r="K844" t="e">
        <f ca="1">INDEX(INDIRECT(CONCATENATE("Tab_",Tab_Calculs[[#This Row],[Colonne1]])),Tab_Calculs[[#This Row],[index_date_livraison]]-1,6)*(MAX(Tab_Calculs[[#This Row],[Début periode livraison]],Tab_Calculs[[#This Row],[Début mois]])-Tab_Calculs[[#This Row],[Début mois]])</f>
        <v>#VALUE!</v>
      </c>
      <c r="L844" s="94">
        <f ca="1">INDEX(INDIRECT(CONCATENATE("Tab_",Tab_Calculs[[#This Row],[Colonne1]])),Tab_Calculs[[#This Row],[index_date_livraison]],6)*(1+MIN(Tab_Calculs[[#This Row],[Date_livraison]],Tab_Calculs[[#This Row],[fin mois]])-MAX(Tab_Calculs[[#This Row],[Début mois]],Tab_Calculs[[#This Row],[Début periode livraison]]))</f>
        <v>0</v>
      </c>
      <c r="M844" s="94" t="e">
        <f ca="1">INDEX(INDIRECT(CONCATENATE("Tab_",Tab_Calculs[[#This Row],[Colonne1]])),Tab_Calculs[[#This Row],[index_date_livraison]]+1,6)*(Tab_Calculs[[#This Row],[fin mois]]-MIN(Tab_Calculs[[#This Row],[fin mois]],Tab_Calculs[[#This Row],[Date_livraison]]))</f>
        <v>#VALUE!</v>
      </c>
      <c r="N844" s="231" t="str">
        <f ca="1">IFERROR(Tab_Calculs[[#This Row],[Ratio_jour_après_livr]]+Tab_Calculs[[#This Row],[Ratio_jour_avant_livr]]+Tab_Calculs[[#This Row],[ratio_avant_debut]],"")</f>
        <v/>
      </c>
      <c r="O844" t="e">
        <f ca="1">INDEX(INDIRECT(CONCATENATE("Tab_",Tab_Calculs[[#This Row],[Colonne1]])),Tab_Calculs[[#This Row],[index_date_livraison]]-1,7)*(MAX(Tab_Calculs[[#This Row],[Début periode livraison]],Tab_Calculs[[#This Row],[Début mois]])-Tab_Calculs[[#This Row],[Début mois]])</f>
        <v>#VALUE!</v>
      </c>
      <c r="P844">
        <f ca="1">INDEX(INDIRECT(CONCATENATE("Tab_",Tab_Calculs[[#This Row],[Colonne1]])),Tab_Calculs[[#This Row],[index_date_livraison]],7)*(1+MIN(Tab_Calculs[[#This Row],[Date_livraison]],Tab_Calculs[[#This Row],[fin mois]])-MAX(Tab_Calculs[[#This Row],[Début mois]],Tab_Calculs[[#This Row],[Début periode livraison]]))</f>
        <v>0</v>
      </c>
      <c r="Q844" t="e">
        <f ca="1">INDEX(INDIRECT(CONCATENATE("Tab_",Tab_Calculs[[#This Row],[Colonne1]])),Tab_Calculs[[#This Row],[index_date_livraison]]+1,7)*(Tab_Calculs[[#This Row],[fin mois]]-MIN(Tab_Calculs[[#This Row],[fin mois]],Tab_Calculs[[#This Row],[Date_livraison]]))</f>
        <v>#VALUE!</v>
      </c>
      <c r="R844" t="e">
        <f ca="1">Tab_Calculs[[#This Row],[Ratio_Cout_après_livr]]+Tab_Calculs[[#This Row],[Ratio_Cout_avant_livr]]+Tab_Calculs[[#This Row],[Ratio_Cout_avant_debut]]</f>
        <v>#VALUE!</v>
      </c>
      <c r="S844" t="str">
        <f ca="1">IFERROR(N844*VLOOKUP(Tab_Calculs[[#This Row],[Colonne1]],Controle_des_données!$B$7:$G$14,6,FALSE),"")</f>
        <v/>
      </c>
      <c r="T844" t="str">
        <f ca="1">IF(Tab_Calculs[[#This Row],[Combustible ]]="Electricité (kWh)",Tab_Calculs[[#This Row],[Conso_mois_kWh]]*2.3,Tab_Calculs[[#This Row],[Conso_mois_kWh]])</f>
        <v/>
      </c>
      <c r="U844" t="str">
        <f ca="1">IFERROR(N844*VLOOKUP(Tab_Calculs[[#This Row],[Colonne1]],Controle_des_données!$B$7:$H$14,7,FALSE),"")</f>
        <v/>
      </c>
      <c r="V844">
        <f ca="1">IFERROR(Tab_Calculs[[#This Row],[Cout_mois]]/Tab_Calculs[[#This Row],[Conso_mois_kWh]],0)</f>
        <v>0</v>
      </c>
      <c r="W844" t="str">
        <f>T(VLOOKUP(Tab_Calculs[[#This Row],[Compteur]],Site!$B$33:$G$40,3,FALSE))</f>
        <v/>
      </c>
      <c r="X844" t="str">
        <f>T(VLOOKUP(Tab_Calculs[[#This Row],[Compteur]],Site!$B$33:$G$40,4,FALSE))</f>
        <v/>
      </c>
      <c r="Y844" t="str">
        <f>T(VLOOKUP(Tab_Calculs[[#This Row],[Compteur]],Site!$B$33:$G$40,5,FALSE))</f>
        <v/>
      </c>
      <c r="Z844" t="str">
        <f>T(VLOOKUP(Tab_Calculs[[#This Row],[Compteur]],Site!$B$33:$G$40,6,FALSE))</f>
        <v/>
      </c>
      <c r="AA844">
        <f>IFERROR(GETPIVOTDATA("DJU(chauffagiste)",BDD_DJU!$P$13,"annee",Tab_Calculs[[#This Row],[ANNEE]],"mois_numero",Tab_Calculs[[#This Row],[MOIS]]),0)</f>
        <v>32</v>
      </c>
    </row>
    <row r="845" spans="1:27" x14ac:dyDescent="0.25">
      <c r="A845" s="3">
        <f>DATE(Tab_Calculs[[#This Row],[ANNEE]],Tab_Calculs[[#This Row],[MOIS]],1)</f>
        <v>42248</v>
      </c>
      <c r="B845" s="3">
        <f>EDATE(Tab_Calculs[[#This Row],[Début mois]],1)-1</f>
        <v>42277</v>
      </c>
      <c r="C845">
        <v>9</v>
      </c>
      <c r="D845">
        <f t="shared" si="28"/>
        <v>2015</v>
      </c>
      <c r="E845" t="s">
        <v>84</v>
      </c>
      <c r="F845" t="str">
        <f>SUBSTITUTE(Tab_Calculs[[#This Row],[Compteur]]," ","_")</f>
        <v>Compteur_5</v>
      </c>
      <c r="G845" t="str">
        <f>T(INDEX(Site!$B$33:$G$40, MATCH(Tab_Calculs[[#This Row],[Compteur]], Site!$B$33:$B$40,0),2))</f>
        <v/>
      </c>
      <c r="H845" s="3">
        <f t="array" aca="1" ref="H845" ca="1">MIN(IF(INDIRECT(CONCATENATE(Tab_Calculs[[#This Row],[Colonne1]],"!$B$2:$B$243"))&gt;=Calculs_Consos!$A845,INDIRECT(CONCATENATE(Tab_Calculs[[#This Row],[Colonne1]],"!$B$2:$B$243"))))</f>
        <v>0</v>
      </c>
      <c r="I845" s="3">
        <f ca="1">INDEX(INDIRECT(CONCATENATE("Tab_",Tab_Calculs[[#This Row],[Colonne1]])),Tab_Calculs[[#This Row],[index_date_livraison]],1)</f>
        <v>0</v>
      </c>
      <c r="J845">
        <f ca="1">MATCH(Tab_Calculs[[#This Row],[Date_livraison]],INDIRECT(CONCATENATE("Tab_",Tab_Calculs[[#This Row],[Colonne1]],"[Fin de période]")),0)</f>
        <v>1</v>
      </c>
      <c r="K845" t="e">
        <f ca="1">INDEX(INDIRECT(CONCATENATE("Tab_",Tab_Calculs[[#This Row],[Colonne1]])),Tab_Calculs[[#This Row],[index_date_livraison]]-1,6)*(MAX(Tab_Calculs[[#This Row],[Début periode livraison]],Tab_Calculs[[#This Row],[Début mois]])-Tab_Calculs[[#This Row],[Début mois]])</f>
        <v>#VALUE!</v>
      </c>
      <c r="L845" s="94">
        <f ca="1">INDEX(INDIRECT(CONCATENATE("Tab_",Tab_Calculs[[#This Row],[Colonne1]])),Tab_Calculs[[#This Row],[index_date_livraison]],6)*(1+MIN(Tab_Calculs[[#This Row],[Date_livraison]],Tab_Calculs[[#This Row],[fin mois]])-MAX(Tab_Calculs[[#This Row],[Début mois]],Tab_Calculs[[#This Row],[Début periode livraison]]))</f>
        <v>0</v>
      </c>
      <c r="M845" s="94" t="e">
        <f ca="1">INDEX(INDIRECT(CONCATENATE("Tab_",Tab_Calculs[[#This Row],[Colonne1]])),Tab_Calculs[[#This Row],[index_date_livraison]]+1,6)*(Tab_Calculs[[#This Row],[fin mois]]-MIN(Tab_Calculs[[#This Row],[fin mois]],Tab_Calculs[[#This Row],[Date_livraison]]))</f>
        <v>#VALUE!</v>
      </c>
      <c r="N845" s="231" t="str">
        <f ca="1">IFERROR(Tab_Calculs[[#This Row],[Ratio_jour_après_livr]]+Tab_Calculs[[#This Row],[Ratio_jour_avant_livr]]+Tab_Calculs[[#This Row],[ratio_avant_debut]],"")</f>
        <v/>
      </c>
      <c r="O845" t="e">
        <f ca="1">INDEX(INDIRECT(CONCATENATE("Tab_",Tab_Calculs[[#This Row],[Colonne1]])),Tab_Calculs[[#This Row],[index_date_livraison]]-1,7)*(MAX(Tab_Calculs[[#This Row],[Début periode livraison]],Tab_Calculs[[#This Row],[Début mois]])-Tab_Calculs[[#This Row],[Début mois]])</f>
        <v>#VALUE!</v>
      </c>
      <c r="P845">
        <f ca="1">INDEX(INDIRECT(CONCATENATE("Tab_",Tab_Calculs[[#This Row],[Colonne1]])),Tab_Calculs[[#This Row],[index_date_livraison]],7)*(1+MIN(Tab_Calculs[[#This Row],[Date_livraison]],Tab_Calculs[[#This Row],[fin mois]])-MAX(Tab_Calculs[[#This Row],[Début mois]],Tab_Calculs[[#This Row],[Début periode livraison]]))</f>
        <v>0</v>
      </c>
      <c r="Q845" t="e">
        <f ca="1">INDEX(INDIRECT(CONCATENATE("Tab_",Tab_Calculs[[#This Row],[Colonne1]])),Tab_Calculs[[#This Row],[index_date_livraison]]+1,7)*(Tab_Calculs[[#This Row],[fin mois]]-MIN(Tab_Calculs[[#This Row],[fin mois]],Tab_Calculs[[#This Row],[Date_livraison]]))</f>
        <v>#VALUE!</v>
      </c>
      <c r="R845" t="e">
        <f ca="1">Tab_Calculs[[#This Row],[Ratio_Cout_après_livr]]+Tab_Calculs[[#This Row],[Ratio_Cout_avant_livr]]+Tab_Calculs[[#This Row],[Ratio_Cout_avant_debut]]</f>
        <v>#VALUE!</v>
      </c>
      <c r="S845" t="str">
        <f ca="1">IFERROR(N845*VLOOKUP(Tab_Calculs[[#This Row],[Colonne1]],Controle_des_données!$B$7:$G$14,6,FALSE),"")</f>
        <v/>
      </c>
      <c r="T845" t="str">
        <f ca="1">IF(Tab_Calculs[[#This Row],[Combustible ]]="Electricité (kWh)",Tab_Calculs[[#This Row],[Conso_mois_kWh]]*2.3,Tab_Calculs[[#This Row],[Conso_mois_kWh]])</f>
        <v/>
      </c>
      <c r="U845" t="str">
        <f ca="1">IFERROR(N845*VLOOKUP(Tab_Calculs[[#This Row],[Colonne1]],Controle_des_données!$B$7:$H$14,7,FALSE),"")</f>
        <v/>
      </c>
      <c r="V845">
        <f ca="1">IFERROR(Tab_Calculs[[#This Row],[Cout_mois]]/Tab_Calculs[[#This Row],[Conso_mois_kWh]],0)</f>
        <v>0</v>
      </c>
      <c r="W845" t="str">
        <f>T(VLOOKUP(Tab_Calculs[[#This Row],[Compteur]],Site!$B$33:$G$40,3,FALSE))</f>
        <v/>
      </c>
      <c r="X845" t="str">
        <f>T(VLOOKUP(Tab_Calculs[[#This Row],[Compteur]],Site!$B$33:$G$40,4,FALSE))</f>
        <v/>
      </c>
      <c r="Y845" t="str">
        <f>T(VLOOKUP(Tab_Calculs[[#This Row],[Compteur]],Site!$B$33:$G$40,5,FALSE))</f>
        <v/>
      </c>
      <c r="Z845" t="str">
        <f>T(VLOOKUP(Tab_Calculs[[#This Row],[Compteur]],Site!$B$33:$G$40,6,FALSE))</f>
        <v/>
      </c>
      <c r="AA845">
        <f>IFERROR(GETPIVOTDATA("DJU(chauffagiste)",BDD_DJU!$P$13,"annee",Tab_Calculs[[#This Row],[ANNEE]],"mois_numero",Tab_Calculs[[#This Row],[MOIS]]),0)</f>
        <v>96.9</v>
      </c>
    </row>
    <row r="846" spans="1:27" x14ac:dyDescent="0.25">
      <c r="A846" s="3">
        <f>DATE(Tab_Calculs[[#This Row],[ANNEE]],Tab_Calculs[[#This Row],[MOIS]],1)</f>
        <v>42278</v>
      </c>
      <c r="B846" s="3">
        <f>EDATE(Tab_Calculs[[#This Row],[Début mois]],1)-1</f>
        <v>42308</v>
      </c>
      <c r="C846">
        <v>10</v>
      </c>
      <c r="D846">
        <f t="shared" si="28"/>
        <v>2015</v>
      </c>
      <c r="E846" t="s">
        <v>84</v>
      </c>
      <c r="F846" t="str">
        <f>SUBSTITUTE(Tab_Calculs[[#This Row],[Compteur]]," ","_")</f>
        <v>Compteur_5</v>
      </c>
      <c r="G846" t="str">
        <f>T(INDEX(Site!$B$33:$G$40, MATCH(Tab_Calculs[[#This Row],[Compteur]], Site!$B$33:$B$40,0),2))</f>
        <v/>
      </c>
      <c r="H846" s="3">
        <f t="array" aca="1" ref="H846" ca="1">MIN(IF(INDIRECT(CONCATENATE(Tab_Calculs[[#This Row],[Colonne1]],"!$B$2:$B$243"))&gt;=Calculs_Consos!$A846,INDIRECT(CONCATENATE(Tab_Calculs[[#This Row],[Colonne1]],"!$B$2:$B$243"))))</f>
        <v>0</v>
      </c>
      <c r="I846" s="3">
        <f ca="1">INDEX(INDIRECT(CONCATENATE("Tab_",Tab_Calculs[[#This Row],[Colonne1]])),Tab_Calculs[[#This Row],[index_date_livraison]],1)</f>
        <v>0</v>
      </c>
      <c r="J846">
        <f ca="1">MATCH(Tab_Calculs[[#This Row],[Date_livraison]],INDIRECT(CONCATENATE("Tab_",Tab_Calculs[[#This Row],[Colonne1]],"[Fin de période]")),0)</f>
        <v>1</v>
      </c>
      <c r="K846" t="e">
        <f ca="1">INDEX(INDIRECT(CONCATENATE("Tab_",Tab_Calculs[[#This Row],[Colonne1]])),Tab_Calculs[[#This Row],[index_date_livraison]]-1,6)*(MAX(Tab_Calculs[[#This Row],[Début periode livraison]],Tab_Calculs[[#This Row],[Début mois]])-Tab_Calculs[[#This Row],[Début mois]])</f>
        <v>#VALUE!</v>
      </c>
      <c r="L846" s="94">
        <f ca="1">INDEX(INDIRECT(CONCATENATE("Tab_",Tab_Calculs[[#This Row],[Colonne1]])),Tab_Calculs[[#This Row],[index_date_livraison]],6)*(1+MIN(Tab_Calculs[[#This Row],[Date_livraison]],Tab_Calculs[[#This Row],[fin mois]])-MAX(Tab_Calculs[[#This Row],[Début mois]],Tab_Calculs[[#This Row],[Début periode livraison]]))</f>
        <v>0</v>
      </c>
      <c r="M846" s="94" t="e">
        <f ca="1">INDEX(INDIRECT(CONCATENATE("Tab_",Tab_Calculs[[#This Row],[Colonne1]])),Tab_Calculs[[#This Row],[index_date_livraison]]+1,6)*(Tab_Calculs[[#This Row],[fin mois]]-MIN(Tab_Calculs[[#This Row],[fin mois]],Tab_Calculs[[#This Row],[Date_livraison]]))</f>
        <v>#VALUE!</v>
      </c>
      <c r="N846" s="231" t="str">
        <f ca="1">IFERROR(Tab_Calculs[[#This Row],[Ratio_jour_après_livr]]+Tab_Calculs[[#This Row],[Ratio_jour_avant_livr]]+Tab_Calculs[[#This Row],[ratio_avant_debut]],"")</f>
        <v/>
      </c>
      <c r="O846" t="e">
        <f ca="1">INDEX(INDIRECT(CONCATENATE("Tab_",Tab_Calculs[[#This Row],[Colonne1]])),Tab_Calculs[[#This Row],[index_date_livraison]]-1,7)*(MAX(Tab_Calculs[[#This Row],[Début periode livraison]],Tab_Calculs[[#This Row],[Début mois]])-Tab_Calculs[[#This Row],[Début mois]])</f>
        <v>#VALUE!</v>
      </c>
      <c r="P846">
        <f ca="1">INDEX(INDIRECT(CONCATENATE("Tab_",Tab_Calculs[[#This Row],[Colonne1]])),Tab_Calculs[[#This Row],[index_date_livraison]],7)*(1+MIN(Tab_Calculs[[#This Row],[Date_livraison]],Tab_Calculs[[#This Row],[fin mois]])-MAX(Tab_Calculs[[#This Row],[Début mois]],Tab_Calculs[[#This Row],[Début periode livraison]]))</f>
        <v>0</v>
      </c>
      <c r="Q846" t="e">
        <f ca="1">INDEX(INDIRECT(CONCATENATE("Tab_",Tab_Calculs[[#This Row],[Colonne1]])),Tab_Calculs[[#This Row],[index_date_livraison]]+1,7)*(Tab_Calculs[[#This Row],[fin mois]]-MIN(Tab_Calculs[[#This Row],[fin mois]],Tab_Calculs[[#This Row],[Date_livraison]]))</f>
        <v>#VALUE!</v>
      </c>
      <c r="R846" t="e">
        <f ca="1">Tab_Calculs[[#This Row],[Ratio_Cout_après_livr]]+Tab_Calculs[[#This Row],[Ratio_Cout_avant_livr]]+Tab_Calculs[[#This Row],[Ratio_Cout_avant_debut]]</f>
        <v>#VALUE!</v>
      </c>
      <c r="S846" t="str">
        <f ca="1">IFERROR(N846*VLOOKUP(Tab_Calculs[[#This Row],[Colonne1]],Controle_des_données!$B$7:$G$14,6,FALSE),"")</f>
        <v/>
      </c>
      <c r="T846" t="str">
        <f ca="1">IF(Tab_Calculs[[#This Row],[Combustible ]]="Electricité (kWh)",Tab_Calculs[[#This Row],[Conso_mois_kWh]]*2.3,Tab_Calculs[[#This Row],[Conso_mois_kWh]])</f>
        <v/>
      </c>
      <c r="U846" t="str">
        <f ca="1">IFERROR(N846*VLOOKUP(Tab_Calculs[[#This Row],[Colonne1]],Controle_des_données!$B$7:$H$14,7,FALSE),"")</f>
        <v/>
      </c>
      <c r="V846">
        <f ca="1">IFERROR(Tab_Calculs[[#This Row],[Cout_mois]]/Tab_Calculs[[#This Row],[Conso_mois_kWh]],0)</f>
        <v>0</v>
      </c>
      <c r="W846" t="str">
        <f>T(VLOOKUP(Tab_Calculs[[#This Row],[Compteur]],Site!$B$33:$G$40,3,FALSE))</f>
        <v/>
      </c>
      <c r="X846" t="str">
        <f>T(VLOOKUP(Tab_Calculs[[#This Row],[Compteur]],Site!$B$33:$G$40,4,FALSE))</f>
        <v/>
      </c>
      <c r="Y846" t="str">
        <f>T(VLOOKUP(Tab_Calculs[[#This Row],[Compteur]],Site!$B$33:$G$40,5,FALSE))</f>
        <v/>
      </c>
      <c r="Z846" t="str">
        <f>T(VLOOKUP(Tab_Calculs[[#This Row],[Compteur]],Site!$B$33:$G$40,6,FALSE))</f>
        <v/>
      </c>
      <c r="AA846">
        <f>IFERROR(GETPIVOTDATA("DJU(chauffagiste)",BDD_DJU!$P$13,"annee",Tab_Calculs[[#This Row],[ANNEE]],"mois_numero",Tab_Calculs[[#This Row],[MOIS]]),0)</f>
        <v>181.1</v>
      </c>
    </row>
    <row r="847" spans="1:27" x14ac:dyDescent="0.25">
      <c r="A847" s="3">
        <f>DATE(Tab_Calculs[[#This Row],[ANNEE]],Tab_Calculs[[#This Row],[MOIS]],1)</f>
        <v>42309</v>
      </c>
      <c r="B847" s="3">
        <f>EDATE(Tab_Calculs[[#This Row],[Début mois]],1)-1</f>
        <v>42338</v>
      </c>
      <c r="C847">
        <v>11</v>
      </c>
      <c r="D847">
        <f t="shared" si="28"/>
        <v>2015</v>
      </c>
      <c r="E847" t="s">
        <v>84</v>
      </c>
      <c r="F847" t="str">
        <f>SUBSTITUTE(Tab_Calculs[[#This Row],[Compteur]]," ","_")</f>
        <v>Compteur_5</v>
      </c>
      <c r="G847" t="str">
        <f>T(INDEX(Site!$B$33:$G$40, MATCH(Tab_Calculs[[#This Row],[Compteur]], Site!$B$33:$B$40,0),2))</f>
        <v/>
      </c>
      <c r="H847" s="3">
        <f t="array" aca="1" ref="H847" ca="1">MIN(IF(INDIRECT(CONCATENATE(Tab_Calculs[[#This Row],[Colonne1]],"!$B$2:$B$243"))&gt;=Calculs_Consos!$A847,INDIRECT(CONCATENATE(Tab_Calculs[[#This Row],[Colonne1]],"!$B$2:$B$243"))))</f>
        <v>0</v>
      </c>
      <c r="I847" s="3">
        <f ca="1">INDEX(INDIRECT(CONCATENATE("Tab_",Tab_Calculs[[#This Row],[Colonne1]])),Tab_Calculs[[#This Row],[index_date_livraison]],1)</f>
        <v>0</v>
      </c>
      <c r="J847">
        <f ca="1">MATCH(Tab_Calculs[[#This Row],[Date_livraison]],INDIRECT(CONCATENATE("Tab_",Tab_Calculs[[#This Row],[Colonne1]],"[Fin de période]")),0)</f>
        <v>1</v>
      </c>
      <c r="K847" t="e">
        <f ca="1">INDEX(INDIRECT(CONCATENATE("Tab_",Tab_Calculs[[#This Row],[Colonne1]])),Tab_Calculs[[#This Row],[index_date_livraison]]-1,6)*(MAX(Tab_Calculs[[#This Row],[Début periode livraison]],Tab_Calculs[[#This Row],[Début mois]])-Tab_Calculs[[#This Row],[Début mois]])</f>
        <v>#VALUE!</v>
      </c>
      <c r="L847" s="94">
        <f ca="1">INDEX(INDIRECT(CONCATENATE("Tab_",Tab_Calculs[[#This Row],[Colonne1]])),Tab_Calculs[[#This Row],[index_date_livraison]],6)*(1+MIN(Tab_Calculs[[#This Row],[Date_livraison]],Tab_Calculs[[#This Row],[fin mois]])-MAX(Tab_Calculs[[#This Row],[Début mois]],Tab_Calculs[[#This Row],[Début periode livraison]]))</f>
        <v>0</v>
      </c>
      <c r="M847" s="94" t="e">
        <f ca="1">INDEX(INDIRECT(CONCATENATE("Tab_",Tab_Calculs[[#This Row],[Colonne1]])),Tab_Calculs[[#This Row],[index_date_livraison]]+1,6)*(Tab_Calculs[[#This Row],[fin mois]]-MIN(Tab_Calculs[[#This Row],[fin mois]],Tab_Calculs[[#This Row],[Date_livraison]]))</f>
        <v>#VALUE!</v>
      </c>
      <c r="N847" s="231" t="str">
        <f ca="1">IFERROR(Tab_Calculs[[#This Row],[Ratio_jour_après_livr]]+Tab_Calculs[[#This Row],[Ratio_jour_avant_livr]]+Tab_Calculs[[#This Row],[ratio_avant_debut]],"")</f>
        <v/>
      </c>
      <c r="O847" t="e">
        <f ca="1">INDEX(INDIRECT(CONCATENATE("Tab_",Tab_Calculs[[#This Row],[Colonne1]])),Tab_Calculs[[#This Row],[index_date_livraison]]-1,7)*(MAX(Tab_Calculs[[#This Row],[Début periode livraison]],Tab_Calculs[[#This Row],[Début mois]])-Tab_Calculs[[#This Row],[Début mois]])</f>
        <v>#VALUE!</v>
      </c>
      <c r="P847">
        <f ca="1">INDEX(INDIRECT(CONCATENATE("Tab_",Tab_Calculs[[#This Row],[Colonne1]])),Tab_Calculs[[#This Row],[index_date_livraison]],7)*(1+MIN(Tab_Calculs[[#This Row],[Date_livraison]],Tab_Calculs[[#This Row],[fin mois]])-MAX(Tab_Calculs[[#This Row],[Début mois]],Tab_Calculs[[#This Row],[Début periode livraison]]))</f>
        <v>0</v>
      </c>
      <c r="Q847" t="e">
        <f ca="1">INDEX(INDIRECT(CONCATENATE("Tab_",Tab_Calculs[[#This Row],[Colonne1]])),Tab_Calculs[[#This Row],[index_date_livraison]]+1,7)*(Tab_Calculs[[#This Row],[fin mois]]-MIN(Tab_Calculs[[#This Row],[fin mois]],Tab_Calculs[[#This Row],[Date_livraison]]))</f>
        <v>#VALUE!</v>
      </c>
      <c r="R847" t="e">
        <f ca="1">Tab_Calculs[[#This Row],[Ratio_Cout_après_livr]]+Tab_Calculs[[#This Row],[Ratio_Cout_avant_livr]]+Tab_Calculs[[#This Row],[Ratio_Cout_avant_debut]]</f>
        <v>#VALUE!</v>
      </c>
      <c r="S847" t="str">
        <f ca="1">IFERROR(N847*VLOOKUP(Tab_Calculs[[#This Row],[Colonne1]],Controle_des_données!$B$7:$G$14,6,FALSE),"")</f>
        <v/>
      </c>
      <c r="T847" t="str">
        <f ca="1">IF(Tab_Calculs[[#This Row],[Combustible ]]="Electricité (kWh)",Tab_Calculs[[#This Row],[Conso_mois_kWh]]*2.3,Tab_Calculs[[#This Row],[Conso_mois_kWh]])</f>
        <v/>
      </c>
      <c r="U847" t="str">
        <f ca="1">IFERROR(N847*VLOOKUP(Tab_Calculs[[#This Row],[Colonne1]],Controle_des_données!$B$7:$H$14,7,FALSE),"")</f>
        <v/>
      </c>
      <c r="V847">
        <f ca="1">IFERROR(Tab_Calculs[[#This Row],[Cout_mois]]/Tab_Calculs[[#This Row],[Conso_mois_kWh]],0)</f>
        <v>0</v>
      </c>
      <c r="W847" t="str">
        <f>T(VLOOKUP(Tab_Calculs[[#This Row],[Compteur]],Site!$B$33:$G$40,3,FALSE))</f>
        <v/>
      </c>
      <c r="X847" t="str">
        <f>T(VLOOKUP(Tab_Calculs[[#This Row],[Compteur]],Site!$B$33:$G$40,4,FALSE))</f>
        <v/>
      </c>
      <c r="Y847" t="str">
        <f>T(VLOOKUP(Tab_Calculs[[#This Row],[Compteur]],Site!$B$33:$G$40,5,FALSE))</f>
        <v/>
      </c>
      <c r="Z847" t="str">
        <f>T(VLOOKUP(Tab_Calculs[[#This Row],[Compteur]],Site!$B$33:$G$40,6,FALSE))</f>
        <v/>
      </c>
      <c r="AA847">
        <f>IFERROR(GETPIVOTDATA("DJU(chauffagiste)",BDD_DJU!$P$13,"annee",Tab_Calculs[[#This Row],[ANNEE]],"mois_numero",Tab_Calculs[[#This Row],[MOIS]]),0)</f>
        <v>191.1</v>
      </c>
    </row>
    <row r="848" spans="1:27" x14ac:dyDescent="0.25">
      <c r="A848" s="3">
        <f>DATE(Tab_Calculs[[#This Row],[ANNEE]],Tab_Calculs[[#This Row],[MOIS]],1)</f>
        <v>42339</v>
      </c>
      <c r="B848" s="3">
        <f>EDATE(Tab_Calculs[[#This Row],[Début mois]],1)-1</f>
        <v>42369</v>
      </c>
      <c r="C848">
        <v>12</v>
      </c>
      <c r="D848">
        <f t="shared" si="28"/>
        <v>2015</v>
      </c>
      <c r="E848" t="s">
        <v>84</v>
      </c>
      <c r="F848" t="str">
        <f>SUBSTITUTE(Tab_Calculs[[#This Row],[Compteur]]," ","_")</f>
        <v>Compteur_5</v>
      </c>
      <c r="G848" t="str">
        <f>T(INDEX(Site!$B$33:$G$40, MATCH(Tab_Calculs[[#This Row],[Compteur]], Site!$B$33:$B$40,0),2))</f>
        <v/>
      </c>
      <c r="H848" s="3">
        <f t="array" aca="1" ref="H848" ca="1">MIN(IF(INDIRECT(CONCATENATE(Tab_Calculs[[#This Row],[Colonne1]],"!$B$2:$B$243"))&gt;=Calculs_Consos!$A848,INDIRECT(CONCATENATE(Tab_Calculs[[#This Row],[Colonne1]],"!$B$2:$B$243"))))</f>
        <v>0</v>
      </c>
      <c r="I848" s="3">
        <f ca="1">INDEX(INDIRECT(CONCATENATE("Tab_",Tab_Calculs[[#This Row],[Colonne1]])),Tab_Calculs[[#This Row],[index_date_livraison]],1)</f>
        <v>0</v>
      </c>
      <c r="J848">
        <f ca="1">MATCH(Tab_Calculs[[#This Row],[Date_livraison]],INDIRECT(CONCATENATE("Tab_",Tab_Calculs[[#This Row],[Colonne1]],"[Fin de période]")),0)</f>
        <v>1</v>
      </c>
      <c r="K848" t="e">
        <f ca="1">INDEX(INDIRECT(CONCATENATE("Tab_",Tab_Calculs[[#This Row],[Colonne1]])),Tab_Calculs[[#This Row],[index_date_livraison]]-1,6)*(MAX(Tab_Calculs[[#This Row],[Début periode livraison]],Tab_Calculs[[#This Row],[Début mois]])-Tab_Calculs[[#This Row],[Début mois]])</f>
        <v>#VALUE!</v>
      </c>
      <c r="L848" s="94">
        <f ca="1">INDEX(INDIRECT(CONCATENATE("Tab_",Tab_Calculs[[#This Row],[Colonne1]])),Tab_Calculs[[#This Row],[index_date_livraison]],6)*(1+MIN(Tab_Calculs[[#This Row],[Date_livraison]],Tab_Calculs[[#This Row],[fin mois]])-MAX(Tab_Calculs[[#This Row],[Début mois]],Tab_Calculs[[#This Row],[Début periode livraison]]))</f>
        <v>0</v>
      </c>
      <c r="M848" s="94" t="e">
        <f ca="1">INDEX(INDIRECT(CONCATENATE("Tab_",Tab_Calculs[[#This Row],[Colonne1]])),Tab_Calculs[[#This Row],[index_date_livraison]]+1,6)*(Tab_Calculs[[#This Row],[fin mois]]-MIN(Tab_Calculs[[#This Row],[fin mois]],Tab_Calculs[[#This Row],[Date_livraison]]))</f>
        <v>#VALUE!</v>
      </c>
      <c r="N848" s="231" t="str">
        <f ca="1">IFERROR(Tab_Calculs[[#This Row],[Ratio_jour_après_livr]]+Tab_Calculs[[#This Row],[Ratio_jour_avant_livr]]+Tab_Calculs[[#This Row],[ratio_avant_debut]],"")</f>
        <v/>
      </c>
      <c r="O848" t="e">
        <f ca="1">INDEX(INDIRECT(CONCATENATE("Tab_",Tab_Calculs[[#This Row],[Colonne1]])),Tab_Calculs[[#This Row],[index_date_livraison]]-1,7)*(MAX(Tab_Calculs[[#This Row],[Début periode livraison]],Tab_Calculs[[#This Row],[Début mois]])-Tab_Calculs[[#This Row],[Début mois]])</f>
        <v>#VALUE!</v>
      </c>
      <c r="P848">
        <f ca="1">INDEX(INDIRECT(CONCATENATE("Tab_",Tab_Calculs[[#This Row],[Colonne1]])),Tab_Calculs[[#This Row],[index_date_livraison]],7)*(1+MIN(Tab_Calculs[[#This Row],[Date_livraison]],Tab_Calculs[[#This Row],[fin mois]])-MAX(Tab_Calculs[[#This Row],[Début mois]],Tab_Calculs[[#This Row],[Début periode livraison]]))</f>
        <v>0</v>
      </c>
      <c r="Q848" t="e">
        <f ca="1">INDEX(INDIRECT(CONCATENATE("Tab_",Tab_Calculs[[#This Row],[Colonne1]])),Tab_Calculs[[#This Row],[index_date_livraison]]+1,7)*(Tab_Calculs[[#This Row],[fin mois]]-MIN(Tab_Calculs[[#This Row],[fin mois]],Tab_Calculs[[#This Row],[Date_livraison]]))</f>
        <v>#VALUE!</v>
      </c>
      <c r="R848" t="e">
        <f ca="1">Tab_Calculs[[#This Row],[Ratio_Cout_après_livr]]+Tab_Calculs[[#This Row],[Ratio_Cout_avant_livr]]+Tab_Calculs[[#This Row],[Ratio_Cout_avant_debut]]</f>
        <v>#VALUE!</v>
      </c>
      <c r="S848" t="str">
        <f ca="1">IFERROR(N848*VLOOKUP(Tab_Calculs[[#This Row],[Colonne1]],Controle_des_données!$B$7:$G$14,6,FALSE),"")</f>
        <v/>
      </c>
      <c r="T848" t="str">
        <f ca="1">IF(Tab_Calculs[[#This Row],[Combustible ]]="Electricité (kWh)",Tab_Calculs[[#This Row],[Conso_mois_kWh]]*2.3,Tab_Calculs[[#This Row],[Conso_mois_kWh]])</f>
        <v/>
      </c>
      <c r="U848" t="str">
        <f ca="1">IFERROR(N848*VLOOKUP(Tab_Calculs[[#This Row],[Colonne1]],Controle_des_données!$B$7:$H$14,7,FALSE),"")</f>
        <v/>
      </c>
      <c r="V848">
        <f ca="1">IFERROR(Tab_Calculs[[#This Row],[Cout_mois]]/Tab_Calculs[[#This Row],[Conso_mois_kWh]],0)</f>
        <v>0</v>
      </c>
      <c r="W848" t="str">
        <f>T(VLOOKUP(Tab_Calculs[[#This Row],[Compteur]],Site!$B$33:$G$40,3,FALSE))</f>
        <v/>
      </c>
      <c r="X848" t="str">
        <f>T(VLOOKUP(Tab_Calculs[[#This Row],[Compteur]],Site!$B$33:$G$40,4,FALSE))</f>
        <v/>
      </c>
      <c r="Y848" t="str">
        <f>T(VLOOKUP(Tab_Calculs[[#This Row],[Compteur]],Site!$B$33:$G$40,5,FALSE))</f>
        <v/>
      </c>
      <c r="Z848" t="str">
        <f>T(VLOOKUP(Tab_Calculs[[#This Row],[Compteur]],Site!$B$33:$G$40,6,FALSE))</f>
        <v/>
      </c>
      <c r="AA848">
        <f>IFERROR(GETPIVOTDATA("DJU(chauffagiste)",BDD_DJU!$P$13,"annee",Tab_Calculs[[#This Row],[ANNEE]],"mois_numero",Tab_Calculs[[#This Row],[MOIS]]),0)</f>
        <v>258.5</v>
      </c>
    </row>
    <row r="849" spans="1:27" x14ac:dyDescent="0.25">
      <c r="A849" s="3">
        <f>DATE(Tab_Calculs[[#This Row],[ANNEE]],Tab_Calculs[[#This Row],[MOIS]],1)</f>
        <v>42370</v>
      </c>
      <c r="B849" s="3">
        <f>EDATE(Tab_Calculs[[#This Row],[Début mois]],1)-1</f>
        <v>42400</v>
      </c>
      <c r="C849">
        <f>C837</f>
        <v>1</v>
      </c>
      <c r="D849">
        <f t="shared" si="28"/>
        <v>2016</v>
      </c>
      <c r="E849" t="s">
        <v>84</v>
      </c>
      <c r="F849" t="str">
        <f>SUBSTITUTE(Tab_Calculs[[#This Row],[Compteur]]," ","_")</f>
        <v>Compteur_5</v>
      </c>
      <c r="G849" t="str">
        <f>T(INDEX(Site!$B$33:$G$40, MATCH(Tab_Calculs[[#This Row],[Compteur]], Site!$B$33:$B$40,0),2))</f>
        <v/>
      </c>
      <c r="H849" s="3">
        <f t="array" aca="1" ref="H849" ca="1">MIN(IF(INDIRECT(CONCATENATE(Tab_Calculs[[#This Row],[Colonne1]],"!$B$2:$B$243"))&gt;=Calculs_Consos!$A849,INDIRECT(CONCATENATE(Tab_Calculs[[#This Row],[Colonne1]],"!$B$2:$B$243"))))</f>
        <v>0</v>
      </c>
      <c r="I849" s="3">
        <f ca="1">INDEX(INDIRECT(CONCATENATE("Tab_",Tab_Calculs[[#This Row],[Colonne1]])),Tab_Calculs[[#This Row],[index_date_livraison]],1)</f>
        <v>0</v>
      </c>
      <c r="J849">
        <f ca="1">MATCH(Tab_Calculs[[#This Row],[Date_livraison]],INDIRECT(CONCATENATE("Tab_",Tab_Calculs[[#This Row],[Colonne1]],"[Fin de période]")),0)</f>
        <v>1</v>
      </c>
      <c r="K849" t="e">
        <f ca="1">INDEX(INDIRECT(CONCATENATE("Tab_",Tab_Calculs[[#This Row],[Colonne1]])),Tab_Calculs[[#This Row],[index_date_livraison]]-1,6)*(MAX(Tab_Calculs[[#This Row],[Début periode livraison]],Tab_Calculs[[#This Row],[Début mois]])-Tab_Calculs[[#This Row],[Début mois]])</f>
        <v>#VALUE!</v>
      </c>
      <c r="L849" s="94">
        <f ca="1">INDEX(INDIRECT(CONCATENATE("Tab_",Tab_Calculs[[#This Row],[Colonne1]])),Tab_Calculs[[#This Row],[index_date_livraison]],6)*(1+MIN(Tab_Calculs[[#This Row],[Date_livraison]],Tab_Calculs[[#This Row],[fin mois]])-MAX(Tab_Calculs[[#This Row],[Début mois]],Tab_Calculs[[#This Row],[Début periode livraison]]))</f>
        <v>0</v>
      </c>
      <c r="M849" s="94" t="e">
        <f ca="1">INDEX(INDIRECT(CONCATENATE("Tab_",Tab_Calculs[[#This Row],[Colonne1]])),Tab_Calculs[[#This Row],[index_date_livraison]]+1,6)*(Tab_Calculs[[#This Row],[fin mois]]-MIN(Tab_Calculs[[#This Row],[fin mois]],Tab_Calculs[[#This Row],[Date_livraison]]))</f>
        <v>#VALUE!</v>
      </c>
      <c r="N849" s="231" t="str">
        <f ca="1">IFERROR(Tab_Calculs[[#This Row],[Ratio_jour_après_livr]]+Tab_Calculs[[#This Row],[Ratio_jour_avant_livr]]+Tab_Calculs[[#This Row],[ratio_avant_debut]],"")</f>
        <v/>
      </c>
      <c r="O849" t="e">
        <f ca="1">INDEX(INDIRECT(CONCATENATE("Tab_",Tab_Calculs[[#This Row],[Colonne1]])),Tab_Calculs[[#This Row],[index_date_livraison]]-1,7)*(MAX(Tab_Calculs[[#This Row],[Début periode livraison]],Tab_Calculs[[#This Row],[Début mois]])-Tab_Calculs[[#This Row],[Début mois]])</f>
        <v>#VALUE!</v>
      </c>
      <c r="P849">
        <f ca="1">INDEX(INDIRECT(CONCATENATE("Tab_",Tab_Calculs[[#This Row],[Colonne1]])),Tab_Calculs[[#This Row],[index_date_livraison]],7)*(1+MIN(Tab_Calculs[[#This Row],[Date_livraison]],Tab_Calculs[[#This Row],[fin mois]])-MAX(Tab_Calculs[[#This Row],[Début mois]],Tab_Calculs[[#This Row],[Début periode livraison]]))</f>
        <v>0</v>
      </c>
      <c r="Q849" t="e">
        <f ca="1">INDEX(INDIRECT(CONCATENATE("Tab_",Tab_Calculs[[#This Row],[Colonne1]])),Tab_Calculs[[#This Row],[index_date_livraison]]+1,7)*(Tab_Calculs[[#This Row],[fin mois]]-MIN(Tab_Calculs[[#This Row],[fin mois]],Tab_Calculs[[#This Row],[Date_livraison]]))</f>
        <v>#VALUE!</v>
      </c>
      <c r="R849" t="e">
        <f ca="1">Tab_Calculs[[#This Row],[Ratio_Cout_après_livr]]+Tab_Calculs[[#This Row],[Ratio_Cout_avant_livr]]+Tab_Calculs[[#This Row],[Ratio_Cout_avant_debut]]</f>
        <v>#VALUE!</v>
      </c>
      <c r="S849" t="str">
        <f ca="1">IFERROR(N849*VLOOKUP(Tab_Calculs[[#This Row],[Colonne1]],Controle_des_données!$B$7:$G$14,6,FALSE),"")</f>
        <v/>
      </c>
      <c r="T849" t="str">
        <f ca="1">IF(Tab_Calculs[[#This Row],[Combustible ]]="Electricité (kWh)",Tab_Calculs[[#This Row],[Conso_mois_kWh]]*2.3,Tab_Calculs[[#This Row],[Conso_mois_kWh]])</f>
        <v/>
      </c>
      <c r="U849" t="str">
        <f ca="1">IFERROR(N849*VLOOKUP(Tab_Calculs[[#This Row],[Colonne1]],Controle_des_données!$B$7:$H$14,7,FALSE),"")</f>
        <v/>
      </c>
      <c r="V849">
        <f ca="1">IFERROR(Tab_Calculs[[#This Row],[Cout_mois]]/Tab_Calculs[[#This Row],[Conso_mois_kWh]],0)</f>
        <v>0</v>
      </c>
      <c r="W849" t="str">
        <f>T(VLOOKUP(Tab_Calculs[[#This Row],[Compteur]],Site!$B$33:$G$40,3,FALSE))</f>
        <v/>
      </c>
      <c r="X849" t="str">
        <f>T(VLOOKUP(Tab_Calculs[[#This Row],[Compteur]],Site!$B$33:$G$40,4,FALSE))</f>
        <v/>
      </c>
      <c r="Y849" t="str">
        <f>T(VLOOKUP(Tab_Calculs[[#This Row],[Compteur]],Site!$B$33:$G$40,5,FALSE))</f>
        <v/>
      </c>
      <c r="Z849" t="str">
        <f>T(VLOOKUP(Tab_Calculs[[#This Row],[Compteur]],Site!$B$33:$G$40,6,FALSE))</f>
        <v/>
      </c>
      <c r="AA849">
        <f>IFERROR(GETPIVOTDATA("DJU(chauffagiste)",BDD_DJU!$P$13,"annee",Tab_Calculs[[#This Row],[ANNEE]],"mois_numero",Tab_Calculs[[#This Row],[MOIS]]),0)</f>
        <v>348.4</v>
      </c>
    </row>
    <row r="850" spans="1:27" x14ac:dyDescent="0.25">
      <c r="A850" s="3">
        <f>DATE(Tab_Calculs[[#This Row],[ANNEE]],Tab_Calculs[[#This Row],[MOIS]],1)</f>
        <v>42401</v>
      </c>
      <c r="B850" s="3">
        <f>EDATE(Tab_Calculs[[#This Row],[Début mois]],1)-1</f>
        <v>42429</v>
      </c>
      <c r="C850">
        <f t="shared" ref="C850:C913" si="29">C838</f>
        <v>2</v>
      </c>
      <c r="D850">
        <f t="shared" si="28"/>
        <v>2016</v>
      </c>
      <c r="E850" t="s">
        <v>84</v>
      </c>
      <c r="F850" t="str">
        <f>SUBSTITUTE(Tab_Calculs[[#This Row],[Compteur]]," ","_")</f>
        <v>Compteur_5</v>
      </c>
      <c r="G850" t="str">
        <f>T(INDEX(Site!$B$33:$G$40, MATCH(Tab_Calculs[[#This Row],[Compteur]], Site!$B$33:$B$40,0),2))</f>
        <v/>
      </c>
      <c r="H850" s="3">
        <f t="array" aca="1" ref="H850" ca="1">MIN(IF(INDIRECT(CONCATENATE(Tab_Calculs[[#This Row],[Colonne1]],"!$B$2:$B$243"))&gt;=Calculs_Consos!$A850,INDIRECT(CONCATENATE(Tab_Calculs[[#This Row],[Colonne1]],"!$B$2:$B$243"))))</f>
        <v>0</v>
      </c>
      <c r="I850" s="3">
        <f ca="1">INDEX(INDIRECT(CONCATENATE("Tab_",Tab_Calculs[[#This Row],[Colonne1]])),Tab_Calculs[[#This Row],[index_date_livraison]],1)</f>
        <v>0</v>
      </c>
      <c r="J850">
        <f ca="1">MATCH(Tab_Calculs[[#This Row],[Date_livraison]],INDIRECT(CONCATENATE("Tab_",Tab_Calculs[[#This Row],[Colonne1]],"[Fin de période]")),0)</f>
        <v>1</v>
      </c>
      <c r="K850" t="e">
        <f ca="1">INDEX(INDIRECT(CONCATENATE("Tab_",Tab_Calculs[[#This Row],[Colonne1]])),Tab_Calculs[[#This Row],[index_date_livraison]]-1,6)*(MAX(Tab_Calculs[[#This Row],[Début periode livraison]],Tab_Calculs[[#This Row],[Début mois]])-Tab_Calculs[[#This Row],[Début mois]])</f>
        <v>#VALUE!</v>
      </c>
      <c r="L850" s="94">
        <f ca="1">INDEX(INDIRECT(CONCATENATE("Tab_",Tab_Calculs[[#This Row],[Colonne1]])),Tab_Calculs[[#This Row],[index_date_livraison]],6)*(1+MIN(Tab_Calculs[[#This Row],[Date_livraison]],Tab_Calculs[[#This Row],[fin mois]])-MAX(Tab_Calculs[[#This Row],[Début mois]],Tab_Calculs[[#This Row],[Début periode livraison]]))</f>
        <v>0</v>
      </c>
      <c r="M850" s="94" t="e">
        <f ca="1">INDEX(INDIRECT(CONCATENATE("Tab_",Tab_Calculs[[#This Row],[Colonne1]])),Tab_Calculs[[#This Row],[index_date_livraison]]+1,6)*(Tab_Calculs[[#This Row],[fin mois]]-MIN(Tab_Calculs[[#This Row],[fin mois]],Tab_Calculs[[#This Row],[Date_livraison]]))</f>
        <v>#VALUE!</v>
      </c>
      <c r="N850" s="231" t="str">
        <f ca="1">IFERROR(Tab_Calculs[[#This Row],[Ratio_jour_après_livr]]+Tab_Calculs[[#This Row],[Ratio_jour_avant_livr]]+Tab_Calculs[[#This Row],[ratio_avant_debut]],"")</f>
        <v/>
      </c>
      <c r="O850" t="e">
        <f ca="1">INDEX(INDIRECT(CONCATENATE("Tab_",Tab_Calculs[[#This Row],[Colonne1]])),Tab_Calculs[[#This Row],[index_date_livraison]]-1,7)*(MAX(Tab_Calculs[[#This Row],[Début periode livraison]],Tab_Calculs[[#This Row],[Début mois]])-Tab_Calculs[[#This Row],[Début mois]])</f>
        <v>#VALUE!</v>
      </c>
      <c r="P850">
        <f ca="1">INDEX(INDIRECT(CONCATENATE("Tab_",Tab_Calculs[[#This Row],[Colonne1]])),Tab_Calculs[[#This Row],[index_date_livraison]],7)*(1+MIN(Tab_Calculs[[#This Row],[Date_livraison]],Tab_Calculs[[#This Row],[fin mois]])-MAX(Tab_Calculs[[#This Row],[Début mois]],Tab_Calculs[[#This Row],[Début periode livraison]]))</f>
        <v>0</v>
      </c>
      <c r="Q850" t="e">
        <f ca="1">INDEX(INDIRECT(CONCATENATE("Tab_",Tab_Calculs[[#This Row],[Colonne1]])),Tab_Calculs[[#This Row],[index_date_livraison]]+1,7)*(Tab_Calculs[[#This Row],[fin mois]]-MIN(Tab_Calculs[[#This Row],[fin mois]],Tab_Calculs[[#This Row],[Date_livraison]]))</f>
        <v>#VALUE!</v>
      </c>
      <c r="R850" t="e">
        <f ca="1">Tab_Calculs[[#This Row],[Ratio_Cout_après_livr]]+Tab_Calculs[[#This Row],[Ratio_Cout_avant_livr]]+Tab_Calculs[[#This Row],[Ratio_Cout_avant_debut]]</f>
        <v>#VALUE!</v>
      </c>
      <c r="S850" t="str">
        <f ca="1">IFERROR(N850*VLOOKUP(Tab_Calculs[[#This Row],[Colonne1]],Controle_des_données!$B$7:$G$14,6,FALSE),"")</f>
        <v/>
      </c>
      <c r="T850" t="str">
        <f ca="1">IF(Tab_Calculs[[#This Row],[Combustible ]]="Electricité (kWh)",Tab_Calculs[[#This Row],[Conso_mois_kWh]]*2.3,Tab_Calculs[[#This Row],[Conso_mois_kWh]])</f>
        <v/>
      </c>
      <c r="U850" t="str">
        <f ca="1">IFERROR(N850*VLOOKUP(Tab_Calculs[[#This Row],[Colonne1]],Controle_des_données!$B$7:$H$14,7,FALSE),"")</f>
        <v/>
      </c>
      <c r="V850">
        <f ca="1">IFERROR(Tab_Calculs[[#This Row],[Cout_mois]]/Tab_Calculs[[#This Row],[Conso_mois_kWh]],0)</f>
        <v>0</v>
      </c>
      <c r="W850" t="str">
        <f>T(VLOOKUP(Tab_Calculs[[#This Row],[Compteur]],Site!$B$33:$G$40,3,FALSE))</f>
        <v/>
      </c>
      <c r="X850" t="str">
        <f>T(VLOOKUP(Tab_Calculs[[#This Row],[Compteur]],Site!$B$33:$G$40,4,FALSE))</f>
        <v/>
      </c>
      <c r="Y850" t="str">
        <f>T(VLOOKUP(Tab_Calculs[[#This Row],[Compteur]],Site!$B$33:$G$40,5,FALSE))</f>
        <v/>
      </c>
      <c r="Z850" t="str">
        <f>T(VLOOKUP(Tab_Calculs[[#This Row],[Compteur]],Site!$B$33:$G$40,6,FALSE))</f>
        <v/>
      </c>
      <c r="AA850">
        <f>IFERROR(GETPIVOTDATA("DJU(chauffagiste)",BDD_DJU!$P$13,"annee",Tab_Calculs[[#This Row],[ANNEE]],"mois_numero",Tab_Calculs[[#This Row],[MOIS]]),0)</f>
        <v>321.2</v>
      </c>
    </row>
    <row r="851" spans="1:27" x14ac:dyDescent="0.25">
      <c r="A851" s="3">
        <f>DATE(Tab_Calculs[[#This Row],[ANNEE]],Tab_Calculs[[#This Row],[MOIS]],1)</f>
        <v>42430</v>
      </c>
      <c r="B851" s="3">
        <f>EDATE(Tab_Calculs[[#This Row],[Début mois]],1)-1</f>
        <v>42460</v>
      </c>
      <c r="C851">
        <f t="shared" si="29"/>
        <v>3</v>
      </c>
      <c r="D851">
        <f t="shared" si="28"/>
        <v>2016</v>
      </c>
      <c r="E851" t="s">
        <v>84</v>
      </c>
      <c r="F851" t="str">
        <f>SUBSTITUTE(Tab_Calculs[[#This Row],[Compteur]]," ","_")</f>
        <v>Compteur_5</v>
      </c>
      <c r="G851" t="str">
        <f>T(INDEX(Site!$B$33:$G$40, MATCH(Tab_Calculs[[#This Row],[Compteur]], Site!$B$33:$B$40,0),2))</f>
        <v/>
      </c>
      <c r="H851" s="3">
        <f t="array" aca="1" ref="H851" ca="1">MIN(IF(INDIRECT(CONCATENATE(Tab_Calculs[[#This Row],[Colonne1]],"!$B$2:$B$243"))&gt;=Calculs_Consos!$A851,INDIRECT(CONCATENATE(Tab_Calculs[[#This Row],[Colonne1]],"!$B$2:$B$243"))))</f>
        <v>0</v>
      </c>
      <c r="I851" s="3">
        <f ca="1">INDEX(INDIRECT(CONCATENATE("Tab_",Tab_Calculs[[#This Row],[Colonne1]])),Tab_Calculs[[#This Row],[index_date_livraison]],1)</f>
        <v>0</v>
      </c>
      <c r="J851">
        <f ca="1">MATCH(Tab_Calculs[[#This Row],[Date_livraison]],INDIRECT(CONCATENATE("Tab_",Tab_Calculs[[#This Row],[Colonne1]],"[Fin de période]")),0)</f>
        <v>1</v>
      </c>
      <c r="K851" t="e">
        <f ca="1">INDEX(INDIRECT(CONCATENATE("Tab_",Tab_Calculs[[#This Row],[Colonne1]])),Tab_Calculs[[#This Row],[index_date_livraison]]-1,6)*(MAX(Tab_Calculs[[#This Row],[Début periode livraison]],Tab_Calculs[[#This Row],[Début mois]])-Tab_Calculs[[#This Row],[Début mois]])</f>
        <v>#VALUE!</v>
      </c>
      <c r="L851" s="94">
        <f ca="1">INDEX(INDIRECT(CONCATENATE("Tab_",Tab_Calculs[[#This Row],[Colonne1]])),Tab_Calculs[[#This Row],[index_date_livraison]],6)*(1+MIN(Tab_Calculs[[#This Row],[Date_livraison]],Tab_Calculs[[#This Row],[fin mois]])-MAX(Tab_Calculs[[#This Row],[Début mois]],Tab_Calculs[[#This Row],[Début periode livraison]]))</f>
        <v>0</v>
      </c>
      <c r="M851" s="94" t="e">
        <f ca="1">INDEX(INDIRECT(CONCATENATE("Tab_",Tab_Calculs[[#This Row],[Colonne1]])),Tab_Calculs[[#This Row],[index_date_livraison]]+1,6)*(Tab_Calculs[[#This Row],[fin mois]]-MIN(Tab_Calculs[[#This Row],[fin mois]],Tab_Calculs[[#This Row],[Date_livraison]]))</f>
        <v>#VALUE!</v>
      </c>
      <c r="N851" s="231" t="str">
        <f ca="1">IFERROR(Tab_Calculs[[#This Row],[Ratio_jour_après_livr]]+Tab_Calculs[[#This Row],[Ratio_jour_avant_livr]]+Tab_Calculs[[#This Row],[ratio_avant_debut]],"")</f>
        <v/>
      </c>
      <c r="O851" t="e">
        <f ca="1">INDEX(INDIRECT(CONCATENATE("Tab_",Tab_Calculs[[#This Row],[Colonne1]])),Tab_Calculs[[#This Row],[index_date_livraison]]-1,7)*(MAX(Tab_Calculs[[#This Row],[Début periode livraison]],Tab_Calculs[[#This Row],[Début mois]])-Tab_Calculs[[#This Row],[Début mois]])</f>
        <v>#VALUE!</v>
      </c>
      <c r="P851">
        <f ca="1">INDEX(INDIRECT(CONCATENATE("Tab_",Tab_Calculs[[#This Row],[Colonne1]])),Tab_Calculs[[#This Row],[index_date_livraison]],7)*(1+MIN(Tab_Calculs[[#This Row],[Date_livraison]],Tab_Calculs[[#This Row],[fin mois]])-MAX(Tab_Calculs[[#This Row],[Début mois]],Tab_Calculs[[#This Row],[Début periode livraison]]))</f>
        <v>0</v>
      </c>
      <c r="Q851" t="e">
        <f ca="1">INDEX(INDIRECT(CONCATENATE("Tab_",Tab_Calculs[[#This Row],[Colonne1]])),Tab_Calculs[[#This Row],[index_date_livraison]]+1,7)*(Tab_Calculs[[#This Row],[fin mois]]-MIN(Tab_Calculs[[#This Row],[fin mois]],Tab_Calculs[[#This Row],[Date_livraison]]))</f>
        <v>#VALUE!</v>
      </c>
      <c r="R851" t="e">
        <f ca="1">Tab_Calculs[[#This Row],[Ratio_Cout_après_livr]]+Tab_Calculs[[#This Row],[Ratio_Cout_avant_livr]]+Tab_Calculs[[#This Row],[Ratio_Cout_avant_debut]]</f>
        <v>#VALUE!</v>
      </c>
      <c r="S851" t="str">
        <f ca="1">IFERROR(N851*VLOOKUP(Tab_Calculs[[#This Row],[Colonne1]],Controle_des_données!$B$7:$G$14,6,FALSE),"")</f>
        <v/>
      </c>
      <c r="T851" t="str">
        <f ca="1">IF(Tab_Calculs[[#This Row],[Combustible ]]="Electricité (kWh)",Tab_Calculs[[#This Row],[Conso_mois_kWh]]*2.3,Tab_Calculs[[#This Row],[Conso_mois_kWh]])</f>
        <v/>
      </c>
      <c r="U851" t="str">
        <f ca="1">IFERROR(N851*VLOOKUP(Tab_Calculs[[#This Row],[Colonne1]],Controle_des_données!$B$7:$H$14,7,FALSE),"")</f>
        <v/>
      </c>
      <c r="V851">
        <f ca="1">IFERROR(Tab_Calculs[[#This Row],[Cout_mois]]/Tab_Calculs[[#This Row],[Conso_mois_kWh]],0)</f>
        <v>0</v>
      </c>
      <c r="W851" t="str">
        <f>T(VLOOKUP(Tab_Calculs[[#This Row],[Compteur]],Site!$B$33:$G$40,3,FALSE))</f>
        <v/>
      </c>
      <c r="X851" t="str">
        <f>T(VLOOKUP(Tab_Calculs[[#This Row],[Compteur]],Site!$B$33:$G$40,4,FALSE))</f>
        <v/>
      </c>
      <c r="Y851" t="str">
        <f>T(VLOOKUP(Tab_Calculs[[#This Row],[Compteur]],Site!$B$33:$G$40,5,FALSE))</f>
        <v/>
      </c>
      <c r="Z851" t="str">
        <f>T(VLOOKUP(Tab_Calculs[[#This Row],[Compteur]],Site!$B$33:$G$40,6,FALSE))</f>
        <v/>
      </c>
      <c r="AA851">
        <f>IFERROR(GETPIVOTDATA("DJU(chauffagiste)",BDD_DJU!$P$13,"annee",Tab_Calculs[[#This Row],[ANNEE]],"mois_numero",Tab_Calculs[[#This Row],[MOIS]]),0)</f>
        <v>328.3</v>
      </c>
    </row>
    <row r="852" spans="1:27" x14ac:dyDescent="0.25">
      <c r="A852" s="3">
        <f>DATE(Tab_Calculs[[#This Row],[ANNEE]],Tab_Calculs[[#This Row],[MOIS]],1)</f>
        <v>42461</v>
      </c>
      <c r="B852" s="3">
        <f>EDATE(Tab_Calculs[[#This Row],[Début mois]],1)-1</f>
        <v>42490</v>
      </c>
      <c r="C852">
        <f t="shared" si="29"/>
        <v>4</v>
      </c>
      <c r="D852">
        <f t="shared" si="28"/>
        <v>2016</v>
      </c>
      <c r="E852" t="s">
        <v>84</v>
      </c>
      <c r="F852" t="str">
        <f>SUBSTITUTE(Tab_Calculs[[#This Row],[Compteur]]," ","_")</f>
        <v>Compteur_5</v>
      </c>
      <c r="G852" t="str">
        <f>T(INDEX(Site!$B$33:$G$40, MATCH(Tab_Calculs[[#This Row],[Compteur]], Site!$B$33:$B$40,0),2))</f>
        <v/>
      </c>
      <c r="H852" s="3">
        <f t="array" aca="1" ref="H852" ca="1">MIN(IF(INDIRECT(CONCATENATE(Tab_Calculs[[#This Row],[Colonne1]],"!$B$2:$B$243"))&gt;=Calculs_Consos!$A852,INDIRECT(CONCATENATE(Tab_Calculs[[#This Row],[Colonne1]],"!$B$2:$B$243"))))</f>
        <v>0</v>
      </c>
      <c r="I852" s="3">
        <f ca="1">INDEX(INDIRECT(CONCATENATE("Tab_",Tab_Calculs[[#This Row],[Colonne1]])),Tab_Calculs[[#This Row],[index_date_livraison]],1)</f>
        <v>0</v>
      </c>
      <c r="J852">
        <f ca="1">MATCH(Tab_Calculs[[#This Row],[Date_livraison]],INDIRECT(CONCATENATE("Tab_",Tab_Calculs[[#This Row],[Colonne1]],"[Fin de période]")),0)</f>
        <v>1</v>
      </c>
      <c r="K852" t="e">
        <f ca="1">INDEX(INDIRECT(CONCATENATE("Tab_",Tab_Calculs[[#This Row],[Colonne1]])),Tab_Calculs[[#This Row],[index_date_livraison]]-1,6)*(MAX(Tab_Calculs[[#This Row],[Début periode livraison]],Tab_Calculs[[#This Row],[Début mois]])-Tab_Calculs[[#This Row],[Début mois]])</f>
        <v>#VALUE!</v>
      </c>
      <c r="L852" s="94">
        <f ca="1">INDEX(INDIRECT(CONCATENATE("Tab_",Tab_Calculs[[#This Row],[Colonne1]])),Tab_Calculs[[#This Row],[index_date_livraison]],6)*(1+MIN(Tab_Calculs[[#This Row],[Date_livraison]],Tab_Calculs[[#This Row],[fin mois]])-MAX(Tab_Calculs[[#This Row],[Début mois]],Tab_Calculs[[#This Row],[Début periode livraison]]))</f>
        <v>0</v>
      </c>
      <c r="M852" s="94" t="e">
        <f ca="1">INDEX(INDIRECT(CONCATENATE("Tab_",Tab_Calculs[[#This Row],[Colonne1]])),Tab_Calculs[[#This Row],[index_date_livraison]]+1,6)*(Tab_Calculs[[#This Row],[fin mois]]-MIN(Tab_Calculs[[#This Row],[fin mois]],Tab_Calculs[[#This Row],[Date_livraison]]))</f>
        <v>#VALUE!</v>
      </c>
      <c r="N852" s="231" t="str">
        <f ca="1">IFERROR(Tab_Calculs[[#This Row],[Ratio_jour_après_livr]]+Tab_Calculs[[#This Row],[Ratio_jour_avant_livr]]+Tab_Calculs[[#This Row],[ratio_avant_debut]],"")</f>
        <v/>
      </c>
      <c r="O852" t="e">
        <f ca="1">INDEX(INDIRECT(CONCATENATE("Tab_",Tab_Calculs[[#This Row],[Colonne1]])),Tab_Calculs[[#This Row],[index_date_livraison]]-1,7)*(MAX(Tab_Calculs[[#This Row],[Début periode livraison]],Tab_Calculs[[#This Row],[Début mois]])-Tab_Calculs[[#This Row],[Début mois]])</f>
        <v>#VALUE!</v>
      </c>
      <c r="P852">
        <f ca="1">INDEX(INDIRECT(CONCATENATE("Tab_",Tab_Calculs[[#This Row],[Colonne1]])),Tab_Calculs[[#This Row],[index_date_livraison]],7)*(1+MIN(Tab_Calculs[[#This Row],[Date_livraison]],Tab_Calculs[[#This Row],[fin mois]])-MAX(Tab_Calculs[[#This Row],[Début mois]],Tab_Calculs[[#This Row],[Début periode livraison]]))</f>
        <v>0</v>
      </c>
      <c r="Q852" t="e">
        <f ca="1">INDEX(INDIRECT(CONCATENATE("Tab_",Tab_Calculs[[#This Row],[Colonne1]])),Tab_Calculs[[#This Row],[index_date_livraison]]+1,7)*(Tab_Calculs[[#This Row],[fin mois]]-MIN(Tab_Calculs[[#This Row],[fin mois]],Tab_Calculs[[#This Row],[Date_livraison]]))</f>
        <v>#VALUE!</v>
      </c>
      <c r="R852" t="e">
        <f ca="1">Tab_Calculs[[#This Row],[Ratio_Cout_après_livr]]+Tab_Calculs[[#This Row],[Ratio_Cout_avant_livr]]+Tab_Calculs[[#This Row],[Ratio_Cout_avant_debut]]</f>
        <v>#VALUE!</v>
      </c>
      <c r="S852" t="str">
        <f ca="1">IFERROR(N852*VLOOKUP(Tab_Calculs[[#This Row],[Colonne1]],Controle_des_données!$B$7:$G$14,6,FALSE),"")</f>
        <v/>
      </c>
      <c r="T852" t="str">
        <f ca="1">IF(Tab_Calculs[[#This Row],[Combustible ]]="Electricité (kWh)",Tab_Calculs[[#This Row],[Conso_mois_kWh]]*2.3,Tab_Calculs[[#This Row],[Conso_mois_kWh]])</f>
        <v/>
      </c>
      <c r="U852" t="str">
        <f ca="1">IFERROR(N852*VLOOKUP(Tab_Calculs[[#This Row],[Colonne1]],Controle_des_données!$B$7:$H$14,7,FALSE),"")</f>
        <v/>
      </c>
      <c r="V852">
        <f ca="1">IFERROR(Tab_Calculs[[#This Row],[Cout_mois]]/Tab_Calculs[[#This Row],[Conso_mois_kWh]],0)</f>
        <v>0</v>
      </c>
      <c r="W852" t="str">
        <f>T(VLOOKUP(Tab_Calculs[[#This Row],[Compteur]],Site!$B$33:$G$40,3,FALSE))</f>
        <v/>
      </c>
      <c r="X852" t="str">
        <f>T(VLOOKUP(Tab_Calculs[[#This Row],[Compteur]],Site!$B$33:$G$40,4,FALSE))</f>
        <v/>
      </c>
      <c r="Y852" t="str">
        <f>T(VLOOKUP(Tab_Calculs[[#This Row],[Compteur]],Site!$B$33:$G$40,5,FALSE))</f>
        <v/>
      </c>
      <c r="Z852" t="str">
        <f>T(VLOOKUP(Tab_Calculs[[#This Row],[Compteur]],Site!$B$33:$G$40,6,FALSE))</f>
        <v/>
      </c>
      <c r="AA852">
        <f>IFERROR(GETPIVOTDATA("DJU(chauffagiste)",BDD_DJU!$P$13,"annee",Tab_Calculs[[#This Row],[ANNEE]],"mois_numero",Tab_Calculs[[#This Row],[MOIS]]),0)</f>
        <v>252.6</v>
      </c>
    </row>
    <row r="853" spans="1:27" x14ac:dyDescent="0.25">
      <c r="A853" s="3">
        <f>DATE(Tab_Calculs[[#This Row],[ANNEE]],Tab_Calculs[[#This Row],[MOIS]],1)</f>
        <v>42491</v>
      </c>
      <c r="B853" s="3">
        <f>EDATE(Tab_Calculs[[#This Row],[Début mois]],1)-1</f>
        <v>42521</v>
      </c>
      <c r="C853">
        <f t="shared" si="29"/>
        <v>5</v>
      </c>
      <c r="D853">
        <f t="shared" si="28"/>
        <v>2016</v>
      </c>
      <c r="E853" t="s">
        <v>84</v>
      </c>
      <c r="F853" t="str">
        <f>SUBSTITUTE(Tab_Calculs[[#This Row],[Compteur]]," ","_")</f>
        <v>Compteur_5</v>
      </c>
      <c r="G853" t="str">
        <f>T(INDEX(Site!$B$33:$G$40, MATCH(Tab_Calculs[[#This Row],[Compteur]], Site!$B$33:$B$40,0),2))</f>
        <v/>
      </c>
      <c r="H853" s="3">
        <f t="array" aca="1" ref="H853" ca="1">MIN(IF(INDIRECT(CONCATENATE(Tab_Calculs[[#This Row],[Colonne1]],"!$B$2:$B$243"))&gt;=Calculs_Consos!$A853,INDIRECT(CONCATENATE(Tab_Calculs[[#This Row],[Colonne1]],"!$B$2:$B$243"))))</f>
        <v>0</v>
      </c>
      <c r="I853" s="3">
        <f ca="1">INDEX(INDIRECT(CONCATENATE("Tab_",Tab_Calculs[[#This Row],[Colonne1]])),Tab_Calculs[[#This Row],[index_date_livraison]],1)</f>
        <v>0</v>
      </c>
      <c r="J853">
        <f ca="1">MATCH(Tab_Calculs[[#This Row],[Date_livraison]],INDIRECT(CONCATENATE("Tab_",Tab_Calculs[[#This Row],[Colonne1]],"[Fin de période]")),0)</f>
        <v>1</v>
      </c>
      <c r="K853" t="e">
        <f ca="1">INDEX(INDIRECT(CONCATENATE("Tab_",Tab_Calculs[[#This Row],[Colonne1]])),Tab_Calculs[[#This Row],[index_date_livraison]]-1,6)*(MAX(Tab_Calculs[[#This Row],[Début periode livraison]],Tab_Calculs[[#This Row],[Début mois]])-Tab_Calculs[[#This Row],[Début mois]])</f>
        <v>#VALUE!</v>
      </c>
      <c r="L853" s="94">
        <f ca="1">INDEX(INDIRECT(CONCATENATE("Tab_",Tab_Calculs[[#This Row],[Colonne1]])),Tab_Calculs[[#This Row],[index_date_livraison]],6)*(1+MIN(Tab_Calculs[[#This Row],[Date_livraison]],Tab_Calculs[[#This Row],[fin mois]])-MAX(Tab_Calculs[[#This Row],[Début mois]],Tab_Calculs[[#This Row],[Début periode livraison]]))</f>
        <v>0</v>
      </c>
      <c r="M853" s="94" t="e">
        <f ca="1">INDEX(INDIRECT(CONCATENATE("Tab_",Tab_Calculs[[#This Row],[Colonne1]])),Tab_Calculs[[#This Row],[index_date_livraison]]+1,6)*(Tab_Calculs[[#This Row],[fin mois]]-MIN(Tab_Calculs[[#This Row],[fin mois]],Tab_Calculs[[#This Row],[Date_livraison]]))</f>
        <v>#VALUE!</v>
      </c>
      <c r="N853" s="231" t="str">
        <f ca="1">IFERROR(Tab_Calculs[[#This Row],[Ratio_jour_après_livr]]+Tab_Calculs[[#This Row],[Ratio_jour_avant_livr]]+Tab_Calculs[[#This Row],[ratio_avant_debut]],"")</f>
        <v/>
      </c>
      <c r="O853" t="e">
        <f ca="1">INDEX(INDIRECT(CONCATENATE("Tab_",Tab_Calculs[[#This Row],[Colonne1]])),Tab_Calculs[[#This Row],[index_date_livraison]]-1,7)*(MAX(Tab_Calculs[[#This Row],[Début periode livraison]],Tab_Calculs[[#This Row],[Début mois]])-Tab_Calculs[[#This Row],[Début mois]])</f>
        <v>#VALUE!</v>
      </c>
      <c r="P853">
        <f ca="1">INDEX(INDIRECT(CONCATENATE("Tab_",Tab_Calculs[[#This Row],[Colonne1]])),Tab_Calculs[[#This Row],[index_date_livraison]],7)*(1+MIN(Tab_Calculs[[#This Row],[Date_livraison]],Tab_Calculs[[#This Row],[fin mois]])-MAX(Tab_Calculs[[#This Row],[Début mois]],Tab_Calculs[[#This Row],[Début periode livraison]]))</f>
        <v>0</v>
      </c>
      <c r="Q853" t="e">
        <f ca="1">INDEX(INDIRECT(CONCATENATE("Tab_",Tab_Calculs[[#This Row],[Colonne1]])),Tab_Calculs[[#This Row],[index_date_livraison]]+1,7)*(Tab_Calculs[[#This Row],[fin mois]]-MIN(Tab_Calculs[[#This Row],[fin mois]],Tab_Calculs[[#This Row],[Date_livraison]]))</f>
        <v>#VALUE!</v>
      </c>
      <c r="R853" t="e">
        <f ca="1">Tab_Calculs[[#This Row],[Ratio_Cout_après_livr]]+Tab_Calculs[[#This Row],[Ratio_Cout_avant_livr]]+Tab_Calculs[[#This Row],[Ratio_Cout_avant_debut]]</f>
        <v>#VALUE!</v>
      </c>
      <c r="S853" t="str">
        <f ca="1">IFERROR(N853*VLOOKUP(Tab_Calculs[[#This Row],[Colonne1]],Controle_des_données!$B$7:$G$14,6,FALSE),"")</f>
        <v/>
      </c>
      <c r="T853" t="str">
        <f ca="1">IF(Tab_Calculs[[#This Row],[Combustible ]]="Electricité (kWh)",Tab_Calculs[[#This Row],[Conso_mois_kWh]]*2.3,Tab_Calculs[[#This Row],[Conso_mois_kWh]])</f>
        <v/>
      </c>
      <c r="U853" t="str">
        <f ca="1">IFERROR(N853*VLOOKUP(Tab_Calculs[[#This Row],[Colonne1]],Controle_des_données!$B$7:$H$14,7,FALSE),"")</f>
        <v/>
      </c>
      <c r="V853">
        <f ca="1">IFERROR(Tab_Calculs[[#This Row],[Cout_mois]]/Tab_Calculs[[#This Row],[Conso_mois_kWh]],0)</f>
        <v>0</v>
      </c>
      <c r="W853" t="str">
        <f>T(VLOOKUP(Tab_Calculs[[#This Row],[Compteur]],Site!$B$33:$G$40,3,FALSE))</f>
        <v/>
      </c>
      <c r="X853" t="str">
        <f>T(VLOOKUP(Tab_Calculs[[#This Row],[Compteur]],Site!$B$33:$G$40,4,FALSE))</f>
        <v/>
      </c>
      <c r="Y853" t="str">
        <f>T(VLOOKUP(Tab_Calculs[[#This Row],[Compteur]],Site!$B$33:$G$40,5,FALSE))</f>
        <v/>
      </c>
      <c r="Z853" t="str">
        <f>T(VLOOKUP(Tab_Calculs[[#This Row],[Compteur]],Site!$B$33:$G$40,6,FALSE))</f>
        <v/>
      </c>
      <c r="AA853">
        <f>IFERROR(GETPIVOTDATA("DJU(chauffagiste)",BDD_DJU!$P$13,"annee",Tab_Calculs[[#This Row],[ANNEE]],"mois_numero",Tab_Calculs[[#This Row],[MOIS]]),0)</f>
        <v>124.3</v>
      </c>
    </row>
    <row r="854" spans="1:27" x14ac:dyDescent="0.25">
      <c r="A854" s="3">
        <f>DATE(Tab_Calculs[[#This Row],[ANNEE]],Tab_Calculs[[#This Row],[MOIS]],1)</f>
        <v>42522</v>
      </c>
      <c r="B854" s="3">
        <f>EDATE(Tab_Calculs[[#This Row],[Début mois]],1)-1</f>
        <v>42551</v>
      </c>
      <c r="C854">
        <f t="shared" si="29"/>
        <v>6</v>
      </c>
      <c r="D854">
        <f t="shared" si="28"/>
        <v>2016</v>
      </c>
      <c r="E854" t="s">
        <v>84</v>
      </c>
      <c r="F854" t="str">
        <f>SUBSTITUTE(Tab_Calculs[[#This Row],[Compteur]]," ","_")</f>
        <v>Compteur_5</v>
      </c>
      <c r="G854" t="str">
        <f>T(INDEX(Site!$B$33:$G$40, MATCH(Tab_Calculs[[#This Row],[Compteur]], Site!$B$33:$B$40,0),2))</f>
        <v/>
      </c>
      <c r="H854" s="3">
        <f t="array" aca="1" ref="H854" ca="1">MIN(IF(INDIRECT(CONCATENATE(Tab_Calculs[[#This Row],[Colonne1]],"!$B$2:$B$243"))&gt;=Calculs_Consos!$A854,INDIRECT(CONCATENATE(Tab_Calculs[[#This Row],[Colonne1]],"!$B$2:$B$243"))))</f>
        <v>0</v>
      </c>
      <c r="I854" s="3">
        <f ca="1">INDEX(INDIRECT(CONCATENATE("Tab_",Tab_Calculs[[#This Row],[Colonne1]])),Tab_Calculs[[#This Row],[index_date_livraison]],1)</f>
        <v>0</v>
      </c>
      <c r="J854">
        <f ca="1">MATCH(Tab_Calculs[[#This Row],[Date_livraison]],INDIRECT(CONCATENATE("Tab_",Tab_Calculs[[#This Row],[Colonne1]],"[Fin de période]")),0)</f>
        <v>1</v>
      </c>
      <c r="K854" t="e">
        <f ca="1">INDEX(INDIRECT(CONCATENATE("Tab_",Tab_Calculs[[#This Row],[Colonne1]])),Tab_Calculs[[#This Row],[index_date_livraison]]-1,6)*(MAX(Tab_Calculs[[#This Row],[Début periode livraison]],Tab_Calculs[[#This Row],[Début mois]])-Tab_Calculs[[#This Row],[Début mois]])</f>
        <v>#VALUE!</v>
      </c>
      <c r="L854" s="94">
        <f ca="1">INDEX(INDIRECT(CONCATENATE("Tab_",Tab_Calculs[[#This Row],[Colonne1]])),Tab_Calculs[[#This Row],[index_date_livraison]],6)*(1+MIN(Tab_Calculs[[#This Row],[Date_livraison]],Tab_Calculs[[#This Row],[fin mois]])-MAX(Tab_Calculs[[#This Row],[Début mois]],Tab_Calculs[[#This Row],[Début periode livraison]]))</f>
        <v>0</v>
      </c>
      <c r="M854" s="94" t="e">
        <f ca="1">INDEX(INDIRECT(CONCATENATE("Tab_",Tab_Calculs[[#This Row],[Colonne1]])),Tab_Calculs[[#This Row],[index_date_livraison]]+1,6)*(Tab_Calculs[[#This Row],[fin mois]]-MIN(Tab_Calculs[[#This Row],[fin mois]],Tab_Calculs[[#This Row],[Date_livraison]]))</f>
        <v>#VALUE!</v>
      </c>
      <c r="N854" s="231" t="str">
        <f ca="1">IFERROR(Tab_Calculs[[#This Row],[Ratio_jour_après_livr]]+Tab_Calculs[[#This Row],[Ratio_jour_avant_livr]]+Tab_Calculs[[#This Row],[ratio_avant_debut]],"")</f>
        <v/>
      </c>
      <c r="O854" t="e">
        <f ca="1">INDEX(INDIRECT(CONCATENATE("Tab_",Tab_Calculs[[#This Row],[Colonne1]])),Tab_Calculs[[#This Row],[index_date_livraison]]-1,7)*(MAX(Tab_Calculs[[#This Row],[Début periode livraison]],Tab_Calculs[[#This Row],[Début mois]])-Tab_Calculs[[#This Row],[Début mois]])</f>
        <v>#VALUE!</v>
      </c>
      <c r="P854">
        <f ca="1">INDEX(INDIRECT(CONCATENATE("Tab_",Tab_Calculs[[#This Row],[Colonne1]])),Tab_Calculs[[#This Row],[index_date_livraison]],7)*(1+MIN(Tab_Calculs[[#This Row],[Date_livraison]],Tab_Calculs[[#This Row],[fin mois]])-MAX(Tab_Calculs[[#This Row],[Début mois]],Tab_Calculs[[#This Row],[Début periode livraison]]))</f>
        <v>0</v>
      </c>
      <c r="Q854" t="e">
        <f ca="1">INDEX(INDIRECT(CONCATENATE("Tab_",Tab_Calculs[[#This Row],[Colonne1]])),Tab_Calculs[[#This Row],[index_date_livraison]]+1,7)*(Tab_Calculs[[#This Row],[fin mois]]-MIN(Tab_Calculs[[#This Row],[fin mois]],Tab_Calculs[[#This Row],[Date_livraison]]))</f>
        <v>#VALUE!</v>
      </c>
      <c r="R854" t="e">
        <f ca="1">Tab_Calculs[[#This Row],[Ratio_Cout_après_livr]]+Tab_Calculs[[#This Row],[Ratio_Cout_avant_livr]]+Tab_Calculs[[#This Row],[Ratio_Cout_avant_debut]]</f>
        <v>#VALUE!</v>
      </c>
      <c r="S854" t="str">
        <f ca="1">IFERROR(N854*VLOOKUP(Tab_Calculs[[#This Row],[Colonne1]],Controle_des_données!$B$7:$G$14,6,FALSE),"")</f>
        <v/>
      </c>
      <c r="T854" t="str">
        <f ca="1">IF(Tab_Calculs[[#This Row],[Combustible ]]="Electricité (kWh)",Tab_Calculs[[#This Row],[Conso_mois_kWh]]*2.3,Tab_Calculs[[#This Row],[Conso_mois_kWh]])</f>
        <v/>
      </c>
      <c r="U854" t="str">
        <f ca="1">IFERROR(N854*VLOOKUP(Tab_Calculs[[#This Row],[Colonne1]],Controle_des_données!$B$7:$H$14,7,FALSE),"")</f>
        <v/>
      </c>
      <c r="V854">
        <f ca="1">IFERROR(Tab_Calculs[[#This Row],[Cout_mois]]/Tab_Calculs[[#This Row],[Conso_mois_kWh]],0)</f>
        <v>0</v>
      </c>
      <c r="W854" t="str">
        <f>T(VLOOKUP(Tab_Calculs[[#This Row],[Compteur]],Site!$B$33:$G$40,3,FALSE))</f>
        <v/>
      </c>
      <c r="X854" t="str">
        <f>T(VLOOKUP(Tab_Calculs[[#This Row],[Compteur]],Site!$B$33:$G$40,4,FALSE))</f>
        <v/>
      </c>
      <c r="Y854" t="str">
        <f>T(VLOOKUP(Tab_Calculs[[#This Row],[Compteur]],Site!$B$33:$G$40,5,FALSE))</f>
        <v/>
      </c>
      <c r="Z854" t="str">
        <f>T(VLOOKUP(Tab_Calculs[[#This Row],[Compteur]],Site!$B$33:$G$40,6,FALSE))</f>
        <v/>
      </c>
      <c r="AA854">
        <f>IFERROR(GETPIVOTDATA("DJU(chauffagiste)",BDD_DJU!$P$13,"annee",Tab_Calculs[[#This Row],[ANNEE]],"mois_numero",Tab_Calculs[[#This Row],[MOIS]]),0)</f>
        <v>47.7</v>
      </c>
    </row>
    <row r="855" spans="1:27" x14ac:dyDescent="0.25">
      <c r="A855" s="3">
        <f>DATE(Tab_Calculs[[#This Row],[ANNEE]],Tab_Calculs[[#This Row],[MOIS]],1)</f>
        <v>42552</v>
      </c>
      <c r="B855" s="3">
        <f>EDATE(Tab_Calculs[[#This Row],[Début mois]],1)-1</f>
        <v>42582</v>
      </c>
      <c r="C855">
        <f t="shared" si="29"/>
        <v>7</v>
      </c>
      <c r="D855">
        <f t="shared" si="28"/>
        <v>2016</v>
      </c>
      <c r="E855" t="s">
        <v>84</v>
      </c>
      <c r="F855" t="str">
        <f>SUBSTITUTE(Tab_Calculs[[#This Row],[Compteur]]," ","_")</f>
        <v>Compteur_5</v>
      </c>
      <c r="G855" t="str">
        <f>T(INDEX(Site!$B$33:$G$40, MATCH(Tab_Calculs[[#This Row],[Compteur]], Site!$B$33:$B$40,0),2))</f>
        <v/>
      </c>
      <c r="H855" s="3">
        <f t="array" aca="1" ref="H855" ca="1">MIN(IF(INDIRECT(CONCATENATE(Tab_Calculs[[#This Row],[Colonne1]],"!$B$2:$B$243"))&gt;=Calculs_Consos!$A855,INDIRECT(CONCATENATE(Tab_Calculs[[#This Row],[Colonne1]],"!$B$2:$B$243"))))</f>
        <v>0</v>
      </c>
      <c r="I855" s="3">
        <f ca="1">INDEX(INDIRECT(CONCATENATE("Tab_",Tab_Calculs[[#This Row],[Colonne1]])),Tab_Calculs[[#This Row],[index_date_livraison]],1)</f>
        <v>0</v>
      </c>
      <c r="J855">
        <f ca="1">MATCH(Tab_Calculs[[#This Row],[Date_livraison]],INDIRECT(CONCATENATE("Tab_",Tab_Calculs[[#This Row],[Colonne1]],"[Fin de période]")),0)</f>
        <v>1</v>
      </c>
      <c r="K855" t="e">
        <f ca="1">INDEX(INDIRECT(CONCATENATE("Tab_",Tab_Calculs[[#This Row],[Colonne1]])),Tab_Calculs[[#This Row],[index_date_livraison]]-1,6)*(MAX(Tab_Calculs[[#This Row],[Début periode livraison]],Tab_Calculs[[#This Row],[Début mois]])-Tab_Calculs[[#This Row],[Début mois]])</f>
        <v>#VALUE!</v>
      </c>
      <c r="L855" s="94">
        <f ca="1">INDEX(INDIRECT(CONCATENATE("Tab_",Tab_Calculs[[#This Row],[Colonne1]])),Tab_Calculs[[#This Row],[index_date_livraison]],6)*(1+MIN(Tab_Calculs[[#This Row],[Date_livraison]],Tab_Calculs[[#This Row],[fin mois]])-MAX(Tab_Calculs[[#This Row],[Début mois]],Tab_Calculs[[#This Row],[Début periode livraison]]))</f>
        <v>0</v>
      </c>
      <c r="M855" s="94" t="e">
        <f ca="1">INDEX(INDIRECT(CONCATENATE("Tab_",Tab_Calculs[[#This Row],[Colonne1]])),Tab_Calculs[[#This Row],[index_date_livraison]]+1,6)*(Tab_Calculs[[#This Row],[fin mois]]-MIN(Tab_Calculs[[#This Row],[fin mois]],Tab_Calculs[[#This Row],[Date_livraison]]))</f>
        <v>#VALUE!</v>
      </c>
      <c r="N855" s="231" t="str">
        <f ca="1">IFERROR(Tab_Calculs[[#This Row],[Ratio_jour_après_livr]]+Tab_Calculs[[#This Row],[Ratio_jour_avant_livr]]+Tab_Calculs[[#This Row],[ratio_avant_debut]],"")</f>
        <v/>
      </c>
      <c r="O855" t="e">
        <f ca="1">INDEX(INDIRECT(CONCATENATE("Tab_",Tab_Calculs[[#This Row],[Colonne1]])),Tab_Calculs[[#This Row],[index_date_livraison]]-1,7)*(MAX(Tab_Calculs[[#This Row],[Début periode livraison]],Tab_Calculs[[#This Row],[Début mois]])-Tab_Calculs[[#This Row],[Début mois]])</f>
        <v>#VALUE!</v>
      </c>
      <c r="P855">
        <f ca="1">INDEX(INDIRECT(CONCATENATE("Tab_",Tab_Calculs[[#This Row],[Colonne1]])),Tab_Calculs[[#This Row],[index_date_livraison]],7)*(1+MIN(Tab_Calculs[[#This Row],[Date_livraison]],Tab_Calculs[[#This Row],[fin mois]])-MAX(Tab_Calculs[[#This Row],[Début mois]],Tab_Calculs[[#This Row],[Début periode livraison]]))</f>
        <v>0</v>
      </c>
      <c r="Q855" t="e">
        <f ca="1">INDEX(INDIRECT(CONCATENATE("Tab_",Tab_Calculs[[#This Row],[Colonne1]])),Tab_Calculs[[#This Row],[index_date_livraison]]+1,7)*(Tab_Calculs[[#This Row],[fin mois]]-MIN(Tab_Calculs[[#This Row],[fin mois]],Tab_Calculs[[#This Row],[Date_livraison]]))</f>
        <v>#VALUE!</v>
      </c>
      <c r="R855" t="e">
        <f ca="1">Tab_Calculs[[#This Row],[Ratio_Cout_après_livr]]+Tab_Calculs[[#This Row],[Ratio_Cout_avant_livr]]+Tab_Calculs[[#This Row],[Ratio_Cout_avant_debut]]</f>
        <v>#VALUE!</v>
      </c>
      <c r="S855" t="str">
        <f ca="1">IFERROR(N855*VLOOKUP(Tab_Calculs[[#This Row],[Colonne1]],Controle_des_données!$B$7:$G$14,6,FALSE),"")</f>
        <v/>
      </c>
      <c r="T855" t="str">
        <f ca="1">IF(Tab_Calculs[[#This Row],[Combustible ]]="Electricité (kWh)",Tab_Calculs[[#This Row],[Conso_mois_kWh]]*2.3,Tab_Calculs[[#This Row],[Conso_mois_kWh]])</f>
        <v/>
      </c>
      <c r="U855" t="str">
        <f ca="1">IFERROR(N855*VLOOKUP(Tab_Calculs[[#This Row],[Colonne1]],Controle_des_données!$B$7:$H$14,7,FALSE),"")</f>
        <v/>
      </c>
      <c r="V855">
        <f ca="1">IFERROR(Tab_Calculs[[#This Row],[Cout_mois]]/Tab_Calculs[[#This Row],[Conso_mois_kWh]],0)</f>
        <v>0</v>
      </c>
      <c r="W855" t="str">
        <f>T(VLOOKUP(Tab_Calculs[[#This Row],[Compteur]],Site!$B$33:$G$40,3,FALSE))</f>
        <v/>
      </c>
      <c r="X855" t="str">
        <f>T(VLOOKUP(Tab_Calculs[[#This Row],[Compteur]],Site!$B$33:$G$40,4,FALSE))</f>
        <v/>
      </c>
      <c r="Y855" t="str">
        <f>T(VLOOKUP(Tab_Calculs[[#This Row],[Compteur]],Site!$B$33:$G$40,5,FALSE))</f>
        <v/>
      </c>
      <c r="Z855" t="str">
        <f>T(VLOOKUP(Tab_Calculs[[#This Row],[Compteur]],Site!$B$33:$G$40,6,FALSE))</f>
        <v/>
      </c>
      <c r="AA855">
        <f>IFERROR(GETPIVOTDATA("DJU(chauffagiste)",BDD_DJU!$P$13,"annee",Tab_Calculs[[#This Row],[ANNEE]],"mois_numero",Tab_Calculs[[#This Row],[MOIS]]),0)</f>
        <v>32.299999999999997</v>
      </c>
    </row>
    <row r="856" spans="1:27" x14ac:dyDescent="0.25">
      <c r="A856" s="3">
        <f>DATE(Tab_Calculs[[#This Row],[ANNEE]],Tab_Calculs[[#This Row],[MOIS]],1)</f>
        <v>42583</v>
      </c>
      <c r="B856" s="3">
        <f>EDATE(Tab_Calculs[[#This Row],[Début mois]],1)-1</f>
        <v>42613</v>
      </c>
      <c r="C856">
        <f t="shared" si="29"/>
        <v>8</v>
      </c>
      <c r="D856">
        <f t="shared" si="28"/>
        <v>2016</v>
      </c>
      <c r="E856" t="s">
        <v>84</v>
      </c>
      <c r="F856" t="str">
        <f>SUBSTITUTE(Tab_Calculs[[#This Row],[Compteur]]," ","_")</f>
        <v>Compteur_5</v>
      </c>
      <c r="G856" t="str">
        <f>T(INDEX(Site!$B$33:$G$40, MATCH(Tab_Calculs[[#This Row],[Compteur]], Site!$B$33:$B$40,0),2))</f>
        <v/>
      </c>
      <c r="H856" s="3">
        <f t="array" aca="1" ref="H856" ca="1">MIN(IF(INDIRECT(CONCATENATE(Tab_Calculs[[#This Row],[Colonne1]],"!$B$2:$B$243"))&gt;=Calculs_Consos!$A856,INDIRECT(CONCATENATE(Tab_Calculs[[#This Row],[Colonne1]],"!$B$2:$B$243"))))</f>
        <v>0</v>
      </c>
      <c r="I856" s="3">
        <f ca="1">INDEX(INDIRECT(CONCATENATE("Tab_",Tab_Calculs[[#This Row],[Colonne1]])),Tab_Calculs[[#This Row],[index_date_livraison]],1)</f>
        <v>0</v>
      </c>
      <c r="J856">
        <f ca="1">MATCH(Tab_Calculs[[#This Row],[Date_livraison]],INDIRECT(CONCATENATE("Tab_",Tab_Calculs[[#This Row],[Colonne1]],"[Fin de période]")),0)</f>
        <v>1</v>
      </c>
      <c r="K856" t="e">
        <f ca="1">INDEX(INDIRECT(CONCATENATE("Tab_",Tab_Calculs[[#This Row],[Colonne1]])),Tab_Calculs[[#This Row],[index_date_livraison]]-1,6)*(MAX(Tab_Calculs[[#This Row],[Début periode livraison]],Tab_Calculs[[#This Row],[Début mois]])-Tab_Calculs[[#This Row],[Début mois]])</f>
        <v>#VALUE!</v>
      </c>
      <c r="L856" s="94">
        <f ca="1">INDEX(INDIRECT(CONCATENATE("Tab_",Tab_Calculs[[#This Row],[Colonne1]])),Tab_Calculs[[#This Row],[index_date_livraison]],6)*(1+MIN(Tab_Calculs[[#This Row],[Date_livraison]],Tab_Calculs[[#This Row],[fin mois]])-MAX(Tab_Calculs[[#This Row],[Début mois]],Tab_Calculs[[#This Row],[Début periode livraison]]))</f>
        <v>0</v>
      </c>
      <c r="M856" s="94" t="e">
        <f ca="1">INDEX(INDIRECT(CONCATENATE("Tab_",Tab_Calculs[[#This Row],[Colonne1]])),Tab_Calculs[[#This Row],[index_date_livraison]]+1,6)*(Tab_Calculs[[#This Row],[fin mois]]-MIN(Tab_Calculs[[#This Row],[fin mois]],Tab_Calculs[[#This Row],[Date_livraison]]))</f>
        <v>#VALUE!</v>
      </c>
      <c r="N856" s="231" t="str">
        <f ca="1">IFERROR(Tab_Calculs[[#This Row],[Ratio_jour_après_livr]]+Tab_Calculs[[#This Row],[Ratio_jour_avant_livr]]+Tab_Calculs[[#This Row],[ratio_avant_debut]],"")</f>
        <v/>
      </c>
      <c r="O856" t="e">
        <f ca="1">INDEX(INDIRECT(CONCATENATE("Tab_",Tab_Calculs[[#This Row],[Colonne1]])),Tab_Calculs[[#This Row],[index_date_livraison]]-1,7)*(MAX(Tab_Calculs[[#This Row],[Début periode livraison]],Tab_Calculs[[#This Row],[Début mois]])-Tab_Calculs[[#This Row],[Début mois]])</f>
        <v>#VALUE!</v>
      </c>
      <c r="P856">
        <f ca="1">INDEX(INDIRECT(CONCATENATE("Tab_",Tab_Calculs[[#This Row],[Colonne1]])),Tab_Calculs[[#This Row],[index_date_livraison]],7)*(1+MIN(Tab_Calculs[[#This Row],[Date_livraison]],Tab_Calculs[[#This Row],[fin mois]])-MAX(Tab_Calculs[[#This Row],[Début mois]],Tab_Calculs[[#This Row],[Début periode livraison]]))</f>
        <v>0</v>
      </c>
      <c r="Q856" t="e">
        <f ca="1">INDEX(INDIRECT(CONCATENATE("Tab_",Tab_Calculs[[#This Row],[Colonne1]])),Tab_Calculs[[#This Row],[index_date_livraison]]+1,7)*(Tab_Calculs[[#This Row],[fin mois]]-MIN(Tab_Calculs[[#This Row],[fin mois]],Tab_Calculs[[#This Row],[Date_livraison]]))</f>
        <v>#VALUE!</v>
      </c>
      <c r="R856" t="e">
        <f ca="1">Tab_Calculs[[#This Row],[Ratio_Cout_après_livr]]+Tab_Calculs[[#This Row],[Ratio_Cout_avant_livr]]+Tab_Calculs[[#This Row],[Ratio_Cout_avant_debut]]</f>
        <v>#VALUE!</v>
      </c>
      <c r="S856" t="str">
        <f ca="1">IFERROR(N856*VLOOKUP(Tab_Calculs[[#This Row],[Colonne1]],Controle_des_données!$B$7:$G$14,6,FALSE),"")</f>
        <v/>
      </c>
      <c r="T856" t="str">
        <f ca="1">IF(Tab_Calculs[[#This Row],[Combustible ]]="Electricité (kWh)",Tab_Calculs[[#This Row],[Conso_mois_kWh]]*2.3,Tab_Calculs[[#This Row],[Conso_mois_kWh]])</f>
        <v/>
      </c>
      <c r="U856" t="str">
        <f ca="1">IFERROR(N856*VLOOKUP(Tab_Calculs[[#This Row],[Colonne1]],Controle_des_données!$B$7:$H$14,7,FALSE),"")</f>
        <v/>
      </c>
      <c r="V856">
        <f ca="1">IFERROR(Tab_Calculs[[#This Row],[Cout_mois]]/Tab_Calculs[[#This Row],[Conso_mois_kWh]],0)</f>
        <v>0</v>
      </c>
      <c r="W856" t="str">
        <f>T(VLOOKUP(Tab_Calculs[[#This Row],[Compteur]],Site!$B$33:$G$40,3,FALSE))</f>
        <v/>
      </c>
      <c r="X856" t="str">
        <f>T(VLOOKUP(Tab_Calculs[[#This Row],[Compteur]],Site!$B$33:$G$40,4,FALSE))</f>
        <v/>
      </c>
      <c r="Y856" t="str">
        <f>T(VLOOKUP(Tab_Calculs[[#This Row],[Compteur]],Site!$B$33:$G$40,5,FALSE))</f>
        <v/>
      </c>
      <c r="Z856" t="str">
        <f>T(VLOOKUP(Tab_Calculs[[#This Row],[Compteur]],Site!$B$33:$G$40,6,FALSE))</f>
        <v/>
      </c>
      <c r="AA856">
        <f>IFERROR(GETPIVOTDATA("DJU(chauffagiste)",BDD_DJU!$P$13,"annee",Tab_Calculs[[#This Row],[ANNEE]],"mois_numero",Tab_Calculs[[#This Row],[MOIS]]),0)</f>
        <v>33.799999999999997</v>
      </c>
    </row>
    <row r="857" spans="1:27" x14ac:dyDescent="0.25">
      <c r="A857" s="3">
        <f>DATE(Tab_Calculs[[#This Row],[ANNEE]],Tab_Calculs[[#This Row],[MOIS]],1)</f>
        <v>42614</v>
      </c>
      <c r="B857" s="3">
        <f>EDATE(Tab_Calculs[[#This Row],[Début mois]],1)-1</f>
        <v>42643</v>
      </c>
      <c r="C857">
        <f t="shared" si="29"/>
        <v>9</v>
      </c>
      <c r="D857">
        <f t="shared" si="28"/>
        <v>2016</v>
      </c>
      <c r="E857" t="s">
        <v>84</v>
      </c>
      <c r="F857" t="str">
        <f>SUBSTITUTE(Tab_Calculs[[#This Row],[Compteur]]," ","_")</f>
        <v>Compteur_5</v>
      </c>
      <c r="G857" t="str">
        <f>T(INDEX(Site!$B$33:$G$40, MATCH(Tab_Calculs[[#This Row],[Compteur]], Site!$B$33:$B$40,0),2))</f>
        <v/>
      </c>
      <c r="H857" s="3">
        <f t="array" aca="1" ref="H857" ca="1">MIN(IF(INDIRECT(CONCATENATE(Tab_Calculs[[#This Row],[Colonne1]],"!$B$2:$B$243"))&gt;=Calculs_Consos!$A857,INDIRECT(CONCATENATE(Tab_Calculs[[#This Row],[Colonne1]],"!$B$2:$B$243"))))</f>
        <v>0</v>
      </c>
      <c r="I857" s="3">
        <f ca="1">INDEX(INDIRECT(CONCATENATE("Tab_",Tab_Calculs[[#This Row],[Colonne1]])),Tab_Calculs[[#This Row],[index_date_livraison]],1)</f>
        <v>0</v>
      </c>
      <c r="J857">
        <f ca="1">MATCH(Tab_Calculs[[#This Row],[Date_livraison]],INDIRECT(CONCATENATE("Tab_",Tab_Calculs[[#This Row],[Colonne1]],"[Fin de période]")),0)</f>
        <v>1</v>
      </c>
      <c r="K857" t="e">
        <f ca="1">INDEX(INDIRECT(CONCATENATE("Tab_",Tab_Calculs[[#This Row],[Colonne1]])),Tab_Calculs[[#This Row],[index_date_livraison]]-1,6)*(MAX(Tab_Calculs[[#This Row],[Début periode livraison]],Tab_Calculs[[#This Row],[Début mois]])-Tab_Calculs[[#This Row],[Début mois]])</f>
        <v>#VALUE!</v>
      </c>
      <c r="L857" s="94">
        <f ca="1">INDEX(INDIRECT(CONCATENATE("Tab_",Tab_Calculs[[#This Row],[Colonne1]])),Tab_Calculs[[#This Row],[index_date_livraison]],6)*(1+MIN(Tab_Calculs[[#This Row],[Date_livraison]],Tab_Calculs[[#This Row],[fin mois]])-MAX(Tab_Calculs[[#This Row],[Début mois]],Tab_Calculs[[#This Row],[Début periode livraison]]))</f>
        <v>0</v>
      </c>
      <c r="M857" s="94" t="e">
        <f ca="1">INDEX(INDIRECT(CONCATENATE("Tab_",Tab_Calculs[[#This Row],[Colonne1]])),Tab_Calculs[[#This Row],[index_date_livraison]]+1,6)*(Tab_Calculs[[#This Row],[fin mois]]-MIN(Tab_Calculs[[#This Row],[fin mois]],Tab_Calculs[[#This Row],[Date_livraison]]))</f>
        <v>#VALUE!</v>
      </c>
      <c r="N857" s="231" t="str">
        <f ca="1">IFERROR(Tab_Calculs[[#This Row],[Ratio_jour_après_livr]]+Tab_Calculs[[#This Row],[Ratio_jour_avant_livr]]+Tab_Calculs[[#This Row],[ratio_avant_debut]],"")</f>
        <v/>
      </c>
      <c r="O857" t="e">
        <f ca="1">INDEX(INDIRECT(CONCATENATE("Tab_",Tab_Calculs[[#This Row],[Colonne1]])),Tab_Calculs[[#This Row],[index_date_livraison]]-1,7)*(MAX(Tab_Calculs[[#This Row],[Début periode livraison]],Tab_Calculs[[#This Row],[Début mois]])-Tab_Calculs[[#This Row],[Début mois]])</f>
        <v>#VALUE!</v>
      </c>
      <c r="P857">
        <f ca="1">INDEX(INDIRECT(CONCATENATE("Tab_",Tab_Calculs[[#This Row],[Colonne1]])),Tab_Calculs[[#This Row],[index_date_livraison]],7)*(1+MIN(Tab_Calculs[[#This Row],[Date_livraison]],Tab_Calculs[[#This Row],[fin mois]])-MAX(Tab_Calculs[[#This Row],[Début mois]],Tab_Calculs[[#This Row],[Début periode livraison]]))</f>
        <v>0</v>
      </c>
      <c r="Q857" t="e">
        <f ca="1">INDEX(INDIRECT(CONCATENATE("Tab_",Tab_Calculs[[#This Row],[Colonne1]])),Tab_Calculs[[#This Row],[index_date_livraison]]+1,7)*(Tab_Calculs[[#This Row],[fin mois]]-MIN(Tab_Calculs[[#This Row],[fin mois]],Tab_Calculs[[#This Row],[Date_livraison]]))</f>
        <v>#VALUE!</v>
      </c>
      <c r="R857" t="e">
        <f ca="1">Tab_Calculs[[#This Row],[Ratio_Cout_après_livr]]+Tab_Calculs[[#This Row],[Ratio_Cout_avant_livr]]+Tab_Calculs[[#This Row],[Ratio_Cout_avant_debut]]</f>
        <v>#VALUE!</v>
      </c>
      <c r="S857" t="str">
        <f ca="1">IFERROR(N857*VLOOKUP(Tab_Calculs[[#This Row],[Colonne1]],Controle_des_données!$B$7:$G$14,6,FALSE),"")</f>
        <v/>
      </c>
      <c r="T857" t="str">
        <f ca="1">IF(Tab_Calculs[[#This Row],[Combustible ]]="Electricité (kWh)",Tab_Calculs[[#This Row],[Conso_mois_kWh]]*2.3,Tab_Calculs[[#This Row],[Conso_mois_kWh]])</f>
        <v/>
      </c>
      <c r="U857" t="str">
        <f ca="1">IFERROR(N857*VLOOKUP(Tab_Calculs[[#This Row],[Colonne1]],Controle_des_données!$B$7:$H$14,7,FALSE),"")</f>
        <v/>
      </c>
      <c r="V857">
        <f ca="1">IFERROR(Tab_Calculs[[#This Row],[Cout_mois]]/Tab_Calculs[[#This Row],[Conso_mois_kWh]],0)</f>
        <v>0</v>
      </c>
      <c r="W857" t="str">
        <f>T(VLOOKUP(Tab_Calculs[[#This Row],[Compteur]],Site!$B$33:$G$40,3,FALSE))</f>
        <v/>
      </c>
      <c r="X857" t="str">
        <f>T(VLOOKUP(Tab_Calculs[[#This Row],[Compteur]],Site!$B$33:$G$40,4,FALSE))</f>
        <v/>
      </c>
      <c r="Y857" t="str">
        <f>T(VLOOKUP(Tab_Calculs[[#This Row],[Compteur]],Site!$B$33:$G$40,5,FALSE))</f>
        <v/>
      </c>
      <c r="Z857" t="str">
        <f>T(VLOOKUP(Tab_Calculs[[#This Row],[Compteur]],Site!$B$33:$G$40,6,FALSE))</f>
        <v/>
      </c>
      <c r="AA857">
        <f>IFERROR(GETPIVOTDATA("DJU(chauffagiste)",BDD_DJU!$P$13,"annee",Tab_Calculs[[#This Row],[ANNEE]],"mois_numero",Tab_Calculs[[#This Row],[MOIS]]),0)</f>
        <v>43.5</v>
      </c>
    </row>
    <row r="858" spans="1:27" x14ac:dyDescent="0.25">
      <c r="A858" s="3">
        <f>DATE(Tab_Calculs[[#This Row],[ANNEE]],Tab_Calculs[[#This Row],[MOIS]],1)</f>
        <v>42644</v>
      </c>
      <c r="B858" s="3">
        <f>EDATE(Tab_Calculs[[#This Row],[Début mois]],1)-1</f>
        <v>42674</v>
      </c>
      <c r="C858">
        <f t="shared" si="29"/>
        <v>10</v>
      </c>
      <c r="D858">
        <f t="shared" si="28"/>
        <v>2016</v>
      </c>
      <c r="E858" t="s">
        <v>84</v>
      </c>
      <c r="F858" t="str">
        <f>SUBSTITUTE(Tab_Calculs[[#This Row],[Compteur]]," ","_")</f>
        <v>Compteur_5</v>
      </c>
      <c r="G858" t="str">
        <f>T(INDEX(Site!$B$33:$G$40, MATCH(Tab_Calculs[[#This Row],[Compteur]], Site!$B$33:$B$40,0),2))</f>
        <v/>
      </c>
      <c r="H858" s="3">
        <f t="array" aca="1" ref="H858" ca="1">MIN(IF(INDIRECT(CONCATENATE(Tab_Calculs[[#This Row],[Colonne1]],"!$B$2:$B$243"))&gt;=Calculs_Consos!$A858,INDIRECT(CONCATENATE(Tab_Calculs[[#This Row],[Colonne1]],"!$B$2:$B$243"))))</f>
        <v>0</v>
      </c>
      <c r="I858" s="3">
        <f ca="1">INDEX(INDIRECT(CONCATENATE("Tab_",Tab_Calculs[[#This Row],[Colonne1]])),Tab_Calculs[[#This Row],[index_date_livraison]],1)</f>
        <v>0</v>
      </c>
      <c r="J858">
        <f ca="1">MATCH(Tab_Calculs[[#This Row],[Date_livraison]],INDIRECT(CONCATENATE("Tab_",Tab_Calculs[[#This Row],[Colonne1]],"[Fin de période]")),0)</f>
        <v>1</v>
      </c>
      <c r="K858" t="e">
        <f ca="1">INDEX(INDIRECT(CONCATENATE("Tab_",Tab_Calculs[[#This Row],[Colonne1]])),Tab_Calculs[[#This Row],[index_date_livraison]]-1,6)*(MAX(Tab_Calculs[[#This Row],[Début periode livraison]],Tab_Calculs[[#This Row],[Début mois]])-Tab_Calculs[[#This Row],[Début mois]])</f>
        <v>#VALUE!</v>
      </c>
      <c r="L858" s="94">
        <f ca="1">INDEX(INDIRECT(CONCATENATE("Tab_",Tab_Calculs[[#This Row],[Colonne1]])),Tab_Calculs[[#This Row],[index_date_livraison]],6)*(1+MIN(Tab_Calculs[[#This Row],[Date_livraison]],Tab_Calculs[[#This Row],[fin mois]])-MAX(Tab_Calculs[[#This Row],[Début mois]],Tab_Calculs[[#This Row],[Début periode livraison]]))</f>
        <v>0</v>
      </c>
      <c r="M858" s="94" t="e">
        <f ca="1">INDEX(INDIRECT(CONCATENATE("Tab_",Tab_Calculs[[#This Row],[Colonne1]])),Tab_Calculs[[#This Row],[index_date_livraison]]+1,6)*(Tab_Calculs[[#This Row],[fin mois]]-MIN(Tab_Calculs[[#This Row],[fin mois]],Tab_Calculs[[#This Row],[Date_livraison]]))</f>
        <v>#VALUE!</v>
      </c>
      <c r="N858" s="231" t="str">
        <f ca="1">IFERROR(Tab_Calculs[[#This Row],[Ratio_jour_après_livr]]+Tab_Calculs[[#This Row],[Ratio_jour_avant_livr]]+Tab_Calculs[[#This Row],[ratio_avant_debut]],"")</f>
        <v/>
      </c>
      <c r="O858" t="e">
        <f ca="1">INDEX(INDIRECT(CONCATENATE("Tab_",Tab_Calculs[[#This Row],[Colonne1]])),Tab_Calculs[[#This Row],[index_date_livraison]]-1,7)*(MAX(Tab_Calculs[[#This Row],[Début periode livraison]],Tab_Calculs[[#This Row],[Début mois]])-Tab_Calculs[[#This Row],[Début mois]])</f>
        <v>#VALUE!</v>
      </c>
      <c r="P858">
        <f ca="1">INDEX(INDIRECT(CONCATENATE("Tab_",Tab_Calculs[[#This Row],[Colonne1]])),Tab_Calculs[[#This Row],[index_date_livraison]],7)*(1+MIN(Tab_Calculs[[#This Row],[Date_livraison]],Tab_Calculs[[#This Row],[fin mois]])-MAX(Tab_Calculs[[#This Row],[Début mois]],Tab_Calculs[[#This Row],[Début periode livraison]]))</f>
        <v>0</v>
      </c>
      <c r="Q858" t="e">
        <f ca="1">INDEX(INDIRECT(CONCATENATE("Tab_",Tab_Calculs[[#This Row],[Colonne1]])),Tab_Calculs[[#This Row],[index_date_livraison]]+1,7)*(Tab_Calculs[[#This Row],[fin mois]]-MIN(Tab_Calculs[[#This Row],[fin mois]],Tab_Calculs[[#This Row],[Date_livraison]]))</f>
        <v>#VALUE!</v>
      </c>
      <c r="R858" t="e">
        <f ca="1">Tab_Calculs[[#This Row],[Ratio_Cout_après_livr]]+Tab_Calculs[[#This Row],[Ratio_Cout_avant_livr]]+Tab_Calculs[[#This Row],[Ratio_Cout_avant_debut]]</f>
        <v>#VALUE!</v>
      </c>
      <c r="S858" t="str">
        <f ca="1">IFERROR(N858*VLOOKUP(Tab_Calculs[[#This Row],[Colonne1]],Controle_des_données!$B$7:$G$14,6,FALSE),"")</f>
        <v/>
      </c>
      <c r="T858" t="str">
        <f ca="1">IF(Tab_Calculs[[#This Row],[Combustible ]]="Electricité (kWh)",Tab_Calculs[[#This Row],[Conso_mois_kWh]]*2.3,Tab_Calculs[[#This Row],[Conso_mois_kWh]])</f>
        <v/>
      </c>
      <c r="U858" t="str">
        <f ca="1">IFERROR(N858*VLOOKUP(Tab_Calculs[[#This Row],[Colonne1]],Controle_des_données!$B$7:$H$14,7,FALSE),"")</f>
        <v/>
      </c>
      <c r="V858">
        <f ca="1">IFERROR(Tab_Calculs[[#This Row],[Cout_mois]]/Tab_Calculs[[#This Row],[Conso_mois_kWh]],0)</f>
        <v>0</v>
      </c>
      <c r="W858" t="str">
        <f>T(VLOOKUP(Tab_Calculs[[#This Row],[Compteur]],Site!$B$33:$G$40,3,FALSE))</f>
        <v/>
      </c>
      <c r="X858" t="str">
        <f>T(VLOOKUP(Tab_Calculs[[#This Row],[Compteur]],Site!$B$33:$G$40,4,FALSE))</f>
        <v/>
      </c>
      <c r="Y858" t="str">
        <f>T(VLOOKUP(Tab_Calculs[[#This Row],[Compteur]],Site!$B$33:$G$40,5,FALSE))</f>
        <v/>
      </c>
      <c r="Z858" t="str">
        <f>T(VLOOKUP(Tab_Calculs[[#This Row],[Compteur]],Site!$B$33:$G$40,6,FALSE))</f>
        <v/>
      </c>
      <c r="AA858">
        <f>IFERROR(GETPIVOTDATA("DJU(chauffagiste)",BDD_DJU!$P$13,"annee",Tab_Calculs[[#This Row],[ANNEE]],"mois_numero",Tab_Calculs[[#This Row],[MOIS]]),0)</f>
        <v>202.6</v>
      </c>
    </row>
    <row r="859" spans="1:27" x14ac:dyDescent="0.25">
      <c r="A859" s="3">
        <f>DATE(Tab_Calculs[[#This Row],[ANNEE]],Tab_Calculs[[#This Row],[MOIS]],1)</f>
        <v>42675</v>
      </c>
      <c r="B859" s="3">
        <f>EDATE(Tab_Calculs[[#This Row],[Début mois]],1)-1</f>
        <v>42704</v>
      </c>
      <c r="C859">
        <f t="shared" si="29"/>
        <v>11</v>
      </c>
      <c r="D859">
        <f t="shared" si="28"/>
        <v>2016</v>
      </c>
      <c r="E859" t="s">
        <v>84</v>
      </c>
      <c r="F859" t="str">
        <f>SUBSTITUTE(Tab_Calculs[[#This Row],[Compteur]]," ","_")</f>
        <v>Compteur_5</v>
      </c>
      <c r="G859" t="str">
        <f>T(INDEX(Site!$B$33:$G$40, MATCH(Tab_Calculs[[#This Row],[Compteur]], Site!$B$33:$B$40,0),2))</f>
        <v/>
      </c>
      <c r="H859" s="3">
        <f t="array" aca="1" ref="H859" ca="1">MIN(IF(INDIRECT(CONCATENATE(Tab_Calculs[[#This Row],[Colonne1]],"!$B$2:$B$243"))&gt;=Calculs_Consos!$A859,INDIRECT(CONCATENATE(Tab_Calculs[[#This Row],[Colonne1]],"!$B$2:$B$243"))))</f>
        <v>0</v>
      </c>
      <c r="I859" s="3">
        <f ca="1">INDEX(INDIRECT(CONCATENATE("Tab_",Tab_Calculs[[#This Row],[Colonne1]])),Tab_Calculs[[#This Row],[index_date_livraison]],1)</f>
        <v>0</v>
      </c>
      <c r="J859">
        <f ca="1">MATCH(Tab_Calculs[[#This Row],[Date_livraison]],INDIRECT(CONCATENATE("Tab_",Tab_Calculs[[#This Row],[Colonne1]],"[Fin de période]")),0)</f>
        <v>1</v>
      </c>
      <c r="K859" t="e">
        <f ca="1">INDEX(INDIRECT(CONCATENATE("Tab_",Tab_Calculs[[#This Row],[Colonne1]])),Tab_Calculs[[#This Row],[index_date_livraison]]-1,6)*(MAX(Tab_Calculs[[#This Row],[Début periode livraison]],Tab_Calculs[[#This Row],[Début mois]])-Tab_Calculs[[#This Row],[Début mois]])</f>
        <v>#VALUE!</v>
      </c>
      <c r="L859" s="94">
        <f ca="1">INDEX(INDIRECT(CONCATENATE("Tab_",Tab_Calculs[[#This Row],[Colonne1]])),Tab_Calculs[[#This Row],[index_date_livraison]],6)*(1+MIN(Tab_Calculs[[#This Row],[Date_livraison]],Tab_Calculs[[#This Row],[fin mois]])-MAX(Tab_Calculs[[#This Row],[Début mois]],Tab_Calculs[[#This Row],[Début periode livraison]]))</f>
        <v>0</v>
      </c>
      <c r="M859" s="94" t="e">
        <f ca="1">INDEX(INDIRECT(CONCATENATE("Tab_",Tab_Calculs[[#This Row],[Colonne1]])),Tab_Calculs[[#This Row],[index_date_livraison]]+1,6)*(Tab_Calculs[[#This Row],[fin mois]]-MIN(Tab_Calculs[[#This Row],[fin mois]],Tab_Calculs[[#This Row],[Date_livraison]]))</f>
        <v>#VALUE!</v>
      </c>
      <c r="N859" s="231" t="str">
        <f ca="1">IFERROR(Tab_Calculs[[#This Row],[Ratio_jour_après_livr]]+Tab_Calculs[[#This Row],[Ratio_jour_avant_livr]]+Tab_Calculs[[#This Row],[ratio_avant_debut]],"")</f>
        <v/>
      </c>
      <c r="O859" t="e">
        <f ca="1">INDEX(INDIRECT(CONCATENATE("Tab_",Tab_Calculs[[#This Row],[Colonne1]])),Tab_Calculs[[#This Row],[index_date_livraison]]-1,7)*(MAX(Tab_Calculs[[#This Row],[Début periode livraison]],Tab_Calculs[[#This Row],[Début mois]])-Tab_Calculs[[#This Row],[Début mois]])</f>
        <v>#VALUE!</v>
      </c>
      <c r="P859">
        <f ca="1">INDEX(INDIRECT(CONCATENATE("Tab_",Tab_Calculs[[#This Row],[Colonne1]])),Tab_Calculs[[#This Row],[index_date_livraison]],7)*(1+MIN(Tab_Calculs[[#This Row],[Date_livraison]],Tab_Calculs[[#This Row],[fin mois]])-MAX(Tab_Calculs[[#This Row],[Début mois]],Tab_Calculs[[#This Row],[Début periode livraison]]))</f>
        <v>0</v>
      </c>
      <c r="Q859" t="e">
        <f ca="1">INDEX(INDIRECT(CONCATENATE("Tab_",Tab_Calculs[[#This Row],[Colonne1]])),Tab_Calculs[[#This Row],[index_date_livraison]]+1,7)*(Tab_Calculs[[#This Row],[fin mois]]-MIN(Tab_Calculs[[#This Row],[fin mois]],Tab_Calculs[[#This Row],[Date_livraison]]))</f>
        <v>#VALUE!</v>
      </c>
      <c r="R859" t="e">
        <f ca="1">Tab_Calculs[[#This Row],[Ratio_Cout_après_livr]]+Tab_Calculs[[#This Row],[Ratio_Cout_avant_livr]]+Tab_Calculs[[#This Row],[Ratio_Cout_avant_debut]]</f>
        <v>#VALUE!</v>
      </c>
      <c r="S859" t="str">
        <f ca="1">IFERROR(N859*VLOOKUP(Tab_Calculs[[#This Row],[Colonne1]],Controle_des_données!$B$7:$G$14,6,FALSE),"")</f>
        <v/>
      </c>
      <c r="T859" t="str">
        <f ca="1">IF(Tab_Calculs[[#This Row],[Combustible ]]="Electricité (kWh)",Tab_Calculs[[#This Row],[Conso_mois_kWh]]*2.3,Tab_Calculs[[#This Row],[Conso_mois_kWh]])</f>
        <v/>
      </c>
      <c r="U859" t="str">
        <f ca="1">IFERROR(N859*VLOOKUP(Tab_Calculs[[#This Row],[Colonne1]],Controle_des_données!$B$7:$H$14,7,FALSE),"")</f>
        <v/>
      </c>
      <c r="V859">
        <f ca="1">IFERROR(Tab_Calculs[[#This Row],[Cout_mois]]/Tab_Calculs[[#This Row],[Conso_mois_kWh]],0)</f>
        <v>0</v>
      </c>
      <c r="W859" t="str">
        <f>T(VLOOKUP(Tab_Calculs[[#This Row],[Compteur]],Site!$B$33:$G$40,3,FALSE))</f>
        <v/>
      </c>
      <c r="X859" t="str">
        <f>T(VLOOKUP(Tab_Calculs[[#This Row],[Compteur]],Site!$B$33:$G$40,4,FALSE))</f>
        <v/>
      </c>
      <c r="Y859" t="str">
        <f>T(VLOOKUP(Tab_Calculs[[#This Row],[Compteur]],Site!$B$33:$G$40,5,FALSE))</f>
        <v/>
      </c>
      <c r="Z859" t="str">
        <f>T(VLOOKUP(Tab_Calculs[[#This Row],[Compteur]],Site!$B$33:$G$40,6,FALSE))</f>
        <v/>
      </c>
      <c r="AA859">
        <f>IFERROR(GETPIVOTDATA("DJU(chauffagiste)",BDD_DJU!$P$13,"annee",Tab_Calculs[[#This Row],[ANNEE]],"mois_numero",Tab_Calculs[[#This Row],[MOIS]]),0)</f>
        <v>289.2</v>
      </c>
    </row>
    <row r="860" spans="1:27" x14ac:dyDescent="0.25">
      <c r="A860" s="3">
        <f>DATE(Tab_Calculs[[#This Row],[ANNEE]],Tab_Calculs[[#This Row],[MOIS]],1)</f>
        <v>42705</v>
      </c>
      <c r="B860" s="3">
        <f>EDATE(Tab_Calculs[[#This Row],[Début mois]],1)-1</f>
        <v>42735</v>
      </c>
      <c r="C860">
        <f t="shared" si="29"/>
        <v>12</v>
      </c>
      <c r="D860">
        <f t="shared" si="28"/>
        <v>2016</v>
      </c>
      <c r="E860" t="s">
        <v>84</v>
      </c>
      <c r="F860" t="str">
        <f>SUBSTITUTE(Tab_Calculs[[#This Row],[Compteur]]," ","_")</f>
        <v>Compteur_5</v>
      </c>
      <c r="G860" t="str">
        <f>T(INDEX(Site!$B$33:$G$40, MATCH(Tab_Calculs[[#This Row],[Compteur]], Site!$B$33:$B$40,0),2))</f>
        <v/>
      </c>
      <c r="H860" s="3">
        <f t="array" aca="1" ref="H860" ca="1">MIN(IF(INDIRECT(CONCATENATE(Tab_Calculs[[#This Row],[Colonne1]],"!$B$2:$B$243"))&gt;=Calculs_Consos!$A860,INDIRECT(CONCATENATE(Tab_Calculs[[#This Row],[Colonne1]],"!$B$2:$B$243"))))</f>
        <v>0</v>
      </c>
      <c r="I860" s="3">
        <f ca="1">INDEX(INDIRECT(CONCATENATE("Tab_",Tab_Calculs[[#This Row],[Colonne1]])),Tab_Calculs[[#This Row],[index_date_livraison]],1)</f>
        <v>0</v>
      </c>
      <c r="J860">
        <f ca="1">MATCH(Tab_Calculs[[#This Row],[Date_livraison]],INDIRECT(CONCATENATE("Tab_",Tab_Calculs[[#This Row],[Colonne1]],"[Fin de période]")),0)</f>
        <v>1</v>
      </c>
      <c r="K860" t="e">
        <f ca="1">INDEX(INDIRECT(CONCATENATE("Tab_",Tab_Calculs[[#This Row],[Colonne1]])),Tab_Calculs[[#This Row],[index_date_livraison]]-1,6)*(MAX(Tab_Calculs[[#This Row],[Début periode livraison]],Tab_Calculs[[#This Row],[Début mois]])-Tab_Calculs[[#This Row],[Début mois]])</f>
        <v>#VALUE!</v>
      </c>
      <c r="L860" s="94">
        <f ca="1">INDEX(INDIRECT(CONCATENATE("Tab_",Tab_Calculs[[#This Row],[Colonne1]])),Tab_Calculs[[#This Row],[index_date_livraison]],6)*(1+MIN(Tab_Calculs[[#This Row],[Date_livraison]],Tab_Calculs[[#This Row],[fin mois]])-MAX(Tab_Calculs[[#This Row],[Début mois]],Tab_Calculs[[#This Row],[Début periode livraison]]))</f>
        <v>0</v>
      </c>
      <c r="M860" s="94" t="e">
        <f ca="1">INDEX(INDIRECT(CONCATENATE("Tab_",Tab_Calculs[[#This Row],[Colonne1]])),Tab_Calculs[[#This Row],[index_date_livraison]]+1,6)*(Tab_Calculs[[#This Row],[fin mois]]-MIN(Tab_Calculs[[#This Row],[fin mois]],Tab_Calculs[[#This Row],[Date_livraison]]))</f>
        <v>#VALUE!</v>
      </c>
      <c r="N860" s="231" t="str">
        <f ca="1">IFERROR(Tab_Calculs[[#This Row],[Ratio_jour_après_livr]]+Tab_Calculs[[#This Row],[Ratio_jour_avant_livr]]+Tab_Calculs[[#This Row],[ratio_avant_debut]],"")</f>
        <v/>
      </c>
      <c r="O860" t="e">
        <f ca="1">INDEX(INDIRECT(CONCATENATE("Tab_",Tab_Calculs[[#This Row],[Colonne1]])),Tab_Calculs[[#This Row],[index_date_livraison]]-1,7)*(MAX(Tab_Calculs[[#This Row],[Début periode livraison]],Tab_Calculs[[#This Row],[Début mois]])-Tab_Calculs[[#This Row],[Début mois]])</f>
        <v>#VALUE!</v>
      </c>
      <c r="P860">
        <f ca="1">INDEX(INDIRECT(CONCATENATE("Tab_",Tab_Calculs[[#This Row],[Colonne1]])),Tab_Calculs[[#This Row],[index_date_livraison]],7)*(1+MIN(Tab_Calculs[[#This Row],[Date_livraison]],Tab_Calculs[[#This Row],[fin mois]])-MAX(Tab_Calculs[[#This Row],[Début mois]],Tab_Calculs[[#This Row],[Début periode livraison]]))</f>
        <v>0</v>
      </c>
      <c r="Q860" t="e">
        <f ca="1">INDEX(INDIRECT(CONCATENATE("Tab_",Tab_Calculs[[#This Row],[Colonne1]])),Tab_Calculs[[#This Row],[index_date_livraison]]+1,7)*(Tab_Calculs[[#This Row],[fin mois]]-MIN(Tab_Calculs[[#This Row],[fin mois]],Tab_Calculs[[#This Row],[Date_livraison]]))</f>
        <v>#VALUE!</v>
      </c>
      <c r="R860" t="e">
        <f ca="1">Tab_Calculs[[#This Row],[Ratio_Cout_après_livr]]+Tab_Calculs[[#This Row],[Ratio_Cout_avant_livr]]+Tab_Calculs[[#This Row],[Ratio_Cout_avant_debut]]</f>
        <v>#VALUE!</v>
      </c>
      <c r="S860" t="str">
        <f ca="1">IFERROR(N860*VLOOKUP(Tab_Calculs[[#This Row],[Colonne1]],Controle_des_données!$B$7:$G$14,6,FALSE),"")</f>
        <v/>
      </c>
      <c r="T860" t="str">
        <f ca="1">IF(Tab_Calculs[[#This Row],[Combustible ]]="Electricité (kWh)",Tab_Calculs[[#This Row],[Conso_mois_kWh]]*2.3,Tab_Calculs[[#This Row],[Conso_mois_kWh]])</f>
        <v/>
      </c>
      <c r="U860" t="str">
        <f ca="1">IFERROR(N860*VLOOKUP(Tab_Calculs[[#This Row],[Colonne1]],Controle_des_données!$B$7:$H$14,7,FALSE),"")</f>
        <v/>
      </c>
      <c r="V860">
        <f ca="1">IFERROR(Tab_Calculs[[#This Row],[Cout_mois]]/Tab_Calculs[[#This Row],[Conso_mois_kWh]],0)</f>
        <v>0</v>
      </c>
      <c r="W860" t="str">
        <f>T(VLOOKUP(Tab_Calculs[[#This Row],[Compteur]],Site!$B$33:$G$40,3,FALSE))</f>
        <v/>
      </c>
      <c r="X860" t="str">
        <f>T(VLOOKUP(Tab_Calculs[[#This Row],[Compteur]],Site!$B$33:$G$40,4,FALSE))</f>
        <v/>
      </c>
      <c r="Y860" t="str">
        <f>T(VLOOKUP(Tab_Calculs[[#This Row],[Compteur]],Site!$B$33:$G$40,5,FALSE))</f>
        <v/>
      </c>
      <c r="Z860" t="str">
        <f>T(VLOOKUP(Tab_Calculs[[#This Row],[Compteur]],Site!$B$33:$G$40,6,FALSE))</f>
        <v/>
      </c>
      <c r="AA860">
        <f>IFERROR(GETPIVOTDATA("DJU(chauffagiste)",BDD_DJU!$P$13,"annee",Tab_Calculs[[#This Row],[ANNEE]],"mois_numero",Tab_Calculs[[#This Row],[MOIS]]),0)</f>
        <v>370.4</v>
      </c>
    </row>
    <row r="861" spans="1:27" x14ac:dyDescent="0.25">
      <c r="A861" s="3">
        <f>DATE(Tab_Calculs[[#This Row],[ANNEE]],Tab_Calculs[[#This Row],[MOIS]],1)</f>
        <v>42736</v>
      </c>
      <c r="B861" s="3">
        <f>EDATE(Tab_Calculs[[#This Row],[Début mois]],1)-1</f>
        <v>42766</v>
      </c>
      <c r="C861">
        <f t="shared" si="29"/>
        <v>1</v>
      </c>
      <c r="D861">
        <f t="shared" si="28"/>
        <v>2017</v>
      </c>
      <c r="E861" t="s">
        <v>84</v>
      </c>
      <c r="F861" t="str">
        <f>SUBSTITUTE(Tab_Calculs[[#This Row],[Compteur]]," ","_")</f>
        <v>Compteur_5</v>
      </c>
      <c r="G861" t="str">
        <f>T(INDEX(Site!$B$33:$G$40, MATCH(Tab_Calculs[[#This Row],[Compteur]], Site!$B$33:$B$40,0),2))</f>
        <v/>
      </c>
      <c r="H861" s="3">
        <f t="array" aca="1" ref="H861" ca="1">MIN(IF(INDIRECT(CONCATENATE(Tab_Calculs[[#This Row],[Colonne1]],"!$B$2:$B$243"))&gt;=Calculs_Consos!$A861,INDIRECT(CONCATENATE(Tab_Calculs[[#This Row],[Colonne1]],"!$B$2:$B$243"))))</f>
        <v>0</v>
      </c>
      <c r="I861" s="3">
        <f ca="1">INDEX(INDIRECT(CONCATENATE("Tab_",Tab_Calculs[[#This Row],[Colonne1]])),Tab_Calculs[[#This Row],[index_date_livraison]],1)</f>
        <v>0</v>
      </c>
      <c r="J861">
        <f ca="1">MATCH(Tab_Calculs[[#This Row],[Date_livraison]],INDIRECT(CONCATENATE("Tab_",Tab_Calculs[[#This Row],[Colonne1]],"[Fin de période]")),0)</f>
        <v>1</v>
      </c>
      <c r="K861" t="e">
        <f ca="1">INDEX(INDIRECT(CONCATENATE("Tab_",Tab_Calculs[[#This Row],[Colonne1]])),Tab_Calculs[[#This Row],[index_date_livraison]]-1,6)*(MAX(Tab_Calculs[[#This Row],[Début periode livraison]],Tab_Calculs[[#This Row],[Début mois]])-Tab_Calculs[[#This Row],[Début mois]])</f>
        <v>#VALUE!</v>
      </c>
      <c r="L861" s="94">
        <f ca="1">INDEX(INDIRECT(CONCATENATE("Tab_",Tab_Calculs[[#This Row],[Colonne1]])),Tab_Calculs[[#This Row],[index_date_livraison]],6)*(1+MIN(Tab_Calculs[[#This Row],[Date_livraison]],Tab_Calculs[[#This Row],[fin mois]])-MAX(Tab_Calculs[[#This Row],[Début mois]],Tab_Calculs[[#This Row],[Début periode livraison]]))</f>
        <v>0</v>
      </c>
      <c r="M861" s="94" t="e">
        <f ca="1">INDEX(INDIRECT(CONCATENATE("Tab_",Tab_Calculs[[#This Row],[Colonne1]])),Tab_Calculs[[#This Row],[index_date_livraison]]+1,6)*(Tab_Calculs[[#This Row],[fin mois]]-MIN(Tab_Calculs[[#This Row],[fin mois]],Tab_Calculs[[#This Row],[Date_livraison]]))</f>
        <v>#VALUE!</v>
      </c>
      <c r="N861" s="231" t="str">
        <f ca="1">IFERROR(Tab_Calculs[[#This Row],[Ratio_jour_après_livr]]+Tab_Calculs[[#This Row],[Ratio_jour_avant_livr]]+Tab_Calculs[[#This Row],[ratio_avant_debut]],"")</f>
        <v/>
      </c>
      <c r="O861" t="e">
        <f ca="1">INDEX(INDIRECT(CONCATENATE("Tab_",Tab_Calculs[[#This Row],[Colonne1]])),Tab_Calculs[[#This Row],[index_date_livraison]]-1,7)*(MAX(Tab_Calculs[[#This Row],[Début periode livraison]],Tab_Calculs[[#This Row],[Début mois]])-Tab_Calculs[[#This Row],[Début mois]])</f>
        <v>#VALUE!</v>
      </c>
      <c r="P861">
        <f ca="1">INDEX(INDIRECT(CONCATENATE("Tab_",Tab_Calculs[[#This Row],[Colonne1]])),Tab_Calculs[[#This Row],[index_date_livraison]],7)*(1+MIN(Tab_Calculs[[#This Row],[Date_livraison]],Tab_Calculs[[#This Row],[fin mois]])-MAX(Tab_Calculs[[#This Row],[Début mois]],Tab_Calculs[[#This Row],[Début periode livraison]]))</f>
        <v>0</v>
      </c>
      <c r="Q861" t="e">
        <f ca="1">INDEX(INDIRECT(CONCATENATE("Tab_",Tab_Calculs[[#This Row],[Colonne1]])),Tab_Calculs[[#This Row],[index_date_livraison]]+1,7)*(Tab_Calculs[[#This Row],[fin mois]]-MIN(Tab_Calculs[[#This Row],[fin mois]],Tab_Calculs[[#This Row],[Date_livraison]]))</f>
        <v>#VALUE!</v>
      </c>
      <c r="R861" t="e">
        <f ca="1">Tab_Calculs[[#This Row],[Ratio_Cout_après_livr]]+Tab_Calculs[[#This Row],[Ratio_Cout_avant_livr]]+Tab_Calculs[[#This Row],[Ratio_Cout_avant_debut]]</f>
        <v>#VALUE!</v>
      </c>
      <c r="S861" t="str">
        <f ca="1">IFERROR(N861*VLOOKUP(Tab_Calculs[[#This Row],[Colonne1]],Controle_des_données!$B$7:$G$14,6,FALSE),"")</f>
        <v/>
      </c>
      <c r="T861" t="str">
        <f ca="1">IF(Tab_Calculs[[#This Row],[Combustible ]]="Electricité (kWh)",Tab_Calculs[[#This Row],[Conso_mois_kWh]]*2.3,Tab_Calculs[[#This Row],[Conso_mois_kWh]])</f>
        <v/>
      </c>
      <c r="U861" t="str">
        <f ca="1">IFERROR(N861*VLOOKUP(Tab_Calculs[[#This Row],[Colonne1]],Controle_des_données!$B$7:$H$14,7,FALSE),"")</f>
        <v/>
      </c>
      <c r="V861">
        <f ca="1">IFERROR(Tab_Calculs[[#This Row],[Cout_mois]]/Tab_Calculs[[#This Row],[Conso_mois_kWh]],0)</f>
        <v>0</v>
      </c>
      <c r="W861" t="str">
        <f>T(VLOOKUP(Tab_Calculs[[#This Row],[Compteur]],Site!$B$33:$G$40,3,FALSE))</f>
        <v/>
      </c>
      <c r="X861" t="str">
        <f>T(VLOOKUP(Tab_Calculs[[#This Row],[Compteur]],Site!$B$33:$G$40,4,FALSE))</f>
        <v/>
      </c>
      <c r="Y861" t="str">
        <f>T(VLOOKUP(Tab_Calculs[[#This Row],[Compteur]],Site!$B$33:$G$40,5,FALSE))</f>
        <v/>
      </c>
      <c r="Z861" t="str">
        <f>T(VLOOKUP(Tab_Calculs[[#This Row],[Compteur]],Site!$B$33:$G$40,6,FALSE))</f>
        <v/>
      </c>
      <c r="AA861">
        <f>IFERROR(GETPIVOTDATA("DJU(chauffagiste)",BDD_DJU!$P$13,"annee",Tab_Calculs[[#This Row],[ANNEE]],"mois_numero",Tab_Calculs[[#This Row],[MOIS]]),0)</f>
        <v>451.9</v>
      </c>
    </row>
    <row r="862" spans="1:27" x14ac:dyDescent="0.25">
      <c r="A862" s="3">
        <f>DATE(Tab_Calculs[[#This Row],[ANNEE]],Tab_Calculs[[#This Row],[MOIS]],1)</f>
        <v>42767</v>
      </c>
      <c r="B862" s="3">
        <f>EDATE(Tab_Calculs[[#This Row],[Début mois]],1)-1</f>
        <v>42794</v>
      </c>
      <c r="C862">
        <f t="shared" si="29"/>
        <v>2</v>
      </c>
      <c r="D862">
        <f>D850+1</f>
        <v>2017</v>
      </c>
      <c r="E862" t="s">
        <v>84</v>
      </c>
      <c r="F862" t="str">
        <f>SUBSTITUTE(Tab_Calculs[[#This Row],[Compteur]]," ","_")</f>
        <v>Compteur_5</v>
      </c>
      <c r="G862" t="str">
        <f>T(INDEX(Site!$B$33:$G$40, MATCH(Tab_Calculs[[#This Row],[Compteur]], Site!$B$33:$B$40,0),2))</f>
        <v/>
      </c>
      <c r="H862" s="3">
        <f t="array" aca="1" ref="H862" ca="1">MIN(IF(INDIRECT(CONCATENATE(Tab_Calculs[[#This Row],[Colonne1]],"!$B$2:$B$243"))&gt;=Calculs_Consos!$A862,INDIRECT(CONCATENATE(Tab_Calculs[[#This Row],[Colonne1]],"!$B$2:$B$243"))))</f>
        <v>0</v>
      </c>
      <c r="I862" s="3">
        <f ca="1">INDEX(INDIRECT(CONCATENATE("Tab_",Tab_Calculs[[#This Row],[Colonne1]])),Tab_Calculs[[#This Row],[index_date_livraison]],1)</f>
        <v>0</v>
      </c>
      <c r="J862">
        <f ca="1">MATCH(Tab_Calculs[[#This Row],[Date_livraison]],INDIRECT(CONCATENATE("Tab_",Tab_Calculs[[#This Row],[Colonne1]],"[Fin de période]")),0)</f>
        <v>1</v>
      </c>
      <c r="K862" t="e">
        <f ca="1">INDEX(INDIRECT(CONCATENATE("Tab_",Tab_Calculs[[#This Row],[Colonne1]])),Tab_Calculs[[#This Row],[index_date_livraison]]-1,6)*(MAX(Tab_Calculs[[#This Row],[Début periode livraison]],Tab_Calculs[[#This Row],[Début mois]])-Tab_Calculs[[#This Row],[Début mois]])</f>
        <v>#VALUE!</v>
      </c>
      <c r="L862" s="94">
        <f ca="1">INDEX(INDIRECT(CONCATENATE("Tab_",Tab_Calculs[[#This Row],[Colonne1]])),Tab_Calculs[[#This Row],[index_date_livraison]],6)*(1+MIN(Tab_Calculs[[#This Row],[Date_livraison]],Tab_Calculs[[#This Row],[fin mois]])-MAX(Tab_Calculs[[#This Row],[Début mois]],Tab_Calculs[[#This Row],[Début periode livraison]]))</f>
        <v>0</v>
      </c>
      <c r="M862" s="94" t="e">
        <f ca="1">INDEX(INDIRECT(CONCATENATE("Tab_",Tab_Calculs[[#This Row],[Colonne1]])),Tab_Calculs[[#This Row],[index_date_livraison]]+1,6)*(Tab_Calculs[[#This Row],[fin mois]]-MIN(Tab_Calculs[[#This Row],[fin mois]],Tab_Calculs[[#This Row],[Date_livraison]]))</f>
        <v>#VALUE!</v>
      </c>
      <c r="N862" s="231" t="str">
        <f ca="1">IFERROR(Tab_Calculs[[#This Row],[Ratio_jour_après_livr]]+Tab_Calculs[[#This Row],[Ratio_jour_avant_livr]]+Tab_Calculs[[#This Row],[ratio_avant_debut]],"")</f>
        <v/>
      </c>
      <c r="O862" t="e">
        <f ca="1">INDEX(INDIRECT(CONCATENATE("Tab_",Tab_Calculs[[#This Row],[Colonne1]])),Tab_Calculs[[#This Row],[index_date_livraison]]-1,7)*(MAX(Tab_Calculs[[#This Row],[Début periode livraison]],Tab_Calculs[[#This Row],[Début mois]])-Tab_Calculs[[#This Row],[Début mois]])</f>
        <v>#VALUE!</v>
      </c>
      <c r="P862">
        <f ca="1">INDEX(INDIRECT(CONCATENATE("Tab_",Tab_Calculs[[#This Row],[Colonne1]])),Tab_Calculs[[#This Row],[index_date_livraison]],7)*(1+MIN(Tab_Calculs[[#This Row],[Date_livraison]],Tab_Calculs[[#This Row],[fin mois]])-MAX(Tab_Calculs[[#This Row],[Début mois]],Tab_Calculs[[#This Row],[Début periode livraison]]))</f>
        <v>0</v>
      </c>
      <c r="Q862" t="e">
        <f ca="1">INDEX(INDIRECT(CONCATENATE("Tab_",Tab_Calculs[[#This Row],[Colonne1]])),Tab_Calculs[[#This Row],[index_date_livraison]]+1,7)*(Tab_Calculs[[#This Row],[fin mois]]-MIN(Tab_Calculs[[#This Row],[fin mois]],Tab_Calculs[[#This Row],[Date_livraison]]))</f>
        <v>#VALUE!</v>
      </c>
      <c r="R862" t="e">
        <f ca="1">Tab_Calculs[[#This Row],[Ratio_Cout_après_livr]]+Tab_Calculs[[#This Row],[Ratio_Cout_avant_livr]]+Tab_Calculs[[#This Row],[Ratio_Cout_avant_debut]]</f>
        <v>#VALUE!</v>
      </c>
      <c r="S862" t="str">
        <f ca="1">IFERROR(N862*VLOOKUP(Tab_Calculs[[#This Row],[Colonne1]],Controle_des_données!$B$7:$G$14,6,FALSE),"")</f>
        <v/>
      </c>
      <c r="T862" t="str">
        <f ca="1">IF(Tab_Calculs[[#This Row],[Combustible ]]="Electricité (kWh)",Tab_Calculs[[#This Row],[Conso_mois_kWh]]*2.3,Tab_Calculs[[#This Row],[Conso_mois_kWh]])</f>
        <v/>
      </c>
      <c r="U862" t="str">
        <f ca="1">IFERROR(N862*VLOOKUP(Tab_Calculs[[#This Row],[Colonne1]],Controle_des_données!$B$7:$H$14,7,FALSE),"")</f>
        <v/>
      </c>
      <c r="V862">
        <f ca="1">IFERROR(Tab_Calculs[[#This Row],[Cout_mois]]/Tab_Calculs[[#This Row],[Conso_mois_kWh]],0)</f>
        <v>0</v>
      </c>
      <c r="W862" t="str">
        <f>T(VLOOKUP(Tab_Calculs[[#This Row],[Compteur]],Site!$B$33:$G$40,3,FALSE))</f>
        <v/>
      </c>
      <c r="X862" t="str">
        <f>T(VLOOKUP(Tab_Calculs[[#This Row],[Compteur]],Site!$B$33:$G$40,4,FALSE))</f>
        <v/>
      </c>
      <c r="Y862" t="str">
        <f>T(VLOOKUP(Tab_Calculs[[#This Row],[Compteur]],Site!$B$33:$G$40,5,FALSE))</f>
        <v/>
      </c>
      <c r="Z862" t="str">
        <f>T(VLOOKUP(Tab_Calculs[[#This Row],[Compteur]],Site!$B$33:$G$40,6,FALSE))</f>
        <v/>
      </c>
      <c r="AA862">
        <f>IFERROR(GETPIVOTDATA("DJU(chauffagiste)",BDD_DJU!$P$13,"annee",Tab_Calculs[[#This Row],[ANNEE]],"mois_numero",Tab_Calculs[[#This Row],[MOIS]]),0)</f>
        <v>287.8</v>
      </c>
    </row>
    <row r="863" spans="1:27" x14ac:dyDescent="0.25">
      <c r="A863" s="3">
        <f>DATE(Tab_Calculs[[#This Row],[ANNEE]],Tab_Calculs[[#This Row],[MOIS]],1)</f>
        <v>42795</v>
      </c>
      <c r="B863" s="3">
        <f>EDATE(Tab_Calculs[[#This Row],[Début mois]],1)-1</f>
        <v>42825</v>
      </c>
      <c r="C863">
        <f t="shared" si="29"/>
        <v>3</v>
      </c>
      <c r="D863">
        <f t="shared" si="28"/>
        <v>2017</v>
      </c>
      <c r="E863" t="s">
        <v>84</v>
      </c>
      <c r="F863" t="str">
        <f>SUBSTITUTE(Tab_Calculs[[#This Row],[Compteur]]," ","_")</f>
        <v>Compteur_5</v>
      </c>
      <c r="G863" t="str">
        <f>T(INDEX(Site!$B$33:$G$40, MATCH(Tab_Calculs[[#This Row],[Compteur]], Site!$B$33:$B$40,0),2))</f>
        <v/>
      </c>
      <c r="H863" s="3">
        <f t="array" aca="1" ref="H863" ca="1">MIN(IF(INDIRECT(CONCATENATE(Tab_Calculs[[#This Row],[Colonne1]],"!$B$2:$B$243"))&gt;=Calculs_Consos!$A863,INDIRECT(CONCATENATE(Tab_Calculs[[#This Row],[Colonne1]],"!$B$2:$B$243"))))</f>
        <v>0</v>
      </c>
      <c r="I863" s="3">
        <f ca="1">INDEX(INDIRECT(CONCATENATE("Tab_",Tab_Calculs[[#This Row],[Colonne1]])),Tab_Calculs[[#This Row],[index_date_livraison]],1)</f>
        <v>0</v>
      </c>
      <c r="J863">
        <f ca="1">MATCH(Tab_Calculs[[#This Row],[Date_livraison]],INDIRECT(CONCATENATE("Tab_",Tab_Calculs[[#This Row],[Colonne1]],"[Fin de période]")),0)</f>
        <v>1</v>
      </c>
      <c r="K863" t="e">
        <f ca="1">INDEX(INDIRECT(CONCATENATE("Tab_",Tab_Calculs[[#This Row],[Colonne1]])),Tab_Calculs[[#This Row],[index_date_livraison]]-1,6)*(MAX(Tab_Calculs[[#This Row],[Début periode livraison]],Tab_Calculs[[#This Row],[Début mois]])-Tab_Calculs[[#This Row],[Début mois]])</f>
        <v>#VALUE!</v>
      </c>
      <c r="L863" s="94">
        <f ca="1">INDEX(INDIRECT(CONCATENATE("Tab_",Tab_Calculs[[#This Row],[Colonne1]])),Tab_Calculs[[#This Row],[index_date_livraison]],6)*(1+MIN(Tab_Calculs[[#This Row],[Date_livraison]],Tab_Calculs[[#This Row],[fin mois]])-MAX(Tab_Calculs[[#This Row],[Début mois]],Tab_Calculs[[#This Row],[Début periode livraison]]))</f>
        <v>0</v>
      </c>
      <c r="M863" s="94" t="e">
        <f ca="1">INDEX(INDIRECT(CONCATENATE("Tab_",Tab_Calculs[[#This Row],[Colonne1]])),Tab_Calculs[[#This Row],[index_date_livraison]]+1,6)*(Tab_Calculs[[#This Row],[fin mois]]-MIN(Tab_Calculs[[#This Row],[fin mois]],Tab_Calculs[[#This Row],[Date_livraison]]))</f>
        <v>#VALUE!</v>
      </c>
      <c r="N863" s="231" t="str">
        <f ca="1">IFERROR(Tab_Calculs[[#This Row],[Ratio_jour_après_livr]]+Tab_Calculs[[#This Row],[Ratio_jour_avant_livr]]+Tab_Calculs[[#This Row],[ratio_avant_debut]],"")</f>
        <v/>
      </c>
      <c r="O863" t="e">
        <f ca="1">INDEX(INDIRECT(CONCATENATE("Tab_",Tab_Calculs[[#This Row],[Colonne1]])),Tab_Calculs[[#This Row],[index_date_livraison]]-1,7)*(MAX(Tab_Calculs[[#This Row],[Début periode livraison]],Tab_Calculs[[#This Row],[Début mois]])-Tab_Calculs[[#This Row],[Début mois]])</f>
        <v>#VALUE!</v>
      </c>
      <c r="P863">
        <f ca="1">INDEX(INDIRECT(CONCATENATE("Tab_",Tab_Calculs[[#This Row],[Colonne1]])),Tab_Calculs[[#This Row],[index_date_livraison]],7)*(1+MIN(Tab_Calculs[[#This Row],[Date_livraison]],Tab_Calculs[[#This Row],[fin mois]])-MAX(Tab_Calculs[[#This Row],[Début mois]],Tab_Calculs[[#This Row],[Début periode livraison]]))</f>
        <v>0</v>
      </c>
      <c r="Q863" t="e">
        <f ca="1">INDEX(INDIRECT(CONCATENATE("Tab_",Tab_Calculs[[#This Row],[Colonne1]])),Tab_Calculs[[#This Row],[index_date_livraison]]+1,7)*(Tab_Calculs[[#This Row],[fin mois]]-MIN(Tab_Calculs[[#This Row],[fin mois]],Tab_Calculs[[#This Row],[Date_livraison]]))</f>
        <v>#VALUE!</v>
      </c>
      <c r="R863" t="e">
        <f ca="1">Tab_Calculs[[#This Row],[Ratio_Cout_après_livr]]+Tab_Calculs[[#This Row],[Ratio_Cout_avant_livr]]+Tab_Calculs[[#This Row],[Ratio_Cout_avant_debut]]</f>
        <v>#VALUE!</v>
      </c>
      <c r="S863" t="str">
        <f ca="1">IFERROR(N863*VLOOKUP(Tab_Calculs[[#This Row],[Colonne1]],Controle_des_données!$B$7:$G$14,6,FALSE),"")</f>
        <v/>
      </c>
      <c r="T863" t="str">
        <f ca="1">IF(Tab_Calculs[[#This Row],[Combustible ]]="Electricité (kWh)",Tab_Calculs[[#This Row],[Conso_mois_kWh]]*2.3,Tab_Calculs[[#This Row],[Conso_mois_kWh]])</f>
        <v/>
      </c>
      <c r="U863" t="str">
        <f ca="1">IFERROR(N863*VLOOKUP(Tab_Calculs[[#This Row],[Colonne1]],Controle_des_données!$B$7:$H$14,7,FALSE),"")</f>
        <v/>
      </c>
      <c r="V863">
        <f ca="1">IFERROR(Tab_Calculs[[#This Row],[Cout_mois]]/Tab_Calculs[[#This Row],[Conso_mois_kWh]],0)</f>
        <v>0</v>
      </c>
      <c r="W863" t="str">
        <f>T(VLOOKUP(Tab_Calculs[[#This Row],[Compteur]],Site!$B$33:$G$40,3,FALSE))</f>
        <v/>
      </c>
      <c r="X863" t="str">
        <f>T(VLOOKUP(Tab_Calculs[[#This Row],[Compteur]],Site!$B$33:$G$40,4,FALSE))</f>
        <v/>
      </c>
      <c r="Y863" t="str">
        <f>T(VLOOKUP(Tab_Calculs[[#This Row],[Compteur]],Site!$B$33:$G$40,5,FALSE))</f>
        <v/>
      </c>
      <c r="Z863" t="str">
        <f>T(VLOOKUP(Tab_Calculs[[#This Row],[Compteur]],Site!$B$33:$G$40,6,FALSE))</f>
        <v/>
      </c>
      <c r="AA863">
        <f>IFERROR(GETPIVOTDATA("DJU(chauffagiste)",BDD_DJU!$P$13,"annee",Tab_Calculs[[#This Row],[ANNEE]],"mois_numero",Tab_Calculs[[#This Row],[MOIS]]),0)</f>
        <v>226.3</v>
      </c>
    </row>
    <row r="864" spans="1:27" x14ac:dyDescent="0.25">
      <c r="A864" s="3">
        <f>DATE(Tab_Calculs[[#This Row],[ANNEE]],Tab_Calculs[[#This Row],[MOIS]],1)</f>
        <v>42826</v>
      </c>
      <c r="B864" s="3">
        <f>EDATE(Tab_Calculs[[#This Row],[Début mois]],1)-1</f>
        <v>42855</v>
      </c>
      <c r="C864">
        <f t="shared" si="29"/>
        <v>4</v>
      </c>
      <c r="D864">
        <f t="shared" si="28"/>
        <v>2017</v>
      </c>
      <c r="E864" t="s">
        <v>84</v>
      </c>
      <c r="F864" t="str">
        <f>SUBSTITUTE(Tab_Calculs[[#This Row],[Compteur]]," ","_")</f>
        <v>Compteur_5</v>
      </c>
      <c r="G864" t="str">
        <f>T(INDEX(Site!$B$33:$G$40, MATCH(Tab_Calculs[[#This Row],[Compteur]], Site!$B$33:$B$40,0),2))</f>
        <v/>
      </c>
      <c r="H864" s="3">
        <f t="array" aca="1" ref="H864" ca="1">MIN(IF(INDIRECT(CONCATENATE(Tab_Calculs[[#This Row],[Colonne1]],"!$B$2:$B$243"))&gt;=Calculs_Consos!$A864,INDIRECT(CONCATENATE(Tab_Calculs[[#This Row],[Colonne1]],"!$B$2:$B$243"))))</f>
        <v>0</v>
      </c>
      <c r="I864" s="3">
        <f ca="1">INDEX(INDIRECT(CONCATENATE("Tab_",Tab_Calculs[[#This Row],[Colonne1]])),Tab_Calculs[[#This Row],[index_date_livraison]],1)</f>
        <v>0</v>
      </c>
      <c r="J864">
        <f ca="1">MATCH(Tab_Calculs[[#This Row],[Date_livraison]],INDIRECT(CONCATENATE("Tab_",Tab_Calculs[[#This Row],[Colonne1]],"[Fin de période]")),0)</f>
        <v>1</v>
      </c>
      <c r="K864" t="e">
        <f ca="1">INDEX(INDIRECT(CONCATENATE("Tab_",Tab_Calculs[[#This Row],[Colonne1]])),Tab_Calculs[[#This Row],[index_date_livraison]]-1,6)*(MAX(Tab_Calculs[[#This Row],[Début periode livraison]],Tab_Calculs[[#This Row],[Début mois]])-Tab_Calculs[[#This Row],[Début mois]])</f>
        <v>#VALUE!</v>
      </c>
      <c r="L864" s="94">
        <f ca="1">INDEX(INDIRECT(CONCATENATE("Tab_",Tab_Calculs[[#This Row],[Colonne1]])),Tab_Calculs[[#This Row],[index_date_livraison]],6)*(1+MIN(Tab_Calculs[[#This Row],[Date_livraison]],Tab_Calculs[[#This Row],[fin mois]])-MAX(Tab_Calculs[[#This Row],[Début mois]],Tab_Calculs[[#This Row],[Début periode livraison]]))</f>
        <v>0</v>
      </c>
      <c r="M864" s="94" t="e">
        <f ca="1">INDEX(INDIRECT(CONCATENATE("Tab_",Tab_Calculs[[#This Row],[Colonne1]])),Tab_Calculs[[#This Row],[index_date_livraison]]+1,6)*(Tab_Calculs[[#This Row],[fin mois]]-MIN(Tab_Calculs[[#This Row],[fin mois]],Tab_Calculs[[#This Row],[Date_livraison]]))</f>
        <v>#VALUE!</v>
      </c>
      <c r="N864" s="231" t="str">
        <f ca="1">IFERROR(Tab_Calculs[[#This Row],[Ratio_jour_après_livr]]+Tab_Calculs[[#This Row],[Ratio_jour_avant_livr]]+Tab_Calculs[[#This Row],[ratio_avant_debut]],"")</f>
        <v/>
      </c>
      <c r="O864" t="e">
        <f ca="1">INDEX(INDIRECT(CONCATENATE("Tab_",Tab_Calculs[[#This Row],[Colonne1]])),Tab_Calculs[[#This Row],[index_date_livraison]]-1,7)*(MAX(Tab_Calculs[[#This Row],[Début periode livraison]],Tab_Calculs[[#This Row],[Début mois]])-Tab_Calculs[[#This Row],[Début mois]])</f>
        <v>#VALUE!</v>
      </c>
      <c r="P864">
        <f ca="1">INDEX(INDIRECT(CONCATENATE("Tab_",Tab_Calculs[[#This Row],[Colonne1]])),Tab_Calculs[[#This Row],[index_date_livraison]],7)*(1+MIN(Tab_Calculs[[#This Row],[Date_livraison]],Tab_Calculs[[#This Row],[fin mois]])-MAX(Tab_Calculs[[#This Row],[Début mois]],Tab_Calculs[[#This Row],[Début periode livraison]]))</f>
        <v>0</v>
      </c>
      <c r="Q864" t="e">
        <f ca="1">INDEX(INDIRECT(CONCATENATE("Tab_",Tab_Calculs[[#This Row],[Colonne1]])),Tab_Calculs[[#This Row],[index_date_livraison]]+1,7)*(Tab_Calculs[[#This Row],[fin mois]]-MIN(Tab_Calculs[[#This Row],[fin mois]],Tab_Calculs[[#This Row],[Date_livraison]]))</f>
        <v>#VALUE!</v>
      </c>
      <c r="R864" t="e">
        <f ca="1">Tab_Calculs[[#This Row],[Ratio_Cout_après_livr]]+Tab_Calculs[[#This Row],[Ratio_Cout_avant_livr]]+Tab_Calculs[[#This Row],[Ratio_Cout_avant_debut]]</f>
        <v>#VALUE!</v>
      </c>
      <c r="S864" t="str">
        <f ca="1">IFERROR(N864*VLOOKUP(Tab_Calculs[[#This Row],[Colonne1]],Controle_des_données!$B$7:$G$14,6,FALSE),"")</f>
        <v/>
      </c>
      <c r="T864" t="str">
        <f ca="1">IF(Tab_Calculs[[#This Row],[Combustible ]]="Electricité (kWh)",Tab_Calculs[[#This Row],[Conso_mois_kWh]]*2.3,Tab_Calculs[[#This Row],[Conso_mois_kWh]])</f>
        <v/>
      </c>
      <c r="U864" t="str">
        <f ca="1">IFERROR(N864*VLOOKUP(Tab_Calculs[[#This Row],[Colonne1]],Controle_des_données!$B$7:$H$14,7,FALSE),"")</f>
        <v/>
      </c>
      <c r="V864">
        <f ca="1">IFERROR(Tab_Calculs[[#This Row],[Cout_mois]]/Tab_Calculs[[#This Row],[Conso_mois_kWh]],0)</f>
        <v>0</v>
      </c>
      <c r="W864" t="str">
        <f>T(VLOOKUP(Tab_Calculs[[#This Row],[Compteur]],Site!$B$33:$G$40,3,FALSE))</f>
        <v/>
      </c>
      <c r="X864" t="str">
        <f>T(VLOOKUP(Tab_Calculs[[#This Row],[Compteur]],Site!$B$33:$G$40,4,FALSE))</f>
        <v/>
      </c>
      <c r="Y864" t="str">
        <f>T(VLOOKUP(Tab_Calculs[[#This Row],[Compteur]],Site!$B$33:$G$40,5,FALSE))</f>
        <v/>
      </c>
      <c r="Z864" t="str">
        <f>T(VLOOKUP(Tab_Calculs[[#This Row],[Compteur]],Site!$B$33:$G$40,6,FALSE))</f>
        <v/>
      </c>
      <c r="AA864">
        <f>IFERROR(GETPIVOTDATA("DJU(chauffagiste)",BDD_DJU!$P$13,"annee",Tab_Calculs[[#This Row],[ANNEE]],"mois_numero",Tab_Calculs[[#This Row],[MOIS]]),0)</f>
        <v>227.8</v>
      </c>
    </row>
    <row r="865" spans="1:27" x14ac:dyDescent="0.25">
      <c r="A865" s="3">
        <f>DATE(Tab_Calculs[[#This Row],[ANNEE]],Tab_Calculs[[#This Row],[MOIS]],1)</f>
        <v>42856</v>
      </c>
      <c r="B865" s="3">
        <f>EDATE(Tab_Calculs[[#This Row],[Début mois]],1)-1</f>
        <v>42886</v>
      </c>
      <c r="C865">
        <f t="shared" si="29"/>
        <v>5</v>
      </c>
      <c r="D865">
        <f t="shared" si="28"/>
        <v>2017</v>
      </c>
      <c r="E865" t="s">
        <v>84</v>
      </c>
      <c r="F865" t="str">
        <f>SUBSTITUTE(Tab_Calculs[[#This Row],[Compteur]]," ","_")</f>
        <v>Compteur_5</v>
      </c>
      <c r="G865" t="str">
        <f>T(INDEX(Site!$B$33:$G$40, MATCH(Tab_Calculs[[#This Row],[Compteur]], Site!$B$33:$B$40,0),2))</f>
        <v/>
      </c>
      <c r="H865" s="3">
        <f t="array" aca="1" ref="H865" ca="1">MIN(IF(INDIRECT(CONCATENATE(Tab_Calculs[[#This Row],[Colonne1]],"!$B$2:$B$243"))&gt;=Calculs_Consos!$A865,INDIRECT(CONCATENATE(Tab_Calculs[[#This Row],[Colonne1]],"!$B$2:$B$243"))))</f>
        <v>0</v>
      </c>
      <c r="I865" s="3">
        <f ca="1">INDEX(INDIRECT(CONCATENATE("Tab_",Tab_Calculs[[#This Row],[Colonne1]])),Tab_Calculs[[#This Row],[index_date_livraison]],1)</f>
        <v>0</v>
      </c>
      <c r="J865">
        <f ca="1">MATCH(Tab_Calculs[[#This Row],[Date_livraison]],INDIRECT(CONCATENATE("Tab_",Tab_Calculs[[#This Row],[Colonne1]],"[Fin de période]")),0)</f>
        <v>1</v>
      </c>
      <c r="K865" t="e">
        <f ca="1">INDEX(INDIRECT(CONCATENATE("Tab_",Tab_Calculs[[#This Row],[Colonne1]])),Tab_Calculs[[#This Row],[index_date_livraison]]-1,6)*(MAX(Tab_Calculs[[#This Row],[Début periode livraison]],Tab_Calculs[[#This Row],[Début mois]])-Tab_Calculs[[#This Row],[Début mois]])</f>
        <v>#VALUE!</v>
      </c>
      <c r="L865" s="94">
        <f ca="1">INDEX(INDIRECT(CONCATENATE("Tab_",Tab_Calculs[[#This Row],[Colonne1]])),Tab_Calculs[[#This Row],[index_date_livraison]],6)*(1+MIN(Tab_Calculs[[#This Row],[Date_livraison]],Tab_Calculs[[#This Row],[fin mois]])-MAX(Tab_Calculs[[#This Row],[Début mois]],Tab_Calculs[[#This Row],[Début periode livraison]]))</f>
        <v>0</v>
      </c>
      <c r="M865" s="94" t="e">
        <f ca="1">INDEX(INDIRECT(CONCATENATE("Tab_",Tab_Calculs[[#This Row],[Colonne1]])),Tab_Calculs[[#This Row],[index_date_livraison]]+1,6)*(Tab_Calculs[[#This Row],[fin mois]]-MIN(Tab_Calculs[[#This Row],[fin mois]],Tab_Calculs[[#This Row],[Date_livraison]]))</f>
        <v>#VALUE!</v>
      </c>
      <c r="N865" s="231" t="str">
        <f ca="1">IFERROR(Tab_Calculs[[#This Row],[Ratio_jour_après_livr]]+Tab_Calculs[[#This Row],[Ratio_jour_avant_livr]]+Tab_Calculs[[#This Row],[ratio_avant_debut]],"")</f>
        <v/>
      </c>
      <c r="O865" t="e">
        <f ca="1">INDEX(INDIRECT(CONCATENATE("Tab_",Tab_Calculs[[#This Row],[Colonne1]])),Tab_Calculs[[#This Row],[index_date_livraison]]-1,7)*(MAX(Tab_Calculs[[#This Row],[Début periode livraison]],Tab_Calculs[[#This Row],[Début mois]])-Tab_Calculs[[#This Row],[Début mois]])</f>
        <v>#VALUE!</v>
      </c>
      <c r="P865">
        <f ca="1">INDEX(INDIRECT(CONCATENATE("Tab_",Tab_Calculs[[#This Row],[Colonne1]])),Tab_Calculs[[#This Row],[index_date_livraison]],7)*(1+MIN(Tab_Calculs[[#This Row],[Date_livraison]],Tab_Calculs[[#This Row],[fin mois]])-MAX(Tab_Calculs[[#This Row],[Début mois]],Tab_Calculs[[#This Row],[Début periode livraison]]))</f>
        <v>0</v>
      </c>
      <c r="Q865" t="e">
        <f ca="1">INDEX(INDIRECT(CONCATENATE("Tab_",Tab_Calculs[[#This Row],[Colonne1]])),Tab_Calculs[[#This Row],[index_date_livraison]]+1,7)*(Tab_Calculs[[#This Row],[fin mois]]-MIN(Tab_Calculs[[#This Row],[fin mois]],Tab_Calculs[[#This Row],[Date_livraison]]))</f>
        <v>#VALUE!</v>
      </c>
      <c r="R865" t="e">
        <f ca="1">Tab_Calculs[[#This Row],[Ratio_Cout_après_livr]]+Tab_Calculs[[#This Row],[Ratio_Cout_avant_livr]]+Tab_Calculs[[#This Row],[Ratio_Cout_avant_debut]]</f>
        <v>#VALUE!</v>
      </c>
      <c r="S865" t="str">
        <f ca="1">IFERROR(N865*VLOOKUP(Tab_Calculs[[#This Row],[Colonne1]],Controle_des_données!$B$7:$G$14,6,FALSE),"")</f>
        <v/>
      </c>
      <c r="T865" t="str">
        <f ca="1">IF(Tab_Calculs[[#This Row],[Combustible ]]="Electricité (kWh)",Tab_Calculs[[#This Row],[Conso_mois_kWh]]*2.3,Tab_Calculs[[#This Row],[Conso_mois_kWh]])</f>
        <v/>
      </c>
      <c r="U865" t="str">
        <f ca="1">IFERROR(N865*VLOOKUP(Tab_Calculs[[#This Row],[Colonne1]],Controle_des_données!$B$7:$H$14,7,FALSE),"")</f>
        <v/>
      </c>
      <c r="V865">
        <f ca="1">IFERROR(Tab_Calculs[[#This Row],[Cout_mois]]/Tab_Calculs[[#This Row],[Conso_mois_kWh]],0)</f>
        <v>0</v>
      </c>
      <c r="W865" t="str">
        <f>T(VLOOKUP(Tab_Calculs[[#This Row],[Compteur]],Site!$B$33:$G$40,3,FALSE))</f>
        <v/>
      </c>
      <c r="X865" t="str">
        <f>T(VLOOKUP(Tab_Calculs[[#This Row],[Compteur]],Site!$B$33:$G$40,4,FALSE))</f>
        <v/>
      </c>
      <c r="Y865" t="str">
        <f>T(VLOOKUP(Tab_Calculs[[#This Row],[Compteur]],Site!$B$33:$G$40,5,FALSE))</f>
        <v/>
      </c>
      <c r="Z865" t="str">
        <f>T(VLOOKUP(Tab_Calculs[[#This Row],[Compteur]],Site!$B$33:$G$40,6,FALSE))</f>
        <v/>
      </c>
      <c r="AA865">
        <f>IFERROR(GETPIVOTDATA("DJU(chauffagiste)",BDD_DJU!$P$13,"annee",Tab_Calculs[[#This Row],[ANNEE]],"mois_numero",Tab_Calculs[[#This Row],[MOIS]]),0)</f>
        <v>98</v>
      </c>
    </row>
    <row r="866" spans="1:27" x14ac:dyDescent="0.25">
      <c r="A866" s="3">
        <f>DATE(Tab_Calculs[[#This Row],[ANNEE]],Tab_Calculs[[#This Row],[MOIS]],1)</f>
        <v>42887</v>
      </c>
      <c r="B866" s="3">
        <f>EDATE(Tab_Calculs[[#This Row],[Début mois]],1)-1</f>
        <v>42916</v>
      </c>
      <c r="C866">
        <f t="shared" si="29"/>
        <v>6</v>
      </c>
      <c r="D866">
        <f t="shared" si="28"/>
        <v>2017</v>
      </c>
      <c r="E866" t="s">
        <v>84</v>
      </c>
      <c r="F866" t="str">
        <f>SUBSTITUTE(Tab_Calculs[[#This Row],[Compteur]]," ","_")</f>
        <v>Compteur_5</v>
      </c>
      <c r="G866" t="str">
        <f>T(INDEX(Site!$B$33:$G$40, MATCH(Tab_Calculs[[#This Row],[Compteur]], Site!$B$33:$B$40,0),2))</f>
        <v/>
      </c>
      <c r="H866" s="3">
        <f t="array" aca="1" ref="H866" ca="1">MIN(IF(INDIRECT(CONCATENATE(Tab_Calculs[[#This Row],[Colonne1]],"!$B$2:$B$243"))&gt;=Calculs_Consos!$A866,INDIRECT(CONCATENATE(Tab_Calculs[[#This Row],[Colonne1]],"!$B$2:$B$243"))))</f>
        <v>0</v>
      </c>
      <c r="I866" s="3">
        <f ca="1">INDEX(INDIRECT(CONCATENATE("Tab_",Tab_Calculs[[#This Row],[Colonne1]])),Tab_Calculs[[#This Row],[index_date_livraison]],1)</f>
        <v>0</v>
      </c>
      <c r="J866">
        <f ca="1">MATCH(Tab_Calculs[[#This Row],[Date_livraison]],INDIRECT(CONCATENATE("Tab_",Tab_Calculs[[#This Row],[Colonne1]],"[Fin de période]")),0)</f>
        <v>1</v>
      </c>
      <c r="K866" t="e">
        <f ca="1">INDEX(INDIRECT(CONCATENATE("Tab_",Tab_Calculs[[#This Row],[Colonne1]])),Tab_Calculs[[#This Row],[index_date_livraison]]-1,6)*(MAX(Tab_Calculs[[#This Row],[Début periode livraison]],Tab_Calculs[[#This Row],[Début mois]])-Tab_Calculs[[#This Row],[Début mois]])</f>
        <v>#VALUE!</v>
      </c>
      <c r="L866" s="94">
        <f ca="1">INDEX(INDIRECT(CONCATENATE("Tab_",Tab_Calculs[[#This Row],[Colonne1]])),Tab_Calculs[[#This Row],[index_date_livraison]],6)*(1+MIN(Tab_Calculs[[#This Row],[Date_livraison]],Tab_Calculs[[#This Row],[fin mois]])-MAX(Tab_Calculs[[#This Row],[Début mois]],Tab_Calculs[[#This Row],[Début periode livraison]]))</f>
        <v>0</v>
      </c>
      <c r="M866" s="94" t="e">
        <f ca="1">INDEX(INDIRECT(CONCATENATE("Tab_",Tab_Calculs[[#This Row],[Colonne1]])),Tab_Calculs[[#This Row],[index_date_livraison]]+1,6)*(Tab_Calculs[[#This Row],[fin mois]]-MIN(Tab_Calculs[[#This Row],[fin mois]],Tab_Calculs[[#This Row],[Date_livraison]]))</f>
        <v>#VALUE!</v>
      </c>
      <c r="N866" s="231" t="str">
        <f ca="1">IFERROR(Tab_Calculs[[#This Row],[Ratio_jour_après_livr]]+Tab_Calculs[[#This Row],[Ratio_jour_avant_livr]]+Tab_Calculs[[#This Row],[ratio_avant_debut]],"")</f>
        <v/>
      </c>
      <c r="O866" t="e">
        <f ca="1">INDEX(INDIRECT(CONCATENATE("Tab_",Tab_Calculs[[#This Row],[Colonne1]])),Tab_Calculs[[#This Row],[index_date_livraison]]-1,7)*(MAX(Tab_Calculs[[#This Row],[Début periode livraison]],Tab_Calculs[[#This Row],[Début mois]])-Tab_Calculs[[#This Row],[Début mois]])</f>
        <v>#VALUE!</v>
      </c>
      <c r="P866">
        <f ca="1">INDEX(INDIRECT(CONCATENATE("Tab_",Tab_Calculs[[#This Row],[Colonne1]])),Tab_Calculs[[#This Row],[index_date_livraison]],7)*(1+MIN(Tab_Calculs[[#This Row],[Date_livraison]],Tab_Calculs[[#This Row],[fin mois]])-MAX(Tab_Calculs[[#This Row],[Début mois]],Tab_Calculs[[#This Row],[Début periode livraison]]))</f>
        <v>0</v>
      </c>
      <c r="Q866" t="e">
        <f ca="1">INDEX(INDIRECT(CONCATENATE("Tab_",Tab_Calculs[[#This Row],[Colonne1]])),Tab_Calculs[[#This Row],[index_date_livraison]]+1,7)*(Tab_Calculs[[#This Row],[fin mois]]-MIN(Tab_Calculs[[#This Row],[fin mois]],Tab_Calculs[[#This Row],[Date_livraison]]))</f>
        <v>#VALUE!</v>
      </c>
      <c r="R866" t="e">
        <f ca="1">Tab_Calculs[[#This Row],[Ratio_Cout_après_livr]]+Tab_Calculs[[#This Row],[Ratio_Cout_avant_livr]]+Tab_Calculs[[#This Row],[Ratio_Cout_avant_debut]]</f>
        <v>#VALUE!</v>
      </c>
      <c r="S866" t="str">
        <f ca="1">IFERROR(N866*VLOOKUP(Tab_Calculs[[#This Row],[Colonne1]],Controle_des_données!$B$7:$G$14,6,FALSE),"")</f>
        <v/>
      </c>
      <c r="T866" t="str">
        <f ca="1">IF(Tab_Calculs[[#This Row],[Combustible ]]="Electricité (kWh)",Tab_Calculs[[#This Row],[Conso_mois_kWh]]*2.3,Tab_Calculs[[#This Row],[Conso_mois_kWh]])</f>
        <v/>
      </c>
      <c r="U866" t="str">
        <f ca="1">IFERROR(N866*VLOOKUP(Tab_Calculs[[#This Row],[Colonne1]],Controle_des_données!$B$7:$H$14,7,FALSE),"")</f>
        <v/>
      </c>
      <c r="V866">
        <f ca="1">IFERROR(Tab_Calculs[[#This Row],[Cout_mois]]/Tab_Calculs[[#This Row],[Conso_mois_kWh]],0)</f>
        <v>0</v>
      </c>
      <c r="W866" t="str">
        <f>T(VLOOKUP(Tab_Calculs[[#This Row],[Compteur]],Site!$B$33:$G$40,3,FALSE))</f>
        <v/>
      </c>
      <c r="X866" t="str">
        <f>T(VLOOKUP(Tab_Calculs[[#This Row],[Compteur]],Site!$B$33:$G$40,4,FALSE))</f>
        <v/>
      </c>
      <c r="Y866" t="str">
        <f>T(VLOOKUP(Tab_Calculs[[#This Row],[Compteur]],Site!$B$33:$G$40,5,FALSE))</f>
        <v/>
      </c>
      <c r="Z866" t="str">
        <f>T(VLOOKUP(Tab_Calculs[[#This Row],[Compteur]],Site!$B$33:$G$40,6,FALSE))</f>
        <v/>
      </c>
      <c r="AA866">
        <f>IFERROR(GETPIVOTDATA("DJU(chauffagiste)",BDD_DJU!$P$13,"annee",Tab_Calculs[[#This Row],[ANNEE]],"mois_numero",Tab_Calculs[[#This Row],[MOIS]]),0)</f>
        <v>30.9</v>
      </c>
    </row>
    <row r="867" spans="1:27" x14ac:dyDescent="0.25">
      <c r="A867" s="3">
        <f>DATE(Tab_Calculs[[#This Row],[ANNEE]],Tab_Calculs[[#This Row],[MOIS]],1)</f>
        <v>42917</v>
      </c>
      <c r="B867" s="3">
        <f>EDATE(Tab_Calculs[[#This Row],[Début mois]],1)-1</f>
        <v>42947</v>
      </c>
      <c r="C867">
        <f t="shared" si="29"/>
        <v>7</v>
      </c>
      <c r="D867">
        <f t="shared" si="28"/>
        <v>2017</v>
      </c>
      <c r="E867" t="s">
        <v>84</v>
      </c>
      <c r="F867" t="str">
        <f>SUBSTITUTE(Tab_Calculs[[#This Row],[Compteur]]," ","_")</f>
        <v>Compteur_5</v>
      </c>
      <c r="G867" t="str">
        <f>T(INDEX(Site!$B$33:$G$40, MATCH(Tab_Calculs[[#This Row],[Compteur]], Site!$B$33:$B$40,0),2))</f>
        <v/>
      </c>
      <c r="H867" s="3">
        <f t="array" aca="1" ref="H867" ca="1">MIN(IF(INDIRECT(CONCATENATE(Tab_Calculs[[#This Row],[Colonne1]],"!$B$2:$B$243"))&gt;=Calculs_Consos!$A867,INDIRECT(CONCATENATE(Tab_Calculs[[#This Row],[Colonne1]],"!$B$2:$B$243"))))</f>
        <v>0</v>
      </c>
      <c r="I867" s="3">
        <f ca="1">INDEX(INDIRECT(CONCATENATE("Tab_",Tab_Calculs[[#This Row],[Colonne1]])),Tab_Calculs[[#This Row],[index_date_livraison]],1)</f>
        <v>0</v>
      </c>
      <c r="J867">
        <f ca="1">MATCH(Tab_Calculs[[#This Row],[Date_livraison]],INDIRECT(CONCATENATE("Tab_",Tab_Calculs[[#This Row],[Colonne1]],"[Fin de période]")),0)</f>
        <v>1</v>
      </c>
      <c r="K867" t="e">
        <f ca="1">INDEX(INDIRECT(CONCATENATE("Tab_",Tab_Calculs[[#This Row],[Colonne1]])),Tab_Calculs[[#This Row],[index_date_livraison]]-1,6)*(MAX(Tab_Calculs[[#This Row],[Début periode livraison]],Tab_Calculs[[#This Row],[Début mois]])-Tab_Calculs[[#This Row],[Début mois]])</f>
        <v>#VALUE!</v>
      </c>
      <c r="L867" s="94">
        <f ca="1">INDEX(INDIRECT(CONCATENATE("Tab_",Tab_Calculs[[#This Row],[Colonne1]])),Tab_Calculs[[#This Row],[index_date_livraison]],6)*(1+MIN(Tab_Calculs[[#This Row],[Date_livraison]],Tab_Calculs[[#This Row],[fin mois]])-MAX(Tab_Calculs[[#This Row],[Début mois]],Tab_Calculs[[#This Row],[Début periode livraison]]))</f>
        <v>0</v>
      </c>
      <c r="M867" s="94" t="e">
        <f ca="1">INDEX(INDIRECT(CONCATENATE("Tab_",Tab_Calculs[[#This Row],[Colonne1]])),Tab_Calculs[[#This Row],[index_date_livraison]]+1,6)*(Tab_Calculs[[#This Row],[fin mois]]-MIN(Tab_Calculs[[#This Row],[fin mois]],Tab_Calculs[[#This Row],[Date_livraison]]))</f>
        <v>#VALUE!</v>
      </c>
      <c r="N867" s="231" t="str">
        <f ca="1">IFERROR(Tab_Calculs[[#This Row],[Ratio_jour_après_livr]]+Tab_Calculs[[#This Row],[Ratio_jour_avant_livr]]+Tab_Calculs[[#This Row],[ratio_avant_debut]],"")</f>
        <v/>
      </c>
      <c r="O867" t="e">
        <f ca="1">INDEX(INDIRECT(CONCATENATE("Tab_",Tab_Calculs[[#This Row],[Colonne1]])),Tab_Calculs[[#This Row],[index_date_livraison]]-1,7)*(MAX(Tab_Calculs[[#This Row],[Début periode livraison]],Tab_Calculs[[#This Row],[Début mois]])-Tab_Calculs[[#This Row],[Début mois]])</f>
        <v>#VALUE!</v>
      </c>
      <c r="P867">
        <f ca="1">INDEX(INDIRECT(CONCATENATE("Tab_",Tab_Calculs[[#This Row],[Colonne1]])),Tab_Calculs[[#This Row],[index_date_livraison]],7)*(1+MIN(Tab_Calculs[[#This Row],[Date_livraison]],Tab_Calculs[[#This Row],[fin mois]])-MAX(Tab_Calculs[[#This Row],[Début mois]],Tab_Calculs[[#This Row],[Début periode livraison]]))</f>
        <v>0</v>
      </c>
      <c r="Q867" t="e">
        <f ca="1">INDEX(INDIRECT(CONCATENATE("Tab_",Tab_Calculs[[#This Row],[Colonne1]])),Tab_Calculs[[#This Row],[index_date_livraison]]+1,7)*(Tab_Calculs[[#This Row],[fin mois]]-MIN(Tab_Calculs[[#This Row],[fin mois]],Tab_Calculs[[#This Row],[Date_livraison]]))</f>
        <v>#VALUE!</v>
      </c>
      <c r="R867" t="e">
        <f ca="1">Tab_Calculs[[#This Row],[Ratio_Cout_après_livr]]+Tab_Calculs[[#This Row],[Ratio_Cout_avant_livr]]+Tab_Calculs[[#This Row],[Ratio_Cout_avant_debut]]</f>
        <v>#VALUE!</v>
      </c>
      <c r="S867" t="str">
        <f ca="1">IFERROR(N867*VLOOKUP(Tab_Calculs[[#This Row],[Colonne1]],Controle_des_données!$B$7:$G$14,6,FALSE),"")</f>
        <v/>
      </c>
      <c r="T867" t="str">
        <f ca="1">IF(Tab_Calculs[[#This Row],[Combustible ]]="Electricité (kWh)",Tab_Calculs[[#This Row],[Conso_mois_kWh]]*2.3,Tab_Calculs[[#This Row],[Conso_mois_kWh]])</f>
        <v/>
      </c>
      <c r="U867" t="str">
        <f ca="1">IFERROR(N867*VLOOKUP(Tab_Calculs[[#This Row],[Colonne1]],Controle_des_données!$B$7:$H$14,7,FALSE),"")</f>
        <v/>
      </c>
      <c r="V867">
        <f ca="1">IFERROR(Tab_Calculs[[#This Row],[Cout_mois]]/Tab_Calculs[[#This Row],[Conso_mois_kWh]],0)</f>
        <v>0</v>
      </c>
      <c r="W867" t="str">
        <f>T(VLOOKUP(Tab_Calculs[[#This Row],[Compteur]],Site!$B$33:$G$40,3,FALSE))</f>
        <v/>
      </c>
      <c r="X867" t="str">
        <f>T(VLOOKUP(Tab_Calculs[[#This Row],[Compteur]],Site!$B$33:$G$40,4,FALSE))</f>
        <v/>
      </c>
      <c r="Y867" t="str">
        <f>T(VLOOKUP(Tab_Calculs[[#This Row],[Compteur]],Site!$B$33:$G$40,5,FALSE))</f>
        <v/>
      </c>
      <c r="Z867" t="str">
        <f>T(VLOOKUP(Tab_Calculs[[#This Row],[Compteur]],Site!$B$33:$G$40,6,FALSE))</f>
        <v/>
      </c>
      <c r="AA867">
        <f>IFERROR(GETPIVOTDATA("DJU(chauffagiste)",BDD_DJU!$P$13,"annee",Tab_Calculs[[#This Row],[ANNEE]],"mois_numero",Tab_Calculs[[#This Row],[MOIS]]),0)</f>
        <v>23.6</v>
      </c>
    </row>
    <row r="868" spans="1:27" x14ac:dyDescent="0.25">
      <c r="A868" s="3">
        <f>DATE(Tab_Calculs[[#This Row],[ANNEE]],Tab_Calculs[[#This Row],[MOIS]],1)</f>
        <v>42948</v>
      </c>
      <c r="B868" s="3">
        <f>EDATE(Tab_Calculs[[#This Row],[Début mois]],1)-1</f>
        <v>42978</v>
      </c>
      <c r="C868">
        <f t="shared" si="29"/>
        <v>8</v>
      </c>
      <c r="D868">
        <f t="shared" si="28"/>
        <v>2017</v>
      </c>
      <c r="E868" t="s">
        <v>84</v>
      </c>
      <c r="F868" t="str">
        <f>SUBSTITUTE(Tab_Calculs[[#This Row],[Compteur]]," ","_")</f>
        <v>Compteur_5</v>
      </c>
      <c r="G868" t="str">
        <f>T(INDEX(Site!$B$33:$G$40, MATCH(Tab_Calculs[[#This Row],[Compteur]], Site!$B$33:$B$40,0),2))</f>
        <v/>
      </c>
      <c r="H868" s="3">
        <f t="array" aca="1" ref="H868" ca="1">MIN(IF(INDIRECT(CONCATENATE(Tab_Calculs[[#This Row],[Colonne1]],"!$B$2:$B$243"))&gt;=Calculs_Consos!$A868,INDIRECT(CONCATENATE(Tab_Calculs[[#This Row],[Colonne1]],"!$B$2:$B$243"))))</f>
        <v>0</v>
      </c>
      <c r="I868" s="3">
        <f ca="1">INDEX(INDIRECT(CONCATENATE("Tab_",Tab_Calculs[[#This Row],[Colonne1]])),Tab_Calculs[[#This Row],[index_date_livraison]],1)</f>
        <v>0</v>
      </c>
      <c r="J868">
        <f ca="1">MATCH(Tab_Calculs[[#This Row],[Date_livraison]],INDIRECT(CONCATENATE("Tab_",Tab_Calculs[[#This Row],[Colonne1]],"[Fin de période]")),0)</f>
        <v>1</v>
      </c>
      <c r="K868" t="e">
        <f ca="1">INDEX(INDIRECT(CONCATENATE("Tab_",Tab_Calculs[[#This Row],[Colonne1]])),Tab_Calculs[[#This Row],[index_date_livraison]]-1,6)*(MAX(Tab_Calculs[[#This Row],[Début periode livraison]],Tab_Calculs[[#This Row],[Début mois]])-Tab_Calculs[[#This Row],[Début mois]])</f>
        <v>#VALUE!</v>
      </c>
      <c r="L868" s="94">
        <f ca="1">INDEX(INDIRECT(CONCATENATE("Tab_",Tab_Calculs[[#This Row],[Colonne1]])),Tab_Calculs[[#This Row],[index_date_livraison]],6)*(1+MIN(Tab_Calculs[[#This Row],[Date_livraison]],Tab_Calculs[[#This Row],[fin mois]])-MAX(Tab_Calculs[[#This Row],[Début mois]],Tab_Calculs[[#This Row],[Début periode livraison]]))</f>
        <v>0</v>
      </c>
      <c r="M868" s="94" t="e">
        <f ca="1">INDEX(INDIRECT(CONCATENATE("Tab_",Tab_Calculs[[#This Row],[Colonne1]])),Tab_Calculs[[#This Row],[index_date_livraison]]+1,6)*(Tab_Calculs[[#This Row],[fin mois]]-MIN(Tab_Calculs[[#This Row],[fin mois]],Tab_Calculs[[#This Row],[Date_livraison]]))</f>
        <v>#VALUE!</v>
      </c>
      <c r="N868" s="231" t="str">
        <f ca="1">IFERROR(Tab_Calculs[[#This Row],[Ratio_jour_après_livr]]+Tab_Calculs[[#This Row],[Ratio_jour_avant_livr]]+Tab_Calculs[[#This Row],[ratio_avant_debut]],"")</f>
        <v/>
      </c>
      <c r="O868" t="e">
        <f ca="1">INDEX(INDIRECT(CONCATENATE("Tab_",Tab_Calculs[[#This Row],[Colonne1]])),Tab_Calculs[[#This Row],[index_date_livraison]]-1,7)*(MAX(Tab_Calculs[[#This Row],[Début periode livraison]],Tab_Calculs[[#This Row],[Début mois]])-Tab_Calculs[[#This Row],[Début mois]])</f>
        <v>#VALUE!</v>
      </c>
      <c r="P868">
        <f ca="1">INDEX(INDIRECT(CONCATENATE("Tab_",Tab_Calculs[[#This Row],[Colonne1]])),Tab_Calculs[[#This Row],[index_date_livraison]],7)*(1+MIN(Tab_Calculs[[#This Row],[Date_livraison]],Tab_Calculs[[#This Row],[fin mois]])-MAX(Tab_Calculs[[#This Row],[Début mois]],Tab_Calculs[[#This Row],[Début periode livraison]]))</f>
        <v>0</v>
      </c>
      <c r="Q868" t="e">
        <f ca="1">INDEX(INDIRECT(CONCATENATE("Tab_",Tab_Calculs[[#This Row],[Colonne1]])),Tab_Calculs[[#This Row],[index_date_livraison]]+1,7)*(Tab_Calculs[[#This Row],[fin mois]]-MIN(Tab_Calculs[[#This Row],[fin mois]],Tab_Calculs[[#This Row],[Date_livraison]]))</f>
        <v>#VALUE!</v>
      </c>
      <c r="R868" t="e">
        <f ca="1">Tab_Calculs[[#This Row],[Ratio_Cout_après_livr]]+Tab_Calculs[[#This Row],[Ratio_Cout_avant_livr]]+Tab_Calculs[[#This Row],[Ratio_Cout_avant_debut]]</f>
        <v>#VALUE!</v>
      </c>
      <c r="S868" t="str">
        <f ca="1">IFERROR(N868*VLOOKUP(Tab_Calculs[[#This Row],[Colonne1]],Controle_des_données!$B$7:$G$14,6,FALSE),"")</f>
        <v/>
      </c>
      <c r="T868" t="str">
        <f ca="1">IF(Tab_Calculs[[#This Row],[Combustible ]]="Electricité (kWh)",Tab_Calculs[[#This Row],[Conso_mois_kWh]]*2.3,Tab_Calculs[[#This Row],[Conso_mois_kWh]])</f>
        <v/>
      </c>
      <c r="U868" t="str">
        <f ca="1">IFERROR(N868*VLOOKUP(Tab_Calculs[[#This Row],[Colonne1]],Controle_des_données!$B$7:$H$14,7,FALSE),"")</f>
        <v/>
      </c>
      <c r="V868">
        <f ca="1">IFERROR(Tab_Calculs[[#This Row],[Cout_mois]]/Tab_Calculs[[#This Row],[Conso_mois_kWh]],0)</f>
        <v>0</v>
      </c>
      <c r="W868" t="str">
        <f>T(VLOOKUP(Tab_Calculs[[#This Row],[Compteur]],Site!$B$33:$G$40,3,FALSE))</f>
        <v/>
      </c>
      <c r="X868" t="str">
        <f>T(VLOOKUP(Tab_Calculs[[#This Row],[Compteur]],Site!$B$33:$G$40,4,FALSE))</f>
        <v/>
      </c>
      <c r="Y868" t="str">
        <f>T(VLOOKUP(Tab_Calculs[[#This Row],[Compteur]],Site!$B$33:$G$40,5,FALSE))</f>
        <v/>
      </c>
      <c r="Z868" t="str">
        <f>T(VLOOKUP(Tab_Calculs[[#This Row],[Compteur]],Site!$B$33:$G$40,6,FALSE))</f>
        <v/>
      </c>
      <c r="AA868">
        <f>IFERROR(GETPIVOTDATA("DJU(chauffagiste)",BDD_DJU!$P$13,"annee",Tab_Calculs[[#This Row],[ANNEE]],"mois_numero",Tab_Calculs[[#This Row],[MOIS]]),0)</f>
        <v>32.200000000000003</v>
      </c>
    </row>
    <row r="869" spans="1:27" x14ac:dyDescent="0.25">
      <c r="A869" s="3">
        <f>DATE(Tab_Calculs[[#This Row],[ANNEE]],Tab_Calculs[[#This Row],[MOIS]],1)</f>
        <v>42979</v>
      </c>
      <c r="B869" s="3">
        <f>EDATE(Tab_Calculs[[#This Row],[Début mois]],1)-1</f>
        <v>43008</v>
      </c>
      <c r="C869">
        <f t="shared" si="29"/>
        <v>9</v>
      </c>
      <c r="D869">
        <f t="shared" si="28"/>
        <v>2017</v>
      </c>
      <c r="E869" t="s">
        <v>84</v>
      </c>
      <c r="F869" t="str">
        <f>SUBSTITUTE(Tab_Calculs[[#This Row],[Compteur]]," ","_")</f>
        <v>Compteur_5</v>
      </c>
      <c r="G869" t="str">
        <f>T(INDEX(Site!$B$33:$G$40, MATCH(Tab_Calculs[[#This Row],[Compteur]], Site!$B$33:$B$40,0),2))</f>
        <v/>
      </c>
      <c r="H869" s="3">
        <f t="array" aca="1" ref="H869" ca="1">MIN(IF(INDIRECT(CONCATENATE(Tab_Calculs[[#This Row],[Colonne1]],"!$B$2:$B$243"))&gt;=Calculs_Consos!$A869,INDIRECT(CONCATENATE(Tab_Calculs[[#This Row],[Colonne1]],"!$B$2:$B$243"))))</f>
        <v>0</v>
      </c>
      <c r="I869" s="3">
        <f ca="1">INDEX(INDIRECT(CONCATENATE("Tab_",Tab_Calculs[[#This Row],[Colonne1]])),Tab_Calculs[[#This Row],[index_date_livraison]],1)</f>
        <v>0</v>
      </c>
      <c r="J869">
        <f ca="1">MATCH(Tab_Calculs[[#This Row],[Date_livraison]],INDIRECT(CONCATENATE("Tab_",Tab_Calculs[[#This Row],[Colonne1]],"[Fin de période]")),0)</f>
        <v>1</v>
      </c>
      <c r="K869" t="e">
        <f ca="1">INDEX(INDIRECT(CONCATENATE("Tab_",Tab_Calculs[[#This Row],[Colonne1]])),Tab_Calculs[[#This Row],[index_date_livraison]]-1,6)*(MAX(Tab_Calculs[[#This Row],[Début periode livraison]],Tab_Calculs[[#This Row],[Début mois]])-Tab_Calculs[[#This Row],[Début mois]])</f>
        <v>#VALUE!</v>
      </c>
      <c r="L869" s="94">
        <f ca="1">INDEX(INDIRECT(CONCATENATE("Tab_",Tab_Calculs[[#This Row],[Colonne1]])),Tab_Calculs[[#This Row],[index_date_livraison]],6)*(1+MIN(Tab_Calculs[[#This Row],[Date_livraison]],Tab_Calculs[[#This Row],[fin mois]])-MAX(Tab_Calculs[[#This Row],[Début mois]],Tab_Calculs[[#This Row],[Début periode livraison]]))</f>
        <v>0</v>
      </c>
      <c r="M869" s="94" t="e">
        <f ca="1">INDEX(INDIRECT(CONCATENATE("Tab_",Tab_Calculs[[#This Row],[Colonne1]])),Tab_Calculs[[#This Row],[index_date_livraison]]+1,6)*(Tab_Calculs[[#This Row],[fin mois]]-MIN(Tab_Calculs[[#This Row],[fin mois]],Tab_Calculs[[#This Row],[Date_livraison]]))</f>
        <v>#VALUE!</v>
      </c>
      <c r="N869" s="231" t="str">
        <f ca="1">IFERROR(Tab_Calculs[[#This Row],[Ratio_jour_après_livr]]+Tab_Calculs[[#This Row],[Ratio_jour_avant_livr]]+Tab_Calculs[[#This Row],[ratio_avant_debut]],"")</f>
        <v/>
      </c>
      <c r="O869" t="e">
        <f ca="1">INDEX(INDIRECT(CONCATENATE("Tab_",Tab_Calculs[[#This Row],[Colonne1]])),Tab_Calculs[[#This Row],[index_date_livraison]]-1,7)*(MAX(Tab_Calculs[[#This Row],[Début periode livraison]],Tab_Calculs[[#This Row],[Début mois]])-Tab_Calculs[[#This Row],[Début mois]])</f>
        <v>#VALUE!</v>
      </c>
      <c r="P869">
        <f ca="1">INDEX(INDIRECT(CONCATENATE("Tab_",Tab_Calculs[[#This Row],[Colonne1]])),Tab_Calculs[[#This Row],[index_date_livraison]],7)*(1+MIN(Tab_Calculs[[#This Row],[Date_livraison]],Tab_Calculs[[#This Row],[fin mois]])-MAX(Tab_Calculs[[#This Row],[Début mois]],Tab_Calculs[[#This Row],[Début periode livraison]]))</f>
        <v>0</v>
      </c>
      <c r="Q869" t="e">
        <f ca="1">INDEX(INDIRECT(CONCATENATE("Tab_",Tab_Calculs[[#This Row],[Colonne1]])),Tab_Calculs[[#This Row],[index_date_livraison]]+1,7)*(Tab_Calculs[[#This Row],[fin mois]]-MIN(Tab_Calculs[[#This Row],[fin mois]],Tab_Calculs[[#This Row],[Date_livraison]]))</f>
        <v>#VALUE!</v>
      </c>
      <c r="R869" t="e">
        <f ca="1">Tab_Calculs[[#This Row],[Ratio_Cout_après_livr]]+Tab_Calculs[[#This Row],[Ratio_Cout_avant_livr]]+Tab_Calculs[[#This Row],[Ratio_Cout_avant_debut]]</f>
        <v>#VALUE!</v>
      </c>
      <c r="S869" t="str">
        <f ca="1">IFERROR(N869*VLOOKUP(Tab_Calculs[[#This Row],[Colonne1]],Controle_des_données!$B$7:$G$14,6,FALSE),"")</f>
        <v/>
      </c>
      <c r="T869" t="str">
        <f ca="1">IF(Tab_Calculs[[#This Row],[Combustible ]]="Electricité (kWh)",Tab_Calculs[[#This Row],[Conso_mois_kWh]]*2.3,Tab_Calculs[[#This Row],[Conso_mois_kWh]])</f>
        <v/>
      </c>
      <c r="U869" t="str">
        <f ca="1">IFERROR(N869*VLOOKUP(Tab_Calculs[[#This Row],[Colonne1]],Controle_des_données!$B$7:$H$14,7,FALSE),"")</f>
        <v/>
      </c>
      <c r="V869">
        <f ca="1">IFERROR(Tab_Calculs[[#This Row],[Cout_mois]]/Tab_Calculs[[#This Row],[Conso_mois_kWh]],0)</f>
        <v>0</v>
      </c>
      <c r="W869" t="str">
        <f>T(VLOOKUP(Tab_Calculs[[#This Row],[Compteur]],Site!$B$33:$G$40,3,FALSE))</f>
        <v/>
      </c>
      <c r="X869" t="str">
        <f>T(VLOOKUP(Tab_Calculs[[#This Row],[Compteur]],Site!$B$33:$G$40,4,FALSE))</f>
        <v/>
      </c>
      <c r="Y869" t="str">
        <f>T(VLOOKUP(Tab_Calculs[[#This Row],[Compteur]],Site!$B$33:$G$40,5,FALSE))</f>
        <v/>
      </c>
      <c r="Z869" t="str">
        <f>T(VLOOKUP(Tab_Calculs[[#This Row],[Compteur]],Site!$B$33:$G$40,6,FALSE))</f>
        <v/>
      </c>
      <c r="AA869">
        <f>IFERROR(GETPIVOTDATA("DJU(chauffagiste)",BDD_DJU!$P$13,"annee",Tab_Calculs[[#This Row],[ANNEE]],"mois_numero",Tab_Calculs[[#This Row],[MOIS]]),0)</f>
        <v>82.3</v>
      </c>
    </row>
    <row r="870" spans="1:27" x14ac:dyDescent="0.25">
      <c r="A870" s="3">
        <f>DATE(Tab_Calculs[[#This Row],[ANNEE]],Tab_Calculs[[#This Row],[MOIS]],1)</f>
        <v>43009</v>
      </c>
      <c r="B870" s="3">
        <f>EDATE(Tab_Calculs[[#This Row],[Début mois]],1)-1</f>
        <v>43039</v>
      </c>
      <c r="C870">
        <f t="shared" si="29"/>
        <v>10</v>
      </c>
      <c r="D870">
        <f t="shared" si="28"/>
        <v>2017</v>
      </c>
      <c r="E870" t="s">
        <v>84</v>
      </c>
      <c r="F870" t="str">
        <f>SUBSTITUTE(Tab_Calculs[[#This Row],[Compteur]]," ","_")</f>
        <v>Compteur_5</v>
      </c>
      <c r="G870" t="str">
        <f>T(INDEX(Site!$B$33:$G$40, MATCH(Tab_Calculs[[#This Row],[Compteur]], Site!$B$33:$B$40,0),2))</f>
        <v/>
      </c>
      <c r="H870" s="3">
        <f t="array" aca="1" ref="H870" ca="1">MIN(IF(INDIRECT(CONCATENATE(Tab_Calculs[[#This Row],[Colonne1]],"!$B$2:$B$243"))&gt;=Calculs_Consos!$A870,INDIRECT(CONCATENATE(Tab_Calculs[[#This Row],[Colonne1]],"!$B$2:$B$243"))))</f>
        <v>0</v>
      </c>
      <c r="I870" s="3">
        <f ca="1">INDEX(INDIRECT(CONCATENATE("Tab_",Tab_Calculs[[#This Row],[Colonne1]])),Tab_Calculs[[#This Row],[index_date_livraison]],1)</f>
        <v>0</v>
      </c>
      <c r="J870">
        <f ca="1">MATCH(Tab_Calculs[[#This Row],[Date_livraison]],INDIRECT(CONCATENATE("Tab_",Tab_Calculs[[#This Row],[Colonne1]],"[Fin de période]")),0)</f>
        <v>1</v>
      </c>
      <c r="K870" t="e">
        <f ca="1">INDEX(INDIRECT(CONCATENATE("Tab_",Tab_Calculs[[#This Row],[Colonne1]])),Tab_Calculs[[#This Row],[index_date_livraison]]-1,6)*(MAX(Tab_Calculs[[#This Row],[Début periode livraison]],Tab_Calculs[[#This Row],[Début mois]])-Tab_Calculs[[#This Row],[Début mois]])</f>
        <v>#VALUE!</v>
      </c>
      <c r="L870" s="94">
        <f ca="1">INDEX(INDIRECT(CONCATENATE("Tab_",Tab_Calculs[[#This Row],[Colonne1]])),Tab_Calculs[[#This Row],[index_date_livraison]],6)*(1+MIN(Tab_Calculs[[#This Row],[Date_livraison]],Tab_Calculs[[#This Row],[fin mois]])-MAX(Tab_Calculs[[#This Row],[Début mois]],Tab_Calculs[[#This Row],[Début periode livraison]]))</f>
        <v>0</v>
      </c>
      <c r="M870" s="94" t="e">
        <f ca="1">INDEX(INDIRECT(CONCATENATE("Tab_",Tab_Calculs[[#This Row],[Colonne1]])),Tab_Calculs[[#This Row],[index_date_livraison]]+1,6)*(Tab_Calculs[[#This Row],[fin mois]]-MIN(Tab_Calculs[[#This Row],[fin mois]],Tab_Calculs[[#This Row],[Date_livraison]]))</f>
        <v>#VALUE!</v>
      </c>
      <c r="N870" s="231" t="str">
        <f ca="1">IFERROR(Tab_Calculs[[#This Row],[Ratio_jour_après_livr]]+Tab_Calculs[[#This Row],[Ratio_jour_avant_livr]]+Tab_Calculs[[#This Row],[ratio_avant_debut]],"")</f>
        <v/>
      </c>
      <c r="O870" t="e">
        <f ca="1">INDEX(INDIRECT(CONCATENATE("Tab_",Tab_Calculs[[#This Row],[Colonne1]])),Tab_Calculs[[#This Row],[index_date_livraison]]-1,7)*(MAX(Tab_Calculs[[#This Row],[Début periode livraison]],Tab_Calculs[[#This Row],[Début mois]])-Tab_Calculs[[#This Row],[Début mois]])</f>
        <v>#VALUE!</v>
      </c>
      <c r="P870">
        <f ca="1">INDEX(INDIRECT(CONCATENATE("Tab_",Tab_Calculs[[#This Row],[Colonne1]])),Tab_Calculs[[#This Row],[index_date_livraison]],7)*(1+MIN(Tab_Calculs[[#This Row],[Date_livraison]],Tab_Calculs[[#This Row],[fin mois]])-MAX(Tab_Calculs[[#This Row],[Début mois]],Tab_Calculs[[#This Row],[Début periode livraison]]))</f>
        <v>0</v>
      </c>
      <c r="Q870" t="e">
        <f ca="1">INDEX(INDIRECT(CONCATENATE("Tab_",Tab_Calculs[[#This Row],[Colonne1]])),Tab_Calculs[[#This Row],[index_date_livraison]]+1,7)*(Tab_Calculs[[#This Row],[fin mois]]-MIN(Tab_Calculs[[#This Row],[fin mois]],Tab_Calculs[[#This Row],[Date_livraison]]))</f>
        <v>#VALUE!</v>
      </c>
      <c r="R870" t="e">
        <f ca="1">Tab_Calculs[[#This Row],[Ratio_Cout_après_livr]]+Tab_Calculs[[#This Row],[Ratio_Cout_avant_livr]]+Tab_Calculs[[#This Row],[Ratio_Cout_avant_debut]]</f>
        <v>#VALUE!</v>
      </c>
      <c r="S870" t="str">
        <f ca="1">IFERROR(N870*VLOOKUP(Tab_Calculs[[#This Row],[Colonne1]],Controle_des_données!$B$7:$G$14,6,FALSE),"")</f>
        <v/>
      </c>
      <c r="T870" t="str">
        <f ca="1">IF(Tab_Calculs[[#This Row],[Combustible ]]="Electricité (kWh)",Tab_Calculs[[#This Row],[Conso_mois_kWh]]*2.3,Tab_Calculs[[#This Row],[Conso_mois_kWh]])</f>
        <v/>
      </c>
      <c r="U870" t="str">
        <f ca="1">IFERROR(N870*VLOOKUP(Tab_Calculs[[#This Row],[Colonne1]],Controle_des_données!$B$7:$H$14,7,FALSE),"")</f>
        <v/>
      </c>
      <c r="V870">
        <f ca="1">IFERROR(Tab_Calculs[[#This Row],[Cout_mois]]/Tab_Calculs[[#This Row],[Conso_mois_kWh]],0)</f>
        <v>0</v>
      </c>
      <c r="W870" t="str">
        <f>T(VLOOKUP(Tab_Calculs[[#This Row],[Compteur]],Site!$B$33:$G$40,3,FALSE))</f>
        <v/>
      </c>
      <c r="X870" t="str">
        <f>T(VLOOKUP(Tab_Calculs[[#This Row],[Compteur]],Site!$B$33:$G$40,4,FALSE))</f>
        <v/>
      </c>
      <c r="Y870" t="str">
        <f>T(VLOOKUP(Tab_Calculs[[#This Row],[Compteur]],Site!$B$33:$G$40,5,FALSE))</f>
        <v/>
      </c>
      <c r="Z870" t="str">
        <f>T(VLOOKUP(Tab_Calculs[[#This Row],[Compteur]],Site!$B$33:$G$40,6,FALSE))</f>
        <v/>
      </c>
      <c r="AA870">
        <f>IFERROR(GETPIVOTDATA("DJU(chauffagiste)",BDD_DJU!$P$13,"annee",Tab_Calculs[[#This Row],[ANNEE]],"mois_numero",Tab_Calculs[[#This Row],[MOIS]]),0)</f>
        <v>126.4</v>
      </c>
    </row>
    <row r="871" spans="1:27" x14ac:dyDescent="0.25">
      <c r="A871" s="3">
        <f>DATE(Tab_Calculs[[#This Row],[ANNEE]],Tab_Calculs[[#This Row],[MOIS]],1)</f>
        <v>43040</v>
      </c>
      <c r="B871" s="3">
        <f>EDATE(Tab_Calculs[[#This Row],[Début mois]],1)-1</f>
        <v>43069</v>
      </c>
      <c r="C871">
        <f t="shared" si="29"/>
        <v>11</v>
      </c>
      <c r="D871">
        <f t="shared" si="28"/>
        <v>2017</v>
      </c>
      <c r="E871" t="s">
        <v>84</v>
      </c>
      <c r="F871" t="str">
        <f>SUBSTITUTE(Tab_Calculs[[#This Row],[Compteur]]," ","_")</f>
        <v>Compteur_5</v>
      </c>
      <c r="G871" t="str">
        <f>T(INDEX(Site!$B$33:$G$40, MATCH(Tab_Calculs[[#This Row],[Compteur]], Site!$B$33:$B$40,0),2))</f>
        <v/>
      </c>
      <c r="H871" s="3">
        <f t="array" aca="1" ref="H871" ca="1">MIN(IF(INDIRECT(CONCATENATE(Tab_Calculs[[#This Row],[Colonne1]],"!$B$2:$B$243"))&gt;=Calculs_Consos!$A871,INDIRECT(CONCATENATE(Tab_Calculs[[#This Row],[Colonne1]],"!$B$2:$B$243"))))</f>
        <v>0</v>
      </c>
      <c r="I871" s="3">
        <f ca="1">INDEX(INDIRECT(CONCATENATE("Tab_",Tab_Calculs[[#This Row],[Colonne1]])),Tab_Calculs[[#This Row],[index_date_livraison]],1)</f>
        <v>0</v>
      </c>
      <c r="J871">
        <f ca="1">MATCH(Tab_Calculs[[#This Row],[Date_livraison]],INDIRECT(CONCATENATE("Tab_",Tab_Calculs[[#This Row],[Colonne1]],"[Fin de période]")),0)</f>
        <v>1</v>
      </c>
      <c r="K871" t="e">
        <f ca="1">INDEX(INDIRECT(CONCATENATE("Tab_",Tab_Calculs[[#This Row],[Colonne1]])),Tab_Calculs[[#This Row],[index_date_livraison]]-1,6)*(MAX(Tab_Calculs[[#This Row],[Début periode livraison]],Tab_Calculs[[#This Row],[Début mois]])-Tab_Calculs[[#This Row],[Début mois]])</f>
        <v>#VALUE!</v>
      </c>
      <c r="L871" s="94">
        <f ca="1">INDEX(INDIRECT(CONCATENATE("Tab_",Tab_Calculs[[#This Row],[Colonne1]])),Tab_Calculs[[#This Row],[index_date_livraison]],6)*(1+MIN(Tab_Calculs[[#This Row],[Date_livraison]],Tab_Calculs[[#This Row],[fin mois]])-MAX(Tab_Calculs[[#This Row],[Début mois]],Tab_Calculs[[#This Row],[Début periode livraison]]))</f>
        <v>0</v>
      </c>
      <c r="M871" s="94" t="e">
        <f ca="1">INDEX(INDIRECT(CONCATENATE("Tab_",Tab_Calculs[[#This Row],[Colonne1]])),Tab_Calculs[[#This Row],[index_date_livraison]]+1,6)*(Tab_Calculs[[#This Row],[fin mois]]-MIN(Tab_Calculs[[#This Row],[fin mois]],Tab_Calculs[[#This Row],[Date_livraison]]))</f>
        <v>#VALUE!</v>
      </c>
      <c r="N871" s="231" t="str">
        <f ca="1">IFERROR(Tab_Calculs[[#This Row],[Ratio_jour_après_livr]]+Tab_Calculs[[#This Row],[Ratio_jour_avant_livr]]+Tab_Calculs[[#This Row],[ratio_avant_debut]],"")</f>
        <v/>
      </c>
      <c r="O871" t="e">
        <f ca="1">INDEX(INDIRECT(CONCATENATE("Tab_",Tab_Calculs[[#This Row],[Colonne1]])),Tab_Calculs[[#This Row],[index_date_livraison]]-1,7)*(MAX(Tab_Calculs[[#This Row],[Début periode livraison]],Tab_Calculs[[#This Row],[Début mois]])-Tab_Calculs[[#This Row],[Début mois]])</f>
        <v>#VALUE!</v>
      </c>
      <c r="P871">
        <f ca="1">INDEX(INDIRECT(CONCATENATE("Tab_",Tab_Calculs[[#This Row],[Colonne1]])),Tab_Calculs[[#This Row],[index_date_livraison]],7)*(1+MIN(Tab_Calculs[[#This Row],[Date_livraison]],Tab_Calculs[[#This Row],[fin mois]])-MAX(Tab_Calculs[[#This Row],[Début mois]],Tab_Calculs[[#This Row],[Début periode livraison]]))</f>
        <v>0</v>
      </c>
      <c r="Q871" t="e">
        <f ca="1">INDEX(INDIRECT(CONCATENATE("Tab_",Tab_Calculs[[#This Row],[Colonne1]])),Tab_Calculs[[#This Row],[index_date_livraison]]+1,7)*(Tab_Calculs[[#This Row],[fin mois]]-MIN(Tab_Calculs[[#This Row],[fin mois]],Tab_Calculs[[#This Row],[Date_livraison]]))</f>
        <v>#VALUE!</v>
      </c>
      <c r="R871" t="e">
        <f ca="1">Tab_Calculs[[#This Row],[Ratio_Cout_après_livr]]+Tab_Calculs[[#This Row],[Ratio_Cout_avant_livr]]+Tab_Calculs[[#This Row],[Ratio_Cout_avant_debut]]</f>
        <v>#VALUE!</v>
      </c>
      <c r="S871" t="str">
        <f ca="1">IFERROR(N871*VLOOKUP(Tab_Calculs[[#This Row],[Colonne1]],Controle_des_données!$B$7:$G$14,6,FALSE),"")</f>
        <v/>
      </c>
      <c r="T871" t="str">
        <f ca="1">IF(Tab_Calculs[[#This Row],[Combustible ]]="Electricité (kWh)",Tab_Calculs[[#This Row],[Conso_mois_kWh]]*2.3,Tab_Calculs[[#This Row],[Conso_mois_kWh]])</f>
        <v/>
      </c>
      <c r="U871" t="str">
        <f ca="1">IFERROR(N871*VLOOKUP(Tab_Calculs[[#This Row],[Colonne1]],Controle_des_données!$B$7:$H$14,7,FALSE),"")</f>
        <v/>
      </c>
      <c r="V871">
        <f ca="1">IFERROR(Tab_Calculs[[#This Row],[Cout_mois]]/Tab_Calculs[[#This Row],[Conso_mois_kWh]],0)</f>
        <v>0</v>
      </c>
      <c r="W871" t="str">
        <f>T(VLOOKUP(Tab_Calculs[[#This Row],[Compteur]],Site!$B$33:$G$40,3,FALSE))</f>
        <v/>
      </c>
      <c r="X871" t="str">
        <f>T(VLOOKUP(Tab_Calculs[[#This Row],[Compteur]],Site!$B$33:$G$40,4,FALSE))</f>
        <v/>
      </c>
      <c r="Y871" t="str">
        <f>T(VLOOKUP(Tab_Calculs[[#This Row],[Compteur]],Site!$B$33:$G$40,5,FALSE))</f>
        <v/>
      </c>
      <c r="Z871" t="str">
        <f>T(VLOOKUP(Tab_Calculs[[#This Row],[Compteur]],Site!$B$33:$G$40,6,FALSE))</f>
        <v/>
      </c>
      <c r="AA871">
        <f>IFERROR(GETPIVOTDATA("DJU(chauffagiste)",BDD_DJU!$P$13,"annee",Tab_Calculs[[#This Row],[ANNEE]],"mois_numero",Tab_Calculs[[#This Row],[MOIS]]),0)</f>
        <v>289.89999999999998</v>
      </c>
    </row>
    <row r="872" spans="1:27" x14ac:dyDescent="0.25">
      <c r="A872" s="3">
        <f>DATE(Tab_Calculs[[#This Row],[ANNEE]],Tab_Calculs[[#This Row],[MOIS]],1)</f>
        <v>43070</v>
      </c>
      <c r="B872" s="3">
        <f>EDATE(Tab_Calculs[[#This Row],[Début mois]],1)-1</f>
        <v>43100</v>
      </c>
      <c r="C872">
        <f t="shared" si="29"/>
        <v>12</v>
      </c>
      <c r="D872">
        <f t="shared" si="28"/>
        <v>2017</v>
      </c>
      <c r="E872" t="s">
        <v>84</v>
      </c>
      <c r="F872" t="str">
        <f>SUBSTITUTE(Tab_Calculs[[#This Row],[Compteur]]," ","_")</f>
        <v>Compteur_5</v>
      </c>
      <c r="G872" t="str">
        <f>T(INDEX(Site!$B$33:$G$40, MATCH(Tab_Calculs[[#This Row],[Compteur]], Site!$B$33:$B$40,0),2))</f>
        <v/>
      </c>
      <c r="H872" s="3">
        <f t="array" aca="1" ref="H872" ca="1">MIN(IF(INDIRECT(CONCATENATE(Tab_Calculs[[#This Row],[Colonne1]],"!$B$2:$B$243"))&gt;=Calculs_Consos!$A872,INDIRECT(CONCATENATE(Tab_Calculs[[#This Row],[Colonne1]],"!$B$2:$B$243"))))</f>
        <v>0</v>
      </c>
      <c r="I872" s="3">
        <f ca="1">INDEX(INDIRECT(CONCATENATE("Tab_",Tab_Calculs[[#This Row],[Colonne1]])),Tab_Calculs[[#This Row],[index_date_livraison]],1)</f>
        <v>0</v>
      </c>
      <c r="J872">
        <f ca="1">MATCH(Tab_Calculs[[#This Row],[Date_livraison]],INDIRECT(CONCATENATE("Tab_",Tab_Calculs[[#This Row],[Colonne1]],"[Fin de période]")),0)</f>
        <v>1</v>
      </c>
      <c r="K872" t="e">
        <f ca="1">INDEX(INDIRECT(CONCATENATE("Tab_",Tab_Calculs[[#This Row],[Colonne1]])),Tab_Calculs[[#This Row],[index_date_livraison]]-1,6)*(MAX(Tab_Calculs[[#This Row],[Début periode livraison]],Tab_Calculs[[#This Row],[Début mois]])-Tab_Calculs[[#This Row],[Début mois]])</f>
        <v>#VALUE!</v>
      </c>
      <c r="L872" s="94">
        <f ca="1">INDEX(INDIRECT(CONCATENATE("Tab_",Tab_Calculs[[#This Row],[Colonne1]])),Tab_Calculs[[#This Row],[index_date_livraison]],6)*(1+MIN(Tab_Calculs[[#This Row],[Date_livraison]],Tab_Calculs[[#This Row],[fin mois]])-MAX(Tab_Calculs[[#This Row],[Début mois]],Tab_Calculs[[#This Row],[Début periode livraison]]))</f>
        <v>0</v>
      </c>
      <c r="M872" s="94" t="e">
        <f ca="1">INDEX(INDIRECT(CONCATENATE("Tab_",Tab_Calculs[[#This Row],[Colonne1]])),Tab_Calculs[[#This Row],[index_date_livraison]]+1,6)*(Tab_Calculs[[#This Row],[fin mois]]-MIN(Tab_Calculs[[#This Row],[fin mois]],Tab_Calculs[[#This Row],[Date_livraison]]))</f>
        <v>#VALUE!</v>
      </c>
      <c r="N872" s="231" t="str">
        <f ca="1">IFERROR(Tab_Calculs[[#This Row],[Ratio_jour_après_livr]]+Tab_Calculs[[#This Row],[Ratio_jour_avant_livr]]+Tab_Calculs[[#This Row],[ratio_avant_debut]],"")</f>
        <v/>
      </c>
      <c r="O872" t="e">
        <f ca="1">INDEX(INDIRECT(CONCATENATE("Tab_",Tab_Calculs[[#This Row],[Colonne1]])),Tab_Calculs[[#This Row],[index_date_livraison]]-1,7)*(MAX(Tab_Calculs[[#This Row],[Début periode livraison]],Tab_Calculs[[#This Row],[Début mois]])-Tab_Calculs[[#This Row],[Début mois]])</f>
        <v>#VALUE!</v>
      </c>
      <c r="P872">
        <f ca="1">INDEX(INDIRECT(CONCATENATE("Tab_",Tab_Calculs[[#This Row],[Colonne1]])),Tab_Calculs[[#This Row],[index_date_livraison]],7)*(1+MIN(Tab_Calculs[[#This Row],[Date_livraison]],Tab_Calculs[[#This Row],[fin mois]])-MAX(Tab_Calculs[[#This Row],[Début mois]],Tab_Calculs[[#This Row],[Début periode livraison]]))</f>
        <v>0</v>
      </c>
      <c r="Q872" t="e">
        <f ca="1">INDEX(INDIRECT(CONCATENATE("Tab_",Tab_Calculs[[#This Row],[Colonne1]])),Tab_Calculs[[#This Row],[index_date_livraison]]+1,7)*(Tab_Calculs[[#This Row],[fin mois]]-MIN(Tab_Calculs[[#This Row],[fin mois]],Tab_Calculs[[#This Row],[Date_livraison]]))</f>
        <v>#VALUE!</v>
      </c>
      <c r="R872" t="e">
        <f ca="1">Tab_Calculs[[#This Row],[Ratio_Cout_après_livr]]+Tab_Calculs[[#This Row],[Ratio_Cout_avant_livr]]+Tab_Calculs[[#This Row],[Ratio_Cout_avant_debut]]</f>
        <v>#VALUE!</v>
      </c>
      <c r="S872" t="str">
        <f ca="1">IFERROR(N872*VLOOKUP(Tab_Calculs[[#This Row],[Colonne1]],Controle_des_données!$B$7:$G$14,6,FALSE),"")</f>
        <v/>
      </c>
      <c r="T872" t="str">
        <f ca="1">IF(Tab_Calculs[[#This Row],[Combustible ]]="Electricité (kWh)",Tab_Calculs[[#This Row],[Conso_mois_kWh]]*2.3,Tab_Calculs[[#This Row],[Conso_mois_kWh]])</f>
        <v/>
      </c>
      <c r="U872" t="str">
        <f ca="1">IFERROR(N872*VLOOKUP(Tab_Calculs[[#This Row],[Colonne1]],Controle_des_données!$B$7:$H$14,7,FALSE),"")</f>
        <v/>
      </c>
      <c r="V872">
        <f ca="1">IFERROR(Tab_Calculs[[#This Row],[Cout_mois]]/Tab_Calculs[[#This Row],[Conso_mois_kWh]],0)</f>
        <v>0</v>
      </c>
      <c r="W872" t="str">
        <f>T(VLOOKUP(Tab_Calculs[[#This Row],[Compteur]],Site!$B$33:$G$40,3,FALSE))</f>
        <v/>
      </c>
      <c r="X872" t="str">
        <f>T(VLOOKUP(Tab_Calculs[[#This Row],[Compteur]],Site!$B$33:$G$40,4,FALSE))</f>
        <v/>
      </c>
      <c r="Y872" t="str">
        <f>T(VLOOKUP(Tab_Calculs[[#This Row],[Compteur]],Site!$B$33:$G$40,5,FALSE))</f>
        <v/>
      </c>
      <c r="Z872" t="str">
        <f>T(VLOOKUP(Tab_Calculs[[#This Row],[Compteur]],Site!$B$33:$G$40,6,FALSE))</f>
        <v/>
      </c>
      <c r="AA872">
        <f>IFERROR(GETPIVOTDATA("DJU(chauffagiste)",BDD_DJU!$P$13,"annee",Tab_Calculs[[#This Row],[ANNEE]],"mois_numero",Tab_Calculs[[#This Row],[MOIS]]),0)</f>
        <v>366.2</v>
      </c>
    </row>
    <row r="873" spans="1:27" x14ac:dyDescent="0.25">
      <c r="A873" s="3">
        <f>DATE(Tab_Calculs[[#This Row],[ANNEE]],Tab_Calculs[[#This Row],[MOIS]],1)</f>
        <v>43101</v>
      </c>
      <c r="B873" s="3">
        <f>EDATE(Tab_Calculs[[#This Row],[Début mois]],1)-1</f>
        <v>43131</v>
      </c>
      <c r="C873">
        <f t="shared" si="29"/>
        <v>1</v>
      </c>
      <c r="D873">
        <f t="shared" si="28"/>
        <v>2018</v>
      </c>
      <c r="E873" t="s">
        <v>84</v>
      </c>
      <c r="F873" t="str">
        <f>SUBSTITUTE(Tab_Calculs[[#This Row],[Compteur]]," ","_")</f>
        <v>Compteur_5</v>
      </c>
      <c r="G873" t="str">
        <f>T(INDEX(Site!$B$33:$G$40, MATCH(Tab_Calculs[[#This Row],[Compteur]], Site!$B$33:$B$40,0),2))</f>
        <v/>
      </c>
      <c r="H873" s="3">
        <f t="array" aca="1" ref="H873" ca="1">MIN(IF(INDIRECT(CONCATENATE(Tab_Calculs[[#This Row],[Colonne1]],"!$B$2:$B$243"))&gt;=Calculs_Consos!$A873,INDIRECT(CONCATENATE(Tab_Calculs[[#This Row],[Colonne1]],"!$B$2:$B$243"))))</f>
        <v>0</v>
      </c>
      <c r="I873" s="3">
        <f ca="1">INDEX(INDIRECT(CONCATENATE("Tab_",Tab_Calculs[[#This Row],[Colonne1]])),Tab_Calculs[[#This Row],[index_date_livraison]],1)</f>
        <v>0</v>
      </c>
      <c r="J873">
        <f ca="1">MATCH(Tab_Calculs[[#This Row],[Date_livraison]],INDIRECT(CONCATENATE("Tab_",Tab_Calculs[[#This Row],[Colonne1]],"[Fin de période]")),0)</f>
        <v>1</v>
      </c>
      <c r="K873" t="e">
        <f ca="1">INDEX(INDIRECT(CONCATENATE("Tab_",Tab_Calculs[[#This Row],[Colonne1]])),Tab_Calculs[[#This Row],[index_date_livraison]]-1,6)*(MAX(Tab_Calculs[[#This Row],[Début periode livraison]],Tab_Calculs[[#This Row],[Début mois]])-Tab_Calculs[[#This Row],[Début mois]])</f>
        <v>#VALUE!</v>
      </c>
      <c r="L873" s="94">
        <f ca="1">INDEX(INDIRECT(CONCATENATE("Tab_",Tab_Calculs[[#This Row],[Colonne1]])),Tab_Calculs[[#This Row],[index_date_livraison]],6)*(1+MIN(Tab_Calculs[[#This Row],[Date_livraison]],Tab_Calculs[[#This Row],[fin mois]])-MAX(Tab_Calculs[[#This Row],[Début mois]],Tab_Calculs[[#This Row],[Début periode livraison]]))</f>
        <v>0</v>
      </c>
      <c r="M873" s="94" t="e">
        <f ca="1">INDEX(INDIRECT(CONCATENATE("Tab_",Tab_Calculs[[#This Row],[Colonne1]])),Tab_Calculs[[#This Row],[index_date_livraison]]+1,6)*(Tab_Calculs[[#This Row],[fin mois]]-MIN(Tab_Calculs[[#This Row],[fin mois]],Tab_Calculs[[#This Row],[Date_livraison]]))</f>
        <v>#VALUE!</v>
      </c>
      <c r="N873" s="231" t="str">
        <f ca="1">IFERROR(Tab_Calculs[[#This Row],[Ratio_jour_après_livr]]+Tab_Calculs[[#This Row],[Ratio_jour_avant_livr]]+Tab_Calculs[[#This Row],[ratio_avant_debut]],"")</f>
        <v/>
      </c>
      <c r="O873" t="e">
        <f ca="1">INDEX(INDIRECT(CONCATENATE("Tab_",Tab_Calculs[[#This Row],[Colonne1]])),Tab_Calculs[[#This Row],[index_date_livraison]]-1,7)*(MAX(Tab_Calculs[[#This Row],[Début periode livraison]],Tab_Calculs[[#This Row],[Début mois]])-Tab_Calculs[[#This Row],[Début mois]])</f>
        <v>#VALUE!</v>
      </c>
      <c r="P873">
        <f ca="1">INDEX(INDIRECT(CONCATENATE("Tab_",Tab_Calculs[[#This Row],[Colonne1]])),Tab_Calculs[[#This Row],[index_date_livraison]],7)*(1+MIN(Tab_Calculs[[#This Row],[Date_livraison]],Tab_Calculs[[#This Row],[fin mois]])-MAX(Tab_Calculs[[#This Row],[Début mois]],Tab_Calculs[[#This Row],[Début periode livraison]]))</f>
        <v>0</v>
      </c>
      <c r="Q873" t="e">
        <f ca="1">INDEX(INDIRECT(CONCATENATE("Tab_",Tab_Calculs[[#This Row],[Colonne1]])),Tab_Calculs[[#This Row],[index_date_livraison]]+1,7)*(Tab_Calculs[[#This Row],[fin mois]]-MIN(Tab_Calculs[[#This Row],[fin mois]],Tab_Calculs[[#This Row],[Date_livraison]]))</f>
        <v>#VALUE!</v>
      </c>
      <c r="R873" t="e">
        <f ca="1">Tab_Calculs[[#This Row],[Ratio_Cout_après_livr]]+Tab_Calculs[[#This Row],[Ratio_Cout_avant_livr]]+Tab_Calculs[[#This Row],[Ratio_Cout_avant_debut]]</f>
        <v>#VALUE!</v>
      </c>
      <c r="S873" t="str">
        <f ca="1">IFERROR(N873*VLOOKUP(Tab_Calculs[[#This Row],[Colonne1]],Controle_des_données!$B$7:$G$14,6,FALSE),"")</f>
        <v/>
      </c>
      <c r="T873" t="str">
        <f ca="1">IF(Tab_Calculs[[#This Row],[Combustible ]]="Electricité (kWh)",Tab_Calculs[[#This Row],[Conso_mois_kWh]]*2.3,Tab_Calculs[[#This Row],[Conso_mois_kWh]])</f>
        <v/>
      </c>
      <c r="U873" t="str">
        <f ca="1">IFERROR(N873*VLOOKUP(Tab_Calculs[[#This Row],[Colonne1]],Controle_des_données!$B$7:$H$14,7,FALSE),"")</f>
        <v/>
      </c>
      <c r="V873">
        <f ca="1">IFERROR(Tab_Calculs[[#This Row],[Cout_mois]]/Tab_Calculs[[#This Row],[Conso_mois_kWh]],0)</f>
        <v>0</v>
      </c>
      <c r="W873" t="str">
        <f>T(VLOOKUP(Tab_Calculs[[#This Row],[Compteur]],Site!$B$33:$G$40,3,FALSE))</f>
        <v/>
      </c>
      <c r="X873" t="str">
        <f>T(VLOOKUP(Tab_Calculs[[#This Row],[Compteur]],Site!$B$33:$G$40,4,FALSE))</f>
        <v/>
      </c>
      <c r="Y873" t="str">
        <f>T(VLOOKUP(Tab_Calculs[[#This Row],[Compteur]],Site!$B$33:$G$40,5,FALSE))</f>
        <v/>
      </c>
      <c r="Z873" t="str">
        <f>T(VLOOKUP(Tab_Calculs[[#This Row],[Compteur]],Site!$B$33:$G$40,6,FALSE))</f>
        <v/>
      </c>
      <c r="AA873">
        <f>IFERROR(GETPIVOTDATA("DJU(chauffagiste)",BDD_DJU!$P$13,"annee",Tab_Calculs[[#This Row],[ANNEE]],"mois_numero",Tab_Calculs[[#This Row],[MOIS]]),0)</f>
        <v>298.60000000000002</v>
      </c>
    </row>
    <row r="874" spans="1:27" x14ac:dyDescent="0.25">
      <c r="A874" s="3">
        <f>DATE(Tab_Calculs[[#This Row],[ANNEE]],Tab_Calculs[[#This Row],[MOIS]],1)</f>
        <v>43132</v>
      </c>
      <c r="B874" s="3">
        <f>EDATE(Tab_Calculs[[#This Row],[Début mois]],1)-1</f>
        <v>43159</v>
      </c>
      <c r="C874">
        <f t="shared" si="29"/>
        <v>2</v>
      </c>
      <c r="D874">
        <f t="shared" si="28"/>
        <v>2018</v>
      </c>
      <c r="E874" t="s">
        <v>84</v>
      </c>
      <c r="F874" t="str">
        <f>SUBSTITUTE(Tab_Calculs[[#This Row],[Compteur]]," ","_")</f>
        <v>Compteur_5</v>
      </c>
      <c r="G874" t="str">
        <f>T(INDEX(Site!$B$33:$G$40, MATCH(Tab_Calculs[[#This Row],[Compteur]], Site!$B$33:$B$40,0),2))</f>
        <v/>
      </c>
      <c r="H874" s="3">
        <f t="array" aca="1" ref="H874" ca="1">MIN(IF(INDIRECT(CONCATENATE(Tab_Calculs[[#This Row],[Colonne1]],"!$B$2:$B$243"))&gt;=Calculs_Consos!$A874,INDIRECT(CONCATENATE(Tab_Calculs[[#This Row],[Colonne1]],"!$B$2:$B$243"))))</f>
        <v>0</v>
      </c>
      <c r="I874" s="3">
        <f ca="1">INDEX(INDIRECT(CONCATENATE("Tab_",Tab_Calculs[[#This Row],[Colonne1]])),Tab_Calculs[[#This Row],[index_date_livraison]],1)</f>
        <v>0</v>
      </c>
      <c r="J874">
        <f ca="1">MATCH(Tab_Calculs[[#This Row],[Date_livraison]],INDIRECT(CONCATENATE("Tab_",Tab_Calculs[[#This Row],[Colonne1]],"[Fin de période]")),0)</f>
        <v>1</v>
      </c>
      <c r="K874" t="e">
        <f ca="1">INDEX(INDIRECT(CONCATENATE("Tab_",Tab_Calculs[[#This Row],[Colonne1]])),Tab_Calculs[[#This Row],[index_date_livraison]]-1,6)*(MAX(Tab_Calculs[[#This Row],[Début periode livraison]],Tab_Calculs[[#This Row],[Début mois]])-Tab_Calculs[[#This Row],[Début mois]])</f>
        <v>#VALUE!</v>
      </c>
      <c r="L874" s="94">
        <f ca="1">INDEX(INDIRECT(CONCATENATE("Tab_",Tab_Calculs[[#This Row],[Colonne1]])),Tab_Calculs[[#This Row],[index_date_livraison]],6)*(1+MIN(Tab_Calculs[[#This Row],[Date_livraison]],Tab_Calculs[[#This Row],[fin mois]])-MAX(Tab_Calculs[[#This Row],[Début mois]],Tab_Calculs[[#This Row],[Début periode livraison]]))</f>
        <v>0</v>
      </c>
      <c r="M874" s="94" t="e">
        <f ca="1">INDEX(INDIRECT(CONCATENATE("Tab_",Tab_Calculs[[#This Row],[Colonne1]])),Tab_Calculs[[#This Row],[index_date_livraison]]+1,6)*(Tab_Calculs[[#This Row],[fin mois]]-MIN(Tab_Calculs[[#This Row],[fin mois]],Tab_Calculs[[#This Row],[Date_livraison]]))</f>
        <v>#VALUE!</v>
      </c>
      <c r="N874" s="231" t="str">
        <f ca="1">IFERROR(Tab_Calculs[[#This Row],[Ratio_jour_après_livr]]+Tab_Calculs[[#This Row],[Ratio_jour_avant_livr]]+Tab_Calculs[[#This Row],[ratio_avant_debut]],"")</f>
        <v/>
      </c>
      <c r="O874" t="e">
        <f ca="1">INDEX(INDIRECT(CONCATENATE("Tab_",Tab_Calculs[[#This Row],[Colonne1]])),Tab_Calculs[[#This Row],[index_date_livraison]]-1,7)*(MAX(Tab_Calculs[[#This Row],[Début periode livraison]],Tab_Calculs[[#This Row],[Début mois]])-Tab_Calculs[[#This Row],[Début mois]])</f>
        <v>#VALUE!</v>
      </c>
      <c r="P874">
        <f ca="1">INDEX(INDIRECT(CONCATENATE("Tab_",Tab_Calculs[[#This Row],[Colonne1]])),Tab_Calculs[[#This Row],[index_date_livraison]],7)*(1+MIN(Tab_Calculs[[#This Row],[Date_livraison]],Tab_Calculs[[#This Row],[fin mois]])-MAX(Tab_Calculs[[#This Row],[Début mois]],Tab_Calculs[[#This Row],[Début periode livraison]]))</f>
        <v>0</v>
      </c>
      <c r="Q874" t="e">
        <f ca="1">INDEX(INDIRECT(CONCATENATE("Tab_",Tab_Calculs[[#This Row],[Colonne1]])),Tab_Calculs[[#This Row],[index_date_livraison]]+1,7)*(Tab_Calculs[[#This Row],[fin mois]]-MIN(Tab_Calculs[[#This Row],[fin mois]],Tab_Calculs[[#This Row],[Date_livraison]]))</f>
        <v>#VALUE!</v>
      </c>
      <c r="R874" t="e">
        <f ca="1">Tab_Calculs[[#This Row],[Ratio_Cout_après_livr]]+Tab_Calculs[[#This Row],[Ratio_Cout_avant_livr]]+Tab_Calculs[[#This Row],[Ratio_Cout_avant_debut]]</f>
        <v>#VALUE!</v>
      </c>
      <c r="S874" t="str">
        <f ca="1">IFERROR(N874*VLOOKUP(Tab_Calculs[[#This Row],[Colonne1]],Controle_des_données!$B$7:$G$14,6,FALSE),"")</f>
        <v/>
      </c>
      <c r="T874" t="str">
        <f ca="1">IF(Tab_Calculs[[#This Row],[Combustible ]]="Electricité (kWh)",Tab_Calculs[[#This Row],[Conso_mois_kWh]]*2.3,Tab_Calculs[[#This Row],[Conso_mois_kWh]])</f>
        <v/>
      </c>
      <c r="U874" t="str">
        <f ca="1">IFERROR(N874*VLOOKUP(Tab_Calculs[[#This Row],[Colonne1]],Controle_des_données!$B$7:$H$14,7,FALSE),"")</f>
        <v/>
      </c>
      <c r="V874">
        <f ca="1">IFERROR(Tab_Calculs[[#This Row],[Cout_mois]]/Tab_Calculs[[#This Row],[Conso_mois_kWh]],0)</f>
        <v>0</v>
      </c>
      <c r="W874" t="str">
        <f>T(VLOOKUP(Tab_Calculs[[#This Row],[Compteur]],Site!$B$33:$G$40,3,FALSE))</f>
        <v/>
      </c>
      <c r="X874" t="str">
        <f>T(VLOOKUP(Tab_Calculs[[#This Row],[Compteur]],Site!$B$33:$G$40,4,FALSE))</f>
        <v/>
      </c>
      <c r="Y874" t="str">
        <f>T(VLOOKUP(Tab_Calculs[[#This Row],[Compteur]],Site!$B$33:$G$40,5,FALSE))</f>
        <v/>
      </c>
      <c r="Z874" t="str">
        <f>T(VLOOKUP(Tab_Calculs[[#This Row],[Compteur]],Site!$B$33:$G$40,6,FALSE))</f>
        <v/>
      </c>
      <c r="AA874">
        <f>IFERROR(GETPIVOTDATA("DJU(chauffagiste)",BDD_DJU!$P$13,"annee",Tab_Calculs[[#This Row],[ANNEE]],"mois_numero",Tab_Calculs[[#This Row],[MOIS]]),0)</f>
        <v>415.2</v>
      </c>
    </row>
    <row r="875" spans="1:27" x14ac:dyDescent="0.25">
      <c r="A875" s="3">
        <f>DATE(Tab_Calculs[[#This Row],[ANNEE]],Tab_Calculs[[#This Row],[MOIS]],1)</f>
        <v>43160</v>
      </c>
      <c r="B875" s="3">
        <f>EDATE(Tab_Calculs[[#This Row],[Début mois]],1)-1</f>
        <v>43190</v>
      </c>
      <c r="C875">
        <f t="shared" si="29"/>
        <v>3</v>
      </c>
      <c r="D875">
        <f t="shared" si="28"/>
        <v>2018</v>
      </c>
      <c r="E875" t="s">
        <v>84</v>
      </c>
      <c r="F875" t="str">
        <f>SUBSTITUTE(Tab_Calculs[[#This Row],[Compteur]]," ","_")</f>
        <v>Compteur_5</v>
      </c>
      <c r="G875" t="str">
        <f>T(INDEX(Site!$B$33:$G$40, MATCH(Tab_Calculs[[#This Row],[Compteur]], Site!$B$33:$B$40,0),2))</f>
        <v/>
      </c>
      <c r="H875" s="3">
        <f t="array" aca="1" ref="H875" ca="1">MIN(IF(INDIRECT(CONCATENATE(Tab_Calculs[[#This Row],[Colonne1]],"!$B$2:$B$243"))&gt;=Calculs_Consos!$A875,INDIRECT(CONCATENATE(Tab_Calculs[[#This Row],[Colonne1]],"!$B$2:$B$243"))))</f>
        <v>0</v>
      </c>
      <c r="I875" s="3">
        <f ca="1">INDEX(INDIRECT(CONCATENATE("Tab_",Tab_Calculs[[#This Row],[Colonne1]])),Tab_Calculs[[#This Row],[index_date_livraison]],1)</f>
        <v>0</v>
      </c>
      <c r="J875">
        <f ca="1">MATCH(Tab_Calculs[[#This Row],[Date_livraison]],INDIRECT(CONCATENATE("Tab_",Tab_Calculs[[#This Row],[Colonne1]],"[Fin de période]")),0)</f>
        <v>1</v>
      </c>
      <c r="K875" t="e">
        <f ca="1">INDEX(INDIRECT(CONCATENATE("Tab_",Tab_Calculs[[#This Row],[Colonne1]])),Tab_Calculs[[#This Row],[index_date_livraison]]-1,6)*(MAX(Tab_Calculs[[#This Row],[Début periode livraison]],Tab_Calculs[[#This Row],[Début mois]])-Tab_Calculs[[#This Row],[Début mois]])</f>
        <v>#VALUE!</v>
      </c>
      <c r="L875" s="94">
        <f ca="1">INDEX(INDIRECT(CONCATENATE("Tab_",Tab_Calculs[[#This Row],[Colonne1]])),Tab_Calculs[[#This Row],[index_date_livraison]],6)*(1+MIN(Tab_Calculs[[#This Row],[Date_livraison]],Tab_Calculs[[#This Row],[fin mois]])-MAX(Tab_Calculs[[#This Row],[Début mois]],Tab_Calculs[[#This Row],[Début periode livraison]]))</f>
        <v>0</v>
      </c>
      <c r="M875" s="94" t="e">
        <f ca="1">INDEX(INDIRECT(CONCATENATE("Tab_",Tab_Calculs[[#This Row],[Colonne1]])),Tab_Calculs[[#This Row],[index_date_livraison]]+1,6)*(Tab_Calculs[[#This Row],[fin mois]]-MIN(Tab_Calculs[[#This Row],[fin mois]],Tab_Calculs[[#This Row],[Date_livraison]]))</f>
        <v>#VALUE!</v>
      </c>
      <c r="N875" s="231" t="str">
        <f ca="1">IFERROR(Tab_Calculs[[#This Row],[Ratio_jour_après_livr]]+Tab_Calculs[[#This Row],[Ratio_jour_avant_livr]]+Tab_Calculs[[#This Row],[ratio_avant_debut]],"")</f>
        <v/>
      </c>
      <c r="O875" t="e">
        <f ca="1">INDEX(INDIRECT(CONCATENATE("Tab_",Tab_Calculs[[#This Row],[Colonne1]])),Tab_Calculs[[#This Row],[index_date_livraison]]-1,7)*(MAX(Tab_Calculs[[#This Row],[Début periode livraison]],Tab_Calculs[[#This Row],[Début mois]])-Tab_Calculs[[#This Row],[Début mois]])</f>
        <v>#VALUE!</v>
      </c>
      <c r="P875">
        <f ca="1">INDEX(INDIRECT(CONCATENATE("Tab_",Tab_Calculs[[#This Row],[Colonne1]])),Tab_Calculs[[#This Row],[index_date_livraison]],7)*(1+MIN(Tab_Calculs[[#This Row],[Date_livraison]],Tab_Calculs[[#This Row],[fin mois]])-MAX(Tab_Calculs[[#This Row],[Début mois]],Tab_Calculs[[#This Row],[Début periode livraison]]))</f>
        <v>0</v>
      </c>
      <c r="Q875" t="e">
        <f ca="1">INDEX(INDIRECT(CONCATENATE("Tab_",Tab_Calculs[[#This Row],[Colonne1]])),Tab_Calculs[[#This Row],[index_date_livraison]]+1,7)*(Tab_Calculs[[#This Row],[fin mois]]-MIN(Tab_Calculs[[#This Row],[fin mois]],Tab_Calculs[[#This Row],[Date_livraison]]))</f>
        <v>#VALUE!</v>
      </c>
      <c r="R875" t="e">
        <f ca="1">Tab_Calculs[[#This Row],[Ratio_Cout_après_livr]]+Tab_Calculs[[#This Row],[Ratio_Cout_avant_livr]]+Tab_Calculs[[#This Row],[Ratio_Cout_avant_debut]]</f>
        <v>#VALUE!</v>
      </c>
      <c r="S875" t="str">
        <f ca="1">IFERROR(N875*VLOOKUP(Tab_Calculs[[#This Row],[Colonne1]],Controle_des_données!$B$7:$G$14,6,FALSE),"")</f>
        <v/>
      </c>
      <c r="T875" t="str">
        <f ca="1">IF(Tab_Calculs[[#This Row],[Combustible ]]="Electricité (kWh)",Tab_Calculs[[#This Row],[Conso_mois_kWh]]*2.3,Tab_Calculs[[#This Row],[Conso_mois_kWh]])</f>
        <v/>
      </c>
      <c r="U875" t="str">
        <f ca="1">IFERROR(N875*VLOOKUP(Tab_Calculs[[#This Row],[Colonne1]],Controle_des_données!$B$7:$H$14,7,FALSE),"")</f>
        <v/>
      </c>
      <c r="V875">
        <f ca="1">IFERROR(Tab_Calculs[[#This Row],[Cout_mois]]/Tab_Calculs[[#This Row],[Conso_mois_kWh]],0)</f>
        <v>0</v>
      </c>
      <c r="W875" t="str">
        <f>T(VLOOKUP(Tab_Calculs[[#This Row],[Compteur]],Site!$B$33:$G$40,3,FALSE))</f>
        <v/>
      </c>
      <c r="X875" t="str">
        <f>T(VLOOKUP(Tab_Calculs[[#This Row],[Compteur]],Site!$B$33:$G$40,4,FALSE))</f>
        <v/>
      </c>
      <c r="Y875" t="str">
        <f>T(VLOOKUP(Tab_Calculs[[#This Row],[Compteur]],Site!$B$33:$G$40,5,FALSE))</f>
        <v/>
      </c>
      <c r="Z875" t="str">
        <f>T(VLOOKUP(Tab_Calculs[[#This Row],[Compteur]],Site!$B$33:$G$40,6,FALSE))</f>
        <v/>
      </c>
      <c r="AA875">
        <f>IFERROR(GETPIVOTDATA("DJU(chauffagiste)",BDD_DJU!$P$13,"annee",Tab_Calculs[[#This Row],[ANNEE]],"mois_numero",Tab_Calculs[[#This Row],[MOIS]]),0)</f>
        <v>305.39999999999998</v>
      </c>
    </row>
    <row r="876" spans="1:27" x14ac:dyDescent="0.25">
      <c r="A876" s="3">
        <f>DATE(Tab_Calculs[[#This Row],[ANNEE]],Tab_Calculs[[#This Row],[MOIS]],1)</f>
        <v>43191</v>
      </c>
      <c r="B876" s="3">
        <f>EDATE(Tab_Calculs[[#This Row],[Début mois]],1)-1</f>
        <v>43220</v>
      </c>
      <c r="C876">
        <f t="shared" si="29"/>
        <v>4</v>
      </c>
      <c r="D876">
        <f t="shared" si="28"/>
        <v>2018</v>
      </c>
      <c r="E876" t="s">
        <v>84</v>
      </c>
      <c r="F876" t="str">
        <f>SUBSTITUTE(Tab_Calculs[[#This Row],[Compteur]]," ","_")</f>
        <v>Compteur_5</v>
      </c>
      <c r="G876" t="str">
        <f>T(INDEX(Site!$B$33:$G$40, MATCH(Tab_Calculs[[#This Row],[Compteur]], Site!$B$33:$B$40,0),2))</f>
        <v/>
      </c>
      <c r="H876" s="3">
        <f t="array" aca="1" ref="H876" ca="1">MIN(IF(INDIRECT(CONCATENATE(Tab_Calculs[[#This Row],[Colonne1]],"!$B$2:$B$243"))&gt;=Calculs_Consos!$A876,INDIRECT(CONCATENATE(Tab_Calculs[[#This Row],[Colonne1]],"!$B$2:$B$243"))))</f>
        <v>0</v>
      </c>
      <c r="I876" s="3">
        <f ca="1">INDEX(INDIRECT(CONCATENATE("Tab_",Tab_Calculs[[#This Row],[Colonne1]])),Tab_Calculs[[#This Row],[index_date_livraison]],1)</f>
        <v>0</v>
      </c>
      <c r="J876">
        <f ca="1">MATCH(Tab_Calculs[[#This Row],[Date_livraison]],INDIRECT(CONCATENATE("Tab_",Tab_Calculs[[#This Row],[Colonne1]],"[Fin de période]")),0)</f>
        <v>1</v>
      </c>
      <c r="K876" t="e">
        <f ca="1">INDEX(INDIRECT(CONCATENATE("Tab_",Tab_Calculs[[#This Row],[Colonne1]])),Tab_Calculs[[#This Row],[index_date_livraison]]-1,6)*(MAX(Tab_Calculs[[#This Row],[Début periode livraison]],Tab_Calculs[[#This Row],[Début mois]])-Tab_Calculs[[#This Row],[Début mois]])</f>
        <v>#VALUE!</v>
      </c>
      <c r="L876" s="94">
        <f ca="1">INDEX(INDIRECT(CONCATENATE("Tab_",Tab_Calculs[[#This Row],[Colonne1]])),Tab_Calculs[[#This Row],[index_date_livraison]],6)*(1+MIN(Tab_Calculs[[#This Row],[Date_livraison]],Tab_Calculs[[#This Row],[fin mois]])-MAX(Tab_Calculs[[#This Row],[Début mois]],Tab_Calculs[[#This Row],[Début periode livraison]]))</f>
        <v>0</v>
      </c>
      <c r="M876" s="94" t="e">
        <f ca="1">INDEX(INDIRECT(CONCATENATE("Tab_",Tab_Calculs[[#This Row],[Colonne1]])),Tab_Calculs[[#This Row],[index_date_livraison]]+1,6)*(Tab_Calculs[[#This Row],[fin mois]]-MIN(Tab_Calculs[[#This Row],[fin mois]],Tab_Calculs[[#This Row],[Date_livraison]]))</f>
        <v>#VALUE!</v>
      </c>
      <c r="N876" s="231" t="str">
        <f ca="1">IFERROR(Tab_Calculs[[#This Row],[Ratio_jour_après_livr]]+Tab_Calculs[[#This Row],[Ratio_jour_avant_livr]]+Tab_Calculs[[#This Row],[ratio_avant_debut]],"")</f>
        <v/>
      </c>
      <c r="O876" t="e">
        <f ca="1">INDEX(INDIRECT(CONCATENATE("Tab_",Tab_Calculs[[#This Row],[Colonne1]])),Tab_Calculs[[#This Row],[index_date_livraison]]-1,7)*(MAX(Tab_Calculs[[#This Row],[Début periode livraison]],Tab_Calculs[[#This Row],[Début mois]])-Tab_Calculs[[#This Row],[Début mois]])</f>
        <v>#VALUE!</v>
      </c>
      <c r="P876">
        <f ca="1">INDEX(INDIRECT(CONCATENATE("Tab_",Tab_Calculs[[#This Row],[Colonne1]])),Tab_Calculs[[#This Row],[index_date_livraison]],7)*(1+MIN(Tab_Calculs[[#This Row],[Date_livraison]],Tab_Calculs[[#This Row],[fin mois]])-MAX(Tab_Calculs[[#This Row],[Début mois]],Tab_Calculs[[#This Row],[Début periode livraison]]))</f>
        <v>0</v>
      </c>
      <c r="Q876" t="e">
        <f ca="1">INDEX(INDIRECT(CONCATENATE("Tab_",Tab_Calculs[[#This Row],[Colonne1]])),Tab_Calculs[[#This Row],[index_date_livraison]]+1,7)*(Tab_Calculs[[#This Row],[fin mois]]-MIN(Tab_Calculs[[#This Row],[fin mois]],Tab_Calculs[[#This Row],[Date_livraison]]))</f>
        <v>#VALUE!</v>
      </c>
      <c r="R876" t="e">
        <f ca="1">Tab_Calculs[[#This Row],[Ratio_Cout_après_livr]]+Tab_Calculs[[#This Row],[Ratio_Cout_avant_livr]]+Tab_Calculs[[#This Row],[Ratio_Cout_avant_debut]]</f>
        <v>#VALUE!</v>
      </c>
      <c r="S876" t="str">
        <f ca="1">IFERROR(N876*VLOOKUP(Tab_Calculs[[#This Row],[Colonne1]],Controle_des_données!$B$7:$G$14,6,FALSE),"")</f>
        <v/>
      </c>
      <c r="T876" t="str">
        <f ca="1">IF(Tab_Calculs[[#This Row],[Combustible ]]="Electricité (kWh)",Tab_Calculs[[#This Row],[Conso_mois_kWh]]*2.3,Tab_Calculs[[#This Row],[Conso_mois_kWh]])</f>
        <v/>
      </c>
      <c r="U876" t="str">
        <f ca="1">IFERROR(N876*VLOOKUP(Tab_Calculs[[#This Row],[Colonne1]],Controle_des_données!$B$7:$H$14,7,FALSE),"")</f>
        <v/>
      </c>
      <c r="V876">
        <f ca="1">IFERROR(Tab_Calculs[[#This Row],[Cout_mois]]/Tab_Calculs[[#This Row],[Conso_mois_kWh]],0)</f>
        <v>0</v>
      </c>
      <c r="W876" t="str">
        <f>T(VLOOKUP(Tab_Calculs[[#This Row],[Compteur]],Site!$B$33:$G$40,3,FALSE))</f>
        <v/>
      </c>
      <c r="X876" t="str">
        <f>T(VLOOKUP(Tab_Calculs[[#This Row],[Compteur]],Site!$B$33:$G$40,4,FALSE))</f>
        <v/>
      </c>
      <c r="Y876" t="str">
        <f>T(VLOOKUP(Tab_Calculs[[#This Row],[Compteur]],Site!$B$33:$G$40,5,FALSE))</f>
        <v/>
      </c>
      <c r="Z876" t="str">
        <f>T(VLOOKUP(Tab_Calculs[[#This Row],[Compteur]],Site!$B$33:$G$40,6,FALSE))</f>
        <v/>
      </c>
      <c r="AA876">
        <f>IFERROR(GETPIVOTDATA("DJU(chauffagiste)",BDD_DJU!$P$13,"annee",Tab_Calculs[[#This Row],[ANNEE]],"mois_numero",Tab_Calculs[[#This Row],[MOIS]]),0)</f>
        <v>152.19999999999999</v>
      </c>
    </row>
    <row r="877" spans="1:27" x14ac:dyDescent="0.25">
      <c r="A877" s="3">
        <f>DATE(Tab_Calculs[[#This Row],[ANNEE]],Tab_Calculs[[#This Row],[MOIS]],1)</f>
        <v>43221</v>
      </c>
      <c r="B877" s="3">
        <f>EDATE(Tab_Calculs[[#This Row],[Début mois]],1)-1</f>
        <v>43251</v>
      </c>
      <c r="C877">
        <f t="shared" si="29"/>
        <v>5</v>
      </c>
      <c r="D877">
        <f t="shared" si="28"/>
        <v>2018</v>
      </c>
      <c r="E877" t="s">
        <v>84</v>
      </c>
      <c r="F877" t="str">
        <f>SUBSTITUTE(Tab_Calculs[[#This Row],[Compteur]]," ","_")</f>
        <v>Compteur_5</v>
      </c>
      <c r="G877" t="str">
        <f>T(INDEX(Site!$B$33:$G$40, MATCH(Tab_Calculs[[#This Row],[Compteur]], Site!$B$33:$B$40,0),2))</f>
        <v/>
      </c>
      <c r="H877" s="3">
        <f t="array" aca="1" ref="H877" ca="1">MIN(IF(INDIRECT(CONCATENATE(Tab_Calculs[[#This Row],[Colonne1]],"!$B$2:$B$243"))&gt;=Calculs_Consos!$A877,INDIRECT(CONCATENATE(Tab_Calculs[[#This Row],[Colonne1]],"!$B$2:$B$243"))))</f>
        <v>0</v>
      </c>
      <c r="I877" s="3">
        <f ca="1">INDEX(INDIRECT(CONCATENATE("Tab_",Tab_Calculs[[#This Row],[Colonne1]])),Tab_Calculs[[#This Row],[index_date_livraison]],1)</f>
        <v>0</v>
      </c>
      <c r="J877">
        <f ca="1">MATCH(Tab_Calculs[[#This Row],[Date_livraison]],INDIRECT(CONCATENATE("Tab_",Tab_Calculs[[#This Row],[Colonne1]],"[Fin de période]")),0)</f>
        <v>1</v>
      </c>
      <c r="K877" t="e">
        <f ca="1">INDEX(INDIRECT(CONCATENATE("Tab_",Tab_Calculs[[#This Row],[Colonne1]])),Tab_Calculs[[#This Row],[index_date_livraison]]-1,6)*(MAX(Tab_Calculs[[#This Row],[Début periode livraison]],Tab_Calculs[[#This Row],[Début mois]])-Tab_Calculs[[#This Row],[Début mois]])</f>
        <v>#VALUE!</v>
      </c>
      <c r="L877" s="94">
        <f ca="1">INDEX(INDIRECT(CONCATENATE("Tab_",Tab_Calculs[[#This Row],[Colonne1]])),Tab_Calculs[[#This Row],[index_date_livraison]],6)*(1+MIN(Tab_Calculs[[#This Row],[Date_livraison]],Tab_Calculs[[#This Row],[fin mois]])-MAX(Tab_Calculs[[#This Row],[Début mois]],Tab_Calculs[[#This Row],[Début periode livraison]]))</f>
        <v>0</v>
      </c>
      <c r="M877" s="94" t="e">
        <f ca="1">INDEX(INDIRECT(CONCATENATE("Tab_",Tab_Calculs[[#This Row],[Colonne1]])),Tab_Calculs[[#This Row],[index_date_livraison]]+1,6)*(Tab_Calculs[[#This Row],[fin mois]]-MIN(Tab_Calculs[[#This Row],[fin mois]],Tab_Calculs[[#This Row],[Date_livraison]]))</f>
        <v>#VALUE!</v>
      </c>
      <c r="N877" s="231" t="str">
        <f ca="1">IFERROR(Tab_Calculs[[#This Row],[Ratio_jour_après_livr]]+Tab_Calculs[[#This Row],[Ratio_jour_avant_livr]]+Tab_Calculs[[#This Row],[ratio_avant_debut]],"")</f>
        <v/>
      </c>
      <c r="O877" t="e">
        <f ca="1">INDEX(INDIRECT(CONCATENATE("Tab_",Tab_Calculs[[#This Row],[Colonne1]])),Tab_Calculs[[#This Row],[index_date_livraison]]-1,7)*(MAX(Tab_Calculs[[#This Row],[Début periode livraison]],Tab_Calculs[[#This Row],[Début mois]])-Tab_Calculs[[#This Row],[Début mois]])</f>
        <v>#VALUE!</v>
      </c>
      <c r="P877">
        <f ca="1">INDEX(INDIRECT(CONCATENATE("Tab_",Tab_Calculs[[#This Row],[Colonne1]])),Tab_Calculs[[#This Row],[index_date_livraison]],7)*(1+MIN(Tab_Calculs[[#This Row],[Date_livraison]],Tab_Calculs[[#This Row],[fin mois]])-MAX(Tab_Calculs[[#This Row],[Début mois]],Tab_Calculs[[#This Row],[Début periode livraison]]))</f>
        <v>0</v>
      </c>
      <c r="Q877" t="e">
        <f ca="1">INDEX(INDIRECT(CONCATENATE("Tab_",Tab_Calculs[[#This Row],[Colonne1]])),Tab_Calculs[[#This Row],[index_date_livraison]]+1,7)*(Tab_Calculs[[#This Row],[fin mois]]-MIN(Tab_Calculs[[#This Row],[fin mois]],Tab_Calculs[[#This Row],[Date_livraison]]))</f>
        <v>#VALUE!</v>
      </c>
      <c r="R877" t="e">
        <f ca="1">Tab_Calculs[[#This Row],[Ratio_Cout_après_livr]]+Tab_Calculs[[#This Row],[Ratio_Cout_avant_livr]]+Tab_Calculs[[#This Row],[Ratio_Cout_avant_debut]]</f>
        <v>#VALUE!</v>
      </c>
      <c r="S877" t="str">
        <f ca="1">IFERROR(N877*VLOOKUP(Tab_Calculs[[#This Row],[Colonne1]],Controle_des_données!$B$7:$G$14,6,FALSE),"")</f>
        <v/>
      </c>
      <c r="T877" t="str">
        <f ca="1">IF(Tab_Calculs[[#This Row],[Combustible ]]="Electricité (kWh)",Tab_Calculs[[#This Row],[Conso_mois_kWh]]*2.3,Tab_Calculs[[#This Row],[Conso_mois_kWh]])</f>
        <v/>
      </c>
      <c r="U877" t="str">
        <f ca="1">IFERROR(N877*VLOOKUP(Tab_Calculs[[#This Row],[Colonne1]],Controle_des_données!$B$7:$H$14,7,FALSE),"")</f>
        <v/>
      </c>
      <c r="V877">
        <f ca="1">IFERROR(Tab_Calculs[[#This Row],[Cout_mois]]/Tab_Calculs[[#This Row],[Conso_mois_kWh]],0)</f>
        <v>0</v>
      </c>
      <c r="W877" t="str">
        <f>T(VLOOKUP(Tab_Calculs[[#This Row],[Compteur]],Site!$B$33:$G$40,3,FALSE))</f>
        <v/>
      </c>
      <c r="X877" t="str">
        <f>T(VLOOKUP(Tab_Calculs[[#This Row],[Compteur]],Site!$B$33:$G$40,4,FALSE))</f>
        <v/>
      </c>
      <c r="Y877" t="str">
        <f>T(VLOOKUP(Tab_Calculs[[#This Row],[Compteur]],Site!$B$33:$G$40,5,FALSE))</f>
        <v/>
      </c>
      <c r="Z877" t="str">
        <f>T(VLOOKUP(Tab_Calculs[[#This Row],[Compteur]],Site!$B$33:$G$40,6,FALSE))</f>
        <v/>
      </c>
      <c r="AA877">
        <f>IFERROR(GETPIVOTDATA("DJU(chauffagiste)",BDD_DJU!$P$13,"annee",Tab_Calculs[[#This Row],[ANNEE]],"mois_numero",Tab_Calculs[[#This Row],[MOIS]]),0)</f>
        <v>95.8</v>
      </c>
    </row>
    <row r="878" spans="1:27" x14ac:dyDescent="0.25">
      <c r="A878" s="3">
        <f>DATE(Tab_Calculs[[#This Row],[ANNEE]],Tab_Calculs[[#This Row],[MOIS]],1)</f>
        <v>43252</v>
      </c>
      <c r="B878" s="3">
        <f>EDATE(Tab_Calculs[[#This Row],[Début mois]],1)-1</f>
        <v>43281</v>
      </c>
      <c r="C878">
        <f t="shared" si="29"/>
        <v>6</v>
      </c>
      <c r="D878">
        <f t="shared" si="28"/>
        <v>2018</v>
      </c>
      <c r="E878" t="s">
        <v>84</v>
      </c>
      <c r="F878" t="str">
        <f>SUBSTITUTE(Tab_Calculs[[#This Row],[Compteur]]," ","_")</f>
        <v>Compteur_5</v>
      </c>
      <c r="G878" t="str">
        <f>T(INDEX(Site!$B$33:$G$40, MATCH(Tab_Calculs[[#This Row],[Compteur]], Site!$B$33:$B$40,0),2))</f>
        <v/>
      </c>
      <c r="H878" s="3">
        <f t="array" aca="1" ref="H878" ca="1">MIN(IF(INDIRECT(CONCATENATE(Tab_Calculs[[#This Row],[Colonne1]],"!$B$2:$B$243"))&gt;=Calculs_Consos!$A878,INDIRECT(CONCATENATE(Tab_Calculs[[#This Row],[Colonne1]],"!$B$2:$B$243"))))</f>
        <v>0</v>
      </c>
      <c r="I878" s="3">
        <f ca="1">INDEX(INDIRECT(CONCATENATE("Tab_",Tab_Calculs[[#This Row],[Colonne1]])),Tab_Calculs[[#This Row],[index_date_livraison]],1)</f>
        <v>0</v>
      </c>
      <c r="J878">
        <f ca="1">MATCH(Tab_Calculs[[#This Row],[Date_livraison]],INDIRECT(CONCATENATE("Tab_",Tab_Calculs[[#This Row],[Colonne1]],"[Fin de période]")),0)</f>
        <v>1</v>
      </c>
      <c r="K878" t="e">
        <f ca="1">INDEX(INDIRECT(CONCATENATE("Tab_",Tab_Calculs[[#This Row],[Colonne1]])),Tab_Calculs[[#This Row],[index_date_livraison]]-1,6)*(MAX(Tab_Calculs[[#This Row],[Début periode livraison]],Tab_Calculs[[#This Row],[Début mois]])-Tab_Calculs[[#This Row],[Début mois]])</f>
        <v>#VALUE!</v>
      </c>
      <c r="L878" s="94">
        <f ca="1">INDEX(INDIRECT(CONCATENATE("Tab_",Tab_Calculs[[#This Row],[Colonne1]])),Tab_Calculs[[#This Row],[index_date_livraison]],6)*(1+MIN(Tab_Calculs[[#This Row],[Date_livraison]],Tab_Calculs[[#This Row],[fin mois]])-MAX(Tab_Calculs[[#This Row],[Début mois]],Tab_Calculs[[#This Row],[Début periode livraison]]))</f>
        <v>0</v>
      </c>
      <c r="M878" s="94" t="e">
        <f ca="1">INDEX(INDIRECT(CONCATENATE("Tab_",Tab_Calculs[[#This Row],[Colonne1]])),Tab_Calculs[[#This Row],[index_date_livraison]]+1,6)*(Tab_Calculs[[#This Row],[fin mois]]-MIN(Tab_Calculs[[#This Row],[fin mois]],Tab_Calculs[[#This Row],[Date_livraison]]))</f>
        <v>#VALUE!</v>
      </c>
      <c r="N878" s="231" t="str">
        <f ca="1">IFERROR(Tab_Calculs[[#This Row],[Ratio_jour_après_livr]]+Tab_Calculs[[#This Row],[Ratio_jour_avant_livr]]+Tab_Calculs[[#This Row],[ratio_avant_debut]],"")</f>
        <v/>
      </c>
      <c r="O878" t="e">
        <f ca="1">INDEX(INDIRECT(CONCATENATE("Tab_",Tab_Calculs[[#This Row],[Colonne1]])),Tab_Calculs[[#This Row],[index_date_livraison]]-1,7)*(MAX(Tab_Calculs[[#This Row],[Début periode livraison]],Tab_Calculs[[#This Row],[Début mois]])-Tab_Calculs[[#This Row],[Début mois]])</f>
        <v>#VALUE!</v>
      </c>
      <c r="P878">
        <f ca="1">INDEX(INDIRECT(CONCATENATE("Tab_",Tab_Calculs[[#This Row],[Colonne1]])),Tab_Calculs[[#This Row],[index_date_livraison]],7)*(1+MIN(Tab_Calculs[[#This Row],[Date_livraison]],Tab_Calculs[[#This Row],[fin mois]])-MAX(Tab_Calculs[[#This Row],[Début mois]],Tab_Calculs[[#This Row],[Début periode livraison]]))</f>
        <v>0</v>
      </c>
      <c r="Q878" t="e">
        <f ca="1">INDEX(INDIRECT(CONCATENATE("Tab_",Tab_Calculs[[#This Row],[Colonne1]])),Tab_Calculs[[#This Row],[index_date_livraison]]+1,7)*(Tab_Calculs[[#This Row],[fin mois]]-MIN(Tab_Calculs[[#This Row],[fin mois]],Tab_Calculs[[#This Row],[Date_livraison]]))</f>
        <v>#VALUE!</v>
      </c>
      <c r="R878" t="e">
        <f ca="1">Tab_Calculs[[#This Row],[Ratio_Cout_après_livr]]+Tab_Calculs[[#This Row],[Ratio_Cout_avant_livr]]+Tab_Calculs[[#This Row],[Ratio_Cout_avant_debut]]</f>
        <v>#VALUE!</v>
      </c>
      <c r="S878" t="str">
        <f ca="1">IFERROR(N878*VLOOKUP(Tab_Calculs[[#This Row],[Colonne1]],Controle_des_données!$B$7:$G$14,6,FALSE),"")</f>
        <v/>
      </c>
      <c r="T878" t="str">
        <f ca="1">IF(Tab_Calculs[[#This Row],[Combustible ]]="Electricité (kWh)",Tab_Calculs[[#This Row],[Conso_mois_kWh]]*2.3,Tab_Calculs[[#This Row],[Conso_mois_kWh]])</f>
        <v/>
      </c>
      <c r="U878" t="str">
        <f ca="1">IFERROR(N878*VLOOKUP(Tab_Calculs[[#This Row],[Colonne1]],Controle_des_données!$B$7:$H$14,7,FALSE),"")</f>
        <v/>
      </c>
      <c r="V878">
        <f ca="1">IFERROR(Tab_Calculs[[#This Row],[Cout_mois]]/Tab_Calculs[[#This Row],[Conso_mois_kWh]],0)</f>
        <v>0</v>
      </c>
      <c r="W878" t="str">
        <f>T(VLOOKUP(Tab_Calculs[[#This Row],[Compteur]],Site!$B$33:$G$40,3,FALSE))</f>
        <v/>
      </c>
      <c r="X878" t="str">
        <f>T(VLOOKUP(Tab_Calculs[[#This Row],[Compteur]],Site!$B$33:$G$40,4,FALSE))</f>
        <v/>
      </c>
      <c r="Y878" t="str">
        <f>T(VLOOKUP(Tab_Calculs[[#This Row],[Compteur]],Site!$B$33:$G$40,5,FALSE))</f>
        <v/>
      </c>
      <c r="Z878" t="str">
        <f>T(VLOOKUP(Tab_Calculs[[#This Row],[Compteur]],Site!$B$33:$G$40,6,FALSE))</f>
        <v/>
      </c>
      <c r="AA878">
        <f>IFERROR(GETPIVOTDATA("DJU(chauffagiste)",BDD_DJU!$P$13,"annee",Tab_Calculs[[#This Row],[ANNEE]],"mois_numero",Tab_Calculs[[#This Row],[MOIS]]),0)</f>
        <v>25.4</v>
      </c>
    </row>
    <row r="879" spans="1:27" x14ac:dyDescent="0.25">
      <c r="A879" s="3">
        <f>DATE(Tab_Calculs[[#This Row],[ANNEE]],Tab_Calculs[[#This Row],[MOIS]],1)</f>
        <v>43282</v>
      </c>
      <c r="B879" s="3">
        <f>EDATE(Tab_Calculs[[#This Row],[Début mois]],1)-1</f>
        <v>43312</v>
      </c>
      <c r="C879">
        <f t="shared" si="29"/>
        <v>7</v>
      </c>
      <c r="D879">
        <f t="shared" si="28"/>
        <v>2018</v>
      </c>
      <c r="E879" t="s">
        <v>84</v>
      </c>
      <c r="F879" t="str">
        <f>SUBSTITUTE(Tab_Calculs[[#This Row],[Compteur]]," ","_")</f>
        <v>Compteur_5</v>
      </c>
      <c r="G879" t="str">
        <f>T(INDEX(Site!$B$33:$G$40, MATCH(Tab_Calculs[[#This Row],[Compteur]], Site!$B$33:$B$40,0),2))</f>
        <v/>
      </c>
      <c r="H879" s="3">
        <f t="array" aca="1" ref="H879" ca="1">MIN(IF(INDIRECT(CONCATENATE(Tab_Calculs[[#This Row],[Colonne1]],"!$B$2:$B$243"))&gt;=Calculs_Consos!$A879,INDIRECT(CONCATENATE(Tab_Calculs[[#This Row],[Colonne1]],"!$B$2:$B$243"))))</f>
        <v>0</v>
      </c>
      <c r="I879" s="3">
        <f ca="1">INDEX(INDIRECT(CONCATENATE("Tab_",Tab_Calculs[[#This Row],[Colonne1]])),Tab_Calculs[[#This Row],[index_date_livraison]],1)</f>
        <v>0</v>
      </c>
      <c r="J879">
        <f ca="1">MATCH(Tab_Calculs[[#This Row],[Date_livraison]],INDIRECT(CONCATENATE("Tab_",Tab_Calculs[[#This Row],[Colonne1]],"[Fin de période]")),0)</f>
        <v>1</v>
      </c>
      <c r="K879" t="e">
        <f ca="1">INDEX(INDIRECT(CONCATENATE("Tab_",Tab_Calculs[[#This Row],[Colonne1]])),Tab_Calculs[[#This Row],[index_date_livraison]]-1,6)*(MAX(Tab_Calculs[[#This Row],[Début periode livraison]],Tab_Calculs[[#This Row],[Début mois]])-Tab_Calculs[[#This Row],[Début mois]])</f>
        <v>#VALUE!</v>
      </c>
      <c r="L879" s="94">
        <f ca="1">INDEX(INDIRECT(CONCATENATE("Tab_",Tab_Calculs[[#This Row],[Colonne1]])),Tab_Calculs[[#This Row],[index_date_livraison]],6)*(1+MIN(Tab_Calculs[[#This Row],[Date_livraison]],Tab_Calculs[[#This Row],[fin mois]])-MAX(Tab_Calculs[[#This Row],[Début mois]],Tab_Calculs[[#This Row],[Début periode livraison]]))</f>
        <v>0</v>
      </c>
      <c r="M879" s="94" t="e">
        <f ca="1">INDEX(INDIRECT(CONCATENATE("Tab_",Tab_Calculs[[#This Row],[Colonne1]])),Tab_Calculs[[#This Row],[index_date_livraison]]+1,6)*(Tab_Calculs[[#This Row],[fin mois]]-MIN(Tab_Calculs[[#This Row],[fin mois]],Tab_Calculs[[#This Row],[Date_livraison]]))</f>
        <v>#VALUE!</v>
      </c>
      <c r="N879" s="231" t="str">
        <f ca="1">IFERROR(Tab_Calculs[[#This Row],[Ratio_jour_après_livr]]+Tab_Calculs[[#This Row],[Ratio_jour_avant_livr]]+Tab_Calculs[[#This Row],[ratio_avant_debut]],"")</f>
        <v/>
      </c>
      <c r="O879" t="e">
        <f ca="1">INDEX(INDIRECT(CONCATENATE("Tab_",Tab_Calculs[[#This Row],[Colonne1]])),Tab_Calculs[[#This Row],[index_date_livraison]]-1,7)*(MAX(Tab_Calculs[[#This Row],[Début periode livraison]],Tab_Calculs[[#This Row],[Début mois]])-Tab_Calculs[[#This Row],[Début mois]])</f>
        <v>#VALUE!</v>
      </c>
      <c r="P879">
        <f ca="1">INDEX(INDIRECT(CONCATENATE("Tab_",Tab_Calculs[[#This Row],[Colonne1]])),Tab_Calculs[[#This Row],[index_date_livraison]],7)*(1+MIN(Tab_Calculs[[#This Row],[Date_livraison]],Tab_Calculs[[#This Row],[fin mois]])-MAX(Tab_Calculs[[#This Row],[Début mois]],Tab_Calculs[[#This Row],[Début periode livraison]]))</f>
        <v>0</v>
      </c>
      <c r="Q879" t="e">
        <f ca="1">INDEX(INDIRECT(CONCATENATE("Tab_",Tab_Calculs[[#This Row],[Colonne1]])),Tab_Calculs[[#This Row],[index_date_livraison]]+1,7)*(Tab_Calculs[[#This Row],[fin mois]]-MIN(Tab_Calculs[[#This Row],[fin mois]],Tab_Calculs[[#This Row],[Date_livraison]]))</f>
        <v>#VALUE!</v>
      </c>
      <c r="R879" t="e">
        <f ca="1">Tab_Calculs[[#This Row],[Ratio_Cout_après_livr]]+Tab_Calculs[[#This Row],[Ratio_Cout_avant_livr]]+Tab_Calculs[[#This Row],[Ratio_Cout_avant_debut]]</f>
        <v>#VALUE!</v>
      </c>
      <c r="S879" t="str">
        <f ca="1">IFERROR(N879*VLOOKUP(Tab_Calculs[[#This Row],[Colonne1]],Controle_des_données!$B$7:$G$14,6,FALSE),"")</f>
        <v/>
      </c>
      <c r="T879" t="str">
        <f ca="1">IF(Tab_Calculs[[#This Row],[Combustible ]]="Electricité (kWh)",Tab_Calculs[[#This Row],[Conso_mois_kWh]]*2.3,Tab_Calculs[[#This Row],[Conso_mois_kWh]])</f>
        <v/>
      </c>
      <c r="U879" t="str">
        <f ca="1">IFERROR(N879*VLOOKUP(Tab_Calculs[[#This Row],[Colonne1]],Controle_des_données!$B$7:$H$14,7,FALSE),"")</f>
        <v/>
      </c>
      <c r="V879">
        <f ca="1">IFERROR(Tab_Calculs[[#This Row],[Cout_mois]]/Tab_Calculs[[#This Row],[Conso_mois_kWh]],0)</f>
        <v>0</v>
      </c>
      <c r="W879" t="str">
        <f>T(VLOOKUP(Tab_Calculs[[#This Row],[Compteur]],Site!$B$33:$G$40,3,FALSE))</f>
        <v/>
      </c>
      <c r="X879" t="str">
        <f>T(VLOOKUP(Tab_Calculs[[#This Row],[Compteur]],Site!$B$33:$G$40,4,FALSE))</f>
        <v/>
      </c>
      <c r="Y879" t="str">
        <f>T(VLOOKUP(Tab_Calculs[[#This Row],[Compteur]],Site!$B$33:$G$40,5,FALSE))</f>
        <v/>
      </c>
      <c r="Z879" t="str">
        <f>T(VLOOKUP(Tab_Calculs[[#This Row],[Compteur]],Site!$B$33:$G$40,6,FALSE))</f>
        <v/>
      </c>
      <c r="AA879">
        <f>IFERROR(GETPIVOTDATA("DJU(chauffagiste)",BDD_DJU!$P$13,"annee",Tab_Calculs[[#This Row],[ANNEE]],"mois_numero",Tab_Calculs[[#This Row],[MOIS]]),0)</f>
        <v>5.9</v>
      </c>
    </row>
    <row r="880" spans="1:27" x14ac:dyDescent="0.25">
      <c r="A880" s="3">
        <f>DATE(Tab_Calculs[[#This Row],[ANNEE]],Tab_Calculs[[#This Row],[MOIS]],1)</f>
        <v>43313</v>
      </c>
      <c r="B880" s="3">
        <f>EDATE(Tab_Calculs[[#This Row],[Début mois]],1)-1</f>
        <v>43343</v>
      </c>
      <c r="C880">
        <f t="shared" si="29"/>
        <v>8</v>
      </c>
      <c r="D880">
        <f t="shared" si="28"/>
        <v>2018</v>
      </c>
      <c r="E880" t="s">
        <v>84</v>
      </c>
      <c r="F880" t="str">
        <f>SUBSTITUTE(Tab_Calculs[[#This Row],[Compteur]]," ","_")</f>
        <v>Compteur_5</v>
      </c>
      <c r="G880" t="str">
        <f>T(INDEX(Site!$B$33:$G$40, MATCH(Tab_Calculs[[#This Row],[Compteur]], Site!$B$33:$B$40,0),2))</f>
        <v/>
      </c>
      <c r="H880" s="3">
        <f t="array" aca="1" ref="H880" ca="1">MIN(IF(INDIRECT(CONCATENATE(Tab_Calculs[[#This Row],[Colonne1]],"!$B$2:$B$243"))&gt;=Calculs_Consos!$A880,INDIRECT(CONCATENATE(Tab_Calculs[[#This Row],[Colonne1]],"!$B$2:$B$243"))))</f>
        <v>0</v>
      </c>
      <c r="I880" s="3">
        <f ca="1">INDEX(INDIRECT(CONCATENATE("Tab_",Tab_Calculs[[#This Row],[Colonne1]])),Tab_Calculs[[#This Row],[index_date_livraison]],1)</f>
        <v>0</v>
      </c>
      <c r="J880">
        <f ca="1">MATCH(Tab_Calculs[[#This Row],[Date_livraison]],INDIRECT(CONCATENATE("Tab_",Tab_Calculs[[#This Row],[Colonne1]],"[Fin de période]")),0)</f>
        <v>1</v>
      </c>
      <c r="K880" t="e">
        <f ca="1">INDEX(INDIRECT(CONCATENATE("Tab_",Tab_Calculs[[#This Row],[Colonne1]])),Tab_Calculs[[#This Row],[index_date_livraison]]-1,6)*(MAX(Tab_Calculs[[#This Row],[Début periode livraison]],Tab_Calculs[[#This Row],[Début mois]])-Tab_Calculs[[#This Row],[Début mois]])</f>
        <v>#VALUE!</v>
      </c>
      <c r="L880" s="94">
        <f ca="1">INDEX(INDIRECT(CONCATENATE("Tab_",Tab_Calculs[[#This Row],[Colonne1]])),Tab_Calculs[[#This Row],[index_date_livraison]],6)*(1+MIN(Tab_Calculs[[#This Row],[Date_livraison]],Tab_Calculs[[#This Row],[fin mois]])-MAX(Tab_Calculs[[#This Row],[Début mois]],Tab_Calculs[[#This Row],[Début periode livraison]]))</f>
        <v>0</v>
      </c>
      <c r="M880" s="94" t="e">
        <f ca="1">INDEX(INDIRECT(CONCATENATE("Tab_",Tab_Calculs[[#This Row],[Colonne1]])),Tab_Calculs[[#This Row],[index_date_livraison]]+1,6)*(Tab_Calculs[[#This Row],[fin mois]]-MIN(Tab_Calculs[[#This Row],[fin mois]],Tab_Calculs[[#This Row],[Date_livraison]]))</f>
        <v>#VALUE!</v>
      </c>
      <c r="N880" s="231" t="str">
        <f ca="1">IFERROR(Tab_Calculs[[#This Row],[Ratio_jour_après_livr]]+Tab_Calculs[[#This Row],[Ratio_jour_avant_livr]]+Tab_Calculs[[#This Row],[ratio_avant_debut]],"")</f>
        <v/>
      </c>
      <c r="O880" t="e">
        <f ca="1">INDEX(INDIRECT(CONCATENATE("Tab_",Tab_Calculs[[#This Row],[Colonne1]])),Tab_Calculs[[#This Row],[index_date_livraison]]-1,7)*(MAX(Tab_Calculs[[#This Row],[Début periode livraison]],Tab_Calculs[[#This Row],[Début mois]])-Tab_Calculs[[#This Row],[Début mois]])</f>
        <v>#VALUE!</v>
      </c>
      <c r="P880">
        <f ca="1">INDEX(INDIRECT(CONCATENATE("Tab_",Tab_Calculs[[#This Row],[Colonne1]])),Tab_Calculs[[#This Row],[index_date_livraison]],7)*(1+MIN(Tab_Calculs[[#This Row],[Date_livraison]],Tab_Calculs[[#This Row],[fin mois]])-MAX(Tab_Calculs[[#This Row],[Début mois]],Tab_Calculs[[#This Row],[Début periode livraison]]))</f>
        <v>0</v>
      </c>
      <c r="Q880" t="e">
        <f ca="1">INDEX(INDIRECT(CONCATENATE("Tab_",Tab_Calculs[[#This Row],[Colonne1]])),Tab_Calculs[[#This Row],[index_date_livraison]]+1,7)*(Tab_Calculs[[#This Row],[fin mois]]-MIN(Tab_Calculs[[#This Row],[fin mois]],Tab_Calculs[[#This Row],[Date_livraison]]))</f>
        <v>#VALUE!</v>
      </c>
      <c r="R880" t="e">
        <f ca="1">Tab_Calculs[[#This Row],[Ratio_Cout_après_livr]]+Tab_Calculs[[#This Row],[Ratio_Cout_avant_livr]]+Tab_Calculs[[#This Row],[Ratio_Cout_avant_debut]]</f>
        <v>#VALUE!</v>
      </c>
      <c r="S880" t="str">
        <f ca="1">IFERROR(N880*VLOOKUP(Tab_Calculs[[#This Row],[Colonne1]],Controle_des_données!$B$7:$G$14,6,FALSE),"")</f>
        <v/>
      </c>
      <c r="T880" t="str">
        <f ca="1">IF(Tab_Calculs[[#This Row],[Combustible ]]="Electricité (kWh)",Tab_Calculs[[#This Row],[Conso_mois_kWh]]*2.3,Tab_Calculs[[#This Row],[Conso_mois_kWh]])</f>
        <v/>
      </c>
      <c r="U880" t="str">
        <f ca="1">IFERROR(N880*VLOOKUP(Tab_Calculs[[#This Row],[Colonne1]],Controle_des_données!$B$7:$H$14,7,FALSE),"")</f>
        <v/>
      </c>
      <c r="V880">
        <f ca="1">IFERROR(Tab_Calculs[[#This Row],[Cout_mois]]/Tab_Calculs[[#This Row],[Conso_mois_kWh]],0)</f>
        <v>0</v>
      </c>
      <c r="W880" t="str">
        <f>T(VLOOKUP(Tab_Calculs[[#This Row],[Compteur]],Site!$B$33:$G$40,3,FALSE))</f>
        <v/>
      </c>
      <c r="X880" t="str">
        <f>T(VLOOKUP(Tab_Calculs[[#This Row],[Compteur]],Site!$B$33:$G$40,4,FALSE))</f>
        <v/>
      </c>
      <c r="Y880" t="str">
        <f>T(VLOOKUP(Tab_Calculs[[#This Row],[Compteur]],Site!$B$33:$G$40,5,FALSE))</f>
        <v/>
      </c>
      <c r="Z880" t="str">
        <f>T(VLOOKUP(Tab_Calculs[[#This Row],[Compteur]],Site!$B$33:$G$40,6,FALSE))</f>
        <v/>
      </c>
      <c r="AA880">
        <f>IFERROR(GETPIVOTDATA("DJU(chauffagiste)",BDD_DJU!$P$13,"annee",Tab_Calculs[[#This Row],[ANNEE]],"mois_numero",Tab_Calculs[[#This Row],[MOIS]]),0)</f>
        <v>26</v>
      </c>
    </row>
    <row r="881" spans="1:27" x14ac:dyDescent="0.25">
      <c r="A881" s="3">
        <f>DATE(Tab_Calculs[[#This Row],[ANNEE]],Tab_Calculs[[#This Row],[MOIS]],1)</f>
        <v>43344</v>
      </c>
      <c r="B881" s="3">
        <f>EDATE(Tab_Calculs[[#This Row],[Début mois]],1)-1</f>
        <v>43373</v>
      </c>
      <c r="C881">
        <f t="shared" si="29"/>
        <v>9</v>
      </c>
      <c r="D881">
        <f>D869+1</f>
        <v>2018</v>
      </c>
      <c r="E881" t="s">
        <v>84</v>
      </c>
      <c r="F881" t="str">
        <f>SUBSTITUTE(Tab_Calculs[[#This Row],[Compteur]]," ","_")</f>
        <v>Compteur_5</v>
      </c>
      <c r="G881" t="str">
        <f>T(INDEX(Site!$B$33:$G$40, MATCH(Tab_Calculs[[#This Row],[Compteur]], Site!$B$33:$B$40,0),2))</f>
        <v/>
      </c>
      <c r="H881" s="3">
        <f t="array" aca="1" ref="H881" ca="1">MIN(IF(INDIRECT(CONCATENATE(Tab_Calculs[[#This Row],[Colonne1]],"!$B$2:$B$243"))&gt;=Calculs_Consos!$A881,INDIRECT(CONCATENATE(Tab_Calculs[[#This Row],[Colonne1]],"!$B$2:$B$243"))))</f>
        <v>0</v>
      </c>
      <c r="I881" s="3">
        <f ca="1">INDEX(INDIRECT(CONCATENATE("Tab_",Tab_Calculs[[#This Row],[Colonne1]])),Tab_Calculs[[#This Row],[index_date_livraison]],1)</f>
        <v>0</v>
      </c>
      <c r="J881">
        <f ca="1">MATCH(Tab_Calculs[[#This Row],[Date_livraison]],INDIRECT(CONCATENATE("Tab_",Tab_Calculs[[#This Row],[Colonne1]],"[Fin de période]")),0)</f>
        <v>1</v>
      </c>
      <c r="K881" t="e">
        <f ca="1">INDEX(INDIRECT(CONCATENATE("Tab_",Tab_Calculs[[#This Row],[Colonne1]])),Tab_Calculs[[#This Row],[index_date_livraison]]-1,6)*(MAX(Tab_Calculs[[#This Row],[Début periode livraison]],Tab_Calculs[[#This Row],[Début mois]])-Tab_Calculs[[#This Row],[Début mois]])</f>
        <v>#VALUE!</v>
      </c>
      <c r="L881" s="94">
        <f ca="1">INDEX(INDIRECT(CONCATENATE("Tab_",Tab_Calculs[[#This Row],[Colonne1]])),Tab_Calculs[[#This Row],[index_date_livraison]],6)*(1+MIN(Tab_Calculs[[#This Row],[Date_livraison]],Tab_Calculs[[#This Row],[fin mois]])-MAX(Tab_Calculs[[#This Row],[Début mois]],Tab_Calculs[[#This Row],[Début periode livraison]]))</f>
        <v>0</v>
      </c>
      <c r="M881" s="94" t="e">
        <f ca="1">INDEX(INDIRECT(CONCATENATE("Tab_",Tab_Calculs[[#This Row],[Colonne1]])),Tab_Calculs[[#This Row],[index_date_livraison]]+1,6)*(Tab_Calculs[[#This Row],[fin mois]]-MIN(Tab_Calculs[[#This Row],[fin mois]],Tab_Calculs[[#This Row],[Date_livraison]]))</f>
        <v>#VALUE!</v>
      </c>
      <c r="N881" s="231" t="str">
        <f ca="1">IFERROR(Tab_Calculs[[#This Row],[Ratio_jour_après_livr]]+Tab_Calculs[[#This Row],[Ratio_jour_avant_livr]]+Tab_Calculs[[#This Row],[ratio_avant_debut]],"")</f>
        <v/>
      </c>
      <c r="O881" t="e">
        <f ca="1">INDEX(INDIRECT(CONCATENATE("Tab_",Tab_Calculs[[#This Row],[Colonne1]])),Tab_Calculs[[#This Row],[index_date_livraison]]-1,7)*(MAX(Tab_Calculs[[#This Row],[Début periode livraison]],Tab_Calculs[[#This Row],[Début mois]])-Tab_Calculs[[#This Row],[Début mois]])</f>
        <v>#VALUE!</v>
      </c>
      <c r="P881">
        <f ca="1">INDEX(INDIRECT(CONCATENATE("Tab_",Tab_Calculs[[#This Row],[Colonne1]])),Tab_Calculs[[#This Row],[index_date_livraison]],7)*(1+MIN(Tab_Calculs[[#This Row],[Date_livraison]],Tab_Calculs[[#This Row],[fin mois]])-MAX(Tab_Calculs[[#This Row],[Début mois]],Tab_Calculs[[#This Row],[Début periode livraison]]))</f>
        <v>0</v>
      </c>
      <c r="Q881" t="e">
        <f ca="1">INDEX(INDIRECT(CONCATENATE("Tab_",Tab_Calculs[[#This Row],[Colonne1]])),Tab_Calculs[[#This Row],[index_date_livraison]]+1,7)*(Tab_Calculs[[#This Row],[fin mois]]-MIN(Tab_Calculs[[#This Row],[fin mois]],Tab_Calculs[[#This Row],[Date_livraison]]))</f>
        <v>#VALUE!</v>
      </c>
      <c r="R881" t="e">
        <f ca="1">Tab_Calculs[[#This Row],[Ratio_Cout_après_livr]]+Tab_Calculs[[#This Row],[Ratio_Cout_avant_livr]]+Tab_Calculs[[#This Row],[Ratio_Cout_avant_debut]]</f>
        <v>#VALUE!</v>
      </c>
      <c r="S881" t="str">
        <f ca="1">IFERROR(N881*VLOOKUP(Tab_Calculs[[#This Row],[Colonne1]],Controle_des_données!$B$7:$G$14,6,FALSE),"")</f>
        <v/>
      </c>
      <c r="T881" t="str">
        <f ca="1">IF(Tab_Calculs[[#This Row],[Combustible ]]="Electricité (kWh)",Tab_Calculs[[#This Row],[Conso_mois_kWh]]*2.3,Tab_Calculs[[#This Row],[Conso_mois_kWh]])</f>
        <v/>
      </c>
      <c r="U881" t="str">
        <f ca="1">IFERROR(N881*VLOOKUP(Tab_Calculs[[#This Row],[Colonne1]],Controle_des_données!$B$7:$H$14,7,FALSE),"")</f>
        <v/>
      </c>
      <c r="V881">
        <f ca="1">IFERROR(Tab_Calculs[[#This Row],[Cout_mois]]/Tab_Calculs[[#This Row],[Conso_mois_kWh]],0)</f>
        <v>0</v>
      </c>
      <c r="W881" t="str">
        <f>T(VLOOKUP(Tab_Calculs[[#This Row],[Compteur]],Site!$B$33:$G$40,3,FALSE))</f>
        <v/>
      </c>
      <c r="X881" t="str">
        <f>T(VLOOKUP(Tab_Calculs[[#This Row],[Compteur]],Site!$B$33:$G$40,4,FALSE))</f>
        <v/>
      </c>
      <c r="Y881" t="str">
        <f>T(VLOOKUP(Tab_Calculs[[#This Row],[Compteur]],Site!$B$33:$G$40,5,FALSE))</f>
        <v/>
      </c>
      <c r="Z881" t="str">
        <f>T(VLOOKUP(Tab_Calculs[[#This Row],[Compteur]],Site!$B$33:$G$40,6,FALSE))</f>
        <v/>
      </c>
      <c r="AA881">
        <f>IFERROR(GETPIVOTDATA("DJU(chauffagiste)",BDD_DJU!$P$13,"annee",Tab_Calculs[[#This Row],[ANNEE]],"mois_numero",Tab_Calculs[[#This Row],[MOIS]]),0)</f>
        <v>73.599999999999994</v>
      </c>
    </row>
    <row r="882" spans="1:27" x14ac:dyDescent="0.25">
      <c r="A882" s="3">
        <f>DATE(Tab_Calculs[[#This Row],[ANNEE]],Tab_Calculs[[#This Row],[MOIS]],1)</f>
        <v>43374</v>
      </c>
      <c r="B882" s="3">
        <f>EDATE(Tab_Calculs[[#This Row],[Début mois]],1)-1</f>
        <v>43404</v>
      </c>
      <c r="C882">
        <f t="shared" si="29"/>
        <v>10</v>
      </c>
      <c r="D882">
        <f t="shared" si="28"/>
        <v>2018</v>
      </c>
      <c r="E882" t="s">
        <v>84</v>
      </c>
      <c r="F882" t="str">
        <f>SUBSTITUTE(Tab_Calculs[[#This Row],[Compteur]]," ","_")</f>
        <v>Compteur_5</v>
      </c>
      <c r="G882" t="str">
        <f>T(INDEX(Site!$B$33:$G$40, MATCH(Tab_Calculs[[#This Row],[Compteur]], Site!$B$33:$B$40,0),2))</f>
        <v/>
      </c>
      <c r="H882" s="3">
        <f t="array" aca="1" ref="H882" ca="1">MIN(IF(INDIRECT(CONCATENATE(Tab_Calculs[[#This Row],[Colonne1]],"!$B$2:$B$243"))&gt;=Calculs_Consos!$A882,INDIRECT(CONCATENATE(Tab_Calculs[[#This Row],[Colonne1]],"!$B$2:$B$243"))))</f>
        <v>0</v>
      </c>
      <c r="I882" s="3">
        <f ca="1">INDEX(INDIRECT(CONCATENATE("Tab_",Tab_Calculs[[#This Row],[Colonne1]])),Tab_Calculs[[#This Row],[index_date_livraison]],1)</f>
        <v>0</v>
      </c>
      <c r="J882">
        <f ca="1">MATCH(Tab_Calculs[[#This Row],[Date_livraison]],INDIRECT(CONCATENATE("Tab_",Tab_Calculs[[#This Row],[Colonne1]],"[Fin de période]")),0)</f>
        <v>1</v>
      </c>
      <c r="K882" t="e">
        <f ca="1">INDEX(INDIRECT(CONCATENATE("Tab_",Tab_Calculs[[#This Row],[Colonne1]])),Tab_Calculs[[#This Row],[index_date_livraison]]-1,6)*(MAX(Tab_Calculs[[#This Row],[Début periode livraison]],Tab_Calculs[[#This Row],[Début mois]])-Tab_Calculs[[#This Row],[Début mois]])</f>
        <v>#VALUE!</v>
      </c>
      <c r="L882" s="94">
        <f ca="1">INDEX(INDIRECT(CONCATENATE("Tab_",Tab_Calculs[[#This Row],[Colonne1]])),Tab_Calculs[[#This Row],[index_date_livraison]],6)*(1+MIN(Tab_Calculs[[#This Row],[Date_livraison]],Tab_Calculs[[#This Row],[fin mois]])-MAX(Tab_Calculs[[#This Row],[Début mois]],Tab_Calculs[[#This Row],[Début periode livraison]]))</f>
        <v>0</v>
      </c>
      <c r="M882" s="94" t="e">
        <f ca="1">INDEX(INDIRECT(CONCATENATE("Tab_",Tab_Calculs[[#This Row],[Colonne1]])),Tab_Calculs[[#This Row],[index_date_livraison]]+1,6)*(Tab_Calculs[[#This Row],[fin mois]]-MIN(Tab_Calculs[[#This Row],[fin mois]],Tab_Calculs[[#This Row],[Date_livraison]]))</f>
        <v>#VALUE!</v>
      </c>
      <c r="N882" s="231" t="str">
        <f ca="1">IFERROR(Tab_Calculs[[#This Row],[Ratio_jour_après_livr]]+Tab_Calculs[[#This Row],[Ratio_jour_avant_livr]]+Tab_Calculs[[#This Row],[ratio_avant_debut]],"")</f>
        <v/>
      </c>
      <c r="O882" t="e">
        <f ca="1">INDEX(INDIRECT(CONCATENATE("Tab_",Tab_Calculs[[#This Row],[Colonne1]])),Tab_Calculs[[#This Row],[index_date_livraison]]-1,7)*(MAX(Tab_Calculs[[#This Row],[Début periode livraison]],Tab_Calculs[[#This Row],[Début mois]])-Tab_Calculs[[#This Row],[Début mois]])</f>
        <v>#VALUE!</v>
      </c>
      <c r="P882">
        <f ca="1">INDEX(INDIRECT(CONCATENATE("Tab_",Tab_Calculs[[#This Row],[Colonne1]])),Tab_Calculs[[#This Row],[index_date_livraison]],7)*(1+MIN(Tab_Calculs[[#This Row],[Date_livraison]],Tab_Calculs[[#This Row],[fin mois]])-MAX(Tab_Calculs[[#This Row],[Début mois]],Tab_Calculs[[#This Row],[Début periode livraison]]))</f>
        <v>0</v>
      </c>
      <c r="Q882" t="e">
        <f ca="1">INDEX(INDIRECT(CONCATENATE("Tab_",Tab_Calculs[[#This Row],[Colonne1]])),Tab_Calculs[[#This Row],[index_date_livraison]]+1,7)*(Tab_Calculs[[#This Row],[fin mois]]-MIN(Tab_Calculs[[#This Row],[fin mois]],Tab_Calculs[[#This Row],[Date_livraison]]))</f>
        <v>#VALUE!</v>
      </c>
      <c r="R882" t="e">
        <f ca="1">Tab_Calculs[[#This Row],[Ratio_Cout_après_livr]]+Tab_Calculs[[#This Row],[Ratio_Cout_avant_livr]]+Tab_Calculs[[#This Row],[Ratio_Cout_avant_debut]]</f>
        <v>#VALUE!</v>
      </c>
      <c r="S882" t="str">
        <f ca="1">IFERROR(N882*VLOOKUP(Tab_Calculs[[#This Row],[Colonne1]],Controle_des_données!$B$7:$G$14,6,FALSE),"")</f>
        <v/>
      </c>
      <c r="T882" t="str">
        <f ca="1">IF(Tab_Calculs[[#This Row],[Combustible ]]="Electricité (kWh)",Tab_Calculs[[#This Row],[Conso_mois_kWh]]*2.3,Tab_Calculs[[#This Row],[Conso_mois_kWh]])</f>
        <v/>
      </c>
      <c r="U882" t="str">
        <f ca="1">IFERROR(N882*VLOOKUP(Tab_Calculs[[#This Row],[Colonne1]],Controle_des_données!$B$7:$H$14,7,FALSE),"")</f>
        <v/>
      </c>
      <c r="V882">
        <f ca="1">IFERROR(Tab_Calculs[[#This Row],[Cout_mois]]/Tab_Calculs[[#This Row],[Conso_mois_kWh]],0)</f>
        <v>0</v>
      </c>
      <c r="W882" t="str">
        <f>T(VLOOKUP(Tab_Calculs[[#This Row],[Compteur]],Site!$B$33:$G$40,3,FALSE))</f>
        <v/>
      </c>
      <c r="X882" t="str">
        <f>T(VLOOKUP(Tab_Calculs[[#This Row],[Compteur]],Site!$B$33:$G$40,4,FALSE))</f>
        <v/>
      </c>
      <c r="Y882" t="str">
        <f>T(VLOOKUP(Tab_Calculs[[#This Row],[Compteur]],Site!$B$33:$G$40,5,FALSE))</f>
        <v/>
      </c>
      <c r="Z882" t="str">
        <f>T(VLOOKUP(Tab_Calculs[[#This Row],[Compteur]],Site!$B$33:$G$40,6,FALSE))</f>
        <v/>
      </c>
      <c r="AA882">
        <f>IFERROR(GETPIVOTDATA("DJU(chauffagiste)",BDD_DJU!$P$13,"annee",Tab_Calculs[[#This Row],[ANNEE]],"mois_numero",Tab_Calculs[[#This Row],[MOIS]]),0)</f>
        <v>157.5</v>
      </c>
    </row>
    <row r="883" spans="1:27" x14ac:dyDescent="0.25">
      <c r="A883" s="3">
        <f>DATE(Tab_Calculs[[#This Row],[ANNEE]],Tab_Calculs[[#This Row],[MOIS]],1)</f>
        <v>43405</v>
      </c>
      <c r="B883" s="3">
        <f>EDATE(Tab_Calculs[[#This Row],[Début mois]],1)-1</f>
        <v>43434</v>
      </c>
      <c r="C883">
        <f t="shared" si="29"/>
        <v>11</v>
      </c>
      <c r="D883">
        <f t="shared" si="28"/>
        <v>2018</v>
      </c>
      <c r="E883" t="s">
        <v>84</v>
      </c>
      <c r="F883" t="str">
        <f>SUBSTITUTE(Tab_Calculs[[#This Row],[Compteur]]," ","_")</f>
        <v>Compteur_5</v>
      </c>
      <c r="G883" t="str">
        <f>T(INDEX(Site!$B$33:$G$40, MATCH(Tab_Calculs[[#This Row],[Compteur]], Site!$B$33:$B$40,0),2))</f>
        <v/>
      </c>
      <c r="H883" s="3">
        <f t="array" aca="1" ref="H883" ca="1">MIN(IF(INDIRECT(CONCATENATE(Tab_Calculs[[#This Row],[Colonne1]],"!$B$2:$B$243"))&gt;=Calculs_Consos!$A883,INDIRECT(CONCATENATE(Tab_Calculs[[#This Row],[Colonne1]],"!$B$2:$B$243"))))</f>
        <v>0</v>
      </c>
      <c r="I883" s="3">
        <f ca="1">INDEX(INDIRECT(CONCATENATE("Tab_",Tab_Calculs[[#This Row],[Colonne1]])),Tab_Calculs[[#This Row],[index_date_livraison]],1)</f>
        <v>0</v>
      </c>
      <c r="J883">
        <f ca="1">MATCH(Tab_Calculs[[#This Row],[Date_livraison]],INDIRECT(CONCATENATE("Tab_",Tab_Calculs[[#This Row],[Colonne1]],"[Fin de période]")),0)</f>
        <v>1</v>
      </c>
      <c r="K883" t="e">
        <f ca="1">INDEX(INDIRECT(CONCATENATE("Tab_",Tab_Calculs[[#This Row],[Colonne1]])),Tab_Calculs[[#This Row],[index_date_livraison]]-1,6)*(MAX(Tab_Calculs[[#This Row],[Début periode livraison]],Tab_Calculs[[#This Row],[Début mois]])-Tab_Calculs[[#This Row],[Début mois]])</f>
        <v>#VALUE!</v>
      </c>
      <c r="L883" s="94">
        <f ca="1">INDEX(INDIRECT(CONCATENATE("Tab_",Tab_Calculs[[#This Row],[Colonne1]])),Tab_Calculs[[#This Row],[index_date_livraison]],6)*(1+MIN(Tab_Calculs[[#This Row],[Date_livraison]],Tab_Calculs[[#This Row],[fin mois]])-MAX(Tab_Calculs[[#This Row],[Début mois]],Tab_Calculs[[#This Row],[Début periode livraison]]))</f>
        <v>0</v>
      </c>
      <c r="M883" s="94" t="e">
        <f ca="1">INDEX(INDIRECT(CONCATENATE("Tab_",Tab_Calculs[[#This Row],[Colonne1]])),Tab_Calculs[[#This Row],[index_date_livraison]]+1,6)*(Tab_Calculs[[#This Row],[fin mois]]-MIN(Tab_Calculs[[#This Row],[fin mois]],Tab_Calculs[[#This Row],[Date_livraison]]))</f>
        <v>#VALUE!</v>
      </c>
      <c r="N883" s="231" t="str">
        <f ca="1">IFERROR(Tab_Calculs[[#This Row],[Ratio_jour_après_livr]]+Tab_Calculs[[#This Row],[Ratio_jour_avant_livr]]+Tab_Calculs[[#This Row],[ratio_avant_debut]],"")</f>
        <v/>
      </c>
      <c r="O883" t="e">
        <f ca="1">INDEX(INDIRECT(CONCATENATE("Tab_",Tab_Calculs[[#This Row],[Colonne1]])),Tab_Calculs[[#This Row],[index_date_livraison]]-1,7)*(MAX(Tab_Calculs[[#This Row],[Début periode livraison]],Tab_Calculs[[#This Row],[Début mois]])-Tab_Calculs[[#This Row],[Début mois]])</f>
        <v>#VALUE!</v>
      </c>
      <c r="P883">
        <f ca="1">INDEX(INDIRECT(CONCATENATE("Tab_",Tab_Calculs[[#This Row],[Colonne1]])),Tab_Calculs[[#This Row],[index_date_livraison]],7)*(1+MIN(Tab_Calculs[[#This Row],[Date_livraison]],Tab_Calculs[[#This Row],[fin mois]])-MAX(Tab_Calculs[[#This Row],[Début mois]],Tab_Calculs[[#This Row],[Début periode livraison]]))</f>
        <v>0</v>
      </c>
      <c r="Q883" t="e">
        <f ca="1">INDEX(INDIRECT(CONCATENATE("Tab_",Tab_Calculs[[#This Row],[Colonne1]])),Tab_Calculs[[#This Row],[index_date_livraison]]+1,7)*(Tab_Calculs[[#This Row],[fin mois]]-MIN(Tab_Calculs[[#This Row],[fin mois]],Tab_Calculs[[#This Row],[Date_livraison]]))</f>
        <v>#VALUE!</v>
      </c>
      <c r="R883" t="e">
        <f ca="1">Tab_Calculs[[#This Row],[Ratio_Cout_après_livr]]+Tab_Calculs[[#This Row],[Ratio_Cout_avant_livr]]+Tab_Calculs[[#This Row],[Ratio_Cout_avant_debut]]</f>
        <v>#VALUE!</v>
      </c>
      <c r="S883" t="str">
        <f ca="1">IFERROR(N883*VLOOKUP(Tab_Calculs[[#This Row],[Colonne1]],Controle_des_données!$B$7:$G$14,6,FALSE),"")</f>
        <v/>
      </c>
      <c r="T883" t="str">
        <f ca="1">IF(Tab_Calculs[[#This Row],[Combustible ]]="Electricité (kWh)",Tab_Calculs[[#This Row],[Conso_mois_kWh]]*2.3,Tab_Calculs[[#This Row],[Conso_mois_kWh]])</f>
        <v/>
      </c>
      <c r="U883" t="str">
        <f ca="1">IFERROR(N883*VLOOKUP(Tab_Calculs[[#This Row],[Colonne1]],Controle_des_données!$B$7:$H$14,7,FALSE),"")</f>
        <v/>
      </c>
      <c r="V883">
        <f ca="1">IFERROR(Tab_Calculs[[#This Row],[Cout_mois]]/Tab_Calculs[[#This Row],[Conso_mois_kWh]],0)</f>
        <v>0</v>
      </c>
      <c r="W883" t="str">
        <f>T(VLOOKUP(Tab_Calculs[[#This Row],[Compteur]],Site!$B$33:$G$40,3,FALSE))</f>
        <v/>
      </c>
      <c r="X883" t="str">
        <f>T(VLOOKUP(Tab_Calculs[[#This Row],[Compteur]],Site!$B$33:$G$40,4,FALSE))</f>
        <v/>
      </c>
      <c r="Y883" t="str">
        <f>T(VLOOKUP(Tab_Calculs[[#This Row],[Compteur]],Site!$B$33:$G$40,5,FALSE))</f>
        <v/>
      </c>
      <c r="Z883" t="str">
        <f>T(VLOOKUP(Tab_Calculs[[#This Row],[Compteur]],Site!$B$33:$G$40,6,FALSE))</f>
        <v/>
      </c>
      <c r="AA883">
        <f>IFERROR(GETPIVOTDATA("DJU(chauffagiste)",BDD_DJU!$P$13,"annee",Tab_Calculs[[#This Row],[ANNEE]],"mois_numero",Tab_Calculs[[#This Row],[MOIS]]),0)</f>
        <v>278</v>
      </c>
    </row>
    <row r="884" spans="1:27" x14ac:dyDescent="0.25">
      <c r="A884" s="3">
        <f>DATE(Tab_Calculs[[#This Row],[ANNEE]],Tab_Calculs[[#This Row],[MOIS]],1)</f>
        <v>43435</v>
      </c>
      <c r="B884" s="3">
        <f>EDATE(Tab_Calculs[[#This Row],[Début mois]],1)-1</f>
        <v>43465</v>
      </c>
      <c r="C884">
        <f t="shared" si="29"/>
        <v>12</v>
      </c>
      <c r="D884">
        <f t="shared" si="28"/>
        <v>2018</v>
      </c>
      <c r="E884" t="s">
        <v>84</v>
      </c>
      <c r="F884" t="str">
        <f>SUBSTITUTE(Tab_Calculs[[#This Row],[Compteur]]," ","_")</f>
        <v>Compteur_5</v>
      </c>
      <c r="G884" t="str">
        <f>T(INDEX(Site!$B$33:$G$40, MATCH(Tab_Calculs[[#This Row],[Compteur]], Site!$B$33:$B$40,0),2))</f>
        <v/>
      </c>
      <c r="H884" s="3">
        <f t="array" aca="1" ref="H884" ca="1">MIN(IF(INDIRECT(CONCATENATE(Tab_Calculs[[#This Row],[Colonne1]],"!$B$2:$B$243"))&gt;=Calculs_Consos!$A884,INDIRECT(CONCATENATE(Tab_Calculs[[#This Row],[Colonne1]],"!$B$2:$B$243"))))</f>
        <v>0</v>
      </c>
      <c r="I884" s="3">
        <f ca="1">INDEX(INDIRECT(CONCATENATE("Tab_",Tab_Calculs[[#This Row],[Colonne1]])),Tab_Calculs[[#This Row],[index_date_livraison]],1)</f>
        <v>0</v>
      </c>
      <c r="J884">
        <f ca="1">MATCH(Tab_Calculs[[#This Row],[Date_livraison]],INDIRECT(CONCATENATE("Tab_",Tab_Calculs[[#This Row],[Colonne1]],"[Fin de période]")),0)</f>
        <v>1</v>
      </c>
      <c r="K884" t="e">
        <f ca="1">INDEX(INDIRECT(CONCATENATE("Tab_",Tab_Calculs[[#This Row],[Colonne1]])),Tab_Calculs[[#This Row],[index_date_livraison]]-1,6)*(MAX(Tab_Calculs[[#This Row],[Début periode livraison]],Tab_Calculs[[#This Row],[Début mois]])-Tab_Calculs[[#This Row],[Début mois]])</f>
        <v>#VALUE!</v>
      </c>
      <c r="L884" s="94">
        <f ca="1">INDEX(INDIRECT(CONCATENATE("Tab_",Tab_Calculs[[#This Row],[Colonne1]])),Tab_Calculs[[#This Row],[index_date_livraison]],6)*(1+MIN(Tab_Calculs[[#This Row],[Date_livraison]],Tab_Calculs[[#This Row],[fin mois]])-MAX(Tab_Calculs[[#This Row],[Début mois]],Tab_Calculs[[#This Row],[Début periode livraison]]))</f>
        <v>0</v>
      </c>
      <c r="M884" s="94" t="e">
        <f ca="1">INDEX(INDIRECT(CONCATENATE("Tab_",Tab_Calculs[[#This Row],[Colonne1]])),Tab_Calculs[[#This Row],[index_date_livraison]]+1,6)*(Tab_Calculs[[#This Row],[fin mois]]-MIN(Tab_Calculs[[#This Row],[fin mois]],Tab_Calculs[[#This Row],[Date_livraison]]))</f>
        <v>#VALUE!</v>
      </c>
      <c r="N884" s="231" t="str">
        <f ca="1">IFERROR(Tab_Calculs[[#This Row],[Ratio_jour_après_livr]]+Tab_Calculs[[#This Row],[Ratio_jour_avant_livr]]+Tab_Calculs[[#This Row],[ratio_avant_debut]],"")</f>
        <v/>
      </c>
      <c r="O884" t="e">
        <f ca="1">INDEX(INDIRECT(CONCATENATE("Tab_",Tab_Calculs[[#This Row],[Colonne1]])),Tab_Calculs[[#This Row],[index_date_livraison]]-1,7)*(MAX(Tab_Calculs[[#This Row],[Début periode livraison]],Tab_Calculs[[#This Row],[Début mois]])-Tab_Calculs[[#This Row],[Début mois]])</f>
        <v>#VALUE!</v>
      </c>
      <c r="P884">
        <f ca="1">INDEX(INDIRECT(CONCATENATE("Tab_",Tab_Calculs[[#This Row],[Colonne1]])),Tab_Calculs[[#This Row],[index_date_livraison]],7)*(1+MIN(Tab_Calculs[[#This Row],[Date_livraison]],Tab_Calculs[[#This Row],[fin mois]])-MAX(Tab_Calculs[[#This Row],[Début mois]],Tab_Calculs[[#This Row],[Début periode livraison]]))</f>
        <v>0</v>
      </c>
      <c r="Q884" t="e">
        <f ca="1">INDEX(INDIRECT(CONCATENATE("Tab_",Tab_Calculs[[#This Row],[Colonne1]])),Tab_Calculs[[#This Row],[index_date_livraison]]+1,7)*(Tab_Calculs[[#This Row],[fin mois]]-MIN(Tab_Calculs[[#This Row],[fin mois]],Tab_Calculs[[#This Row],[Date_livraison]]))</f>
        <v>#VALUE!</v>
      </c>
      <c r="R884" t="e">
        <f ca="1">Tab_Calculs[[#This Row],[Ratio_Cout_après_livr]]+Tab_Calculs[[#This Row],[Ratio_Cout_avant_livr]]+Tab_Calculs[[#This Row],[Ratio_Cout_avant_debut]]</f>
        <v>#VALUE!</v>
      </c>
      <c r="S884" t="str">
        <f ca="1">IFERROR(N884*VLOOKUP(Tab_Calculs[[#This Row],[Colonne1]],Controle_des_données!$B$7:$G$14,6,FALSE),"")</f>
        <v/>
      </c>
      <c r="T884" t="str">
        <f ca="1">IF(Tab_Calculs[[#This Row],[Combustible ]]="Electricité (kWh)",Tab_Calculs[[#This Row],[Conso_mois_kWh]]*2.3,Tab_Calculs[[#This Row],[Conso_mois_kWh]])</f>
        <v/>
      </c>
      <c r="U884" t="str">
        <f ca="1">IFERROR(N884*VLOOKUP(Tab_Calculs[[#This Row],[Colonne1]],Controle_des_données!$B$7:$H$14,7,FALSE),"")</f>
        <v/>
      </c>
      <c r="V884">
        <f ca="1">IFERROR(Tab_Calculs[[#This Row],[Cout_mois]]/Tab_Calculs[[#This Row],[Conso_mois_kWh]],0)</f>
        <v>0</v>
      </c>
      <c r="W884" t="str">
        <f>T(VLOOKUP(Tab_Calculs[[#This Row],[Compteur]],Site!$B$33:$G$40,3,FALSE))</f>
        <v/>
      </c>
      <c r="X884" t="str">
        <f>T(VLOOKUP(Tab_Calculs[[#This Row],[Compteur]],Site!$B$33:$G$40,4,FALSE))</f>
        <v/>
      </c>
      <c r="Y884" t="str">
        <f>T(VLOOKUP(Tab_Calculs[[#This Row],[Compteur]],Site!$B$33:$G$40,5,FALSE))</f>
        <v/>
      </c>
      <c r="Z884" t="str">
        <f>T(VLOOKUP(Tab_Calculs[[#This Row],[Compteur]],Site!$B$33:$G$40,6,FALSE))</f>
        <v/>
      </c>
      <c r="AA884">
        <f>IFERROR(GETPIVOTDATA("DJU(chauffagiste)",BDD_DJU!$P$13,"annee",Tab_Calculs[[#This Row],[ANNEE]],"mois_numero",Tab_Calculs[[#This Row],[MOIS]]),0)</f>
        <v>319.2</v>
      </c>
    </row>
    <row r="885" spans="1:27" x14ac:dyDescent="0.25">
      <c r="A885" s="3">
        <f>DATE(Tab_Calculs[[#This Row],[ANNEE]],Tab_Calculs[[#This Row],[MOIS]],1)</f>
        <v>43466</v>
      </c>
      <c r="B885" s="3">
        <f>EDATE(Tab_Calculs[[#This Row],[Début mois]],1)-1</f>
        <v>43496</v>
      </c>
      <c r="C885">
        <f t="shared" si="29"/>
        <v>1</v>
      </c>
      <c r="D885">
        <f t="shared" si="28"/>
        <v>2019</v>
      </c>
      <c r="E885" t="s">
        <v>84</v>
      </c>
      <c r="F885" t="str">
        <f>SUBSTITUTE(Tab_Calculs[[#This Row],[Compteur]]," ","_")</f>
        <v>Compteur_5</v>
      </c>
      <c r="G885" t="str">
        <f>T(INDEX(Site!$B$33:$G$40, MATCH(Tab_Calculs[[#This Row],[Compteur]], Site!$B$33:$B$40,0),2))</f>
        <v/>
      </c>
      <c r="H885" s="3">
        <f t="array" aca="1" ref="H885" ca="1">MIN(IF(INDIRECT(CONCATENATE(Tab_Calculs[[#This Row],[Colonne1]],"!$B$2:$B$243"))&gt;=Calculs_Consos!$A885,INDIRECT(CONCATENATE(Tab_Calculs[[#This Row],[Colonne1]],"!$B$2:$B$243"))))</f>
        <v>0</v>
      </c>
      <c r="I885" s="3">
        <f ca="1">INDEX(INDIRECT(CONCATENATE("Tab_",Tab_Calculs[[#This Row],[Colonne1]])),Tab_Calculs[[#This Row],[index_date_livraison]],1)</f>
        <v>0</v>
      </c>
      <c r="J885">
        <f ca="1">MATCH(Tab_Calculs[[#This Row],[Date_livraison]],INDIRECT(CONCATENATE("Tab_",Tab_Calculs[[#This Row],[Colonne1]],"[Fin de période]")),0)</f>
        <v>1</v>
      </c>
      <c r="K885" t="e">
        <f ca="1">INDEX(INDIRECT(CONCATENATE("Tab_",Tab_Calculs[[#This Row],[Colonne1]])),Tab_Calculs[[#This Row],[index_date_livraison]]-1,6)*(MAX(Tab_Calculs[[#This Row],[Début periode livraison]],Tab_Calculs[[#This Row],[Début mois]])-Tab_Calculs[[#This Row],[Début mois]])</f>
        <v>#VALUE!</v>
      </c>
      <c r="L885" s="94">
        <f ca="1">INDEX(INDIRECT(CONCATENATE("Tab_",Tab_Calculs[[#This Row],[Colonne1]])),Tab_Calculs[[#This Row],[index_date_livraison]],6)*(1+MIN(Tab_Calculs[[#This Row],[Date_livraison]],Tab_Calculs[[#This Row],[fin mois]])-MAX(Tab_Calculs[[#This Row],[Début mois]],Tab_Calculs[[#This Row],[Début periode livraison]]))</f>
        <v>0</v>
      </c>
      <c r="M885" s="94" t="e">
        <f ca="1">INDEX(INDIRECT(CONCATENATE("Tab_",Tab_Calculs[[#This Row],[Colonne1]])),Tab_Calculs[[#This Row],[index_date_livraison]]+1,6)*(Tab_Calculs[[#This Row],[fin mois]]-MIN(Tab_Calculs[[#This Row],[fin mois]],Tab_Calculs[[#This Row],[Date_livraison]]))</f>
        <v>#VALUE!</v>
      </c>
      <c r="N885" s="231" t="str">
        <f ca="1">IFERROR(Tab_Calculs[[#This Row],[Ratio_jour_après_livr]]+Tab_Calculs[[#This Row],[Ratio_jour_avant_livr]]+Tab_Calculs[[#This Row],[ratio_avant_debut]],"")</f>
        <v/>
      </c>
      <c r="O885" t="e">
        <f ca="1">INDEX(INDIRECT(CONCATENATE("Tab_",Tab_Calculs[[#This Row],[Colonne1]])),Tab_Calculs[[#This Row],[index_date_livraison]]-1,7)*(MAX(Tab_Calculs[[#This Row],[Début periode livraison]],Tab_Calculs[[#This Row],[Début mois]])-Tab_Calculs[[#This Row],[Début mois]])</f>
        <v>#VALUE!</v>
      </c>
      <c r="P885">
        <f ca="1">INDEX(INDIRECT(CONCATENATE("Tab_",Tab_Calculs[[#This Row],[Colonne1]])),Tab_Calculs[[#This Row],[index_date_livraison]],7)*(1+MIN(Tab_Calculs[[#This Row],[Date_livraison]],Tab_Calculs[[#This Row],[fin mois]])-MAX(Tab_Calculs[[#This Row],[Début mois]],Tab_Calculs[[#This Row],[Début periode livraison]]))</f>
        <v>0</v>
      </c>
      <c r="Q885" t="e">
        <f ca="1">INDEX(INDIRECT(CONCATENATE("Tab_",Tab_Calculs[[#This Row],[Colonne1]])),Tab_Calculs[[#This Row],[index_date_livraison]]+1,7)*(Tab_Calculs[[#This Row],[fin mois]]-MIN(Tab_Calculs[[#This Row],[fin mois]],Tab_Calculs[[#This Row],[Date_livraison]]))</f>
        <v>#VALUE!</v>
      </c>
      <c r="R885" t="e">
        <f ca="1">Tab_Calculs[[#This Row],[Ratio_Cout_après_livr]]+Tab_Calculs[[#This Row],[Ratio_Cout_avant_livr]]+Tab_Calculs[[#This Row],[Ratio_Cout_avant_debut]]</f>
        <v>#VALUE!</v>
      </c>
      <c r="S885" t="str">
        <f ca="1">IFERROR(N885*VLOOKUP(Tab_Calculs[[#This Row],[Colonne1]],Controle_des_données!$B$7:$G$14,6,FALSE),"")</f>
        <v/>
      </c>
      <c r="T885" t="str">
        <f ca="1">IF(Tab_Calculs[[#This Row],[Combustible ]]="Electricité (kWh)",Tab_Calculs[[#This Row],[Conso_mois_kWh]]*2.3,Tab_Calculs[[#This Row],[Conso_mois_kWh]])</f>
        <v/>
      </c>
      <c r="U885" t="str">
        <f ca="1">IFERROR(N885*VLOOKUP(Tab_Calculs[[#This Row],[Colonne1]],Controle_des_données!$B$7:$H$14,7,FALSE),"")</f>
        <v/>
      </c>
      <c r="V885">
        <f ca="1">IFERROR(Tab_Calculs[[#This Row],[Cout_mois]]/Tab_Calculs[[#This Row],[Conso_mois_kWh]],0)</f>
        <v>0</v>
      </c>
      <c r="W885" t="str">
        <f>T(VLOOKUP(Tab_Calculs[[#This Row],[Compteur]],Site!$B$33:$G$40,3,FALSE))</f>
        <v/>
      </c>
      <c r="X885" t="str">
        <f>T(VLOOKUP(Tab_Calculs[[#This Row],[Compteur]],Site!$B$33:$G$40,4,FALSE))</f>
        <v/>
      </c>
      <c r="Y885" t="str">
        <f>T(VLOOKUP(Tab_Calculs[[#This Row],[Compteur]],Site!$B$33:$G$40,5,FALSE))</f>
        <v/>
      </c>
      <c r="Z885" t="str">
        <f>T(VLOOKUP(Tab_Calculs[[#This Row],[Compteur]],Site!$B$33:$G$40,6,FALSE))</f>
        <v/>
      </c>
      <c r="AA885">
        <f>IFERROR(GETPIVOTDATA("DJU(chauffagiste)",BDD_DJU!$P$13,"annee",Tab_Calculs[[#This Row],[ANNEE]],"mois_numero",Tab_Calculs[[#This Row],[MOIS]]),0)</f>
        <v>402.2</v>
      </c>
    </row>
    <row r="886" spans="1:27" x14ac:dyDescent="0.25">
      <c r="A886" s="3">
        <f>DATE(Tab_Calculs[[#This Row],[ANNEE]],Tab_Calculs[[#This Row],[MOIS]],1)</f>
        <v>43497</v>
      </c>
      <c r="B886" s="3">
        <f>EDATE(Tab_Calculs[[#This Row],[Début mois]],1)-1</f>
        <v>43524</v>
      </c>
      <c r="C886">
        <f t="shared" si="29"/>
        <v>2</v>
      </c>
      <c r="D886">
        <f t="shared" si="28"/>
        <v>2019</v>
      </c>
      <c r="E886" t="s">
        <v>84</v>
      </c>
      <c r="F886" t="str">
        <f>SUBSTITUTE(Tab_Calculs[[#This Row],[Compteur]]," ","_")</f>
        <v>Compteur_5</v>
      </c>
      <c r="G886" t="str">
        <f>T(INDEX(Site!$B$33:$G$40, MATCH(Tab_Calculs[[#This Row],[Compteur]], Site!$B$33:$B$40,0),2))</f>
        <v/>
      </c>
      <c r="H886" s="3">
        <f t="array" aca="1" ref="H886" ca="1">MIN(IF(INDIRECT(CONCATENATE(Tab_Calculs[[#This Row],[Colonne1]],"!$B$2:$B$243"))&gt;=Calculs_Consos!$A886,INDIRECT(CONCATENATE(Tab_Calculs[[#This Row],[Colonne1]],"!$B$2:$B$243"))))</f>
        <v>0</v>
      </c>
      <c r="I886" s="3">
        <f ca="1">INDEX(INDIRECT(CONCATENATE("Tab_",Tab_Calculs[[#This Row],[Colonne1]])),Tab_Calculs[[#This Row],[index_date_livraison]],1)</f>
        <v>0</v>
      </c>
      <c r="J886">
        <f ca="1">MATCH(Tab_Calculs[[#This Row],[Date_livraison]],INDIRECT(CONCATENATE("Tab_",Tab_Calculs[[#This Row],[Colonne1]],"[Fin de période]")),0)</f>
        <v>1</v>
      </c>
      <c r="K886" t="e">
        <f ca="1">INDEX(INDIRECT(CONCATENATE("Tab_",Tab_Calculs[[#This Row],[Colonne1]])),Tab_Calculs[[#This Row],[index_date_livraison]]-1,6)*(MAX(Tab_Calculs[[#This Row],[Début periode livraison]],Tab_Calculs[[#This Row],[Début mois]])-Tab_Calculs[[#This Row],[Début mois]])</f>
        <v>#VALUE!</v>
      </c>
      <c r="L886" s="94">
        <f ca="1">INDEX(INDIRECT(CONCATENATE("Tab_",Tab_Calculs[[#This Row],[Colonne1]])),Tab_Calculs[[#This Row],[index_date_livraison]],6)*(1+MIN(Tab_Calculs[[#This Row],[Date_livraison]],Tab_Calculs[[#This Row],[fin mois]])-MAX(Tab_Calculs[[#This Row],[Début mois]],Tab_Calculs[[#This Row],[Début periode livraison]]))</f>
        <v>0</v>
      </c>
      <c r="M886" s="94" t="e">
        <f ca="1">INDEX(INDIRECT(CONCATENATE("Tab_",Tab_Calculs[[#This Row],[Colonne1]])),Tab_Calculs[[#This Row],[index_date_livraison]]+1,6)*(Tab_Calculs[[#This Row],[fin mois]]-MIN(Tab_Calculs[[#This Row],[fin mois]],Tab_Calculs[[#This Row],[Date_livraison]]))</f>
        <v>#VALUE!</v>
      </c>
      <c r="N886" s="231" t="str">
        <f ca="1">IFERROR(Tab_Calculs[[#This Row],[Ratio_jour_après_livr]]+Tab_Calculs[[#This Row],[Ratio_jour_avant_livr]]+Tab_Calculs[[#This Row],[ratio_avant_debut]],"")</f>
        <v/>
      </c>
      <c r="O886" t="e">
        <f ca="1">INDEX(INDIRECT(CONCATENATE("Tab_",Tab_Calculs[[#This Row],[Colonne1]])),Tab_Calculs[[#This Row],[index_date_livraison]]-1,7)*(MAX(Tab_Calculs[[#This Row],[Début periode livraison]],Tab_Calculs[[#This Row],[Début mois]])-Tab_Calculs[[#This Row],[Début mois]])</f>
        <v>#VALUE!</v>
      </c>
      <c r="P886">
        <f ca="1">INDEX(INDIRECT(CONCATENATE("Tab_",Tab_Calculs[[#This Row],[Colonne1]])),Tab_Calculs[[#This Row],[index_date_livraison]],7)*(1+MIN(Tab_Calculs[[#This Row],[Date_livraison]],Tab_Calculs[[#This Row],[fin mois]])-MAX(Tab_Calculs[[#This Row],[Début mois]],Tab_Calculs[[#This Row],[Début periode livraison]]))</f>
        <v>0</v>
      </c>
      <c r="Q886" t="e">
        <f ca="1">INDEX(INDIRECT(CONCATENATE("Tab_",Tab_Calculs[[#This Row],[Colonne1]])),Tab_Calculs[[#This Row],[index_date_livraison]]+1,7)*(Tab_Calculs[[#This Row],[fin mois]]-MIN(Tab_Calculs[[#This Row],[fin mois]],Tab_Calculs[[#This Row],[Date_livraison]]))</f>
        <v>#VALUE!</v>
      </c>
      <c r="R886" t="e">
        <f ca="1">Tab_Calculs[[#This Row],[Ratio_Cout_après_livr]]+Tab_Calculs[[#This Row],[Ratio_Cout_avant_livr]]+Tab_Calculs[[#This Row],[Ratio_Cout_avant_debut]]</f>
        <v>#VALUE!</v>
      </c>
      <c r="S886" t="str">
        <f ca="1">IFERROR(N886*VLOOKUP(Tab_Calculs[[#This Row],[Colonne1]],Controle_des_données!$B$7:$G$14,6,FALSE),"")</f>
        <v/>
      </c>
      <c r="T886" t="str">
        <f ca="1">IF(Tab_Calculs[[#This Row],[Combustible ]]="Electricité (kWh)",Tab_Calculs[[#This Row],[Conso_mois_kWh]]*2.3,Tab_Calculs[[#This Row],[Conso_mois_kWh]])</f>
        <v/>
      </c>
      <c r="U886" t="str">
        <f ca="1">IFERROR(N886*VLOOKUP(Tab_Calculs[[#This Row],[Colonne1]],Controle_des_données!$B$7:$H$14,7,FALSE),"")</f>
        <v/>
      </c>
      <c r="V886">
        <f ca="1">IFERROR(Tab_Calculs[[#This Row],[Cout_mois]]/Tab_Calculs[[#This Row],[Conso_mois_kWh]],0)</f>
        <v>0</v>
      </c>
      <c r="W886" t="str">
        <f>T(VLOOKUP(Tab_Calculs[[#This Row],[Compteur]],Site!$B$33:$G$40,3,FALSE))</f>
        <v/>
      </c>
      <c r="X886" t="str">
        <f>T(VLOOKUP(Tab_Calculs[[#This Row],[Compteur]],Site!$B$33:$G$40,4,FALSE))</f>
        <v/>
      </c>
      <c r="Y886" t="str">
        <f>T(VLOOKUP(Tab_Calculs[[#This Row],[Compteur]],Site!$B$33:$G$40,5,FALSE))</f>
        <v/>
      </c>
      <c r="Z886" t="str">
        <f>T(VLOOKUP(Tab_Calculs[[#This Row],[Compteur]],Site!$B$33:$G$40,6,FALSE))</f>
        <v/>
      </c>
      <c r="AA886">
        <f>IFERROR(GETPIVOTDATA("DJU(chauffagiste)",BDD_DJU!$P$13,"annee",Tab_Calculs[[#This Row],[ANNEE]],"mois_numero",Tab_Calculs[[#This Row],[MOIS]]),0)</f>
        <v>297.3</v>
      </c>
    </row>
    <row r="887" spans="1:27" x14ac:dyDescent="0.25">
      <c r="A887" s="3">
        <f>DATE(Tab_Calculs[[#This Row],[ANNEE]],Tab_Calculs[[#This Row],[MOIS]],1)</f>
        <v>43525</v>
      </c>
      <c r="B887" s="3">
        <f>EDATE(Tab_Calculs[[#This Row],[Début mois]],1)-1</f>
        <v>43555</v>
      </c>
      <c r="C887">
        <f t="shared" si="29"/>
        <v>3</v>
      </c>
      <c r="D887">
        <f t="shared" si="28"/>
        <v>2019</v>
      </c>
      <c r="E887" t="s">
        <v>84</v>
      </c>
      <c r="F887" t="str">
        <f>SUBSTITUTE(Tab_Calculs[[#This Row],[Compteur]]," ","_")</f>
        <v>Compteur_5</v>
      </c>
      <c r="G887" t="str">
        <f>T(INDEX(Site!$B$33:$G$40, MATCH(Tab_Calculs[[#This Row],[Compteur]], Site!$B$33:$B$40,0),2))</f>
        <v/>
      </c>
      <c r="H887" s="3">
        <f t="array" aca="1" ref="H887" ca="1">MIN(IF(INDIRECT(CONCATENATE(Tab_Calculs[[#This Row],[Colonne1]],"!$B$2:$B$243"))&gt;=Calculs_Consos!$A887,INDIRECT(CONCATENATE(Tab_Calculs[[#This Row],[Colonne1]],"!$B$2:$B$243"))))</f>
        <v>0</v>
      </c>
      <c r="I887" s="3">
        <f ca="1">INDEX(INDIRECT(CONCATENATE("Tab_",Tab_Calculs[[#This Row],[Colonne1]])),Tab_Calculs[[#This Row],[index_date_livraison]],1)</f>
        <v>0</v>
      </c>
      <c r="J887">
        <f ca="1">MATCH(Tab_Calculs[[#This Row],[Date_livraison]],INDIRECT(CONCATENATE("Tab_",Tab_Calculs[[#This Row],[Colonne1]],"[Fin de période]")),0)</f>
        <v>1</v>
      </c>
      <c r="K887" t="e">
        <f ca="1">INDEX(INDIRECT(CONCATENATE("Tab_",Tab_Calculs[[#This Row],[Colonne1]])),Tab_Calculs[[#This Row],[index_date_livraison]]-1,6)*(MAX(Tab_Calculs[[#This Row],[Début periode livraison]],Tab_Calculs[[#This Row],[Début mois]])-Tab_Calculs[[#This Row],[Début mois]])</f>
        <v>#VALUE!</v>
      </c>
      <c r="L887" s="94">
        <f ca="1">INDEX(INDIRECT(CONCATENATE("Tab_",Tab_Calculs[[#This Row],[Colonne1]])),Tab_Calculs[[#This Row],[index_date_livraison]],6)*(1+MIN(Tab_Calculs[[#This Row],[Date_livraison]],Tab_Calculs[[#This Row],[fin mois]])-MAX(Tab_Calculs[[#This Row],[Début mois]],Tab_Calculs[[#This Row],[Début periode livraison]]))</f>
        <v>0</v>
      </c>
      <c r="M887" s="94" t="e">
        <f ca="1">INDEX(INDIRECT(CONCATENATE("Tab_",Tab_Calculs[[#This Row],[Colonne1]])),Tab_Calculs[[#This Row],[index_date_livraison]]+1,6)*(Tab_Calculs[[#This Row],[fin mois]]-MIN(Tab_Calculs[[#This Row],[fin mois]],Tab_Calculs[[#This Row],[Date_livraison]]))</f>
        <v>#VALUE!</v>
      </c>
      <c r="N887" s="231" t="str">
        <f ca="1">IFERROR(Tab_Calculs[[#This Row],[Ratio_jour_après_livr]]+Tab_Calculs[[#This Row],[Ratio_jour_avant_livr]]+Tab_Calculs[[#This Row],[ratio_avant_debut]],"")</f>
        <v/>
      </c>
      <c r="O887" t="e">
        <f ca="1">INDEX(INDIRECT(CONCATENATE("Tab_",Tab_Calculs[[#This Row],[Colonne1]])),Tab_Calculs[[#This Row],[index_date_livraison]]-1,7)*(MAX(Tab_Calculs[[#This Row],[Début periode livraison]],Tab_Calculs[[#This Row],[Début mois]])-Tab_Calculs[[#This Row],[Début mois]])</f>
        <v>#VALUE!</v>
      </c>
      <c r="P887">
        <f ca="1">INDEX(INDIRECT(CONCATENATE("Tab_",Tab_Calculs[[#This Row],[Colonne1]])),Tab_Calculs[[#This Row],[index_date_livraison]],7)*(1+MIN(Tab_Calculs[[#This Row],[Date_livraison]],Tab_Calculs[[#This Row],[fin mois]])-MAX(Tab_Calculs[[#This Row],[Début mois]],Tab_Calculs[[#This Row],[Début periode livraison]]))</f>
        <v>0</v>
      </c>
      <c r="Q887" t="e">
        <f ca="1">INDEX(INDIRECT(CONCATENATE("Tab_",Tab_Calculs[[#This Row],[Colonne1]])),Tab_Calculs[[#This Row],[index_date_livraison]]+1,7)*(Tab_Calculs[[#This Row],[fin mois]]-MIN(Tab_Calculs[[#This Row],[fin mois]],Tab_Calculs[[#This Row],[Date_livraison]]))</f>
        <v>#VALUE!</v>
      </c>
      <c r="R887" t="e">
        <f ca="1">Tab_Calculs[[#This Row],[Ratio_Cout_après_livr]]+Tab_Calculs[[#This Row],[Ratio_Cout_avant_livr]]+Tab_Calculs[[#This Row],[Ratio_Cout_avant_debut]]</f>
        <v>#VALUE!</v>
      </c>
      <c r="S887" t="str">
        <f ca="1">IFERROR(N887*VLOOKUP(Tab_Calculs[[#This Row],[Colonne1]],Controle_des_données!$B$7:$G$14,6,FALSE),"")</f>
        <v/>
      </c>
      <c r="T887" t="str">
        <f ca="1">IF(Tab_Calculs[[#This Row],[Combustible ]]="Electricité (kWh)",Tab_Calculs[[#This Row],[Conso_mois_kWh]]*2.3,Tab_Calculs[[#This Row],[Conso_mois_kWh]])</f>
        <v/>
      </c>
      <c r="U887" t="str">
        <f ca="1">IFERROR(N887*VLOOKUP(Tab_Calculs[[#This Row],[Colonne1]],Controle_des_données!$B$7:$H$14,7,FALSE),"")</f>
        <v/>
      </c>
      <c r="V887">
        <f ca="1">IFERROR(Tab_Calculs[[#This Row],[Cout_mois]]/Tab_Calculs[[#This Row],[Conso_mois_kWh]],0)</f>
        <v>0</v>
      </c>
      <c r="W887" t="str">
        <f>T(VLOOKUP(Tab_Calculs[[#This Row],[Compteur]],Site!$B$33:$G$40,3,FALSE))</f>
        <v/>
      </c>
      <c r="X887" t="str">
        <f>T(VLOOKUP(Tab_Calculs[[#This Row],[Compteur]],Site!$B$33:$G$40,4,FALSE))</f>
        <v/>
      </c>
      <c r="Y887" t="str">
        <f>T(VLOOKUP(Tab_Calculs[[#This Row],[Compteur]],Site!$B$33:$G$40,5,FALSE))</f>
        <v/>
      </c>
      <c r="Z887" t="str">
        <f>T(VLOOKUP(Tab_Calculs[[#This Row],[Compteur]],Site!$B$33:$G$40,6,FALSE))</f>
        <v/>
      </c>
      <c r="AA887">
        <f>IFERROR(GETPIVOTDATA("DJU(chauffagiste)",BDD_DJU!$P$13,"annee",Tab_Calculs[[#This Row],[ANNEE]],"mois_numero",Tab_Calculs[[#This Row],[MOIS]]),0)</f>
        <v>260.39999999999998</v>
      </c>
    </row>
    <row r="888" spans="1:27" x14ac:dyDescent="0.25">
      <c r="A888" s="3">
        <f>DATE(Tab_Calculs[[#This Row],[ANNEE]],Tab_Calculs[[#This Row],[MOIS]],1)</f>
        <v>43556</v>
      </c>
      <c r="B888" s="3">
        <f>EDATE(Tab_Calculs[[#This Row],[Début mois]],1)-1</f>
        <v>43585</v>
      </c>
      <c r="C888">
        <f t="shared" si="29"/>
        <v>4</v>
      </c>
      <c r="D888">
        <f t="shared" si="28"/>
        <v>2019</v>
      </c>
      <c r="E888" t="s">
        <v>84</v>
      </c>
      <c r="F888" t="str">
        <f>SUBSTITUTE(Tab_Calculs[[#This Row],[Compteur]]," ","_")</f>
        <v>Compteur_5</v>
      </c>
      <c r="G888" t="str">
        <f>T(INDEX(Site!$B$33:$G$40, MATCH(Tab_Calculs[[#This Row],[Compteur]], Site!$B$33:$B$40,0),2))</f>
        <v/>
      </c>
      <c r="H888" s="3">
        <f t="array" aca="1" ref="H888" ca="1">MIN(IF(INDIRECT(CONCATENATE(Tab_Calculs[[#This Row],[Colonne1]],"!$B$2:$B$243"))&gt;=Calculs_Consos!$A888,INDIRECT(CONCATENATE(Tab_Calculs[[#This Row],[Colonne1]],"!$B$2:$B$243"))))</f>
        <v>0</v>
      </c>
      <c r="I888" s="3">
        <f ca="1">INDEX(INDIRECT(CONCATENATE("Tab_",Tab_Calculs[[#This Row],[Colonne1]])),Tab_Calculs[[#This Row],[index_date_livraison]],1)</f>
        <v>0</v>
      </c>
      <c r="J888">
        <f ca="1">MATCH(Tab_Calculs[[#This Row],[Date_livraison]],INDIRECT(CONCATENATE("Tab_",Tab_Calculs[[#This Row],[Colonne1]],"[Fin de période]")),0)</f>
        <v>1</v>
      </c>
      <c r="K888" t="e">
        <f ca="1">INDEX(INDIRECT(CONCATENATE("Tab_",Tab_Calculs[[#This Row],[Colonne1]])),Tab_Calculs[[#This Row],[index_date_livraison]]-1,6)*(MAX(Tab_Calculs[[#This Row],[Début periode livraison]],Tab_Calculs[[#This Row],[Début mois]])-Tab_Calculs[[#This Row],[Début mois]])</f>
        <v>#VALUE!</v>
      </c>
      <c r="L888" s="94">
        <f ca="1">INDEX(INDIRECT(CONCATENATE("Tab_",Tab_Calculs[[#This Row],[Colonne1]])),Tab_Calculs[[#This Row],[index_date_livraison]],6)*(1+MIN(Tab_Calculs[[#This Row],[Date_livraison]],Tab_Calculs[[#This Row],[fin mois]])-MAX(Tab_Calculs[[#This Row],[Début mois]],Tab_Calculs[[#This Row],[Début periode livraison]]))</f>
        <v>0</v>
      </c>
      <c r="M888" s="94" t="e">
        <f ca="1">INDEX(INDIRECT(CONCATENATE("Tab_",Tab_Calculs[[#This Row],[Colonne1]])),Tab_Calculs[[#This Row],[index_date_livraison]]+1,6)*(Tab_Calculs[[#This Row],[fin mois]]-MIN(Tab_Calculs[[#This Row],[fin mois]],Tab_Calculs[[#This Row],[Date_livraison]]))</f>
        <v>#VALUE!</v>
      </c>
      <c r="N888" s="231" t="str">
        <f ca="1">IFERROR(Tab_Calculs[[#This Row],[Ratio_jour_après_livr]]+Tab_Calculs[[#This Row],[Ratio_jour_avant_livr]]+Tab_Calculs[[#This Row],[ratio_avant_debut]],"")</f>
        <v/>
      </c>
      <c r="O888" t="e">
        <f ca="1">INDEX(INDIRECT(CONCATENATE("Tab_",Tab_Calculs[[#This Row],[Colonne1]])),Tab_Calculs[[#This Row],[index_date_livraison]]-1,7)*(MAX(Tab_Calculs[[#This Row],[Début periode livraison]],Tab_Calculs[[#This Row],[Début mois]])-Tab_Calculs[[#This Row],[Début mois]])</f>
        <v>#VALUE!</v>
      </c>
      <c r="P888">
        <f ca="1">INDEX(INDIRECT(CONCATENATE("Tab_",Tab_Calculs[[#This Row],[Colonne1]])),Tab_Calculs[[#This Row],[index_date_livraison]],7)*(1+MIN(Tab_Calculs[[#This Row],[Date_livraison]],Tab_Calculs[[#This Row],[fin mois]])-MAX(Tab_Calculs[[#This Row],[Début mois]],Tab_Calculs[[#This Row],[Début periode livraison]]))</f>
        <v>0</v>
      </c>
      <c r="Q888" t="e">
        <f ca="1">INDEX(INDIRECT(CONCATENATE("Tab_",Tab_Calculs[[#This Row],[Colonne1]])),Tab_Calculs[[#This Row],[index_date_livraison]]+1,7)*(Tab_Calculs[[#This Row],[fin mois]]-MIN(Tab_Calculs[[#This Row],[fin mois]],Tab_Calculs[[#This Row],[Date_livraison]]))</f>
        <v>#VALUE!</v>
      </c>
      <c r="R888" t="e">
        <f ca="1">Tab_Calculs[[#This Row],[Ratio_Cout_après_livr]]+Tab_Calculs[[#This Row],[Ratio_Cout_avant_livr]]+Tab_Calculs[[#This Row],[Ratio_Cout_avant_debut]]</f>
        <v>#VALUE!</v>
      </c>
      <c r="S888" t="str">
        <f ca="1">IFERROR(N888*VLOOKUP(Tab_Calculs[[#This Row],[Colonne1]],Controle_des_données!$B$7:$G$14,6,FALSE),"")</f>
        <v/>
      </c>
      <c r="T888" t="str">
        <f ca="1">IF(Tab_Calculs[[#This Row],[Combustible ]]="Electricité (kWh)",Tab_Calculs[[#This Row],[Conso_mois_kWh]]*2.3,Tab_Calculs[[#This Row],[Conso_mois_kWh]])</f>
        <v/>
      </c>
      <c r="U888" t="str">
        <f ca="1">IFERROR(N888*VLOOKUP(Tab_Calculs[[#This Row],[Colonne1]],Controle_des_données!$B$7:$H$14,7,FALSE),"")</f>
        <v/>
      </c>
      <c r="V888">
        <f ca="1">IFERROR(Tab_Calculs[[#This Row],[Cout_mois]]/Tab_Calculs[[#This Row],[Conso_mois_kWh]],0)</f>
        <v>0</v>
      </c>
      <c r="W888" t="str">
        <f>T(VLOOKUP(Tab_Calculs[[#This Row],[Compteur]],Site!$B$33:$G$40,3,FALSE))</f>
        <v/>
      </c>
      <c r="X888" t="str">
        <f>T(VLOOKUP(Tab_Calculs[[#This Row],[Compteur]],Site!$B$33:$G$40,4,FALSE))</f>
        <v/>
      </c>
      <c r="Y888" t="str">
        <f>T(VLOOKUP(Tab_Calculs[[#This Row],[Compteur]],Site!$B$33:$G$40,5,FALSE))</f>
        <v/>
      </c>
      <c r="Z888" t="str">
        <f>T(VLOOKUP(Tab_Calculs[[#This Row],[Compteur]],Site!$B$33:$G$40,6,FALSE))</f>
        <v/>
      </c>
      <c r="AA888">
        <f>IFERROR(GETPIVOTDATA("DJU(chauffagiste)",BDD_DJU!$P$13,"annee",Tab_Calculs[[#This Row],[ANNEE]],"mois_numero",Tab_Calculs[[#This Row],[MOIS]]),0)</f>
        <v>201.4</v>
      </c>
    </row>
    <row r="889" spans="1:27" x14ac:dyDescent="0.25">
      <c r="A889" s="3">
        <f>DATE(Tab_Calculs[[#This Row],[ANNEE]],Tab_Calculs[[#This Row],[MOIS]],1)</f>
        <v>43586</v>
      </c>
      <c r="B889" s="3">
        <f>EDATE(Tab_Calculs[[#This Row],[Début mois]],1)-1</f>
        <v>43616</v>
      </c>
      <c r="C889">
        <f t="shared" si="29"/>
        <v>5</v>
      </c>
      <c r="D889">
        <f t="shared" si="28"/>
        <v>2019</v>
      </c>
      <c r="E889" t="s">
        <v>84</v>
      </c>
      <c r="F889" t="str">
        <f>SUBSTITUTE(Tab_Calculs[[#This Row],[Compteur]]," ","_")</f>
        <v>Compteur_5</v>
      </c>
      <c r="G889" t="str">
        <f>T(INDEX(Site!$B$33:$G$40, MATCH(Tab_Calculs[[#This Row],[Compteur]], Site!$B$33:$B$40,0),2))</f>
        <v/>
      </c>
      <c r="H889" s="3">
        <f t="array" aca="1" ref="H889" ca="1">MIN(IF(INDIRECT(CONCATENATE(Tab_Calculs[[#This Row],[Colonne1]],"!$B$2:$B$243"))&gt;=Calculs_Consos!$A889,INDIRECT(CONCATENATE(Tab_Calculs[[#This Row],[Colonne1]],"!$B$2:$B$243"))))</f>
        <v>0</v>
      </c>
      <c r="I889" s="3">
        <f ca="1">INDEX(INDIRECT(CONCATENATE("Tab_",Tab_Calculs[[#This Row],[Colonne1]])),Tab_Calculs[[#This Row],[index_date_livraison]],1)</f>
        <v>0</v>
      </c>
      <c r="J889">
        <f ca="1">MATCH(Tab_Calculs[[#This Row],[Date_livraison]],INDIRECT(CONCATENATE("Tab_",Tab_Calculs[[#This Row],[Colonne1]],"[Fin de période]")),0)</f>
        <v>1</v>
      </c>
      <c r="K889" t="e">
        <f ca="1">INDEX(INDIRECT(CONCATENATE("Tab_",Tab_Calculs[[#This Row],[Colonne1]])),Tab_Calculs[[#This Row],[index_date_livraison]]-1,6)*(MAX(Tab_Calculs[[#This Row],[Début periode livraison]],Tab_Calculs[[#This Row],[Début mois]])-Tab_Calculs[[#This Row],[Début mois]])</f>
        <v>#VALUE!</v>
      </c>
      <c r="L889" s="94">
        <f ca="1">INDEX(INDIRECT(CONCATENATE("Tab_",Tab_Calculs[[#This Row],[Colonne1]])),Tab_Calculs[[#This Row],[index_date_livraison]],6)*(1+MIN(Tab_Calculs[[#This Row],[Date_livraison]],Tab_Calculs[[#This Row],[fin mois]])-MAX(Tab_Calculs[[#This Row],[Début mois]],Tab_Calculs[[#This Row],[Début periode livraison]]))</f>
        <v>0</v>
      </c>
      <c r="M889" s="94" t="e">
        <f ca="1">INDEX(INDIRECT(CONCATENATE("Tab_",Tab_Calculs[[#This Row],[Colonne1]])),Tab_Calculs[[#This Row],[index_date_livraison]]+1,6)*(Tab_Calculs[[#This Row],[fin mois]]-MIN(Tab_Calculs[[#This Row],[fin mois]],Tab_Calculs[[#This Row],[Date_livraison]]))</f>
        <v>#VALUE!</v>
      </c>
      <c r="N889" s="231" t="str">
        <f ca="1">IFERROR(Tab_Calculs[[#This Row],[Ratio_jour_après_livr]]+Tab_Calculs[[#This Row],[Ratio_jour_avant_livr]]+Tab_Calculs[[#This Row],[ratio_avant_debut]],"")</f>
        <v/>
      </c>
      <c r="O889" t="e">
        <f ca="1">INDEX(INDIRECT(CONCATENATE("Tab_",Tab_Calculs[[#This Row],[Colonne1]])),Tab_Calculs[[#This Row],[index_date_livraison]]-1,7)*(MAX(Tab_Calculs[[#This Row],[Début periode livraison]],Tab_Calculs[[#This Row],[Début mois]])-Tab_Calculs[[#This Row],[Début mois]])</f>
        <v>#VALUE!</v>
      </c>
      <c r="P889">
        <f ca="1">INDEX(INDIRECT(CONCATENATE("Tab_",Tab_Calculs[[#This Row],[Colonne1]])),Tab_Calculs[[#This Row],[index_date_livraison]],7)*(1+MIN(Tab_Calculs[[#This Row],[Date_livraison]],Tab_Calculs[[#This Row],[fin mois]])-MAX(Tab_Calculs[[#This Row],[Début mois]],Tab_Calculs[[#This Row],[Début periode livraison]]))</f>
        <v>0</v>
      </c>
      <c r="Q889" t="e">
        <f ca="1">INDEX(INDIRECT(CONCATENATE("Tab_",Tab_Calculs[[#This Row],[Colonne1]])),Tab_Calculs[[#This Row],[index_date_livraison]]+1,7)*(Tab_Calculs[[#This Row],[fin mois]]-MIN(Tab_Calculs[[#This Row],[fin mois]],Tab_Calculs[[#This Row],[Date_livraison]]))</f>
        <v>#VALUE!</v>
      </c>
      <c r="R889" t="e">
        <f ca="1">Tab_Calculs[[#This Row],[Ratio_Cout_après_livr]]+Tab_Calculs[[#This Row],[Ratio_Cout_avant_livr]]+Tab_Calculs[[#This Row],[Ratio_Cout_avant_debut]]</f>
        <v>#VALUE!</v>
      </c>
      <c r="S889" t="str">
        <f ca="1">IFERROR(N889*VLOOKUP(Tab_Calculs[[#This Row],[Colonne1]],Controle_des_données!$B$7:$G$14,6,FALSE),"")</f>
        <v/>
      </c>
      <c r="T889" t="str">
        <f ca="1">IF(Tab_Calculs[[#This Row],[Combustible ]]="Electricité (kWh)",Tab_Calculs[[#This Row],[Conso_mois_kWh]]*2.3,Tab_Calculs[[#This Row],[Conso_mois_kWh]])</f>
        <v/>
      </c>
      <c r="U889" t="str">
        <f ca="1">IFERROR(N889*VLOOKUP(Tab_Calculs[[#This Row],[Colonne1]],Controle_des_données!$B$7:$H$14,7,FALSE),"")</f>
        <v/>
      </c>
      <c r="V889">
        <f ca="1">IFERROR(Tab_Calculs[[#This Row],[Cout_mois]]/Tab_Calculs[[#This Row],[Conso_mois_kWh]],0)</f>
        <v>0</v>
      </c>
      <c r="W889" t="str">
        <f>T(VLOOKUP(Tab_Calculs[[#This Row],[Compteur]],Site!$B$33:$G$40,3,FALSE))</f>
        <v/>
      </c>
      <c r="X889" t="str">
        <f>T(VLOOKUP(Tab_Calculs[[#This Row],[Compteur]],Site!$B$33:$G$40,4,FALSE))</f>
        <v/>
      </c>
      <c r="Y889" t="str">
        <f>T(VLOOKUP(Tab_Calculs[[#This Row],[Compteur]],Site!$B$33:$G$40,5,FALSE))</f>
        <v/>
      </c>
      <c r="Z889" t="str">
        <f>T(VLOOKUP(Tab_Calculs[[#This Row],[Compteur]],Site!$B$33:$G$40,6,FALSE))</f>
        <v/>
      </c>
      <c r="AA889">
        <f>IFERROR(GETPIVOTDATA("DJU(chauffagiste)",BDD_DJU!$P$13,"annee",Tab_Calculs[[#This Row],[ANNEE]],"mois_numero",Tab_Calculs[[#This Row],[MOIS]]),0)</f>
        <v>147.9</v>
      </c>
    </row>
    <row r="890" spans="1:27" x14ac:dyDescent="0.25">
      <c r="A890" s="3">
        <f>DATE(Tab_Calculs[[#This Row],[ANNEE]],Tab_Calculs[[#This Row],[MOIS]],1)</f>
        <v>43617</v>
      </c>
      <c r="B890" s="3">
        <f>EDATE(Tab_Calculs[[#This Row],[Début mois]],1)-1</f>
        <v>43646</v>
      </c>
      <c r="C890">
        <f t="shared" si="29"/>
        <v>6</v>
      </c>
      <c r="D890">
        <f t="shared" si="28"/>
        <v>2019</v>
      </c>
      <c r="E890" t="s">
        <v>84</v>
      </c>
      <c r="F890" t="str">
        <f>SUBSTITUTE(Tab_Calculs[[#This Row],[Compteur]]," ","_")</f>
        <v>Compteur_5</v>
      </c>
      <c r="G890" t="str">
        <f>T(INDEX(Site!$B$33:$G$40, MATCH(Tab_Calculs[[#This Row],[Compteur]], Site!$B$33:$B$40,0),2))</f>
        <v/>
      </c>
      <c r="H890" s="3">
        <f t="array" aca="1" ref="H890" ca="1">MIN(IF(INDIRECT(CONCATENATE(Tab_Calculs[[#This Row],[Colonne1]],"!$B$2:$B$243"))&gt;=Calculs_Consos!$A890,INDIRECT(CONCATENATE(Tab_Calculs[[#This Row],[Colonne1]],"!$B$2:$B$243"))))</f>
        <v>0</v>
      </c>
      <c r="I890" s="3">
        <f ca="1">INDEX(INDIRECT(CONCATENATE("Tab_",Tab_Calculs[[#This Row],[Colonne1]])),Tab_Calculs[[#This Row],[index_date_livraison]],1)</f>
        <v>0</v>
      </c>
      <c r="J890">
        <f ca="1">MATCH(Tab_Calculs[[#This Row],[Date_livraison]],INDIRECT(CONCATENATE("Tab_",Tab_Calculs[[#This Row],[Colonne1]],"[Fin de période]")),0)</f>
        <v>1</v>
      </c>
      <c r="K890" t="e">
        <f ca="1">INDEX(INDIRECT(CONCATENATE("Tab_",Tab_Calculs[[#This Row],[Colonne1]])),Tab_Calculs[[#This Row],[index_date_livraison]]-1,6)*(MAX(Tab_Calculs[[#This Row],[Début periode livraison]],Tab_Calculs[[#This Row],[Début mois]])-Tab_Calculs[[#This Row],[Début mois]])</f>
        <v>#VALUE!</v>
      </c>
      <c r="L890" s="94">
        <f ca="1">INDEX(INDIRECT(CONCATENATE("Tab_",Tab_Calculs[[#This Row],[Colonne1]])),Tab_Calculs[[#This Row],[index_date_livraison]],6)*(1+MIN(Tab_Calculs[[#This Row],[Date_livraison]],Tab_Calculs[[#This Row],[fin mois]])-MAX(Tab_Calculs[[#This Row],[Début mois]],Tab_Calculs[[#This Row],[Début periode livraison]]))</f>
        <v>0</v>
      </c>
      <c r="M890" s="94" t="e">
        <f ca="1">INDEX(INDIRECT(CONCATENATE("Tab_",Tab_Calculs[[#This Row],[Colonne1]])),Tab_Calculs[[#This Row],[index_date_livraison]]+1,6)*(Tab_Calculs[[#This Row],[fin mois]]-MIN(Tab_Calculs[[#This Row],[fin mois]],Tab_Calculs[[#This Row],[Date_livraison]]))</f>
        <v>#VALUE!</v>
      </c>
      <c r="N890" s="231" t="str">
        <f ca="1">IFERROR(Tab_Calculs[[#This Row],[Ratio_jour_après_livr]]+Tab_Calculs[[#This Row],[Ratio_jour_avant_livr]]+Tab_Calculs[[#This Row],[ratio_avant_debut]],"")</f>
        <v/>
      </c>
      <c r="O890" t="e">
        <f ca="1">INDEX(INDIRECT(CONCATENATE("Tab_",Tab_Calculs[[#This Row],[Colonne1]])),Tab_Calculs[[#This Row],[index_date_livraison]]-1,7)*(MAX(Tab_Calculs[[#This Row],[Début periode livraison]],Tab_Calculs[[#This Row],[Début mois]])-Tab_Calculs[[#This Row],[Début mois]])</f>
        <v>#VALUE!</v>
      </c>
      <c r="P890">
        <f ca="1">INDEX(INDIRECT(CONCATENATE("Tab_",Tab_Calculs[[#This Row],[Colonne1]])),Tab_Calculs[[#This Row],[index_date_livraison]],7)*(1+MIN(Tab_Calculs[[#This Row],[Date_livraison]],Tab_Calculs[[#This Row],[fin mois]])-MAX(Tab_Calculs[[#This Row],[Début mois]],Tab_Calculs[[#This Row],[Début periode livraison]]))</f>
        <v>0</v>
      </c>
      <c r="Q890" t="e">
        <f ca="1">INDEX(INDIRECT(CONCATENATE("Tab_",Tab_Calculs[[#This Row],[Colonne1]])),Tab_Calculs[[#This Row],[index_date_livraison]]+1,7)*(Tab_Calculs[[#This Row],[fin mois]]-MIN(Tab_Calculs[[#This Row],[fin mois]],Tab_Calculs[[#This Row],[Date_livraison]]))</f>
        <v>#VALUE!</v>
      </c>
      <c r="R890" t="e">
        <f ca="1">Tab_Calculs[[#This Row],[Ratio_Cout_après_livr]]+Tab_Calculs[[#This Row],[Ratio_Cout_avant_livr]]+Tab_Calculs[[#This Row],[Ratio_Cout_avant_debut]]</f>
        <v>#VALUE!</v>
      </c>
      <c r="S890" t="str">
        <f ca="1">IFERROR(N890*VLOOKUP(Tab_Calculs[[#This Row],[Colonne1]],Controle_des_données!$B$7:$G$14,6,FALSE),"")</f>
        <v/>
      </c>
      <c r="T890" t="str">
        <f ca="1">IF(Tab_Calculs[[#This Row],[Combustible ]]="Electricité (kWh)",Tab_Calculs[[#This Row],[Conso_mois_kWh]]*2.3,Tab_Calculs[[#This Row],[Conso_mois_kWh]])</f>
        <v/>
      </c>
      <c r="U890" t="str">
        <f ca="1">IFERROR(N890*VLOOKUP(Tab_Calculs[[#This Row],[Colonne1]],Controle_des_données!$B$7:$H$14,7,FALSE),"")</f>
        <v/>
      </c>
      <c r="V890">
        <f ca="1">IFERROR(Tab_Calculs[[#This Row],[Cout_mois]]/Tab_Calculs[[#This Row],[Conso_mois_kWh]],0)</f>
        <v>0</v>
      </c>
      <c r="W890" t="str">
        <f>T(VLOOKUP(Tab_Calculs[[#This Row],[Compteur]],Site!$B$33:$G$40,3,FALSE))</f>
        <v/>
      </c>
      <c r="X890" t="str">
        <f>T(VLOOKUP(Tab_Calculs[[#This Row],[Compteur]],Site!$B$33:$G$40,4,FALSE))</f>
        <v/>
      </c>
      <c r="Y890" t="str">
        <f>T(VLOOKUP(Tab_Calculs[[#This Row],[Compteur]],Site!$B$33:$G$40,5,FALSE))</f>
        <v/>
      </c>
      <c r="Z890" t="str">
        <f>T(VLOOKUP(Tab_Calculs[[#This Row],[Compteur]],Site!$B$33:$G$40,6,FALSE))</f>
        <v/>
      </c>
      <c r="AA890">
        <f>IFERROR(GETPIVOTDATA("DJU(chauffagiste)",BDD_DJU!$P$13,"annee",Tab_Calculs[[#This Row],[ANNEE]],"mois_numero",Tab_Calculs[[#This Row],[MOIS]]),0)</f>
        <v>54.1</v>
      </c>
    </row>
    <row r="891" spans="1:27" x14ac:dyDescent="0.25">
      <c r="A891" s="3">
        <f>DATE(Tab_Calculs[[#This Row],[ANNEE]],Tab_Calculs[[#This Row],[MOIS]],1)</f>
        <v>43647</v>
      </c>
      <c r="B891" s="3">
        <f>EDATE(Tab_Calculs[[#This Row],[Début mois]],1)-1</f>
        <v>43677</v>
      </c>
      <c r="C891">
        <f t="shared" si="29"/>
        <v>7</v>
      </c>
      <c r="D891">
        <f t="shared" si="28"/>
        <v>2019</v>
      </c>
      <c r="E891" t="s">
        <v>84</v>
      </c>
      <c r="F891" t="str">
        <f>SUBSTITUTE(Tab_Calculs[[#This Row],[Compteur]]," ","_")</f>
        <v>Compteur_5</v>
      </c>
      <c r="G891" t="str">
        <f>T(INDEX(Site!$B$33:$G$40, MATCH(Tab_Calculs[[#This Row],[Compteur]], Site!$B$33:$B$40,0),2))</f>
        <v/>
      </c>
      <c r="H891" s="3">
        <f t="array" aca="1" ref="H891" ca="1">MIN(IF(INDIRECT(CONCATENATE(Tab_Calculs[[#This Row],[Colonne1]],"!$B$2:$B$243"))&gt;=Calculs_Consos!$A891,INDIRECT(CONCATENATE(Tab_Calculs[[#This Row],[Colonne1]],"!$B$2:$B$243"))))</f>
        <v>0</v>
      </c>
      <c r="I891" s="3">
        <f ca="1">INDEX(INDIRECT(CONCATENATE("Tab_",Tab_Calculs[[#This Row],[Colonne1]])),Tab_Calculs[[#This Row],[index_date_livraison]],1)</f>
        <v>0</v>
      </c>
      <c r="J891">
        <f ca="1">MATCH(Tab_Calculs[[#This Row],[Date_livraison]],INDIRECT(CONCATENATE("Tab_",Tab_Calculs[[#This Row],[Colonne1]],"[Fin de période]")),0)</f>
        <v>1</v>
      </c>
      <c r="K891" t="e">
        <f ca="1">INDEX(INDIRECT(CONCATENATE("Tab_",Tab_Calculs[[#This Row],[Colonne1]])),Tab_Calculs[[#This Row],[index_date_livraison]]-1,6)*(MAX(Tab_Calculs[[#This Row],[Début periode livraison]],Tab_Calculs[[#This Row],[Début mois]])-Tab_Calculs[[#This Row],[Début mois]])</f>
        <v>#VALUE!</v>
      </c>
      <c r="L891" s="94">
        <f ca="1">INDEX(INDIRECT(CONCATENATE("Tab_",Tab_Calculs[[#This Row],[Colonne1]])),Tab_Calculs[[#This Row],[index_date_livraison]],6)*(1+MIN(Tab_Calculs[[#This Row],[Date_livraison]],Tab_Calculs[[#This Row],[fin mois]])-MAX(Tab_Calculs[[#This Row],[Début mois]],Tab_Calculs[[#This Row],[Début periode livraison]]))</f>
        <v>0</v>
      </c>
      <c r="M891" s="94" t="e">
        <f ca="1">INDEX(INDIRECT(CONCATENATE("Tab_",Tab_Calculs[[#This Row],[Colonne1]])),Tab_Calculs[[#This Row],[index_date_livraison]]+1,6)*(Tab_Calculs[[#This Row],[fin mois]]-MIN(Tab_Calculs[[#This Row],[fin mois]],Tab_Calculs[[#This Row],[Date_livraison]]))</f>
        <v>#VALUE!</v>
      </c>
      <c r="N891" s="231" t="str">
        <f ca="1">IFERROR(Tab_Calculs[[#This Row],[Ratio_jour_après_livr]]+Tab_Calculs[[#This Row],[Ratio_jour_avant_livr]]+Tab_Calculs[[#This Row],[ratio_avant_debut]],"")</f>
        <v/>
      </c>
      <c r="O891" t="e">
        <f ca="1">INDEX(INDIRECT(CONCATENATE("Tab_",Tab_Calculs[[#This Row],[Colonne1]])),Tab_Calculs[[#This Row],[index_date_livraison]]-1,7)*(MAX(Tab_Calculs[[#This Row],[Début periode livraison]],Tab_Calculs[[#This Row],[Début mois]])-Tab_Calculs[[#This Row],[Début mois]])</f>
        <v>#VALUE!</v>
      </c>
      <c r="P891">
        <f ca="1">INDEX(INDIRECT(CONCATENATE("Tab_",Tab_Calculs[[#This Row],[Colonne1]])),Tab_Calculs[[#This Row],[index_date_livraison]],7)*(1+MIN(Tab_Calculs[[#This Row],[Date_livraison]],Tab_Calculs[[#This Row],[fin mois]])-MAX(Tab_Calculs[[#This Row],[Début mois]],Tab_Calculs[[#This Row],[Début periode livraison]]))</f>
        <v>0</v>
      </c>
      <c r="Q891" t="e">
        <f ca="1">INDEX(INDIRECT(CONCATENATE("Tab_",Tab_Calculs[[#This Row],[Colonne1]])),Tab_Calculs[[#This Row],[index_date_livraison]]+1,7)*(Tab_Calculs[[#This Row],[fin mois]]-MIN(Tab_Calculs[[#This Row],[fin mois]],Tab_Calculs[[#This Row],[Date_livraison]]))</f>
        <v>#VALUE!</v>
      </c>
      <c r="R891" t="e">
        <f ca="1">Tab_Calculs[[#This Row],[Ratio_Cout_après_livr]]+Tab_Calculs[[#This Row],[Ratio_Cout_avant_livr]]+Tab_Calculs[[#This Row],[Ratio_Cout_avant_debut]]</f>
        <v>#VALUE!</v>
      </c>
      <c r="S891" t="str">
        <f ca="1">IFERROR(N891*VLOOKUP(Tab_Calculs[[#This Row],[Colonne1]],Controle_des_données!$B$7:$G$14,6,FALSE),"")</f>
        <v/>
      </c>
      <c r="T891" t="str">
        <f ca="1">IF(Tab_Calculs[[#This Row],[Combustible ]]="Electricité (kWh)",Tab_Calculs[[#This Row],[Conso_mois_kWh]]*2.3,Tab_Calculs[[#This Row],[Conso_mois_kWh]])</f>
        <v/>
      </c>
      <c r="U891" t="str">
        <f ca="1">IFERROR(N891*VLOOKUP(Tab_Calculs[[#This Row],[Colonne1]],Controle_des_données!$B$7:$H$14,7,FALSE),"")</f>
        <v/>
      </c>
      <c r="V891">
        <f ca="1">IFERROR(Tab_Calculs[[#This Row],[Cout_mois]]/Tab_Calculs[[#This Row],[Conso_mois_kWh]],0)</f>
        <v>0</v>
      </c>
      <c r="W891" t="str">
        <f>T(VLOOKUP(Tab_Calculs[[#This Row],[Compteur]],Site!$B$33:$G$40,3,FALSE))</f>
        <v/>
      </c>
      <c r="X891" t="str">
        <f>T(VLOOKUP(Tab_Calculs[[#This Row],[Compteur]],Site!$B$33:$G$40,4,FALSE))</f>
        <v/>
      </c>
      <c r="Y891" t="str">
        <f>T(VLOOKUP(Tab_Calculs[[#This Row],[Compteur]],Site!$B$33:$G$40,5,FALSE))</f>
        <v/>
      </c>
      <c r="Z891" t="str">
        <f>T(VLOOKUP(Tab_Calculs[[#This Row],[Compteur]],Site!$B$33:$G$40,6,FALSE))</f>
        <v/>
      </c>
      <c r="AA891">
        <f>IFERROR(GETPIVOTDATA("DJU(chauffagiste)",BDD_DJU!$P$13,"annee",Tab_Calculs[[#This Row],[ANNEE]],"mois_numero",Tab_Calculs[[#This Row],[MOIS]]),0)</f>
        <v>15.5</v>
      </c>
    </row>
    <row r="892" spans="1:27" x14ac:dyDescent="0.25">
      <c r="A892" s="3">
        <f>DATE(Tab_Calculs[[#This Row],[ANNEE]],Tab_Calculs[[#This Row],[MOIS]],1)</f>
        <v>43678</v>
      </c>
      <c r="B892" s="3">
        <f>EDATE(Tab_Calculs[[#This Row],[Début mois]],1)-1</f>
        <v>43708</v>
      </c>
      <c r="C892">
        <f t="shared" si="29"/>
        <v>8</v>
      </c>
      <c r="D892">
        <f t="shared" si="28"/>
        <v>2019</v>
      </c>
      <c r="E892" t="s">
        <v>84</v>
      </c>
      <c r="F892" t="str">
        <f>SUBSTITUTE(Tab_Calculs[[#This Row],[Compteur]]," ","_")</f>
        <v>Compteur_5</v>
      </c>
      <c r="G892" t="str">
        <f>T(INDEX(Site!$B$33:$G$40, MATCH(Tab_Calculs[[#This Row],[Compteur]], Site!$B$33:$B$40,0),2))</f>
        <v/>
      </c>
      <c r="H892" s="3">
        <f t="array" aca="1" ref="H892" ca="1">MIN(IF(INDIRECT(CONCATENATE(Tab_Calculs[[#This Row],[Colonne1]],"!$B$2:$B$243"))&gt;=Calculs_Consos!$A892,INDIRECT(CONCATENATE(Tab_Calculs[[#This Row],[Colonne1]],"!$B$2:$B$243"))))</f>
        <v>0</v>
      </c>
      <c r="I892" s="3">
        <f ca="1">INDEX(INDIRECT(CONCATENATE("Tab_",Tab_Calculs[[#This Row],[Colonne1]])),Tab_Calculs[[#This Row],[index_date_livraison]],1)</f>
        <v>0</v>
      </c>
      <c r="J892">
        <f ca="1">MATCH(Tab_Calculs[[#This Row],[Date_livraison]],INDIRECT(CONCATENATE("Tab_",Tab_Calculs[[#This Row],[Colonne1]],"[Fin de période]")),0)</f>
        <v>1</v>
      </c>
      <c r="K892" t="e">
        <f ca="1">INDEX(INDIRECT(CONCATENATE("Tab_",Tab_Calculs[[#This Row],[Colonne1]])),Tab_Calculs[[#This Row],[index_date_livraison]]-1,6)*(MAX(Tab_Calculs[[#This Row],[Début periode livraison]],Tab_Calculs[[#This Row],[Début mois]])-Tab_Calculs[[#This Row],[Début mois]])</f>
        <v>#VALUE!</v>
      </c>
      <c r="L892" s="94">
        <f ca="1">INDEX(INDIRECT(CONCATENATE("Tab_",Tab_Calculs[[#This Row],[Colonne1]])),Tab_Calculs[[#This Row],[index_date_livraison]],6)*(1+MIN(Tab_Calculs[[#This Row],[Date_livraison]],Tab_Calculs[[#This Row],[fin mois]])-MAX(Tab_Calculs[[#This Row],[Début mois]],Tab_Calculs[[#This Row],[Début periode livraison]]))</f>
        <v>0</v>
      </c>
      <c r="M892" s="94" t="e">
        <f ca="1">INDEX(INDIRECT(CONCATENATE("Tab_",Tab_Calculs[[#This Row],[Colonne1]])),Tab_Calculs[[#This Row],[index_date_livraison]]+1,6)*(Tab_Calculs[[#This Row],[fin mois]]-MIN(Tab_Calculs[[#This Row],[fin mois]],Tab_Calculs[[#This Row],[Date_livraison]]))</f>
        <v>#VALUE!</v>
      </c>
      <c r="N892" s="231" t="str">
        <f ca="1">IFERROR(Tab_Calculs[[#This Row],[Ratio_jour_après_livr]]+Tab_Calculs[[#This Row],[Ratio_jour_avant_livr]]+Tab_Calculs[[#This Row],[ratio_avant_debut]],"")</f>
        <v/>
      </c>
      <c r="O892" t="e">
        <f ca="1">INDEX(INDIRECT(CONCATENATE("Tab_",Tab_Calculs[[#This Row],[Colonne1]])),Tab_Calculs[[#This Row],[index_date_livraison]]-1,7)*(MAX(Tab_Calculs[[#This Row],[Début periode livraison]],Tab_Calculs[[#This Row],[Début mois]])-Tab_Calculs[[#This Row],[Début mois]])</f>
        <v>#VALUE!</v>
      </c>
      <c r="P892">
        <f ca="1">INDEX(INDIRECT(CONCATENATE("Tab_",Tab_Calculs[[#This Row],[Colonne1]])),Tab_Calculs[[#This Row],[index_date_livraison]],7)*(1+MIN(Tab_Calculs[[#This Row],[Date_livraison]],Tab_Calculs[[#This Row],[fin mois]])-MAX(Tab_Calculs[[#This Row],[Début mois]],Tab_Calculs[[#This Row],[Début periode livraison]]))</f>
        <v>0</v>
      </c>
      <c r="Q892" t="e">
        <f ca="1">INDEX(INDIRECT(CONCATENATE("Tab_",Tab_Calculs[[#This Row],[Colonne1]])),Tab_Calculs[[#This Row],[index_date_livraison]]+1,7)*(Tab_Calculs[[#This Row],[fin mois]]-MIN(Tab_Calculs[[#This Row],[fin mois]],Tab_Calculs[[#This Row],[Date_livraison]]))</f>
        <v>#VALUE!</v>
      </c>
      <c r="R892" t="e">
        <f ca="1">Tab_Calculs[[#This Row],[Ratio_Cout_après_livr]]+Tab_Calculs[[#This Row],[Ratio_Cout_avant_livr]]+Tab_Calculs[[#This Row],[Ratio_Cout_avant_debut]]</f>
        <v>#VALUE!</v>
      </c>
      <c r="S892" t="str">
        <f ca="1">IFERROR(N892*VLOOKUP(Tab_Calculs[[#This Row],[Colonne1]],Controle_des_données!$B$7:$G$14,6,FALSE),"")</f>
        <v/>
      </c>
      <c r="T892" t="str">
        <f ca="1">IF(Tab_Calculs[[#This Row],[Combustible ]]="Electricité (kWh)",Tab_Calculs[[#This Row],[Conso_mois_kWh]]*2.3,Tab_Calculs[[#This Row],[Conso_mois_kWh]])</f>
        <v/>
      </c>
      <c r="U892" t="str">
        <f ca="1">IFERROR(N892*VLOOKUP(Tab_Calculs[[#This Row],[Colonne1]],Controle_des_données!$B$7:$H$14,7,FALSE),"")</f>
        <v/>
      </c>
      <c r="V892">
        <f ca="1">IFERROR(Tab_Calculs[[#This Row],[Cout_mois]]/Tab_Calculs[[#This Row],[Conso_mois_kWh]],0)</f>
        <v>0</v>
      </c>
      <c r="W892" t="str">
        <f>T(VLOOKUP(Tab_Calculs[[#This Row],[Compteur]],Site!$B$33:$G$40,3,FALSE))</f>
        <v/>
      </c>
      <c r="X892" t="str">
        <f>T(VLOOKUP(Tab_Calculs[[#This Row],[Compteur]],Site!$B$33:$G$40,4,FALSE))</f>
        <v/>
      </c>
      <c r="Y892" t="str">
        <f>T(VLOOKUP(Tab_Calculs[[#This Row],[Compteur]],Site!$B$33:$G$40,5,FALSE))</f>
        <v/>
      </c>
      <c r="Z892" t="str">
        <f>T(VLOOKUP(Tab_Calculs[[#This Row],[Compteur]],Site!$B$33:$G$40,6,FALSE))</f>
        <v/>
      </c>
      <c r="AA892">
        <f>IFERROR(GETPIVOTDATA("DJU(chauffagiste)",BDD_DJU!$P$13,"annee",Tab_Calculs[[#This Row],[ANNEE]],"mois_numero",Tab_Calculs[[#This Row],[MOIS]]),0)</f>
        <v>30.2</v>
      </c>
    </row>
    <row r="893" spans="1:27" x14ac:dyDescent="0.25">
      <c r="A893" s="3">
        <f>DATE(Tab_Calculs[[#This Row],[ANNEE]],Tab_Calculs[[#This Row],[MOIS]],1)</f>
        <v>43709</v>
      </c>
      <c r="B893" s="3">
        <f>EDATE(Tab_Calculs[[#This Row],[Début mois]],1)-1</f>
        <v>43738</v>
      </c>
      <c r="C893">
        <f t="shared" si="29"/>
        <v>9</v>
      </c>
      <c r="D893">
        <f t="shared" si="28"/>
        <v>2019</v>
      </c>
      <c r="E893" t="s">
        <v>84</v>
      </c>
      <c r="F893" t="str">
        <f>SUBSTITUTE(Tab_Calculs[[#This Row],[Compteur]]," ","_")</f>
        <v>Compteur_5</v>
      </c>
      <c r="G893" t="str">
        <f>T(INDEX(Site!$B$33:$G$40, MATCH(Tab_Calculs[[#This Row],[Compteur]], Site!$B$33:$B$40,0),2))</f>
        <v/>
      </c>
      <c r="H893" s="3">
        <f t="array" aca="1" ref="H893" ca="1">MIN(IF(INDIRECT(CONCATENATE(Tab_Calculs[[#This Row],[Colonne1]],"!$B$2:$B$243"))&gt;=Calculs_Consos!$A893,INDIRECT(CONCATENATE(Tab_Calculs[[#This Row],[Colonne1]],"!$B$2:$B$243"))))</f>
        <v>0</v>
      </c>
      <c r="I893" s="3">
        <f ca="1">INDEX(INDIRECT(CONCATENATE("Tab_",Tab_Calculs[[#This Row],[Colonne1]])),Tab_Calculs[[#This Row],[index_date_livraison]],1)</f>
        <v>0</v>
      </c>
      <c r="J893">
        <f ca="1">MATCH(Tab_Calculs[[#This Row],[Date_livraison]],INDIRECT(CONCATENATE("Tab_",Tab_Calculs[[#This Row],[Colonne1]],"[Fin de période]")),0)</f>
        <v>1</v>
      </c>
      <c r="K893" t="e">
        <f ca="1">INDEX(INDIRECT(CONCATENATE("Tab_",Tab_Calculs[[#This Row],[Colonne1]])),Tab_Calculs[[#This Row],[index_date_livraison]]-1,6)*(MAX(Tab_Calculs[[#This Row],[Début periode livraison]],Tab_Calculs[[#This Row],[Début mois]])-Tab_Calculs[[#This Row],[Début mois]])</f>
        <v>#VALUE!</v>
      </c>
      <c r="L893" s="94">
        <f ca="1">INDEX(INDIRECT(CONCATENATE("Tab_",Tab_Calculs[[#This Row],[Colonne1]])),Tab_Calculs[[#This Row],[index_date_livraison]],6)*(1+MIN(Tab_Calculs[[#This Row],[Date_livraison]],Tab_Calculs[[#This Row],[fin mois]])-MAX(Tab_Calculs[[#This Row],[Début mois]],Tab_Calculs[[#This Row],[Début periode livraison]]))</f>
        <v>0</v>
      </c>
      <c r="M893" s="94" t="e">
        <f ca="1">INDEX(INDIRECT(CONCATENATE("Tab_",Tab_Calculs[[#This Row],[Colonne1]])),Tab_Calculs[[#This Row],[index_date_livraison]]+1,6)*(Tab_Calculs[[#This Row],[fin mois]]-MIN(Tab_Calculs[[#This Row],[fin mois]],Tab_Calculs[[#This Row],[Date_livraison]]))</f>
        <v>#VALUE!</v>
      </c>
      <c r="N893" s="231" t="str">
        <f ca="1">IFERROR(Tab_Calculs[[#This Row],[Ratio_jour_après_livr]]+Tab_Calculs[[#This Row],[Ratio_jour_avant_livr]]+Tab_Calculs[[#This Row],[ratio_avant_debut]],"")</f>
        <v/>
      </c>
      <c r="O893" t="e">
        <f ca="1">INDEX(INDIRECT(CONCATENATE("Tab_",Tab_Calculs[[#This Row],[Colonne1]])),Tab_Calculs[[#This Row],[index_date_livraison]]-1,7)*(MAX(Tab_Calculs[[#This Row],[Début periode livraison]],Tab_Calculs[[#This Row],[Début mois]])-Tab_Calculs[[#This Row],[Début mois]])</f>
        <v>#VALUE!</v>
      </c>
      <c r="P893">
        <f ca="1">INDEX(INDIRECT(CONCATENATE("Tab_",Tab_Calculs[[#This Row],[Colonne1]])),Tab_Calculs[[#This Row],[index_date_livraison]],7)*(1+MIN(Tab_Calculs[[#This Row],[Date_livraison]],Tab_Calculs[[#This Row],[fin mois]])-MAX(Tab_Calculs[[#This Row],[Début mois]],Tab_Calculs[[#This Row],[Début periode livraison]]))</f>
        <v>0</v>
      </c>
      <c r="Q893" t="e">
        <f ca="1">INDEX(INDIRECT(CONCATENATE("Tab_",Tab_Calculs[[#This Row],[Colonne1]])),Tab_Calculs[[#This Row],[index_date_livraison]]+1,7)*(Tab_Calculs[[#This Row],[fin mois]]-MIN(Tab_Calculs[[#This Row],[fin mois]],Tab_Calculs[[#This Row],[Date_livraison]]))</f>
        <v>#VALUE!</v>
      </c>
      <c r="R893" t="e">
        <f ca="1">Tab_Calculs[[#This Row],[Ratio_Cout_après_livr]]+Tab_Calculs[[#This Row],[Ratio_Cout_avant_livr]]+Tab_Calculs[[#This Row],[Ratio_Cout_avant_debut]]</f>
        <v>#VALUE!</v>
      </c>
      <c r="S893" t="str">
        <f ca="1">IFERROR(N893*VLOOKUP(Tab_Calculs[[#This Row],[Colonne1]],Controle_des_données!$B$7:$G$14,6,FALSE),"")</f>
        <v/>
      </c>
      <c r="T893" t="str">
        <f ca="1">IF(Tab_Calculs[[#This Row],[Combustible ]]="Electricité (kWh)",Tab_Calculs[[#This Row],[Conso_mois_kWh]]*2.3,Tab_Calculs[[#This Row],[Conso_mois_kWh]])</f>
        <v/>
      </c>
      <c r="U893" t="str">
        <f ca="1">IFERROR(N893*VLOOKUP(Tab_Calculs[[#This Row],[Colonne1]],Controle_des_données!$B$7:$H$14,7,FALSE),"")</f>
        <v/>
      </c>
      <c r="V893">
        <f ca="1">IFERROR(Tab_Calculs[[#This Row],[Cout_mois]]/Tab_Calculs[[#This Row],[Conso_mois_kWh]],0)</f>
        <v>0</v>
      </c>
      <c r="W893" t="str">
        <f>T(VLOOKUP(Tab_Calculs[[#This Row],[Compteur]],Site!$B$33:$G$40,3,FALSE))</f>
        <v/>
      </c>
      <c r="X893" t="str">
        <f>T(VLOOKUP(Tab_Calculs[[#This Row],[Compteur]],Site!$B$33:$G$40,4,FALSE))</f>
        <v/>
      </c>
      <c r="Y893" t="str">
        <f>T(VLOOKUP(Tab_Calculs[[#This Row],[Compteur]],Site!$B$33:$G$40,5,FALSE))</f>
        <v/>
      </c>
      <c r="Z893" t="str">
        <f>T(VLOOKUP(Tab_Calculs[[#This Row],[Compteur]],Site!$B$33:$G$40,6,FALSE))</f>
        <v/>
      </c>
      <c r="AA893">
        <f>IFERROR(GETPIVOTDATA("DJU(chauffagiste)",BDD_DJU!$P$13,"annee",Tab_Calculs[[#This Row],[ANNEE]],"mois_numero",Tab_Calculs[[#This Row],[MOIS]]),0)</f>
        <v>64.7</v>
      </c>
    </row>
    <row r="894" spans="1:27" x14ac:dyDescent="0.25">
      <c r="A894" s="3">
        <f>DATE(Tab_Calculs[[#This Row],[ANNEE]],Tab_Calculs[[#This Row],[MOIS]],1)</f>
        <v>43739</v>
      </c>
      <c r="B894" s="3">
        <f>EDATE(Tab_Calculs[[#This Row],[Début mois]],1)-1</f>
        <v>43769</v>
      </c>
      <c r="C894">
        <f t="shared" si="29"/>
        <v>10</v>
      </c>
      <c r="D894">
        <f t="shared" si="28"/>
        <v>2019</v>
      </c>
      <c r="E894" t="s">
        <v>84</v>
      </c>
      <c r="F894" t="str">
        <f>SUBSTITUTE(Tab_Calculs[[#This Row],[Compteur]]," ","_")</f>
        <v>Compteur_5</v>
      </c>
      <c r="G894" t="str">
        <f>T(INDEX(Site!$B$33:$G$40, MATCH(Tab_Calculs[[#This Row],[Compteur]], Site!$B$33:$B$40,0),2))</f>
        <v/>
      </c>
      <c r="H894" s="3">
        <f t="array" aca="1" ref="H894" ca="1">MIN(IF(INDIRECT(CONCATENATE(Tab_Calculs[[#This Row],[Colonne1]],"!$B$2:$B$243"))&gt;=Calculs_Consos!$A894,INDIRECT(CONCATENATE(Tab_Calculs[[#This Row],[Colonne1]],"!$B$2:$B$243"))))</f>
        <v>0</v>
      </c>
      <c r="I894" s="3">
        <f ca="1">INDEX(INDIRECT(CONCATENATE("Tab_",Tab_Calculs[[#This Row],[Colonne1]])),Tab_Calculs[[#This Row],[index_date_livraison]],1)</f>
        <v>0</v>
      </c>
      <c r="J894">
        <f ca="1">MATCH(Tab_Calculs[[#This Row],[Date_livraison]],INDIRECT(CONCATENATE("Tab_",Tab_Calculs[[#This Row],[Colonne1]],"[Fin de période]")),0)</f>
        <v>1</v>
      </c>
      <c r="K894" t="e">
        <f ca="1">INDEX(INDIRECT(CONCATENATE("Tab_",Tab_Calculs[[#This Row],[Colonne1]])),Tab_Calculs[[#This Row],[index_date_livraison]]-1,6)*(MAX(Tab_Calculs[[#This Row],[Début periode livraison]],Tab_Calculs[[#This Row],[Début mois]])-Tab_Calculs[[#This Row],[Début mois]])</f>
        <v>#VALUE!</v>
      </c>
      <c r="L894" s="94">
        <f ca="1">INDEX(INDIRECT(CONCATENATE("Tab_",Tab_Calculs[[#This Row],[Colonne1]])),Tab_Calculs[[#This Row],[index_date_livraison]],6)*(1+MIN(Tab_Calculs[[#This Row],[Date_livraison]],Tab_Calculs[[#This Row],[fin mois]])-MAX(Tab_Calculs[[#This Row],[Début mois]],Tab_Calculs[[#This Row],[Début periode livraison]]))</f>
        <v>0</v>
      </c>
      <c r="M894" s="94" t="e">
        <f ca="1">INDEX(INDIRECT(CONCATENATE("Tab_",Tab_Calculs[[#This Row],[Colonne1]])),Tab_Calculs[[#This Row],[index_date_livraison]]+1,6)*(Tab_Calculs[[#This Row],[fin mois]]-MIN(Tab_Calculs[[#This Row],[fin mois]],Tab_Calculs[[#This Row],[Date_livraison]]))</f>
        <v>#VALUE!</v>
      </c>
      <c r="N894" s="231" t="str">
        <f ca="1">IFERROR(Tab_Calculs[[#This Row],[Ratio_jour_après_livr]]+Tab_Calculs[[#This Row],[Ratio_jour_avant_livr]]+Tab_Calculs[[#This Row],[ratio_avant_debut]],"")</f>
        <v/>
      </c>
      <c r="O894" t="e">
        <f ca="1">INDEX(INDIRECT(CONCATENATE("Tab_",Tab_Calculs[[#This Row],[Colonne1]])),Tab_Calculs[[#This Row],[index_date_livraison]]-1,7)*(MAX(Tab_Calculs[[#This Row],[Début periode livraison]],Tab_Calculs[[#This Row],[Début mois]])-Tab_Calculs[[#This Row],[Début mois]])</f>
        <v>#VALUE!</v>
      </c>
      <c r="P894">
        <f ca="1">INDEX(INDIRECT(CONCATENATE("Tab_",Tab_Calculs[[#This Row],[Colonne1]])),Tab_Calculs[[#This Row],[index_date_livraison]],7)*(1+MIN(Tab_Calculs[[#This Row],[Date_livraison]],Tab_Calculs[[#This Row],[fin mois]])-MAX(Tab_Calculs[[#This Row],[Début mois]],Tab_Calculs[[#This Row],[Début periode livraison]]))</f>
        <v>0</v>
      </c>
      <c r="Q894" t="e">
        <f ca="1">INDEX(INDIRECT(CONCATENATE("Tab_",Tab_Calculs[[#This Row],[Colonne1]])),Tab_Calculs[[#This Row],[index_date_livraison]]+1,7)*(Tab_Calculs[[#This Row],[fin mois]]-MIN(Tab_Calculs[[#This Row],[fin mois]],Tab_Calculs[[#This Row],[Date_livraison]]))</f>
        <v>#VALUE!</v>
      </c>
      <c r="R894" t="e">
        <f ca="1">Tab_Calculs[[#This Row],[Ratio_Cout_après_livr]]+Tab_Calculs[[#This Row],[Ratio_Cout_avant_livr]]+Tab_Calculs[[#This Row],[Ratio_Cout_avant_debut]]</f>
        <v>#VALUE!</v>
      </c>
      <c r="S894" t="str">
        <f ca="1">IFERROR(N894*VLOOKUP(Tab_Calculs[[#This Row],[Colonne1]],Controle_des_données!$B$7:$G$14,6,FALSE),"")</f>
        <v/>
      </c>
      <c r="T894" t="str">
        <f ca="1">IF(Tab_Calculs[[#This Row],[Combustible ]]="Electricité (kWh)",Tab_Calculs[[#This Row],[Conso_mois_kWh]]*2.3,Tab_Calculs[[#This Row],[Conso_mois_kWh]])</f>
        <v/>
      </c>
      <c r="U894" t="str">
        <f ca="1">IFERROR(N894*VLOOKUP(Tab_Calculs[[#This Row],[Colonne1]],Controle_des_données!$B$7:$H$14,7,FALSE),"")</f>
        <v/>
      </c>
      <c r="V894">
        <f ca="1">IFERROR(Tab_Calculs[[#This Row],[Cout_mois]]/Tab_Calculs[[#This Row],[Conso_mois_kWh]],0)</f>
        <v>0</v>
      </c>
      <c r="W894" t="str">
        <f>T(VLOOKUP(Tab_Calculs[[#This Row],[Compteur]],Site!$B$33:$G$40,3,FALSE))</f>
        <v/>
      </c>
      <c r="X894" t="str">
        <f>T(VLOOKUP(Tab_Calculs[[#This Row],[Compteur]],Site!$B$33:$G$40,4,FALSE))</f>
        <v/>
      </c>
      <c r="Y894" t="str">
        <f>T(VLOOKUP(Tab_Calculs[[#This Row],[Compteur]],Site!$B$33:$G$40,5,FALSE))</f>
        <v/>
      </c>
      <c r="Z894" t="str">
        <f>T(VLOOKUP(Tab_Calculs[[#This Row],[Compteur]],Site!$B$33:$G$40,6,FALSE))</f>
        <v/>
      </c>
      <c r="AA894">
        <f>IFERROR(GETPIVOTDATA("DJU(chauffagiste)",BDD_DJU!$P$13,"annee",Tab_Calculs[[#This Row],[ANNEE]],"mois_numero",Tab_Calculs[[#This Row],[MOIS]]),0)</f>
        <v>128.80000000000001</v>
      </c>
    </row>
    <row r="895" spans="1:27" x14ac:dyDescent="0.25">
      <c r="A895" s="3">
        <f>DATE(Tab_Calculs[[#This Row],[ANNEE]],Tab_Calculs[[#This Row],[MOIS]],1)</f>
        <v>43770</v>
      </c>
      <c r="B895" s="3">
        <f>EDATE(Tab_Calculs[[#This Row],[Début mois]],1)-1</f>
        <v>43799</v>
      </c>
      <c r="C895">
        <f t="shared" si="29"/>
        <v>11</v>
      </c>
      <c r="D895">
        <f t="shared" si="28"/>
        <v>2019</v>
      </c>
      <c r="E895" t="s">
        <v>84</v>
      </c>
      <c r="F895" t="str">
        <f>SUBSTITUTE(Tab_Calculs[[#This Row],[Compteur]]," ","_")</f>
        <v>Compteur_5</v>
      </c>
      <c r="G895" t="str">
        <f>T(INDEX(Site!$B$33:$G$40, MATCH(Tab_Calculs[[#This Row],[Compteur]], Site!$B$33:$B$40,0),2))</f>
        <v/>
      </c>
      <c r="H895" s="3">
        <f t="array" aca="1" ref="H895" ca="1">MIN(IF(INDIRECT(CONCATENATE(Tab_Calculs[[#This Row],[Colonne1]],"!$B$2:$B$243"))&gt;=Calculs_Consos!$A895,INDIRECT(CONCATENATE(Tab_Calculs[[#This Row],[Colonne1]],"!$B$2:$B$243"))))</f>
        <v>0</v>
      </c>
      <c r="I895" s="3">
        <f ca="1">INDEX(INDIRECT(CONCATENATE("Tab_",Tab_Calculs[[#This Row],[Colonne1]])),Tab_Calculs[[#This Row],[index_date_livraison]],1)</f>
        <v>0</v>
      </c>
      <c r="J895">
        <f ca="1">MATCH(Tab_Calculs[[#This Row],[Date_livraison]],INDIRECT(CONCATENATE("Tab_",Tab_Calculs[[#This Row],[Colonne1]],"[Fin de période]")),0)</f>
        <v>1</v>
      </c>
      <c r="K895" t="e">
        <f ca="1">INDEX(INDIRECT(CONCATENATE("Tab_",Tab_Calculs[[#This Row],[Colonne1]])),Tab_Calculs[[#This Row],[index_date_livraison]]-1,6)*(MAX(Tab_Calculs[[#This Row],[Début periode livraison]],Tab_Calculs[[#This Row],[Début mois]])-Tab_Calculs[[#This Row],[Début mois]])</f>
        <v>#VALUE!</v>
      </c>
      <c r="L895" s="94">
        <f ca="1">INDEX(INDIRECT(CONCATENATE("Tab_",Tab_Calculs[[#This Row],[Colonne1]])),Tab_Calculs[[#This Row],[index_date_livraison]],6)*(1+MIN(Tab_Calculs[[#This Row],[Date_livraison]],Tab_Calculs[[#This Row],[fin mois]])-MAX(Tab_Calculs[[#This Row],[Début mois]],Tab_Calculs[[#This Row],[Début periode livraison]]))</f>
        <v>0</v>
      </c>
      <c r="M895" s="94" t="e">
        <f ca="1">INDEX(INDIRECT(CONCATENATE("Tab_",Tab_Calculs[[#This Row],[Colonne1]])),Tab_Calculs[[#This Row],[index_date_livraison]]+1,6)*(Tab_Calculs[[#This Row],[fin mois]]-MIN(Tab_Calculs[[#This Row],[fin mois]],Tab_Calculs[[#This Row],[Date_livraison]]))</f>
        <v>#VALUE!</v>
      </c>
      <c r="N895" s="231" t="str">
        <f ca="1">IFERROR(Tab_Calculs[[#This Row],[Ratio_jour_après_livr]]+Tab_Calculs[[#This Row],[Ratio_jour_avant_livr]]+Tab_Calculs[[#This Row],[ratio_avant_debut]],"")</f>
        <v/>
      </c>
      <c r="O895" t="e">
        <f ca="1">INDEX(INDIRECT(CONCATENATE("Tab_",Tab_Calculs[[#This Row],[Colonne1]])),Tab_Calculs[[#This Row],[index_date_livraison]]-1,7)*(MAX(Tab_Calculs[[#This Row],[Début periode livraison]],Tab_Calculs[[#This Row],[Début mois]])-Tab_Calculs[[#This Row],[Début mois]])</f>
        <v>#VALUE!</v>
      </c>
      <c r="P895">
        <f ca="1">INDEX(INDIRECT(CONCATENATE("Tab_",Tab_Calculs[[#This Row],[Colonne1]])),Tab_Calculs[[#This Row],[index_date_livraison]],7)*(1+MIN(Tab_Calculs[[#This Row],[Date_livraison]],Tab_Calculs[[#This Row],[fin mois]])-MAX(Tab_Calculs[[#This Row],[Début mois]],Tab_Calculs[[#This Row],[Début periode livraison]]))</f>
        <v>0</v>
      </c>
      <c r="Q895" t="e">
        <f ca="1">INDEX(INDIRECT(CONCATENATE("Tab_",Tab_Calculs[[#This Row],[Colonne1]])),Tab_Calculs[[#This Row],[index_date_livraison]]+1,7)*(Tab_Calculs[[#This Row],[fin mois]]-MIN(Tab_Calculs[[#This Row],[fin mois]],Tab_Calculs[[#This Row],[Date_livraison]]))</f>
        <v>#VALUE!</v>
      </c>
      <c r="R895" t="e">
        <f ca="1">Tab_Calculs[[#This Row],[Ratio_Cout_après_livr]]+Tab_Calculs[[#This Row],[Ratio_Cout_avant_livr]]+Tab_Calculs[[#This Row],[Ratio_Cout_avant_debut]]</f>
        <v>#VALUE!</v>
      </c>
      <c r="S895" t="str">
        <f ca="1">IFERROR(N895*VLOOKUP(Tab_Calculs[[#This Row],[Colonne1]],Controle_des_données!$B$7:$G$14,6,FALSE),"")</f>
        <v/>
      </c>
      <c r="T895" t="str">
        <f ca="1">IF(Tab_Calculs[[#This Row],[Combustible ]]="Electricité (kWh)",Tab_Calculs[[#This Row],[Conso_mois_kWh]]*2.3,Tab_Calculs[[#This Row],[Conso_mois_kWh]])</f>
        <v/>
      </c>
      <c r="U895" t="str">
        <f ca="1">IFERROR(N895*VLOOKUP(Tab_Calculs[[#This Row],[Colonne1]],Controle_des_données!$B$7:$H$14,7,FALSE),"")</f>
        <v/>
      </c>
      <c r="V895">
        <f ca="1">IFERROR(Tab_Calculs[[#This Row],[Cout_mois]]/Tab_Calculs[[#This Row],[Conso_mois_kWh]],0)</f>
        <v>0</v>
      </c>
      <c r="W895" t="str">
        <f>T(VLOOKUP(Tab_Calculs[[#This Row],[Compteur]],Site!$B$33:$G$40,3,FALSE))</f>
        <v/>
      </c>
      <c r="X895" t="str">
        <f>T(VLOOKUP(Tab_Calculs[[#This Row],[Compteur]],Site!$B$33:$G$40,4,FALSE))</f>
        <v/>
      </c>
      <c r="Y895" t="str">
        <f>T(VLOOKUP(Tab_Calculs[[#This Row],[Compteur]],Site!$B$33:$G$40,5,FALSE))</f>
        <v/>
      </c>
      <c r="Z895" t="str">
        <f>T(VLOOKUP(Tab_Calculs[[#This Row],[Compteur]],Site!$B$33:$G$40,6,FALSE))</f>
        <v/>
      </c>
      <c r="AA895">
        <f>IFERROR(GETPIVOTDATA("DJU(chauffagiste)",BDD_DJU!$P$13,"annee",Tab_Calculs[[#This Row],[ANNEE]],"mois_numero",Tab_Calculs[[#This Row],[MOIS]]),0)</f>
        <v>293.10000000000002</v>
      </c>
    </row>
    <row r="896" spans="1:27" x14ac:dyDescent="0.25">
      <c r="A896" s="3">
        <f>DATE(Tab_Calculs[[#This Row],[ANNEE]],Tab_Calculs[[#This Row],[MOIS]],1)</f>
        <v>43800</v>
      </c>
      <c r="B896" s="3">
        <f>EDATE(Tab_Calculs[[#This Row],[Début mois]],1)-1</f>
        <v>43830</v>
      </c>
      <c r="C896">
        <f t="shared" si="29"/>
        <v>12</v>
      </c>
      <c r="D896">
        <f t="shared" si="28"/>
        <v>2019</v>
      </c>
      <c r="E896" t="s">
        <v>84</v>
      </c>
      <c r="F896" t="str">
        <f>SUBSTITUTE(Tab_Calculs[[#This Row],[Compteur]]," ","_")</f>
        <v>Compteur_5</v>
      </c>
      <c r="G896" t="str">
        <f>T(INDEX(Site!$B$33:$G$40, MATCH(Tab_Calculs[[#This Row],[Compteur]], Site!$B$33:$B$40,0),2))</f>
        <v/>
      </c>
      <c r="H896" s="3">
        <f t="array" aca="1" ref="H896" ca="1">MIN(IF(INDIRECT(CONCATENATE(Tab_Calculs[[#This Row],[Colonne1]],"!$B$2:$B$243"))&gt;=Calculs_Consos!$A896,INDIRECT(CONCATENATE(Tab_Calculs[[#This Row],[Colonne1]],"!$B$2:$B$243"))))</f>
        <v>0</v>
      </c>
      <c r="I896" s="3">
        <f ca="1">INDEX(INDIRECT(CONCATENATE("Tab_",Tab_Calculs[[#This Row],[Colonne1]])),Tab_Calculs[[#This Row],[index_date_livraison]],1)</f>
        <v>0</v>
      </c>
      <c r="J896">
        <f ca="1">MATCH(Tab_Calculs[[#This Row],[Date_livraison]],INDIRECT(CONCATENATE("Tab_",Tab_Calculs[[#This Row],[Colonne1]],"[Fin de période]")),0)</f>
        <v>1</v>
      </c>
      <c r="K896" t="e">
        <f ca="1">INDEX(INDIRECT(CONCATENATE("Tab_",Tab_Calculs[[#This Row],[Colonne1]])),Tab_Calculs[[#This Row],[index_date_livraison]]-1,6)*(MAX(Tab_Calculs[[#This Row],[Début periode livraison]],Tab_Calculs[[#This Row],[Début mois]])-Tab_Calculs[[#This Row],[Début mois]])</f>
        <v>#VALUE!</v>
      </c>
      <c r="L896" s="94">
        <f ca="1">INDEX(INDIRECT(CONCATENATE("Tab_",Tab_Calculs[[#This Row],[Colonne1]])),Tab_Calculs[[#This Row],[index_date_livraison]],6)*(1+MIN(Tab_Calculs[[#This Row],[Date_livraison]],Tab_Calculs[[#This Row],[fin mois]])-MAX(Tab_Calculs[[#This Row],[Début mois]],Tab_Calculs[[#This Row],[Début periode livraison]]))</f>
        <v>0</v>
      </c>
      <c r="M896" s="94" t="e">
        <f ca="1">INDEX(INDIRECT(CONCATENATE("Tab_",Tab_Calculs[[#This Row],[Colonne1]])),Tab_Calculs[[#This Row],[index_date_livraison]]+1,6)*(Tab_Calculs[[#This Row],[fin mois]]-MIN(Tab_Calculs[[#This Row],[fin mois]],Tab_Calculs[[#This Row],[Date_livraison]]))</f>
        <v>#VALUE!</v>
      </c>
      <c r="N896" s="231" t="str">
        <f ca="1">IFERROR(Tab_Calculs[[#This Row],[Ratio_jour_après_livr]]+Tab_Calculs[[#This Row],[Ratio_jour_avant_livr]]+Tab_Calculs[[#This Row],[ratio_avant_debut]],"")</f>
        <v/>
      </c>
      <c r="O896" t="e">
        <f ca="1">INDEX(INDIRECT(CONCATENATE("Tab_",Tab_Calculs[[#This Row],[Colonne1]])),Tab_Calculs[[#This Row],[index_date_livraison]]-1,7)*(MAX(Tab_Calculs[[#This Row],[Début periode livraison]],Tab_Calculs[[#This Row],[Début mois]])-Tab_Calculs[[#This Row],[Début mois]])</f>
        <v>#VALUE!</v>
      </c>
      <c r="P896">
        <f ca="1">INDEX(INDIRECT(CONCATENATE("Tab_",Tab_Calculs[[#This Row],[Colonne1]])),Tab_Calculs[[#This Row],[index_date_livraison]],7)*(1+MIN(Tab_Calculs[[#This Row],[Date_livraison]],Tab_Calculs[[#This Row],[fin mois]])-MAX(Tab_Calculs[[#This Row],[Début mois]],Tab_Calculs[[#This Row],[Début periode livraison]]))</f>
        <v>0</v>
      </c>
      <c r="Q896" t="e">
        <f ca="1">INDEX(INDIRECT(CONCATENATE("Tab_",Tab_Calculs[[#This Row],[Colonne1]])),Tab_Calculs[[#This Row],[index_date_livraison]]+1,7)*(Tab_Calculs[[#This Row],[fin mois]]-MIN(Tab_Calculs[[#This Row],[fin mois]],Tab_Calculs[[#This Row],[Date_livraison]]))</f>
        <v>#VALUE!</v>
      </c>
      <c r="R896" t="e">
        <f ca="1">Tab_Calculs[[#This Row],[Ratio_Cout_après_livr]]+Tab_Calculs[[#This Row],[Ratio_Cout_avant_livr]]+Tab_Calculs[[#This Row],[Ratio_Cout_avant_debut]]</f>
        <v>#VALUE!</v>
      </c>
      <c r="S896" t="str">
        <f ca="1">IFERROR(N896*VLOOKUP(Tab_Calculs[[#This Row],[Colonne1]],Controle_des_données!$B$7:$G$14,6,FALSE),"")</f>
        <v/>
      </c>
      <c r="T896" t="str">
        <f ca="1">IF(Tab_Calculs[[#This Row],[Combustible ]]="Electricité (kWh)",Tab_Calculs[[#This Row],[Conso_mois_kWh]]*2.3,Tab_Calculs[[#This Row],[Conso_mois_kWh]])</f>
        <v/>
      </c>
      <c r="U896" t="str">
        <f ca="1">IFERROR(N896*VLOOKUP(Tab_Calculs[[#This Row],[Colonne1]],Controle_des_données!$B$7:$H$14,7,FALSE),"")</f>
        <v/>
      </c>
      <c r="V896">
        <f ca="1">IFERROR(Tab_Calculs[[#This Row],[Cout_mois]]/Tab_Calculs[[#This Row],[Conso_mois_kWh]],0)</f>
        <v>0</v>
      </c>
      <c r="W896" t="str">
        <f>T(VLOOKUP(Tab_Calculs[[#This Row],[Compteur]],Site!$B$33:$G$40,3,FALSE))</f>
        <v/>
      </c>
      <c r="X896" t="str">
        <f>T(VLOOKUP(Tab_Calculs[[#This Row],[Compteur]],Site!$B$33:$G$40,4,FALSE))</f>
        <v/>
      </c>
      <c r="Y896" t="str">
        <f>T(VLOOKUP(Tab_Calculs[[#This Row],[Compteur]],Site!$B$33:$G$40,5,FALSE))</f>
        <v/>
      </c>
      <c r="Z896" t="str">
        <f>T(VLOOKUP(Tab_Calculs[[#This Row],[Compteur]],Site!$B$33:$G$40,6,FALSE))</f>
        <v/>
      </c>
      <c r="AA896">
        <f>IFERROR(GETPIVOTDATA("DJU(chauffagiste)",BDD_DJU!$P$13,"annee",Tab_Calculs[[#This Row],[ANNEE]],"mois_numero",Tab_Calculs[[#This Row],[MOIS]]),0)</f>
        <v>323</v>
      </c>
    </row>
    <row r="897" spans="1:27" x14ac:dyDescent="0.25">
      <c r="A897" s="3">
        <f>DATE(Tab_Calculs[[#This Row],[ANNEE]],Tab_Calculs[[#This Row],[MOIS]],1)</f>
        <v>43831</v>
      </c>
      <c r="B897" s="3">
        <f>EDATE(Tab_Calculs[[#This Row],[Début mois]],1)-1</f>
        <v>43861</v>
      </c>
      <c r="C897">
        <f t="shared" si="29"/>
        <v>1</v>
      </c>
      <c r="D897">
        <f t="shared" si="28"/>
        <v>2020</v>
      </c>
      <c r="E897" t="s">
        <v>84</v>
      </c>
      <c r="F897" t="str">
        <f>SUBSTITUTE(Tab_Calculs[[#This Row],[Compteur]]," ","_")</f>
        <v>Compteur_5</v>
      </c>
      <c r="G897" t="str">
        <f>T(INDEX(Site!$B$33:$G$40, MATCH(Tab_Calculs[[#This Row],[Compteur]], Site!$B$33:$B$40,0),2))</f>
        <v/>
      </c>
      <c r="H897" s="3">
        <f t="array" aca="1" ref="H897" ca="1">MIN(IF(INDIRECT(CONCATENATE(Tab_Calculs[[#This Row],[Colonne1]],"!$B$2:$B$243"))&gt;=Calculs_Consos!$A897,INDIRECT(CONCATENATE(Tab_Calculs[[#This Row],[Colonne1]],"!$B$2:$B$243"))))</f>
        <v>0</v>
      </c>
      <c r="I897" s="3">
        <f ca="1">INDEX(INDIRECT(CONCATENATE("Tab_",Tab_Calculs[[#This Row],[Colonne1]])),Tab_Calculs[[#This Row],[index_date_livraison]],1)</f>
        <v>0</v>
      </c>
      <c r="J897">
        <f ca="1">MATCH(Tab_Calculs[[#This Row],[Date_livraison]],INDIRECT(CONCATENATE("Tab_",Tab_Calculs[[#This Row],[Colonne1]],"[Fin de période]")),0)</f>
        <v>1</v>
      </c>
      <c r="K897" t="e">
        <f ca="1">INDEX(INDIRECT(CONCATENATE("Tab_",Tab_Calculs[[#This Row],[Colonne1]])),Tab_Calculs[[#This Row],[index_date_livraison]]-1,6)*(MAX(Tab_Calculs[[#This Row],[Début periode livraison]],Tab_Calculs[[#This Row],[Début mois]])-Tab_Calculs[[#This Row],[Début mois]])</f>
        <v>#VALUE!</v>
      </c>
      <c r="L897" s="94">
        <f ca="1">INDEX(INDIRECT(CONCATENATE("Tab_",Tab_Calculs[[#This Row],[Colonne1]])),Tab_Calculs[[#This Row],[index_date_livraison]],6)*(1+MIN(Tab_Calculs[[#This Row],[Date_livraison]],Tab_Calculs[[#This Row],[fin mois]])-MAX(Tab_Calculs[[#This Row],[Début mois]],Tab_Calculs[[#This Row],[Début periode livraison]]))</f>
        <v>0</v>
      </c>
      <c r="M897" s="94" t="e">
        <f ca="1">INDEX(INDIRECT(CONCATENATE("Tab_",Tab_Calculs[[#This Row],[Colonne1]])),Tab_Calculs[[#This Row],[index_date_livraison]]+1,6)*(Tab_Calculs[[#This Row],[fin mois]]-MIN(Tab_Calculs[[#This Row],[fin mois]],Tab_Calculs[[#This Row],[Date_livraison]]))</f>
        <v>#VALUE!</v>
      </c>
      <c r="N897" s="231" t="str">
        <f ca="1">IFERROR(Tab_Calculs[[#This Row],[Ratio_jour_après_livr]]+Tab_Calculs[[#This Row],[Ratio_jour_avant_livr]]+Tab_Calculs[[#This Row],[ratio_avant_debut]],"")</f>
        <v/>
      </c>
      <c r="O897" t="e">
        <f ca="1">INDEX(INDIRECT(CONCATENATE("Tab_",Tab_Calculs[[#This Row],[Colonne1]])),Tab_Calculs[[#This Row],[index_date_livraison]]-1,7)*(MAX(Tab_Calculs[[#This Row],[Début periode livraison]],Tab_Calculs[[#This Row],[Début mois]])-Tab_Calculs[[#This Row],[Début mois]])</f>
        <v>#VALUE!</v>
      </c>
      <c r="P897">
        <f ca="1">INDEX(INDIRECT(CONCATENATE("Tab_",Tab_Calculs[[#This Row],[Colonne1]])),Tab_Calculs[[#This Row],[index_date_livraison]],7)*(1+MIN(Tab_Calculs[[#This Row],[Date_livraison]],Tab_Calculs[[#This Row],[fin mois]])-MAX(Tab_Calculs[[#This Row],[Début mois]],Tab_Calculs[[#This Row],[Début periode livraison]]))</f>
        <v>0</v>
      </c>
      <c r="Q897" t="e">
        <f ca="1">INDEX(INDIRECT(CONCATENATE("Tab_",Tab_Calculs[[#This Row],[Colonne1]])),Tab_Calculs[[#This Row],[index_date_livraison]]+1,7)*(Tab_Calculs[[#This Row],[fin mois]]-MIN(Tab_Calculs[[#This Row],[fin mois]],Tab_Calculs[[#This Row],[Date_livraison]]))</f>
        <v>#VALUE!</v>
      </c>
      <c r="R897" t="e">
        <f ca="1">Tab_Calculs[[#This Row],[Ratio_Cout_après_livr]]+Tab_Calculs[[#This Row],[Ratio_Cout_avant_livr]]+Tab_Calculs[[#This Row],[Ratio_Cout_avant_debut]]</f>
        <v>#VALUE!</v>
      </c>
      <c r="S897" t="str">
        <f ca="1">IFERROR(N897*VLOOKUP(Tab_Calculs[[#This Row],[Colonne1]],Controle_des_données!$B$7:$G$14,6,FALSE),"")</f>
        <v/>
      </c>
      <c r="T897" t="str">
        <f ca="1">IF(Tab_Calculs[[#This Row],[Combustible ]]="Electricité (kWh)",Tab_Calculs[[#This Row],[Conso_mois_kWh]]*2.3,Tab_Calculs[[#This Row],[Conso_mois_kWh]])</f>
        <v/>
      </c>
      <c r="U897" t="str">
        <f ca="1">IFERROR(N897*VLOOKUP(Tab_Calculs[[#This Row],[Colonne1]],Controle_des_données!$B$7:$H$14,7,FALSE),"")</f>
        <v/>
      </c>
      <c r="V897">
        <f ca="1">IFERROR(Tab_Calculs[[#This Row],[Cout_mois]]/Tab_Calculs[[#This Row],[Conso_mois_kWh]],0)</f>
        <v>0</v>
      </c>
      <c r="W897" t="str">
        <f>T(VLOOKUP(Tab_Calculs[[#This Row],[Compteur]],Site!$B$33:$G$40,3,FALSE))</f>
        <v/>
      </c>
      <c r="X897" t="str">
        <f>T(VLOOKUP(Tab_Calculs[[#This Row],[Compteur]],Site!$B$33:$G$40,4,FALSE))</f>
        <v/>
      </c>
      <c r="Y897" t="str">
        <f>T(VLOOKUP(Tab_Calculs[[#This Row],[Compteur]],Site!$B$33:$G$40,5,FALSE))</f>
        <v/>
      </c>
      <c r="Z897" t="str">
        <f>T(VLOOKUP(Tab_Calculs[[#This Row],[Compteur]],Site!$B$33:$G$40,6,FALSE))</f>
        <v/>
      </c>
      <c r="AA897">
        <f>IFERROR(GETPIVOTDATA("DJU(chauffagiste)",BDD_DJU!$P$13,"annee",Tab_Calculs[[#This Row],[ANNEE]],"mois_numero",Tab_Calculs[[#This Row],[MOIS]]),0)</f>
        <v>331.5</v>
      </c>
    </row>
    <row r="898" spans="1:27" x14ac:dyDescent="0.25">
      <c r="A898" s="3">
        <f>DATE(Tab_Calculs[[#This Row],[ANNEE]],Tab_Calculs[[#This Row],[MOIS]],1)</f>
        <v>43862</v>
      </c>
      <c r="B898" s="3">
        <f>EDATE(Tab_Calculs[[#This Row],[Début mois]],1)-1</f>
        <v>43890</v>
      </c>
      <c r="C898">
        <f t="shared" si="29"/>
        <v>2</v>
      </c>
      <c r="D898">
        <f t="shared" si="28"/>
        <v>2020</v>
      </c>
      <c r="E898" t="s">
        <v>84</v>
      </c>
      <c r="F898" t="str">
        <f>SUBSTITUTE(Tab_Calculs[[#This Row],[Compteur]]," ","_")</f>
        <v>Compteur_5</v>
      </c>
      <c r="G898" t="str">
        <f>T(INDEX(Site!$B$33:$G$40, MATCH(Tab_Calculs[[#This Row],[Compteur]], Site!$B$33:$B$40,0),2))</f>
        <v/>
      </c>
      <c r="H898" s="3">
        <f t="array" aca="1" ref="H898" ca="1">MIN(IF(INDIRECT(CONCATENATE(Tab_Calculs[[#This Row],[Colonne1]],"!$B$2:$B$243"))&gt;=Calculs_Consos!$A898,INDIRECT(CONCATENATE(Tab_Calculs[[#This Row],[Colonne1]],"!$B$2:$B$243"))))</f>
        <v>0</v>
      </c>
      <c r="I898" s="3">
        <f ca="1">INDEX(INDIRECT(CONCATENATE("Tab_",Tab_Calculs[[#This Row],[Colonne1]])),Tab_Calculs[[#This Row],[index_date_livraison]],1)</f>
        <v>0</v>
      </c>
      <c r="J898">
        <f ca="1">MATCH(Tab_Calculs[[#This Row],[Date_livraison]],INDIRECT(CONCATENATE("Tab_",Tab_Calculs[[#This Row],[Colonne1]],"[Fin de période]")),0)</f>
        <v>1</v>
      </c>
      <c r="K898" t="e">
        <f ca="1">INDEX(INDIRECT(CONCATENATE("Tab_",Tab_Calculs[[#This Row],[Colonne1]])),Tab_Calculs[[#This Row],[index_date_livraison]]-1,6)*(MAX(Tab_Calculs[[#This Row],[Début periode livraison]],Tab_Calculs[[#This Row],[Début mois]])-Tab_Calculs[[#This Row],[Début mois]])</f>
        <v>#VALUE!</v>
      </c>
      <c r="L898" s="94">
        <f ca="1">INDEX(INDIRECT(CONCATENATE("Tab_",Tab_Calculs[[#This Row],[Colonne1]])),Tab_Calculs[[#This Row],[index_date_livraison]],6)*(1+MIN(Tab_Calculs[[#This Row],[Date_livraison]],Tab_Calculs[[#This Row],[fin mois]])-MAX(Tab_Calculs[[#This Row],[Début mois]],Tab_Calculs[[#This Row],[Début periode livraison]]))</f>
        <v>0</v>
      </c>
      <c r="M898" s="94" t="e">
        <f ca="1">INDEX(INDIRECT(CONCATENATE("Tab_",Tab_Calculs[[#This Row],[Colonne1]])),Tab_Calculs[[#This Row],[index_date_livraison]]+1,6)*(Tab_Calculs[[#This Row],[fin mois]]-MIN(Tab_Calculs[[#This Row],[fin mois]],Tab_Calculs[[#This Row],[Date_livraison]]))</f>
        <v>#VALUE!</v>
      </c>
      <c r="N898" s="231" t="str">
        <f ca="1">IFERROR(Tab_Calculs[[#This Row],[Ratio_jour_après_livr]]+Tab_Calculs[[#This Row],[Ratio_jour_avant_livr]]+Tab_Calculs[[#This Row],[ratio_avant_debut]],"")</f>
        <v/>
      </c>
      <c r="O898" t="e">
        <f ca="1">INDEX(INDIRECT(CONCATENATE("Tab_",Tab_Calculs[[#This Row],[Colonne1]])),Tab_Calculs[[#This Row],[index_date_livraison]]-1,7)*(MAX(Tab_Calculs[[#This Row],[Début periode livraison]],Tab_Calculs[[#This Row],[Début mois]])-Tab_Calculs[[#This Row],[Début mois]])</f>
        <v>#VALUE!</v>
      </c>
      <c r="P898">
        <f ca="1">INDEX(INDIRECT(CONCATENATE("Tab_",Tab_Calculs[[#This Row],[Colonne1]])),Tab_Calculs[[#This Row],[index_date_livraison]],7)*(1+MIN(Tab_Calculs[[#This Row],[Date_livraison]],Tab_Calculs[[#This Row],[fin mois]])-MAX(Tab_Calculs[[#This Row],[Début mois]],Tab_Calculs[[#This Row],[Début periode livraison]]))</f>
        <v>0</v>
      </c>
      <c r="Q898" t="e">
        <f ca="1">INDEX(INDIRECT(CONCATENATE("Tab_",Tab_Calculs[[#This Row],[Colonne1]])),Tab_Calculs[[#This Row],[index_date_livraison]]+1,7)*(Tab_Calculs[[#This Row],[fin mois]]-MIN(Tab_Calculs[[#This Row],[fin mois]],Tab_Calculs[[#This Row],[Date_livraison]]))</f>
        <v>#VALUE!</v>
      </c>
      <c r="R898" t="e">
        <f ca="1">Tab_Calculs[[#This Row],[Ratio_Cout_après_livr]]+Tab_Calculs[[#This Row],[Ratio_Cout_avant_livr]]+Tab_Calculs[[#This Row],[Ratio_Cout_avant_debut]]</f>
        <v>#VALUE!</v>
      </c>
      <c r="S898" t="str">
        <f ca="1">IFERROR(N898*VLOOKUP(Tab_Calculs[[#This Row],[Colonne1]],Controle_des_données!$B$7:$G$14,6,FALSE),"")</f>
        <v/>
      </c>
      <c r="T898" t="str">
        <f ca="1">IF(Tab_Calculs[[#This Row],[Combustible ]]="Electricité (kWh)",Tab_Calculs[[#This Row],[Conso_mois_kWh]]*2.3,Tab_Calculs[[#This Row],[Conso_mois_kWh]])</f>
        <v/>
      </c>
      <c r="U898" t="str">
        <f ca="1">IFERROR(N898*VLOOKUP(Tab_Calculs[[#This Row],[Colonne1]],Controle_des_données!$B$7:$H$14,7,FALSE),"")</f>
        <v/>
      </c>
      <c r="V898">
        <f ca="1">IFERROR(Tab_Calculs[[#This Row],[Cout_mois]]/Tab_Calculs[[#This Row],[Conso_mois_kWh]],0)</f>
        <v>0</v>
      </c>
      <c r="W898" t="str">
        <f>T(VLOOKUP(Tab_Calculs[[#This Row],[Compteur]],Site!$B$33:$G$40,3,FALSE))</f>
        <v/>
      </c>
      <c r="X898" t="str">
        <f>T(VLOOKUP(Tab_Calculs[[#This Row],[Compteur]],Site!$B$33:$G$40,4,FALSE))</f>
        <v/>
      </c>
      <c r="Y898" t="str">
        <f>T(VLOOKUP(Tab_Calculs[[#This Row],[Compteur]],Site!$B$33:$G$40,5,FALSE))</f>
        <v/>
      </c>
      <c r="Z898" t="str">
        <f>T(VLOOKUP(Tab_Calculs[[#This Row],[Compteur]],Site!$B$33:$G$40,6,FALSE))</f>
        <v/>
      </c>
      <c r="AA898">
        <f>IFERROR(GETPIVOTDATA("DJU(chauffagiste)",BDD_DJU!$P$13,"annee",Tab_Calculs[[#This Row],[ANNEE]],"mois_numero",Tab_Calculs[[#This Row],[MOIS]]),0)</f>
        <v>251.6</v>
      </c>
    </row>
    <row r="899" spans="1:27" x14ac:dyDescent="0.25">
      <c r="A899" s="3">
        <f>DATE(Tab_Calculs[[#This Row],[ANNEE]],Tab_Calculs[[#This Row],[MOIS]],1)</f>
        <v>43891</v>
      </c>
      <c r="B899" s="3">
        <f>EDATE(Tab_Calculs[[#This Row],[Début mois]],1)-1</f>
        <v>43921</v>
      </c>
      <c r="C899">
        <f t="shared" si="29"/>
        <v>3</v>
      </c>
      <c r="D899">
        <f>D887+1</f>
        <v>2020</v>
      </c>
      <c r="E899" t="s">
        <v>84</v>
      </c>
      <c r="F899" t="str">
        <f>SUBSTITUTE(Tab_Calculs[[#This Row],[Compteur]]," ","_")</f>
        <v>Compteur_5</v>
      </c>
      <c r="G899" t="str">
        <f>T(INDEX(Site!$B$33:$G$40, MATCH(Tab_Calculs[[#This Row],[Compteur]], Site!$B$33:$B$40,0),2))</f>
        <v/>
      </c>
      <c r="H899" s="3">
        <f t="array" aca="1" ref="H899" ca="1">MIN(IF(INDIRECT(CONCATENATE(Tab_Calculs[[#This Row],[Colonne1]],"!$B$2:$B$243"))&gt;=Calculs_Consos!$A899,INDIRECT(CONCATENATE(Tab_Calculs[[#This Row],[Colonne1]],"!$B$2:$B$243"))))</f>
        <v>0</v>
      </c>
      <c r="I899" s="3">
        <f ca="1">INDEX(INDIRECT(CONCATENATE("Tab_",Tab_Calculs[[#This Row],[Colonne1]])),Tab_Calculs[[#This Row],[index_date_livraison]],1)</f>
        <v>0</v>
      </c>
      <c r="J899">
        <f ca="1">MATCH(Tab_Calculs[[#This Row],[Date_livraison]],INDIRECT(CONCATENATE("Tab_",Tab_Calculs[[#This Row],[Colonne1]],"[Fin de période]")),0)</f>
        <v>1</v>
      </c>
      <c r="K899" t="e">
        <f ca="1">INDEX(INDIRECT(CONCATENATE("Tab_",Tab_Calculs[[#This Row],[Colonne1]])),Tab_Calculs[[#This Row],[index_date_livraison]]-1,6)*(MAX(Tab_Calculs[[#This Row],[Début periode livraison]],Tab_Calculs[[#This Row],[Début mois]])-Tab_Calculs[[#This Row],[Début mois]])</f>
        <v>#VALUE!</v>
      </c>
      <c r="L899" s="94">
        <f ca="1">INDEX(INDIRECT(CONCATENATE("Tab_",Tab_Calculs[[#This Row],[Colonne1]])),Tab_Calculs[[#This Row],[index_date_livraison]],6)*(1+MIN(Tab_Calculs[[#This Row],[Date_livraison]],Tab_Calculs[[#This Row],[fin mois]])-MAX(Tab_Calculs[[#This Row],[Début mois]],Tab_Calculs[[#This Row],[Début periode livraison]]))</f>
        <v>0</v>
      </c>
      <c r="M899" s="94" t="e">
        <f ca="1">INDEX(INDIRECT(CONCATENATE("Tab_",Tab_Calculs[[#This Row],[Colonne1]])),Tab_Calculs[[#This Row],[index_date_livraison]]+1,6)*(Tab_Calculs[[#This Row],[fin mois]]-MIN(Tab_Calculs[[#This Row],[fin mois]],Tab_Calculs[[#This Row],[Date_livraison]]))</f>
        <v>#VALUE!</v>
      </c>
      <c r="N899" s="231" t="str">
        <f ca="1">IFERROR(Tab_Calculs[[#This Row],[Ratio_jour_après_livr]]+Tab_Calculs[[#This Row],[Ratio_jour_avant_livr]]+Tab_Calculs[[#This Row],[ratio_avant_debut]],"")</f>
        <v/>
      </c>
      <c r="O899" t="e">
        <f ca="1">INDEX(INDIRECT(CONCATENATE("Tab_",Tab_Calculs[[#This Row],[Colonne1]])),Tab_Calculs[[#This Row],[index_date_livraison]]-1,7)*(MAX(Tab_Calculs[[#This Row],[Début periode livraison]],Tab_Calculs[[#This Row],[Début mois]])-Tab_Calculs[[#This Row],[Début mois]])</f>
        <v>#VALUE!</v>
      </c>
      <c r="P899">
        <f ca="1">INDEX(INDIRECT(CONCATENATE("Tab_",Tab_Calculs[[#This Row],[Colonne1]])),Tab_Calculs[[#This Row],[index_date_livraison]],7)*(1+MIN(Tab_Calculs[[#This Row],[Date_livraison]],Tab_Calculs[[#This Row],[fin mois]])-MAX(Tab_Calculs[[#This Row],[Début mois]],Tab_Calculs[[#This Row],[Début periode livraison]]))</f>
        <v>0</v>
      </c>
      <c r="Q899" t="e">
        <f ca="1">INDEX(INDIRECT(CONCATENATE("Tab_",Tab_Calculs[[#This Row],[Colonne1]])),Tab_Calculs[[#This Row],[index_date_livraison]]+1,7)*(Tab_Calculs[[#This Row],[fin mois]]-MIN(Tab_Calculs[[#This Row],[fin mois]],Tab_Calculs[[#This Row],[Date_livraison]]))</f>
        <v>#VALUE!</v>
      </c>
      <c r="R899" t="e">
        <f ca="1">Tab_Calculs[[#This Row],[Ratio_Cout_après_livr]]+Tab_Calculs[[#This Row],[Ratio_Cout_avant_livr]]+Tab_Calculs[[#This Row],[Ratio_Cout_avant_debut]]</f>
        <v>#VALUE!</v>
      </c>
      <c r="S899" t="str">
        <f ca="1">IFERROR(N899*VLOOKUP(Tab_Calculs[[#This Row],[Colonne1]],Controle_des_données!$B$7:$G$14,6,FALSE),"")</f>
        <v/>
      </c>
      <c r="T899" t="str">
        <f ca="1">IF(Tab_Calculs[[#This Row],[Combustible ]]="Electricité (kWh)",Tab_Calculs[[#This Row],[Conso_mois_kWh]]*2.3,Tab_Calculs[[#This Row],[Conso_mois_kWh]])</f>
        <v/>
      </c>
      <c r="U899" t="str">
        <f ca="1">IFERROR(N899*VLOOKUP(Tab_Calculs[[#This Row],[Colonne1]],Controle_des_données!$B$7:$H$14,7,FALSE),"")</f>
        <v/>
      </c>
      <c r="V899">
        <f ca="1">IFERROR(Tab_Calculs[[#This Row],[Cout_mois]]/Tab_Calculs[[#This Row],[Conso_mois_kWh]],0)</f>
        <v>0</v>
      </c>
      <c r="W899" t="str">
        <f>T(VLOOKUP(Tab_Calculs[[#This Row],[Compteur]],Site!$B$33:$G$40,3,FALSE))</f>
        <v/>
      </c>
      <c r="X899" t="str">
        <f>T(VLOOKUP(Tab_Calculs[[#This Row],[Compteur]],Site!$B$33:$G$40,4,FALSE))</f>
        <v/>
      </c>
      <c r="Y899" t="str">
        <f>T(VLOOKUP(Tab_Calculs[[#This Row],[Compteur]],Site!$B$33:$G$40,5,FALSE))</f>
        <v/>
      </c>
      <c r="Z899" t="str">
        <f>T(VLOOKUP(Tab_Calculs[[#This Row],[Compteur]],Site!$B$33:$G$40,6,FALSE))</f>
        <v/>
      </c>
      <c r="AA899">
        <f>IFERROR(GETPIVOTDATA("DJU(chauffagiste)",BDD_DJU!$P$13,"annee",Tab_Calculs[[#This Row],[ANNEE]],"mois_numero",Tab_Calculs[[#This Row],[MOIS]]),0)</f>
        <v>272.60000000000002</v>
      </c>
    </row>
    <row r="900" spans="1:27" x14ac:dyDescent="0.25">
      <c r="A900" s="3">
        <f>DATE(Tab_Calculs[[#This Row],[ANNEE]],Tab_Calculs[[#This Row],[MOIS]],1)</f>
        <v>43922</v>
      </c>
      <c r="B900" s="3">
        <f>EDATE(Tab_Calculs[[#This Row],[Début mois]],1)-1</f>
        <v>43951</v>
      </c>
      <c r="C900">
        <f t="shared" si="29"/>
        <v>4</v>
      </c>
      <c r="D900">
        <f t="shared" si="28"/>
        <v>2020</v>
      </c>
      <c r="E900" t="s">
        <v>84</v>
      </c>
      <c r="F900" t="str">
        <f>SUBSTITUTE(Tab_Calculs[[#This Row],[Compteur]]," ","_")</f>
        <v>Compteur_5</v>
      </c>
      <c r="G900" t="str">
        <f>T(INDEX(Site!$B$33:$G$40, MATCH(Tab_Calculs[[#This Row],[Compteur]], Site!$B$33:$B$40,0),2))</f>
        <v/>
      </c>
      <c r="H900" s="3">
        <f t="array" aca="1" ref="H900" ca="1">MIN(IF(INDIRECT(CONCATENATE(Tab_Calculs[[#This Row],[Colonne1]],"!$B$2:$B$243"))&gt;=Calculs_Consos!$A900,INDIRECT(CONCATENATE(Tab_Calculs[[#This Row],[Colonne1]],"!$B$2:$B$243"))))</f>
        <v>0</v>
      </c>
      <c r="I900" s="3">
        <f ca="1">INDEX(INDIRECT(CONCATENATE("Tab_",Tab_Calculs[[#This Row],[Colonne1]])),Tab_Calculs[[#This Row],[index_date_livraison]],1)</f>
        <v>0</v>
      </c>
      <c r="J900">
        <f ca="1">MATCH(Tab_Calculs[[#This Row],[Date_livraison]],INDIRECT(CONCATENATE("Tab_",Tab_Calculs[[#This Row],[Colonne1]],"[Fin de période]")),0)</f>
        <v>1</v>
      </c>
      <c r="K900" t="e">
        <f ca="1">INDEX(INDIRECT(CONCATENATE("Tab_",Tab_Calculs[[#This Row],[Colonne1]])),Tab_Calculs[[#This Row],[index_date_livraison]]-1,6)*(MAX(Tab_Calculs[[#This Row],[Début periode livraison]],Tab_Calculs[[#This Row],[Début mois]])-Tab_Calculs[[#This Row],[Début mois]])</f>
        <v>#VALUE!</v>
      </c>
      <c r="L900" s="94">
        <f ca="1">INDEX(INDIRECT(CONCATENATE("Tab_",Tab_Calculs[[#This Row],[Colonne1]])),Tab_Calculs[[#This Row],[index_date_livraison]],6)*(1+MIN(Tab_Calculs[[#This Row],[Date_livraison]],Tab_Calculs[[#This Row],[fin mois]])-MAX(Tab_Calculs[[#This Row],[Début mois]],Tab_Calculs[[#This Row],[Début periode livraison]]))</f>
        <v>0</v>
      </c>
      <c r="M900" s="94" t="e">
        <f ca="1">INDEX(INDIRECT(CONCATENATE("Tab_",Tab_Calculs[[#This Row],[Colonne1]])),Tab_Calculs[[#This Row],[index_date_livraison]]+1,6)*(Tab_Calculs[[#This Row],[fin mois]]-MIN(Tab_Calculs[[#This Row],[fin mois]],Tab_Calculs[[#This Row],[Date_livraison]]))</f>
        <v>#VALUE!</v>
      </c>
      <c r="N900" s="231" t="str">
        <f ca="1">IFERROR(Tab_Calculs[[#This Row],[Ratio_jour_après_livr]]+Tab_Calculs[[#This Row],[Ratio_jour_avant_livr]]+Tab_Calculs[[#This Row],[ratio_avant_debut]],"")</f>
        <v/>
      </c>
      <c r="O900" t="e">
        <f ca="1">INDEX(INDIRECT(CONCATENATE("Tab_",Tab_Calculs[[#This Row],[Colonne1]])),Tab_Calculs[[#This Row],[index_date_livraison]]-1,7)*(MAX(Tab_Calculs[[#This Row],[Début periode livraison]],Tab_Calculs[[#This Row],[Début mois]])-Tab_Calculs[[#This Row],[Début mois]])</f>
        <v>#VALUE!</v>
      </c>
      <c r="P900">
        <f ca="1">INDEX(INDIRECT(CONCATENATE("Tab_",Tab_Calculs[[#This Row],[Colonne1]])),Tab_Calculs[[#This Row],[index_date_livraison]],7)*(1+MIN(Tab_Calculs[[#This Row],[Date_livraison]],Tab_Calculs[[#This Row],[fin mois]])-MAX(Tab_Calculs[[#This Row],[Début mois]],Tab_Calculs[[#This Row],[Début periode livraison]]))</f>
        <v>0</v>
      </c>
      <c r="Q900" t="e">
        <f ca="1">INDEX(INDIRECT(CONCATENATE("Tab_",Tab_Calculs[[#This Row],[Colonne1]])),Tab_Calculs[[#This Row],[index_date_livraison]]+1,7)*(Tab_Calculs[[#This Row],[fin mois]]-MIN(Tab_Calculs[[#This Row],[fin mois]],Tab_Calculs[[#This Row],[Date_livraison]]))</f>
        <v>#VALUE!</v>
      </c>
      <c r="R900" t="e">
        <f ca="1">Tab_Calculs[[#This Row],[Ratio_Cout_après_livr]]+Tab_Calculs[[#This Row],[Ratio_Cout_avant_livr]]+Tab_Calculs[[#This Row],[Ratio_Cout_avant_debut]]</f>
        <v>#VALUE!</v>
      </c>
      <c r="S900" t="str">
        <f ca="1">IFERROR(N900*VLOOKUP(Tab_Calculs[[#This Row],[Colonne1]],Controle_des_données!$B$7:$G$14,6,FALSE),"")</f>
        <v/>
      </c>
      <c r="T900" t="str">
        <f ca="1">IF(Tab_Calculs[[#This Row],[Combustible ]]="Electricité (kWh)",Tab_Calculs[[#This Row],[Conso_mois_kWh]]*2.3,Tab_Calculs[[#This Row],[Conso_mois_kWh]])</f>
        <v/>
      </c>
      <c r="U900" t="str">
        <f ca="1">IFERROR(N900*VLOOKUP(Tab_Calculs[[#This Row],[Colonne1]],Controle_des_données!$B$7:$H$14,7,FALSE),"")</f>
        <v/>
      </c>
      <c r="V900">
        <f ca="1">IFERROR(Tab_Calculs[[#This Row],[Cout_mois]]/Tab_Calculs[[#This Row],[Conso_mois_kWh]],0)</f>
        <v>0</v>
      </c>
      <c r="W900" t="str">
        <f>T(VLOOKUP(Tab_Calculs[[#This Row],[Compteur]],Site!$B$33:$G$40,3,FALSE))</f>
        <v/>
      </c>
      <c r="X900" t="str">
        <f>T(VLOOKUP(Tab_Calculs[[#This Row],[Compteur]],Site!$B$33:$G$40,4,FALSE))</f>
        <v/>
      </c>
      <c r="Y900" t="str">
        <f>T(VLOOKUP(Tab_Calculs[[#This Row],[Compteur]],Site!$B$33:$G$40,5,FALSE))</f>
        <v/>
      </c>
      <c r="Z900" t="str">
        <f>T(VLOOKUP(Tab_Calculs[[#This Row],[Compteur]],Site!$B$33:$G$40,6,FALSE))</f>
        <v/>
      </c>
      <c r="AA900">
        <f>IFERROR(GETPIVOTDATA("DJU(chauffagiste)",BDD_DJU!$P$13,"annee",Tab_Calculs[[#This Row],[ANNEE]],"mois_numero",Tab_Calculs[[#This Row],[MOIS]]),0)</f>
        <v>126.3</v>
      </c>
    </row>
    <row r="901" spans="1:27" x14ac:dyDescent="0.25">
      <c r="A901" s="3">
        <f>DATE(Tab_Calculs[[#This Row],[ANNEE]],Tab_Calculs[[#This Row],[MOIS]],1)</f>
        <v>43952</v>
      </c>
      <c r="B901" s="3">
        <f>EDATE(Tab_Calculs[[#This Row],[Début mois]],1)-1</f>
        <v>43982</v>
      </c>
      <c r="C901">
        <f t="shared" si="29"/>
        <v>5</v>
      </c>
      <c r="D901">
        <f t="shared" si="28"/>
        <v>2020</v>
      </c>
      <c r="E901" t="s">
        <v>84</v>
      </c>
      <c r="F901" t="str">
        <f>SUBSTITUTE(Tab_Calculs[[#This Row],[Compteur]]," ","_")</f>
        <v>Compteur_5</v>
      </c>
      <c r="G901" t="str">
        <f>T(INDEX(Site!$B$33:$G$40, MATCH(Tab_Calculs[[#This Row],[Compteur]], Site!$B$33:$B$40,0),2))</f>
        <v/>
      </c>
      <c r="H901" s="3">
        <f t="array" aca="1" ref="H901" ca="1">MIN(IF(INDIRECT(CONCATENATE(Tab_Calculs[[#This Row],[Colonne1]],"!$B$2:$B$243"))&gt;=Calculs_Consos!$A901,INDIRECT(CONCATENATE(Tab_Calculs[[#This Row],[Colonne1]],"!$B$2:$B$243"))))</f>
        <v>0</v>
      </c>
      <c r="I901" s="3">
        <f ca="1">INDEX(INDIRECT(CONCATENATE("Tab_",Tab_Calculs[[#This Row],[Colonne1]])),Tab_Calculs[[#This Row],[index_date_livraison]],1)</f>
        <v>0</v>
      </c>
      <c r="J901">
        <f ca="1">MATCH(Tab_Calculs[[#This Row],[Date_livraison]],INDIRECT(CONCATENATE("Tab_",Tab_Calculs[[#This Row],[Colonne1]],"[Fin de période]")),0)</f>
        <v>1</v>
      </c>
      <c r="K901" t="e">
        <f ca="1">INDEX(INDIRECT(CONCATENATE("Tab_",Tab_Calculs[[#This Row],[Colonne1]])),Tab_Calculs[[#This Row],[index_date_livraison]]-1,6)*(MAX(Tab_Calculs[[#This Row],[Début periode livraison]],Tab_Calculs[[#This Row],[Début mois]])-Tab_Calculs[[#This Row],[Début mois]])</f>
        <v>#VALUE!</v>
      </c>
      <c r="L901" s="94">
        <f ca="1">INDEX(INDIRECT(CONCATENATE("Tab_",Tab_Calculs[[#This Row],[Colonne1]])),Tab_Calculs[[#This Row],[index_date_livraison]],6)*(1+MIN(Tab_Calculs[[#This Row],[Date_livraison]],Tab_Calculs[[#This Row],[fin mois]])-MAX(Tab_Calculs[[#This Row],[Début mois]],Tab_Calculs[[#This Row],[Début periode livraison]]))</f>
        <v>0</v>
      </c>
      <c r="M901" s="94" t="e">
        <f ca="1">INDEX(INDIRECT(CONCATENATE("Tab_",Tab_Calculs[[#This Row],[Colonne1]])),Tab_Calculs[[#This Row],[index_date_livraison]]+1,6)*(Tab_Calculs[[#This Row],[fin mois]]-MIN(Tab_Calculs[[#This Row],[fin mois]],Tab_Calculs[[#This Row],[Date_livraison]]))</f>
        <v>#VALUE!</v>
      </c>
      <c r="N901" s="231" t="str">
        <f ca="1">IFERROR(Tab_Calculs[[#This Row],[Ratio_jour_après_livr]]+Tab_Calculs[[#This Row],[Ratio_jour_avant_livr]]+Tab_Calculs[[#This Row],[ratio_avant_debut]],"")</f>
        <v/>
      </c>
      <c r="O901" t="e">
        <f ca="1">INDEX(INDIRECT(CONCATENATE("Tab_",Tab_Calculs[[#This Row],[Colonne1]])),Tab_Calculs[[#This Row],[index_date_livraison]]-1,7)*(MAX(Tab_Calculs[[#This Row],[Début periode livraison]],Tab_Calculs[[#This Row],[Début mois]])-Tab_Calculs[[#This Row],[Début mois]])</f>
        <v>#VALUE!</v>
      </c>
      <c r="P901">
        <f ca="1">INDEX(INDIRECT(CONCATENATE("Tab_",Tab_Calculs[[#This Row],[Colonne1]])),Tab_Calculs[[#This Row],[index_date_livraison]],7)*(1+MIN(Tab_Calculs[[#This Row],[Date_livraison]],Tab_Calculs[[#This Row],[fin mois]])-MAX(Tab_Calculs[[#This Row],[Début mois]],Tab_Calculs[[#This Row],[Début periode livraison]]))</f>
        <v>0</v>
      </c>
      <c r="Q901" t="e">
        <f ca="1">INDEX(INDIRECT(CONCATENATE("Tab_",Tab_Calculs[[#This Row],[Colonne1]])),Tab_Calculs[[#This Row],[index_date_livraison]]+1,7)*(Tab_Calculs[[#This Row],[fin mois]]-MIN(Tab_Calculs[[#This Row],[fin mois]],Tab_Calculs[[#This Row],[Date_livraison]]))</f>
        <v>#VALUE!</v>
      </c>
      <c r="R901" t="e">
        <f ca="1">Tab_Calculs[[#This Row],[Ratio_Cout_après_livr]]+Tab_Calculs[[#This Row],[Ratio_Cout_avant_livr]]+Tab_Calculs[[#This Row],[Ratio_Cout_avant_debut]]</f>
        <v>#VALUE!</v>
      </c>
      <c r="S901" t="str">
        <f ca="1">IFERROR(N901*VLOOKUP(Tab_Calculs[[#This Row],[Colonne1]],Controle_des_données!$B$7:$G$14,6,FALSE),"")</f>
        <v/>
      </c>
      <c r="T901" t="str">
        <f ca="1">IF(Tab_Calculs[[#This Row],[Combustible ]]="Electricité (kWh)",Tab_Calculs[[#This Row],[Conso_mois_kWh]]*2.3,Tab_Calculs[[#This Row],[Conso_mois_kWh]])</f>
        <v/>
      </c>
      <c r="U901" t="str">
        <f ca="1">IFERROR(N901*VLOOKUP(Tab_Calculs[[#This Row],[Colonne1]],Controle_des_données!$B$7:$H$14,7,FALSE),"")</f>
        <v/>
      </c>
      <c r="V901">
        <f ca="1">IFERROR(Tab_Calculs[[#This Row],[Cout_mois]]/Tab_Calculs[[#This Row],[Conso_mois_kWh]],0)</f>
        <v>0</v>
      </c>
      <c r="W901" t="str">
        <f>T(VLOOKUP(Tab_Calculs[[#This Row],[Compteur]],Site!$B$33:$G$40,3,FALSE))</f>
        <v/>
      </c>
      <c r="X901" t="str">
        <f>T(VLOOKUP(Tab_Calculs[[#This Row],[Compteur]],Site!$B$33:$G$40,4,FALSE))</f>
        <v/>
      </c>
      <c r="Y901" t="str">
        <f>T(VLOOKUP(Tab_Calculs[[#This Row],[Compteur]],Site!$B$33:$G$40,5,FALSE))</f>
        <v/>
      </c>
      <c r="Z901" t="str">
        <f>T(VLOOKUP(Tab_Calculs[[#This Row],[Compteur]],Site!$B$33:$G$40,6,FALSE))</f>
        <v/>
      </c>
      <c r="AA901">
        <f>IFERROR(GETPIVOTDATA("DJU(chauffagiste)",BDD_DJU!$P$13,"annee",Tab_Calculs[[#This Row],[ANNEE]],"mois_numero",Tab_Calculs[[#This Row],[MOIS]]),0)</f>
        <v>91.8</v>
      </c>
    </row>
    <row r="902" spans="1:27" x14ac:dyDescent="0.25">
      <c r="A902" s="3">
        <f>DATE(Tab_Calculs[[#This Row],[ANNEE]],Tab_Calculs[[#This Row],[MOIS]],1)</f>
        <v>43983</v>
      </c>
      <c r="B902" s="3">
        <f>EDATE(Tab_Calculs[[#This Row],[Début mois]],1)-1</f>
        <v>44012</v>
      </c>
      <c r="C902">
        <f t="shared" si="29"/>
        <v>6</v>
      </c>
      <c r="D902">
        <f t="shared" ref="D902:D919" si="30">D890+1</f>
        <v>2020</v>
      </c>
      <c r="E902" t="s">
        <v>84</v>
      </c>
      <c r="F902" t="str">
        <f>SUBSTITUTE(Tab_Calculs[[#This Row],[Compteur]]," ","_")</f>
        <v>Compteur_5</v>
      </c>
      <c r="G902" t="str">
        <f>T(INDEX(Site!$B$33:$G$40, MATCH(Tab_Calculs[[#This Row],[Compteur]], Site!$B$33:$B$40,0),2))</f>
        <v/>
      </c>
      <c r="H902" s="3">
        <f t="array" aca="1" ref="H902" ca="1">MIN(IF(INDIRECT(CONCATENATE(Tab_Calculs[[#This Row],[Colonne1]],"!$B$2:$B$243"))&gt;=Calculs_Consos!$A902,INDIRECT(CONCATENATE(Tab_Calculs[[#This Row],[Colonne1]],"!$B$2:$B$243"))))</f>
        <v>0</v>
      </c>
      <c r="I902" s="3">
        <f ca="1">INDEX(INDIRECT(CONCATENATE("Tab_",Tab_Calculs[[#This Row],[Colonne1]])),Tab_Calculs[[#This Row],[index_date_livraison]],1)</f>
        <v>0</v>
      </c>
      <c r="J902">
        <f ca="1">MATCH(Tab_Calculs[[#This Row],[Date_livraison]],INDIRECT(CONCATENATE("Tab_",Tab_Calculs[[#This Row],[Colonne1]],"[Fin de période]")),0)</f>
        <v>1</v>
      </c>
      <c r="K902" t="e">
        <f ca="1">INDEX(INDIRECT(CONCATENATE("Tab_",Tab_Calculs[[#This Row],[Colonne1]])),Tab_Calculs[[#This Row],[index_date_livraison]]-1,6)*(MAX(Tab_Calculs[[#This Row],[Début periode livraison]],Tab_Calculs[[#This Row],[Début mois]])-Tab_Calculs[[#This Row],[Début mois]])</f>
        <v>#VALUE!</v>
      </c>
      <c r="L902" s="94">
        <f ca="1">INDEX(INDIRECT(CONCATENATE("Tab_",Tab_Calculs[[#This Row],[Colonne1]])),Tab_Calculs[[#This Row],[index_date_livraison]],6)*(1+MIN(Tab_Calculs[[#This Row],[Date_livraison]],Tab_Calculs[[#This Row],[fin mois]])-MAX(Tab_Calculs[[#This Row],[Début mois]],Tab_Calculs[[#This Row],[Début periode livraison]]))</f>
        <v>0</v>
      </c>
      <c r="M902" s="94" t="e">
        <f ca="1">INDEX(INDIRECT(CONCATENATE("Tab_",Tab_Calculs[[#This Row],[Colonne1]])),Tab_Calculs[[#This Row],[index_date_livraison]]+1,6)*(Tab_Calculs[[#This Row],[fin mois]]-MIN(Tab_Calculs[[#This Row],[fin mois]],Tab_Calculs[[#This Row],[Date_livraison]]))</f>
        <v>#VALUE!</v>
      </c>
      <c r="N902" s="231" t="str">
        <f ca="1">IFERROR(Tab_Calculs[[#This Row],[Ratio_jour_après_livr]]+Tab_Calculs[[#This Row],[Ratio_jour_avant_livr]]+Tab_Calculs[[#This Row],[ratio_avant_debut]],"")</f>
        <v/>
      </c>
      <c r="O902" t="e">
        <f ca="1">INDEX(INDIRECT(CONCATENATE("Tab_",Tab_Calculs[[#This Row],[Colonne1]])),Tab_Calculs[[#This Row],[index_date_livraison]]-1,7)*(MAX(Tab_Calculs[[#This Row],[Début periode livraison]],Tab_Calculs[[#This Row],[Début mois]])-Tab_Calculs[[#This Row],[Début mois]])</f>
        <v>#VALUE!</v>
      </c>
      <c r="P902">
        <f ca="1">INDEX(INDIRECT(CONCATENATE("Tab_",Tab_Calculs[[#This Row],[Colonne1]])),Tab_Calculs[[#This Row],[index_date_livraison]],7)*(1+MIN(Tab_Calculs[[#This Row],[Date_livraison]],Tab_Calculs[[#This Row],[fin mois]])-MAX(Tab_Calculs[[#This Row],[Début mois]],Tab_Calculs[[#This Row],[Début periode livraison]]))</f>
        <v>0</v>
      </c>
      <c r="Q902" t="e">
        <f ca="1">INDEX(INDIRECT(CONCATENATE("Tab_",Tab_Calculs[[#This Row],[Colonne1]])),Tab_Calculs[[#This Row],[index_date_livraison]]+1,7)*(Tab_Calculs[[#This Row],[fin mois]]-MIN(Tab_Calculs[[#This Row],[fin mois]],Tab_Calculs[[#This Row],[Date_livraison]]))</f>
        <v>#VALUE!</v>
      </c>
      <c r="R902" t="e">
        <f ca="1">Tab_Calculs[[#This Row],[Ratio_Cout_après_livr]]+Tab_Calculs[[#This Row],[Ratio_Cout_avant_livr]]+Tab_Calculs[[#This Row],[Ratio_Cout_avant_debut]]</f>
        <v>#VALUE!</v>
      </c>
      <c r="S902" t="str">
        <f ca="1">IFERROR(N902*VLOOKUP(Tab_Calculs[[#This Row],[Colonne1]],Controle_des_données!$B$7:$G$14,6,FALSE),"")</f>
        <v/>
      </c>
      <c r="T902" t="str">
        <f ca="1">IF(Tab_Calculs[[#This Row],[Combustible ]]="Electricité (kWh)",Tab_Calculs[[#This Row],[Conso_mois_kWh]]*2.3,Tab_Calculs[[#This Row],[Conso_mois_kWh]])</f>
        <v/>
      </c>
      <c r="U902" t="str">
        <f ca="1">IFERROR(N902*VLOOKUP(Tab_Calculs[[#This Row],[Colonne1]],Controle_des_données!$B$7:$H$14,7,FALSE),"")</f>
        <v/>
      </c>
      <c r="V902">
        <f ca="1">IFERROR(Tab_Calculs[[#This Row],[Cout_mois]]/Tab_Calculs[[#This Row],[Conso_mois_kWh]],0)</f>
        <v>0</v>
      </c>
      <c r="W902" t="str">
        <f>T(VLOOKUP(Tab_Calculs[[#This Row],[Compteur]],Site!$B$33:$G$40,3,FALSE))</f>
        <v/>
      </c>
      <c r="X902" t="str">
        <f>T(VLOOKUP(Tab_Calculs[[#This Row],[Compteur]],Site!$B$33:$G$40,4,FALSE))</f>
        <v/>
      </c>
      <c r="Y902" t="str">
        <f>T(VLOOKUP(Tab_Calculs[[#This Row],[Compteur]],Site!$B$33:$G$40,5,FALSE))</f>
        <v/>
      </c>
      <c r="Z902" t="str">
        <f>T(VLOOKUP(Tab_Calculs[[#This Row],[Compteur]],Site!$B$33:$G$40,6,FALSE))</f>
        <v/>
      </c>
      <c r="AA902">
        <f>IFERROR(GETPIVOTDATA("DJU(chauffagiste)",BDD_DJU!$P$13,"annee",Tab_Calculs[[#This Row],[ANNEE]],"mois_numero",Tab_Calculs[[#This Row],[MOIS]]),0)</f>
        <v>55.6</v>
      </c>
    </row>
    <row r="903" spans="1:27" x14ac:dyDescent="0.25">
      <c r="A903" s="3">
        <f>DATE(Tab_Calculs[[#This Row],[ANNEE]],Tab_Calculs[[#This Row],[MOIS]],1)</f>
        <v>44013</v>
      </c>
      <c r="B903" s="3">
        <f>EDATE(Tab_Calculs[[#This Row],[Début mois]],1)-1</f>
        <v>44043</v>
      </c>
      <c r="C903">
        <f t="shared" si="29"/>
        <v>7</v>
      </c>
      <c r="D903">
        <f t="shared" si="30"/>
        <v>2020</v>
      </c>
      <c r="E903" t="s">
        <v>84</v>
      </c>
      <c r="F903" t="str">
        <f>SUBSTITUTE(Tab_Calculs[[#This Row],[Compteur]]," ","_")</f>
        <v>Compteur_5</v>
      </c>
      <c r="G903" t="str">
        <f>T(INDEX(Site!$B$33:$G$40, MATCH(Tab_Calculs[[#This Row],[Compteur]], Site!$B$33:$B$40,0),2))</f>
        <v/>
      </c>
      <c r="H903" s="3">
        <f t="array" aca="1" ref="H903" ca="1">MIN(IF(INDIRECT(CONCATENATE(Tab_Calculs[[#This Row],[Colonne1]],"!$B$2:$B$243"))&gt;=Calculs_Consos!$A903,INDIRECT(CONCATENATE(Tab_Calculs[[#This Row],[Colonne1]],"!$B$2:$B$243"))))</f>
        <v>0</v>
      </c>
      <c r="I903" s="3">
        <f ca="1">INDEX(INDIRECT(CONCATENATE("Tab_",Tab_Calculs[[#This Row],[Colonne1]])),Tab_Calculs[[#This Row],[index_date_livraison]],1)</f>
        <v>0</v>
      </c>
      <c r="J903">
        <f ca="1">MATCH(Tab_Calculs[[#This Row],[Date_livraison]],INDIRECT(CONCATENATE("Tab_",Tab_Calculs[[#This Row],[Colonne1]],"[Fin de période]")),0)</f>
        <v>1</v>
      </c>
      <c r="K903" t="e">
        <f ca="1">INDEX(INDIRECT(CONCATENATE("Tab_",Tab_Calculs[[#This Row],[Colonne1]])),Tab_Calculs[[#This Row],[index_date_livraison]]-1,6)*(MAX(Tab_Calculs[[#This Row],[Début periode livraison]],Tab_Calculs[[#This Row],[Début mois]])-Tab_Calculs[[#This Row],[Début mois]])</f>
        <v>#VALUE!</v>
      </c>
      <c r="L903" s="94">
        <f ca="1">INDEX(INDIRECT(CONCATENATE("Tab_",Tab_Calculs[[#This Row],[Colonne1]])),Tab_Calculs[[#This Row],[index_date_livraison]],6)*(1+MIN(Tab_Calculs[[#This Row],[Date_livraison]],Tab_Calculs[[#This Row],[fin mois]])-MAX(Tab_Calculs[[#This Row],[Début mois]],Tab_Calculs[[#This Row],[Début periode livraison]]))</f>
        <v>0</v>
      </c>
      <c r="M903" s="94" t="e">
        <f ca="1">INDEX(INDIRECT(CONCATENATE("Tab_",Tab_Calculs[[#This Row],[Colonne1]])),Tab_Calculs[[#This Row],[index_date_livraison]]+1,6)*(Tab_Calculs[[#This Row],[fin mois]]-MIN(Tab_Calculs[[#This Row],[fin mois]],Tab_Calculs[[#This Row],[Date_livraison]]))</f>
        <v>#VALUE!</v>
      </c>
      <c r="N903" s="231" t="str">
        <f ca="1">IFERROR(Tab_Calculs[[#This Row],[Ratio_jour_après_livr]]+Tab_Calculs[[#This Row],[Ratio_jour_avant_livr]]+Tab_Calculs[[#This Row],[ratio_avant_debut]],"")</f>
        <v/>
      </c>
      <c r="O903" t="e">
        <f ca="1">INDEX(INDIRECT(CONCATENATE("Tab_",Tab_Calculs[[#This Row],[Colonne1]])),Tab_Calculs[[#This Row],[index_date_livraison]]-1,7)*(MAX(Tab_Calculs[[#This Row],[Début periode livraison]],Tab_Calculs[[#This Row],[Début mois]])-Tab_Calculs[[#This Row],[Début mois]])</f>
        <v>#VALUE!</v>
      </c>
      <c r="P903">
        <f ca="1">INDEX(INDIRECT(CONCATENATE("Tab_",Tab_Calculs[[#This Row],[Colonne1]])),Tab_Calculs[[#This Row],[index_date_livraison]],7)*(1+MIN(Tab_Calculs[[#This Row],[Date_livraison]],Tab_Calculs[[#This Row],[fin mois]])-MAX(Tab_Calculs[[#This Row],[Début mois]],Tab_Calculs[[#This Row],[Début periode livraison]]))</f>
        <v>0</v>
      </c>
      <c r="Q903" t="e">
        <f ca="1">INDEX(INDIRECT(CONCATENATE("Tab_",Tab_Calculs[[#This Row],[Colonne1]])),Tab_Calculs[[#This Row],[index_date_livraison]]+1,7)*(Tab_Calculs[[#This Row],[fin mois]]-MIN(Tab_Calculs[[#This Row],[fin mois]],Tab_Calculs[[#This Row],[Date_livraison]]))</f>
        <v>#VALUE!</v>
      </c>
      <c r="R903" t="e">
        <f ca="1">Tab_Calculs[[#This Row],[Ratio_Cout_après_livr]]+Tab_Calculs[[#This Row],[Ratio_Cout_avant_livr]]+Tab_Calculs[[#This Row],[Ratio_Cout_avant_debut]]</f>
        <v>#VALUE!</v>
      </c>
      <c r="S903" t="str">
        <f ca="1">IFERROR(N903*VLOOKUP(Tab_Calculs[[#This Row],[Colonne1]],Controle_des_données!$B$7:$G$14,6,FALSE),"")</f>
        <v/>
      </c>
      <c r="T903" t="str">
        <f ca="1">IF(Tab_Calculs[[#This Row],[Combustible ]]="Electricité (kWh)",Tab_Calculs[[#This Row],[Conso_mois_kWh]]*2.3,Tab_Calculs[[#This Row],[Conso_mois_kWh]])</f>
        <v/>
      </c>
      <c r="U903" t="str">
        <f ca="1">IFERROR(N903*VLOOKUP(Tab_Calculs[[#This Row],[Colonne1]],Controle_des_données!$B$7:$H$14,7,FALSE),"")</f>
        <v/>
      </c>
      <c r="V903">
        <f ca="1">IFERROR(Tab_Calculs[[#This Row],[Cout_mois]]/Tab_Calculs[[#This Row],[Conso_mois_kWh]],0)</f>
        <v>0</v>
      </c>
      <c r="W903" t="str">
        <f>T(VLOOKUP(Tab_Calculs[[#This Row],[Compteur]],Site!$B$33:$G$40,3,FALSE))</f>
        <v/>
      </c>
      <c r="X903" t="str">
        <f>T(VLOOKUP(Tab_Calculs[[#This Row],[Compteur]],Site!$B$33:$G$40,4,FALSE))</f>
        <v/>
      </c>
      <c r="Y903" t="str">
        <f>T(VLOOKUP(Tab_Calculs[[#This Row],[Compteur]],Site!$B$33:$G$40,5,FALSE))</f>
        <v/>
      </c>
      <c r="Z903" t="str">
        <f>T(VLOOKUP(Tab_Calculs[[#This Row],[Compteur]],Site!$B$33:$G$40,6,FALSE))</f>
        <v/>
      </c>
      <c r="AA903">
        <f>IFERROR(GETPIVOTDATA("DJU(chauffagiste)",BDD_DJU!$P$13,"annee",Tab_Calculs[[#This Row],[ANNEE]],"mois_numero",Tab_Calculs[[#This Row],[MOIS]]),0)</f>
        <v>32.299999999999997</v>
      </c>
    </row>
    <row r="904" spans="1:27" x14ac:dyDescent="0.25">
      <c r="A904" s="3">
        <f>DATE(Tab_Calculs[[#This Row],[ANNEE]],Tab_Calculs[[#This Row],[MOIS]],1)</f>
        <v>44044</v>
      </c>
      <c r="B904" s="3">
        <f>EDATE(Tab_Calculs[[#This Row],[Début mois]],1)-1</f>
        <v>44074</v>
      </c>
      <c r="C904">
        <f t="shared" si="29"/>
        <v>8</v>
      </c>
      <c r="D904">
        <f t="shared" si="30"/>
        <v>2020</v>
      </c>
      <c r="E904" t="s">
        <v>84</v>
      </c>
      <c r="F904" t="str">
        <f>SUBSTITUTE(Tab_Calculs[[#This Row],[Compteur]]," ","_")</f>
        <v>Compteur_5</v>
      </c>
      <c r="G904" t="str">
        <f>T(INDEX(Site!$B$33:$G$40, MATCH(Tab_Calculs[[#This Row],[Compteur]], Site!$B$33:$B$40,0),2))</f>
        <v/>
      </c>
      <c r="H904" s="3">
        <f t="array" aca="1" ref="H904" ca="1">MIN(IF(INDIRECT(CONCATENATE(Tab_Calculs[[#This Row],[Colonne1]],"!$B$2:$B$243"))&gt;=Calculs_Consos!$A904,INDIRECT(CONCATENATE(Tab_Calculs[[#This Row],[Colonne1]],"!$B$2:$B$243"))))</f>
        <v>0</v>
      </c>
      <c r="I904" s="3">
        <f ca="1">INDEX(INDIRECT(CONCATENATE("Tab_",Tab_Calculs[[#This Row],[Colonne1]])),Tab_Calculs[[#This Row],[index_date_livraison]],1)</f>
        <v>0</v>
      </c>
      <c r="J904">
        <f ca="1">MATCH(Tab_Calculs[[#This Row],[Date_livraison]],INDIRECT(CONCATENATE("Tab_",Tab_Calculs[[#This Row],[Colonne1]],"[Fin de période]")),0)</f>
        <v>1</v>
      </c>
      <c r="K904" t="e">
        <f ca="1">INDEX(INDIRECT(CONCATENATE("Tab_",Tab_Calculs[[#This Row],[Colonne1]])),Tab_Calculs[[#This Row],[index_date_livraison]]-1,6)*(MAX(Tab_Calculs[[#This Row],[Début periode livraison]],Tab_Calculs[[#This Row],[Début mois]])-Tab_Calculs[[#This Row],[Début mois]])</f>
        <v>#VALUE!</v>
      </c>
      <c r="L904" s="94">
        <f ca="1">INDEX(INDIRECT(CONCATENATE("Tab_",Tab_Calculs[[#This Row],[Colonne1]])),Tab_Calculs[[#This Row],[index_date_livraison]],6)*(1+MIN(Tab_Calculs[[#This Row],[Date_livraison]],Tab_Calculs[[#This Row],[fin mois]])-MAX(Tab_Calculs[[#This Row],[Début mois]],Tab_Calculs[[#This Row],[Début periode livraison]]))</f>
        <v>0</v>
      </c>
      <c r="M904" s="94" t="e">
        <f ca="1">INDEX(INDIRECT(CONCATENATE("Tab_",Tab_Calculs[[#This Row],[Colonne1]])),Tab_Calculs[[#This Row],[index_date_livraison]]+1,6)*(Tab_Calculs[[#This Row],[fin mois]]-MIN(Tab_Calculs[[#This Row],[fin mois]],Tab_Calculs[[#This Row],[Date_livraison]]))</f>
        <v>#VALUE!</v>
      </c>
      <c r="N904" s="231" t="str">
        <f ca="1">IFERROR(Tab_Calculs[[#This Row],[Ratio_jour_après_livr]]+Tab_Calculs[[#This Row],[Ratio_jour_avant_livr]]+Tab_Calculs[[#This Row],[ratio_avant_debut]],"")</f>
        <v/>
      </c>
      <c r="O904" t="e">
        <f ca="1">INDEX(INDIRECT(CONCATENATE("Tab_",Tab_Calculs[[#This Row],[Colonne1]])),Tab_Calculs[[#This Row],[index_date_livraison]]-1,7)*(MAX(Tab_Calculs[[#This Row],[Début periode livraison]],Tab_Calculs[[#This Row],[Début mois]])-Tab_Calculs[[#This Row],[Début mois]])</f>
        <v>#VALUE!</v>
      </c>
      <c r="P904">
        <f ca="1">INDEX(INDIRECT(CONCATENATE("Tab_",Tab_Calculs[[#This Row],[Colonne1]])),Tab_Calculs[[#This Row],[index_date_livraison]],7)*(1+MIN(Tab_Calculs[[#This Row],[Date_livraison]],Tab_Calculs[[#This Row],[fin mois]])-MAX(Tab_Calculs[[#This Row],[Début mois]],Tab_Calculs[[#This Row],[Début periode livraison]]))</f>
        <v>0</v>
      </c>
      <c r="Q904" t="e">
        <f ca="1">INDEX(INDIRECT(CONCATENATE("Tab_",Tab_Calculs[[#This Row],[Colonne1]])),Tab_Calculs[[#This Row],[index_date_livraison]]+1,7)*(Tab_Calculs[[#This Row],[fin mois]]-MIN(Tab_Calculs[[#This Row],[fin mois]],Tab_Calculs[[#This Row],[Date_livraison]]))</f>
        <v>#VALUE!</v>
      </c>
      <c r="R904" t="e">
        <f ca="1">Tab_Calculs[[#This Row],[Ratio_Cout_après_livr]]+Tab_Calculs[[#This Row],[Ratio_Cout_avant_livr]]+Tab_Calculs[[#This Row],[Ratio_Cout_avant_debut]]</f>
        <v>#VALUE!</v>
      </c>
      <c r="S904" t="str">
        <f ca="1">IFERROR(N904*VLOOKUP(Tab_Calculs[[#This Row],[Colonne1]],Controle_des_données!$B$7:$G$14,6,FALSE),"")</f>
        <v/>
      </c>
      <c r="T904" t="str">
        <f ca="1">IF(Tab_Calculs[[#This Row],[Combustible ]]="Electricité (kWh)",Tab_Calculs[[#This Row],[Conso_mois_kWh]]*2.3,Tab_Calculs[[#This Row],[Conso_mois_kWh]])</f>
        <v/>
      </c>
      <c r="U904" t="str">
        <f ca="1">IFERROR(N904*VLOOKUP(Tab_Calculs[[#This Row],[Colonne1]],Controle_des_données!$B$7:$H$14,7,FALSE),"")</f>
        <v/>
      </c>
      <c r="V904">
        <f ca="1">IFERROR(Tab_Calculs[[#This Row],[Cout_mois]]/Tab_Calculs[[#This Row],[Conso_mois_kWh]],0)</f>
        <v>0</v>
      </c>
      <c r="W904" t="str">
        <f>T(VLOOKUP(Tab_Calculs[[#This Row],[Compteur]],Site!$B$33:$G$40,3,FALSE))</f>
        <v/>
      </c>
      <c r="X904" t="str">
        <f>T(VLOOKUP(Tab_Calculs[[#This Row],[Compteur]],Site!$B$33:$G$40,4,FALSE))</f>
        <v/>
      </c>
      <c r="Y904" t="str">
        <f>T(VLOOKUP(Tab_Calculs[[#This Row],[Compteur]],Site!$B$33:$G$40,5,FALSE))</f>
        <v/>
      </c>
      <c r="Z904" t="str">
        <f>T(VLOOKUP(Tab_Calculs[[#This Row],[Compteur]],Site!$B$33:$G$40,6,FALSE))</f>
        <v/>
      </c>
      <c r="AA904">
        <f>IFERROR(GETPIVOTDATA("DJU(chauffagiste)",BDD_DJU!$P$13,"annee",Tab_Calculs[[#This Row],[ANNEE]],"mois_numero",Tab_Calculs[[#This Row],[MOIS]]),0)</f>
        <v>27.8</v>
      </c>
    </row>
    <row r="905" spans="1:27" x14ac:dyDescent="0.25">
      <c r="A905" s="3">
        <f>DATE(Tab_Calculs[[#This Row],[ANNEE]],Tab_Calculs[[#This Row],[MOIS]],1)</f>
        <v>44075</v>
      </c>
      <c r="B905" s="3">
        <f>EDATE(Tab_Calculs[[#This Row],[Début mois]],1)-1</f>
        <v>44104</v>
      </c>
      <c r="C905">
        <f t="shared" si="29"/>
        <v>9</v>
      </c>
      <c r="D905">
        <f t="shared" si="30"/>
        <v>2020</v>
      </c>
      <c r="E905" t="s">
        <v>84</v>
      </c>
      <c r="F905" t="str">
        <f>SUBSTITUTE(Tab_Calculs[[#This Row],[Compteur]]," ","_")</f>
        <v>Compteur_5</v>
      </c>
      <c r="G905" t="str">
        <f>T(INDEX(Site!$B$33:$G$40, MATCH(Tab_Calculs[[#This Row],[Compteur]], Site!$B$33:$B$40,0),2))</f>
        <v/>
      </c>
      <c r="H905" s="3">
        <f t="array" aca="1" ref="H905" ca="1">MIN(IF(INDIRECT(CONCATENATE(Tab_Calculs[[#This Row],[Colonne1]],"!$B$2:$B$243"))&gt;=Calculs_Consos!$A905,INDIRECT(CONCATENATE(Tab_Calculs[[#This Row],[Colonne1]],"!$B$2:$B$243"))))</f>
        <v>0</v>
      </c>
      <c r="I905" s="3">
        <f ca="1">INDEX(INDIRECT(CONCATENATE("Tab_",Tab_Calculs[[#This Row],[Colonne1]])),Tab_Calculs[[#This Row],[index_date_livraison]],1)</f>
        <v>0</v>
      </c>
      <c r="J905">
        <f ca="1">MATCH(Tab_Calculs[[#This Row],[Date_livraison]],INDIRECT(CONCATENATE("Tab_",Tab_Calculs[[#This Row],[Colonne1]],"[Fin de période]")),0)</f>
        <v>1</v>
      </c>
      <c r="K905" t="e">
        <f ca="1">INDEX(INDIRECT(CONCATENATE("Tab_",Tab_Calculs[[#This Row],[Colonne1]])),Tab_Calculs[[#This Row],[index_date_livraison]]-1,6)*(MAX(Tab_Calculs[[#This Row],[Début periode livraison]],Tab_Calculs[[#This Row],[Début mois]])-Tab_Calculs[[#This Row],[Début mois]])</f>
        <v>#VALUE!</v>
      </c>
      <c r="L905" s="94">
        <f ca="1">INDEX(INDIRECT(CONCATENATE("Tab_",Tab_Calculs[[#This Row],[Colonne1]])),Tab_Calculs[[#This Row],[index_date_livraison]],6)*(1+MIN(Tab_Calculs[[#This Row],[Date_livraison]],Tab_Calculs[[#This Row],[fin mois]])-MAX(Tab_Calculs[[#This Row],[Début mois]],Tab_Calculs[[#This Row],[Début periode livraison]]))</f>
        <v>0</v>
      </c>
      <c r="M905" s="94" t="e">
        <f ca="1">INDEX(INDIRECT(CONCATENATE("Tab_",Tab_Calculs[[#This Row],[Colonne1]])),Tab_Calculs[[#This Row],[index_date_livraison]]+1,6)*(Tab_Calculs[[#This Row],[fin mois]]-MIN(Tab_Calculs[[#This Row],[fin mois]],Tab_Calculs[[#This Row],[Date_livraison]]))</f>
        <v>#VALUE!</v>
      </c>
      <c r="N905" s="231" t="str">
        <f ca="1">IFERROR(Tab_Calculs[[#This Row],[Ratio_jour_après_livr]]+Tab_Calculs[[#This Row],[Ratio_jour_avant_livr]]+Tab_Calculs[[#This Row],[ratio_avant_debut]],"")</f>
        <v/>
      </c>
      <c r="O905" t="e">
        <f ca="1">INDEX(INDIRECT(CONCATENATE("Tab_",Tab_Calculs[[#This Row],[Colonne1]])),Tab_Calculs[[#This Row],[index_date_livraison]]-1,7)*(MAX(Tab_Calculs[[#This Row],[Début periode livraison]],Tab_Calculs[[#This Row],[Début mois]])-Tab_Calculs[[#This Row],[Début mois]])</f>
        <v>#VALUE!</v>
      </c>
      <c r="P905">
        <f ca="1">INDEX(INDIRECT(CONCATENATE("Tab_",Tab_Calculs[[#This Row],[Colonne1]])),Tab_Calculs[[#This Row],[index_date_livraison]],7)*(1+MIN(Tab_Calculs[[#This Row],[Date_livraison]],Tab_Calculs[[#This Row],[fin mois]])-MAX(Tab_Calculs[[#This Row],[Début mois]],Tab_Calculs[[#This Row],[Début periode livraison]]))</f>
        <v>0</v>
      </c>
      <c r="Q905" t="e">
        <f ca="1">INDEX(INDIRECT(CONCATENATE("Tab_",Tab_Calculs[[#This Row],[Colonne1]])),Tab_Calculs[[#This Row],[index_date_livraison]]+1,7)*(Tab_Calculs[[#This Row],[fin mois]]-MIN(Tab_Calculs[[#This Row],[fin mois]],Tab_Calculs[[#This Row],[Date_livraison]]))</f>
        <v>#VALUE!</v>
      </c>
      <c r="R905" t="e">
        <f ca="1">Tab_Calculs[[#This Row],[Ratio_Cout_après_livr]]+Tab_Calculs[[#This Row],[Ratio_Cout_avant_livr]]+Tab_Calculs[[#This Row],[Ratio_Cout_avant_debut]]</f>
        <v>#VALUE!</v>
      </c>
      <c r="S905" t="str">
        <f ca="1">IFERROR(N905*VLOOKUP(Tab_Calculs[[#This Row],[Colonne1]],Controle_des_données!$B$7:$G$14,6,FALSE),"")</f>
        <v/>
      </c>
      <c r="T905" t="str">
        <f ca="1">IF(Tab_Calculs[[#This Row],[Combustible ]]="Electricité (kWh)",Tab_Calculs[[#This Row],[Conso_mois_kWh]]*2.3,Tab_Calculs[[#This Row],[Conso_mois_kWh]])</f>
        <v/>
      </c>
      <c r="U905" t="str">
        <f ca="1">IFERROR(N905*VLOOKUP(Tab_Calculs[[#This Row],[Colonne1]],Controle_des_données!$B$7:$H$14,7,FALSE),"")</f>
        <v/>
      </c>
      <c r="V905">
        <f ca="1">IFERROR(Tab_Calculs[[#This Row],[Cout_mois]]/Tab_Calculs[[#This Row],[Conso_mois_kWh]],0)</f>
        <v>0</v>
      </c>
      <c r="W905" t="str">
        <f>T(VLOOKUP(Tab_Calculs[[#This Row],[Compteur]],Site!$B$33:$G$40,3,FALSE))</f>
        <v/>
      </c>
      <c r="X905" t="str">
        <f>T(VLOOKUP(Tab_Calculs[[#This Row],[Compteur]],Site!$B$33:$G$40,4,FALSE))</f>
        <v/>
      </c>
      <c r="Y905" t="str">
        <f>T(VLOOKUP(Tab_Calculs[[#This Row],[Compteur]],Site!$B$33:$G$40,5,FALSE))</f>
        <v/>
      </c>
      <c r="Z905" t="str">
        <f>T(VLOOKUP(Tab_Calculs[[#This Row],[Compteur]],Site!$B$33:$G$40,6,FALSE))</f>
        <v/>
      </c>
      <c r="AA905">
        <f>IFERROR(GETPIVOTDATA("DJU(chauffagiste)",BDD_DJU!$P$13,"annee",Tab_Calculs[[#This Row],[ANNEE]],"mois_numero",Tab_Calculs[[#This Row],[MOIS]]),0)</f>
        <v>56.6</v>
      </c>
    </row>
    <row r="906" spans="1:27" x14ac:dyDescent="0.25">
      <c r="A906" s="3">
        <f>DATE(Tab_Calculs[[#This Row],[ANNEE]],Tab_Calculs[[#This Row],[MOIS]],1)</f>
        <v>44105</v>
      </c>
      <c r="B906" s="3">
        <f>EDATE(Tab_Calculs[[#This Row],[Début mois]],1)-1</f>
        <v>44135</v>
      </c>
      <c r="C906">
        <f t="shared" si="29"/>
        <v>10</v>
      </c>
      <c r="D906">
        <f t="shared" si="30"/>
        <v>2020</v>
      </c>
      <c r="E906" t="s">
        <v>84</v>
      </c>
      <c r="F906" t="str">
        <f>SUBSTITUTE(Tab_Calculs[[#This Row],[Compteur]]," ","_")</f>
        <v>Compteur_5</v>
      </c>
      <c r="G906" t="str">
        <f>T(INDEX(Site!$B$33:$G$40, MATCH(Tab_Calculs[[#This Row],[Compteur]], Site!$B$33:$B$40,0),2))</f>
        <v/>
      </c>
      <c r="H906" s="3">
        <f t="array" aca="1" ref="H906" ca="1">MIN(IF(INDIRECT(CONCATENATE(Tab_Calculs[[#This Row],[Colonne1]],"!$B$2:$B$243"))&gt;=Calculs_Consos!$A906,INDIRECT(CONCATENATE(Tab_Calculs[[#This Row],[Colonne1]],"!$B$2:$B$243"))))</f>
        <v>0</v>
      </c>
      <c r="I906" s="3">
        <f ca="1">INDEX(INDIRECT(CONCATENATE("Tab_",Tab_Calculs[[#This Row],[Colonne1]])),Tab_Calculs[[#This Row],[index_date_livraison]],1)</f>
        <v>0</v>
      </c>
      <c r="J906">
        <f ca="1">MATCH(Tab_Calculs[[#This Row],[Date_livraison]],INDIRECT(CONCATENATE("Tab_",Tab_Calculs[[#This Row],[Colonne1]],"[Fin de période]")),0)</f>
        <v>1</v>
      </c>
      <c r="K906" t="e">
        <f ca="1">INDEX(INDIRECT(CONCATENATE("Tab_",Tab_Calculs[[#This Row],[Colonne1]])),Tab_Calculs[[#This Row],[index_date_livraison]]-1,6)*(MAX(Tab_Calculs[[#This Row],[Début periode livraison]],Tab_Calculs[[#This Row],[Début mois]])-Tab_Calculs[[#This Row],[Début mois]])</f>
        <v>#VALUE!</v>
      </c>
      <c r="L906" s="94">
        <f ca="1">INDEX(INDIRECT(CONCATENATE("Tab_",Tab_Calculs[[#This Row],[Colonne1]])),Tab_Calculs[[#This Row],[index_date_livraison]],6)*(1+MIN(Tab_Calculs[[#This Row],[Date_livraison]],Tab_Calculs[[#This Row],[fin mois]])-MAX(Tab_Calculs[[#This Row],[Début mois]],Tab_Calculs[[#This Row],[Début periode livraison]]))</f>
        <v>0</v>
      </c>
      <c r="M906" s="94" t="e">
        <f ca="1">INDEX(INDIRECT(CONCATENATE("Tab_",Tab_Calculs[[#This Row],[Colonne1]])),Tab_Calculs[[#This Row],[index_date_livraison]]+1,6)*(Tab_Calculs[[#This Row],[fin mois]]-MIN(Tab_Calculs[[#This Row],[fin mois]],Tab_Calculs[[#This Row],[Date_livraison]]))</f>
        <v>#VALUE!</v>
      </c>
      <c r="N906" s="231" t="str">
        <f ca="1">IFERROR(Tab_Calculs[[#This Row],[Ratio_jour_après_livr]]+Tab_Calculs[[#This Row],[Ratio_jour_avant_livr]]+Tab_Calculs[[#This Row],[ratio_avant_debut]],"")</f>
        <v/>
      </c>
      <c r="O906" t="e">
        <f ca="1">INDEX(INDIRECT(CONCATENATE("Tab_",Tab_Calculs[[#This Row],[Colonne1]])),Tab_Calculs[[#This Row],[index_date_livraison]]-1,7)*(MAX(Tab_Calculs[[#This Row],[Début periode livraison]],Tab_Calculs[[#This Row],[Début mois]])-Tab_Calculs[[#This Row],[Début mois]])</f>
        <v>#VALUE!</v>
      </c>
      <c r="P906">
        <f ca="1">INDEX(INDIRECT(CONCATENATE("Tab_",Tab_Calculs[[#This Row],[Colonne1]])),Tab_Calculs[[#This Row],[index_date_livraison]],7)*(1+MIN(Tab_Calculs[[#This Row],[Date_livraison]],Tab_Calculs[[#This Row],[fin mois]])-MAX(Tab_Calculs[[#This Row],[Début mois]],Tab_Calculs[[#This Row],[Début periode livraison]]))</f>
        <v>0</v>
      </c>
      <c r="Q906" t="e">
        <f ca="1">INDEX(INDIRECT(CONCATENATE("Tab_",Tab_Calculs[[#This Row],[Colonne1]])),Tab_Calculs[[#This Row],[index_date_livraison]]+1,7)*(Tab_Calculs[[#This Row],[fin mois]]-MIN(Tab_Calculs[[#This Row],[fin mois]],Tab_Calculs[[#This Row],[Date_livraison]]))</f>
        <v>#VALUE!</v>
      </c>
      <c r="R906" t="e">
        <f ca="1">Tab_Calculs[[#This Row],[Ratio_Cout_après_livr]]+Tab_Calculs[[#This Row],[Ratio_Cout_avant_livr]]+Tab_Calculs[[#This Row],[Ratio_Cout_avant_debut]]</f>
        <v>#VALUE!</v>
      </c>
      <c r="S906" t="str">
        <f ca="1">IFERROR(N906*VLOOKUP(Tab_Calculs[[#This Row],[Colonne1]],Controle_des_données!$B$7:$G$14,6,FALSE),"")</f>
        <v/>
      </c>
      <c r="T906" t="str">
        <f ca="1">IF(Tab_Calculs[[#This Row],[Combustible ]]="Electricité (kWh)",Tab_Calculs[[#This Row],[Conso_mois_kWh]]*2.3,Tab_Calculs[[#This Row],[Conso_mois_kWh]])</f>
        <v/>
      </c>
      <c r="U906" t="str">
        <f ca="1">IFERROR(N906*VLOOKUP(Tab_Calculs[[#This Row],[Colonne1]],Controle_des_données!$B$7:$H$14,7,FALSE),"")</f>
        <v/>
      </c>
      <c r="V906">
        <f ca="1">IFERROR(Tab_Calculs[[#This Row],[Cout_mois]]/Tab_Calculs[[#This Row],[Conso_mois_kWh]],0)</f>
        <v>0</v>
      </c>
      <c r="W906" t="str">
        <f>T(VLOOKUP(Tab_Calculs[[#This Row],[Compteur]],Site!$B$33:$G$40,3,FALSE))</f>
        <v/>
      </c>
      <c r="X906" t="str">
        <f>T(VLOOKUP(Tab_Calculs[[#This Row],[Compteur]],Site!$B$33:$G$40,4,FALSE))</f>
        <v/>
      </c>
      <c r="Y906" t="str">
        <f>T(VLOOKUP(Tab_Calculs[[#This Row],[Compteur]],Site!$B$33:$G$40,5,FALSE))</f>
        <v/>
      </c>
      <c r="Z906" t="str">
        <f>T(VLOOKUP(Tab_Calculs[[#This Row],[Compteur]],Site!$B$33:$G$40,6,FALSE))</f>
        <v/>
      </c>
      <c r="AA906">
        <f>IFERROR(GETPIVOTDATA("DJU(chauffagiste)",BDD_DJU!$P$13,"annee",Tab_Calculs[[#This Row],[ANNEE]],"mois_numero",Tab_Calculs[[#This Row],[MOIS]]),0)</f>
        <v>159.30000000000001</v>
      </c>
    </row>
    <row r="907" spans="1:27" x14ac:dyDescent="0.25">
      <c r="A907" s="3">
        <f>DATE(Tab_Calculs[[#This Row],[ANNEE]],Tab_Calculs[[#This Row],[MOIS]],1)</f>
        <v>44136</v>
      </c>
      <c r="B907" s="3">
        <f>EDATE(Tab_Calculs[[#This Row],[Début mois]],1)-1</f>
        <v>44165</v>
      </c>
      <c r="C907">
        <f t="shared" si="29"/>
        <v>11</v>
      </c>
      <c r="D907">
        <f t="shared" si="30"/>
        <v>2020</v>
      </c>
      <c r="E907" t="s">
        <v>84</v>
      </c>
      <c r="F907" t="str">
        <f>SUBSTITUTE(Tab_Calculs[[#This Row],[Compteur]]," ","_")</f>
        <v>Compteur_5</v>
      </c>
      <c r="G907" t="str">
        <f>T(INDEX(Site!$B$33:$G$40, MATCH(Tab_Calculs[[#This Row],[Compteur]], Site!$B$33:$B$40,0),2))</f>
        <v/>
      </c>
      <c r="H907" s="3">
        <f t="array" aca="1" ref="H907" ca="1">MIN(IF(INDIRECT(CONCATENATE(Tab_Calculs[[#This Row],[Colonne1]],"!$B$2:$B$243"))&gt;=Calculs_Consos!$A907,INDIRECT(CONCATENATE(Tab_Calculs[[#This Row],[Colonne1]],"!$B$2:$B$243"))))</f>
        <v>0</v>
      </c>
      <c r="I907" s="3">
        <f ca="1">INDEX(INDIRECT(CONCATENATE("Tab_",Tab_Calculs[[#This Row],[Colonne1]])),Tab_Calculs[[#This Row],[index_date_livraison]],1)</f>
        <v>0</v>
      </c>
      <c r="J907">
        <f ca="1">MATCH(Tab_Calculs[[#This Row],[Date_livraison]],INDIRECT(CONCATENATE("Tab_",Tab_Calculs[[#This Row],[Colonne1]],"[Fin de période]")),0)</f>
        <v>1</v>
      </c>
      <c r="K907" t="e">
        <f ca="1">INDEX(INDIRECT(CONCATENATE("Tab_",Tab_Calculs[[#This Row],[Colonne1]])),Tab_Calculs[[#This Row],[index_date_livraison]]-1,6)*(MAX(Tab_Calculs[[#This Row],[Début periode livraison]],Tab_Calculs[[#This Row],[Début mois]])-Tab_Calculs[[#This Row],[Début mois]])</f>
        <v>#VALUE!</v>
      </c>
      <c r="L907" s="94">
        <f ca="1">INDEX(INDIRECT(CONCATENATE("Tab_",Tab_Calculs[[#This Row],[Colonne1]])),Tab_Calculs[[#This Row],[index_date_livraison]],6)*(1+MIN(Tab_Calculs[[#This Row],[Date_livraison]],Tab_Calculs[[#This Row],[fin mois]])-MAX(Tab_Calculs[[#This Row],[Début mois]],Tab_Calculs[[#This Row],[Début periode livraison]]))</f>
        <v>0</v>
      </c>
      <c r="M907" s="94" t="e">
        <f ca="1">INDEX(INDIRECT(CONCATENATE("Tab_",Tab_Calculs[[#This Row],[Colonne1]])),Tab_Calculs[[#This Row],[index_date_livraison]]+1,6)*(Tab_Calculs[[#This Row],[fin mois]]-MIN(Tab_Calculs[[#This Row],[fin mois]],Tab_Calculs[[#This Row],[Date_livraison]]))</f>
        <v>#VALUE!</v>
      </c>
      <c r="N907" s="231" t="str">
        <f ca="1">IFERROR(Tab_Calculs[[#This Row],[Ratio_jour_après_livr]]+Tab_Calculs[[#This Row],[Ratio_jour_avant_livr]]+Tab_Calculs[[#This Row],[ratio_avant_debut]],"")</f>
        <v/>
      </c>
      <c r="O907" t="e">
        <f ca="1">INDEX(INDIRECT(CONCATENATE("Tab_",Tab_Calculs[[#This Row],[Colonne1]])),Tab_Calculs[[#This Row],[index_date_livraison]]-1,7)*(MAX(Tab_Calculs[[#This Row],[Début periode livraison]],Tab_Calculs[[#This Row],[Début mois]])-Tab_Calculs[[#This Row],[Début mois]])</f>
        <v>#VALUE!</v>
      </c>
      <c r="P907">
        <f ca="1">INDEX(INDIRECT(CONCATENATE("Tab_",Tab_Calculs[[#This Row],[Colonne1]])),Tab_Calculs[[#This Row],[index_date_livraison]],7)*(1+MIN(Tab_Calculs[[#This Row],[Date_livraison]],Tab_Calculs[[#This Row],[fin mois]])-MAX(Tab_Calculs[[#This Row],[Début mois]],Tab_Calculs[[#This Row],[Début periode livraison]]))</f>
        <v>0</v>
      </c>
      <c r="Q907" t="e">
        <f ca="1">INDEX(INDIRECT(CONCATENATE("Tab_",Tab_Calculs[[#This Row],[Colonne1]])),Tab_Calculs[[#This Row],[index_date_livraison]]+1,7)*(Tab_Calculs[[#This Row],[fin mois]]-MIN(Tab_Calculs[[#This Row],[fin mois]],Tab_Calculs[[#This Row],[Date_livraison]]))</f>
        <v>#VALUE!</v>
      </c>
      <c r="R907" t="e">
        <f ca="1">Tab_Calculs[[#This Row],[Ratio_Cout_après_livr]]+Tab_Calculs[[#This Row],[Ratio_Cout_avant_livr]]+Tab_Calculs[[#This Row],[Ratio_Cout_avant_debut]]</f>
        <v>#VALUE!</v>
      </c>
      <c r="S907" t="str">
        <f ca="1">IFERROR(N907*VLOOKUP(Tab_Calculs[[#This Row],[Colonne1]],Controle_des_données!$B$7:$G$14,6,FALSE),"")</f>
        <v/>
      </c>
      <c r="T907" t="str">
        <f ca="1">IF(Tab_Calculs[[#This Row],[Combustible ]]="Electricité (kWh)",Tab_Calculs[[#This Row],[Conso_mois_kWh]]*2.3,Tab_Calculs[[#This Row],[Conso_mois_kWh]])</f>
        <v/>
      </c>
      <c r="U907" t="str">
        <f ca="1">IFERROR(N907*VLOOKUP(Tab_Calculs[[#This Row],[Colonne1]],Controle_des_données!$B$7:$H$14,7,FALSE),"")</f>
        <v/>
      </c>
      <c r="V907">
        <f ca="1">IFERROR(Tab_Calculs[[#This Row],[Cout_mois]]/Tab_Calculs[[#This Row],[Conso_mois_kWh]],0)</f>
        <v>0</v>
      </c>
      <c r="W907" t="str">
        <f>T(VLOOKUP(Tab_Calculs[[#This Row],[Compteur]],Site!$B$33:$G$40,3,FALSE))</f>
        <v/>
      </c>
      <c r="X907" t="str">
        <f>T(VLOOKUP(Tab_Calculs[[#This Row],[Compteur]],Site!$B$33:$G$40,4,FALSE))</f>
        <v/>
      </c>
      <c r="Y907" t="str">
        <f>T(VLOOKUP(Tab_Calculs[[#This Row],[Compteur]],Site!$B$33:$G$40,5,FALSE))</f>
        <v/>
      </c>
      <c r="Z907" t="str">
        <f>T(VLOOKUP(Tab_Calculs[[#This Row],[Compteur]],Site!$B$33:$G$40,6,FALSE))</f>
        <v/>
      </c>
      <c r="AA907">
        <f>IFERROR(GETPIVOTDATA("DJU(chauffagiste)",BDD_DJU!$P$13,"annee",Tab_Calculs[[#This Row],[ANNEE]],"mois_numero",Tab_Calculs[[#This Row],[MOIS]]),0)</f>
        <v>237.3</v>
      </c>
    </row>
    <row r="908" spans="1:27" x14ac:dyDescent="0.25">
      <c r="A908" s="3">
        <f>DATE(Tab_Calculs[[#This Row],[ANNEE]],Tab_Calculs[[#This Row],[MOIS]],1)</f>
        <v>44166</v>
      </c>
      <c r="B908" s="3">
        <f>EDATE(Tab_Calculs[[#This Row],[Début mois]],1)-1</f>
        <v>44196</v>
      </c>
      <c r="C908">
        <f t="shared" si="29"/>
        <v>12</v>
      </c>
      <c r="D908">
        <f t="shared" si="30"/>
        <v>2020</v>
      </c>
      <c r="E908" t="s">
        <v>84</v>
      </c>
      <c r="F908" t="str">
        <f>SUBSTITUTE(Tab_Calculs[[#This Row],[Compteur]]," ","_")</f>
        <v>Compteur_5</v>
      </c>
      <c r="G908" t="str">
        <f>T(INDEX(Site!$B$33:$G$40, MATCH(Tab_Calculs[[#This Row],[Compteur]], Site!$B$33:$B$40,0),2))</f>
        <v/>
      </c>
      <c r="H908" s="3">
        <f t="array" aca="1" ref="H908" ca="1">MIN(IF(INDIRECT(CONCATENATE(Tab_Calculs[[#This Row],[Colonne1]],"!$B$2:$B$243"))&gt;=Calculs_Consos!$A908,INDIRECT(CONCATENATE(Tab_Calculs[[#This Row],[Colonne1]],"!$B$2:$B$243"))))</f>
        <v>0</v>
      </c>
      <c r="I908" s="3">
        <f ca="1">INDEX(INDIRECT(CONCATENATE("Tab_",Tab_Calculs[[#This Row],[Colonne1]])),Tab_Calculs[[#This Row],[index_date_livraison]],1)</f>
        <v>0</v>
      </c>
      <c r="J908">
        <f ca="1">MATCH(Tab_Calculs[[#This Row],[Date_livraison]],INDIRECT(CONCATENATE("Tab_",Tab_Calculs[[#This Row],[Colonne1]],"[Fin de période]")),0)</f>
        <v>1</v>
      </c>
      <c r="K908" t="e">
        <f ca="1">INDEX(INDIRECT(CONCATENATE("Tab_",Tab_Calculs[[#This Row],[Colonne1]])),Tab_Calculs[[#This Row],[index_date_livraison]]-1,6)*(MAX(Tab_Calculs[[#This Row],[Début periode livraison]],Tab_Calculs[[#This Row],[Début mois]])-Tab_Calculs[[#This Row],[Début mois]])</f>
        <v>#VALUE!</v>
      </c>
      <c r="L908" s="94">
        <f ca="1">INDEX(INDIRECT(CONCATENATE("Tab_",Tab_Calculs[[#This Row],[Colonne1]])),Tab_Calculs[[#This Row],[index_date_livraison]],6)*(1+MIN(Tab_Calculs[[#This Row],[Date_livraison]],Tab_Calculs[[#This Row],[fin mois]])-MAX(Tab_Calculs[[#This Row],[Début mois]],Tab_Calculs[[#This Row],[Début periode livraison]]))</f>
        <v>0</v>
      </c>
      <c r="M908" s="94" t="e">
        <f ca="1">INDEX(INDIRECT(CONCATENATE("Tab_",Tab_Calculs[[#This Row],[Colonne1]])),Tab_Calculs[[#This Row],[index_date_livraison]]+1,6)*(Tab_Calculs[[#This Row],[fin mois]]-MIN(Tab_Calculs[[#This Row],[fin mois]],Tab_Calculs[[#This Row],[Date_livraison]]))</f>
        <v>#VALUE!</v>
      </c>
      <c r="N908" s="231" t="str">
        <f ca="1">IFERROR(Tab_Calculs[[#This Row],[Ratio_jour_après_livr]]+Tab_Calculs[[#This Row],[Ratio_jour_avant_livr]]+Tab_Calculs[[#This Row],[ratio_avant_debut]],"")</f>
        <v/>
      </c>
      <c r="O908" t="e">
        <f ca="1">INDEX(INDIRECT(CONCATENATE("Tab_",Tab_Calculs[[#This Row],[Colonne1]])),Tab_Calculs[[#This Row],[index_date_livraison]]-1,7)*(MAX(Tab_Calculs[[#This Row],[Début periode livraison]],Tab_Calculs[[#This Row],[Début mois]])-Tab_Calculs[[#This Row],[Début mois]])</f>
        <v>#VALUE!</v>
      </c>
      <c r="P908">
        <f ca="1">INDEX(INDIRECT(CONCATENATE("Tab_",Tab_Calculs[[#This Row],[Colonne1]])),Tab_Calculs[[#This Row],[index_date_livraison]],7)*(1+MIN(Tab_Calculs[[#This Row],[Date_livraison]],Tab_Calculs[[#This Row],[fin mois]])-MAX(Tab_Calculs[[#This Row],[Début mois]],Tab_Calculs[[#This Row],[Début periode livraison]]))</f>
        <v>0</v>
      </c>
      <c r="Q908" t="e">
        <f ca="1">INDEX(INDIRECT(CONCATENATE("Tab_",Tab_Calculs[[#This Row],[Colonne1]])),Tab_Calculs[[#This Row],[index_date_livraison]]+1,7)*(Tab_Calculs[[#This Row],[fin mois]]-MIN(Tab_Calculs[[#This Row],[fin mois]],Tab_Calculs[[#This Row],[Date_livraison]]))</f>
        <v>#VALUE!</v>
      </c>
      <c r="R908" t="e">
        <f ca="1">Tab_Calculs[[#This Row],[Ratio_Cout_après_livr]]+Tab_Calculs[[#This Row],[Ratio_Cout_avant_livr]]+Tab_Calculs[[#This Row],[Ratio_Cout_avant_debut]]</f>
        <v>#VALUE!</v>
      </c>
      <c r="S908" t="str">
        <f ca="1">IFERROR(N908*VLOOKUP(Tab_Calculs[[#This Row],[Colonne1]],Controle_des_données!$B$7:$G$14,6,FALSE),"")</f>
        <v/>
      </c>
      <c r="T908" t="str">
        <f ca="1">IF(Tab_Calculs[[#This Row],[Combustible ]]="Electricité (kWh)",Tab_Calculs[[#This Row],[Conso_mois_kWh]]*2.3,Tab_Calculs[[#This Row],[Conso_mois_kWh]])</f>
        <v/>
      </c>
      <c r="U908" t="str">
        <f ca="1">IFERROR(N908*VLOOKUP(Tab_Calculs[[#This Row],[Colonne1]],Controle_des_données!$B$7:$H$14,7,FALSE),"")</f>
        <v/>
      </c>
      <c r="V908">
        <f ca="1">IFERROR(Tab_Calculs[[#This Row],[Cout_mois]]/Tab_Calculs[[#This Row],[Conso_mois_kWh]],0)</f>
        <v>0</v>
      </c>
      <c r="W908" t="str">
        <f>T(VLOOKUP(Tab_Calculs[[#This Row],[Compteur]],Site!$B$33:$G$40,3,FALSE))</f>
        <v/>
      </c>
      <c r="X908" t="str">
        <f>T(VLOOKUP(Tab_Calculs[[#This Row],[Compteur]],Site!$B$33:$G$40,4,FALSE))</f>
        <v/>
      </c>
      <c r="Y908" t="str">
        <f>T(VLOOKUP(Tab_Calculs[[#This Row],[Compteur]],Site!$B$33:$G$40,5,FALSE))</f>
        <v/>
      </c>
      <c r="Z908" t="str">
        <f>T(VLOOKUP(Tab_Calculs[[#This Row],[Compteur]],Site!$B$33:$G$40,6,FALSE))</f>
        <v/>
      </c>
      <c r="AA908">
        <f>IFERROR(GETPIVOTDATA("DJU(chauffagiste)",BDD_DJU!$P$13,"annee",Tab_Calculs[[#This Row],[ANNEE]],"mois_numero",Tab_Calculs[[#This Row],[MOIS]]),0)</f>
        <v>334.4</v>
      </c>
    </row>
    <row r="909" spans="1:27" x14ac:dyDescent="0.25">
      <c r="A909" s="3">
        <f>DATE(Tab_Calculs[[#This Row],[ANNEE]],Tab_Calculs[[#This Row],[MOIS]],1)</f>
        <v>44197</v>
      </c>
      <c r="B909" s="3">
        <f>EDATE(Tab_Calculs[[#This Row],[Début mois]],1)-1</f>
        <v>44227</v>
      </c>
      <c r="C909">
        <f t="shared" si="29"/>
        <v>1</v>
      </c>
      <c r="D909">
        <f t="shared" si="30"/>
        <v>2021</v>
      </c>
      <c r="E909" t="s">
        <v>84</v>
      </c>
      <c r="F909" t="str">
        <f>SUBSTITUTE(Tab_Calculs[[#This Row],[Compteur]]," ","_")</f>
        <v>Compteur_5</v>
      </c>
      <c r="G909" t="str">
        <f>T(INDEX(Site!$B$33:$G$40, MATCH(Tab_Calculs[[#This Row],[Compteur]], Site!$B$33:$B$40,0),2))</f>
        <v/>
      </c>
      <c r="H909" s="3">
        <f t="array" aca="1" ref="H909" ca="1">MIN(IF(INDIRECT(CONCATENATE(Tab_Calculs[[#This Row],[Colonne1]],"!$B$2:$B$243"))&gt;=Calculs_Consos!$A909,INDIRECT(CONCATENATE(Tab_Calculs[[#This Row],[Colonne1]],"!$B$2:$B$243"))))</f>
        <v>0</v>
      </c>
      <c r="I909" s="3">
        <f ca="1">INDEX(INDIRECT(CONCATENATE("Tab_",Tab_Calculs[[#This Row],[Colonne1]])),Tab_Calculs[[#This Row],[index_date_livraison]],1)</f>
        <v>0</v>
      </c>
      <c r="J909">
        <f ca="1">MATCH(Tab_Calculs[[#This Row],[Date_livraison]],INDIRECT(CONCATENATE("Tab_",Tab_Calculs[[#This Row],[Colonne1]],"[Fin de période]")),0)</f>
        <v>1</v>
      </c>
      <c r="K909" t="e">
        <f ca="1">INDEX(INDIRECT(CONCATENATE("Tab_",Tab_Calculs[[#This Row],[Colonne1]])),Tab_Calculs[[#This Row],[index_date_livraison]]-1,6)*(MAX(Tab_Calculs[[#This Row],[Début periode livraison]],Tab_Calculs[[#This Row],[Début mois]])-Tab_Calculs[[#This Row],[Début mois]])</f>
        <v>#VALUE!</v>
      </c>
      <c r="L909" s="94">
        <f ca="1">INDEX(INDIRECT(CONCATENATE("Tab_",Tab_Calculs[[#This Row],[Colonne1]])),Tab_Calculs[[#This Row],[index_date_livraison]],6)*(1+MIN(Tab_Calculs[[#This Row],[Date_livraison]],Tab_Calculs[[#This Row],[fin mois]])-MAX(Tab_Calculs[[#This Row],[Début mois]],Tab_Calculs[[#This Row],[Début periode livraison]]))</f>
        <v>0</v>
      </c>
      <c r="M909" s="94" t="e">
        <f ca="1">INDEX(INDIRECT(CONCATENATE("Tab_",Tab_Calculs[[#This Row],[Colonne1]])),Tab_Calculs[[#This Row],[index_date_livraison]]+1,6)*(Tab_Calculs[[#This Row],[fin mois]]-MIN(Tab_Calculs[[#This Row],[fin mois]],Tab_Calculs[[#This Row],[Date_livraison]]))</f>
        <v>#VALUE!</v>
      </c>
      <c r="N909" s="231" t="str">
        <f ca="1">IFERROR(Tab_Calculs[[#This Row],[Ratio_jour_après_livr]]+Tab_Calculs[[#This Row],[Ratio_jour_avant_livr]]+Tab_Calculs[[#This Row],[ratio_avant_debut]],"")</f>
        <v/>
      </c>
      <c r="O909" t="e">
        <f ca="1">INDEX(INDIRECT(CONCATENATE("Tab_",Tab_Calculs[[#This Row],[Colonne1]])),Tab_Calculs[[#This Row],[index_date_livraison]]-1,7)*(MAX(Tab_Calculs[[#This Row],[Début periode livraison]],Tab_Calculs[[#This Row],[Début mois]])-Tab_Calculs[[#This Row],[Début mois]])</f>
        <v>#VALUE!</v>
      </c>
      <c r="P909">
        <f ca="1">INDEX(INDIRECT(CONCATENATE("Tab_",Tab_Calculs[[#This Row],[Colonne1]])),Tab_Calculs[[#This Row],[index_date_livraison]],7)*(1+MIN(Tab_Calculs[[#This Row],[Date_livraison]],Tab_Calculs[[#This Row],[fin mois]])-MAX(Tab_Calculs[[#This Row],[Début mois]],Tab_Calculs[[#This Row],[Début periode livraison]]))</f>
        <v>0</v>
      </c>
      <c r="Q909" t="e">
        <f ca="1">INDEX(INDIRECT(CONCATENATE("Tab_",Tab_Calculs[[#This Row],[Colonne1]])),Tab_Calculs[[#This Row],[index_date_livraison]]+1,7)*(Tab_Calculs[[#This Row],[fin mois]]-MIN(Tab_Calculs[[#This Row],[fin mois]],Tab_Calculs[[#This Row],[Date_livraison]]))</f>
        <v>#VALUE!</v>
      </c>
      <c r="R909" t="e">
        <f ca="1">Tab_Calculs[[#This Row],[Ratio_Cout_après_livr]]+Tab_Calculs[[#This Row],[Ratio_Cout_avant_livr]]+Tab_Calculs[[#This Row],[Ratio_Cout_avant_debut]]</f>
        <v>#VALUE!</v>
      </c>
      <c r="S909" t="str">
        <f ca="1">IFERROR(N909*VLOOKUP(Tab_Calculs[[#This Row],[Colonne1]],Controle_des_données!$B$7:$G$14,6,FALSE),"")</f>
        <v/>
      </c>
      <c r="T909" t="str">
        <f ca="1">IF(Tab_Calculs[[#This Row],[Combustible ]]="Electricité (kWh)",Tab_Calculs[[#This Row],[Conso_mois_kWh]]*2.3,Tab_Calculs[[#This Row],[Conso_mois_kWh]])</f>
        <v/>
      </c>
      <c r="U909" t="str">
        <f ca="1">IFERROR(N909*VLOOKUP(Tab_Calculs[[#This Row],[Colonne1]],Controle_des_données!$B$7:$H$14,7,FALSE),"")</f>
        <v/>
      </c>
      <c r="V909">
        <f ca="1">IFERROR(Tab_Calculs[[#This Row],[Cout_mois]]/Tab_Calculs[[#This Row],[Conso_mois_kWh]],0)</f>
        <v>0</v>
      </c>
      <c r="W909" t="str">
        <f>T(VLOOKUP(Tab_Calculs[[#This Row],[Compteur]],Site!$B$33:$G$40,3,FALSE))</f>
        <v/>
      </c>
      <c r="X909" t="str">
        <f>T(VLOOKUP(Tab_Calculs[[#This Row],[Compteur]],Site!$B$33:$G$40,4,FALSE))</f>
        <v/>
      </c>
      <c r="Y909" t="str">
        <f>T(VLOOKUP(Tab_Calculs[[#This Row],[Compteur]],Site!$B$33:$G$40,5,FALSE))</f>
        <v/>
      </c>
      <c r="Z909" t="str">
        <f>T(VLOOKUP(Tab_Calculs[[#This Row],[Compteur]],Site!$B$33:$G$40,6,FALSE))</f>
        <v/>
      </c>
      <c r="AA909">
        <f>IFERROR(GETPIVOTDATA("DJU(chauffagiste)",BDD_DJU!$P$13,"annee",Tab_Calculs[[#This Row],[ANNEE]],"mois_numero",Tab_Calculs[[#This Row],[MOIS]]),0)</f>
        <v>380.1</v>
      </c>
    </row>
    <row r="910" spans="1:27" x14ac:dyDescent="0.25">
      <c r="A910" s="3">
        <f>DATE(Tab_Calculs[[#This Row],[ANNEE]],Tab_Calculs[[#This Row],[MOIS]],1)</f>
        <v>44228</v>
      </c>
      <c r="B910" s="3">
        <f>EDATE(Tab_Calculs[[#This Row],[Début mois]],1)-1</f>
        <v>44255</v>
      </c>
      <c r="C910">
        <f t="shared" si="29"/>
        <v>2</v>
      </c>
      <c r="D910">
        <f t="shared" si="30"/>
        <v>2021</v>
      </c>
      <c r="E910" t="s">
        <v>84</v>
      </c>
      <c r="F910" t="str">
        <f>SUBSTITUTE(Tab_Calculs[[#This Row],[Compteur]]," ","_")</f>
        <v>Compteur_5</v>
      </c>
      <c r="G910" t="str">
        <f>T(INDEX(Site!$B$33:$G$40, MATCH(Tab_Calculs[[#This Row],[Compteur]], Site!$B$33:$B$40,0),2))</f>
        <v/>
      </c>
      <c r="H910" s="3">
        <f t="array" aca="1" ref="H910" ca="1">MIN(IF(INDIRECT(CONCATENATE(Tab_Calculs[[#This Row],[Colonne1]],"!$B$2:$B$243"))&gt;=Calculs_Consos!$A910,INDIRECT(CONCATENATE(Tab_Calculs[[#This Row],[Colonne1]],"!$B$2:$B$243"))))</f>
        <v>0</v>
      </c>
      <c r="I910" s="3">
        <f ca="1">INDEX(INDIRECT(CONCATENATE("Tab_",Tab_Calculs[[#This Row],[Colonne1]])),Tab_Calculs[[#This Row],[index_date_livraison]],1)</f>
        <v>0</v>
      </c>
      <c r="J910">
        <f ca="1">MATCH(Tab_Calculs[[#This Row],[Date_livraison]],INDIRECT(CONCATENATE("Tab_",Tab_Calculs[[#This Row],[Colonne1]],"[Fin de période]")),0)</f>
        <v>1</v>
      </c>
      <c r="K910" t="e">
        <f ca="1">INDEX(INDIRECT(CONCATENATE("Tab_",Tab_Calculs[[#This Row],[Colonne1]])),Tab_Calculs[[#This Row],[index_date_livraison]]-1,6)*(MAX(Tab_Calculs[[#This Row],[Début periode livraison]],Tab_Calculs[[#This Row],[Début mois]])-Tab_Calculs[[#This Row],[Début mois]])</f>
        <v>#VALUE!</v>
      </c>
      <c r="L910" s="94">
        <f ca="1">INDEX(INDIRECT(CONCATENATE("Tab_",Tab_Calculs[[#This Row],[Colonne1]])),Tab_Calculs[[#This Row],[index_date_livraison]],6)*(1+MIN(Tab_Calculs[[#This Row],[Date_livraison]],Tab_Calculs[[#This Row],[fin mois]])-MAX(Tab_Calculs[[#This Row],[Début mois]],Tab_Calculs[[#This Row],[Début periode livraison]]))</f>
        <v>0</v>
      </c>
      <c r="M910" s="94" t="e">
        <f ca="1">INDEX(INDIRECT(CONCATENATE("Tab_",Tab_Calculs[[#This Row],[Colonne1]])),Tab_Calculs[[#This Row],[index_date_livraison]]+1,6)*(Tab_Calculs[[#This Row],[fin mois]]-MIN(Tab_Calculs[[#This Row],[fin mois]],Tab_Calculs[[#This Row],[Date_livraison]]))</f>
        <v>#VALUE!</v>
      </c>
      <c r="N910" s="231" t="str">
        <f ca="1">IFERROR(Tab_Calculs[[#This Row],[Ratio_jour_après_livr]]+Tab_Calculs[[#This Row],[Ratio_jour_avant_livr]]+Tab_Calculs[[#This Row],[ratio_avant_debut]],"")</f>
        <v/>
      </c>
      <c r="O910" t="e">
        <f ca="1">INDEX(INDIRECT(CONCATENATE("Tab_",Tab_Calculs[[#This Row],[Colonne1]])),Tab_Calculs[[#This Row],[index_date_livraison]]-1,7)*(MAX(Tab_Calculs[[#This Row],[Début periode livraison]],Tab_Calculs[[#This Row],[Début mois]])-Tab_Calculs[[#This Row],[Début mois]])</f>
        <v>#VALUE!</v>
      </c>
      <c r="P910">
        <f ca="1">INDEX(INDIRECT(CONCATENATE("Tab_",Tab_Calculs[[#This Row],[Colonne1]])),Tab_Calculs[[#This Row],[index_date_livraison]],7)*(1+MIN(Tab_Calculs[[#This Row],[Date_livraison]],Tab_Calculs[[#This Row],[fin mois]])-MAX(Tab_Calculs[[#This Row],[Début mois]],Tab_Calculs[[#This Row],[Début periode livraison]]))</f>
        <v>0</v>
      </c>
      <c r="Q910" t="e">
        <f ca="1">INDEX(INDIRECT(CONCATENATE("Tab_",Tab_Calculs[[#This Row],[Colonne1]])),Tab_Calculs[[#This Row],[index_date_livraison]]+1,7)*(Tab_Calculs[[#This Row],[fin mois]]-MIN(Tab_Calculs[[#This Row],[fin mois]],Tab_Calculs[[#This Row],[Date_livraison]]))</f>
        <v>#VALUE!</v>
      </c>
      <c r="R910" t="e">
        <f ca="1">Tab_Calculs[[#This Row],[Ratio_Cout_après_livr]]+Tab_Calculs[[#This Row],[Ratio_Cout_avant_livr]]+Tab_Calculs[[#This Row],[Ratio_Cout_avant_debut]]</f>
        <v>#VALUE!</v>
      </c>
      <c r="S910" t="str">
        <f ca="1">IFERROR(N910*VLOOKUP(Tab_Calculs[[#This Row],[Colonne1]],Controle_des_données!$B$7:$G$14,6,FALSE),"")</f>
        <v/>
      </c>
      <c r="T910" t="str">
        <f ca="1">IF(Tab_Calculs[[#This Row],[Combustible ]]="Electricité (kWh)",Tab_Calculs[[#This Row],[Conso_mois_kWh]]*2.3,Tab_Calculs[[#This Row],[Conso_mois_kWh]])</f>
        <v/>
      </c>
      <c r="U910" t="str">
        <f ca="1">IFERROR(N910*VLOOKUP(Tab_Calculs[[#This Row],[Colonne1]],Controle_des_données!$B$7:$H$14,7,FALSE),"")</f>
        <v/>
      </c>
      <c r="V910">
        <f ca="1">IFERROR(Tab_Calculs[[#This Row],[Cout_mois]]/Tab_Calculs[[#This Row],[Conso_mois_kWh]],0)</f>
        <v>0</v>
      </c>
      <c r="W910" t="str">
        <f>T(VLOOKUP(Tab_Calculs[[#This Row],[Compteur]],Site!$B$33:$G$40,3,FALSE))</f>
        <v/>
      </c>
      <c r="X910" t="str">
        <f>T(VLOOKUP(Tab_Calculs[[#This Row],[Compteur]],Site!$B$33:$G$40,4,FALSE))</f>
        <v/>
      </c>
      <c r="Y910" t="str">
        <f>T(VLOOKUP(Tab_Calculs[[#This Row],[Compteur]],Site!$B$33:$G$40,5,FALSE))</f>
        <v/>
      </c>
      <c r="Z910" t="str">
        <f>T(VLOOKUP(Tab_Calculs[[#This Row],[Compteur]],Site!$B$33:$G$40,6,FALSE))</f>
        <v/>
      </c>
      <c r="AA910">
        <f>IFERROR(GETPIVOTDATA("DJU(chauffagiste)",BDD_DJU!$P$13,"annee",Tab_Calculs[[#This Row],[ANNEE]],"mois_numero",Tab_Calculs[[#This Row],[MOIS]]),0)</f>
        <v>299.5</v>
      </c>
    </row>
    <row r="911" spans="1:27" x14ac:dyDescent="0.25">
      <c r="A911" s="3">
        <f>DATE(Tab_Calculs[[#This Row],[ANNEE]],Tab_Calculs[[#This Row],[MOIS]],1)</f>
        <v>44256</v>
      </c>
      <c r="B911" s="3">
        <f>EDATE(Tab_Calculs[[#This Row],[Début mois]],1)-1</f>
        <v>44286</v>
      </c>
      <c r="C911">
        <f t="shared" si="29"/>
        <v>3</v>
      </c>
      <c r="D911">
        <f t="shared" si="30"/>
        <v>2021</v>
      </c>
      <c r="E911" t="s">
        <v>84</v>
      </c>
      <c r="F911" t="str">
        <f>SUBSTITUTE(Tab_Calculs[[#This Row],[Compteur]]," ","_")</f>
        <v>Compteur_5</v>
      </c>
      <c r="G911" t="str">
        <f>T(INDEX(Site!$B$33:$G$40, MATCH(Tab_Calculs[[#This Row],[Compteur]], Site!$B$33:$B$40,0),2))</f>
        <v/>
      </c>
      <c r="H911" s="3">
        <f t="array" aca="1" ref="H911" ca="1">MIN(IF(INDIRECT(CONCATENATE(Tab_Calculs[[#This Row],[Colonne1]],"!$B$2:$B$243"))&gt;=Calculs_Consos!$A911,INDIRECT(CONCATENATE(Tab_Calculs[[#This Row],[Colonne1]],"!$B$2:$B$243"))))</f>
        <v>0</v>
      </c>
      <c r="I911" s="3">
        <f ca="1">INDEX(INDIRECT(CONCATENATE("Tab_",Tab_Calculs[[#This Row],[Colonne1]])),Tab_Calculs[[#This Row],[index_date_livraison]],1)</f>
        <v>0</v>
      </c>
      <c r="J911">
        <f ca="1">MATCH(Tab_Calculs[[#This Row],[Date_livraison]],INDIRECT(CONCATENATE("Tab_",Tab_Calculs[[#This Row],[Colonne1]],"[Fin de période]")),0)</f>
        <v>1</v>
      </c>
      <c r="K911" t="e">
        <f ca="1">INDEX(INDIRECT(CONCATENATE("Tab_",Tab_Calculs[[#This Row],[Colonne1]])),Tab_Calculs[[#This Row],[index_date_livraison]]-1,6)*(MAX(Tab_Calculs[[#This Row],[Début periode livraison]],Tab_Calculs[[#This Row],[Début mois]])-Tab_Calculs[[#This Row],[Début mois]])</f>
        <v>#VALUE!</v>
      </c>
      <c r="L911" s="94">
        <f ca="1">INDEX(INDIRECT(CONCATENATE("Tab_",Tab_Calculs[[#This Row],[Colonne1]])),Tab_Calculs[[#This Row],[index_date_livraison]],6)*(1+MIN(Tab_Calculs[[#This Row],[Date_livraison]],Tab_Calculs[[#This Row],[fin mois]])-MAX(Tab_Calculs[[#This Row],[Début mois]],Tab_Calculs[[#This Row],[Début periode livraison]]))</f>
        <v>0</v>
      </c>
      <c r="M911" s="94" t="e">
        <f ca="1">INDEX(INDIRECT(CONCATENATE("Tab_",Tab_Calculs[[#This Row],[Colonne1]])),Tab_Calculs[[#This Row],[index_date_livraison]]+1,6)*(Tab_Calculs[[#This Row],[fin mois]]-MIN(Tab_Calculs[[#This Row],[fin mois]],Tab_Calculs[[#This Row],[Date_livraison]]))</f>
        <v>#VALUE!</v>
      </c>
      <c r="N911" s="231" t="str">
        <f ca="1">IFERROR(Tab_Calculs[[#This Row],[Ratio_jour_après_livr]]+Tab_Calculs[[#This Row],[Ratio_jour_avant_livr]]+Tab_Calculs[[#This Row],[ratio_avant_debut]],"")</f>
        <v/>
      </c>
      <c r="O911" t="e">
        <f ca="1">INDEX(INDIRECT(CONCATENATE("Tab_",Tab_Calculs[[#This Row],[Colonne1]])),Tab_Calculs[[#This Row],[index_date_livraison]]-1,7)*(MAX(Tab_Calculs[[#This Row],[Début periode livraison]],Tab_Calculs[[#This Row],[Début mois]])-Tab_Calculs[[#This Row],[Début mois]])</f>
        <v>#VALUE!</v>
      </c>
      <c r="P911">
        <f ca="1">INDEX(INDIRECT(CONCATENATE("Tab_",Tab_Calculs[[#This Row],[Colonne1]])),Tab_Calculs[[#This Row],[index_date_livraison]],7)*(1+MIN(Tab_Calculs[[#This Row],[Date_livraison]],Tab_Calculs[[#This Row],[fin mois]])-MAX(Tab_Calculs[[#This Row],[Début mois]],Tab_Calculs[[#This Row],[Début periode livraison]]))</f>
        <v>0</v>
      </c>
      <c r="Q911" t="e">
        <f ca="1">INDEX(INDIRECT(CONCATENATE("Tab_",Tab_Calculs[[#This Row],[Colonne1]])),Tab_Calculs[[#This Row],[index_date_livraison]]+1,7)*(Tab_Calculs[[#This Row],[fin mois]]-MIN(Tab_Calculs[[#This Row],[fin mois]],Tab_Calculs[[#This Row],[Date_livraison]]))</f>
        <v>#VALUE!</v>
      </c>
      <c r="R911" t="e">
        <f ca="1">Tab_Calculs[[#This Row],[Ratio_Cout_après_livr]]+Tab_Calculs[[#This Row],[Ratio_Cout_avant_livr]]+Tab_Calculs[[#This Row],[Ratio_Cout_avant_debut]]</f>
        <v>#VALUE!</v>
      </c>
      <c r="S911" t="str">
        <f ca="1">IFERROR(N911*VLOOKUP(Tab_Calculs[[#This Row],[Colonne1]],Controle_des_données!$B$7:$G$14,6,FALSE),"")</f>
        <v/>
      </c>
      <c r="T911" t="str">
        <f ca="1">IF(Tab_Calculs[[#This Row],[Combustible ]]="Electricité (kWh)",Tab_Calculs[[#This Row],[Conso_mois_kWh]]*2.3,Tab_Calculs[[#This Row],[Conso_mois_kWh]])</f>
        <v/>
      </c>
      <c r="U911" t="str">
        <f ca="1">IFERROR(N911*VLOOKUP(Tab_Calculs[[#This Row],[Colonne1]],Controle_des_données!$B$7:$H$14,7,FALSE),"")</f>
        <v/>
      </c>
      <c r="V911">
        <f ca="1">IFERROR(Tab_Calculs[[#This Row],[Cout_mois]]/Tab_Calculs[[#This Row],[Conso_mois_kWh]],0)</f>
        <v>0</v>
      </c>
      <c r="W911" t="str">
        <f>T(VLOOKUP(Tab_Calculs[[#This Row],[Compteur]],Site!$B$33:$G$40,3,FALSE))</f>
        <v/>
      </c>
      <c r="X911" t="str">
        <f>T(VLOOKUP(Tab_Calculs[[#This Row],[Compteur]],Site!$B$33:$G$40,4,FALSE))</f>
        <v/>
      </c>
      <c r="Y911" t="str">
        <f>T(VLOOKUP(Tab_Calculs[[#This Row],[Compteur]],Site!$B$33:$G$40,5,FALSE))</f>
        <v/>
      </c>
      <c r="Z911" t="str">
        <f>T(VLOOKUP(Tab_Calculs[[#This Row],[Compteur]],Site!$B$33:$G$40,6,FALSE))</f>
        <v/>
      </c>
      <c r="AA911">
        <f>IFERROR(GETPIVOTDATA("DJU(chauffagiste)",BDD_DJU!$P$13,"annee",Tab_Calculs[[#This Row],[ANNEE]],"mois_numero",Tab_Calculs[[#This Row],[MOIS]]),0)</f>
        <v>303.89999999999998</v>
      </c>
    </row>
    <row r="912" spans="1:27" x14ac:dyDescent="0.25">
      <c r="A912" s="3">
        <f>DATE(Tab_Calculs[[#This Row],[ANNEE]],Tab_Calculs[[#This Row],[MOIS]],1)</f>
        <v>44287</v>
      </c>
      <c r="B912" s="3">
        <f>EDATE(Tab_Calculs[[#This Row],[Début mois]],1)-1</f>
        <v>44316</v>
      </c>
      <c r="C912">
        <f t="shared" si="29"/>
        <v>4</v>
      </c>
      <c r="D912">
        <f t="shared" si="30"/>
        <v>2021</v>
      </c>
      <c r="E912" t="s">
        <v>84</v>
      </c>
      <c r="F912" t="str">
        <f>SUBSTITUTE(Tab_Calculs[[#This Row],[Compteur]]," ","_")</f>
        <v>Compteur_5</v>
      </c>
      <c r="G912" t="str">
        <f>T(INDEX(Site!$B$33:$G$40, MATCH(Tab_Calculs[[#This Row],[Compteur]], Site!$B$33:$B$40,0),2))</f>
        <v/>
      </c>
      <c r="H912" s="3">
        <f t="array" aca="1" ref="H912" ca="1">MIN(IF(INDIRECT(CONCATENATE(Tab_Calculs[[#This Row],[Colonne1]],"!$B$2:$B$243"))&gt;=Calculs_Consos!$A912,INDIRECT(CONCATENATE(Tab_Calculs[[#This Row],[Colonne1]],"!$B$2:$B$243"))))</f>
        <v>0</v>
      </c>
      <c r="I912" s="3">
        <f ca="1">INDEX(INDIRECT(CONCATENATE("Tab_",Tab_Calculs[[#This Row],[Colonne1]])),Tab_Calculs[[#This Row],[index_date_livraison]],1)</f>
        <v>0</v>
      </c>
      <c r="J912">
        <f ca="1">MATCH(Tab_Calculs[[#This Row],[Date_livraison]],INDIRECT(CONCATENATE("Tab_",Tab_Calculs[[#This Row],[Colonne1]],"[Fin de période]")),0)</f>
        <v>1</v>
      </c>
      <c r="K912" t="e">
        <f ca="1">INDEX(INDIRECT(CONCATENATE("Tab_",Tab_Calculs[[#This Row],[Colonne1]])),Tab_Calculs[[#This Row],[index_date_livraison]]-1,6)*(MAX(Tab_Calculs[[#This Row],[Début periode livraison]],Tab_Calculs[[#This Row],[Début mois]])-Tab_Calculs[[#This Row],[Début mois]])</f>
        <v>#VALUE!</v>
      </c>
      <c r="L912" s="94">
        <f ca="1">INDEX(INDIRECT(CONCATENATE("Tab_",Tab_Calculs[[#This Row],[Colonne1]])),Tab_Calculs[[#This Row],[index_date_livraison]],6)*(1+MIN(Tab_Calculs[[#This Row],[Date_livraison]],Tab_Calculs[[#This Row],[fin mois]])-MAX(Tab_Calculs[[#This Row],[Début mois]],Tab_Calculs[[#This Row],[Début periode livraison]]))</f>
        <v>0</v>
      </c>
      <c r="M912" s="94" t="e">
        <f ca="1">INDEX(INDIRECT(CONCATENATE("Tab_",Tab_Calculs[[#This Row],[Colonne1]])),Tab_Calculs[[#This Row],[index_date_livraison]]+1,6)*(Tab_Calculs[[#This Row],[fin mois]]-MIN(Tab_Calculs[[#This Row],[fin mois]],Tab_Calculs[[#This Row],[Date_livraison]]))</f>
        <v>#VALUE!</v>
      </c>
      <c r="N912" s="231" t="str">
        <f ca="1">IFERROR(Tab_Calculs[[#This Row],[Ratio_jour_après_livr]]+Tab_Calculs[[#This Row],[Ratio_jour_avant_livr]]+Tab_Calculs[[#This Row],[ratio_avant_debut]],"")</f>
        <v/>
      </c>
      <c r="O912" t="e">
        <f ca="1">INDEX(INDIRECT(CONCATENATE("Tab_",Tab_Calculs[[#This Row],[Colonne1]])),Tab_Calculs[[#This Row],[index_date_livraison]]-1,7)*(MAX(Tab_Calculs[[#This Row],[Début periode livraison]],Tab_Calculs[[#This Row],[Début mois]])-Tab_Calculs[[#This Row],[Début mois]])</f>
        <v>#VALUE!</v>
      </c>
      <c r="P912">
        <f ca="1">INDEX(INDIRECT(CONCATENATE("Tab_",Tab_Calculs[[#This Row],[Colonne1]])),Tab_Calculs[[#This Row],[index_date_livraison]],7)*(1+MIN(Tab_Calculs[[#This Row],[Date_livraison]],Tab_Calculs[[#This Row],[fin mois]])-MAX(Tab_Calculs[[#This Row],[Début mois]],Tab_Calculs[[#This Row],[Début periode livraison]]))</f>
        <v>0</v>
      </c>
      <c r="Q912" t="e">
        <f ca="1">INDEX(INDIRECT(CONCATENATE("Tab_",Tab_Calculs[[#This Row],[Colonne1]])),Tab_Calculs[[#This Row],[index_date_livraison]]+1,7)*(Tab_Calculs[[#This Row],[fin mois]]-MIN(Tab_Calculs[[#This Row],[fin mois]],Tab_Calculs[[#This Row],[Date_livraison]]))</f>
        <v>#VALUE!</v>
      </c>
      <c r="R912" t="e">
        <f ca="1">Tab_Calculs[[#This Row],[Ratio_Cout_après_livr]]+Tab_Calculs[[#This Row],[Ratio_Cout_avant_livr]]+Tab_Calculs[[#This Row],[Ratio_Cout_avant_debut]]</f>
        <v>#VALUE!</v>
      </c>
      <c r="S912" t="str">
        <f ca="1">IFERROR(N912*VLOOKUP(Tab_Calculs[[#This Row],[Colonne1]],Controle_des_données!$B$7:$G$14,6,FALSE),"")</f>
        <v/>
      </c>
      <c r="T912" t="str">
        <f ca="1">IF(Tab_Calculs[[#This Row],[Combustible ]]="Electricité (kWh)",Tab_Calculs[[#This Row],[Conso_mois_kWh]]*2.3,Tab_Calculs[[#This Row],[Conso_mois_kWh]])</f>
        <v/>
      </c>
      <c r="U912" t="str">
        <f ca="1">IFERROR(N912*VLOOKUP(Tab_Calculs[[#This Row],[Colonne1]],Controle_des_données!$B$7:$H$14,7,FALSE),"")</f>
        <v/>
      </c>
      <c r="V912">
        <f ca="1">IFERROR(Tab_Calculs[[#This Row],[Cout_mois]]/Tab_Calculs[[#This Row],[Conso_mois_kWh]],0)</f>
        <v>0</v>
      </c>
      <c r="W912" t="str">
        <f>T(VLOOKUP(Tab_Calculs[[#This Row],[Compteur]],Site!$B$33:$G$40,3,FALSE))</f>
        <v/>
      </c>
      <c r="X912" t="str">
        <f>T(VLOOKUP(Tab_Calculs[[#This Row],[Compteur]],Site!$B$33:$G$40,4,FALSE))</f>
        <v/>
      </c>
      <c r="Y912" t="str">
        <f>T(VLOOKUP(Tab_Calculs[[#This Row],[Compteur]],Site!$B$33:$G$40,5,FALSE))</f>
        <v/>
      </c>
      <c r="Z912" t="str">
        <f>T(VLOOKUP(Tab_Calculs[[#This Row],[Compteur]],Site!$B$33:$G$40,6,FALSE))</f>
        <v/>
      </c>
      <c r="AA912">
        <f>IFERROR(GETPIVOTDATA("DJU(chauffagiste)",BDD_DJU!$P$13,"annee",Tab_Calculs[[#This Row],[ANNEE]],"mois_numero",Tab_Calculs[[#This Row],[MOIS]]),0)</f>
        <v>242.8</v>
      </c>
    </row>
    <row r="913" spans="1:27" x14ac:dyDescent="0.25">
      <c r="A913" s="3">
        <f>DATE(Tab_Calculs[[#This Row],[ANNEE]],Tab_Calculs[[#This Row],[MOIS]],1)</f>
        <v>44317</v>
      </c>
      <c r="B913" s="3">
        <f>EDATE(Tab_Calculs[[#This Row],[Début mois]],1)-1</f>
        <v>44347</v>
      </c>
      <c r="C913">
        <f t="shared" si="29"/>
        <v>5</v>
      </c>
      <c r="D913">
        <f t="shared" si="30"/>
        <v>2021</v>
      </c>
      <c r="E913" t="s">
        <v>84</v>
      </c>
      <c r="F913" t="str">
        <f>SUBSTITUTE(Tab_Calculs[[#This Row],[Compteur]]," ","_")</f>
        <v>Compteur_5</v>
      </c>
      <c r="G913" t="str">
        <f>T(INDEX(Site!$B$33:$G$40, MATCH(Tab_Calculs[[#This Row],[Compteur]], Site!$B$33:$B$40,0),2))</f>
        <v/>
      </c>
      <c r="H913" s="3">
        <f t="array" aca="1" ref="H913" ca="1">MIN(IF(INDIRECT(CONCATENATE(Tab_Calculs[[#This Row],[Colonne1]],"!$B$2:$B$243"))&gt;=Calculs_Consos!$A913,INDIRECT(CONCATENATE(Tab_Calculs[[#This Row],[Colonne1]],"!$B$2:$B$243"))))</f>
        <v>0</v>
      </c>
      <c r="I913" s="3">
        <f ca="1">INDEX(INDIRECT(CONCATENATE("Tab_",Tab_Calculs[[#This Row],[Colonne1]])),Tab_Calculs[[#This Row],[index_date_livraison]],1)</f>
        <v>0</v>
      </c>
      <c r="J913">
        <f ca="1">MATCH(Tab_Calculs[[#This Row],[Date_livraison]],INDIRECT(CONCATENATE("Tab_",Tab_Calculs[[#This Row],[Colonne1]],"[Fin de période]")),0)</f>
        <v>1</v>
      </c>
      <c r="K913" t="e">
        <f ca="1">INDEX(INDIRECT(CONCATENATE("Tab_",Tab_Calculs[[#This Row],[Colonne1]])),Tab_Calculs[[#This Row],[index_date_livraison]]-1,6)*(MAX(Tab_Calculs[[#This Row],[Début periode livraison]],Tab_Calculs[[#This Row],[Début mois]])-Tab_Calculs[[#This Row],[Début mois]])</f>
        <v>#VALUE!</v>
      </c>
      <c r="L913" s="94">
        <f ca="1">INDEX(INDIRECT(CONCATENATE("Tab_",Tab_Calculs[[#This Row],[Colonne1]])),Tab_Calculs[[#This Row],[index_date_livraison]],6)*(1+MIN(Tab_Calculs[[#This Row],[Date_livraison]],Tab_Calculs[[#This Row],[fin mois]])-MAX(Tab_Calculs[[#This Row],[Début mois]],Tab_Calculs[[#This Row],[Début periode livraison]]))</f>
        <v>0</v>
      </c>
      <c r="M913" s="94" t="e">
        <f ca="1">INDEX(INDIRECT(CONCATENATE("Tab_",Tab_Calculs[[#This Row],[Colonne1]])),Tab_Calculs[[#This Row],[index_date_livraison]]+1,6)*(Tab_Calculs[[#This Row],[fin mois]]-MIN(Tab_Calculs[[#This Row],[fin mois]],Tab_Calculs[[#This Row],[Date_livraison]]))</f>
        <v>#VALUE!</v>
      </c>
      <c r="N913" s="231" t="str">
        <f ca="1">IFERROR(Tab_Calculs[[#This Row],[Ratio_jour_après_livr]]+Tab_Calculs[[#This Row],[Ratio_jour_avant_livr]]+Tab_Calculs[[#This Row],[ratio_avant_debut]],"")</f>
        <v/>
      </c>
      <c r="O913" t="e">
        <f ca="1">INDEX(INDIRECT(CONCATENATE("Tab_",Tab_Calculs[[#This Row],[Colonne1]])),Tab_Calculs[[#This Row],[index_date_livraison]]-1,7)*(MAX(Tab_Calculs[[#This Row],[Début periode livraison]],Tab_Calculs[[#This Row],[Début mois]])-Tab_Calculs[[#This Row],[Début mois]])</f>
        <v>#VALUE!</v>
      </c>
      <c r="P913">
        <f ca="1">INDEX(INDIRECT(CONCATENATE("Tab_",Tab_Calculs[[#This Row],[Colonne1]])),Tab_Calculs[[#This Row],[index_date_livraison]],7)*(1+MIN(Tab_Calculs[[#This Row],[Date_livraison]],Tab_Calculs[[#This Row],[fin mois]])-MAX(Tab_Calculs[[#This Row],[Début mois]],Tab_Calculs[[#This Row],[Début periode livraison]]))</f>
        <v>0</v>
      </c>
      <c r="Q913" t="e">
        <f ca="1">INDEX(INDIRECT(CONCATENATE("Tab_",Tab_Calculs[[#This Row],[Colonne1]])),Tab_Calculs[[#This Row],[index_date_livraison]]+1,7)*(Tab_Calculs[[#This Row],[fin mois]]-MIN(Tab_Calculs[[#This Row],[fin mois]],Tab_Calculs[[#This Row],[Date_livraison]]))</f>
        <v>#VALUE!</v>
      </c>
      <c r="R913" t="e">
        <f ca="1">Tab_Calculs[[#This Row],[Ratio_Cout_après_livr]]+Tab_Calculs[[#This Row],[Ratio_Cout_avant_livr]]+Tab_Calculs[[#This Row],[Ratio_Cout_avant_debut]]</f>
        <v>#VALUE!</v>
      </c>
      <c r="S913" t="str">
        <f ca="1">IFERROR(N913*VLOOKUP(Tab_Calculs[[#This Row],[Colonne1]],Controle_des_données!$B$7:$G$14,6,FALSE),"")</f>
        <v/>
      </c>
      <c r="T913" t="str">
        <f ca="1">IF(Tab_Calculs[[#This Row],[Combustible ]]="Electricité (kWh)",Tab_Calculs[[#This Row],[Conso_mois_kWh]]*2.3,Tab_Calculs[[#This Row],[Conso_mois_kWh]])</f>
        <v/>
      </c>
      <c r="U913" t="str">
        <f ca="1">IFERROR(N913*VLOOKUP(Tab_Calculs[[#This Row],[Colonne1]],Controle_des_données!$B$7:$H$14,7,FALSE),"")</f>
        <v/>
      </c>
      <c r="V913">
        <f ca="1">IFERROR(Tab_Calculs[[#This Row],[Cout_mois]]/Tab_Calculs[[#This Row],[Conso_mois_kWh]],0)</f>
        <v>0</v>
      </c>
      <c r="W913" t="str">
        <f>T(VLOOKUP(Tab_Calculs[[#This Row],[Compteur]],Site!$B$33:$G$40,3,FALSE))</f>
        <v/>
      </c>
      <c r="X913" t="str">
        <f>T(VLOOKUP(Tab_Calculs[[#This Row],[Compteur]],Site!$B$33:$G$40,4,FALSE))</f>
        <v/>
      </c>
      <c r="Y913" t="str">
        <f>T(VLOOKUP(Tab_Calculs[[#This Row],[Compteur]],Site!$B$33:$G$40,5,FALSE))</f>
        <v/>
      </c>
      <c r="Z913" t="str">
        <f>T(VLOOKUP(Tab_Calculs[[#This Row],[Compteur]],Site!$B$33:$G$40,6,FALSE))</f>
        <v/>
      </c>
      <c r="AA913">
        <f>IFERROR(GETPIVOTDATA("DJU(chauffagiste)",BDD_DJU!$P$13,"annee",Tab_Calculs[[#This Row],[ANNEE]],"mois_numero",Tab_Calculs[[#This Row],[MOIS]]),0)</f>
        <v>159.4</v>
      </c>
    </row>
    <row r="914" spans="1:27" x14ac:dyDescent="0.25">
      <c r="A914" s="3">
        <f>DATE(Tab_Calculs[[#This Row],[ANNEE]],Tab_Calculs[[#This Row],[MOIS]],1)</f>
        <v>44348</v>
      </c>
      <c r="B914" s="3">
        <f>EDATE(Tab_Calculs[[#This Row],[Début mois]],1)-1</f>
        <v>44377</v>
      </c>
      <c r="C914">
        <f t="shared" ref="C914:C968" si="31">C902</f>
        <v>6</v>
      </c>
      <c r="D914">
        <f t="shared" si="30"/>
        <v>2021</v>
      </c>
      <c r="E914" t="s">
        <v>84</v>
      </c>
      <c r="F914" t="str">
        <f>SUBSTITUTE(Tab_Calculs[[#This Row],[Compteur]]," ","_")</f>
        <v>Compteur_5</v>
      </c>
      <c r="G914" t="str">
        <f>T(INDEX(Site!$B$33:$G$40, MATCH(Tab_Calculs[[#This Row],[Compteur]], Site!$B$33:$B$40,0),2))</f>
        <v/>
      </c>
      <c r="H914" s="3">
        <f t="array" aca="1" ref="H914" ca="1">MIN(IF(INDIRECT(CONCATENATE(Tab_Calculs[[#This Row],[Colonne1]],"!$B$2:$B$243"))&gt;=Calculs_Consos!$A914,INDIRECT(CONCATENATE(Tab_Calculs[[#This Row],[Colonne1]],"!$B$2:$B$243"))))</f>
        <v>0</v>
      </c>
      <c r="I914" s="3">
        <f ca="1">INDEX(INDIRECT(CONCATENATE("Tab_",Tab_Calculs[[#This Row],[Colonne1]])),Tab_Calculs[[#This Row],[index_date_livraison]],1)</f>
        <v>0</v>
      </c>
      <c r="J914">
        <f ca="1">MATCH(Tab_Calculs[[#This Row],[Date_livraison]],INDIRECT(CONCATENATE("Tab_",Tab_Calculs[[#This Row],[Colonne1]],"[Fin de période]")),0)</f>
        <v>1</v>
      </c>
      <c r="K914" t="e">
        <f ca="1">INDEX(INDIRECT(CONCATENATE("Tab_",Tab_Calculs[[#This Row],[Colonne1]])),Tab_Calculs[[#This Row],[index_date_livraison]]-1,6)*(MAX(Tab_Calculs[[#This Row],[Début periode livraison]],Tab_Calculs[[#This Row],[Début mois]])-Tab_Calculs[[#This Row],[Début mois]])</f>
        <v>#VALUE!</v>
      </c>
      <c r="L914" s="94">
        <f ca="1">INDEX(INDIRECT(CONCATENATE("Tab_",Tab_Calculs[[#This Row],[Colonne1]])),Tab_Calculs[[#This Row],[index_date_livraison]],6)*(1+MIN(Tab_Calculs[[#This Row],[Date_livraison]],Tab_Calculs[[#This Row],[fin mois]])-MAX(Tab_Calculs[[#This Row],[Début mois]],Tab_Calculs[[#This Row],[Début periode livraison]]))</f>
        <v>0</v>
      </c>
      <c r="M914" s="94" t="e">
        <f ca="1">INDEX(INDIRECT(CONCATENATE("Tab_",Tab_Calculs[[#This Row],[Colonne1]])),Tab_Calculs[[#This Row],[index_date_livraison]]+1,6)*(Tab_Calculs[[#This Row],[fin mois]]-MIN(Tab_Calculs[[#This Row],[fin mois]],Tab_Calculs[[#This Row],[Date_livraison]]))</f>
        <v>#VALUE!</v>
      </c>
      <c r="N914" s="231" t="str">
        <f ca="1">IFERROR(Tab_Calculs[[#This Row],[Ratio_jour_après_livr]]+Tab_Calculs[[#This Row],[Ratio_jour_avant_livr]]+Tab_Calculs[[#This Row],[ratio_avant_debut]],"")</f>
        <v/>
      </c>
      <c r="O914" t="e">
        <f ca="1">INDEX(INDIRECT(CONCATENATE("Tab_",Tab_Calculs[[#This Row],[Colonne1]])),Tab_Calculs[[#This Row],[index_date_livraison]]-1,7)*(MAX(Tab_Calculs[[#This Row],[Début periode livraison]],Tab_Calculs[[#This Row],[Début mois]])-Tab_Calculs[[#This Row],[Début mois]])</f>
        <v>#VALUE!</v>
      </c>
      <c r="P914">
        <f ca="1">INDEX(INDIRECT(CONCATENATE("Tab_",Tab_Calculs[[#This Row],[Colonne1]])),Tab_Calculs[[#This Row],[index_date_livraison]],7)*(1+MIN(Tab_Calculs[[#This Row],[Date_livraison]],Tab_Calculs[[#This Row],[fin mois]])-MAX(Tab_Calculs[[#This Row],[Début mois]],Tab_Calculs[[#This Row],[Début periode livraison]]))</f>
        <v>0</v>
      </c>
      <c r="Q914" t="e">
        <f ca="1">INDEX(INDIRECT(CONCATENATE("Tab_",Tab_Calculs[[#This Row],[Colonne1]])),Tab_Calculs[[#This Row],[index_date_livraison]]+1,7)*(Tab_Calculs[[#This Row],[fin mois]]-MIN(Tab_Calculs[[#This Row],[fin mois]],Tab_Calculs[[#This Row],[Date_livraison]]))</f>
        <v>#VALUE!</v>
      </c>
      <c r="R914" t="e">
        <f ca="1">Tab_Calculs[[#This Row],[Ratio_Cout_après_livr]]+Tab_Calculs[[#This Row],[Ratio_Cout_avant_livr]]+Tab_Calculs[[#This Row],[Ratio_Cout_avant_debut]]</f>
        <v>#VALUE!</v>
      </c>
      <c r="S914" t="str">
        <f ca="1">IFERROR(N914*VLOOKUP(Tab_Calculs[[#This Row],[Colonne1]],Controle_des_données!$B$7:$G$14,6,FALSE),"")</f>
        <v/>
      </c>
      <c r="T914" t="str">
        <f ca="1">IF(Tab_Calculs[[#This Row],[Combustible ]]="Electricité (kWh)",Tab_Calculs[[#This Row],[Conso_mois_kWh]]*2.3,Tab_Calculs[[#This Row],[Conso_mois_kWh]])</f>
        <v/>
      </c>
      <c r="U914" t="str">
        <f ca="1">IFERROR(N914*VLOOKUP(Tab_Calculs[[#This Row],[Colonne1]],Controle_des_données!$B$7:$H$14,7,FALSE),"")</f>
        <v/>
      </c>
      <c r="V914">
        <f ca="1">IFERROR(Tab_Calculs[[#This Row],[Cout_mois]]/Tab_Calculs[[#This Row],[Conso_mois_kWh]],0)</f>
        <v>0</v>
      </c>
      <c r="W914" t="str">
        <f>T(VLOOKUP(Tab_Calculs[[#This Row],[Compteur]],Site!$B$33:$G$40,3,FALSE))</f>
        <v/>
      </c>
      <c r="X914" t="str">
        <f>T(VLOOKUP(Tab_Calculs[[#This Row],[Compteur]],Site!$B$33:$G$40,4,FALSE))</f>
        <v/>
      </c>
      <c r="Y914" t="str">
        <f>T(VLOOKUP(Tab_Calculs[[#This Row],[Compteur]],Site!$B$33:$G$40,5,FALSE))</f>
        <v/>
      </c>
      <c r="Z914" t="str">
        <f>T(VLOOKUP(Tab_Calculs[[#This Row],[Compteur]],Site!$B$33:$G$40,6,FALSE))</f>
        <v/>
      </c>
      <c r="AA914">
        <f>IFERROR(GETPIVOTDATA("DJU(chauffagiste)",BDD_DJU!$P$13,"annee",Tab_Calculs[[#This Row],[ANNEE]],"mois_numero",Tab_Calculs[[#This Row],[MOIS]]),0)</f>
        <v>29.9</v>
      </c>
    </row>
    <row r="915" spans="1:27" x14ac:dyDescent="0.25">
      <c r="A915" s="3">
        <f>DATE(Tab_Calculs[[#This Row],[ANNEE]],Tab_Calculs[[#This Row],[MOIS]],1)</f>
        <v>44378</v>
      </c>
      <c r="B915" s="3">
        <f>EDATE(Tab_Calculs[[#This Row],[Début mois]],1)-1</f>
        <v>44408</v>
      </c>
      <c r="C915">
        <f t="shared" si="31"/>
        <v>7</v>
      </c>
      <c r="D915">
        <f t="shared" si="30"/>
        <v>2021</v>
      </c>
      <c r="E915" t="s">
        <v>84</v>
      </c>
      <c r="F915" t="str">
        <f>SUBSTITUTE(Tab_Calculs[[#This Row],[Compteur]]," ","_")</f>
        <v>Compteur_5</v>
      </c>
      <c r="G915" t="str">
        <f>T(INDEX(Site!$B$33:$G$40, MATCH(Tab_Calculs[[#This Row],[Compteur]], Site!$B$33:$B$40,0),2))</f>
        <v/>
      </c>
      <c r="H915" s="3">
        <f t="array" aca="1" ref="H915" ca="1">MIN(IF(INDIRECT(CONCATENATE(Tab_Calculs[[#This Row],[Colonne1]],"!$B$2:$B$243"))&gt;=Calculs_Consos!$A915,INDIRECT(CONCATENATE(Tab_Calculs[[#This Row],[Colonne1]],"!$B$2:$B$243"))))</f>
        <v>0</v>
      </c>
      <c r="I915" s="3">
        <f ca="1">INDEX(INDIRECT(CONCATENATE("Tab_",Tab_Calculs[[#This Row],[Colonne1]])),Tab_Calculs[[#This Row],[index_date_livraison]],1)</f>
        <v>0</v>
      </c>
      <c r="J915">
        <f ca="1">MATCH(Tab_Calculs[[#This Row],[Date_livraison]],INDIRECT(CONCATENATE("Tab_",Tab_Calculs[[#This Row],[Colonne1]],"[Fin de période]")),0)</f>
        <v>1</v>
      </c>
      <c r="K915" t="e">
        <f ca="1">INDEX(INDIRECT(CONCATENATE("Tab_",Tab_Calculs[[#This Row],[Colonne1]])),Tab_Calculs[[#This Row],[index_date_livraison]]-1,6)*(MAX(Tab_Calculs[[#This Row],[Début periode livraison]],Tab_Calculs[[#This Row],[Début mois]])-Tab_Calculs[[#This Row],[Début mois]])</f>
        <v>#VALUE!</v>
      </c>
      <c r="L915" s="94">
        <f ca="1">INDEX(INDIRECT(CONCATENATE("Tab_",Tab_Calculs[[#This Row],[Colonne1]])),Tab_Calculs[[#This Row],[index_date_livraison]],6)*(1+MIN(Tab_Calculs[[#This Row],[Date_livraison]],Tab_Calculs[[#This Row],[fin mois]])-MAX(Tab_Calculs[[#This Row],[Début mois]],Tab_Calculs[[#This Row],[Début periode livraison]]))</f>
        <v>0</v>
      </c>
      <c r="M915" s="94" t="e">
        <f ca="1">INDEX(INDIRECT(CONCATENATE("Tab_",Tab_Calculs[[#This Row],[Colonne1]])),Tab_Calculs[[#This Row],[index_date_livraison]]+1,6)*(Tab_Calculs[[#This Row],[fin mois]]-MIN(Tab_Calculs[[#This Row],[fin mois]],Tab_Calculs[[#This Row],[Date_livraison]]))</f>
        <v>#VALUE!</v>
      </c>
      <c r="N915" s="231" t="str">
        <f ca="1">IFERROR(Tab_Calculs[[#This Row],[Ratio_jour_après_livr]]+Tab_Calculs[[#This Row],[Ratio_jour_avant_livr]]+Tab_Calculs[[#This Row],[ratio_avant_debut]],"")</f>
        <v/>
      </c>
      <c r="O915" t="e">
        <f ca="1">INDEX(INDIRECT(CONCATENATE("Tab_",Tab_Calculs[[#This Row],[Colonne1]])),Tab_Calculs[[#This Row],[index_date_livraison]]-1,7)*(MAX(Tab_Calculs[[#This Row],[Début periode livraison]],Tab_Calculs[[#This Row],[Début mois]])-Tab_Calculs[[#This Row],[Début mois]])</f>
        <v>#VALUE!</v>
      </c>
      <c r="P915">
        <f ca="1">INDEX(INDIRECT(CONCATENATE("Tab_",Tab_Calculs[[#This Row],[Colonne1]])),Tab_Calculs[[#This Row],[index_date_livraison]],7)*(1+MIN(Tab_Calculs[[#This Row],[Date_livraison]],Tab_Calculs[[#This Row],[fin mois]])-MAX(Tab_Calculs[[#This Row],[Début mois]],Tab_Calculs[[#This Row],[Début periode livraison]]))</f>
        <v>0</v>
      </c>
      <c r="Q915" t="e">
        <f ca="1">INDEX(INDIRECT(CONCATENATE("Tab_",Tab_Calculs[[#This Row],[Colonne1]])),Tab_Calculs[[#This Row],[index_date_livraison]]+1,7)*(Tab_Calculs[[#This Row],[fin mois]]-MIN(Tab_Calculs[[#This Row],[fin mois]],Tab_Calculs[[#This Row],[Date_livraison]]))</f>
        <v>#VALUE!</v>
      </c>
      <c r="R915" t="e">
        <f ca="1">Tab_Calculs[[#This Row],[Ratio_Cout_après_livr]]+Tab_Calculs[[#This Row],[Ratio_Cout_avant_livr]]+Tab_Calculs[[#This Row],[Ratio_Cout_avant_debut]]</f>
        <v>#VALUE!</v>
      </c>
      <c r="S915" t="str">
        <f ca="1">IFERROR(N915*VLOOKUP(Tab_Calculs[[#This Row],[Colonne1]],Controle_des_données!$B$7:$G$14,6,FALSE),"")</f>
        <v/>
      </c>
      <c r="T915" t="str">
        <f ca="1">IF(Tab_Calculs[[#This Row],[Combustible ]]="Electricité (kWh)",Tab_Calculs[[#This Row],[Conso_mois_kWh]]*2.3,Tab_Calculs[[#This Row],[Conso_mois_kWh]])</f>
        <v/>
      </c>
      <c r="U915" t="str">
        <f ca="1">IFERROR(N915*VLOOKUP(Tab_Calculs[[#This Row],[Colonne1]],Controle_des_données!$B$7:$H$14,7,FALSE),"")</f>
        <v/>
      </c>
      <c r="V915">
        <f ca="1">IFERROR(Tab_Calculs[[#This Row],[Cout_mois]]/Tab_Calculs[[#This Row],[Conso_mois_kWh]],0)</f>
        <v>0</v>
      </c>
      <c r="W915" t="str">
        <f>T(VLOOKUP(Tab_Calculs[[#This Row],[Compteur]],Site!$B$33:$G$40,3,FALSE))</f>
        <v/>
      </c>
      <c r="X915" t="str">
        <f>T(VLOOKUP(Tab_Calculs[[#This Row],[Compteur]],Site!$B$33:$G$40,4,FALSE))</f>
        <v/>
      </c>
      <c r="Y915" t="str">
        <f>T(VLOOKUP(Tab_Calculs[[#This Row],[Compteur]],Site!$B$33:$G$40,5,FALSE))</f>
        <v/>
      </c>
      <c r="Z915" t="str">
        <f>T(VLOOKUP(Tab_Calculs[[#This Row],[Compteur]],Site!$B$33:$G$40,6,FALSE))</f>
        <v/>
      </c>
      <c r="AA915">
        <f>IFERROR(GETPIVOTDATA("DJU(chauffagiste)",BDD_DJU!$P$13,"annee",Tab_Calculs[[#This Row],[ANNEE]],"mois_numero",Tab_Calculs[[#This Row],[MOIS]]),0)</f>
        <v>22.4</v>
      </c>
    </row>
    <row r="916" spans="1:27" x14ac:dyDescent="0.25">
      <c r="A916" s="3">
        <f>DATE(Tab_Calculs[[#This Row],[ANNEE]],Tab_Calculs[[#This Row],[MOIS]],1)</f>
        <v>44409</v>
      </c>
      <c r="B916" s="3">
        <f>EDATE(Tab_Calculs[[#This Row],[Début mois]],1)-1</f>
        <v>44439</v>
      </c>
      <c r="C916">
        <f t="shared" si="31"/>
        <v>8</v>
      </c>
      <c r="D916">
        <f t="shared" si="30"/>
        <v>2021</v>
      </c>
      <c r="E916" t="s">
        <v>84</v>
      </c>
      <c r="F916" t="str">
        <f>SUBSTITUTE(Tab_Calculs[[#This Row],[Compteur]]," ","_")</f>
        <v>Compteur_5</v>
      </c>
      <c r="G916" t="str">
        <f>T(INDEX(Site!$B$33:$G$40, MATCH(Tab_Calculs[[#This Row],[Compteur]], Site!$B$33:$B$40,0),2))</f>
        <v/>
      </c>
      <c r="H916" s="3">
        <f t="array" aca="1" ref="H916" ca="1">MIN(IF(INDIRECT(CONCATENATE(Tab_Calculs[[#This Row],[Colonne1]],"!$B$2:$B$243"))&gt;=Calculs_Consos!$A916,INDIRECT(CONCATENATE(Tab_Calculs[[#This Row],[Colonne1]],"!$B$2:$B$243"))))</f>
        <v>0</v>
      </c>
      <c r="I916" s="3">
        <f ca="1">INDEX(INDIRECT(CONCATENATE("Tab_",Tab_Calculs[[#This Row],[Colonne1]])),Tab_Calculs[[#This Row],[index_date_livraison]],1)</f>
        <v>0</v>
      </c>
      <c r="J916">
        <f ca="1">MATCH(Tab_Calculs[[#This Row],[Date_livraison]],INDIRECT(CONCATENATE("Tab_",Tab_Calculs[[#This Row],[Colonne1]],"[Fin de période]")),0)</f>
        <v>1</v>
      </c>
      <c r="K916" t="e">
        <f ca="1">INDEX(INDIRECT(CONCATENATE("Tab_",Tab_Calculs[[#This Row],[Colonne1]])),Tab_Calculs[[#This Row],[index_date_livraison]]-1,6)*(MAX(Tab_Calculs[[#This Row],[Début periode livraison]],Tab_Calculs[[#This Row],[Début mois]])-Tab_Calculs[[#This Row],[Début mois]])</f>
        <v>#VALUE!</v>
      </c>
      <c r="L916" s="94">
        <f ca="1">INDEX(INDIRECT(CONCATENATE("Tab_",Tab_Calculs[[#This Row],[Colonne1]])),Tab_Calculs[[#This Row],[index_date_livraison]],6)*(1+MIN(Tab_Calculs[[#This Row],[Date_livraison]],Tab_Calculs[[#This Row],[fin mois]])-MAX(Tab_Calculs[[#This Row],[Début mois]],Tab_Calculs[[#This Row],[Début periode livraison]]))</f>
        <v>0</v>
      </c>
      <c r="M916" s="94" t="e">
        <f ca="1">INDEX(INDIRECT(CONCATENATE("Tab_",Tab_Calculs[[#This Row],[Colonne1]])),Tab_Calculs[[#This Row],[index_date_livraison]]+1,6)*(Tab_Calculs[[#This Row],[fin mois]]-MIN(Tab_Calculs[[#This Row],[fin mois]],Tab_Calculs[[#This Row],[Date_livraison]]))</f>
        <v>#VALUE!</v>
      </c>
      <c r="N916" s="231" t="str">
        <f ca="1">IFERROR(Tab_Calculs[[#This Row],[Ratio_jour_après_livr]]+Tab_Calculs[[#This Row],[Ratio_jour_avant_livr]]+Tab_Calculs[[#This Row],[ratio_avant_debut]],"")</f>
        <v/>
      </c>
      <c r="O916" t="e">
        <f ca="1">INDEX(INDIRECT(CONCATENATE("Tab_",Tab_Calculs[[#This Row],[Colonne1]])),Tab_Calculs[[#This Row],[index_date_livraison]]-1,7)*(MAX(Tab_Calculs[[#This Row],[Début periode livraison]],Tab_Calculs[[#This Row],[Début mois]])-Tab_Calculs[[#This Row],[Début mois]])</f>
        <v>#VALUE!</v>
      </c>
      <c r="P916">
        <f ca="1">INDEX(INDIRECT(CONCATENATE("Tab_",Tab_Calculs[[#This Row],[Colonne1]])),Tab_Calculs[[#This Row],[index_date_livraison]],7)*(1+MIN(Tab_Calculs[[#This Row],[Date_livraison]],Tab_Calculs[[#This Row],[fin mois]])-MAX(Tab_Calculs[[#This Row],[Début mois]],Tab_Calculs[[#This Row],[Début periode livraison]]))</f>
        <v>0</v>
      </c>
      <c r="Q916" t="e">
        <f ca="1">INDEX(INDIRECT(CONCATENATE("Tab_",Tab_Calculs[[#This Row],[Colonne1]])),Tab_Calculs[[#This Row],[index_date_livraison]]+1,7)*(Tab_Calculs[[#This Row],[fin mois]]-MIN(Tab_Calculs[[#This Row],[fin mois]],Tab_Calculs[[#This Row],[Date_livraison]]))</f>
        <v>#VALUE!</v>
      </c>
      <c r="R916" t="e">
        <f ca="1">Tab_Calculs[[#This Row],[Ratio_Cout_après_livr]]+Tab_Calculs[[#This Row],[Ratio_Cout_avant_livr]]+Tab_Calculs[[#This Row],[Ratio_Cout_avant_debut]]</f>
        <v>#VALUE!</v>
      </c>
      <c r="S916" t="str">
        <f ca="1">IFERROR(N916*VLOOKUP(Tab_Calculs[[#This Row],[Colonne1]],Controle_des_données!$B$7:$G$14,6,FALSE),"")</f>
        <v/>
      </c>
      <c r="T916" t="str">
        <f ca="1">IF(Tab_Calculs[[#This Row],[Combustible ]]="Electricité (kWh)",Tab_Calculs[[#This Row],[Conso_mois_kWh]]*2.3,Tab_Calculs[[#This Row],[Conso_mois_kWh]])</f>
        <v/>
      </c>
      <c r="U916" t="str">
        <f ca="1">IFERROR(N916*VLOOKUP(Tab_Calculs[[#This Row],[Colonne1]],Controle_des_données!$B$7:$H$14,7,FALSE),"")</f>
        <v/>
      </c>
      <c r="V916">
        <f ca="1">IFERROR(Tab_Calculs[[#This Row],[Cout_mois]]/Tab_Calculs[[#This Row],[Conso_mois_kWh]],0)</f>
        <v>0</v>
      </c>
      <c r="W916" t="str">
        <f>T(VLOOKUP(Tab_Calculs[[#This Row],[Compteur]],Site!$B$33:$G$40,3,FALSE))</f>
        <v/>
      </c>
      <c r="X916" t="str">
        <f>T(VLOOKUP(Tab_Calculs[[#This Row],[Compteur]],Site!$B$33:$G$40,4,FALSE))</f>
        <v/>
      </c>
      <c r="Y916" t="str">
        <f>T(VLOOKUP(Tab_Calculs[[#This Row],[Compteur]],Site!$B$33:$G$40,5,FALSE))</f>
        <v/>
      </c>
      <c r="Z916" t="str">
        <f>T(VLOOKUP(Tab_Calculs[[#This Row],[Compteur]],Site!$B$33:$G$40,6,FALSE))</f>
        <v/>
      </c>
      <c r="AA916">
        <f>IFERROR(GETPIVOTDATA("DJU(chauffagiste)",BDD_DJU!$P$13,"annee",Tab_Calculs[[#This Row],[ANNEE]],"mois_numero",Tab_Calculs[[#This Row],[MOIS]]),0)</f>
        <v>35.9</v>
      </c>
    </row>
    <row r="917" spans="1:27" x14ac:dyDescent="0.25">
      <c r="A917" s="3">
        <f>DATE(Tab_Calculs[[#This Row],[ANNEE]],Tab_Calculs[[#This Row],[MOIS]],1)</f>
        <v>44440</v>
      </c>
      <c r="B917" s="3">
        <f>EDATE(Tab_Calculs[[#This Row],[Début mois]],1)-1</f>
        <v>44469</v>
      </c>
      <c r="C917">
        <f t="shared" si="31"/>
        <v>9</v>
      </c>
      <c r="D917">
        <f t="shared" si="30"/>
        <v>2021</v>
      </c>
      <c r="E917" t="s">
        <v>84</v>
      </c>
      <c r="F917" t="str">
        <f>SUBSTITUTE(Tab_Calculs[[#This Row],[Compteur]]," ","_")</f>
        <v>Compteur_5</v>
      </c>
      <c r="G917" t="str">
        <f>T(INDEX(Site!$B$33:$G$40, MATCH(Tab_Calculs[[#This Row],[Compteur]], Site!$B$33:$B$40,0),2))</f>
        <v/>
      </c>
      <c r="H917" s="3">
        <f t="array" aca="1" ref="H917" ca="1">MIN(IF(INDIRECT(CONCATENATE(Tab_Calculs[[#This Row],[Colonne1]],"!$B$2:$B$243"))&gt;=Calculs_Consos!$A917,INDIRECT(CONCATENATE(Tab_Calculs[[#This Row],[Colonne1]],"!$B$2:$B$243"))))</f>
        <v>0</v>
      </c>
      <c r="I917" s="3">
        <f ca="1">INDEX(INDIRECT(CONCATENATE("Tab_",Tab_Calculs[[#This Row],[Colonne1]])),Tab_Calculs[[#This Row],[index_date_livraison]],1)</f>
        <v>0</v>
      </c>
      <c r="J917">
        <f ca="1">MATCH(Tab_Calculs[[#This Row],[Date_livraison]],INDIRECT(CONCATENATE("Tab_",Tab_Calculs[[#This Row],[Colonne1]],"[Fin de période]")),0)</f>
        <v>1</v>
      </c>
      <c r="K917" t="e">
        <f ca="1">INDEX(INDIRECT(CONCATENATE("Tab_",Tab_Calculs[[#This Row],[Colonne1]])),Tab_Calculs[[#This Row],[index_date_livraison]]-1,6)*(MAX(Tab_Calculs[[#This Row],[Début periode livraison]],Tab_Calculs[[#This Row],[Début mois]])-Tab_Calculs[[#This Row],[Début mois]])</f>
        <v>#VALUE!</v>
      </c>
      <c r="L917" s="94">
        <f ca="1">INDEX(INDIRECT(CONCATENATE("Tab_",Tab_Calculs[[#This Row],[Colonne1]])),Tab_Calculs[[#This Row],[index_date_livraison]],6)*(1+MIN(Tab_Calculs[[#This Row],[Date_livraison]],Tab_Calculs[[#This Row],[fin mois]])-MAX(Tab_Calculs[[#This Row],[Début mois]],Tab_Calculs[[#This Row],[Début periode livraison]]))</f>
        <v>0</v>
      </c>
      <c r="M917" s="94" t="e">
        <f ca="1">INDEX(INDIRECT(CONCATENATE("Tab_",Tab_Calculs[[#This Row],[Colonne1]])),Tab_Calculs[[#This Row],[index_date_livraison]]+1,6)*(Tab_Calculs[[#This Row],[fin mois]]-MIN(Tab_Calculs[[#This Row],[fin mois]],Tab_Calculs[[#This Row],[Date_livraison]]))</f>
        <v>#VALUE!</v>
      </c>
      <c r="N917" s="231" t="str">
        <f ca="1">IFERROR(Tab_Calculs[[#This Row],[Ratio_jour_après_livr]]+Tab_Calculs[[#This Row],[Ratio_jour_avant_livr]]+Tab_Calculs[[#This Row],[ratio_avant_debut]],"")</f>
        <v/>
      </c>
      <c r="O917" t="e">
        <f ca="1">INDEX(INDIRECT(CONCATENATE("Tab_",Tab_Calculs[[#This Row],[Colonne1]])),Tab_Calculs[[#This Row],[index_date_livraison]]-1,7)*(MAX(Tab_Calculs[[#This Row],[Début periode livraison]],Tab_Calculs[[#This Row],[Début mois]])-Tab_Calculs[[#This Row],[Début mois]])</f>
        <v>#VALUE!</v>
      </c>
      <c r="P917">
        <f ca="1">INDEX(INDIRECT(CONCATENATE("Tab_",Tab_Calculs[[#This Row],[Colonne1]])),Tab_Calculs[[#This Row],[index_date_livraison]],7)*(1+MIN(Tab_Calculs[[#This Row],[Date_livraison]],Tab_Calculs[[#This Row],[fin mois]])-MAX(Tab_Calculs[[#This Row],[Début mois]],Tab_Calculs[[#This Row],[Début periode livraison]]))</f>
        <v>0</v>
      </c>
      <c r="Q917" t="e">
        <f ca="1">INDEX(INDIRECT(CONCATENATE("Tab_",Tab_Calculs[[#This Row],[Colonne1]])),Tab_Calculs[[#This Row],[index_date_livraison]]+1,7)*(Tab_Calculs[[#This Row],[fin mois]]-MIN(Tab_Calculs[[#This Row],[fin mois]],Tab_Calculs[[#This Row],[Date_livraison]]))</f>
        <v>#VALUE!</v>
      </c>
      <c r="R917" t="e">
        <f ca="1">Tab_Calculs[[#This Row],[Ratio_Cout_après_livr]]+Tab_Calculs[[#This Row],[Ratio_Cout_avant_livr]]+Tab_Calculs[[#This Row],[Ratio_Cout_avant_debut]]</f>
        <v>#VALUE!</v>
      </c>
      <c r="S917" t="str">
        <f ca="1">IFERROR(N917*VLOOKUP(Tab_Calculs[[#This Row],[Colonne1]],Controle_des_données!$B$7:$G$14,6,FALSE),"")</f>
        <v/>
      </c>
      <c r="T917" t="str">
        <f ca="1">IF(Tab_Calculs[[#This Row],[Combustible ]]="Electricité (kWh)",Tab_Calculs[[#This Row],[Conso_mois_kWh]]*2.3,Tab_Calculs[[#This Row],[Conso_mois_kWh]])</f>
        <v/>
      </c>
      <c r="U917" t="str">
        <f ca="1">IFERROR(N917*VLOOKUP(Tab_Calculs[[#This Row],[Colonne1]],Controle_des_données!$B$7:$H$14,7,FALSE),"")</f>
        <v/>
      </c>
      <c r="V917">
        <f ca="1">IFERROR(Tab_Calculs[[#This Row],[Cout_mois]]/Tab_Calculs[[#This Row],[Conso_mois_kWh]],0)</f>
        <v>0</v>
      </c>
      <c r="W917" t="str">
        <f>T(VLOOKUP(Tab_Calculs[[#This Row],[Compteur]],Site!$B$33:$G$40,3,FALSE))</f>
        <v/>
      </c>
      <c r="X917" t="str">
        <f>T(VLOOKUP(Tab_Calculs[[#This Row],[Compteur]],Site!$B$33:$G$40,4,FALSE))</f>
        <v/>
      </c>
      <c r="Y917" t="str">
        <f>T(VLOOKUP(Tab_Calculs[[#This Row],[Compteur]],Site!$B$33:$G$40,5,FALSE))</f>
        <v/>
      </c>
      <c r="Z917" t="str">
        <f>T(VLOOKUP(Tab_Calculs[[#This Row],[Compteur]],Site!$B$33:$G$40,6,FALSE))</f>
        <v/>
      </c>
      <c r="AA917">
        <f>IFERROR(GETPIVOTDATA("DJU(chauffagiste)",BDD_DJU!$P$13,"annee",Tab_Calculs[[#This Row],[ANNEE]],"mois_numero",Tab_Calculs[[#This Row],[MOIS]]),0)</f>
        <v>47.8</v>
      </c>
    </row>
    <row r="918" spans="1:27" x14ac:dyDescent="0.25">
      <c r="A918" s="3">
        <f>DATE(Tab_Calculs[[#This Row],[ANNEE]],Tab_Calculs[[#This Row],[MOIS]],1)</f>
        <v>44470</v>
      </c>
      <c r="B918" s="3">
        <f>EDATE(Tab_Calculs[[#This Row],[Début mois]],1)-1</f>
        <v>44500</v>
      </c>
      <c r="C918">
        <f t="shared" si="31"/>
        <v>10</v>
      </c>
      <c r="D918">
        <f t="shared" si="30"/>
        <v>2021</v>
      </c>
      <c r="E918" t="s">
        <v>84</v>
      </c>
      <c r="F918" t="str">
        <f>SUBSTITUTE(Tab_Calculs[[#This Row],[Compteur]]," ","_")</f>
        <v>Compteur_5</v>
      </c>
      <c r="G918" t="str">
        <f>T(INDEX(Site!$B$33:$G$40, MATCH(Tab_Calculs[[#This Row],[Compteur]], Site!$B$33:$B$40,0),2))</f>
        <v/>
      </c>
      <c r="H918" s="3">
        <f t="array" aca="1" ref="H918" ca="1">MIN(IF(INDIRECT(CONCATENATE(Tab_Calculs[[#This Row],[Colonne1]],"!$B$2:$B$243"))&gt;=Calculs_Consos!$A918,INDIRECT(CONCATENATE(Tab_Calculs[[#This Row],[Colonne1]],"!$B$2:$B$243"))))</f>
        <v>0</v>
      </c>
      <c r="I918" s="3">
        <f ca="1">INDEX(INDIRECT(CONCATENATE("Tab_",Tab_Calculs[[#This Row],[Colonne1]])),Tab_Calculs[[#This Row],[index_date_livraison]],1)</f>
        <v>0</v>
      </c>
      <c r="J918">
        <f ca="1">MATCH(Tab_Calculs[[#This Row],[Date_livraison]],INDIRECT(CONCATENATE("Tab_",Tab_Calculs[[#This Row],[Colonne1]],"[Fin de période]")),0)</f>
        <v>1</v>
      </c>
      <c r="K918" t="e">
        <f ca="1">INDEX(INDIRECT(CONCATENATE("Tab_",Tab_Calculs[[#This Row],[Colonne1]])),Tab_Calculs[[#This Row],[index_date_livraison]]-1,6)*(MAX(Tab_Calculs[[#This Row],[Début periode livraison]],Tab_Calculs[[#This Row],[Début mois]])-Tab_Calculs[[#This Row],[Début mois]])</f>
        <v>#VALUE!</v>
      </c>
      <c r="L918" s="94">
        <f ca="1">INDEX(INDIRECT(CONCATENATE("Tab_",Tab_Calculs[[#This Row],[Colonne1]])),Tab_Calculs[[#This Row],[index_date_livraison]],6)*(1+MIN(Tab_Calculs[[#This Row],[Date_livraison]],Tab_Calculs[[#This Row],[fin mois]])-MAX(Tab_Calculs[[#This Row],[Début mois]],Tab_Calculs[[#This Row],[Début periode livraison]]))</f>
        <v>0</v>
      </c>
      <c r="M918" s="94" t="e">
        <f ca="1">INDEX(INDIRECT(CONCATENATE("Tab_",Tab_Calculs[[#This Row],[Colonne1]])),Tab_Calculs[[#This Row],[index_date_livraison]]+1,6)*(Tab_Calculs[[#This Row],[fin mois]]-MIN(Tab_Calculs[[#This Row],[fin mois]],Tab_Calculs[[#This Row],[Date_livraison]]))</f>
        <v>#VALUE!</v>
      </c>
      <c r="N918" s="231" t="str">
        <f ca="1">IFERROR(Tab_Calculs[[#This Row],[Ratio_jour_après_livr]]+Tab_Calculs[[#This Row],[Ratio_jour_avant_livr]]+Tab_Calculs[[#This Row],[ratio_avant_debut]],"")</f>
        <v/>
      </c>
      <c r="O918" t="e">
        <f ca="1">INDEX(INDIRECT(CONCATENATE("Tab_",Tab_Calculs[[#This Row],[Colonne1]])),Tab_Calculs[[#This Row],[index_date_livraison]]-1,7)*(MAX(Tab_Calculs[[#This Row],[Début periode livraison]],Tab_Calculs[[#This Row],[Début mois]])-Tab_Calculs[[#This Row],[Début mois]])</f>
        <v>#VALUE!</v>
      </c>
      <c r="P918">
        <f ca="1">INDEX(INDIRECT(CONCATENATE("Tab_",Tab_Calculs[[#This Row],[Colonne1]])),Tab_Calculs[[#This Row],[index_date_livraison]],7)*(1+MIN(Tab_Calculs[[#This Row],[Date_livraison]],Tab_Calculs[[#This Row],[fin mois]])-MAX(Tab_Calculs[[#This Row],[Début mois]],Tab_Calculs[[#This Row],[Début periode livraison]]))</f>
        <v>0</v>
      </c>
      <c r="Q918" t="e">
        <f ca="1">INDEX(INDIRECT(CONCATENATE("Tab_",Tab_Calculs[[#This Row],[Colonne1]])),Tab_Calculs[[#This Row],[index_date_livraison]]+1,7)*(Tab_Calculs[[#This Row],[fin mois]]-MIN(Tab_Calculs[[#This Row],[fin mois]],Tab_Calculs[[#This Row],[Date_livraison]]))</f>
        <v>#VALUE!</v>
      </c>
      <c r="R918" t="e">
        <f ca="1">Tab_Calculs[[#This Row],[Ratio_Cout_après_livr]]+Tab_Calculs[[#This Row],[Ratio_Cout_avant_livr]]+Tab_Calculs[[#This Row],[Ratio_Cout_avant_debut]]</f>
        <v>#VALUE!</v>
      </c>
      <c r="S918" t="str">
        <f ca="1">IFERROR(N918*VLOOKUP(Tab_Calculs[[#This Row],[Colonne1]],Controle_des_données!$B$7:$G$14,6,FALSE),"")</f>
        <v/>
      </c>
      <c r="T918" t="str">
        <f ca="1">IF(Tab_Calculs[[#This Row],[Combustible ]]="Electricité (kWh)",Tab_Calculs[[#This Row],[Conso_mois_kWh]]*2.3,Tab_Calculs[[#This Row],[Conso_mois_kWh]])</f>
        <v/>
      </c>
      <c r="U918" t="str">
        <f ca="1">IFERROR(N918*VLOOKUP(Tab_Calculs[[#This Row],[Colonne1]],Controle_des_données!$B$7:$H$14,7,FALSE),"")</f>
        <v/>
      </c>
      <c r="V918">
        <f ca="1">IFERROR(Tab_Calculs[[#This Row],[Cout_mois]]/Tab_Calculs[[#This Row],[Conso_mois_kWh]],0)</f>
        <v>0</v>
      </c>
      <c r="W918" t="str">
        <f>T(VLOOKUP(Tab_Calculs[[#This Row],[Compteur]],Site!$B$33:$G$40,3,FALSE))</f>
        <v/>
      </c>
      <c r="X918" t="str">
        <f>T(VLOOKUP(Tab_Calculs[[#This Row],[Compteur]],Site!$B$33:$G$40,4,FALSE))</f>
        <v/>
      </c>
      <c r="Y918" t="str">
        <f>T(VLOOKUP(Tab_Calculs[[#This Row],[Compteur]],Site!$B$33:$G$40,5,FALSE))</f>
        <v/>
      </c>
      <c r="Z918" t="str">
        <f>T(VLOOKUP(Tab_Calculs[[#This Row],[Compteur]],Site!$B$33:$G$40,6,FALSE))</f>
        <v/>
      </c>
      <c r="AA918">
        <f>IFERROR(GETPIVOTDATA("DJU(chauffagiste)",BDD_DJU!$P$13,"annee",Tab_Calculs[[#This Row],[ANNEE]],"mois_numero",Tab_Calculs[[#This Row],[MOIS]]),0)</f>
        <v>170.5</v>
      </c>
    </row>
    <row r="919" spans="1:27" x14ac:dyDescent="0.25">
      <c r="A919" s="3">
        <f>DATE(Tab_Calculs[[#This Row],[ANNEE]],Tab_Calculs[[#This Row],[MOIS]],1)</f>
        <v>44501</v>
      </c>
      <c r="B919" s="3">
        <f>EDATE(Tab_Calculs[[#This Row],[Début mois]],1)-1</f>
        <v>44530</v>
      </c>
      <c r="C919">
        <f t="shared" si="31"/>
        <v>11</v>
      </c>
      <c r="D919">
        <f t="shared" si="30"/>
        <v>2021</v>
      </c>
      <c r="E919" t="s">
        <v>84</v>
      </c>
      <c r="F919" t="str">
        <f>SUBSTITUTE(Tab_Calculs[[#This Row],[Compteur]]," ","_")</f>
        <v>Compteur_5</v>
      </c>
      <c r="G919" t="str">
        <f>T(INDEX(Site!$B$33:$G$40, MATCH(Tab_Calculs[[#This Row],[Compteur]], Site!$B$33:$B$40,0),2))</f>
        <v/>
      </c>
      <c r="H919" s="3">
        <f t="array" aca="1" ref="H919" ca="1">MIN(IF(INDIRECT(CONCATENATE(Tab_Calculs[[#This Row],[Colonne1]],"!$B$2:$B$243"))&gt;=Calculs_Consos!$A919,INDIRECT(CONCATENATE(Tab_Calculs[[#This Row],[Colonne1]],"!$B$2:$B$243"))))</f>
        <v>0</v>
      </c>
      <c r="I919" s="3">
        <f ca="1">INDEX(INDIRECT(CONCATENATE("Tab_",Tab_Calculs[[#This Row],[Colonne1]])),Tab_Calculs[[#This Row],[index_date_livraison]],1)</f>
        <v>0</v>
      </c>
      <c r="J919">
        <f ca="1">MATCH(Tab_Calculs[[#This Row],[Date_livraison]],INDIRECT(CONCATENATE("Tab_",Tab_Calculs[[#This Row],[Colonne1]],"[Fin de période]")),0)</f>
        <v>1</v>
      </c>
      <c r="K919" t="e">
        <f ca="1">INDEX(INDIRECT(CONCATENATE("Tab_",Tab_Calculs[[#This Row],[Colonne1]])),Tab_Calculs[[#This Row],[index_date_livraison]]-1,6)*(MAX(Tab_Calculs[[#This Row],[Début periode livraison]],Tab_Calculs[[#This Row],[Début mois]])-Tab_Calculs[[#This Row],[Début mois]])</f>
        <v>#VALUE!</v>
      </c>
      <c r="L919" s="94">
        <f ca="1">INDEX(INDIRECT(CONCATENATE("Tab_",Tab_Calculs[[#This Row],[Colonne1]])),Tab_Calculs[[#This Row],[index_date_livraison]],6)*(1+MIN(Tab_Calculs[[#This Row],[Date_livraison]],Tab_Calculs[[#This Row],[fin mois]])-MAX(Tab_Calculs[[#This Row],[Début mois]],Tab_Calculs[[#This Row],[Début periode livraison]]))</f>
        <v>0</v>
      </c>
      <c r="M919" s="94" t="e">
        <f ca="1">INDEX(INDIRECT(CONCATENATE("Tab_",Tab_Calculs[[#This Row],[Colonne1]])),Tab_Calculs[[#This Row],[index_date_livraison]]+1,6)*(Tab_Calculs[[#This Row],[fin mois]]-MIN(Tab_Calculs[[#This Row],[fin mois]],Tab_Calculs[[#This Row],[Date_livraison]]))</f>
        <v>#VALUE!</v>
      </c>
      <c r="N919" s="231" t="str">
        <f ca="1">IFERROR(Tab_Calculs[[#This Row],[Ratio_jour_après_livr]]+Tab_Calculs[[#This Row],[Ratio_jour_avant_livr]]+Tab_Calculs[[#This Row],[ratio_avant_debut]],"")</f>
        <v/>
      </c>
      <c r="O919" t="e">
        <f ca="1">INDEX(INDIRECT(CONCATENATE("Tab_",Tab_Calculs[[#This Row],[Colonne1]])),Tab_Calculs[[#This Row],[index_date_livraison]]-1,7)*(MAX(Tab_Calculs[[#This Row],[Début periode livraison]],Tab_Calculs[[#This Row],[Début mois]])-Tab_Calculs[[#This Row],[Début mois]])</f>
        <v>#VALUE!</v>
      </c>
      <c r="P919">
        <f ca="1">INDEX(INDIRECT(CONCATENATE("Tab_",Tab_Calculs[[#This Row],[Colonne1]])),Tab_Calculs[[#This Row],[index_date_livraison]],7)*(1+MIN(Tab_Calculs[[#This Row],[Date_livraison]],Tab_Calculs[[#This Row],[fin mois]])-MAX(Tab_Calculs[[#This Row],[Début mois]],Tab_Calculs[[#This Row],[Début periode livraison]]))</f>
        <v>0</v>
      </c>
      <c r="Q919" t="e">
        <f ca="1">INDEX(INDIRECT(CONCATENATE("Tab_",Tab_Calculs[[#This Row],[Colonne1]])),Tab_Calculs[[#This Row],[index_date_livraison]]+1,7)*(Tab_Calculs[[#This Row],[fin mois]]-MIN(Tab_Calculs[[#This Row],[fin mois]],Tab_Calculs[[#This Row],[Date_livraison]]))</f>
        <v>#VALUE!</v>
      </c>
      <c r="R919" t="e">
        <f ca="1">Tab_Calculs[[#This Row],[Ratio_Cout_après_livr]]+Tab_Calculs[[#This Row],[Ratio_Cout_avant_livr]]+Tab_Calculs[[#This Row],[Ratio_Cout_avant_debut]]</f>
        <v>#VALUE!</v>
      </c>
      <c r="S919" t="str">
        <f ca="1">IFERROR(N919*VLOOKUP(Tab_Calculs[[#This Row],[Colonne1]],Controle_des_données!$B$7:$G$14,6,FALSE),"")</f>
        <v/>
      </c>
      <c r="T919" t="str">
        <f ca="1">IF(Tab_Calculs[[#This Row],[Combustible ]]="Electricité (kWh)",Tab_Calculs[[#This Row],[Conso_mois_kWh]]*2.3,Tab_Calculs[[#This Row],[Conso_mois_kWh]])</f>
        <v/>
      </c>
      <c r="U919" t="str">
        <f ca="1">IFERROR(N919*VLOOKUP(Tab_Calculs[[#This Row],[Colonne1]],Controle_des_données!$B$7:$H$14,7,FALSE),"")</f>
        <v/>
      </c>
      <c r="V919">
        <f ca="1">IFERROR(Tab_Calculs[[#This Row],[Cout_mois]]/Tab_Calculs[[#This Row],[Conso_mois_kWh]],0)</f>
        <v>0</v>
      </c>
      <c r="W919" t="str">
        <f>T(VLOOKUP(Tab_Calculs[[#This Row],[Compteur]],Site!$B$33:$G$40,3,FALSE))</f>
        <v/>
      </c>
      <c r="X919" t="str">
        <f>T(VLOOKUP(Tab_Calculs[[#This Row],[Compteur]],Site!$B$33:$G$40,4,FALSE))</f>
        <v/>
      </c>
      <c r="Y919" t="str">
        <f>T(VLOOKUP(Tab_Calculs[[#This Row],[Compteur]],Site!$B$33:$G$40,5,FALSE))</f>
        <v/>
      </c>
      <c r="Z919" t="str">
        <f>T(VLOOKUP(Tab_Calculs[[#This Row],[Compteur]],Site!$B$33:$G$40,6,FALSE))</f>
        <v/>
      </c>
      <c r="AA919">
        <f>IFERROR(GETPIVOTDATA("DJU(chauffagiste)",BDD_DJU!$P$13,"annee",Tab_Calculs[[#This Row],[ANNEE]],"mois_numero",Tab_Calculs[[#This Row],[MOIS]]),0)</f>
        <v>326.8</v>
      </c>
    </row>
    <row r="920" spans="1:27" x14ac:dyDescent="0.25">
      <c r="A920" s="3">
        <f>DATE(Tab_Calculs[[#This Row],[ANNEE]],Tab_Calculs[[#This Row],[MOIS]],1)</f>
        <v>44531</v>
      </c>
      <c r="B920" s="3">
        <f>EDATE(Tab_Calculs[[#This Row],[Début mois]],1)-1</f>
        <v>44561</v>
      </c>
      <c r="C920">
        <f t="shared" si="31"/>
        <v>12</v>
      </c>
      <c r="D920">
        <f>D908+1</f>
        <v>2021</v>
      </c>
      <c r="E920" t="s">
        <v>84</v>
      </c>
      <c r="F920" t="str">
        <f>SUBSTITUTE(Tab_Calculs[[#This Row],[Compteur]]," ","_")</f>
        <v>Compteur_5</v>
      </c>
      <c r="G920" t="str">
        <f>T(INDEX(Site!$B$33:$G$40, MATCH(Tab_Calculs[[#This Row],[Compteur]], Site!$B$33:$B$40,0),2))</f>
        <v/>
      </c>
      <c r="H920" s="3">
        <f t="array" aca="1" ref="H920" ca="1">MIN(IF(INDIRECT(CONCATENATE(Tab_Calculs[[#This Row],[Colonne1]],"!$B$2:$B$243"))&gt;=Calculs_Consos!$A920,INDIRECT(CONCATENATE(Tab_Calculs[[#This Row],[Colonne1]],"!$B$2:$B$243"))))</f>
        <v>0</v>
      </c>
      <c r="I920" s="3">
        <f ca="1">INDEX(INDIRECT(CONCATENATE("Tab_",Tab_Calculs[[#This Row],[Colonne1]])),Tab_Calculs[[#This Row],[index_date_livraison]],1)</f>
        <v>0</v>
      </c>
      <c r="J920">
        <f ca="1">MATCH(Tab_Calculs[[#This Row],[Date_livraison]],INDIRECT(CONCATENATE("Tab_",Tab_Calculs[[#This Row],[Colonne1]],"[Fin de période]")),0)</f>
        <v>1</v>
      </c>
      <c r="K920" t="e">
        <f ca="1">INDEX(INDIRECT(CONCATENATE("Tab_",Tab_Calculs[[#This Row],[Colonne1]])),Tab_Calculs[[#This Row],[index_date_livraison]]-1,6)*(MAX(Tab_Calculs[[#This Row],[Début periode livraison]],Tab_Calculs[[#This Row],[Début mois]])-Tab_Calculs[[#This Row],[Début mois]])</f>
        <v>#VALUE!</v>
      </c>
      <c r="L920" s="94">
        <f ca="1">INDEX(INDIRECT(CONCATENATE("Tab_",Tab_Calculs[[#This Row],[Colonne1]])),Tab_Calculs[[#This Row],[index_date_livraison]],6)*(1+MIN(Tab_Calculs[[#This Row],[Date_livraison]],Tab_Calculs[[#This Row],[fin mois]])-MAX(Tab_Calculs[[#This Row],[Début mois]],Tab_Calculs[[#This Row],[Début periode livraison]]))</f>
        <v>0</v>
      </c>
      <c r="M920" s="94" t="e">
        <f ca="1">INDEX(INDIRECT(CONCATENATE("Tab_",Tab_Calculs[[#This Row],[Colonne1]])),Tab_Calculs[[#This Row],[index_date_livraison]]+1,6)*(Tab_Calculs[[#This Row],[fin mois]]-MIN(Tab_Calculs[[#This Row],[fin mois]],Tab_Calculs[[#This Row],[Date_livraison]]))</f>
        <v>#VALUE!</v>
      </c>
      <c r="N920" s="231" t="str">
        <f ca="1">IFERROR(Tab_Calculs[[#This Row],[Ratio_jour_après_livr]]+Tab_Calculs[[#This Row],[Ratio_jour_avant_livr]]+Tab_Calculs[[#This Row],[ratio_avant_debut]],"")</f>
        <v/>
      </c>
      <c r="O920" t="e">
        <f ca="1">INDEX(INDIRECT(CONCATENATE("Tab_",Tab_Calculs[[#This Row],[Colonne1]])),Tab_Calculs[[#This Row],[index_date_livraison]]-1,7)*(MAX(Tab_Calculs[[#This Row],[Début periode livraison]],Tab_Calculs[[#This Row],[Début mois]])-Tab_Calculs[[#This Row],[Début mois]])</f>
        <v>#VALUE!</v>
      </c>
      <c r="P920">
        <f ca="1">INDEX(INDIRECT(CONCATENATE("Tab_",Tab_Calculs[[#This Row],[Colonne1]])),Tab_Calculs[[#This Row],[index_date_livraison]],7)*(1+MIN(Tab_Calculs[[#This Row],[Date_livraison]],Tab_Calculs[[#This Row],[fin mois]])-MAX(Tab_Calculs[[#This Row],[Début mois]],Tab_Calculs[[#This Row],[Début periode livraison]]))</f>
        <v>0</v>
      </c>
      <c r="Q920" t="e">
        <f ca="1">INDEX(INDIRECT(CONCATENATE("Tab_",Tab_Calculs[[#This Row],[Colonne1]])),Tab_Calculs[[#This Row],[index_date_livraison]]+1,7)*(Tab_Calculs[[#This Row],[fin mois]]-MIN(Tab_Calculs[[#This Row],[fin mois]],Tab_Calculs[[#This Row],[Date_livraison]]))</f>
        <v>#VALUE!</v>
      </c>
      <c r="R920" t="e">
        <f ca="1">Tab_Calculs[[#This Row],[Ratio_Cout_après_livr]]+Tab_Calculs[[#This Row],[Ratio_Cout_avant_livr]]+Tab_Calculs[[#This Row],[Ratio_Cout_avant_debut]]</f>
        <v>#VALUE!</v>
      </c>
      <c r="S920" t="str">
        <f ca="1">IFERROR(N920*VLOOKUP(Tab_Calculs[[#This Row],[Colonne1]],Controle_des_données!$B$7:$G$14,6,FALSE),"")</f>
        <v/>
      </c>
      <c r="T920" t="str">
        <f ca="1">IF(Tab_Calculs[[#This Row],[Combustible ]]="Electricité (kWh)",Tab_Calculs[[#This Row],[Conso_mois_kWh]]*2.3,Tab_Calculs[[#This Row],[Conso_mois_kWh]])</f>
        <v/>
      </c>
      <c r="U920" t="str">
        <f ca="1">IFERROR(N920*VLOOKUP(Tab_Calculs[[#This Row],[Colonne1]],Controle_des_données!$B$7:$H$14,7,FALSE),"")</f>
        <v/>
      </c>
      <c r="V920">
        <f ca="1">IFERROR(Tab_Calculs[[#This Row],[Cout_mois]]/Tab_Calculs[[#This Row],[Conso_mois_kWh]],0)</f>
        <v>0</v>
      </c>
      <c r="W920" t="str">
        <f>T(VLOOKUP(Tab_Calculs[[#This Row],[Compteur]],Site!$B$33:$G$40,3,FALSE))</f>
        <v/>
      </c>
      <c r="X920" t="str">
        <f>T(VLOOKUP(Tab_Calculs[[#This Row],[Compteur]],Site!$B$33:$G$40,4,FALSE))</f>
        <v/>
      </c>
      <c r="Y920" t="str">
        <f>T(VLOOKUP(Tab_Calculs[[#This Row],[Compteur]],Site!$B$33:$G$40,5,FALSE))</f>
        <v/>
      </c>
      <c r="Z920" t="str">
        <f>T(VLOOKUP(Tab_Calculs[[#This Row],[Compteur]],Site!$B$33:$G$40,6,FALSE))</f>
        <v/>
      </c>
      <c r="AA920">
        <f>IFERROR(GETPIVOTDATA("DJU(chauffagiste)",BDD_DJU!$P$13,"annee",Tab_Calculs[[#This Row],[ANNEE]],"mois_numero",Tab_Calculs[[#This Row],[MOIS]]),0)</f>
        <v>336.7</v>
      </c>
    </row>
    <row r="921" spans="1:27" x14ac:dyDescent="0.25">
      <c r="A921" s="3">
        <f>DATE(Tab_Calculs[[#This Row],[ANNEE]],Tab_Calculs[[#This Row],[MOIS]],1)</f>
        <v>44562</v>
      </c>
      <c r="B921" s="3">
        <f>EDATE(Tab_Calculs[[#This Row],[Début mois]],1)-1</f>
        <v>44592</v>
      </c>
      <c r="C921">
        <f t="shared" si="31"/>
        <v>1</v>
      </c>
      <c r="D921">
        <f t="shared" ref="D921:D933" si="32">D909+1</f>
        <v>2022</v>
      </c>
      <c r="E921" t="s">
        <v>84</v>
      </c>
      <c r="F921" t="str">
        <f>SUBSTITUTE(Tab_Calculs[[#This Row],[Compteur]]," ","_")</f>
        <v>Compteur_5</v>
      </c>
      <c r="G921" t="str">
        <f>T(INDEX(Site!$B$33:$G$40, MATCH(Tab_Calculs[[#This Row],[Compteur]], Site!$B$33:$B$40,0),2))</f>
        <v/>
      </c>
      <c r="H921" s="3">
        <f t="array" aca="1" ref="H921" ca="1">MIN(IF(INDIRECT(CONCATENATE(Tab_Calculs[[#This Row],[Colonne1]],"!$B$2:$B$243"))&gt;=Calculs_Consos!$A921,INDIRECT(CONCATENATE(Tab_Calculs[[#This Row],[Colonne1]],"!$B$2:$B$243"))))</f>
        <v>0</v>
      </c>
      <c r="I921" s="3">
        <f ca="1">INDEX(INDIRECT(CONCATENATE("Tab_",Tab_Calculs[[#This Row],[Colonne1]])),Tab_Calculs[[#This Row],[index_date_livraison]],1)</f>
        <v>0</v>
      </c>
      <c r="J921">
        <f ca="1">MATCH(Tab_Calculs[[#This Row],[Date_livraison]],INDIRECT(CONCATENATE("Tab_",Tab_Calculs[[#This Row],[Colonne1]],"[Fin de période]")),0)</f>
        <v>1</v>
      </c>
      <c r="K921" t="e">
        <f ca="1">INDEX(INDIRECT(CONCATENATE("Tab_",Tab_Calculs[[#This Row],[Colonne1]])),Tab_Calculs[[#This Row],[index_date_livraison]]-1,6)*(MAX(Tab_Calculs[[#This Row],[Début periode livraison]],Tab_Calculs[[#This Row],[Début mois]])-Tab_Calculs[[#This Row],[Début mois]])</f>
        <v>#VALUE!</v>
      </c>
      <c r="L921" s="94">
        <f ca="1">INDEX(INDIRECT(CONCATENATE("Tab_",Tab_Calculs[[#This Row],[Colonne1]])),Tab_Calculs[[#This Row],[index_date_livraison]],6)*(1+MIN(Tab_Calculs[[#This Row],[Date_livraison]],Tab_Calculs[[#This Row],[fin mois]])-MAX(Tab_Calculs[[#This Row],[Début mois]],Tab_Calculs[[#This Row],[Début periode livraison]]))</f>
        <v>0</v>
      </c>
      <c r="M921" s="94" t="e">
        <f ca="1">INDEX(INDIRECT(CONCATENATE("Tab_",Tab_Calculs[[#This Row],[Colonne1]])),Tab_Calculs[[#This Row],[index_date_livraison]]+1,6)*(Tab_Calculs[[#This Row],[fin mois]]-MIN(Tab_Calculs[[#This Row],[fin mois]],Tab_Calculs[[#This Row],[Date_livraison]]))</f>
        <v>#VALUE!</v>
      </c>
      <c r="N921" s="231" t="str">
        <f ca="1">IFERROR(Tab_Calculs[[#This Row],[Ratio_jour_après_livr]]+Tab_Calculs[[#This Row],[Ratio_jour_avant_livr]]+Tab_Calculs[[#This Row],[ratio_avant_debut]],"")</f>
        <v/>
      </c>
      <c r="O921" t="e">
        <f ca="1">INDEX(INDIRECT(CONCATENATE("Tab_",Tab_Calculs[[#This Row],[Colonne1]])),Tab_Calculs[[#This Row],[index_date_livraison]]-1,7)*(MAX(Tab_Calculs[[#This Row],[Début periode livraison]],Tab_Calculs[[#This Row],[Début mois]])-Tab_Calculs[[#This Row],[Début mois]])</f>
        <v>#VALUE!</v>
      </c>
      <c r="P921">
        <f ca="1">INDEX(INDIRECT(CONCATENATE("Tab_",Tab_Calculs[[#This Row],[Colonne1]])),Tab_Calculs[[#This Row],[index_date_livraison]],7)*(1+MIN(Tab_Calculs[[#This Row],[Date_livraison]],Tab_Calculs[[#This Row],[fin mois]])-MAX(Tab_Calculs[[#This Row],[Début mois]],Tab_Calculs[[#This Row],[Début periode livraison]]))</f>
        <v>0</v>
      </c>
      <c r="Q921" t="e">
        <f ca="1">INDEX(INDIRECT(CONCATENATE("Tab_",Tab_Calculs[[#This Row],[Colonne1]])),Tab_Calculs[[#This Row],[index_date_livraison]]+1,7)*(Tab_Calculs[[#This Row],[fin mois]]-MIN(Tab_Calculs[[#This Row],[fin mois]],Tab_Calculs[[#This Row],[Date_livraison]]))</f>
        <v>#VALUE!</v>
      </c>
      <c r="R921" t="e">
        <f ca="1">Tab_Calculs[[#This Row],[Ratio_Cout_après_livr]]+Tab_Calculs[[#This Row],[Ratio_Cout_avant_livr]]+Tab_Calculs[[#This Row],[Ratio_Cout_avant_debut]]</f>
        <v>#VALUE!</v>
      </c>
      <c r="S921" t="str">
        <f ca="1">IFERROR(N921*VLOOKUP(Tab_Calculs[[#This Row],[Colonne1]],Controle_des_données!$B$7:$G$14,6,FALSE),"")</f>
        <v/>
      </c>
      <c r="T921" t="str">
        <f ca="1">IF(Tab_Calculs[[#This Row],[Combustible ]]="Electricité (kWh)",Tab_Calculs[[#This Row],[Conso_mois_kWh]]*2.3,Tab_Calculs[[#This Row],[Conso_mois_kWh]])</f>
        <v/>
      </c>
      <c r="U921" t="str">
        <f ca="1">IFERROR(N921*VLOOKUP(Tab_Calculs[[#This Row],[Colonne1]],Controle_des_données!$B$7:$H$14,7,FALSE),"")</f>
        <v/>
      </c>
      <c r="V921">
        <f ca="1">IFERROR(Tab_Calculs[[#This Row],[Cout_mois]]/Tab_Calculs[[#This Row],[Conso_mois_kWh]],0)</f>
        <v>0</v>
      </c>
      <c r="W921" t="str">
        <f>T(VLOOKUP(Tab_Calculs[[#This Row],[Compteur]],Site!$B$33:$G$40,3,FALSE))</f>
        <v/>
      </c>
      <c r="X921" t="str">
        <f>T(VLOOKUP(Tab_Calculs[[#This Row],[Compteur]],Site!$B$33:$G$40,4,FALSE))</f>
        <v/>
      </c>
      <c r="Y921" t="str">
        <f>T(VLOOKUP(Tab_Calculs[[#This Row],[Compteur]],Site!$B$33:$G$40,5,FALSE))</f>
        <v/>
      </c>
      <c r="Z921" t="str">
        <f>T(VLOOKUP(Tab_Calculs[[#This Row],[Compteur]],Site!$B$33:$G$40,6,FALSE))</f>
        <v/>
      </c>
      <c r="AA921">
        <f>IFERROR(GETPIVOTDATA("DJU(chauffagiste)",BDD_DJU!$P$13,"annee",Tab_Calculs[[#This Row],[ANNEE]],"mois_numero",Tab_Calculs[[#This Row],[MOIS]]),0)</f>
        <v>396.3</v>
      </c>
    </row>
    <row r="922" spans="1:27" x14ac:dyDescent="0.25">
      <c r="A922" s="3">
        <f>DATE(Tab_Calculs[[#This Row],[ANNEE]],Tab_Calculs[[#This Row],[MOIS]],1)</f>
        <v>44593</v>
      </c>
      <c r="B922" s="3">
        <f>EDATE(Tab_Calculs[[#This Row],[Début mois]],1)-1</f>
        <v>44620</v>
      </c>
      <c r="C922">
        <f t="shared" si="31"/>
        <v>2</v>
      </c>
      <c r="D922">
        <f t="shared" si="32"/>
        <v>2022</v>
      </c>
      <c r="E922" t="s">
        <v>84</v>
      </c>
      <c r="F922" t="str">
        <f>SUBSTITUTE(Tab_Calculs[[#This Row],[Compteur]]," ","_")</f>
        <v>Compteur_5</v>
      </c>
      <c r="G922" t="str">
        <f>T(INDEX(Site!$B$33:$G$40, MATCH(Tab_Calculs[[#This Row],[Compteur]], Site!$B$33:$B$40,0),2))</f>
        <v/>
      </c>
      <c r="H922" s="3">
        <f t="array" aca="1" ref="H922" ca="1">MIN(IF(INDIRECT(CONCATENATE(Tab_Calculs[[#This Row],[Colonne1]],"!$B$2:$B$243"))&gt;=Calculs_Consos!$A922,INDIRECT(CONCATENATE(Tab_Calculs[[#This Row],[Colonne1]],"!$B$2:$B$243"))))</f>
        <v>0</v>
      </c>
      <c r="I922" s="3">
        <f ca="1">INDEX(INDIRECT(CONCATENATE("Tab_",Tab_Calculs[[#This Row],[Colonne1]])),Tab_Calculs[[#This Row],[index_date_livraison]],1)</f>
        <v>0</v>
      </c>
      <c r="J922">
        <f ca="1">MATCH(Tab_Calculs[[#This Row],[Date_livraison]],INDIRECT(CONCATENATE("Tab_",Tab_Calculs[[#This Row],[Colonne1]],"[Fin de période]")),0)</f>
        <v>1</v>
      </c>
      <c r="K922" t="e">
        <f ca="1">INDEX(INDIRECT(CONCATENATE("Tab_",Tab_Calculs[[#This Row],[Colonne1]])),Tab_Calculs[[#This Row],[index_date_livraison]]-1,6)*(MAX(Tab_Calculs[[#This Row],[Début periode livraison]],Tab_Calculs[[#This Row],[Début mois]])-Tab_Calculs[[#This Row],[Début mois]])</f>
        <v>#VALUE!</v>
      </c>
      <c r="L922" s="94">
        <f ca="1">INDEX(INDIRECT(CONCATENATE("Tab_",Tab_Calculs[[#This Row],[Colonne1]])),Tab_Calculs[[#This Row],[index_date_livraison]],6)*(1+MIN(Tab_Calculs[[#This Row],[Date_livraison]],Tab_Calculs[[#This Row],[fin mois]])-MAX(Tab_Calculs[[#This Row],[Début mois]],Tab_Calculs[[#This Row],[Début periode livraison]]))</f>
        <v>0</v>
      </c>
      <c r="M922" s="94" t="e">
        <f ca="1">INDEX(INDIRECT(CONCATENATE("Tab_",Tab_Calculs[[#This Row],[Colonne1]])),Tab_Calculs[[#This Row],[index_date_livraison]]+1,6)*(Tab_Calculs[[#This Row],[fin mois]]-MIN(Tab_Calculs[[#This Row],[fin mois]],Tab_Calculs[[#This Row],[Date_livraison]]))</f>
        <v>#VALUE!</v>
      </c>
      <c r="N922" s="231" t="str">
        <f ca="1">IFERROR(Tab_Calculs[[#This Row],[Ratio_jour_après_livr]]+Tab_Calculs[[#This Row],[Ratio_jour_avant_livr]]+Tab_Calculs[[#This Row],[ratio_avant_debut]],"")</f>
        <v/>
      </c>
      <c r="O922" t="e">
        <f ca="1">INDEX(INDIRECT(CONCATENATE("Tab_",Tab_Calculs[[#This Row],[Colonne1]])),Tab_Calculs[[#This Row],[index_date_livraison]]-1,7)*(MAX(Tab_Calculs[[#This Row],[Début periode livraison]],Tab_Calculs[[#This Row],[Début mois]])-Tab_Calculs[[#This Row],[Début mois]])</f>
        <v>#VALUE!</v>
      </c>
      <c r="P922">
        <f ca="1">INDEX(INDIRECT(CONCATENATE("Tab_",Tab_Calculs[[#This Row],[Colonne1]])),Tab_Calculs[[#This Row],[index_date_livraison]],7)*(1+MIN(Tab_Calculs[[#This Row],[Date_livraison]],Tab_Calculs[[#This Row],[fin mois]])-MAX(Tab_Calculs[[#This Row],[Début mois]],Tab_Calculs[[#This Row],[Début periode livraison]]))</f>
        <v>0</v>
      </c>
      <c r="Q922" t="e">
        <f ca="1">INDEX(INDIRECT(CONCATENATE("Tab_",Tab_Calculs[[#This Row],[Colonne1]])),Tab_Calculs[[#This Row],[index_date_livraison]]+1,7)*(Tab_Calculs[[#This Row],[fin mois]]-MIN(Tab_Calculs[[#This Row],[fin mois]],Tab_Calculs[[#This Row],[Date_livraison]]))</f>
        <v>#VALUE!</v>
      </c>
      <c r="R922" t="e">
        <f ca="1">Tab_Calculs[[#This Row],[Ratio_Cout_après_livr]]+Tab_Calculs[[#This Row],[Ratio_Cout_avant_livr]]+Tab_Calculs[[#This Row],[Ratio_Cout_avant_debut]]</f>
        <v>#VALUE!</v>
      </c>
      <c r="S922" t="str">
        <f ca="1">IFERROR(N922*VLOOKUP(Tab_Calculs[[#This Row],[Colonne1]],Controle_des_données!$B$7:$G$14,6,FALSE),"")</f>
        <v/>
      </c>
      <c r="T922" t="str">
        <f ca="1">IF(Tab_Calculs[[#This Row],[Combustible ]]="Electricité (kWh)",Tab_Calculs[[#This Row],[Conso_mois_kWh]]*2.3,Tab_Calculs[[#This Row],[Conso_mois_kWh]])</f>
        <v/>
      </c>
      <c r="U922" t="str">
        <f ca="1">IFERROR(N922*VLOOKUP(Tab_Calculs[[#This Row],[Colonne1]],Controle_des_données!$B$7:$H$14,7,FALSE),"")</f>
        <v/>
      </c>
      <c r="V922">
        <f ca="1">IFERROR(Tab_Calculs[[#This Row],[Cout_mois]]/Tab_Calculs[[#This Row],[Conso_mois_kWh]],0)</f>
        <v>0</v>
      </c>
      <c r="W922" t="str">
        <f>T(VLOOKUP(Tab_Calculs[[#This Row],[Compteur]],Site!$B$33:$G$40,3,FALSE))</f>
        <v/>
      </c>
      <c r="X922" t="str">
        <f>T(VLOOKUP(Tab_Calculs[[#This Row],[Compteur]],Site!$B$33:$G$40,4,FALSE))</f>
        <v/>
      </c>
      <c r="Y922" t="str">
        <f>T(VLOOKUP(Tab_Calculs[[#This Row],[Compteur]],Site!$B$33:$G$40,5,FALSE))</f>
        <v/>
      </c>
      <c r="Z922" t="str">
        <f>T(VLOOKUP(Tab_Calculs[[#This Row],[Compteur]],Site!$B$33:$G$40,6,FALSE))</f>
        <v/>
      </c>
      <c r="AA922">
        <f>IFERROR(GETPIVOTDATA("DJU(chauffagiste)",BDD_DJU!$P$13,"annee",Tab_Calculs[[#This Row],[ANNEE]],"mois_numero",Tab_Calculs[[#This Row],[MOIS]]),0)</f>
        <v>286.10000000000002</v>
      </c>
    </row>
    <row r="923" spans="1:27" x14ac:dyDescent="0.25">
      <c r="A923" s="3">
        <f>DATE(Tab_Calculs[[#This Row],[ANNEE]],Tab_Calculs[[#This Row],[MOIS]],1)</f>
        <v>44621</v>
      </c>
      <c r="B923" s="3">
        <f>EDATE(Tab_Calculs[[#This Row],[Début mois]],1)-1</f>
        <v>44651</v>
      </c>
      <c r="C923">
        <f t="shared" si="31"/>
        <v>3</v>
      </c>
      <c r="D923">
        <f t="shared" si="32"/>
        <v>2022</v>
      </c>
      <c r="E923" t="s">
        <v>84</v>
      </c>
      <c r="F923" t="str">
        <f>SUBSTITUTE(Tab_Calculs[[#This Row],[Compteur]]," ","_")</f>
        <v>Compteur_5</v>
      </c>
      <c r="G923" t="str">
        <f>T(INDEX(Site!$B$33:$G$40, MATCH(Tab_Calculs[[#This Row],[Compteur]], Site!$B$33:$B$40,0),2))</f>
        <v/>
      </c>
      <c r="H923" s="3">
        <f t="array" aca="1" ref="H923" ca="1">MIN(IF(INDIRECT(CONCATENATE(Tab_Calculs[[#This Row],[Colonne1]],"!$B$2:$B$243"))&gt;=Calculs_Consos!$A923,INDIRECT(CONCATENATE(Tab_Calculs[[#This Row],[Colonne1]],"!$B$2:$B$243"))))</f>
        <v>0</v>
      </c>
      <c r="I923" s="3">
        <f ca="1">INDEX(INDIRECT(CONCATENATE("Tab_",Tab_Calculs[[#This Row],[Colonne1]])),Tab_Calculs[[#This Row],[index_date_livraison]],1)</f>
        <v>0</v>
      </c>
      <c r="J923">
        <f ca="1">MATCH(Tab_Calculs[[#This Row],[Date_livraison]],INDIRECT(CONCATENATE("Tab_",Tab_Calculs[[#This Row],[Colonne1]],"[Fin de période]")),0)</f>
        <v>1</v>
      </c>
      <c r="K923" t="e">
        <f ca="1">INDEX(INDIRECT(CONCATENATE("Tab_",Tab_Calculs[[#This Row],[Colonne1]])),Tab_Calculs[[#This Row],[index_date_livraison]]-1,6)*(MAX(Tab_Calculs[[#This Row],[Début periode livraison]],Tab_Calculs[[#This Row],[Début mois]])-Tab_Calculs[[#This Row],[Début mois]])</f>
        <v>#VALUE!</v>
      </c>
      <c r="L923" s="94">
        <f ca="1">INDEX(INDIRECT(CONCATENATE("Tab_",Tab_Calculs[[#This Row],[Colonne1]])),Tab_Calculs[[#This Row],[index_date_livraison]],6)*(1+MIN(Tab_Calculs[[#This Row],[Date_livraison]],Tab_Calculs[[#This Row],[fin mois]])-MAX(Tab_Calculs[[#This Row],[Début mois]],Tab_Calculs[[#This Row],[Début periode livraison]]))</f>
        <v>0</v>
      </c>
      <c r="M923" s="94" t="e">
        <f ca="1">INDEX(INDIRECT(CONCATENATE("Tab_",Tab_Calculs[[#This Row],[Colonne1]])),Tab_Calculs[[#This Row],[index_date_livraison]]+1,6)*(Tab_Calculs[[#This Row],[fin mois]]-MIN(Tab_Calculs[[#This Row],[fin mois]],Tab_Calculs[[#This Row],[Date_livraison]]))</f>
        <v>#VALUE!</v>
      </c>
      <c r="N923" s="231" t="str">
        <f ca="1">IFERROR(Tab_Calculs[[#This Row],[Ratio_jour_après_livr]]+Tab_Calculs[[#This Row],[Ratio_jour_avant_livr]]+Tab_Calculs[[#This Row],[ratio_avant_debut]],"")</f>
        <v/>
      </c>
      <c r="O923" t="e">
        <f ca="1">INDEX(INDIRECT(CONCATENATE("Tab_",Tab_Calculs[[#This Row],[Colonne1]])),Tab_Calculs[[#This Row],[index_date_livraison]]-1,7)*(MAX(Tab_Calculs[[#This Row],[Début periode livraison]],Tab_Calculs[[#This Row],[Début mois]])-Tab_Calculs[[#This Row],[Début mois]])</f>
        <v>#VALUE!</v>
      </c>
      <c r="P923">
        <f ca="1">INDEX(INDIRECT(CONCATENATE("Tab_",Tab_Calculs[[#This Row],[Colonne1]])),Tab_Calculs[[#This Row],[index_date_livraison]],7)*(1+MIN(Tab_Calculs[[#This Row],[Date_livraison]],Tab_Calculs[[#This Row],[fin mois]])-MAX(Tab_Calculs[[#This Row],[Début mois]],Tab_Calculs[[#This Row],[Début periode livraison]]))</f>
        <v>0</v>
      </c>
      <c r="Q923" t="e">
        <f ca="1">INDEX(INDIRECT(CONCATENATE("Tab_",Tab_Calculs[[#This Row],[Colonne1]])),Tab_Calculs[[#This Row],[index_date_livraison]]+1,7)*(Tab_Calculs[[#This Row],[fin mois]]-MIN(Tab_Calculs[[#This Row],[fin mois]],Tab_Calculs[[#This Row],[Date_livraison]]))</f>
        <v>#VALUE!</v>
      </c>
      <c r="R923" t="e">
        <f ca="1">Tab_Calculs[[#This Row],[Ratio_Cout_après_livr]]+Tab_Calculs[[#This Row],[Ratio_Cout_avant_livr]]+Tab_Calculs[[#This Row],[Ratio_Cout_avant_debut]]</f>
        <v>#VALUE!</v>
      </c>
      <c r="S923" t="str">
        <f ca="1">IFERROR(N923*VLOOKUP(Tab_Calculs[[#This Row],[Colonne1]],Controle_des_données!$B$7:$G$14,6,FALSE),"")</f>
        <v/>
      </c>
      <c r="T923" t="str">
        <f ca="1">IF(Tab_Calculs[[#This Row],[Combustible ]]="Electricité (kWh)",Tab_Calculs[[#This Row],[Conso_mois_kWh]]*2.3,Tab_Calculs[[#This Row],[Conso_mois_kWh]])</f>
        <v/>
      </c>
      <c r="U923" t="str">
        <f ca="1">IFERROR(N923*VLOOKUP(Tab_Calculs[[#This Row],[Colonne1]],Controle_des_données!$B$7:$H$14,7,FALSE),"")</f>
        <v/>
      </c>
      <c r="V923">
        <f ca="1">IFERROR(Tab_Calculs[[#This Row],[Cout_mois]]/Tab_Calculs[[#This Row],[Conso_mois_kWh]],0)</f>
        <v>0</v>
      </c>
      <c r="W923" t="str">
        <f>T(VLOOKUP(Tab_Calculs[[#This Row],[Compteur]],Site!$B$33:$G$40,3,FALSE))</f>
        <v/>
      </c>
      <c r="X923" t="str">
        <f>T(VLOOKUP(Tab_Calculs[[#This Row],[Compteur]],Site!$B$33:$G$40,4,FALSE))</f>
        <v/>
      </c>
      <c r="Y923" t="str">
        <f>T(VLOOKUP(Tab_Calculs[[#This Row],[Compteur]],Site!$B$33:$G$40,5,FALSE))</f>
        <v/>
      </c>
      <c r="Z923" t="str">
        <f>T(VLOOKUP(Tab_Calculs[[#This Row],[Compteur]],Site!$B$33:$G$40,6,FALSE))</f>
        <v/>
      </c>
      <c r="AA923">
        <f>IFERROR(GETPIVOTDATA("DJU(chauffagiste)",BDD_DJU!$P$13,"annee",Tab_Calculs[[#This Row],[ANNEE]],"mois_numero",Tab_Calculs[[#This Row],[MOIS]]),0)</f>
        <v>239.8</v>
      </c>
    </row>
    <row r="924" spans="1:27" x14ac:dyDescent="0.25">
      <c r="A924" s="3">
        <f>DATE(Tab_Calculs[[#This Row],[ANNEE]],Tab_Calculs[[#This Row],[MOIS]],1)</f>
        <v>44652</v>
      </c>
      <c r="B924" s="3">
        <f>EDATE(Tab_Calculs[[#This Row],[Début mois]],1)-1</f>
        <v>44681</v>
      </c>
      <c r="C924">
        <f t="shared" si="31"/>
        <v>4</v>
      </c>
      <c r="D924">
        <f t="shared" si="32"/>
        <v>2022</v>
      </c>
      <c r="E924" t="s">
        <v>84</v>
      </c>
      <c r="F924" t="str">
        <f>SUBSTITUTE(Tab_Calculs[[#This Row],[Compteur]]," ","_")</f>
        <v>Compteur_5</v>
      </c>
      <c r="G924" t="str">
        <f>T(INDEX(Site!$B$33:$G$40, MATCH(Tab_Calculs[[#This Row],[Compteur]], Site!$B$33:$B$40,0),2))</f>
        <v/>
      </c>
      <c r="H924" s="3">
        <f t="array" aca="1" ref="H924" ca="1">MIN(IF(INDIRECT(CONCATENATE(Tab_Calculs[[#This Row],[Colonne1]],"!$B$2:$B$243"))&gt;=Calculs_Consos!$A924,INDIRECT(CONCATENATE(Tab_Calculs[[#This Row],[Colonne1]],"!$B$2:$B$243"))))</f>
        <v>0</v>
      </c>
      <c r="I924" s="3">
        <f ca="1">INDEX(INDIRECT(CONCATENATE("Tab_",Tab_Calculs[[#This Row],[Colonne1]])),Tab_Calculs[[#This Row],[index_date_livraison]],1)</f>
        <v>0</v>
      </c>
      <c r="J924">
        <f ca="1">MATCH(Tab_Calculs[[#This Row],[Date_livraison]],INDIRECT(CONCATENATE("Tab_",Tab_Calculs[[#This Row],[Colonne1]],"[Fin de période]")),0)</f>
        <v>1</v>
      </c>
      <c r="K924" t="e">
        <f ca="1">INDEX(INDIRECT(CONCATENATE("Tab_",Tab_Calculs[[#This Row],[Colonne1]])),Tab_Calculs[[#This Row],[index_date_livraison]]-1,6)*(MAX(Tab_Calculs[[#This Row],[Début periode livraison]],Tab_Calculs[[#This Row],[Début mois]])-Tab_Calculs[[#This Row],[Début mois]])</f>
        <v>#VALUE!</v>
      </c>
      <c r="L924" s="94">
        <f ca="1">INDEX(INDIRECT(CONCATENATE("Tab_",Tab_Calculs[[#This Row],[Colonne1]])),Tab_Calculs[[#This Row],[index_date_livraison]],6)*(1+MIN(Tab_Calculs[[#This Row],[Date_livraison]],Tab_Calculs[[#This Row],[fin mois]])-MAX(Tab_Calculs[[#This Row],[Début mois]],Tab_Calculs[[#This Row],[Début periode livraison]]))</f>
        <v>0</v>
      </c>
      <c r="M924" s="94" t="e">
        <f ca="1">INDEX(INDIRECT(CONCATENATE("Tab_",Tab_Calculs[[#This Row],[Colonne1]])),Tab_Calculs[[#This Row],[index_date_livraison]]+1,6)*(Tab_Calculs[[#This Row],[fin mois]]-MIN(Tab_Calculs[[#This Row],[fin mois]],Tab_Calculs[[#This Row],[Date_livraison]]))</f>
        <v>#VALUE!</v>
      </c>
      <c r="N924" s="231" t="str">
        <f ca="1">IFERROR(Tab_Calculs[[#This Row],[Ratio_jour_après_livr]]+Tab_Calculs[[#This Row],[Ratio_jour_avant_livr]]+Tab_Calculs[[#This Row],[ratio_avant_debut]],"")</f>
        <v/>
      </c>
      <c r="O924" t="e">
        <f ca="1">INDEX(INDIRECT(CONCATENATE("Tab_",Tab_Calculs[[#This Row],[Colonne1]])),Tab_Calculs[[#This Row],[index_date_livraison]]-1,7)*(MAX(Tab_Calculs[[#This Row],[Début periode livraison]],Tab_Calculs[[#This Row],[Début mois]])-Tab_Calculs[[#This Row],[Début mois]])</f>
        <v>#VALUE!</v>
      </c>
      <c r="P924">
        <f ca="1">INDEX(INDIRECT(CONCATENATE("Tab_",Tab_Calculs[[#This Row],[Colonne1]])),Tab_Calculs[[#This Row],[index_date_livraison]],7)*(1+MIN(Tab_Calculs[[#This Row],[Date_livraison]],Tab_Calculs[[#This Row],[fin mois]])-MAX(Tab_Calculs[[#This Row],[Début mois]],Tab_Calculs[[#This Row],[Début periode livraison]]))</f>
        <v>0</v>
      </c>
      <c r="Q924" t="e">
        <f ca="1">INDEX(INDIRECT(CONCATENATE("Tab_",Tab_Calculs[[#This Row],[Colonne1]])),Tab_Calculs[[#This Row],[index_date_livraison]]+1,7)*(Tab_Calculs[[#This Row],[fin mois]]-MIN(Tab_Calculs[[#This Row],[fin mois]],Tab_Calculs[[#This Row],[Date_livraison]]))</f>
        <v>#VALUE!</v>
      </c>
      <c r="R924" t="e">
        <f ca="1">Tab_Calculs[[#This Row],[Ratio_Cout_après_livr]]+Tab_Calculs[[#This Row],[Ratio_Cout_avant_livr]]+Tab_Calculs[[#This Row],[Ratio_Cout_avant_debut]]</f>
        <v>#VALUE!</v>
      </c>
      <c r="S924" t="str">
        <f ca="1">IFERROR(N924*VLOOKUP(Tab_Calculs[[#This Row],[Colonne1]],Controle_des_données!$B$7:$G$14,6,FALSE),"")</f>
        <v/>
      </c>
      <c r="T924" t="str">
        <f ca="1">IF(Tab_Calculs[[#This Row],[Combustible ]]="Electricité (kWh)",Tab_Calculs[[#This Row],[Conso_mois_kWh]]*2.3,Tab_Calculs[[#This Row],[Conso_mois_kWh]])</f>
        <v/>
      </c>
      <c r="U924" t="str">
        <f ca="1">IFERROR(N924*VLOOKUP(Tab_Calculs[[#This Row],[Colonne1]],Controle_des_données!$B$7:$H$14,7,FALSE),"")</f>
        <v/>
      </c>
      <c r="V924">
        <f ca="1">IFERROR(Tab_Calculs[[#This Row],[Cout_mois]]/Tab_Calculs[[#This Row],[Conso_mois_kWh]],0)</f>
        <v>0</v>
      </c>
      <c r="W924" t="str">
        <f>T(VLOOKUP(Tab_Calculs[[#This Row],[Compteur]],Site!$B$33:$G$40,3,FALSE))</f>
        <v/>
      </c>
      <c r="X924" t="str">
        <f>T(VLOOKUP(Tab_Calculs[[#This Row],[Compteur]],Site!$B$33:$G$40,4,FALSE))</f>
        <v/>
      </c>
      <c r="Y924" t="str">
        <f>T(VLOOKUP(Tab_Calculs[[#This Row],[Compteur]],Site!$B$33:$G$40,5,FALSE))</f>
        <v/>
      </c>
      <c r="Z924" t="str">
        <f>T(VLOOKUP(Tab_Calculs[[#This Row],[Compteur]],Site!$B$33:$G$40,6,FALSE))</f>
        <v/>
      </c>
      <c r="AA924">
        <f>IFERROR(GETPIVOTDATA("DJU(chauffagiste)",BDD_DJU!$P$13,"annee",Tab_Calculs[[#This Row],[ANNEE]],"mois_numero",Tab_Calculs[[#This Row],[MOIS]]),0)</f>
        <v>192.3</v>
      </c>
    </row>
    <row r="925" spans="1:27" x14ac:dyDescent="0.25">
      <c r="A925" s="3">
        <f>DATE(Tab_Calculs[[#This Row],[ANNEE]],Tab_Calculs[[#This Row],[MOIS]],1)</f>
        <v>44682</v>
      </c>
      <c r="B925" s="3">
        <f>EDATE(Tab_Calculs[[#This Row],[Début mois]],1)-1</f>
        <v>44712</v>
      </c>
      <c r="C925">
        <f t="shared" si="31"/>
        <v>5</v>
      </c>
      <c r="D925">
        <f t="shared" si="32"/>
        <v>2022</v>
      </c>
      <c r="E925" t="s">
        <v>84</v>
      </c>
      <c r="F925" t="str">
        <f>SUBSTITUTE(Tab_Calculs[[#This Row],[Compteur]]," ","_")</f>
        <v>Compteur_5</v>
      </c>
      <c r="G925" t="str">
        <f>T(INDEX(Site!$B$33:$G$40, MATCH(Tab_Calculs[[#This Row],[Compteur]], Site!$B$33:$B$40,0),2))</f>
        <v/>
      </c>
      <c r="H925" s="3">
        <f t="array" aca="1" ref="H925" ca="1">MIN(IF(INDIRECT(CONCATENATE(Tab_Calculs[[#This Row],[Colonne1]],"!$B$2:$B$243"))&gt;=Calculs_Consos!$A925,INDIRECT(CONCATENATE(Tab_Calculs[[#This Row],[Colonne1]],"!$B$2:$B$243"))))</f>
        <v>0</v>
      </c>
      <c r="I925" s="3">
        <f ca="1">INDEX(INDIRECT(CONCATENATE("Tab_",Tab_Calculs[[#This Row],[Colonne1]])),Tab_Calculs[[#This Row],[index_date_livraison]],1)</f>
        <v>0</v>
      </c>
      <c r="J925">
        <f ca="1">MATCH(Tab_Calculs[[#This Row],[Date_livraison]],INDIRECT(CONCATENATE("Tab_",Tab_Calculs[[#This Row],[Colonne1]],"[Fin de période]")),0)</f>
        <v>1</v>
      </c>
      <c r="K925" t="e">
        <f ca="1">INDEX(INDIRECT(CONCATENATE("Tab_",Tab_Calculs[[#This Row],[Colonne1]])),Tab_Calculs[[#This Row],[index_date_livraison]]-1,6)*(MAX(Tab_Calculs[[#This Row],[Début periode livraison]],Tab_Calculs[[#This Row],[Début mois]])-Tab_Calculs[[#This Row],[Début mois]])</f>
        <v>#VALUE!</v>
      </c>
      <c r="L925" s="94">
        <f ca="1">INDEX(INDIRECT(CONCATENATE("Tab_",Tab_Calculs[[#This Row],[Colonne1]])),Tab_Calculs[[#This Row],[index_date_livraison]],6)*(1+MIN(Tab_Calculs[[#This Row],[Date_livraison]],Tab_Calculs[[#This Row],[fin mois]])-MAX(Tab_Calculs[[#This Row],[Début mois]],Tab_Calculs[[#This Row],[Début periode livraison]]))</f>
        <v>0</v>
      </c>
      <c r="M925" s="94" t="e">
        <f ca="1">INDEX(INDIRECT(CONCATENATE("Tab_",Tab_Calculs[[#This Row],[Colonne1]])),Tab_Calculs[[#This Row],[index_date_livraison]]+1,6)*(Tab_Calculs[[#This Row],[fin mois]]-MIN(Tab_Calculs[[#This Row],[fin mois]],Tab_Calculs[[#This Row],[Date_livraison]]))</f>
        <v>#VALUE!</v>
      </c>
      <c r="N925" s="231" t="str">
        <f ca="1">IFERROR(Tab_Calculs[[#This Row],[Ratio_jour_après_livr]]+Tab_Calculs[[#This Row],[Ratio_jour_avant_livr]]+Tab_Calculs[[#This Row],[ratio_avant_debut]],"")</f>
        <v/>
      </c>
      <c r="O925" t="e">
        <f ca="1">INDEX(INDIRECT(CONCATENATE("Tab_",Tab_Calculs[[#This Row],[Colonne1]])),Tab_Calculs[[#This Row],[index_date_livraison]]-1,7)*(MAX(Tab_Calculs[[#This Row],[Début periode livraison]],Tab_Calculs[[#This Row],[Début mois]])-Tab_Calculs[[#This Row],[Début mois]])</f>
        <v>#VALUE!</v>
      </c>
      <c r="P925">
        <f ca="1">INDEX(INDIRECT(CONCATENATE("Tab_",Tab_Calculs[[#This Row],[Colonne1]])),Tab_Calculs[[#This Row],[index_date_livraison]],7)*(1+MIN(Tab_Calculs[[#This Row],[Date_livraison]],Tab_Calculs[[#This Row],[fin mois]])-MAX(Tab_Calculs[[#This Row],[Début mois]],Tab_Calculs[[#This Row],[Début periode livraison]]))</f>
        <v>0</v>
      </c>
      <c r="Q925" t="e">
        <f ca="1">INDEX(INDIRECT(CONCATENATE("Tab_",Tab_Calculs[[#This Row],[Colonne1]])),Tab_Calculs[[#This Row],[index_date_livraison]]+1,7)*(Tab_Calculs[[#This Row],[fin mois]]-MIN(Tab_Calculs[[#This Row],[fin mois]],Tab_Calculs[[#This Row],[Date_livraison]]))</f>
        <v>#VALUE!</v>
      </c>
      <c r="R925" t="e">
        <f ca="1">Tab_Calculs[[#This Row],[Ratio_Cout_après_livr]]+Tab_Calculs[[#This Row],[Ratio_Cout_avant_livr]]+Tab_Calculs[[#This Row],[Ratio_Cout_avant_debut]]</f>
        <v>#VALUE!</v>
      </c>
      <c r="S925" t="str">
        <f ca="1">IFERROR(N925*VLOOKUP(Tab_Calculs[[#This Row],[Colonne1]],Controle_des_données!$B$7:$G$14,6,FALSE),"")</f>
        <v/>
      </c>
      <c r="T925" t="str">
        <f ca="1">IF(Tab_Calculs[[#This Row],[Combustible ]]="Electricité (kWh)",Tab_Calculs[[#This Row],[Conso_mois_kWh]]*2.3,Tab_Calculs[[#This Row],[Conso_mois_kWh]])</f>
        <v/>
      </c>
      <c r="U925" t="str">
        <f ca="1">IFERROR(N925*VLOOKUP(Tab_Calculs[[#This Row],[Colonne1]],Controle_des_données!$B$7:$H$14,7,FALSE),"")</f>
        <v/>
      </c>
      <c r="V925">
        <f ca="1">IFERROR(Tab_Calculs[[#This Row],[Cout_mois]]/Tab_Calculs[[#This Row],[Conso_mois_kWh]],0)</f>
        <v>0</v>
      </c>
      <c r="W925" t="str">
        <f>T(VLOOKUP(Tab_Calculs[[#This Row],[Compteur]],Site!$B$33:$G$40,3,FALSE))</f>
        <v/>
      </c>
      <c r="X925" t="str">
        <f>T(VLOOKUP(Tab_Calculs[[#This Row],[Compteur]],Site!$B$33:$G$40,4,FALSE))</f>
        <v/>
      </c>
      <c r="Y925" t="str">
        <f>T(VLOOKUP(Tab_Calculs[[#This Row],[Compteur]],Site!$B$33:$G$40,5,FALSE))</f>
        <v/>
      </c>
      <c r="Z925" t="str">
        <f>T(VLOOKUP(Tab_Calculs[[#This Row],[Compteur]],Site!$B$33:$G$40,6,FALSE))</f>
        <v/>
      </c>
      <c r="AA925">
        <f>IFERROR(GETPIVOTDATA("DJU(chauffagiste)",BDD_DJU!$P$13,"annee",Tab_Calculs[[#This Row],[ANNEE]],"mois_numero",Tab_Calculs[[#This Row],[MOIS]]),0)</f>
        <v>81.8</v>
      </c>
    </row>
    <row r="926" spans="1:27" x14ac:dyDescent="0.25">
      <c r="A926" s="3">
        <f>DATE(Tab_Calculs[[#This Row],[ANNEE]],Tab_Calculs[[#This Row],[MOIS]],1)</f>
        <v>44713</v>
      </c>
      <c r="B926" s="3">
        <f>EDATE(Tab_Calculs[[#This Row],[Début mois]],1)-1</f>
        <v>44742</v>
      </c>
      <c r="C926">
        <f t="shared" si="31"/>
        <v>6</v>
      </c>
      <c r="D926">
        <f t="shared" si="32"/>
        <v>2022</v>
      </c>
      <c r="E926" t="s">
        <v>84</v>
      </c>
      <c r="F926" t="str">
        <f>SUBSTITUTE(Tab_Calculs[[#This Row],[Compteur]]," ","_")</f>
        <v>Compteur_5</v>
      </c>
      <c r="G926" t="str">
        <f>T(INDEX(Site!$B$33:$G$40, MATCH(Tab_Calculs[[#This Row],[Compteur]], Site!$B$33:$B$40,0),2))</f>
        <v/>
      </c>
      <c r="H926" s="3">
        <f t="array" aca="1" ref="H926" ca="1">MIN(IF(INDIRECT(CONCATENATE(Tab_Calculs[[#This Row],[Colonne1]],"!$B$2:$B$243"))&gt;=Calculs_Consos!$A926,INDIRECT(CONCATENATE(Tab_Calculs[[#This Row],[Colonne1]],"!$B$2:$B$243"))))</f>
        <v>0</v>
      </c>
      <c r="I926" s="3">
        <f ca="1">INDEX(INDIRECT(CONCATENATE("Tab_",Tab_Calculs[[#This Row],[Colonne1]])),Tab_Calculs[[#This Row],[index_date_livraison]],1)</f>
        <v>0</v>
      </c>
      <c r="J926">
        <f ca="1">MATCH(Tab_Calculs[[#This Row],[Date_livraison]],INDIRECT(CONCATENATE("Tab_",Tab_Calculs[[#This Row],[Colonne1]],"[Fin de période]")),0)</f>
        <v>1</v>
      </c>
      <c r="K926" t="e">
        <f ca="1">INDEX(INDIRECT(CONCATENATE("Tab_",Tab_Calculs[[#This Row],[Colonne1]])),Tab_Calculs[[#This Row],[index_date_livraison]]-1,6)*(MAX(Tab_Calculs[[#This Row],[Début periode livraison]],Tab_Calculs[[#This Row],[Début mois]])-Tab_Calculs[[#This Row],[Début mois]])</f>
        <v>#VALUE!</v>
      </c>
      <c r="L926" s="94">
        <f ca="1">INDEX(INDIRECT(CONCATENATE("Tab_",Tab_Calculs[[#This Row],[Colonne1]])),Tab_Calculs[[#This Row],[index_date_livraison]],6)*(1+MIN(Tab_Calculs[[#This Row],[Date_livraison]],Tab_Calculs[[#This Row],[fin mois]])-MAX(Tab_Calculs[[#This Row],[Début mois]],Tab_Calculs[[#This Row],[Début periode livraison]]))</f>
        <v>0</v>
      </c>
      <c r="M926" s="94" t="e">
        <f ca="1">INDEX(INDIRECT(CONCATENATE("Tab_",Tab_Calculs[[#This Row],[Colonne1]])),Tab_Calculs[[#This Row],[index_date_livraison]]+1,6)*(Tab_Calculs[[#This Row],[fin mois]]-MIN(Tab_Calculs[[#This Row],[fin mois]],Tab_Calculs[[#This Row],[Date_livraison]]))</f>
        <v>#VALUE!</v>
      </c>
      <c r="N926" s="231" t="str">
        <f ca="1">IFERROR(Tab_Calculs[[#This Row],[Ratio_jour_après_livr]]+Tab_Calculs[[#This Row],[Ratio_jour_avant_livr]]+Tab_Calculs[[#This Row],[ratio_avant_debut]],"")</f>
        <v/>
      </c>
      <c r="O926" t="e">
        <f ca="1">INDEX(INDIRECT(CONCATENATE("Tab_",Tab_Calculs[[#This Row],[Colonne1]])),Tab_Calculs[[#This Row],[index_date_livraison]]-1,7)*(MAX(Tab_Calculs[[#This Row],[Début periode livraison]],Tab_Calculs[[#This Row],[Début mois]])-Tab_Calculs[[#This Row],[Début mois]])</f>
        <v>#VALUE!</v>
      </c>
      <c r="P926">
        <f ca="1">INDEX(INDIRECT(CONCATENATE("Tab_",Tab_Calculs[[#This Row],[Colonne1]])),Tab_Calculs[[#This Row],[index_date_livraison]],7)*(1+MIN(Tab_Calculs[[#This Row],[Date_livraison]],Tab_Calculs[[#This Row],[fin mois]])-MAX(Tab_Calculs[[#This Row],[Début mois]],Tab_Calculs[[#This Row],[Début periode livraison]]))</f>
        <v>0</v>
      </c>
      <c r="Q926" t="e">
        <f ca="1">INDEX(INDIRECT(CONCATENATE("Tab_",Tab_Calculs[[#This Row],[Colonne1]])),Tab_Calculs[[#This Row],[index_date_livraison]]+1,7)*(Tab_Calculs[[#This Row],[fin mois]]-MIN(Tab_Calculs[[#This Row],[fin mois]],Tab_Calculs[[#This Row],[Date_livraison]]))</f>
        <v>#VALUE!</v>
      </c>
      <c r="R926" t="e">
        <f ca="1">Tab_Calculs[[#This Row],[Ratio_Cout_après_livr]]+Tab_Calculs[[#This Row],[Ratio_Cout_avant_livr]]+Tab_Calculs[[#This Row],[Ratio_Cout_avant_debut]]</f>
        <v>#VALUE!</v>
      </c>
      <c r="S926" t="str">
        <f ca="1">IFERROR(N926*VLOOKUP(Tab_Calculs[[#This Row],[Colonne1]],Controle_des_données!$B$7:$G$14,6,FALSE),"")</f>
        <v/>
      </c>
      <c r="T926" t="str">
        <f ca="1">IF(Tab_Calculs[[#This Row],[Combustible ]]="Electricité (kWh)",Tab_Calculs[[#This Row],[Conso_mois_kWh]]*2.3,Tab_Calculs[[#This Row],[Conso_mois_kWh]])</f>
        <v/>
      </c>
      <c r="U926" t="str">
        <f ca="1">IFERROR(N926*VLOOKUP(Tab_Calculs[[#This Row],[Colonne1]],Controle_des_données!$B$7:$H$14,7,FALSE),"")</f>
        <v/>
      </c>
      <c r="V926">
        <f ca="1">IFERROR(Tab_Calculs[[#This Row],[Cout_mois]]/Tab_Calculs[[#This Row],[Conso_mois_kWh]],0)</f>
        <v>0</v>
      </c>
      <c r="W926" t="str">
        <f>T(VLOOKUP(Tab_Calculs[[#This Row],[Compteur]],Site!$B$33:$G$40,3,FALSE))</f>
        <v/>
      </c>
      <c r="X926" t="str">
        <f>T(VLOOKUP(Tab_Calculs[[#This Row],[Compteur]],Site!$B$33:$G$40,4,FALSE))</f>
        <v/>
      </c>
      <c r="Y926" t="str">
        <f>T(VLOOKUP(Tab_Calculs[[#This Row],[Compteur]],Site!$B$33:$G$40,5,FALSE))</f>
        <v/>
      </c>
      <c r="Z926" t="str">
        <f>T(VLOOKUP(Tab_Calculs[[#This Row],[Compteur]],Site!$B$33:$G$40,6,FALSE))</f>
        <v/>
      </c>
      <c r="AA926">
        <f>IFERROR(GETPIVOTDATA("DJU(chauffagiste)",BDD_DJU!$P$13,"annee",Tab_Calculs[[#This Row],[ANNEE]],"mois_numero",Tab_Calculs[[#This Row],[MOIS]]),0)</f>
        <v>35.5</v>
      </c>
    </row>
    <row r="927" spans="1:27" x14ac:dyDescent="0.25">
      <c r="A927" s="3">
        <f>DATE(Tab_Calculs[[#This Row],[ANNEE]],Tab_Calculs[[#This Row],[MOIS]],1)</f>
        <v>44743</v>
      </c>
      <c r="B927" s="3">
        <f>EDATE(Tab_Calculs[[#This Row],[Début mois]],1)-1</f>
        <v>44773</v>
      </c>
      <c r="C927">
        <f t="shared" si="31"/>
        <v>7</v>
      </c>
      <c r="D927">
        <f t="shared" si="32"/>
        <v>2022</v>
      </c>
      <c r="E927" t="s">
        <v>84</v>
      </c>
      <c r="F927" t="str">
        <f>SUBSTITUTE(Tab_Calculs[[#This Row],[Compteur]]," ","_")</f>
        <v>Compteur_5</v>
      </c>
      <c r="G927" t="str">
        <f>T(INDEX(Site!$B$33:$G$40, MATCH(Tab_Calculs[[#This Row],[Compteur]], Site!$B$33:$B$40,0),2))</f>
        <v/>
      </c>
      <c r="H927" s="3">
        <f t="array" aca="1" ref="H927" ca="1">MIN(IF(INDIRECT(CONCATENATE(Tab_Calculs[[#This Row],[Colonne1]],"!$B$2:$B$243"))&gt;=Calculs_Consos!$A927,INDIRECT(CONCATENATE(Tab_Calculs[[#This Row],[Colonne1]],"!$B$2:$B$243"))))</f>
        <v>0</v>
      </c>
      <c r="I927" s="3">
        <f ca="1">INDEX(INDIRECT(CONCATENATE("Tab_",Tab_Calculs[[#This Row],[Colonne1]])),Tab_Calculs[[#This Row],[index_date_livraison]],1)</f>
        <v>0</v>
      </c>
      <c r="J927">
        <f ca="1">MATCH(Tab_Calculs[[#This Row],[Date_livraison]],INDIRECT(CONCATENATE("Tab_",Tab_Calculs[[#This Row],[Colonne1]],"[Fin de période]")),0)</f>
        <v>1</v>
      </c>
      <c r="K927" t="e">
        <f ca="1">INDEX(INDIRECT(CONCATENATE("Tab_",Tab_Calculs[[#This Row],[Colonne1]])),Tab_Calculs[[#This Row],[index_date_livraison]]-1,6)*(MAX(Tab_Calculs[[#This Row],[Début periode livraison]],Tab_Calculs[[#This Row],[Début mois]])-Tab_Calculs[[#This Row],[Début mois]])</f>
        <v>#VALUE!</v>
      </c>
      <c r="L927" s="94">
        <f ca="1">INDEX(INDIRECT(CONCATENATE("Tab_",Tab_Calculs[[#This Row],[Colonne1]])),Tab_Calculs[[#This Row],[index_date_livraison]],6)*(1+MIN(Tab_Calculs[[#This Row],[Date_livraison]],Tab_Calculs[[#This Row],[fin mois]])-MAX(Tab_Calculs[[#This Row],[Début mois]],Tab_Calculs[[#This Row],[Début periode livraison]]))</f>
        <v>0</v>
      </c>
      <c r="M927" s="94" t="e">
        <f ca="1">INDEX(INDIRECT(CONCATENATE("Tab_",Tab_Calculs[[#This Row],[Colonne1]])),Tab_Calculs[[#This Row],[index_date_livraison]]+1,6)*(Tab_Calculs[[#This Row],[fin mois]]-MIN(Tab_Calculs[[#This Row],[fin mois]],Tab_Calculs[[#This Row],[Date_livraison]]))</f>
        <v>#VALUE!</v>
      </c>
      <c r="N927" s="231" t="str">
        <f ca="1">IFERROR(Tab_Calculs[[#This Row],[Ratio_jour_après_livr]]+Tab_Calculs[[#This Row],[Ratio_jour_avant_livr]]+Tab_Calculs[[#This Row],[ratio_avant_debut]],"")</f>
        <v/>
      </c>
      <c r="O927" t="e">
        <f ca="1">INDEX(INDIRECT(CONCATENATE("Tab_",Tab_Calculs[[#This Row],[Colonne1]])),Tab_Calculs[[#This Row],[index_date_livraison]]-1,7)*(MAX(Tab_Calculs[[#This Row],[Début periode livraison]],Tab_Calculs[[#This Row],[Début mois]])-Tab_Calculs[[#This Row],[Début mois]])</f>
        <v>#VALUE!</v>
      </c>
      <c r="P927">
        <f ca="1">INDEX(INDIRECT(CONCATENATE("Tab_",Tab_Calculs[[#This Row],[Colonne1]])),Tab_Calculs[[#This Row],[index_date_livraison]],7)*(1+MIN(Tab_Calculs[[#This Row],[Date_livraison]],Tab_Calculs[[#This Row],[fin mois]])-MAX(Tab_Calculs[[#This Row],[Début mois]],Tab_Calculs[[#This Row],[Début periode livraison]]))</f>
        <v>0</v>
      </c>
      <c r="Q927" t="e">
        <f ca="1">INDEX(INDIRECT(CONCATENATE("Tab_",Tab_Calculs[[#This Row],[Colonne1]])),Tab_Calculs[[#This Row],[index_date_livraison]]+1,7)*(Tab_Calculs[[#This Row],[fin mois]]-MIN(Tab_Calculs[[#This Row],[fin mois]],Tab_Calculs[[#This Row],[Date_livraison]]))</f>
        <v>#VALUE!</v>
      </c>
      <c r="R927" t="e">
        <f ca="1">Tab_Calculs[[#This Row],[Ratio_Cout_après_livr]]+Tab_Calculs[[#This Row],[Ratio_Cout_avant_livr]]+Tab_Calculs[[#This Row],[Ratio_Cout_avant_debut]]</f>
        <v>#VALUE!</v>
      </c>
      <c r="S927" t="str">
        <f ca="1">IFERROR(N927*VLOOKUP(Tab_Calculs[[#This Row],[Colonne1]],Controle_des_données!$B$7:$G$14,6,FALSE),"")</f>
        <v/>
      </c>
      <c r="T927" t="str">
        <f ca="1">IF(Tab_Calculs[[#This Row],[Combustible ]]="Electricité (kWh)",Tab_Calculs[[#This Row],[Conso_mois_kWh]]*2.3,Tab_Calculs[[#This Row],[Conso_mois_kWh]])</f>
        <v/>
      </c>
      <c r="U927" t="str">
        <f ca="1">IFERROR(N927*VLOOKUP(Tab_Calculs[[#This Row],[Colonne1]],Controle_des_données!$B$7:$H$14,7,FALSE),"")</f>
        <v/>
      </c>
      <c r="V927">
        <f ca="1">IFERROR(Tab_Calculs[[#This Row],[Cout_mois]]/Tab_Calculs[[#This Row],[Conso_mois_kWh]],0)</f>
        <v>0</v>
      </c>
      <c r="W927" t="str">
        <f>T(VLOOKUP(Tab_Calculs[[#This Row],[Compteur]],Site!$B$33:$G$40,3,FALSE))</f>
        <v/>
      </c>
      <c r="X927" t="str">
        <f>T(VLOOKUP(Tab_Calculs[[#This Row],[Compteur]],Site!$B$33:$G$40,4,FALSE))</f>
        <v/>
      </c>
      <c r="Y927" t="str">
        <f>T(VLOOKUP(Tab_Calculs[[#This Row],[Compteur]],Site!$B$33:$G$40,5,FALSE))</f>
        <v/>
      </c>
      <c r="Z927" t="str">
        <f>T(VLOOKUP(Tab_Calculs[[#This Row],[Compteur]],Site!$B$33:$G$40,6,FALSE))</f>
        <v/>
      </c>
      <c r="AA927">
        <f>IFERROR(GETPIVOTDATA("DJU(chauffagiste)",BDD_DJU!$P$13,"annee",Tab_Calculs[[#This Row],[ANNEE]],"mois_numero",Tab_Calculs[[#This Row],[MOIS]]),0)</f>
        <v>18.8</v>
      </c>
    </row>
    <row r="928" spans="1:27" x14ac:dyDescent="0.25">
      <c r="A928" s="3">
        <f>DATE(Tab_Calculs[[#This Row],[ANNEE]],Tab_Calculs[[#This Row],[MOIS]],1)</f>
        <v>44774</v>
      </c>
      <c r="B928" s="3">
        <f>EDATE(Tab_Calculs[[#This Row],[Début mois]],1)-1</f>
        <v>44804</v>
      </c>
      <c r="C928">
        <f t="shared" si="31"/>
        <v>8</v>
      </c>
      <c r="D928">
        <f t="shared" si="32"/>
        <v>2022</v>
      </c>
      <c r="E928" t="s">
        <v>84</v>
      </c>
      <c r="F928" t="str">
        <f>SUBSTITUTE(Tab_Calculs[[#This Row],[Compteur]]," ","_")</f>
        <v>Compteur_5</v>
      </c>
      <c r="G928" t="str">
        <f>T(INDEX(Site!$B$33:$G$40, MATCH(Tab_Calculs[[#This Row],[Compteur]], Site!$B$33:$B$40,0),2))</f>
        <v/>
      </c>
      <c r="H928" s="3">
        <f t="array" aca="1" ref="H928" ca="1">MIN(IF(INDIRECT(CONCATENATE(Tab_Calculs[[#This Row],[Colonne1]],"!$B$2:$B$243"))&gt;=Calculs_Consos!$A928,INDIRECT(CONCATENATE(Tab_Calculs[[#This Row],[Colonne1]],"!$B$2:$B$243"))))</f>
        <v>0</v>
      </c>
      <c r="I928" s="3">
        <f ca="1">INDEX(INDIRECT(CONCATENATE("Tab_",Tab_Calculs[[#This Row],[Colonne1]])),Tab_Calculs[[#This Row],[index_date_livraison]],1)</f>
        <v>0</v>
      </c>
      <c r="J928">
        <f ca="1">MATCH(Tab_Calculs[[#This Row],[Date_livraison]],INDIRECT(CONCATENATE("Tab_",Tab_Calculs[[#This Row],[Colonne1]],"[Fin de période]")),0)</f>
        <v>1</v>
      </c>
      <c r="K928" t="e">
        <f ca="1">INDEX(INDIRECT(CONCATENATE("Tab_",Tab_Calculs[[#This Row],[Colonne1]])),Tab_Calculs[[#This Row],[index_date_livraison]]-1,6)*(MAX(Tab_Calculs[[#This Row],[Début periode livraison]],Tab_Calculs[[#This Row],[Début mois]])-Tab_Calculs[[#This Row],[Début mois]])</f>
        <v>#VALUE!</v>
      </c>
      <c r="L928" s="94">
        <f ca="1">INDEX(INDIRECT(CONCATENATE("Tab_",Tab_Calculs[[#This Row],[Colonne1]])),Tab_Calculs[[#This Row],[index_date_livraison]],6)*(1+MIN(Tab_Calculs[[#This Row],[Date_livraison]],Tab_Calculs[[#This Row],[fin mois]])-MAX(Tab_Calculs[[#This Row],[Début mois]],Tab_Calculs[[#This Row],[Début periode livraison]]))</f>
        <v>0</v>
      </c>
      <c r="M928" s="94" t="e">
        <f ca="1">INDEX(INDIRECT(CONCATENATE("Tab_",Tab_Calculs[[#This Row],[Colonne1]])),Tab_Calculs[[#This Row],[index_date_livraison]]+1,6)*(Tab_Calculs[[#This Row],[fin mois]]-MIN(Tab_Calculs[[#This Row],[fin mois]],Tab_Calculs[[#This Row],[Date_livraison]]))</f>
        <v>#VALUE!</v>
      </c>
      <c r="N928" s="231" t="str">
        <f ca="1">IFERROR(Tab_Calculs[[#This Row],[Ratio_jour_après_livr]]+Tab_Calculs[[#This Row],[Ratio_jour_avant_livr]]+Tab_Calculs[[#This Row],[ratio_avant_debut]],"")</f>
        <v/>
      </c>
      <c r="O928" t="e">
        <f ca="1">INDEX(INDIRECT(CONCATENATE("Tab_",Tab_Calculs[[#This Row],[Colonne1]])),Tab_Calculs[[#This Row],[index_date_livraison]]-1,7)*(MAX(Tab_Calculs[[#This Row],[Début periode livraison]],Tab_Calculs[[#This Row],[Début mois]])-Tab_Calculs[[#This Row],[Début mois]])</f>
        <v>#VALUE!</v>
      </c>
      <c r="P928">
        <f ca="1">INDEX(INDIRECT(CONCATENATE("Tab_",Tab_Calculs[[#This Row],[Colonne1]])),Tab_Calculs[[#This Row],[index_date_livraison]],7)*(1+MIN(Tab_Calculs[[#This Row],[Date_livraison]],Tab_Calculs[[#This Row],[fin mois]])-MAX(Tab_Calculs[[#This Row],[Début mois]],Tab_Calculs[[#This Row],[Début periode livraison]]))</f>
        <v>0</v>
      </c>
      <c r="Q928" t="e">
        <f ca="1">INDEX(INDIRECT(CONCATENATE("Tab_",Tab_Calculs[[#This Row],[Colonne1]])),Tab_Calculs[[#This Row],[index_date_livraison]]+1,7)*(Tab_Calculs[[#This Row],[fin mois]]-MIN(Tab_Calculs[[#This Row],[fin mois]],Tab_Calculs[[#This Row],[Date_livraison]]))</f>
        <v>#VALUE!</v>
      </c>
      <c r="R928" t="e">
        <f ca="1">Tab_Calculs[[#This Row],[Ratio_Cout_après_livr]]+Tab_Calculs[[#This Row],[Ratio_Cout_avant_livr]]+Tab_Calculs[[#This Row],[Ratio_Cout_avant_debut]]</f>
        <v>#VALUE!</v>
      </c>
      <c r="S928" t="str">
        <f ca="1">IFERROR(N928*VLOOKUP(Tab_Calculs[[#This Row],[Colonne1]],Controle_des_données!$B$7:$G$14,6,FALSE),"")</f>
        <v/>
      </c>
      <c r="T928" t="str">
        <f ca="1">IF(Tab_Calculs[[#This Row],[Combustible ]]="Electricité (kWh)",Tab_Calculs[[#This Row],[Conso_mois_kWh]]*2.3,Tab_Calculs[[#This Row],[Conso_mois_kWh]])</f>
        <v/>
      </c>
      <c r="U928" t="str">
        <f ca="1">IFERROR(N928*VLOOKUP(Tab_Calculs[[#This Row],[Colonne1]],Controle_des_données!$B$7:$H$14,7,FALSE),"")</f>
        <v/>
      </c>
      <c r="V928">
        <f ca="1">IFERROR(Tab_Calculs[[#This Row],[Cout_mois]]/Tab_Calculs[[#This Row],[Conso_mois_kWh]],0)</f>
        <v>0</v>
      </c>
      <c r="W928" t="str">
        <f>T(VLOOKUP(Tab_Calculs[[#This Row],[Compteur]],Site!$B$33:$G$40,3,FALSE))</f>
        <v/>
      </c>
      <c r="X928" t="str">
        <f>T(VLOOKUP(Tab_Calculs[[#This Row],[Compteur]],Site!$B$33:$G$40,4,FALSE))</f>
        <v/>
      </c>
      <c r="Y928" t="str">
        <f>T(VLOOKUP(Tab_Calculs[[#This Row],[Compteur]],Site!$B$33:$G$40,5,FALSE))</f>
        <v/>
      </c>
      <c r="Z928" t="str">
        <f>T(VLOOKUP(Tab_Calculs[[#This Row],[Compteur]],Site!$B$33:$G$40,6,FALSE))</f>
        <v/>
      </c>
      <c r="AA928">
        <f>IFERROR(GETPIVOTDATA("DJU(chauffagiste)",BDD_DJU!$P$13,"annee",Tab_Calculs[[#This Row],[ANNEE]],"mois_numero",Tab_Calculs[[#This Row],[MOIS]]),0)</f>
        <v>10.7</v>
      </c>
    </row>
    <row r="929" spans="1:27" x14ac:dyDescent="0.25">
      <c r="A929" s="3">
        <f>DATE(Tab_Calculs[[#This Row],[ANNEE]],Tab_Calculs[[#This Row],[MOIS]],1)</f>
        <v>44805</v>
      </c>
      <c r="B929" s="3">
        <f>EDATE(Tab_Calculs[[#This Row],[Début mois]],1)-1</f>
        <v>44834</v>
      </c>
      <c r="C929">
        <f t="shared" si="31"/>
        <v>9</v>
      </c>
      <c r="D929">
        <f t="shared" si="32"/>
        <v>2022</v>
      </c>
      <c r="E929" t="s">
        <v>84</v>
      </c>
      <c r="F929" t="str">
        <f>SUBSTITUTE(Tab_Calculs[[#This Row],[Compteur]]," ","_")</f>
        <v>Compteur_5</v>
      </c>
      <c r="G929" t="str">
        <f>T(INDEX(Site!$B$33:$G$40, MATCH(Tab_Calculs[[#This Row],[Compteur]], Site!$B$33:$B$40,0),2))</f>
        <v/>
      </c>
      <c r="H929" s="3">
        <f t="array" aca="1" ref="H929" ca="1">MIN(IF(INDIRECT(CONCATENATE(Tab_Calculs[[#This Row],[Colonne1]],"!$B$2:$B$243"))&gt;=Calculs_Consos!$A929,INDIRECT(CONCATENATE(Tab_Calculs[[#This Row],[Colonne1]],"!$B$2:$B$243"))))</f>
        <v>0</v>
      </c>
      <c r="I929" s="3">
        <f ca="1">INDEX(INDIRECT(CONCATENATE("Tab_",Tab_Calculs[[#This Row],[Colonne1]])),Tab_Calculs[[#This Row],[index_date_livraison]],1)</f>
        <v>0</v>
      </c>
      <c r="J929">
        <f ca="1">MATCH(Tab_Calculs[[#This Row],[Date_livraison]],INDIRECT(CONCATENATE("Tab_",Tab_Calculs[[#This Row],[Colonne1]],"[Fin de période]")),0)</f>
        <v>1</v>
      </c>
      <c r="K929" t="e">
        <f ca="1">INDEX(INDIRECT(CONCATENATE("Tab_",Tab_Calculs[[#This Row],[Colonne1]])),Tab_Calculs[[#This Row],[index_date_livraison]]-1,6)*(MAX(Tab_Calculs[[#This Row],[Début periode livraison]],Tab_Calculs[[#This Row],[Début mois]])-Tab_Calculs[[#This Row],[Début mois]])</f>
        <v>#VALUE!</v>
      </c>
      <c r="L929" s="94">
        <f ca="1">INDEX(INDIRECT(CONCATENATE("Tab_",Tab_Calculs[[#This Row],[Colonne1]])),Tab_Calculs[[#This Row],[index_date_livraison]],6)*(1+MIN(Tab_Calculs[[#This Row],[Date_livraison]],Tab_Calculs[[#This Row],[fin mois]])-MAX(Tab_Calculs[[#This Row],[Début mois]],Tab_Calculs[[#This Row],[Début periode livraison]]))</f>
        <v>0</v>
      </c>
      <c r="M929" s="94" t="e">
        <f ca="1">INDEX(INDIRECT(CONCATENATE("Tab_",Tab_Calculs[[#This Row],[Colonne1]])),Tab_Calculs[[#This Row],[index_date_livraison]]+1,6)*(Tab_Calculs[[#This Row],[fin mois]]-MIN(Tab_Calculs[[#This Row],[fin mois]],Tab_Calculs[[#This Row],[Date_livraison]]))</f>
        <v>#VALUE!</v>
      </c>
      <c r="N929" s="231" t="str">
        <f ca="1">IFERROR(Tab_Calculs[[#This Row],[Ratio_jour_après_livr]]+Tab_Calculs[[#This Row],[Ratio_jour_avant_livr]]+Tab_Calculs[[#This Row],[ratio_avant_debut]],"")</f>
        <v/>
      </c>
      <c r="O929" t="e">
        <f ca="1">INDEX(INDIRECT(CONCATENATE("Tab_",Tab_Calculs[[#This Row],[Colonne1]])),Tab_Calculs[[#This Row],[index_date_livraison]]-1,7)*(MAX(Tab_Calculs[[#This Row],[Début periode livraison]],Tab_Calculs[[#This Row],[Début mois]])-Tab_Calculs[[#This Row],[Début mois]])</f>
        <v>#VALUE!</v>
      </c>
      <c r="P929">
        <f ca="1">INDEX(INDIRECT(CONCATENATE("Tab_",Tab_Calculs[[#This Row],[Colonne1]])),Tab_Calculs[[#This Row],[index_date_livraison]],7)*(1+MIN(Tab_Calculs[[#This Row],[Date_livraison]],Tab_Calculs[[#This Row],[fin mois]])-MAX(Tab_Calculs[[#This Row],[Début mois]],Tab_Calculs[[#This Row],[Début periode livraison]]))</f>
        <v>0</v>
      </c>
      <c r="Q929" t="e">
        <f ca="1">INDEX(INDIRECT(CONCATENATE("Tab_",Tab_Calculs[[#This Row],[Colonne1]])),Tab_Calculs[[#This Row],[index_date_livraison]]+1,7)*(Tab_Calculs[[#This Row],[fin mois]]-MIN(Tab_Calculs[[#This Row],[fin mois]],Tab_Calculs[[#This Row],[Date_livraison]]))</f>
        <v>#VALUE!</v>
      </c>
      <c r="R929" t="e">
        <f ca="1">Tab_Calculs[[#This Row],[Ratio_Cout_après_livr]]+Tab_Calculs[[#This Row],[Ratio_Cout_avant_livr]]+Tab_Calculs[[#This Row],[Ratio_Cout_avant_debut]]</f>
        <v>#VALUE!</v>
      </c>
      <c r="S929" t="str">
        <f ca="1">IFERROR(N929*VLOOKUP(Tab_Calculs[[#This Row],[Colonne1]],Controle_des_données!$B$7:$G$14,6,FALSE),"")</f>
        <v/>
      </c>
      <c r="T929" t="str">
        <f ca="1">IF(Tab_Calculs[[#This Row],[Combustible ]]="Electricité (kWh)",Tab_Calculs[[#This Row],[Conso_mois_kWh]]*2.3,Tab_Calculs[[#This Row],[Conso_mois_kWh]])</f>
        <v/>
      </c>
      <c r="U929" t="str">
        <f ca="1">IFERROR(N929*VLOOKUP(Tab_Calculs[[#This Row],[Colonne1]],Controle_des_données!$B$7:$H$14,7,FALSE),"")</f>
        <v/>
      </c>
      <c r="V929">
        <f ca="1">IFERROR(Tab_Calculs[[#This Row],[Cout_mois]]/Tab_Calculs[[#This Row],[Conso_mois_kWh]],0)</f>
        <v>0</v>
      </c>
      <c r="W929" t="str">
        <f>T(VLOOKUP(Tab_Calculs[[#This Row],[Compteur]],Site!$B$33:$G$40,3,FALSE))</f>
        <v/>
      </c>
      <c r="X929" t="str">
        <f>T(VLOOKUP(Tab_Calculs[[#This Row],[Compteur]],Site!$B$33:$G$40,4,FALSE))</f>
        <v/>
      </c>
      <c r="Y929" t="str">
        <f>T(VLOOKUP(Tab_Calculs[[#This Row],[Compteur]],Site!$B$33:$G$40,5,FALSE))</f>
        <v/>
      </c>
      <c r="Z929" t="str">
        <f>T(VLOOKUP(Tab_Calculs[[#This Row],[Compteur]],Site!$B$33:$G$40,6,FALSE))</f>
        <v/>
      </c>
      <c r="AA929">
        <f>IFERROR(GETPIVOTDATA("DJU(chauffagiste)",BDD_DJU!$P$13,"annee",Tab_Calculs[[#This Row],[ANNEE]],"mois_numero",Tab_Calculs[[#This Row],[MOIS]]),0)</f>
        <v>74.7</v>
      </c>
    </row>
    <row r="930" spans="1:27" x14ac:dyDescent="0.25">
      <c r="A930" s="3">
        <f>DATE(Tab_Calculs[[#This Row],[ANNEE]],Tab_Calculs[[#This Row],[MOIS]],1)</f>
        <v>44835</v>
      </c>
      <c r="B930" s="3">
        <f>EDATE(Tab_Calculs[[#This Row],[Début mois]],1)-1</f>
        <v>44865</v>
      </c>
      <c r="C930">
        <f t="shared" si="31"/>
        <v>10</v>
      </c>
      <c r="D930">
        <f t="shared" si="32"/>
        <v>2022</v>
      </c>
      <c r="E930" t="s">
        <v>84</v>
      </c>
      <c r="F930" t="str">
        <f>SUBSTITUTE(Tab_Calculs[[#This Row],[Compteur]]," ","_")</f>
        <v>Compteur_5</v>
      </c>
      <c r="G930" t="str">
        <f>T(INDEX(Site!$B$33:$G$40, MATCH(Tab_Calculs[[#This Row],[Compteur]], Site!$B$33:$B$40,0),2))</f>
        <v/>
      </c>
      <c r="H930" s="3">
        <f t="array" aca="1" ref="H930" ca="1">MIN(IF(INDIRECT(CONCATENATE(Tab_Calculs[[#This Row],[Colonne1]],"!$B$2:$B$243"))&gt;=Calculs_Consos!$A930,INDIRECT(CONCATENATE(Tab_Calculs[[#This Row],[Colonne1]],"!$B$2:$B$243"))))</f>
        <v>0</v>
      </c>
      <c r="I930" s="3">
        <f ca="1">INDEX(INDIRECT(CONCATENATE("Tab_",Tab_Calculs[[#This Row],[Colonne1]])),Tab_Calculs[[#This Row],[index_date_livraison]],1)</f>
        <v>0</v>
      </c>
      <c r="J930">
        <f ca="1">MATCH(Tab_Calculs[[#This Row],[Date_livraison]],INDIRECT(CONCATENATE("Tab_",Tab_Calculs[[#This Row],[Colonne1]],"[Fin de période]")),0)</f>
        <v>1</v>
      </c>
      <c r="K930" t="e">
        <f ca="1">INDEX(INDIRECT(CONCATENATE("Tab_",Tab_Calculs[[#This Row],[Colonne1]])),Tab_Calculs[[#This Row],[index_date_livraison]]-1,6)*(MAX(Tab_Calculs[[#This Row],[Début periode livraison]],Tab_Calculs[[#This Row],[Début mois]])-Tab_Calculs[[#This Row],[Début mois]])</f>
        <v>#VALUE!</v>
      </c>
      <c r="L930" s="94">
        <f ca="1">INDEX(INDIRECT(CONCATENATE("Tab_",Tab_Calculs[[#This Row],[Colonne1]])),Tab_Calculs[[#This Row],[index_date_livraison]],6)*(1+MIN(Tab_Calculs[[#This Row],[Date_livraison]],Tab_Calculs[[#This Row],[fin mois]])-MAX(Tab_Calculs[[#This Row],[Début mois]],Tab_Calculs[[#This Row],[Début periode livraison]]))</f>
        <v>0</v>
      </c>
      <c r="M930" s="94" t="e">
        <f ca="1">INDEX(INDIRECT(CONCATENATE("Tab_",Tab_Calculs[[#This Row],[Colonne1]])),Tab_Calculs[[#This Row],[index_date_livraison]]+1,6)*(Tab_Calculs[[#This Row],[fin mois]]-MIN(Tab_Calculs[[#This Row],[fin mois]],Tab_Calculs[[#This Row],[Date_livraison]]))</f>
        <v>#VALUE!</v>
      </c>
      <c r="N930" s="231" t="str">
        <f ca="1">IFERROR(Tab_Calculs[[#This Row],[Ratio_jour_après_livr]]+Tab_Calculs[[#This Row],[Ratio_jour_avant_livr]]+Tab_Calculs[[#This Row],[ratio_avant_debut]],"")</f>
        <v/>
      </c>
      <c r="O930" t="e">
        <f ca="1">INDEX(INDIRECT(CONCATENATE("Tab_",Tab_Calculs[[#This Row],[Colonne1]])),Tab_Calculs[[#This Row],[index_date_livraison]]-1,7)*(MAX(Tab_Calculs[[#This Row],[Début periode livraison]],Tab_Calculs[[#This Row],[Début mois]])-Tab_Calculs[[#This Row],[Début mois]])</f>
        <v>#VALUE!</v>
      </c>
      <c r="P930">
        <f ca="1">INDEX(INDIRECT(CONCATENATE("Tab_",Tab_Calculs[[#This Row],[Colonne1]])),Tab_Calculs[[#This Row],[index_date_livraison]],7)*(1+MIN(Tab_Calculs[[#This Row],[Date_livraison]],Tab_Calculs[[#This Row],[fin mois]])-MAX(Tab_Calculs[[#This Row],[Début mois]],Tab_Calculs[[#This Row],[Début periode livraison]]))</f>
        <v>0</v>
      </c>
      <c r="Q930" t="e">
        <f ca="1">INDEX(INDIRECT(CONCATENATE("Tab_",Tab_Calculs[[#This Row],[Colonne1]])),Tab_Calculs[[#This Row],[index_date_livraison]]+1,7)*(Tab_Calculs[[#This Row],[fin mois]]-MIN(Tab_Calculs[[#This Row],[fin mois]],Tab_Calculs[[#This Row],[Date_livraison]]))</f>
        <v>#VALUE!</v>
      </c>
      <c r="R930" t="e">
        <f ca="1">Tab_Calculs[[#This Row],[Ratio_Cout_après_livr]]+Tab_Calculs[[#This Row],[Ratio_Cout_avant_livr]]+Tab_Calculs[[#This Row],[Ratio_Cout_avant_debut]]</f>
        <v>#VALUE!</v>
      </c>
      <c r="S930" t="str">
        <f ca="1">IFERROR(N930*VLOOKUP(Tab_Calculs[[#This Row],[Colonne1]],Controle_des_données!$B$7:$G$14,6,FALSE),"")</f>
        <v/>
      </c>
      <c r="T930" t="str">
        <f ca="1">IF(Tab_Calculs[[#This Row],[Combustible ]]="Electricité (kWh)",Tab_Calculs[[#This Row],[Conso_mois_kWh]]*2.3,Tab_Calculs[[#This Row],[Conso_mois_kWh]])</f>
        <v/>
      </c>
      <c r="U930" t="str">
        <f ca="1">IFERROR(N930*VLOOKUP(Tab_Calculs[[#This Row],[Colonne1]],Controle_des_données!$B$7:$H$14,7,FALSE),"")</f>
        <v/>
      </c>
      <c r="V930">
        <f ca="1">IFERROR(Tab_Calculs[[#This Row],[Cout_mois]]/Tab_Calculs[[#This Row],[Conso_mois_kWh]],0)</f>
        <v>0</v>
      </c>
      <c r="W930" t="str">
        <f>T(VLOOKUP(Tab_Calculs[[#This Row],[Compteur]],Site!$B$33:$G$40,3,FALSE))</f>
        <v/>
      </c>
      <c r="X930" t="str">
        <f>T(VLOOKUP(Tab_Calculs[[#This Row],[Compteur]],Site!$B$33:$G$40,4,FALSE))</f>
        <v/>
      </c>
      <c r="Y930" t="str">
        <f>T(VLOOKUP(Tab_Calculs[[#This Row],[Compteur]],Site!$B$33:$G$40,5,FALSE))</f>
        <v/>
      </c>
      <c r="Z930" t="str">
        <f>T(VLOOKUP(Tab_Calculs[[#This Row],[Compteur]],Site!$B$33:$G$40,6,FALSE))</f>
        <v/>
      </c>
      <c r="AA930">
        <f>IFERROR(GETPIVOTDATA("DJU(chauffagiste)",BDD_DJU!$P$13,"annee",Tab_Calculs[[#This Row],[ANNEE]],"mois_numero",Tab_Calculs[[#This Row],[MOIS]]),0)</f>
        <v>73</v>
      </c>
    </row>
    <row r="931" spans="1:27" x14ac:dyDescent="0.25">
      <c r="A931" s="3">
        <f>DATE(Tab_Calculs[[#This Row],[ANNEE]],Tab_Calculs[[#This Row],[MOIS]],1)</f>
        <v>44866</v>
      </c>
      <c r="B931" s="3">
        <f>EDATE(Tab_Calculs[[#This Row],[Début mois]],1)-1</f>
        <v>44895</v>
      </c>
      <c r="C931">
        <f t="shared" si="31"/>
        <v>11</v>
      </c>
      <c r="D931">
        <f t="shared" si="32"/>
        <v>2022</v>
      </c>
      <c r="E931" t="s">
        <v>84</v>
      </c>
      <c r="F931" t="str">
        <f>SUBSTITUTE(Tab_Calculs[[#This Row],[Compteur]]," ","_")</f>
        <v>Compteur_5</v>
      </c>
      <c r="G931" t="str">
        <f>T(INDEX(Site!$B$33:$G$40, MATCH(Tab_Calculs[[#This Row],[Compteur]], Site!$B$33:$B$40,0),2))</f>
        <v/>
      </c>
      <c r="H931" s="3">
        <f t="array" aca="1" ref="H931" ca="1">MIN(IF(INDIRECT(CONCATENATE(Tab_Calculs[[#This Row],[Colonne1]],"!$B$2:$B$243"))&gt;=Calculs_Consos!$A931,INDIRECT(CONCATENATE(Tab_Calculs[[#This Row],[Colonne1]],"!$B$2:$B$243"))))</f>
        <v>0</v>
      </c>
      <c r="I931" s="3">
        <f ca="1">INDEX(INDIRECT(CONCATENATE("Tab_",Tab_Calculs[[#This Row],[Colonne1]])),Tab_Calculs[[#This Row],[index_date_livraison]],1)</f>
        <v>0</v>
      </c>
      <c r="J931">
        <f ca="1">MATCH(Tab_Calculs[[#This Row],[Date_livraison]],INDIRECT(CONCATENATE("Tab_",Tab_Calculs[[#This Row],[Colonne1]],"[Fin de période]")),0)</f>
        <v>1</v>
      </c>
      <c r="K931" t="e">
        <f ca="1">INDEX(INDIRECT(CONCATENATE("Tab_",Tab_Calculs[[#This Row],[Colonne1]])),Tab_Calculs[[#This Row],[index_date_livraison]]-1,6)*(MAX(Tab_Calculs[[#This Row],[Début periode livraison]],Tab_Calculs[[#This Row],[Début mois]])-Tab_Calculs[[#This Row],[Début mois]])</f>
        <v>#VALUE!</v>
      </c>
      <c r="L931" s="94">
        <f ca="1">INDEX(INDIRECT(CONCATENATE("Tab_",Tab_Calculs[[#This Row],[Colonne1]])),Tab_Calculs[[#This Row],[index_date_livraison]],6)*(1+MIN(Tab_Calculs[[#This Row],[Date_livraison]],Tab_Calculs[[#This Row],[fin mois]])-MAX(Tab_Calculs[[#This Row],[Début mois]],Tab_Calculs[[#This Row],[Début periode livraison]]))</f>
        <v>0</v>
      </c>
      <c r="M931" s="94" t="e">
        <f ca="1">INDEX(INDIRECT(CONCATENATE("Tab_",Tab_Calculs[[#This Row],[Colonne1]])),Tab_Calculs[[#This Row],[index_date_livraison]]+1,6)*(Tab_Calculs[[#This Row],[fin mois]]-MIN(Tab_Calculs[[#This Row],[fin mois]],Tab_Calculs[[#This Row],[Date_livraison]]))</f>
        <v>#VALUE!</v>
      </c>
      <c r="N931" s="231" t="str">
        <f ca="1">IFERROR(Tab_Calculs[[#This Row],[Ratio_jour_après_livr]]+Tab_Calculs[[#This Row],[Ratio_jour_avant_livr]]+Tab_Calculs[[#This Row],[ratio_avant_debut]],"")</f>
        <v/>
      </c>
      <c r="O931" t="e">
        <f ca="1">INDEX(INDIRECT(CONCATENATE("Tab_",Tab_Calculs[[#This Row],[Colonne1]])),Tab_Calculs[[#This Row],[index_date_livraison]]-1,7)*(MAX(Tab_Calculs[[#This Row],[Début periode livraison]],Tab_Calculs[[#This Row],[Début mois]])-Tab_Calculs[[#This Row],[Début mois]])</f>
        <v>#VALUE!</v>
      </c>
      <c r="P931">
        <f ca="1">INDEX(INDIRECT(CONCATENATE("Tab_",Tab_Calculs[[#This Row],[Colonne1]])),Tab_Calculs[[#This Row],[index_date_livraison]],7)*(1+MIN(Tab_Calculs[[#This Row],[Date_livraison]],Tab_Calculs[[#This Row],[fin mois]])-MAX(Tab_Calculs[[#This Row],[Début mois]],Tab_Calculs[[#This Row],[Début periode livraison]]))</f>
        <v>0</v>
      </c>
      <c r="Q931" t="e">
        <f ca="1">INDEX(INDIRECT(CONCATENATE("Tab_",Tab_Calculs[[#This Row],[Colonne1]])),Tab_Calculs[[#This Row],[index_date_livraison]]+1,7)*(Tab_Calculs[[#This Row],[fin mois]]-MIN(Tab_Calculs[[#This Row],[fin mois]],Tab_Calculs[[#This Row],[Date_livraison]]))</f>
        <v>#VALUE!</v>
      </c>
      <c r="R931" t="e">
        <f ca="1">Tab_Calculs[[#This Row],[Ratio_Cout_après_livr]]+Tab_Calculs[[#This Row],[Ratio_Cout_avant_livr]]+Tab_Calculs[[#This Row],[Ratio_Cout_avant_debut]]</f>
        <v>#VALUE!</v>
      </c>
      <c r="S931" t="str">
        <f ca="1">IFERROR(N931*VLOOKUP(Tab_Calculs[[#This Row],[Colonne1]],Controle_des_données!$B$7:$G$14,6,FALSE),"")</f>
        <v/>
      </c>
      <c r="T931" t="str">
        <f ca="1">IF(Tab_Calculs[[#This Row],[Combustible ]]="Electricité (kWh)",Tab_Calculs[[#This Row],[Conso_mois_kWh]]*2.3,Tab_Calculs[[#This Row],[Conso_mois_kWh]])</f>
        <v/>
      </c>
      <c r="U931" t="str">
        <f ca="1">IFERROR(N931*VLOOKUP(Tab_Calculs[[#This Row],[Colonne1]],Controle_des_données!$B$7:$H$14,7,FALSE),"")</f>
        <v/>
      </c>
      <c r="V931">
        <f ca="1">IFERROR(Tab_Calculs[[#This Row],[Cout_mois]]/Tab_Calculs[[#This Row],[Conso_mois_kWh]],0)</f>
        <v>0</v>
      </c>
      <c r="W931" t="str">
        <f>T(VLOOKUP(Tab_Calculs[[#This Row],[Compteur]],Site!$B$33:$G$40,3,FALSE))</f>
        <v/>
      </c>
      <c r="X931" t="str">
        <f>T(VLOOKUP(Tab_Calculs[[#This Row],[Compteur]],Site!$B$33:$G$40,4,FALSE))</f>
        <v/>
      </c>
      <c r="Y931" t="str">
        <f>T(VLOOKUP(Tab_Calculs[[#This Row],[Compteur]],Site!$B$33:$G$40,5,FALSE))</f>
        <v/>
      </c>
      <c r="Z931" t="str">
        <f>T(VLOOKUP(Tab_Calculs[[#This Row],[Compteur]],Site!$B$33:$G$40,6,FALSE))</f>
        <v/>
      </c>
      <c r="AA931">
        <f>IFERROR(GETPIVOTDATA("DJU(chauffagiste)",BDD_DJU!$P$13,"annee",Tab_Calculs[[#This Row],[ANNEE]],"mois_numero",Tab_Calculs[[#This Row],[MOIS]]),0)</f>
        <v>227.5</v>
      </c>
    </row>
    <row r="932" spans="1:27" x14ac:dyDescent="0.25">
      <c r="A932" s="3">
        <f>DATE(Tab_Calculs[[#This Row],[ANNEE]],Tab_Calculs[[#This Row],[MOIS]],1)</f>
        <v>44896</v>
      </c>
      <c r="B932" s="3">
        <f>EDATE(Tab_Calculs[[#This Row],[Début mois]],1)-1</f>
        <v>44926</v>
      </c>
      <c r="C932">
        <f t="shared" si="31"/>
        <v>12</v>
      </c>
      <c r="D932">
        <f t="shared" si="32"/>
        <v>2022</v>
      </c>
      <c r="E932" t="s">
        <v>84</v>
      </c>
      <c r="F932" t="str">
        <f>SUBSTITUTE(Tab_Calculs[[#This Row],[Compteur]]," ","_")</f>
        <v>Compteur_5</v>
      </c>
      <c r="G932" t="str">
        <f>T(INDEX(Site!$B$33:$G$40, MATCH(Tab_Calculs[[#This Row],[Compteur]], Site!$B$33:$B$40,0),2))</f>
        <v/>
      </c>
      <c r="H932" s="3">
        <f t="array" aca="1" ref="H932" ca="1">MIN(IF(INDIRECT(CONCATENATE(Tab_Calculs[[#This Row],[Colonne1]],"!$B$2:$B$243"))&gt;=Calculs_Consos!$A932,INDIRECT(CONCATENATE(Tab_Calculs[[#This Row],[Colonne1]],"!$B$2:$B$243"))))</f>
        <v>0</v>
      </c>
      <c r="I932" s="3">
        <f ca="1">INDEX(INDIRECT(CONCATENATE("Tab_",Tab_Calculs[[#This Row],[Colonne1]])),Tab_Calculs[[#This Row],[index_date_livraison]],1)</f>
        <v>0</v>
      </c>
      <c r="J932">
        <f ca="1">MATCH(Tab_Calculs[[#This Row],[Date_livraison]],INDIRECT(CONCATENATE("Tab_",Tab_Calculs[[#This Row],[Colonne1]],"[Fin de période]")),0)</f>
        <v>1</v>
      </c>
      <c r="K932" t="e">
        <f ca="1">INDEX(INDIRECT(CONCATENATE("Tab_",Tab_Calculs[[#This Row],[Colonne1]])),Tab_Calculs[[#This Row],[index_date_livraison]]-1,6)*(MAX(Tab_Calculs[[#This Row],[Début periode livraison]],Tab_Calculs[[#This Row],[Début mois]])-Tab_Calculs[[#This Row],[Début mois]])</f>
        <v>#VALUE!</v>
      </c>
      <c r="L932" s="94">
        <f ca="1">INDEX(INDIRECT(CONCATENATE("Tab_",Tab_Calculs[[#This Row],[Colonne1]])),Tab_Calculs[[#This Row],[index_date_livraison]],6)*(1+MIN(Tab_Calculs[[#This Row],[Date_livraison]],Tab_Calculs[[#This Row],[fin mois]])-MAX(Tab_Calculs[[#This Row],[Début mois]],Tab_Calculs[[#This Row],[Début periode livraison]]))</f>
        <v>0</v>
      </c>
      <c r="M932" s="94" t="e">
        <f ca="1">INDEX(INDIRECT(CONCATENATE("Tab_",Tab_Calculs[[#This Row],[Colonne1]])),Tab_Calculs[[#This Row],[index_date_livraison]]+1,6)*(Tab_Calculs[[#This Row],[fin mois]]-MIN(Tab_Calculs[[#This Row],[fin mois]],Tab_Calculs[[#This Row],[Date_livraison]]))</f>
        <v>#VALUE!</v>
      </c>
      <c r="N932" s="231" t="str">
        <f ca="1">IFERROR(Tab_Calculs[[#This Row],[Ratio_jour_après_livr]]+Tab_Calculs[[#This Row],[Ratio_jour_avant_livr]]+Tab_Calculs[[#This Row],[ratio_avant_debut]],"")</f>
        <v/>
      </c>
      <c r="O932" t="e">
        <f ca="1">INDEX(INDIRECT(CONCATENATE("Tab_",Tab_Calculs[[#This Row],[Colonne1]])),Tab_Calculs[[#This Row],[index_date_livraison]]-1,7)*(MAX(Tab_Calculs[[#This Row],[Début periode livraison]],Tab_Calculs[[#This Row],[Début mois]])-Tab_Calculs[[#This Row],[Début mois]])</f>
        <v>#VALUE!</v>
      </c>
      <c r="P932">
        <f ca="1">INDEX(INDIRECT(CONCATENATE("Tab_",Tab_Calculs[[#This Row],[Colonne1]])),Tab_Calculs[[#This Row],[index_date_livraison]],7)*(1+MIN(Tab_Calculs[[#This Row],[Date_livraison]],Tab_Calculs[[#This Row],[fin mois]])-MAX(Tab_Calculs[[#This Row],[Début mois]],Tab_Calculs[[#This Row],[Début periode livraison]]))</f>
        <v>0</v>
      </c>
      <c r="Q932" t="e">
        <f ca="1">INDEX(INDIRECT(CONCATENATE("Tab_",Tab_Calculs[[#This Row],[Colonne1]])),Tab_Calculs[[#This Row],[index_date_livraison]]+1,7)*(Tab_Calculs[[#This Row],[fin mois]]-MIN(Tab_Calculs[[#This Row],[fin mois]],Tab_Calculs[[#This Row],[Date_livraison]]))</f>
        <v>#VALUE!</v>
      </c>
      <c r="R932" t="e">
        <f ca="1">Tab_Calculs[[#This Row],[Ratio_Cout_après_livr]]+Tab_Calculs[[#This Row],[Ratio_Cout_avant_livr]]+Tab_Calculs[[#This Row],[Ratio_Cout_avant_debut]]</f>
        <v>#VALUE!</v>
      </c>
      <c r="S932" t="str">
        <f ca="1">IFERROR(N932*VLOOKUP(Tab_Calculs[[#This Row],[Colonne1]],Controle_des_données!$B$7:$G$14,6,FALSE),"")</f>
        <v/>
      </c>
      <c r="T932" t="str">
        <f ca="1">IF(Tab_Calculs[[#This Row],[Combustible ]]="Electricité (kWh)",Tab_Calculs[[#This Row],[Conso_mois_kWh]]*2.3,Tab_Calculs[[#This Row],[Conso_mois_kWh]])</f>
        <v/>
      </c>
      <c r="U932" t="str">
        <f ca="1">IFERROR(N932*VLOOKUP(Tab_Calculs[[#This Row],[Colonne1]],Controle_des_données!$B$7:$H$14,7,FALSE),"")</f>
        <v/>
      </c>
      <c r="V932">
        <f ca="1">IFERROR(Tab_Calculs[[#This Row],[Cout_mois]]/Tab_Calculs[[#This Row],[Conso_mois_kWh]],0)</f>
        <v>0</v>
      </c>
      <c r="W932" t="str">
        <f>T(VLOOKUP(Tab_Calculs[[#This Row],[Compteur]],Site!$B$33:$G$40,3,FALSE))</f>
        <v/>
      </c>
      <c r="X932" t="str">
        <f>T(VLOOKUP(Tab_Calculs[[#This Row],[Compteur]],Site!$B$33:$G$40,4,FALSE))</f>
        <v/>
      </c>
      <c r="Y932" t="str">
        <f>T(VLOOKUP(Tab_Calculs[[#This Row],[Compteur]],Site!$B$33:$G$40,5,FALSE))</f>
        <v/>
      </c>
      <c r="Z932" t="str">
        <f>T(VLOOKUP(Tab_Calculs[[#This Row],[Compteur]],Site!$B$33:$G$40,6,FALSE))</f>
        <v/>
      </c>
      <c r="AA932">
        <f>IFERROR(GETPIVOTDATA("DJU(chauffagiste)",BDD_DJU!$P$13,"annee",Tab_Calculs[[#This Row],[ANNEE]],"mois_numero",Tab_Calculs[[#This Row],[MOIS]]),0)</f>
        <v>380.8</v>
      </c>
    </row>
    <row r="933" spans="1:27" x14ac:dyDescent="0.25">
      <c r="A933" s="3">
        <f>DATE(Tab_Calculs[[#This Row],[ANNEE]],Tab_Calculs[[#This Row],[MOIS]],1)</f>
        <v>44927</v>
      </c>
      <c r="B933" s="3">
        <f>EDATE(Tab_Calculs[[#This Row],[Début mois]],1)-1</f>
        <v>44957</v>
      </c>
      <c r="C933">
        <f t="shared" si="31"/>
        <v>1</v>
      </c>
      <c r="D933">
        <f t="shared" si="32"/>
        <v>2023</v>
      </c>
      <c r="E933" t="s">
        <v>84</v>
      </c>
      <c r="F933" t="str">
        <f>SUBSTITUTE(Tab_Calculs[[#This Row],[Compteur]]," ","_")</f>
        <v>Compteur_5</v>
      </c>
      <c r="G933" t="str">
        <f>T(INDEX(Site!$B$33:$G$40, MATCH(Tab_Calculs[[#This Row],[Compteur]], Site!$B$33:$B$40,0),2))</f>
        <v/>
      </c>
      <c r="H933" s="3">
        <f t="array" aca="1" ref="H933" ca="1">MIN(IF(INDIRECT(CONCATENATE(Tab_Calculs[[#This Row],[Colonne1]],"!$B$2:$B$243"))&gt;=Calculs_Consos!$A933,INDIRECT(CONCATENATE(Tab_Calculs[[#This Row],[Colonne1]],"!$B$2:$B$243"))))</f>
        <v>0</v>
      </c>
      <c r="I933" s="3">
        <f ca="1">INDEX(INDIRECT(CONCATENATE("Tab_",Tab_Calculs[[#This Row],[Colonne1]])),Tab_Calculs[[#This Row],[index_date_livraison]],1)</f>
        <v>0</v>
      </c>
      <c r="J933">
        <f ca="1">MATCH(Tab_Calculs[[#This Row],[Date_livraison]],INDIRECT(CONCATENATE("Tab_",Tab_Calculs[[#This Row],[Colonne1]],"[Fin de période]")),0)</f>
        <v>1</v>
      </c>
      <c r="K933" t="e">
        <f ca="1">INDEX(INDIRECT(CONCATENATE("Tab_",Tab_Calculs[[#This Row],[Colonne1]])),Tab_Calculs[[#This Row],[index_date_livraison]]-1,6)*(MAX(Tab_Calculs[[#This Row],[Début periode livraison]],Tab_Calculs[[#This Row],[Début mois]])-Tab_Calculs[[#This Row],[Début mois]])</f>
        <v>#VALUE!</v>
      </c>
      <c r="L933" s="94">
        <f ca="1">INDEX(INDIRECT(CONCATENATE("Tab_",Tab_Calculs[[#This Row],[Colonne1]])),Tab_Calculs[[#This Row],[index_date_livraison]],6)*(1+MIN(Tab_Calculs[[#This Row],[Date_livraison]],Tab_Calculs[[#This Row],[fin mois]])-MAX(Tab_Calculs[[#This Row],[Début mois]],Tab_Calculs[[#This Row],[Début periode livraison]]))</f>
        <v>0</v>
      </c>
      <c r="M933" s="94" t="e">
        <f ca="1">INDEX(INDIRECT(CONCATENATE("Tab_",Tab_Calculs[[#This Row],[Colonne1]])),Tab_Calculs[[#This Row],[index_date_livraison]]+1,6)*(Tab_Calculs[[#This Row],[fin mois]]-MIN(Tab_Calculs[[#This Row],[fin mois]],Tab_Calculs[[#This Row],[Date_livraison]]))</f>
        <v>#VALUE!</v>
      </c>
      <c r="N933" s="231" t="str">
        <f ca="1">IFERROR(Tab_Calculs[[#This Row],[Ratio_jour_après_livr]]+Tab_Calculs[[#This Row],[Ratio_jour_avant_livr]]+Tab_Calculs[[#This Row],[ratio_avant_debut]],"")</f>
        <v/>
      </c>
      <c r="O933" t="e">
        <f ca="1">INDEX(INDIRECT(CONCATENATE("Tab_",Tab_Calculs[[#This Row],[Colonne1]])),Tab_Calculs[[#This Row],[index_date_livraison]]-1,7)*(MAX(Tab_Calculs[[#This Row],[Début periode livraison]],Tab_Calculs[[#This Row],[Début mois]])-Tab_Calculs[[#This Row],[Début mois]])</f>
        <v>#VALUE!</v>
      </c>
      <c r="P933">
        <f ca="1">INDEX(INDIRECT(CONCATENATE("Tab_",Tab_Calculs[[#This Row],[Colonne1]])),Tab_Calculs[[#This Row],[index_date_livraison]],7)*(1+MIN(Tab_Calculs[[#This Row],[Date_livraison]],Tab_Calculs[[#This Row],[fin mois]])-MAX(Tab_Calculs[[#This Row],[Début mois]],Tab_Calculs[[#This Row],[Début periode livraison]]))</f>
        <v>0</v>
      </c>
      <c r="Q933" t="e">
        <f ca="1">INDEX(INDIRECT(CONCATENATE("Tab_",Tab_Calculs[[#This Row],[Colonne1]])),Tab_Calculs[[#This Row],[index_date_livraison]]+1,7)*(Tab_Calculs[[#This Row],[fin mois]]-MIN(Tab_Calculs[[#This Row],[fin mois]],Tab_Calculs[[#This Row],[Date_livraison]]))</f>
        <v>#VALUE!</v>
      </c>
      <c r="R933" t="e">
        <f ca="1">Tab_Calculs[[#This Row],[Ratio_Cout_après_livr]]+Tab_Calculs[[#This Row],[Ratio_Cout_avant_livr]]+Tab_Calculs[[#This Row],[Ratio_Cout_avant_debut]]</f>
        <v>#VALUE!</v>
      </c>
      <c r="S933" t="str">
        <f ca="1">IFERROR(N933*VLOOKUP(Tab_Calculs[[#This Row],[Colonne1]],Controle_des_données!$B$7:$G$14,6,FALSE),"")</f>
        <v/>
      </c>
      <c r="T933" t="str">
        <f ca="1">IF(Tab_Calculs[[#This Row],[Combustible ]]="Electricité (kWh)",Tab_Calculs[[#This Row],[Conso_mois_kWh]]*2.3,Tab_Calculs[[#This Row],[Conso_mois_kWh]])</f>
        <v/>
      </c>
      <c r="U933" t="str">
        <f ca="1">IFERROR(N933*VLOOKUP(Tab_Calculs[[#This Row],[Colonne1]],Controle_des_données!$B$7:$H$14,7,FALSE),"")</f>
        <v/>
      </c>
      <c r="V933">
        <f ca="1">IFERROR(Tab_Calculs[[#This Row],[Cout_mois]]/Tab_Calculs[[#This Row],[Conso_mois_kWh]],0)</f>
        <v>0</v>
      </c>
      <c r="W933" t="str">
        <f>T(VLOOKUP(Tab_Calculs[[#This Row],[Compteur]],Site!$B$33:$G$40,3,FALSE))</f>
        <v/>
      </c>
      <c r="X933" t="str">
        <f>T(VLOOKUP(Tab_Calculs[[#This Row],[Compteur]],Site!$B$33:$G$40,4,FALSE))</f>
        <v/>
      </c>
      <c r="Y933" t="str">
        <f>T(VLOOKUP(Tab_Calculs[[#This Row],[Compteur]],Site!$B$33:$G$40,5,FALSE))</f>
        <v/>
      </c>
      <c r="Z933" t="str">
        <f>T(VLOOKUP(Tab_Calculs[[#This Row],[Compteur]],Site!$B$33:$G$40,6,FALSE))</f>
        <v/>
      </c>
      <c r="AA933">
        <f>IFERROR(GETPIVOTDATA("DJU(chauffagiste)",BDD_DJU!$P$13,"annee",Tab_Calculs[[#This Row],[ANNEE]],"mois_numero",Tab_Calculs[[#This Row],[MOIS]]),0)</f>
        <v>356.1</v>
      </c>
    </row>
    <row r="934" spans="1:27" x14ac:dyDescent="0.25">
      <c r="A934" s="3">
        <f>DATE(Tab_Calculs[[#This Row],[ANNEE]],Tab_Calculs[[#This Row],[MOIS]],1)</f>
        <v>44958</v>
      </c>
      <c r="B934" s="3">
        <f>EDATE(Tab_Calculs[[#This Row],[Début mois]],1)-1</f>
        <v>44985</v>
      </c>
      <c r="C934">
        <f t="shared" si="31"/>
        <v>2</v>
      </c>
      <c r="D934">
        <f>D922+1</f>
        <v>2023</v>
      </c>
      <c r="E934" t="s">
        <v>84</v>
      </c>
      <c r="F934" t="str">
        <f>SUBSTITUTE(Tab_Calculs[[#This Row],[Compteur]]," ","_")</f>
        <v>Compteur_5</v>
      </c>
      <c r="G934" t="str">
        <f>T(INDEX(Site!$B$33:$G$40, MATCH(Tab_Calculs[[#This Row],[Compteur]], Site!$B$33:$B$40,0),2))</f>
        <v/>
      </c>
      <c r="H934" s="3">
        <f t="array" aca="1" ref="H934" ca="1">MIN(IF(INDIRECT(CONCATENATE(Tab_Calculs[[#This Row],[Colonne1]],"!$B$2:$B$243"))&gt;=Calculs_Consos!$A934,INDIRECT(CONCATENATE(Tab_Calculs[[#This Row],[Colonne1]],"!$B$2:$B$243"))))</f>
        <v>0</v>
      </c>
      <c r="I934" s="3">
        <f ca="1">INDEX(INDIRECT(CONCATENATE("Tab_",Tab_Calculs[[#This Row],[Colonne1]])),Tab_Calculs[[#This Row],[index_date_livraison]],1)</f>
        <v>0</v>
      </c>
      <c r="J934">
        <f ca="1">MATCH(Tab_Calculs[[#This Row],[Date_livraison]],INDIRECT(CONCATENATE("Tab_",Tab_Calculs[[#This Row],[Colonne1]],"[Fin de période]")),0)</f>
        <v>1</v>
      </c>
      <c r="K934" t="e">
        <f ca="1">INDEX(INDIRECT(CONCATENATE("Tab_",Tab_Calculs[[#This Row],[Colonne1]])),Tab_Calculs[[#This Row],[index_date_livraison]]-1,6)*(MAX(Tab_Calculs[[#This Row],[Début periode livraison]],Tab_Calculs[[#This Row],[Début mois]])-Tab_Calculs[[#This Row],[Début mois]])</f>
        <v>#VALUE!</v>
      </c>
      <c r="L934" s="94">
        <f ca="1">INDEX(INDIRECT(CONCATENATE("Tab_",Tab_Calculs[[#This Row],[Colonne1]])),Tab_Calculs[[#This Row],[index_date_livraison]],6)*(1+MIN(Tab_Calculs[[#This Row],[Date_livraison]],Tab_Calculs[[#This Row],[fin mois]])-MAX(Tab_Calculs[[#This Row],[Début mois]],Tab_Calculs[[#This Row],[Début periode livraison]]))</f>
        <v>0</v>
      </c>
      <c r="M934" s="94" t="e">
        <f ca="1">INDEX(INDIRECT(CONCATENATE("Tab_",Tab_Calculs[[#This Row],[Colonne1]])),Tab_Calculs[[#This Row],[index_date_livraison]]+1,6)*(Tab_Calculs[[#This Row],[fin mois]]-MIN(Tab_Calculs[[#This Row],[fin mois]],Tab_Calculs[[#This Row],[Date_livraison]]))</f>
        <v>#VALUE!</v>
      </c>
      <c r="N934" s="231" t="str">
        <f ca="1">IFERROR(Tab_Calculs[[#This Row],[Ratio_jour_après_livr]]+Tab_Calculs[[#This Row],[Ratio_jour_avant_livr]]+Tab_Calculs[[#This Row],[ratio_avant_debut]],"")</f>
        <v/>
      </c>
      <c r="O934" t="e">
        <f ca="1">INDEX(INDIRECT(CONCATENATE("Tab_",Tab_Calculs[[#This Row],[Colonne1]])),Tab_Calculs[[#This Row],[index_date_livraison]]-1,7)*(MAX(Tab_Calculs[[#This Row],[Début periode livraison]],Tab_Calculs[[#This Row],[Début mois]])-Tab_Calculs[[#This Row],[Début mois]])</f>
        <v>#VALUE!</v>
      </c>
      <c r="P934">
        <f ca="1">INDEX(INDIRECT(CONCATENATE("Tab_",Tab_Calculs[[#This Row],[Colonne1]])),Tab_Calculs[[#This Row],[index_date_livraison]],7)*(1+MIN(Tab_Calculs[[#This Row],[Date_livraison]],Tab_Calculs[[#This Row],[fin mois]])-MAX(Tab_Calculs[[#This Row],[Début mois]],Tab_Calculs[[#This Row],[Début periode livraison]]))</f>
        <v>0</v>
      </c>
      <c r="Q934" t="e">
        <f ca="1">INDEX(INDIRECT(CONCATENATE("Tab_",Tab_Calculs[[#This Row],[Colonne1]])),Tab_Calculs[[#This Row],[index_date_livraison]]+1,7)*(Tab_Calculs[[#This Row],[fin mois]]-MIN(Tab_Calculs[[#This Row],[fin mois]],Tab_Calculs[[#This Row],[Date_livraison]]))</f>
        <v>#VALUE!</v>
      </c>
      <c r="R934" t="e">
        <f ca="1">Tab_Calculs[[#This Row],[Ratio_Cout_après_livr]]+Tab_Calculs[[#This Row],[Ratio_Cout_avant_livr]]+Tab_Calculs[[#This Row],[Ratio_Cout_avant_debut]]</f>
        <v>#VALUE!</v>
      </c>
      <c r="S934" t="str">
        <f ca="1">IFERROR(N934*VLOOKUP(Tab_Calculs[[#This Row],[Colonne1]],Controle_des_données!$B$7:$G$14,6,FALSE),"")</f>
        <v/>
      </c>
      <c r="T934" t="str">
        <f ca="1">IF(Tab_Calculs[[#This Row],[Combustible ]]="Electricité (kWh)",Tab_Calculs[[#This Row],[Conso_mois_kWh]]*2.3,Tab_Calculs[[#This Row],[Conso_mois_kWh]])</f>
        <v/>
      </c>
      <c r="U934" t="str">
        <f ca="1">IFERROR(N934*VLOOKUP(Tab_Calculs[[#This Row],[Colonne1]],Controle_des_données!$B$7:$H$14,7,FALSE),"")</f>
        <v/>
      </c>
      <c r="V934">
        <f ca="1">IFERROR(Tab_Calculs[[#This Row],[Cout_mois]]/Tab_Calculs[[#This Row],[Conso_mois_kWh]],0)</f>
        <v>0</v>
      </c>
      <c r="W934" t="str">
        <f>T(VLOOKUP(Tab_Calculs[[#This Row],[Compteur]],Site!$B$33:$G$40,3,FALSE))</f>
        <v/>
      </c>
      <c r="X934" t="str">
        <f>T(VLOOKUP(Tab_Calculs[[#This Row],[Compteur]],Site!$B$33:$G$40,4,FALSE))</f>
        <v/>
      </c>
      <c r="Y934" t="str">
        <f>T(VLOOKUP(Tab_Calculs[[#This Row],[Compteur]],Site!$B$33:$G$40,5,FALSE))</f>
        <v/>
      </c>
      <c r="Z934" t="str">
        <f>T(VLOOKUP(Tab_Calculs[[#This Row],[Compteur]],Site!$B$33:$G$40,6,FALSE))</f>
        <v/>
      </c>
      <c r="AA934">
        <f>IFERROR(GETPIVOTDATA("DJU(chauffagiste)",BDD_DJU!$P$13,"annee",Tab_Calculs[[#This Row],[ANNEE]],"mois_numero",Tab_Calculs[[#This Row],[MOIS]]),0)</f>
        <v>314.10000000000002</v>
      </c>
    </row>
    <row r="935" spans="1:27" x14ac:dyDescent="0.25">
      <c r="A935" s="3">
        <f>DATE(Tab_Calculs[[#This Row],[ANNEE]],Tab_Calculs[[#This Row],[MOIS]],1)</f>
        <v>44986</v>
      </c>
      <c r="B935" s="3">
        <f>EDATE(Tab_Calculs[[#This Row],[Début mois]],1)-1</f>
        <v>45016</v>
      </c>
      <c r="C935">
        <f t="shared" si="31"/>
        <v>3</v>
      </c>
      <c r="D935">
        <f t="shared" ref="D935:D955" si="33">D923+1</f>
        <v>2023</v>
      </c>
      <c r="E935" t="s">
        <v>84</v>
      </c>
      <c r="F935" t="str">
        <f>SUBSTITUTE(Tab_Calculs[[#This Row],[Compteur]]," ","_")</f>
        <v>Compteur_5</v>
      </c>
      <c r="G935" t="str">
        <f>T(INDEX(Site!$B$33:$G$40, MATCH(Tab_Calculs[[#This Row],[Compteur]], Site!$B$33:$B$40,0),2))</f>
        <v/>
      </c>
      <c r="H935" s="3">
        <f t="array" aca="1" ref="H935" ca="1">MIN(IF(INDIRECT(CONCATENATE(Tab_Calculs[[#This Row],[Colonne1]],"!$B$2:$B$243"))&gt;=Calculs_Consos!$A935,INDIRECT(CONCATENATE(Tab_Calculs[[#This Row],[Colonne1]],"!$B$2:$B$243"))))</f>
        <v>0</v>
      </c>
      <c r="I935" s="3">
        <f ca="1">INDEX(INDIRECT(CONCATENATE("Tab_",Tab_Calculs[[#This Row],[Colonne1]])),Tab_Calculs[[#This Row],[index_date_livraison]],1)</f>
        <v>0</v>
      </c>
      <c r="J935">
        <f ca="1">MATCH(Tab_Calculs[[#This Row],[Date_livraison]],INDIRECT(CONCATENATE("Tab_",Tab_Calculs[[#This Row],[Colonne1]],"[Fin de période]")),0)</f>
        <v>1</v>
      </c>
      <c r="K935" t="e">
        <f ca="1">INDEX(INDIRECT(CONCATENATE("Tab_",Tab_Calculs[[#This Row],[Colonne1]])),Tab_Calculs[[#This Row],[index_date_livraison]]-1,6)*(MAX(Tab_Calculs[[#This Row],[Début periode livraison]],Tab_Calculs[[#This Row],[Début mois]])-Tab_Calculs[[#This Row],[Début mois]])</f>
        <v>#VALUE!</v>
      </c>
      <c r="L935" s="94">
        <f ca="1">INDEX(INDIRECT(CONCATENATE("Tab_",Tab_Calculs[[#This Row],[Colonne1]])),Tab_Calculs[[#This Row],[index_date_livraison]],6)*(1+MIN(Tab_Calculs[[#This Row],[Date_livraison]],Tab_Calculs[[#This Row],[fin mois]])-MAX(Tab_Calculs[[#This Row],[Début mois]],Tab_Calculs[[#This Row],[Début periode livraison]]))</f>
        <v>0</v>
      </c>
      <c r="M935" s="94" t="e">
        <f ca="1">INDEX(INDIRECT(CONCATENATE("Tab_",Tab_Calculs[[#This Row],[Colonne1]])),Tab_Calculs[[#This Row],[index_date_livraison]]+1,6)*(Tab_Calculs[[#This Row],[fin mois]]-MIN(Tab_Calculs[[#This Row],[fin mois]],Tab_Calculs[[#This Row],[Date_livraison]]))</f>
        <v>#VALUE!</v>
      </c>
      <c r="N935" s="231" t="str">
        <f ca="1">IFERROR(Tab_Calculs[[#This Row],[Ratio_jour_après_livr]]+Tab_Calculs[[#This Row],[Ratio_jour_avant_livr]]+Tab_Calculs[[#This Row],[ratio_avant_debut]],"")</f>
        <v/>
      </c>
      <c r="O935" t="e">
        <f ca="1">INDEX(INDIRECT(CONCATENATE("Tab_",Tab_Calculs[[#This Row],[Colonne1]])),Tab_Calculs[[#This Row],[index_date_livraison]]-1,7)*(MAX(Tab_Calculs[[#This Row],[Début periode livraison]],Tab_Calculs[[#This Row],[Début mois]])-Tab_Calculs[[#This Row],[Début mois]])</f>
        <v>#VALUE!</v>
      </c>
      <c r="P935">
        <f ca="1">INDEX(INDIRECT(CONCATENATE("Tab_",Tab_Calculs[[#This Row],[Colonne1]])),Tab_Calculs[[#This Row],[index_date_livraison]],7)*(1+MIN(Tab_Calculs[[#This Row],[Date_livraison]],Tab_Calculs[[#This Row],[fin mois]])-MAX(Tab_Calculs[[#This Row],[Début mois]],Tab_Calculs[[#This Row],[Début periode livraison]]))</f>
        <v>0</v>
      </c>
      <c r="Q935" t="e">
        <f ca="1">INDEX(INDIRECT(CONCATENATE("Tab_",Tab_Calculs[[#This Row],[Colonne1]])),Tab_Calculs[[#This Row],[index_date_livraison]]+1,7)*(Tab_Calculs[[#This Row],[fin mois]]-MIN(Tab_Calculs[[#This Row],[fin mois]],Tab_Calculs[[#This Row],[Date_livraison]]))</f>
        <v>#VALUE!</v>
      </c>
      <c r="R935" t="e">
        <f ca="1">Tab_Calculs[[#This Row],[Ratio_Cout_après_livr]]+Tab_Calculs[[#This Row],[Ratio_Cout_avant_livr]]+Tab_Calculs[[#This Row],[Ratio_Cout_avant_debut]]</f>
        <v>#VALUE!</v>
      </c>
      <c r="S935" t="str">
        <f ca="1">IFERROR(N935*VLOOKUP(Tab_Calculs[[#This Row],[Colonne1]],Controle_des_données!$B$7:$G$14,6,FALSE),"")</f>
        <v/>
      </c>
      <c r="T935" t="str">
        <f ca="1">IF(Tab_Calculs[[#This Row],[Combustible ]]="Electricité (kWh)",Tab_Calculs[[#This Row],[Conso_mois_kWh]]*2.3,Tab_Calculs[[#This Row],[Conso_mois_kWh]])</f>
        <v/>
      </c>
      <c r="U935" t="str">
        <f ca="1">IFERROR(N935*VLOOKUP(Tab_Calculs[[#This Row],[Colonne1]],Controle_des_données!$B$7:$H$14,7,FALSE),"")</f>
        <v/>
      </c>
      <c r="V935">
        <f ca="1">IFERROR(Tab_Calculs[[#This Row],[Cout_mois]]/Tab_Calculs[[#This Row],[Conso_mois_kWh]],0)</f>
        <v>0</v>
      </c>
      <c r="W935" t="str">
        <f>T(VLOOKUP(Tab_Calculs[[#This Row],[Compteur]],Site!$B$33:$G$40,3,FALSE))</f>
        <v/>
      </c>
      <c r="X935" t="str">
        <f>T(VLOOKUP(Tab_Calculs[[#This Row],[Compteur]],Site!$B$33:$G$40,4,FALSE))</f>
        <v/>
      </c>
      <c r="Y935" t="str">
        <f>T(VLOOKUP(Tab_Calculs[[#This Row],[Compteur]],Site!$B$33:$G$40,5,FALSE))</f>
        <v/>
      </c>
      <c r="Z935" t="str">
        <f>T(VLOOKUP(Tab_Calculs[[#This Row],[Compteur]],Site!$B$33:$G$40,6,FALSE))</f>
        <v/>
      </c>
      <c r="AA935">
        <f>IFERROR(GETPIVOTDATA("DJU(chauffagiste)",BDD_DJU!$P$13,"annee",Tab_Calculs[[#This Row],[ANNEE]],"mois_numero",Tab_Calculs[[#This Row],[MOIS]]),0)</f>
        <v>251.3</v>
      </c>
    </row>
    <row r="936" spans="1:27" x14ac:dyDescent="0.25">
      <c r="A936" s="3">
        <f>DATE(Tab_Calculs[[#This Row],[ANNEE]],Tab_Calculs[[#This Row],[MOIS]],1)</f>
        <v>45017</v>
      </c>
      <c r="B936" s="3">
        <f>EDATE(Tab_Calculs[[#This Row],[Début mois]],1)-1</f>
        <v>45046</v>
      </c>
      <c r="C936">
        <f t="shared" si="31"/>
        <v>4</v>
      </c>
      <c r="D936">
        <f t="shared" si="33"/>
        <v>2023</v>
      </c>
      <c r="E936" t="s">
        <v>84</v>
      </c>
      <c r="F936" t="str">
        <f>SUBSTITUTE(Tab_Calculs[[#This Row],[Compteur]]," ","_")</f>
        <v>Compteur_5</v>
      </c>
      <c r="G936" t="str">
        <f>T(INDEX(Site!$B$33:$G$40, MATCH(Tab_Calculs[[#This Row],[Compteur]], Site!$B$33:$B$40,0),2))</f>
        <v/>
      </c>
      <c r="H936" s="3">
        <f t="array" aca="1" ref="H936" ca="1">MIN(IF(INDIRECT(CONCATENATE(Tab_Calculs[[#This Row],[Colonne1]],"!$B$2:$B$243"))&gt;=Calculs_Consos!$A936,INDIRECT(CONCATENATE(Tab_Calculs[[#This Row],[Colonne1]],"!$B$2:$B$243"))))</f>
        <v>0</v>
      </c>
      <c r="I936" s="3">
        <f ca="1">INDEX(INDIRECT(CONCATENATE("Tab_",Tab_Calculs[[#This Row],[Colonne1]])),Tab_Calculs[[#This Row],[index_date_livraison]],1)</f>
        <v>0</v>
      </c>
      <c r="J936">
        <f ca="1">MATCH(Tab_Calculs[[#This Row],[Date_livraison]],INDIRECT(CONCATENATE("Tab_",Tab_Calculs[[#This Row],[Colonne1]],"[Fin de période]")),0)</f>
        <v>1</v>
      </c>
      <c r="K936" t="e">
        <f ca="1">INDEX(INDIRECT(CONCATENATE("Tab_",Tab_Calculs[[#This Row],[Colonne1]])),Tab_Calculs[[#This Row],[index_date_livraison]]-1,6)*(MAX(Tab_Calculs[[#This Row],[Début periode livraison]],Tab_Calculs[[#This Row],[Début mois]])-Tab_Calculs[[#This Row],[Début mois]])</f>
        <v>#VALUE!</v>
      </c>
      <c r="L936" s="94">
        <f ca="1">INDEX(INDIRECT(CONCATENATE("Tab_",Tab_Calculs[[#This Row],[Colonne1]])),Tab_Calculs[[#This Row],[index_date_livraison]],6)*(1+MIN(Tab_Calculs[[#This Row],[Date_livraison]],Tab_Calculs[[#This Row],[fin mois]])-MAX(Tab_Calculs[[#This Row],[Début mois]],Tab_Calculs[[#This Row],[Début periode livraison]]))</f>
        <v>0</v>
      </c>
      <c r="M936" s="94" t="e">
        <f ca="1">INDEX(INDIRECT(CONCATENATE("Tab_",Tab_Calculs[[#This Row],[Colonne1]])),Tab_Calculs[[#This Row],[index_date_livraison]]+1,6)*(Tab_Calculs[[#This Row],[fin mois]]-MIN(Tab_Calculs[[#This Row],[fin mois]],Tab_Calculs[[#This Row],[Date_livraison]]))</f>
        <v>#VALUE!</v>
      </c>
      <c r="N936" s="231" t="str">
        <f ca="1">IFERROR(Tab_Calculs[[#This Row],[Ratio_jour_après_livr]]+Tab_Calculs[[#This Row],[Ratio_jour_avant_livr]]+Tab_Calculs[[#This Row],[ratio_avant_debut]],"")</f>
        <v/>
      </c>
      <c r="O936" t="e">
        <f ca="1">INDEX(INDIRECT(CONCATENATE("Tab_",Tab_Calculs[[#This Row],[Colonne1]])),Tab_Calculs[[#This Row],[index_date_livraison]]-1,7)*(MAX(Tab_Calculs[[#This Row],[Début periode livraison]],Tab_Calculs[[#This Row],[Début mois]])-Tab_Calculs[[#This Row],[Début mois]])</f>
        <v>#VALUE!</v>
      </c>
      <c r="P936">
        <f ca="1">INDEX(INDIRECT(CONCATENATE("Tab_",Tab_Calculs[[#This Row],[Colonne1]])),Tab_Calculs[[#This Row],[index_date_livraison]],7)*(1+MIN(Tab_Calculs[[#This Row],[Date_livraison]],Tab_Calculs[[#This Row],[fin mois]])-MAX(Tab_Calculs[[#This Row],[Début mois]],Tab_Calculs[[#This Row],[Début periode livraison]]))</f>
        <v>0</v>
      </c>
      <c r="Q936" t="e">
        <f ca="1">INDEX(INDIRECT(CONCATENATE("Tab_",Tab_Calculs[[#This Row],[Colonne1]])),Tab_Calculs[[#This Row],[index_date_livraison]]+1,7)*(Tab_Calculs[[#This Row],[fin mois]]-MIN(Tab_Calculs[[#This Row],[fin mois]],Tab_Calculs[[#This Row],[Date_livraison]]))</f>
        <v>#VALUE!</v>
      </c>
      <c r="R936" t="e">
        <f ca="1">Tab_Calculs[[#This Row],[Ratio_Cout_après_livr]]+Tab_Calculs[[#This Row],[Ratio_Cout_avant_livr]]+Tab_Calculs[[#This Row],[Ratio_Cout_avant_debut]]</f>
        <v>#VALUE!</v>
      </c>
      <c r="S936" t="str">
        <f ca="1">IFERROR(N936*VLOOKUP(Tab_Calculs[[#This Row],[Colonne1]],Controle_des_données!$B$7:$G$14,6,FALSE),"")</f>
        <v/>
      </c>
      <c r="T936" t="str">
        <f ca="1">IF(Tab_Calculs[[#This Row],[Combustible ]]="Electricité (kWh)",Tab_Calculs[[#This Row],[Conso_mois_kWh]]*2.3,Tab_Calculs[[#This Row],[Conso_mois_kWh]])</f>
        <v/>
      </c>
      <c r="U936" t="str">
        <f ca="1">IFERROR(N936*VLOOKUP(Tab_Calculs[[#This Row],[Colonne1]],Controle_des_données!$B$7:$H$14,7,FALSE),"")</f>
        <v/>
      </c>
      <c r="V936">
        <f ca="1">IFERROR(Tab_Calculs[[#This Row],[Cout_mois]]/Tab_Calculs[[#This Row],[Conso_mois_kWh]],0)</f>
        <v>0</v>
      </c>
      <c r="W936" t="str">
        <f>T(VLOOKUP(Tab_Calculs[[#This Row],[Compteur]],Site!$B$33:$G$40,3,FALSE))</f>
        <v/>
      </c>
      <c r="X936" t="str">
        <f>T(VLOOKUP(Tab_Calculs[[#This Row],[Compteur]],Site!$B$33:$G$40,4,FALSE))</f>
        <v/>
      </c>
      <c r="Y936" t="str">
        <f>T(VLOOKUP(Tab_Calculs[[#This Row],[Compteur]],Site!$B$33:$G$40,5,FALSE))</f>
        <v/>
      </c>
      <c r="Z936" t="str">
        <f>T(VLOOKUP(Tab_Calculs[[#This Row],[Compteur]],Site!$B$33:$G$40,6,FALSE))</f>
        <v/>
      </c>
      <c r="AA936">
        <f>IFERROR(GETPIVOTDATA("DJU(chauffagiste)",BDD_DJU!$P$13,"annee",Tab_Calculs[[#This Row],[ANNEE]],"mois_numero",Tab_Calculs[[#This Row],[MOIS]]),0)</f>
        <v>198</v>
      </c>
    </row>
    <row r="937" spans="1:27" x14ac:dyDescent="0.25">
      <c r="A937" s="3">
        <f>DATE(Tab_Calculs[[#This Row],[ANNEE]],Tab_Calculs[[#This Row],[MOIS]],1)</f>
        <v>45047</v>
      </c>
      <c r="B937" s="3">
        <f>EDATE(Tab_Calculs[[#This Row],[Début mois]],1)-1</f>
        <v>45077</v>
      </c>
      <c r="C937">
        <f t="shared" si="31"/>
        <v>5</v>
      </c>
      <c r="D937">
        <f t="shared" si="33"/>
        <v>2023</v>
      </c>
      <c r="E937" t="s">
        <v>84</v>
      </c>
      <c r="F937" t="str">
        <f>SUBSTITUTE(Tab_Calculs[[#This Row],[Compteur]]," ","_")</f>
        <v>Compteur_5</v>
      </c>
      <c r="G937" t="str">
        <f>T(INDEX(Site!$B$33:$G$40, MATCH(Tab_Calculs[[#This Row],[Compteur]], Site!$B$33:$B$40,0),2))</f>
        <v/>
      </c>
      <c r="H937" s="3">
        <f t="array" aca="1" ref="H937" ca="1">MIN(IF(INDIRECT(CONCATENATE(Tab_Calculs[[#This Row],[Colonne1]],"!$B$2:$B$243"))&gt;=Calculs_Consos!$A937,INDIRECT(CONCATENATE(Tab_Calculs[[#This Row],[Colonne1]],"!$B$2:$B$243"))))</f>
        <v>0</v>
      </c>
      <c r="I937" s="3">
        <f ca="1">INDEX(INDIRECT(CONCATENATE("Tab_",Tab_Calculs[[#This Row],[Colonne1]])),Tab_Calculs[[#This Row],[index_date_livraison]],1)</f>
        <v>0</v>
      </c>
      <c r="J937">
        <f ca="1">MATCH(Tab_Calculs[[#This Row],[Date_livraison]],INDIRECT(CONCATENATE("Tab_",Tab_Calculs[[#This Row],[Colonne1]],"[Fin de période]")),0)</f>
        <v>1</v>
      </c>
      <c r="K937" t="e">
        <f ca="1">INDEX(INDIRECT(CONCATENATE("Tab_",Tab_Calculs[[#This Row],[Colonne1]])),Tab_Calculs[[#This Row],[index_date_livraison]]-1,6)*(MAX(Tab_Calculs[[#This Row],[Début periode livraison]],Tab_Calculs[[#This Row],[Début mois]])-Tab_Calculs[[#This Row],[Début mois]])</f>
        <v>#VALUE!</v>
      </c>
      <c r="L937" s="94">
        <f ca="1">INDEX(INDIRECT(CONCATENATE("Tab_",Tab_Calculs[[#This Row],[Colonne1]])),Tab_Calculs[[#This Row],[index_date_livraison]],6)*(1+MIN(Tab_Calculs[[#This Row],[Date_livraison]],Tab_Calculs[[#This Row],[fin mois]])-MAX(Tab_Calculs[[#This Row],[Début mois]],Tab_Calculs[[#This Row],[Début periode livraison]]))</f>
        <v>0</v>
      </c>
      <c r="M937" s="94" t="e">
        <f ca="1">INDEX(INDIRECT(CONCATENATE("Tab_",Tab_Calculs[[#This Row],[Colonne1]])),Tab_Calculs[[#This Row],[index_date_livraison]]+1,6)*(Tab_Calculs[[#This Row],[fin mois]]-MIN(Tab_Calculs[[#This Row],[fin mois]],Tab_Calculs[[#This Row],[Date_livraison]]))</f>
        <v>#VALUE!</v>
      </c>
      <c r="N937" s="231" t="str">
        <f ca="1">IFERROR(Tab_Calculs[[#This Row],[Ratio_jour_après_livr]]+Tab_Calculs[[#This Row],[Ratio_jour_avant_livr]]+Tab_Calculs[[#This Row],[ratio_avant_debut]],"")</f>
        <v/>
      </c>
      <c r="O937" t="e">
        <f ca="1">INDEX(INDIRECT(CONCATENATE("Tab_",Tab_Calculs[[#This Row],[Colonne1]])),Tab_Calculs[[#This Row],[index_date_livraison]]-1,7)*(MAX(Tab_Calculs[[#This Row],[Début periode livraison]],Tab_Calculs[[#This Row],[Début mois]])-Tab_Calculs[[#This Row],[Début mois]])</f>
        <v>#VALUE!</v>
      </c>
      <c r="P937">
        <f ca="1">INDEX(INDIRECT(CONCATENATE("Tab_",Tab_Calculs[[#This Row],[Colonne1]])),Tab_Calculs[[#This Row],[index_date_livraison]],7)*(1+MIN(Tab_Calculs[[#This Row],[Date_livraison]],Tab_Calculs[[#This Row],[fin mois]])-MAX(Tab_Calculs[[#This Row],[Début mois]],Tab_Calculs[[#This Row],[Début periode livraison]]))</f>
        <v>0</v>
      </c>
      <c r="Q937" t="e">
        <f ca="1">INDEX(INDIRECT(CONCATENATE("Tab_",Tab_Calculs[[#This Row],[Colonne1]])),Tab_Calculs[[#This Row],[index_date_livraison]]+1,7)*(Tab_Calculs[[#This Row],[fin mois]]-MIN(Tab_Calculs[[#This Row],[fin mois]],Tab_Calculs[[#This Row],[Date_livraison]]))</f>
        <v>#VALUE!</v>
      </c>
      <c r="R937" t="e">
        <f ca="1">Tab_Calculs[[#This Row],[Ratio_Cout_après_livr]]+Tab_Calculs[[#This Row],[Ratio_Cout_avant_livr]]+Tab_Calculs[[#This Row],[Ratio_Cout_avant_debut]]</f>
        <v>#VALUE!</v>
      </c>
      <c r="S937" t="str">
        <f ca="1">IFERROR(N937*VLOOKUP(Tab_Calculs[[#This Row],[Colonne1]],Controle_des_données!$B$7:$G$14,6,FALSE),"")</f>
        <v/>
      </c>
      <c r="T937" t="str">
        <f ca="1">IF(Tab_Calculs[[#This Row],[Combustible ]]="Electricité (kWh)",Tab_Calculs[[#This Row],[Conso_mois_kWh]]*2.3,Tab_Calculs[[#This Row],[Conso_mois_kWh]])</f>
        <v/>
      </c>
      <c r="U937" t="str">
        <f ca="1">IFERROR(N937*VLOOKUP(Tab_Calculs[[#This Row],[Colonne1]],Controle_des_données!$B$7:$H$14,7,FALSE),"")</f>
        <v/>
      </c>
      <c r="V937">
        <f ca="1">IFERROR(Tab_Calculs[[#This Row],[Cout_mois]]/Tab_Calculs[[#This Row],[Conso_mois_kWh]],0)</f>
        <v>0</v>
      </c>
      <c r="W937" t="str">
        <f>T(VLOOKUP(Tab_Calculs[[#This Row],[Compteur]],Site!$B$33:$G$40,3,FALSE))</f>
        <v/>
      </c>
      <c r="X937" t="str">
        <f>T(VLOOKUP(Tab_Calculs[[#This Row],[Compteur]],Site!$B$33:$G$40,4,FALSE))</f>
        <v/>
      </c>
      <c r="Y937" t="str">
        <f>T(VLOOKUP(Tab_Calculs[[#This Row],[Compteur]],Site!$B$33:$G$40,5,FALSE))</f>
        <v/>
      </c>
      <c r="Z937" t="str">
        <f>T(VLOOKUP(Tab_Calculs[[#This Row],[Compteur]],Site!$B$33:$G$40,6,FALSE))</f>
        <v/>
      </c>
      <c r="AA937">
        <f>IFERROR(GETPIVOTDATA("DJU(chauffagiste)",BDD_DJU!$P$13,"annee",Tab_Calculs[[#This Row],[ANNEE]],"mois_numero",Tab_Calculs[[#This Row],[MOIS]]),0)</f>
        <v>86.4</v>
      </c>
    </row>
    <row r="938" spans="1:27" x14ac:dyDescent="0.25">
      <c r="A938" s="3">
        <f>DATE(Tab_Calculs[[#This Row],[ANNEE]],Tab_Calculs[[#This Row],[MOIS]],1)</f>
        <v>45078</v>
      </c>
      <c r="B938" s="3">
        <f>EDATE(Tab_Calculs[[#This Row],[Début mois]],1)-1</f>
        <v>45107</v>
      </c>
      <c r="C938">
        <f t="shared" si="31"/>
        <v>6</v>
      </c>
      <c r="D938">
        <f t="shared" si="33"/>
        <v>2023</v>
      </c>
      <c r="E938" t="s">
        <v>84</v>
      </c>
      <c r="F938" t="str">
        <f>SUBSTITUTE(Tab_Calculs[[#This Row],[Compteur]]," ","_")</f>
        <v>Compteur_5</v>
      </c>
      <c r="G938" t="str">
        <f>T(INDEX(Site!$B$33:$G$40, MATCH(Tab_Calculs[[#This Row],[Compteur]], Site!$B$33:$B$40,0),2))</f>
        <v/>
      </c>
      <c r="H938" s="3">
        <f t="array" aca="1" ref="H938" ca="1">MIN(IF(INDIRECT(CONCATENATE(Tab_Calculs[[#This Row],[Colonne1]],"!$B$2:$B$243"))&gt;=Calculs_Consos!$A938,INDIRECT(CONCATENATE(Tab_Calculs[[#This Row],[Colonne1]],"!$B$2:$B$243"))))</f>
        <v>0</v>
      </c>
      <c r="I938" s="3">
        <f ca="1">INDEX(INDIRECT(CONCATENATE("Tab_",Tab_Calculs[[#This Row],[Colonne1]])),Tab_Calculs[[#This Row],[index_date_livraison]],1)</f>
        <v>0</v>
      </c>
      <c r="J938">
        <f ca="1">MATCH(Tab_Calculs[[#This Row],[Date_livraison]],INDIRECT(CONCATENATE("Tab_",Tab_Calculs[[#This Row],[Colonne1]],"[Fin de période]")),0)</f>
        <v>1</v>
      </c>
      <c r="K938" t="e">
        <f ca="1">INDEX(INDIRECT(CONCATENATE("Tab_",Tab_Calculs[[#This Row],[Colonne1]])),Tab_Calculs[[#This Row],[index_date_livraison]]-1,6)*(MAX(Tab_Calculs[[#This Row],[Début periode livraison]],Tab_Calculs[[#This Row],[Début mois]])-Tab_Calculs[[#This Row],[Début mois]])</f>
        <v>#VALUE!</v>
      </c>
      <c r="L938" s="94">
        <f ca="1">INDEX(INDIRECT(CONCATENATE("Tab_",Tab_Calculs[[#This Row],[Colonne1]])),Tab_Calculs[[#This Row],[index_date_livraison]],6)*(1+MIN(Tab_Calculs[[#This Row],[Date_livraison]],Tab_Calculs[[#This Row],[fin mois]])-MAX(Tab_Calculs[[#This Row],[Début mois]],Tab_Calculs[[#This Row],[Début periode livraison]]))</f>
        <v>0</v>
      </c>
      <c r="M938" s="94" t="e">
        <f ca="1">INDEX(INDIRECT(CONCATENATE("Tab_",Tab_Calculs[[#This Row],[Colonne1]])),Tab_Calculs[[#This Row],[index_date_livraison]]+1,6)*(Tab_Calculs[[#This Row],[fin mois]]-MIN(Tab_Calculs[[#This Row],[fin mois]],Tab_Calculs[[#This Row],[Date_livraison]]))</f>
        <v>#VALUE!</v>
      </c>
      <c r="N938" s="231" t="str">
        <f ca="1">IFERROR(Tab_Calculs[[#This Row],[Ratio_jour_après_livr]]+Tab_Calculs[[#This Row],[Ratio_jour_avant_livr]]+Tab_Calculs[[#This Row],[ratio_avant_debut]],"")</f>
        <v/>
      </c>
      <c r="O938" t="e">
        <f ca="1">INDEX(INDIRECT(CONCATENATE("Tab_",Tab_Calculs[[#This Row],[Colonne1]])),Tab_Calculs[[#This Row],[index_date_livraison]]-1,7)*(MAX(Tab_Calculs[[#This Row],[Début periode livraison]],Tab_Calculs[[#This Row],[Début mois]])-Tab_Calculs[[#This Row],[Début mois]])</f>
        <v>#VALUE!</v>
      </c>
      <c r="P938">
        <f ca="1">INDEX(INDIRECT(CONCATENATE("Tab_",Tab_Calculs[[#This Row],[Colonne1]])),Tab_Calculs[[#This Row],[index_date_livraison]],7)*(1+MIN(Tab_Calculs[[#This Row],[Date_livraison]],Tab_Calculs[[#This Row],[fin mois]])-MAX(Tab_Calculs[[#This Row],[Début mois]],Tab_Calculs[[#This Row],[Début periode livraison]]))</f>
        <v>0</v>
      </c>
      <c r="Q938" t="e">
        <f ca="1">INDEX(INDIRECT(CONCATENATE("Tab_",Tab_Calculs[[#This Row],[Colonne1]])),Tab_Calculs[[#This Row],[index_date_livraison]]+1,7)*(Tab_Calculs[[#This Row],[fin mois]]-MIN(Tab_Calculs[[#This Row],[fin mois]],Tab_Calculs[[#This Row],[Date_livraison]]))</f>
        <v>#VALUE!</v>
      </c>
      <c r="R938" t="e">
        <f ca="1">Tab_Calculs[[#This Row],[Ratio_Cout_après_livr]]+Tab_Calculs[[#This Row],[Ratio_Cout_avant_livr]]+Tab_Calculs[[#This Row],[Ratio_Cout_avant_debut]]</f>
        <v>#VALUE!</v>
      </c>
      <c r="S938" t="str">
        <f ca="1">IFERROR(N938*VLOOKUP(Tab_Calculs[[#This Row],[Colonne1]],Controle_des_données!$B$7:$G$14,6,FALSE),"")</f>
        <v/>
      </c>
      <c r="T938" t="str">
        <f ca="1">IF(Tab_Calculs[[#This Row],[Combustible ]]="Electricité (kWh)",Tab_Calculs[[#This Row],[Conso_mois_kWh]]*2.3,Tab_Calculs[[#This Row],[Conso_mois_kWh]])</f>
        <v/>
      </c>
      <c r="U938" t="str">
        <f ca="1">IFERROR(N938*VLOOKUP(Tab_Calculs[[#This Row],[Colonne1]],Controle_des_données!$B$7:$H$14,7,FALSE),"")</f>
        <v/>
      </c>
      <c r="V938">
        <f ca="1">IFERROR(Tab_Calculs[[#This Row],[Cout_mois]]/Tab_Calculs[[#This Row],[Conso_mois_kWh]],0)</f>
        <v>0</v>
      </c>
      <c r="W938" t="str">
        <f>T(VLOOKUP(Tab_Calculs[[#This Row],[Compteur]],Site!$B$33:$G$40,3,FALSE))</f>
        <v/>
      </c>
      <c r="X938" t="str">
        <f>T(VLOOKUP(Tab_Calculs[[#This Row],[Compteur]],Site!$B$33:$G$40,4,FALSE))</f>
        <v/>
      </c>
      <c r="Y938" t="str">
        <f>T(VLOOKUP(Tab_Calculs[[#This Row],[Compteur]],Site!$B$33:$G$40,5,FALSE))</f>
        <v/>
      </c>
      <c r="Z938" t="str">
        <f>T(VLOOKUP(Tab_Calculs[[#This Row],[Compteur]],Site!$B$33:$G$40,6,FALSE))</f>
        <v/>
      </c>
      <c r="AA938">
        <f>IFERROR(GETPIVOTDATA("DJU(chauffagiste)",BDD_DJU!$P$13,"annee",Tab_Calculs[[#This Row],[ANNEE]],"mois_numero",Tab_Calculs[[#This Row],[MOIS]]),0)</f>
        <v>17.3</v>
      </c>
    </row>
    <row r="939" spans="1:27" x14ac:dyDescent="0.25">
      <c r="A939" s="3">
        <f>DATE(Tab_Calculs[[#This Row],[ANNEE]],Tab_Calculs[[#This Row],[MOIS]],1)</f>
        <v>45108</v>
      </c>
      <c r="B939" s="3">
        <f>EDATE(Tab_Calculs[[#This Row],[Début mois]],1)-1</f>
        <v>45138</v>
      </c>
      <c r="C939">
        <f t="shared" si="31"/>
        <v>7</v>
      </c>
      <c r="D939">
        <f t="shared" si="33"/>
        <v>2023</v>
      </c>
      <c r="E939" t="s">
        <v>84</v>
      </c>
      <c r="F939" t="str">
        <f>SUBSTITUTE(Tab_Calculs[[#This Row],[Compteur]]," ","_")</f>
        <v>Compteur_5</v>
      </c>
      <c r="G939" t="str">
        <f>T(INDEX(Site!$B$33:$G$40, MATCH(Tab_Calculs[[#This Row],[Compteur]], Site!$B$33:$B$40,0),2))</f>
        <v/>
      </c>
      <c r="H939" s="3">
        <f t="array" aca="1" ref="H939" ca="1">MIN(IF(INDIRECT(CONCATENATE(Tab_Calculs[[#This Row],[Colonne1]],"!$B$2:$B$243"))&gt;=Calculs_Consos!$A939,INDIRECT(CONCATENATE(Tab_Calculs[[#This Row],[Colonne1]],"!$B$2:$B$243"))))</f>
        <v>0</v>
      </c>
      <c r="I939" s="3">
        <f ca="1">INDEX(INDIRECT(CONCATENATE("Tab_",Tab_Calculs[[#This Row],[Colonne1]])),Tab_Calculs[[#This Row],[index_date_livraison]],1)</f>
        <v>0</v>
      </c>
      <c r="J939">
        <f ca="1">MATCH(Tab_Calculs[[#This Row],[Date_livraison]],INDIRECT(CONCATENATE("Tab_",Tab_Calculs[[#This Row],[Colonne1]],"[Fin de période]")),0)</f>
        <v>1</v>
      </c>
      <c r="K939" t="e">
        <f ca="1">INDEX(INDIRECT(CONCATENATE("Tab_",Tab_Calculs[[#This Row],[Colonne1]])),Tab_Calculs[[#This Row],[index_date_livraison]]-1,6)*(MAX(Tab_Calculs[[#This Row],[Début periode livraison]],Tab_Calculs[[#This Row],[Début mois]])-Tab_Calculs[[#This Row],[Début mois]])</f>
        <v>#VALUE!</v>
      </c>
      <c r="L939" s="94">
        <f ca="1">INDEX(INDIRECT(CONCATENATE("Tab_",Tab_Calculs[[#This Row],[Colonne1]])),Tab_Calculs[[#This Row],[index_date_livraison]],6)*(1+MIN(Tab_Calculs[[#This Row],[Date_livraison]],Tab_Calculs[[#This Row],[fin mois]])-MAX(Tab_Calculs[[#This Row],[Début mois]],Tab_Calculs[[#This Row],[Début periode livraison]]))</f>
        <v>0</v>
      </c>
      <c r="M939" s="94" t="e">
        <f ca="1">INDEX(INDIRECT(CONCATENATE("Tab_",Tab_Calculs[[#This Row],[Colonne1]])),Tab_Calculs[[#This Row],[index_date_livraison]]+1,6)*(Tab_Calculs[[#This Row],[fin mois]]-MIN(Tab_Calculs[[#This Row],[fin mois]],Tab_Calculs[[#This Row],[Date_livraison]]))</f>
        <v>#VALUE!</v>
      </c>
      <c r="N939" s="231" t="str">
        <f ca="1">IFERROR(Tab_Calculs[[#This Row],[Ratio_jour_après_livr]]+Tab_Calculs[[#This Row],[Ratio_jour_avant_livr]]+Tab_Calculs[[#This Row],[ratio_avant_debut]],"")</f>
        <v/>
      </c>
      <c r="O939" t="e">
        <f ca="1">INDEX(INDIRECT(CONCATENATE("Tab_",Tab_Calculs[[#This Row],[Colonne1]])),Tab_Calculs[[#This Row],[index_date_livraison]]-1,7)*(MAX(Tab_Calculs[[#This Row],[Début periode livraison]],Tab_Calculs[[#This Row],[Début mois]])-Tab_Calculs[[#This Row],[Début mois]])</f>
        <v>#VALUE!</v>
      </c>
      <c r="P939">
        <f ca="1">INDEX(INDIRECT(CONCATENATE("Tab_",Tab_Calculs[[#This Row],[Colonne1]])),Tab_Calculs[[#This Row],[index_date_livraison]],7)*(1+MIN(Tab_Calculs[[#This Row],[Date_livraison]],Tab_Calculs[[#This Row],[fin mois]])-MAX(Tab_Calculs[[#This Row],[Début mois]],Tab_Calculs[[#This Row],[Début periode livraison]]))</f>
        <v>0</v>
      </c>
      <c r="Q939" t="e">
        <f ca="1">INDEX(INDIRECT(CONCATENATE("Tab_",Tab_Calculs[[#This Row],[Colonne1]])),Tab_Calculs[[#This Row],[index_date_livraison]]+1,7)*(Tab_Calculs[[#This Row],[fin mois]]-MIN(Tab_Calculs[[#This Row],[fin mois]],Tab_Calculs[[#This Row],[Date_livraison]]))</f>
        <v>#VALUE!</v>
      </c>
      <c r="R939" t="e">
        <f ca="1">Tab_Calculs[[#This Row],[Ratio_Cout_après_livr]]+Tab_Calculs[[#This Row],[Ratio_Cout_avant_livr]]+Tab_Calculs[[#This Row],[Ratio_Cout_avant_debut]]</f>
        <v>#VALUE!</v>
      </c>
      <c r="S939" t="str">
        <f ca="1">IFERROR(N939*VLOOKUP(Tab_Calculs[[#This Row],[Colonne1]],Controle_des_données!$B$7:$G$14,6,FALSE),"")</f>
        <v/>
      </c>
      <c r="T939" t="str">
        <f ca="1">IF(Tab_Calculs[[#This Row],[Combustible ]]="Electricité (kWh)",Tab_Calculs[[#This Row],[Conso_mois_kWh]]*2.3,Tab_Calculs[[#This Row],[Conso_mois_kWh]])</f>
        <v/>
      </c>
      <c r="U939" t="str">
        <f ca="1">IFERROR(N939*VLOOKUP(Tab_Calculs[[#This Row],[Colonne1]],Controle_des_données!$B$7:$H$14,7,FALSE),"")</f>
        <v/>
      </c>
      <c r="V939">
        <f ca="1">IFERROR(Tab_Calculs[[#This Row],[Cout_mois]]/Tab_Calculs[[#This Row],[Conso_mois_kWh]],0)</f>
        <v>0</v>
      </c>
      <c r="W939" t="str">
        <f>T(VLOOKUP(Tab_Calculs[[#This Row],[Compteur]],Site!$B$33:$G$40,3,FALSE))</f>
        <v/>
      </c>
      <c r="X939" t="str">
        <f>T(VLOOKUP(Tab_Calculs[[#This Row],[Compteur]],Site!$B$33:$G$40,4,FALSE))</f>
        <v/>
      </c>
      <c r="Y939" t="str">
        <f>T(VLOOKUP(Tab_Calculs[[#This Row],[Compteur]],Site!$B$33:$G$40,5,FALSE))</f>
        <v/>
      </c>
      <c r="Z939" t="str">
        <f>T(VLOOKUP(Tab_Calculs[[#This Row],[Compteur]],Site!$B$33:$G$40,6,FALSE))</f>
        <v/>
      </c>
      <c r="AA939">
        <f>IFERROR(GETPIVOTDATA("DJU(chauffagiste)",BDD_DJU!$P$13,"annee",Tab_Calculs[[#This Row],[ANNEE]],"mois_numero",Tab_Calculs[[#This Row],[MOIS]]),0)</f>
        <v>24.1</v>
      </c>
    </row>
    <row r="940" spans="1:27" x14ac:dyDescent="0.25">
      <c r="A940" s="3">
        <f>DATE(Tab_Calculs[[#This Row],[ANNEE]],Tab_Calculs[[#This Row],[MOIS]],1)</f>
        <v>45139</v>
      </c>
      <c r="B940" s="3">
        <f>EDATE(Tab_Calculs[[#This Row],[Début mois]],1)-1</f>
        <v>45169</v>
      </c>
      <c r="C940">
        <f t="shared" si="31"/>
        <v>8</v>
      </c>
      <c r="D940">
        <f t="shared" si="33"/>
        <v>2023</v>
      </c>
      <c r="E940" t="s">
        <v>84</v>
      </c>
      <c r="F940" t="str">
        <f>SUBSTITUTE(Tab_Calculs[[#This Row],[Compteur]]," ","_")</f>
        <v>Compteur_5</v>
      </c>
      <c r="G940" t="str">
        <f>T(INDEX(Site!$B$33:$G$40, MATCH(Tab_Calculs[[#This Row],[Compteur]], Site!$B$33:$B$40,0),2))</f>
        <v/>
      </c>
      <c r="H940" s="3">
        <f t="array" aca="1" ref="H940" ca="1">MIN(IF(INDIRECT(CONCATENATE(Tab_Calculs[[#This Row],[Colonne1]],"!$B$2:$B$243"))&gt;=Calculs_Consos!$A940,INDIRECT(CONCATENATE(Tab_Calculs[[#This Row],[Colonne1]],"!$B$2:$B$243"))))</f>
        <v>0</v>
      </c>
      <c r="I940" s="3">
        <f ca="1">INDEX(INDIRECT(CONCATENATE("Tab_",Tab_Calculs[[#This Row],[Colonne1]])),Tab_Calculs[[#This Row],[index_date_livraison]],1)</f>
        <v>0</v>
      </c>
      <c r="J940">
        <f ca="1">MATCH(Tab_Calculs[[#This Row],[Date_livraison]],INDIRECT(CONCATENATE("Tab_",Tab_Calculs[[#This Row],[Colonne1]],"[Fin de période]")),0)</f>
        <v>1</v>
      </c>
      <c r="K940" t="e">
        <f ca="1">INDEX(INDIRECT(CONCATENATE("Tab_",Tab_Calculs[[#This Row],[Colonne1]])),Tab_Calculs[[#This Row],[index_date_livraison]]-1,6)*(MAX(Tab_Calculs[[#This Row],[Début periode livraison]],Tab_Calculs[[#This Row],[Début mois]])-Tab_Calculs[[#This Row],[Début mois]])</f>
        <v>#VALUE!</v>
      </c>
      <c r="L940" s="94">
        <f ca="1">INDEX(INDIRECT(CONCATENATE("Tab_",Tab_Calculs[[#This Row],[Colonne1]])),Tab_Calculs[[#This Row],[index_date_livraison]],6)*(1+MIN(Tab_Calculs[[#This Row],[Date_livraison]],Tab_Calculs[[#This Row],[fin mois]])-MAX(Tab_Calculs[[#This Row],[Début mois]],Tab_Calculs[[#This Row],[Début periode livraison]]))</f>
        <v>0</v>
      </c>
      <c r="M940" s="94" t="e">
        <f ca="1">INDEX(INDIRECT(CONCATENATE("Tab_",Tab_Calculs[[#This Row],[Colonne1]])),Tab_Calculs[[#This Row],[index_date_livraison]]+1,6)*(Tab_Calculs[[#This Row],[fin mois]]-MIN(Tab_Calculs[[#This Row],[fin mois]],Tab_Calculs[[#This Row],[Date_livraison]]))</f>
        <v>#VALUE!</v>
      </c>
      <c r="N940" s="231" t="str">
        <f ca="1">IFERROR(Tab_Calculs[[#This Row],[Ratio_jour_après_livr]]+Tab_Calculs[[#This Row],[Ratio_jour_avant_livr]]+Tab_Calculs[[#This Row],[ratio_avant_debut]],"")</f>
        <v/>
      </c>
      <c r="O940" t="e">
        <f ca="1">INDEX(INDIRECT(CONCATENATE("Tab_",Tab_Calculs[[#This Row],[Colonne1]])),Tab_Calculs[[#This Row],[index_date_livraison]]-1,7)*(MAX(Tab_Calculs[[#This Row],[Début periode livraison]],Tab_Calculs[[#This Row],[Début mois]])-Tab_Calculs[[#This Row],[Début mois]])</f>
        <v>#VALUE!</v>
      </c>
      <c r="P940">
        <f ca="1">INDEX(INDIRECT(CONCATENATE("Tab_",Tab_Calculs[[#This Row],[Colonne1]])),Tab_Calculs[[#This Row],[index_date_livraison]],7)*(1+MIN(Tab_Calculs[[#This Row],[Date_livraison]],Tab_Calculs[[#This Row],[fin mois]])-MAX(Tab_Calculs[[#This Row],[Début mois]],Tab_Calculs[[#This Row],[Début periode livraison]]))</f>
        <v>0</v>
      </c>
      <c r="Q940" t="e">
        <f ca="1">INDEX(INDIRECT(CONCATENATE("Tab_",Tab_Calculs[[#This Row],[Colonne1]])),Tab_Calculs[[#This Row],[index_date_livraison]]+1,7)*(Tab_Calculs[[#This Row],[fin mois]]-MIN(Tab_Calculs[[#This Row],[fin mois]],Tab_Calculs[[#This Row],[Date_livraison]]))</f>
        <v>#VALUE!</v>
      </c>
      <c r="R940" t="e">
        <f ca="1">Tab_Calculs[[#This Row],[Ratio_Cout_après_livr]]+Tab_Calculs[[#This Row],[Ratio_Cout_avant_livr]]+Tab_Calculs[[#This Row],[Ratio_Cout_avant_debut]]</f>
        <v>#VALUE!</v>
      </c>
      <c r="S940" t="str">
        <f ca="1">IFERROR(N940*VLOOKUP(Tab_Calculs[[#This Row],[Colonne1]],Controle_des_données!$B$7:$G$14,6,FALSE),"")</f>
        <v/>
      </c>
      <c r="T940" t="str">
        <f ca="1">IF(Tab_Calculs[[#This Row],[Combustible ]]="Electricité (kWh)",Tab_Calculs[[#This Row],[Conso_mois_kWh]]*2.3,Tab_Calculs[[#This Row],[Conso_mois_kWh]])</f>
        <v/>
      </c>
      <c r="U940" t="str">
        <f ca="1">IFERROR(N940*VLOOKUP(Tab_Calculs[[#This Row],[Colonne1]],Controle_des_données!$B$7:$H$14,7,FALSE),"")</f>
        <v/>
      </c>
      <c r="V940">
        <f ca="1">IFERROR(Tab_Calculs[[#This Row],[Cout_mois]]/Tab_Calculs[[#This Row],[Conso_mois_kWh]],0)</f>
        <v>0</v>
      </c>
      <c r="W940" t="str">
        <f>T(VLOOKUP(Tab_Calculs[[#This Row],[Compteur]],Site!$B$33:$G$40,3,FALSE))</f>
        <v/>
      </c>
      <c r="X940" t="str">
        <f>T(VLOOKUP(Tab_Calculs[[#This Row],[Compteur]],Site!$B$33:$G$40,4,FALSE))</f>
        <v/>
      </c>
      <c r="Y940" t="str">
        <f>T(VLOOKUP(Tab_Calculs[[#This Row],[Compteur]],Site!$B$33:$G$40,5,FALSE))</f>
        <v/>
      </c>
      <c r="Z940" t="str">
        <f>T(VLOOKUP(Tab_Calculs[[#This Row],[Compteur]],Site!$B$33:$G$40,6,FALSE))</f>
        <v/>
      </c>
      <c r="AA940">
        <f>IFERROR(GETPIVOTDATA("DJU(chauffagiste)",BDD_DJU!$P$13,"annee",Tab_Calculs[[#This Row],[ANNEE]],"mois_numero",Tab_Calculs[[#This Row],[MOIS]]),0)</f>
        <v>27.9</v>
      </c>
    </row>
    <row r="941" spans="1:27" x14ac:dyDescent="0.25">
      <c r="A941" s="3">
        <f>DATE(Tab_Calculs[[#This Row],[ANNEE]],Tab_Calculs[[#This Row],[MOIS]],1)</f>
        <v>45170</v>
      </c>
      <c r="B941" s="3">
        <f>EDATE(Tab_Calculs[[#This Row],[Début mois]],1)-1</f>
        <v>45199</v>
      </c>
      <c r="C941">
        <f t="shared" si="31"/>
        <v>9</v>
      </c>
      <c r="D941">
        <f t="shared" si="33"/>
        <v>2023</v>
      </c>
      <c r="E941" t="s">
        <v>84</v>
      </c>
      <c r="F941" t="str">
        <f>SUBSTITUTE(Tab_Calculs[[#This Row],[Compteur]]," ","_")</f>
        <v>Compteur_5</v>
      </c>
      <c r="G941" t="str">
        <f>T(INDEX(Site!$B$33:$G$40, MATCH(Tab_Calculs[[#This Row],[Compteur]], Site!$B$33:$B$40,0),2))</f>
        <v/>
      </c>
      <c r="H941" s="3">
        <f t="array" aca="1" ref="H941" ca="1">MIN(IF(INDIRECT(CONCATENATE(Tab_Calculs[[#This Row],[Colonne1]],"!$B$2:$B$243"))&gt;=Calculs_Consos!$A941,INDIRECT(CONCATENATE(Tab_Calculs[[#This Row],[Colonne1]],"!$B$2:$B$243"))))</f>
        <v>0</v>
      </c>
      <c r="I941" s="3">
        <f ca="1">INDEX(INDIRECT(CONCATENATE("Tab_",Tab_Calculs[[#This Row],[Colonne1]])),Tab_Calculs[[#This Row],[index_date_livraison]],1)</f>
        <v>0</v>
      </c>
      <c r="J941">
        <f ca="1">MATCH(Tab_Calculs[[#This Row],[Date_livraison]],INDIRECT(CONCATENATE("Tab_",Tab_Calculs[[#This Row],[Colonne1]],"[Fin de période]")),0)</f>
        <v>1</v>
      </c>
      <c r="K941" t="e">
        <f ca="1">INDEX(INDIRECT(CONCATENATE("Tab_",Tab_Calculs[[#This Row],[Colonne1]])),Tab_Calculs[[#This Row],[index_date_livraison]]-1,6)*(MAX(Tab_Calculs[[#This Row],[Début periode livraison]],Tab_Calculs[[#This Row],[Début mois]])-Tab_Calculs[[#This Row],[Début mois]])</f>
        <v>#VALUE!</v>
      </c>
      <c r="L941" s="94">
        <f ca="1">INDEX(INDIRECT(CONCATENATE("Tab_",Tab_Calculs[[#This Row],[Colonne1]])),Tab_Calculs[[#This Row],[index_date_livraison]],6)*(1+MIN(Tab_Calculs[[#This Row],[Date_livraison]],Tab_Calculs[[#This Row],[fin mois]])-MAX(Tab_Calculs[[#This Row],[Début mois]],Tab_Calculs[[#This Row],[Début periode livraison]]))</f>
        <v>0</v>
      </c>
      <c r="M941" s="94" t="e">
        <f ca="1">INDEX(INDIRECT(CONCATENATE("Tab_",Tab_Calculs[[#This Row],[Colonne1]])),Tab_Calculs[[#This Row],[index_date_livraison]]+1,6)*(Tab_Calculs[[#This Row],[fin mois]]-MIN(Tab_Calculs[[#This Row],[fin mois]],Tab_Calculs[[#This Row],[Date_livraison]]))</f>
        <v>#VALUE!</v>
      </c>
      <c r="N941" s="231" t="str">
        <f ca="1">IFERROR(Tab_Calculs[[#This Row],[Ratio_jour_après_livr]]+Tab_Calculs[[#This Row],[Ratio_jour_avant_livr]]+Tab_Calculs[[#This Row],[ratio_avant_debut]],"")</f>
        <v/>
      </c>
      <c r="O941" t="e">
        <f ca="1">INDEX(INDIRECT(CONCATENATE("Tab_",Tab_Calculs[[#This Row],[Colonne1]])),Tab_Calculs[[#This Row],[index_date_livraison]]-1,7)*(MAX(Tab_Calculs[[#This Row],[Début periode livraison]],Tab_Calculs[[#This Row],[Début mois]])-Tab_Calculs[[#This Row],[Début mois]])</f>
        <v>#VALUE!</v>
      </c>
      <c r="P941">
        <f ca="1">INDEX(INDIRECT(CONCATENATE("Tab_",Tab_Calculs[[#This Row],[Colonne1]])),Tab_Calculs[[#This Row],[index_date_livraison]],7)*(1+MIN(Tab_Calculs[[#This Row],[Date_livraison]],Tab_Calculs[[#This Row],[fin mois]])-MAX(Tab_Calculs[[#This Row],[Début mois]],Tab_Calculs[[#This Row],[Début periode livraison]]))</f>
        <v>0</v>
      </c>
      <c r="Q941" t="e">
        <f ca="1">INDEX(INDIRECT(CONCATENATE("Tab_",Tab_Calculs[[#This Row],[Colonne1]])),Tab_Calculs[[#This Row],[index_date_livraison]]+1,7)*(Tab_Calculs[[#This Row],[fin mois]]-MIN(Tab_Calculs[[#This Row],[fin mois]],Tab_Calculs[[#This Row],[Date_livraison]]))</f>
        <v>#VALUE!</v>
      </c>
      <c r="R941" t="e">
        <f ca="1">Tab_Calculs[[#This Row],[Ratio_Cout_après_livr]]+Tab_Calculs[[#This Row],[Ratio_Cout_avant_livr]]+Tab_Calculs[[#This Row],[Ratio_Cout_avant_debut]]</f>
        <v>#VALUE!</v>
      </c>
      <c r="S941" t="str">
        <f ca="1">IFERROR(N941*VLOOKUP(Tab_Calculs[[#This Row],[Colonne1]],Controle_des_données!$B$7:$G$14,6,FALSE),"")</f>
        <v/>
      </c>
      <c r="T941" t="str">
        <f ca="1">IF(Tab_Calculs[[#This Row],[Combustible ]]="Electricité (kWh)",Tab_Calculs[[#This Row],[Conso_mois_kWh]]*2.3,Tab_Calculs[[#This Row],[Conso_mois_kWh]])</f>
        <v/>
      </c>
      <c r="U941" t="str">
        <f ca="1">IFERROR(N941*VLOOKUP(Tab_Calculs[[#This Row],[Colonne1]],Controle_des_données!$B$7:$H$14,7,FALSE),"")</f>
        <v/>
      </c>
      <c r="V941">
        <f ca="1">IFERROR(Tab_Calculs[[#This Row],[Cout_mois]]/Tab_Calculs[[#This Row],[Conso_mois_kWh]],0)</f>
        <v>0</v>
      </c>
      <c r="W941" t="str">
        <f>T(VLOOKUP(Tab_Calculs[[#This Row],[Compteur]],Site!$B$33:$G$40,3,FALSE))</f>
        <v/>
      </c>
      <c r="X941" t="str">
        <f>T(VLOOKUP(Tab_Calculs[[#This Row],[Compteur]],Site!$B$33:$G$40,4,FALSE))</f>
        <v/>
      </c>
      <c r="Y941" t="str">
        <f>T(VLOOKUP(Tab_Calculs[[#This Row],[Compteur]],Site!$B$33:$G$40,5,FALSE))</f>
        <v/>
      </c>
      <c r="Z941" t="str">
        <f>T(VLOOKUP(Tab_Calculs[[#This Row],[Compteur]],Site!$B$33:$G$40,6,FALSE))</f>
        <v/>
      </c>
      <c r="AA941">
        <f>IFERROR(GETPIVOTDATA("DJU(chauffagiste)",BDD_DJU!$P$13,"annee",Tab_Calculs[[#This Row],[ANNEE]],"mois_numero",Tab_Calculs[[#This Row],[MOIS]]),0)</f>
        <v>30.5</v>
      </c>
    </row>
    <row r="942" spans="1:27" x14ac:dyDescent="0.25">
      <c r="A942" s="3">
        <f>DATE(Tab_Calculs[[#This Row],[ANNEE]],Tab_Calculs[[#This Row],[MOIS]],1)</f>
        <v>45200</v>
      </c>
      <c r="B942" s="3">
        <f>EDATE(Tab_Calculs[[#This Row],[Début mois]],1)-1</f>
        <v>45230</v>
      </c>
      <c r="C942">
        <f t="shared" si="31"/>
        <v>10</v>
      </c>
      <c r="D942">
        <f t="shared" si="33"/>
        <v>2023</v>
      </c>
      <c r="E942" t="s">
        <v>84</v>
      </c>
      <c r="F942" t="str">
        <f>SUBSTITUTE(Tab_Calculs[[#This Row],[Compteur]]," ","_")</f>
        <v>Compteur_5</v>
      </c>
      <c r="G942" t="str">
        <f>T(INDEX(Site!$B$33:$G$40, MATCH(Tab_Calculs[[#This Row],[Compteur]], Site!$B$33:$B$40,0),2))</f>
        <v/>
      </c>
      <c r="H942" s="3">
        <f t="array" aca="1" ref="H942" ca="1">MIN(IF(INDIRECT(CONCATENATE(Tab_Calculs[[#This Row],[Colonne1]],"!$B$2:$B$243"))&gt;=Calculs_Consos!$A942,INDIRECT(CONCATENATE(Tab_Calculs[[#This Row],[Colonne1]],"!$B$2:$B$243"))))</f>
        <v>0</v>
      </c>
      <c r="I942" s="3">
        <f ca="1">INDEX(INDIRECT(CONCATENATE("Tab_",Tab_Calculs[[#This Row],[Colonne1]])),Tab_Calculs[[#This Row],[index_date_livraison]],1)</f>
        <v>0</v>
      </c>
      <c r="J942">
        <f ca="1">MATCH(Tab_Calculs[[#This Row],[Date_livraison]],INDIRECT(CONCATENATE("Tab_",Tab_Calculs[[#This Row],[Colonne1]],"[Fin de période]")),0)</f>
        <v>1</v>
      </c>
      <c r="K942" t="e">
        <f ca="1">INDEX(INDIRECT(CONCATENATE("Tab_",Tab_Calculs[[#This Row],[Colonne1]])),Tab_Calculs[[#This Row],[index_date_livraison]]-1,6)*(MAX(Tab_Calculs[[#This Row],[Début periode livraison]],Tab_Calculs[[#This Row],[Début mois]])-Tab_Calculs[[#This Row],[Début mois]])</f>
        <v>#VALUE!</v>
      </c>
      <c r="L942" s="94">
        <f ca="1">INDEX(INDIRECT(CONCATENATE("Tab_",Tab_Calculs[[#This Row],[Colonne1]])),Tab_Calculs[[#This Row],[index_date_livraison]],6)*(1+MIN(Tab_Calculs[[#This Row],[Date_livraison]],Tab_Calculs[[#This Row],[fin mois]])-MAX(Tab_Calculs[[#This Row],[Début mois]],Tab_Calculs[[#This Row],[Début periode livraison]]))</f>
        <v>0</v>
      </c>
      <c r="M942" s="94" t="e">
        <f ca="1">INDEX(INDIRECT(CONCATENATE("Tab_",Tab_Calculs[[#This Row],[Colonne1]])),Tab_Calculs[[#This Row],[index_date_livraison]]+1,6)*(Tab_Calculs[[#This Row],[fin mois]]-MIN(Tab_Calculs[[#This Row],[fin mois]],Tab_Calculs[[#This Row],[Date_livraison]]))</f>
        <v>#VALUE!</v>
      </c>
      <c r="N942" s="231" t="str">
        <f ca="1">IFERROR(Tab_Calculs[[#This Row],[Ratio_jour_après_livr]]+Tab_Calculs[[#This Row],[Ratio_jour_avant_livr]]+Tab_Calculs[[#This Row],[ratio_avant_debut]],"")</f>
        <v/>
      </c>
      <c r="O942" t="e">
        <f ca="1">INDEX(INDIRECT(CONCATENATE("Tab_",Tab_Calculs[[#This Row],[Colonne1]])),Tab_Calculs[[#This Row],[index_date_livraison]]-1,7)*(MAX(Tab_Calculs[[#This Row],[Début periode livraison]],Tab_Calculs[[#This Row],[Début mois]])-Tab_Calculs[[#This Row],[Début mois]])</f>
        <v>#VALUE!</v>
      </c>
      <c r="P942">
        <f ca="1">INDEX(INDIRECT(CONCATENATE("Tab_",Tab_Calculs[[#This Row],[Colonne1]])),Tab_Calculs[[#This Row],[index_date_livraison]],7)*(1+MIN(Tab_Calculs[[#This Row],[Date_livraison]],Tab_Calculs[[#This Row],[fin mois]])-MAX(Tab_Calculs[[#This Row],[Début mois]],Tab_Calculs[[#This Row],[Début periode livraison]]))</f>
        <v>0</v>
      </c>
      <c r="Q942" t="e">
        <f ca="1">INDEX(INDIRECT(CONCATENATE("Tab_",Tab_Calculs[[#This Row],[Colonne1]])),Tab_Calculs[[#This Row],[index_date_livraison]]+1,7)*(Tab_Calculs[[#This Row],[fin mois]]-MIN(Tab_Calculs[[#This Row],[fin mois]],Tab_Calculs[[#This Row],[Date_livraison]]))</f>
        <v>#VALUE!</v>
      </c>
      <c r="R942" t="e">
        <f ca="1">Tab_Calculs[[#This Row],[Ratio_Cout_après_livr]]+Tab_Calculs[[#This Row],[Ratio_Cout_avant_livr]]+Tab_Calculs[[#This Row],[Ratio_Cout_avant_debut]]</f>
        <v>#VALUE!</v>
      </c>
      <c r="S942" t="str">
        <f ca="1">IFERROR(N942*VLOOKUP(Tab_Calculs[[#This Row],[Colonne1]],Controle_des_données!$B$7:$G$14,6,FALSE),"")</f>
        <v/>
      </c>
      <c r="T942" t="str">
        <f ca="1">IF(Tab_Calculs[[#This Row],[Combustible ]]="Electricité (kWh)",Tab_Calculs[[#This Row],[Conso_mois_kWh]]*2.3,Tab_Calculs[[#This Row],[Conso_mois_kWh]])</f>
        <v/>
      </c>
      <c r="U942" t="str">
        <f ca="1">IFERROR(N942*VLOOKUP(Tab_Calculs[[#This Row],[Colonne1]],Controle_des_données!$B$7:$H$14,7,FALSE),"")</f>
        <v/>
      </c>
      <c r="V942">
        <f ca="1">IFERROR(Tab_Calculs[[#This Row],[Cout_mois]]/Tab_Calculs[[#This Row],[Conso_mois_kWh]],0)</f>
        <v>0</v>
      </c>
      <c r="W942" t="str">
        <f>T(VLOOKUP(Tab_Calculs[[#This Row],[Compteur]],Site!$B$33:$G$40,3,FALSE))</f>
        <v/>
      </c>
      <c r="X942" t="str">
        <f>T(VLOOKUP(Tab_Calculs[[#This Row],[Compteur]],Site!$B$33:$G$40,4,FALSE))</f>
        <v/>
      </c>
      <c r="Y942" t="str">
        <f>T(VLOOKUP(Tab_Calculs[[#This Row],[Compteur]],Site!$B$33:$G$40,5,FALSE))</f>
        <v/>
      </c>
      <c r="Z942" t="str">
        <f>T(VLOOKUP(Tab_Calculs[[#This Row],[Compteur]],Site!$B$33:$G$40,6,FALSE))</f>
        <v/>
      </c>
      <c r="AA942">
        <f>IFERROR(GETPIVOTDATA("DJU(chauffagiste)",BDD_DJU!$P$13,"annee",Tab_Calculs[[#This Row],[ANNEE]],"mois_numero",Tab_Calculs[[#This Row],[MOIS]]),0)</f>
        <v>115.8</v>
      </c>
    </row>
    <row r="943" spans="1:27" x14ac:dyDescent="0.25">
      <c r="A943" s="3">
        <f>DATE(Tab_Calculs[[#This Row],[ANNEE]],Tab_Calculs[[#This Row],[MOIS]],1)</f>
        <v>45231</v>
      </c>
      <c r="B943" s="3">
        <f>EDATE(Tab_Calculs[[#This Row],[Début mois]],1)-1</f>
        <v>45260</v>
      </c>
      <c r="C943">
        <f t="shared" si="31"/>
        <v>11</v>
      </c>
      <c r="D943">
        <f t="shared" si="33"/>
        <v>2023</v>
      </c>
      <c r="E943" t="s">
        <v>84</v>
      </c>
      <c r="F943" t="str">
        <f>SUBSTITUTE(Tab_Calculs[[#This Row],[Compteur]]," ","_")</f>
        <v>Compteur_5</v>
      </c>
      <c r="G943" t="str">
        <f>T(INDEX(Site!$B$33:$G$40, MATCH(Tab_Calculs[[#This Row],[Compteur]], Site!$B$33:$B$40,0),2))</f>
        <v/>
      </c>
      <c r="H943" s="3">
        <f t="array" aca="1" ref="H943" ca="1">MIN(IF(INDIRECT(CONCATENATE(Tab_Calculs[[#This Row],[Colonne1]],"!$B$2:$B$243"))&gt;=Calculs_Consos!$A943,INDIRECT(CONCATENATE(Tab_Calculs[[#This Row],[Colonne1]],"!$B$2:$B$243"))))</f>
        <v>0</v>
      </c>
      <c r="I943" s="3">
        <f ca="1">INDEX(INDIRECT(CONCATENATE("Tab_",Tab_Calculs[[#This Row],[Colonne1]])),Tab_Calculs[[#This Row],[index_date_livraison]],1)</f>
        <v>0</v>
      </c>
      <c r="J943">
        <f ca="1">MATCH(Tab_Calculs[[#This Row],[Date_livraison]],INDIRECT(CONCATENATE("Tab_",Tab_Calculs[[#This Row],[Colonne1]],"[Fin de période]")),0)</f>
        <v>1</v>
      </c>
      <c r="K943" t="e">
        <f ca="1">INDEX(INDIRECT(CONCATENATE("Tab_",Tab_Calculs[[#This Row],[Colonne1]])),Tab_Calculs[[#This Row],[index_date_livraison]]-1,6)*(MAX(Tab_Calculs[[#This Row],[Début periode livraison]],Tab_Calculs[[#This Row],[Début mois]])-Tab_Calculs[[#This Row],[Début mois]])</f>
        <v>#VALUE!</v>
      </c>
      <c r="L943" s="94">
        <f ca="1">INDEX(INDIRECT(CONCATENATE("Tab_",Tab_Calculs[[#This Row],[Colonne1]])),Tab_Calculs[[#This Row],[index_date_livraison]],6)*(1+MIN(Tab_Calculs[[#This Row],[Date_livraison]],Tab_Calculs[[#This Row],[fin mois]])-MAX(Tab_Calculs[[#This Row],[Début mois]],Tab_Calculs[[#This Row],[Début periode livraison]]))</f>
        <v>0</v>
      </c>
      <c r="M943" s="94" t="e">
        <f ca="1">INDEX(INDIRECT(CONCATENATE("Tab_",Tab_Calculs[[#This Row],[Colonne1]])),Tab_Calculs[[#This Row],[index_date_livraison]]+1,6)*(Tab_Calculs[[#This Row],[fin mois]]-MIN(Tab_Calculs[[#This Row],[fin mois]],Tab_Calculs[[#This Row],[Date_livraison]]))</f>
        <v>#VALUE!</v>
      </c>
      <c r="N943" s="231" t="str">
        <f ca="1">IFERROR(Tab_Calculs[[#This Row],[Ratio_jour_après_livr]]+Tab_Calculs[[#This Row],[Ratio_jour_avant_livr]]+Tab_Calculs[[#This Row],[ratio_avant_debut]],"")</f>
        <v/>
      </c>
      <c r="O943" t="e">
        <f ca="1">INDEX(INDIRECT(CONCATENATE("Tab_",Tab_Calculs[[#This Row],[Colonne1]])),Tab_Calculs[[#This Row],[index_date_livraison]]-1,7)*(MAX(Tab_Calculs[[#This Row],[Début periode livraison]],Tab_Calculs[[#This Row],[Début mois]])-Tab_Calculs[[#This Row],[Début mois]])</f>
        <v>#VALUE!</v>
      </c>
      <c r="P943">
        <f ca="1">INDEX(INDIRECT(CONCATENATE("Tab_",Tab_Calculs[[#This Row],[Colonne1]])),Tab_Calculs[[#This Row],[index_date_livraison]],7)*(1+MIN(Tab_Calculs[[#This Row],[Date_livraison]],Tab_Calculs[[#This Row],[fin mois]])-MAX(Tab_Calculs[[#This Row],[Début mois]],Tab_Calculs[[#This Row],[Début periode livraison]]))</f>
        <v>0</v>
      </c>
      <c r="Q943" t="e">
        <f ca="1">INDEX(INDIRECT(CONCATENATE("Tab_",Tab_Calculs[[#This Row],[Colonne1]])),Tab_Calculs[[#This Row],[index_date_livraison]]+1,7)*(Tab_Calculs[[#This Row],[fin mois]]-MIN(Tab_Calculs[[#This Row],[fin mois]],Tab_Calculs[[#This Row],[Date_livraison]]))</f>
        <v>#VALUE!</v>
      </c>
      <c r="R943" t="e">
        <f ca="1">Tab_Calculs[[#This Row],[Ratio_Cout_après_livr]]+Tab_Calculs[[#This Row],[Ratio_Cout_avant_livr]]+Tab_Calculs[[#This Row],[Ratio_Cout_avant_debut]]</f>
        <v>#VALUE!</v>
      </c>
      <c r="S943" t="str">
        <f ca="1">IFERROR(N943*VLOOKUP(Tab_Calculs[[#This Row],[Colonne1]],Controle_des_données!$B$7:$G$14,6,FALSE),"")</f>
        <v/>
      </c>
      <c r="T943" t="str">
        <f ca="1">IF(Tab_Calculs[[#This Row],[Combustible ]]="Electricité (kWh)",Tab_Calculs[[#This Row],[Conso_mois_kWh]]*2.3,Tab_Calculs[[#This Row],[Conso_mois_kWh]])</f>
        <v/>
      </c>
      <c r="U943" t="str">
        <f ca="1">IFERROR(N943*VLOOKUP(Tab_Calculs[[#This Row],[Colonne1]],Controle_des_données!$B$7:$H$14,7,FALSE),"")</f>
        <v/>
      </c>
      <c r="V943">
        <f ca="1">IFERROR(Tab_Calculs[[#This Row],[Cout_mois]]/Tab_Calculs[[#This Row],[Conso_mois_kWh]],0)</f>
        <v>0</v>
      </c>
      <c r="W943" t="str">
        <f>T(VLOOKUP(Tab_Calculs[[#This Row],[Compteur]],Site!$B$33:$G$40,3,FALSE))</f>
        <v/>
      </c>
      <c r="X943" t="str">
        <f>T(VLOOKUP(Tab_Calculs[[#This Row],[Compteur]],Site!$B$33:$G$40,4,FALSE))</f>
        <v/>
      </c>
      <c r="Y943" t="str">
        <f>T(VLOOKUP(Tab_Calculs[[#This Row],[Compteur]],Site!$B$33:$G$40,5,FALSE))</f>
        <v/>
      </c>
      <c r="Z943" t="str">
        <f>T(VLOOKUP(Tab_Calculs[[#This Row],[Compteur]],Site!$B$33:$G$40,6,FALSE))</f>
        <v/>
      </c>
      <c r="AA943">
        <f>IFERROR(GETPIVOTDATA("DJU(chauffagiste)",BDD_DJU!$P$13,"annee",Tab_Calculs[[#This Row],[ANNEE]],"mois_numero",Tab_Calculs[[#This Row],[MOIS]]),0)</f>
        <v>239.8</v>
      </c>
    </row>
    <row r="944" spans="1:27" x14ac:dyDescent="0.25">
      <c r="A944" s="3">
        <f>DATE(Tab_Calculs[[#This Row],[ANNEE]],Tab_Calculs[[#This Row],[MOIS]],1)</f>
        <v>45261</v>
      </c>
      <c r="B944" s="3">
        <f>EDATE(Tab_Calculs[[#This Row],[Début mois]],1)-1</f>
        <v>45291</v>
      </c>
      <c r="C944">
        <f t="shared" si="31"/>
        <v>12</v>
      </c>
      <c r="D944">
        <f t="shared" si="33"/>
        <v>2023</v>
      </c>
      <c r="E944" t="s">
        <v>84</v>
      </c>
      <c r="F944" t="str">
        <f>SUBSTITUTE(Tab_Calculs[[#This Row],[Compteur]]," ","_")</f>
        <v>Compteur_5</v>
      </c>
      <c r="G944" t="str">
        <f>T(INDEX(Site!$B$33:$G$40, MATCH(Tab_Calculs[[#This Row],[Compteur]], Site!$B$33:$B$40,0),2))</f>
        <v/>
      </c>
      <c r="H944" s="3">
        <f t="array" aca="1" ref="H944" ca="1">MIN(IF(INDIRECT(CONCATENATE(Tab_Calculs[[#This Row],[Colonne1]],"!$B$2:$B$243"))&gt;=Calculs_Consos!$A944,INDIRECT(CONCATENATE(Tab_Calculs[[#This Row],[Colonne1]],"!$B$2:$B$243"))))</f>
        <v>0</v>
      </c>
      <c r="I944" s="3">
        <f ca="1">INDEX(INDIRECT(CONCATENATE("Tab_",Tab_Calculs[[#This Row],[Colonne1]])),Tab_Calculs[[#This Row],[index_date_livraison]],1)</f>
        <v>0</v>
      </c>
      <c r="J944">
        <f ca="1">MATCH(Tab_Calculs[[#This Row],[Date_livraison]],INDIRECT(CONCATENATE("Tab_",Tab_Calculs[[#This Row],[Colonne1]],"[Fin de période]")),0)</f>
        <v>1</v>
      </c>
      <c r="K944" t="e">
        <f ca="1">INDEX(INDIRECT(CONCATENATE("Tab_",Tab_Calculs[[#This Row],[Colonne1]])),Tab_Calculs[[#This Row],[index_date_livraison]]-1,6)*(MAX(Tab_Calculs[[#This Row],[Début periode livraison]],Tab_Calculs[[#This Row],[Début mois]])-Tab_Calculs[[#This Row],[Début mois]])</f>
        <v>#VALUE!</v>
      </c>
      <c r="L944" s="94">
        <f ca="1">INDEX(INDIRECT(CONCATENATE("Tab_",Tab_Calculs[[#This Row],[Colonne1]])),Tab_Calculs[[#This Row],[index_date_livraison]],6)*(1+MIN(Tab_Calculs[[#This Row],[Date_livraison]],Tab_Calculs[[#This Row],[fin mois]])-MAX(Tab_Calculs[[#This Row],[Début mois]],Tab_Calculs[[#This Row],[Début periode livraison]]))</f>
        <v>0</v>
      </c>
      <c r="M944" s="94" t="e">
        <f ca="1">INDEX(INDIRECT(CONCATENATE("Tab_",Tab_Calculs[[#This Row],[Colonne1]])),Tab_Calculs[[#This Row],[index_date_livraison]]+1,6)*(Tab_Calculs[[#This Row],[fin mois]]-MIN(Tab_Calculs[[#This Row],[fin mois]],Tab_Calculs[[#This Row],[Date_livraison]]))</f>
        <v>#VALUE!</v>
      </c>
      <c r="N944" s="231" t="str">
        <f ca="1">IFERROR(Tab_Calculs[[#This Row],[Ratio_jour_après_livr]]+Tab_Calculs[[#This Row],[Ratio_jour_avant_livr]]+Tab_Calculs[[#This Row],[ratio_avant_debut]],"")</f>
        <v/>
      </c>
      <c r="O944" t="e">
        <f ca="1">INDEX(INDIRECT(CONCATENATE("Tab_",Tab_Calculs[[#This Row],[Colonne1]])),Tab_Calculs[[#This Row],[index_date_livraison]]-1,7)*(MAX(Tab_Calculs[[#This Row],[Début periode livraison]],Tab_Calculs[[#This Row],[Début mois]])-Tab_Calculs[[#This Row],[Début mois]])</f>
        <v>#VALUE!</v>
      </c>
      <c r="P944">
        <f ca="1">INDEX(INDIRECT(CONCATENATE("Tab_",Tab_Calculs[[#This Row],[Colonne1]])),Tab_Calculs[[#This Row],[index_date_livraison]],7)*(1+MIN(Tab_Calculs[[#This Row],[Date_livraison]],Tab_Calculs[[#This Row],[fin mois]])-MAX(Tab_Calculs[[#This Row],[Début mois]],Tab_Calculs[[#This Row],[Début periode livraison]]))</f>
        <v>0</v>
      </c>
      <c r="Q944" t="e">
        <f ca="1">INDEX(INDIRECT(CONCATENATE("Tab_",Tab_Calculs[[#This Row],[Colonne1]])),Tab_Calculs[[#This Row],[index_date_livraison]]+1,7)*(Tab_Calculs[[#This Row],[fin mois]]-MIN(Tab_Calculs[[#This Row],[fin mois]],Tab_Calculs[[#This Row],[Date_livraison]]))</f>
        <v>#VALUE!</v>
      </c>
      <c r="R944" t="e">
        <f ca="1">Tab_Calculs[[#This Row],[Ratio_Cout_après_livr]]+Tab_Calculs[[#This Row],[Ratio_Cout_avant_livr]]+Tab_Calculs[[#This Row],[Ratio_Cout_avant_debut]]</f>
        <v>#VALUE!</v>
      </c>
      <c r="S944" t="str">
        <f ca="1">IFERROR(N944*VLOOKUP(Tab_Calculs[[#This Row],[Colonne1]],Controle_des_données!$B$7:$G$14,6,FALSE),"")</f>
        <v/>
      </c>
      <c r="T944" t="str">
        <f ca="1">IF(Tab_Calculs[[#This Row],[Combustible ]]="Electricité (kWh)",Tab_Calculs[[#This Row],[Conso_mois_kWh]]*2.3,Tab_Calculs[[#This Row],[Conso_mois_kWh]])</f>
        <v/>
      </c>
      <c r="U944" t="str">
        <f ca="1">IFERROR(N944*VLOOKUP(Tab_Calculs[[#This Row],[Colonne1]],Controle_des_données!$B$7:$H$14,7,FALSE),"")</f>
        <v/>
      </c>
      <c r="V944">
        <f ca="1">IFERROR(Tab_Calculs[[#This Row],[Cout_mois]]/Tab_Calculs[[#This Row],[Conso_mois_kWh]],0)</f>
        <v>0</v>
      </c>
      <c r="W944" t="str">
        <f>T(VLOOKUP(Tab_Calculs[[#This Row],[Compteur]],Site!$B$33:$G$40,3,FALSE))</f>
        <v/>
      </c>
      <c r="X944" t="str">
        <f>T(VLOOKUP(Tab_Calculs[[#This Row],[Compteur]],Site!$B$33:$G$40,4,FALSE))</f>
        <v/>
      </c>
      <c r="Y944" t="str">
        <f>T(VLOOKUP(Tab_Calculs[[#This Row],[Compteur]],Site!$B$33:$G$40,5,FALSE))</f>
        <v/>
      </c>
      <c r="Z944" t="str">
        <f>T(VLOOKUP(Tab_Calculs[[#This Row],[Compteur]],Site!$B$33:$G$40,6,FALSE))</f>
        <v/>
      </c>
      <c r="AA944">
        <f>IFERROR(GETPIVOTDATA("DJU(chauffagiste)",BDD_DJU!$P$13,"annee",Tab_Calculs[[#This Row],[ANNEE]],"mois_numero",Tab_Calculs[[#This Row],[MOIS]]),0)</f>
        <v>300.89999999999998</v>
      </c>
    </row>
    <row r="945" spans="1:27" x14ac:dyDescent="0.25">
      <c r="A945" s="3">
        <f>DATE(Tab_Calculs[[#This Row],[ANNEE]],Tab_Calculs[[#This Row],[MOIS]],1)</f>
        <v>45292</v>
      </c>
      <c r="B945" s="3">
        <f>EDATE(Tab_Calculs[[#This Row],[Début mois]],1)-1</f>
        <v>45322</v>
      </c>
      <c r="C945">
        <f t="shared" si="31"/>
        <v>1</v>
      </c>
      <c r="D945">
        <f t="shared" si="33"/>
        <v>2024</v>
      </c>
      <c r="E945" t="s">
        <v>84</v>
      </c>
      <c r="F945" t="str">
        <f>SUBSTITUTE(Tab_Calculs[[#This Row],[Compteur]]," ","_")</f>
        <v>Compteur_5</v>
      </c>
      <c r="G945" t="str">
        <f>T(INDEX(Site!$B$33:$G$40, MATCH(Tab_Calculs[[#This Row],[Compteur]], Site!$B$33:$B$40,0),2))</f>
        <v/>
      </c>
      <c r="H945" s="3">
        <f t="array" aca="1" ref="H945" ca="1">MIN(IF(INDIRECT(CONCATENATE(Tab_Calculs[[#This Row],[Colonne1]],"!$B$2:$B$243"))&gt;=Calculs_Consos!$A945,INDIRECT(CONCATENATE(Tab_Calculs[[#This Row],[Colonne1]],"!$B$2:$B$243"))))</f>
        <v>0</v>
      </c>
      <c r="I945" s="3">
        <f ca="1">INDEX(INDIRECT(CONCATENATE("Tab_",Tab_Calculs[[#This Row],[Colonne1]])),Tab_Calculs[[#This Row],[index_date_livraison]],1)</f>
        <v>0</v>
      </c>
      <c r="J945">
        <f ca="1">MATCH(Tab_Calculs[[#This Row],[Date_livraison]],INDIRECT(CONCATENATE("Tab_",Tab_Calculs[[#This Row],[Colonne1]],"[Fin de période]")),0)</f>
        <v>1</v>
      </c>
      <c r="K945" t="e">
        <f ca="1">INDEX(INDIRECT(CONCATENATE("Tab_",Tab_Calculs[[#This Row],[Colonne1]])),Tab_Calculs[[#This Row],[index_date_livraison]]-1,6)*(MAX(Tab_Calculs[[#This Row],[Début periode livraison]],Tab_Calculs[[#This Row],[Début mois]])-Tab_Calculs[[#This Row],[Début mois]])</f>
        <v>#VALUE!</v>
      </c>
      <c r="L945" s="94">
        <f ca="1">INDEX(INDIRECT(CONCATENATE("Tab_",Tab_Calculs[[#This Row],[Colonne1]])),Tab_Calculs[[#This Row],[index_date_livraison]],6)*(1+MIN(Tab_Calculs[[#This Row],[Date_livraison]],Tab_Calculs[[#This Row],[fin mois]])-MAX(Tab_Calculs[[#This Row],[Début mois]],Tab_Calculs[[#This Row],[Début periode livraison]]))</f>
        <v>0</v>
      </c>
      <c r="M945" s="94" t="e">
        <f ca="1">INDEX(INDIRECT(CONCATENATE("Tab_",Tab_Calculs[[#This Row],[Colonne1]])),Tab_Calculs[[#This Row],[index_date_livraison]]+1,6)*(Tab_Calculs[[#This Row],[fin mois]]-MIN(Tab_Calculs[[#This Row],[fin mois]],Tab_Calculs[[#This Row],[Date_livraison]]))</f>
        <v>#VALUE!</v>
      </c>
      <c r="N945" s="231" t="str">
        <f ca="1">IFERROR(Tab_Calculs[[#This Row],[Ratio_jour_après_livr]]+Tab_Calculs[[#This Row],[Ratio_jour_avant_livr]]+Tab_Calculs[[#This Row],[ratio_avant_debut]],"")</f>
        <v/>
      </c>
      <c r="O945" t="e">
        <f ca="1">INDEX(INDIRECT(CONCATENATE("Tab_",Tab_Calculs[[#This Row],[Colonne1]])),Tab_Calculs[[#This Row],[index_date_livraison]]-1,7)*(MAX(Tab_Calculs[[#This Row],[Début periode livraison]],Tab_Calculs[[#This Row],[Début mois]])-Tab_Calculs[[#This Row],[Début mois]])</f>
        <v>#VALUE!</v>
      </c>
      <c r="P945">
        <f ca="1">INDEX(INDIRECT(CONCATENATE("Tab_",Tab_Calculs[[#This Row],[Colonne1]])),Tab_Calculs[[#This Row],[index_date_livraison]],7)*(1+MIN(Tab_Calculs[[#This Row],[Date_livraison]],Tab_Calculs[[#This Row],[fin mois]])-MAX(Tab_Calculs[[#This Row],[Début mois]],Tab_Calculs[[#This Row],[Début periode livraison]]))</f>
        <v>0</v>
      </c>
      <c r="Q945" t="e">
        <f ca="1">INDEX(INDIRECT(CONCATENATE("Tab_",Tab_Calculs[[#This Row],[Colonne1]])),Tab_Calculs[[#This Row],[index_date_livraison]]+1,7)*(Tab_Calculs[[#This Row],[fin mois]]-MIN(Tab_Calculs[[#This Row],[fin mois]],Tab_Calculs[[#This Row],[Date_livraison]]))</f>
        <v>#VALUE!</v>
      </c>
      <c r="R945" t="e">
        <f ca="1">Tab_Calculs[[#This Row],[Ratio_Cout_après_livr]]+Tab_Calculs[[#This Row],[Ratio_Cout_avant_livr]]+Tab_Calculs[[#This Row],[Ratio_Cout_avant_debut]]</f>
        <v>#VALUE!</v>
      </c>
      <c r="S945" t="str">
        <f ca="1">IFERROR(N945*VLOOKUP(Tab_Calculs[[#This Row],[Colonne1]],Controle_des_données!$B$7:$G$14,6,FALSE),"")</f>
        <v/>
      </c>
      <c r="T945" t="str">
        <f ca="1">IF(Tab_Calculs[[#This Row],[Combustible ]]="Electricité (kWh)",Tab_Calculs[[#This Row],[Conso_mois_kWh]]*2.3,Tab_Calculs[[#This Row],[Conso_mois_kWh]])</f>
        <v/>
      </c>
      <c r="U945" t="str">
        <f ca="1">IFERROR(N945*VLOOKUP(Tab_Calculs[[#This Row],[Colonne1]],Controle_des_données!$B$7:$H$14,7,FALSE),"")</f>
        <v/>
      </c>
      <c r="V945">
        <f ca="1">IFERROR(Tab_Calculs[[#This Row],[Cout_mois]]/Tab_Calculs[[#This Row],[Conso_mois_kWh]],0)</f>
        <v>0</v>
      </c>
      <c r="W945" t="str">
        <f>T(VLOOKUP(Tab_Calculs[[#This Row],[Compteur]],Site!$B$33:$G$40,3,FALSE))</f>
        <v/>
      </c>
      <c r="X945" t="str">
        <f>T(VLOOKUP(Tab_Calculs[[#This Row],[Compteur]],Site!$B$33:$G$40,4,FALSE))</f>
        <v/>
      </c>
      <c r="Y945" t="str">
        <f>T(VLOOKUP(Tab_Calculs[[#This Row],[Compteur]],Site!$B$33:$G$40,5,FALSE))</f>
        <v/>
      </c>
      <c r="Z945" t="str">
        <f>T(VLOOKUP(Tab_Calculs[[#This Row],[Compteur]],Site!$B$33:$G$40,6,FALSE))</f>
        <v/>
      </c>
      <c r="AA945">
        <f>IFERROR(GETPIVOTDATA("DJU(chauffagiste)",BDD_DJU!$P$13,"annee",Tab_Calculs[[#This Row],[ANNEE]],"mois_numero",Tab_Calculs[[#This Row],[MOIS]]),0)</f>
        <v>0</v>
      </c>
    </row>
    <row r="946" spans="1:27" x14ac:dyDescent="0.25">
      <c r="A946" s="3">
        <f>DATE(Tab_Calculs[[#This Row],[ANNEE]],Tab_Calculs[[#This Row],[MOIS]],1)</f>
        <v>45323</v>
      </c>
      <c r="B946" s="3">
        <f>EDATE(Tab_Calculs[[#This Row],[Début mois]],1)-1</f>
        <v>45351</v>
      </c>
      <c r="C946">
        <f t="shared" si="31"/>
        <v>2</v>
      </c>
      <c r="D946">
        <f t="shared" si="33"/>
        <v>2024</v>
      </c>
      <c r="E946" t="s">
        <v>84</v>
      </c>
      <c r="F946" t="str">
        <f>SUBSTITUTE(Tab_Calculs[[#This Row],[Compteur]]," ","_")</f>
        <v>Compteur_5</v>
      </c>
      <c r="G946" t="str">
        <f>T(INDEX(Site!$B$33:$G$40, MATCH(Tab_Calculs[[#This Row],[Compteur]], Site!$B$33:$B$40,0),2))</f>
        <v/>
      </c>
      <c r="H946" s="3">
        <f t="array" aca="1" ref="H946" ca="1">MIN(IF(INDIRECT(CONCATENATE(Tab_Calculs[[#This Row],[Colonne1]],"!$B$2:$B$243"))&gt;=Calculs_Consos!$A946,INDIRECT(CONCATENATE(Tab_Calculs[[#This Row],[Colonne1]],"!$B$2:$B$243"))))</f>
        <v>0</v>
      </c>
      <c r="I946" s="3">
        <f ca="1">INDEX(INDIRECT(CONCATENATE("Tab_",Tab_Calculs[[#This Row],[Colonne1]])),Tab_Calculs[[#This Row],[index_date_livraison]],1)</f>
        <v>0</v>
      </c>
      <c r="J946">
        <f ca="1">MATCH(Tab_Calculs[[#This Row],[Date_livraison]],INDIRECT(CONCATENATE("Tab_",Tab_Calculs[[#This Row],[Colonne1]],"[Fin de période]")),0)</f>
        <v>1</v>
      </c>
      <c r="K946" t="e">
        <f ca="1">INDEX(INDIRECT(CONCATENATE("Tab_",Tab_Calculs[[#This Row],[Colonne1]])),Tab_Calculs[[#This Row],[index_date_livraison]]-1,6)*(MAX(Tab_Calculs[[#This Row],[Début periode livraison]],Tab_Calculs[[#This Row],[Début mois]])-Tab_Calculs[[#This Row],[Début mois]])</f>
        <v>#VALUE!</v>
      </c>
      <c r="L946" s="94">
        <f ca="1">INDEX(INDIRECT(CONCATENATE("Tab_",Tab_Calculs[[#This Row],[Colonne1]])),Tab_Calculs[[#This Row],[index_date_livraison]],6)*(1+MIN(Tab_Calculs[[#This Row],[Date_livraison]],Tab_Calculs[[#This Row],[fin mois]])-MAX(Tab_Calculs[[#This Row],[Début mois]],Tab_Calculs[[#This Row],[Début periode livraison]]))</f>
        <v>0</v>
      </c>
      <c r="M946" s="94" t="e">
        <f ca="1">INDEX(INDIRECT(CONCATENATE("Tab_",Tab_Calculs[[#This Row],[Colonne1]])),Tab_Calculs[[#This Row],[index_date_livraison]]+1,6)*(Tab_Calculs[[#This Row],[fin mois]]-MIN(Tab_Calculs[[#This Row],[fin mois]],Tab_Calculs[[#This Row],[Date_livraison]]))</f>
        <v>#VALUE!</v>
      </c>
      <c r="N946" s="231" t="str">
        <f ca="1">IFERROR(Tab_Calculs[[#This Row],[Ratio_jour_après_livr]]+Tab_Calculs[[#This Row],[Ratio_jour_avant_livr]]+Tab_Calculs[[#This Row],[ratio_avant_debut]],"")</f>
        <v/>
      </c>
      <c r="O946" t="e">
        <f ca="1">INDEX(INDIRECT(CONCATENATE("Tab_",Tab_Calculs[[#This Row],[Colonne1]])),Tab_Calculs[[#This Row],[index_date_livraison]]-1,7)*(MAX(Tab_Calculs[[#This Row],[Début periode livraison]],Tab_Calculs[[#This Row],[Début mois]])-Tab_Calculs[[#This Row],[Début mois]])</f>
        <v>#VALUE!</v>
      </c>
      <c r="P946">
        <f ca="1">INDEX(INDIRECT(CONCATENATE("Tab_",Tab_Calculs[[#This Row],[Colonne1]])),Tab_Calculs[[#This Row],[index_date_livraison]],7)*(1+MIN(Tab_Calculs[[#This Row],[Date_livraison]],Tab_Calculs[[#This Row],[fin mois]])-MAX(Tab_Calculs[[#This Row],[Début mois]],Tab_Calculs[[#This Row],[Début periode livraison]]))</f>
        <v>0</v>
      </c>
      <c r="Q946" t="e">
        <f ca="1">INDEX(INDIRECT(CONCATENATE("Tab_",Tab_Calculs[[#This Row],[Colonne1]])),Tab_Calculs[[#This Row],[index_date_livraison]]+1,7)*(Tab_Calculs[[#This Row],[fin mois]]-MIN(Tab_Calculs[[#This Row],[fin mois]],Tab_Calculs[[#This Row],[Date_livraison]]))</f>
        <v>#VALUE!</v>
      </c>
      <c r="R946" t="e">
        <f ca="1">Tab_Calculs[[#This Row],[Ratio_Cout_après_livr]]+Tab_Calculs[[#This Row],[Ratio_Cout_avant_livr]]+Tab_Calculs[[#This Row],[Ratio_Cout_avant_debut]]</f>
        <v>#VALUE!</v>
      </c>
      <c r="S946" t="str">
        <f ca="1">IFERROR(N946*VLOOKUP(Tab_Calculs[[#This Row],[Colonne1]],Controle_des_données!$B$7:$G$14,6,FALSE),"")</f>
        <v/>
      </c>
      <c r="T946" t="str">
        <f ca="1">IF(Tab_Calculs[[#This Row],[Combustible ]]="Electricité (kWh)",Tab_Calculs[[#This Row],[Conso_mois_kWh]]*2.3,Tab_Calculs[[#This Row],[Conso_mois_kWh]])</f>
        <v/>
      </c>
      <c r="U946" t="str">
        <f ca="1">IFERROR(N946*VLOOKUP(Tab_Calculs[[#This Row],[Colonne1]],Controle_des_données!$B$7:$H$14,7,FALSE),"")</f>
        <v/>
      </c>
      <c r="V946">
        <f ca="1">IFERROR(Tab_Calculs[[#This Row],[Cout_mois]]/Tab_Calculs[[#This Row],[Conso_mois_kWh]],0)</f>
        <v>0</v>
      </c>
      <c r="W946" t="str">
        <f>T(VLOOKUP(Tab_Calculs[[#This Row],[Compteur]],Site!$B$33:$G$40,3,FALSE))</f>
        <v/>
      </c>
      <c r="X946" t="str">
        <f>T(VLOOKUP(Tab_Calculs[[#This Row],[Compteur]],Site!$B$33:$G$40,4,FALSE))</f>
        <v/>
      </c>
      <c r="Y946" t="str">
        <f>T(VLOOKUP(Tab_Calculs[[#This Row],[Compteur]],Site!$B$33:$G$40,5,FALSE))</f>
        <v/>
      </c>
      <c r="Z946" t="str">
        <f>T(VLOOKUP(Tab_Calculs[[#This Row],[Compteur]],Site!$B$33:$G$40,6,FALSE))</f>
        <v/>
      </c>
      <c r="AA946">
        <f>IFERROR(GETPIVOTDATA("DJU(chauffagiste)",BDD_DJU!$P$13,"annee",Tab_Calculs[[#This Row],[ANNEE]],"mois_numero",Tab_Calculs[[#This Row],[MOIS]]),0)</f>
        <v>0</v>
      </c>
    </row>
    <row r="947" spans="1:27" x14ac:dyDescent="0.25">
      <c r="A947" s="3">
        <f>DATE(Tab_Calculs[[#This Row],[ANNEE]],Tab_Calculs[[#This Row],[MOIS]],1)</f>
        <v>45352</v>
      </c>
      <c r="B947" s="3">
        <f>EDATE(Tab_Calculs[[#This Row],[Début mois]],1)-1</f>
        <v>45382</v>
      </c>
      <c r="C947">
        <f t="shared" si="31"/>
        <v>3</v>
      </c>
      <c r="D947">
        <f t="shared" si="33"/>
        <v>2024</v>
      </c>
      <c r="E947" t="s">
        <v>84</v>
      </c>
      <c r="F947" t="str">
        <f>SUBSTITUTE(Tab_Calculs[[#This Row],[Compteur]]," ","_")</f>
        <v>Compteur_5</v>
      </c>
      <c r="G947" t="str">
        <f>T(INDEX(Site!$B$33:$G$40, MATCH(Tab_Calculs[[#This Row],[Compteur]], Site!$B$33:$B$40,0),2))</f>
        <v/>
      </c>
      <c r="H947" s="3">
        <f t="array" aca="1" ref="H947" ca="1">MIN(IF(INDIRECT(CONCATENATE(Tab_Calculs[[#This Row],[Colonne1]],"!$B$2:$B$243"))&gt;=Calculs_Consos!$A947,INDIRECT(CONCATENATE(Tab_Calculs[[#This Row],[Colonne1]],"!$B$2:$B$243"))))</f>
        <v>0</v>
      </c>
      <c r="I947" s="3">
        <f ca="1">INDEX(INDIRECT(CONCATENATE("Tab_",Tab_Calculs[[#This Row],[Colonne1]])),Tab_Calculs[[#This Row],[index_date_livraison]],1)</f>
        <v>0</v>
      </c>
      <c r="J947">
        <f ca="1">MATCH(Tab_Calculs[[#This Row],[Date_livraison]],INDIRECT(CONCATENATE("Tab_",Tab_Calculs[[#This Row],[Colonne1]],"[Fin de période]")),0)</f>
        <v>1</v>
      </c>
      <c r="K947" t="e">
        <f ca="1">INDEX(INDIRECT(CONCATENATE("Tab_",Tab_Calculs[[#This Row],[Colonne1]])),Tab_Calculs[[#This Row],[index_date_livraison]]-1,6)*(MAX(Tab_Calculs[[#This Row],[Début periode livraison]],Tab_Calculs[[#This Row],[Début mois]])-Tab_Calculs[[#This Row],[Début mois]])</f>
        <v>#VALUE!</v>
      </c>
      <c r="L947" s="94">
        <f ca="1">INDEX(INDIRECT(CONCATENATE("Tab_",Tab_Calculs[[#This Row],[Colonne1]])),Tab_Calculs[[#This Row],[index_date_livraison]],6)*(1+MIN(Tab_Calculs[[#This Row],[Date_livraison]],Tab_Calculs[[#This Row],[fin mois]])-MAX(Tab_Calculs[[#This Row],[Début mois]],Tab_Calculs[[#This Row],[Début periode livraison]]))</f>
        <v>0</v>
      </c>
      <c r="M947" s="94" t="e">
        <f ca="1">INDEX(INDIRECT(CONCATENATE("Tab_",Tab_Calculs[[#This Row],[Colonne1]])),Tab_Calculs[[#This Row],[index_date_livraison]]+1,6)*(Tab_Calculs[[#This Row],[fin mois]]-MIN(Tab_Calculs[[#This Row],[fin mois]],Tab_Calculs[[#This Row],[Date_livraison]]))</f>
        <v>#VALUE!</v>
      </c>
      <c r="N947" s="231" t="str">
        <f ca="1">IFERROR(Tab_Calculs[[#This Row],[Ratio_jour_après_livr]]+Tab_Calculs[[#This Row],[Ratio_jour_avant_livr]]+Tab_Calculs[[#This Row],[ratio_avant_debut]],"")</f>
        <v/>
      </c>
      <c r="O947" t="e">
        <f ca="1">INDEX(INDIRECT(CONCATENATE("Tab_",Tab_Calculs[[#This Row],[Colonne1]])),Tab_Calculs[[#This Row],[index_date_livraison]]-1,7)*(MAX(Tab_Calculs[[#This Row],[Début periode livraison]],Tab_Calculs[[#This Row],[Début mois]])-Tab_Calculs[[#This Row],[Début mois]])</f>
        <v>#VALUE!</v>
      </c>
      <c r="P947">
        <f ca="1">INDEX(INDIRECT(CONCATENATE("Tab_",Tab_Calculs[[#This Row],[Colonne1]])),Tab_Calculs[[#This Row],[index_date_livraison]],7)*(1+MIN(Tab_Calculs[[#This Row],[Date_livraison]],Tab_Calculs[[#This Row],[fin mois]])-MAX(Tab_Calculs[[#This Row],[Début mois]],Tab_Calculs[[#This Row],[Début periode livraison]]))</f>
        <v>0</v>
      </c>
      <c r="Q947" t="e">
        <f ca="1">INDEX(INDIRECT(CONCATENATE("Tab_",Tab_Calculs[[#This Row],[Colonne1]])),Tab_Calculs[[#This Row],[index_date_livraison]]+1,7)*(Tab_Calculs[[#This Row],[fin mois]]-MIN(Tab_Calculs[[#This Row],[fin mois]],Tab_Calculs[[#This Row],[Date_livraison]]))</f>
        <v>#VALUE!</v>
      </c>
      <c r="R947" t="e">
        <f ca="1">Tab_Calculs[[#This Row],[Ratio_Cout_après_livr]]+Tab_Calculs[[#This Row],[Ratio_Cout_avant_livr]]+Tab_Calculs[[#This Row],[Ratio_Cout_avant_debut]]</f>
        <v>#VALUE!</v>
      </c>
      <c r="S947" t="str">
        <f ca="1">IFERROR(N947*VLOOKUP(Tab_Calculs[[#This Row],[Colonne1]],Controle_des_données!$B$7:$G$14,6,FALSE),"")</f>
        <v/>
      </c>
      <c r="T947" t="str">
        <f ca="1">IF(Tab_Calculs[[#This Row],[Combustible ]]="Electricité (kWh)",Tab_Calculs[[#This Row],[Conso_mois_kWh]]*2.3,Tab_Calculs[[#This Row],[Conso_mois_kWh]])</f>
        <v/>
      </c>
      <c r="U947" t="str">
        <f ca="1">IFERROR(N947*VLOOKUP(Tab_Calculs[[#This Row],[Colonne1]],Controle_des_données!$B$7:$H$14,7,FALSE),"")</f>
        <v/>
      </c>
      <c r="V947">
        <f ca="1">IFERROR(Tab_Calculs[[#This Row],[Cout_mois]]/Tab_Calculs[[#This Row],[Conso_mois_kWh]],0)</f>
        <v>0</v>
      </c>
      <c r="W947" t="str">
        <f>T(VLOOKUP(Tab_Calculs[[#This Row],[Compteur]],Site!$B$33:$G$40,3,FALSE))</f>
        <v/>
      </c>
      <c r="X947" t="str">
        <f>T(VLOOKUP(Tab_Calculs[[#This Row],[Compteur]],Site!$B$33:$G$40,4,FALSE))</f>
        <v/>
      </c>
      <c r="Y947" t="str">
        <f>T(VLOOKUP(Tab_Calculs[[#This Row],[Compteur]],Site!$B$33:$G$40,5,FALSE))</f>
        <v/>
      </c>
      <c r="Z947" t="str">
        <f>T(VLOOKUP(Tab_Calculs[[#This Row],[Compteur]],Site!$B$33:$G$40,6,FALSE))</f>
        <v/>
      </c>
      <c r="AA947">
        <f>IFERROR(GETPIVOTDATA("DJU(chauffagiste)",BDD_DJU!$P$13,"annee",Tab_Calculs[[#This Row],[ANNEE]],"mois_numero",Tab_Calculs[[#This Row],[MOIS]]),0)</f>
        <v>0</v>
      </c>
    </row>
    <row r="948" spans="1:27" x14ac:dyDescent="0.25">
      <c r="A948" s="3">
        <f>DATE(Tab_Calculs[[#This Row],[ANNEE]],Tab_Calculs[[#This Row],[MOIS]],1)</f>
        <v>45383</v>
      </c>
      <c r="B948" s="3">
        <f>EDATE(Tab_Calculs[[#This Row],[Début mois]],1)-1</f>
        <v>45412</v>
      </c>
      <c r="C948">
        <f t="shared" si="31"/>
        <v>4</v>
      </c>
      <c r="D948">
        <f t="shared" si="33"/>
        <v>2024</v>
      </c>
      <c r="E948" t="s">
        <v>84</v>
      </c>
      <c r="F948" t="str">
        <f>SUBSTITUTE(Tab_Calculs[[#This Row],[Compteur]]," ","_")</f>
        <v>Compteur_5</v>
      </c>
      <c r="G948" t="str">
        <f>T(INDEX(Site!$B$33:$G$40, MATCH(Tab_Calculs[[#This Row],[Compteur]], Site!$B$33:$B$40,0),2))</f>
        <v/>
      </c>
      <c r="H948" s="3">
        <f t="array" aca="1" ref="H948" ca="1">MIN(IF(INDIRECT(CONCATENATE(Tab_Calculs[[#This Row],[Colonne1]],"!$B$2:$B$243"))&gt;=Calculs_Consos!$A948,INDIRECT(CONCATENATE(Tab_Calculs[[#This Row],[Colonne1]],"!$B$2:$B$243"))))</f>
        <v>0</v>
      </c>
      <c r="I948" s="3">
        <f ca="1">INDEX(INDIRECT(CONCATENATE("Tab_",Tab_Calculs[[#This Row],[Colonne1]])),Tab_Calculs[[#This Row],[index_date_livraison]],1)</f>
        <v>0</v>
      </c>
      <c r="J948">
        <f ca="1">MATCH(Tab_Calculs[[#This Row],[Date_livraison]],INDIRECT(CONCATENATE("Tab_",Tab_Calculs[[#This Row],[Colonne1]],"[Fin de période]")),0)</f>
        <v>1</v>
      </c>
      <c r="K948" t="e">
        <f ca="1">INDEX(INDIRECT(CONCATENATE("Tab_",Tab_Calculs[[#This Row],[Colonne1]])),Tab_Calculs[[#This Row],[index_date_livraison]]-1,6)*(MAX(Tab_Calculs[[#This Row],[Début periode livraison]],Tab_Calculs[[#This Row],[Début mois]])-Tab_Calculs[[#This Row],[Début mois]])</f>
        <v>#VALUE!</v>
      </c>
      <c r="L948" s="94">
        <f ca="1">INDEX(INDIRECT(CONCATENATE("Tab_",Tab_Calculs[[#This Row],[Colonne1]])),Tab_Calculs[[#This Row],[index_date_livraison]],6)*(1+MIN(Tab_Calculs[[#This Row],[Date_livraison]],Tab_Calculs[[#This Row],[fin mois]])-MAX(Tab_Calculs[[#This Row],[Début mois]],Tab_Calculs[[#This Row],[Début periode livraison]]))</f>
        <v>0</v>
      </c>
      <c r="M948" s="94" t="e">
        <f ca="1">INDEX(INDIRECT(CONCATENATE("Tab_",Tab_Calculs[[#This Row],[Colonne1]])),Tab_Calculs[[#This Row],[index_date_livraison]]+1,6)*(Tab_Calculs[[#This Row],[fin mois]]-MIN(Tab_Calculs[[#This Row],[fin mois]],Tab_Calculs[[#This Row],[Date_livraison]]))</f>
        <v>#VALUE!</v>
      </c>
      <c r="N948" s="231" t="str">
        <f ca="1">IFERROR(Tab_Calculs[[#This Row],[Ratio_jour_après_livr]]+Tab_Calculs[[#This Row],[Ratio_jour_avant_livr]]+Tab_Calculs[[#This Row],[ratio_avant_debut]],"")</f>
        <v/>
      </c>
      <c r="O948" t="e">
        <f ca="1">INDEX(INDIRECT(CONCATENATE("Tab_",Tab_Calculs[[#This Row],[Colonne1]])),Tab_Calculs[[#This Row],[index_date_livraison]]-1,7)*(MAX(Tab_Calculs[[#This Row],[Début periode livraison]],Tab_Calculs[[#This Row],[Début mois]])-Tab_Calculs[[#This Row],[Début mois]])</f>
        <v>#VALUE!</v>
      </c>
      <c r="P948">
        <f ca="1">INDEX(INDIRECT(CONCATENATE("Tab_",Tab_Calculs[[#This Row],[Colonne1]])),Tab_Calculs[[#This Row],[index_date_livraison]],7)*(1+MIN(Tab_Calculs[[#This Row],[Date_livraison]],Tab_Calculs[[#This Row],[fin mois]])-MAX(Tab_Calculs[[#This Row],[Début mois]],Tab_Calculs[[#This Row],[Début periode livraison]]))</f>
        <v>0</v>
      </c>
      <c r="Q948" t="e">
        <f ca="1">INDEX(INDIRECT(CONCATENATE("Tab_",Tab_Calculs[[#This Row],[Colonne1]])),Tab_Calculs[[#This Row],[index_date_livraison]]+1,7)*(Tab_Calculs[[#This Row],[fin mois]]-MIN(Tab_Calculs[[#This Row],[fin mois]],Tab_Calculs[[#This Row],[Date_livraison]]))</f>
        <v>#VALUE!</v>
      </c>
      <c r="R948" t="e">
        <f ca="1">Tab_Calculs[[#This Row],[Ratio_Cout_après_livr]]+Tab_Calculs[[#This Row],[Ratio_Cout_avant_livr]]+Tab_Calculs[[#This Row],[Ratio_Cout_avant_debut]]</f>
        <v>#VALUE!</v>
      </c>
      <c r="S948" t="str">
        <f ca="1">IFERROR(N948*VLOOKUP(Tab_Calculs[[#This Row],[Colonne1]],Controle_des_données!$B$7:$G$14,6,FALSE),"")</f>
        <v/>
      </c>
      <c r="T948" t="str">
        <f ca="1">IF(Tab_Calculs[[#This Row],[Combustible ]]="Electricité (kWh)",Tab_Calculs[[#This Row],[Conso_mois_kWh]]*2.3,Tab_Calculs[[#This Row],[Conso_mois_kWh]])</f>
        <v/>
      </c>
      <c r="U948" t="str">
        <f ca="1">IFERROR(N948*VLOOKUP(Tab_Calculs[[#This Row],[Colonne1]],Controle_des_données!$B$7:$H$14,7,FALSE),"")</f>
        <v/>
      </c>
      <c r="V948">
        <f ca="1">IFERROR(Tab_Calculs[[#This Row],[Cout_mois]]/Tab_Calculs[[#This Row],[Conso_mois_kWh]],0)</f>
        <v>0</v>
      </c>
      <c r="W948" t="str">
        <f>T(VLOOKUP(Tab_Calculs[[#This Row],[Compteur]],Site!$B$33:$G$40,3,FALSE))</f>
        <v/>
      </c>
      <c r="X948" t="str">
        <f>T(VLOOKUP(Tab_Calculs[[#This Row],[Compteur]],Site!$B$33:$G$40,4,FALSE))</f>
        <v/>
      </c>
      <c r="Y948" t="str">
        <f>T(VLOOKUP(Tab_Calculs[[#This Row],[Compteur]],Site!$B$33:$G$40,5,FALSE))</f>
        <v/>
      </c>
      <c r="Z948" t="str">
        <f>T(VLOOKUP(Tab_Calculs[[#This Row],[Compteur]],Site!$B$33:$G$40,6,FALSE))</f>
        <v/>
      </c>
      <c r="AA948">
        <f>IFERROR(GETPIVOTDATA("DJU(chauffagiste)",BDD_DJU!$P$13,"annee",Tab_Calculs[[#This Row],[ANNEE]],"mois_numero",Tab_Calculs[[#This Row],[MOIS]]),0)</f>
        <v>0</v>
      </c>
    </row>
    <row r="949" spans="1:27" x14ac:dyDescent="0.25">
      <c r="A949" s="3">
        <f>DATE(Tab_Calculs[[#This Row],[ANNEE]],Tab_Calculs[[#This Row],[MOIS]],1)</f>
        <v>45413</v>
      </c>
      <c r="B949" s="3">
        <f>EDATE(Tab_Calculs[[#This Row],[Début mois]],1)-1</f>
        <v>45443</v>
      </c>
      <c r="C949">
        <f t="shared" si="31"/>
        <v>5</v>
      </c>
      <c r="D949">
        <f t="shared" si="33"/>
        <v>2024</v>
      </c>
      <c r="E949" t="s">
        <v>84</v>
      </c>
      <c r="F949" t="str">
        <f>SUBSTITUTE(Tab_Calculs[[#This Row],[Compteur]]," ","_")</f>
        <v>Compteur_5</v>
      </c>
      <c r="G949" t="str">
        <f>T(INDEX(Site!$B$33:$G$40, MATCH(Tab_Calculs[[#This Row],[Compteur]], Site!$B$33:$B$40,0),2))</f>
        <v/>
      </c>
      <c r="H949" s="3">
        <f t="array" aca="1" ref="H949" ca="1">MIN(IF(INDIRECT(CONCATENATE(Tab_Calculs[[#This Row],[Colonne1]],"!$B$2:$B$243"))&gt;=Calculs_Consos!$A949,INDIRECT(CONCATENATE(Tab_Calculs[[#This Row],[Colonne1]],"!$B$2:$B$243"))))</f>
        <v>0</v>
      </c>
      <c r="I949" s="3">
        <f ca="1">INDEX(INDIRECT(CONCATENATE("Tab_",Tab_Calculs[[#This Row],[Colonne1]])),Tab_Calculs[[#This Row],[index_date_livraison]],1)</f>
        <v>0</v>
      </c>
      <c r="J949">
        <f ca="1">MATCH(Tab_Calculs[[#This Row],[Date_livraison]],INDIRECT(CONCATENATE("Tab_",Tab_Calculs[[#This Row],[Colonne1]],"[Fin de période]")),0)</f>
        <v>1</v>
      </c>
      <c r="K949" t="e">
        <f ca="1">INDEX(INDIRECT(CONCATENATE("Tab_",Tab_Calculs[[#This Row],[Colonne1]])),Tab_Calculs[[#This Row],[index_date_livraison]]-1,6)*(MAX(Tab_Calculs[[#This Row],[Début periode livraison]],Tab_Calculs[[#This Row],[Début mois]])-Tab_Calculs[[#This Row],[Début mois]])</f>
        <v>#VALUE!</v>
      </c>
      <c r="L949" s="94">
        <f ca="1">INDEX(INDIRECT(CONCATENATE("Tab_",Tab_Calculs[[#This Row],[Colonne1]])),Tab_Calculs[[#This Row],[index_date_livraison]],6)*(1+MIN(Tab_Calculs[[#This Row],[Date_livraison]],Tab_Calculs[[#This Row],[fin mois]])-MAX(Tab_Calculs[[#This Row],[Début mois]],Tab_Calculs[[#This Row],[Début periode livraison]]))</f>
        <v>0</v>
      </c>
      <c r="M949" s="94" t="e">
        <f ca="1">INDEX(INDIRECT(CONCATENATE("Tab_",Tab_Calculs[[#This Row],[Colonne1]])),Tab_Calculs[[#This Row],[index_date_livraison]]+1,6)*(Tab_Calculs[[#This Row],[fin mois]]-MIN(Tab_Calculs[[#This Row],[fin mois]],Tab_Calculs[[#This Row],[Date_livraison]]))</f>
        <v>#VALUE!</v>
      </c>
      <c r="N949" s="231" t="str">
        <f ca="1">IFERROR(Tab_Calculs[[#This Row],[Ratio_jour_après_livr]]+Tab_Calculs[[#This Row],[Ratio_jour_avant_livr]]+Tab_Calculs[[#This Row],[ratio_avant_debut]],"")</f>
        <v/>
      </c>
      <c r="O949" t="e">
        <f ca="1">INDEX(INDIRECT(CONCATENATE("Tab_",Tab_Calculs[[#This Row],[Colonne1]])),Tab_Calculs[[#This Row],[index_date_livraison]]-1,7)*(MAX(Tab_Calculs[[#This Row],[Début periode livraison]],Tab_Calculs[[#This Row],[Début mois]])-Tab_Calculs[[#This Row],[Début mois]])</f>
        <v>#VALUE!</v>
      </c>
      <c r="P949">
        <f ca="1">INDEX(INDIRECT(CONCATENATE("Tab_",Tab_Calculs[[#This Row],[Colonne1]])),Tab_Calculs[[#This Row],[index_date_livraison]],7)*(1+MIN(Tab_Calculs[[#This Row],[Date_livraison]],Tab_Calculs[[#This Row],[fin mois]])-MAX(Tab_Calculs[[#This Row],[Début mois]],Tab_Calculs[[#This Row],[Début periode livraison]]))</f>
        <v>0</v>
      </c>
      <c r="Q949" t="e">
        <f ca="1">INDEX(INDIRECT(CONCATENATE("Tab_",Tab_Calculs[[#This Row],[Colonne1]])),Tab_Calculs[[#This Row],[index_date_livraison]]+1,7)*(Tab_Calculs[[#This Row],[fin mois]]-MIN(Tab_Calculs[[#This Row],[fin mois]],Tab_Calculs[[#This Row],[Date_livraison]]))</f>
        <v>#VALUE!</v>
      </c>
      <c r="R949" t="e">
        <f ca="1">Tab_Calculs[[#This Row],[Ratio_Cout_après_livr]]+Tab_Calculs[[#This Row],[Ratio_Cout_avant_livr]]+Tab_Calculs[[#This Row],[Ratio_Cout_avant_debut]]</f>
        <v>#VALUE!</v>
      </c>
      <c r="S949" t="str">
        <f ca="1">IFERROR(N949*VLOOKUP(Tab_Calculs[[#This Row],[Colonne1]],Controle_des_données!$B$7:$G$14,6,FALSE),"")</f>
        <v/>
      </c>
      <c r="T949" t="str">
        <f ca="1">IF(Tab_Calculs[[#This Row],[Combustible ]]="Electricité (kWh)",Tab_Calculs[[#This Row],[Conso_mois_kWh]]*2.3,Tab_Calculs[[#This Row],[Conso_mois_kWh]])</f>
        <v/>
      </c>
      <c r="U949" t="str">
        <f ca="1">IFERROR(N949*VLOOKUP(Tab_Calculs[[#This Row],[Colonne1]],Controle_des_données!$B$7:$H$14,7,FALSE),"")</f>
        <v/>
      </c>
      <c r="V949">
        <f ca="1">IFERROR(Tab_Calculs[[#This Row],[Cout_mois]]/Tab_Calculs[[#This Row],[Conso_mois_kWh]],0)</f>
        <v>0</v>
      </c>
      <c r="W949" t="str">
        <f>T(VLOOKUP(Tab_Calculs[[#This Row],[Compteur]],Site!$B$33:$G$40,3,FALSE))</f>
        <v/>
      </c>
      <c r="X949" t="str">
        <f>T(VLOOKUP(Tab_Calculs[[#This Row],[Compteur]],Site!$B$33:$G$40,4,FALSE))</f>
        <v/>
      </c>
      <c r="Y949" t="str">
        <f>T(VLOOKUP(Tab_Calculs[[#This Row],[Compteur]],Site!$B$33:$G$40,5,FALSE))</f>
        <v/>
      </c>
      <c r="Z949" t="str">
        <f>T(VLOOKUP(Tab_Calculs[[#This Row],[Compteur]],Site!$B$33:$G$40,6,FALSE))</f>
        <v/>
      </c>
      <c r="AA949">
        <f>IFERROR(GETPIVOTDATA("DJU(chauffagiste)",BDD_DJU!$P$13,"annee",Tab_Calculs[[#This Row],[ANNEE]],"mois_numero",Tab_Calculs[[#This Row],[MOIS]]),0)</f>
        <v>0</v>
      </c>
    </row>
    <row r="950" spans="1:27" x14ac:dyDescent="0.25">
      <c r="A950" s="3">
        <f>DATE(Tab_Calculs[[#This Row],[ANNEE]],Tab_Calculs[[#This Row],[MOIS]],1)</f>
        <v>45444</v>
      </c>
      <c r="B950" s="3">
        <f>EDATE(Tab_Calculs[[#This Row],[Début mois]],1)-1</f>
        <v>45473</v>
      </c>
      <c r="C950">
        <f t="shared" si="31"/>
        <v>6</v>
      </c>
      <c r="D950">
        <f t="shared" si="33"/>
        <v>2024</v>
      </c>
      <c r="E950" t="s">
        <v>84</v>
      </c>
      <c r="F950" t="str">
        <f>SUBSTITUTE(Tab_Calculs[[#This Row],[Compteur]]," ","_")</f>
        <v>Compteur_5</v>
      </c>
      <c r="G950" t="str">
        <f>T(INDEX(Site!$B$33:$G$40, MATCH(Tab_Calculs[[#This Row],[Compteur]], Site!$B$33:$B$40,0),2))</f>
        <v/>
      </c>
      <c r="H950" s="3">
        <f t="array" aca="1" ref="H950" ca="1">MIN(IF(INDIRECT(CONCATENATE(Tab_Calculs[[#This Row],[Colonne1]],"!$B$2:$B$243"))&gt;=Calculs_Consos!$A950,INDIRECT(CONCATENATE(Tab_Calculs[[#This Row],[Colonne1]],"!$B$2:$B$243"))))</f>
        <v>0</v>
      </c>
      <c r="I950" s="3">
        <f ca="1">INDEX(INDIRECT(CONCATENATE("Tab_",Tab_Calculs[[#This Row],[Colonne1]])),Tab_Calculs[[#This Row],[index_date_livraison]],1)</f>
        <v>0</v>
      </c>
      <c r="J950">
        <f ca="1">MATCH(Tab_Calculs[[#This Row],[Date_livraison]],INDIRECT(CONCATENATE("Tab_",Tab_Calculs[[#This Row],[Colonne1]],"[Fin de période]")),0)</f>
        <v>1</v>
      </c>
      <c r="K950" t="e">
        <f ca="1">INDEX(INDIRECT(CONCATENATE("Tab_",Tab_Calculs[[#This Row],[Colonne1]])),Tab_Calculs[[#This Row],[index_date_livraison]]-1,6)*(MAX(Tab_Calculs[[#This Row],[Début periode livraison]],Tab_Calculs[[#This Row],[Début mois]])-Tab_Calculs[[#This Row],[Début mois]])</f>
        <v>#VALUE!</v>
      </c>
      <c r="L950" s="94">
        <f ca="1">INDEX(INDIRECT(CONCATENATE("Tab_",Tab_Calculs[[#This Row],[Colonne1]])),Tab_Calculs[[#This Row],[index_date_livraison]],6)*(1+MIN(Tab_Calculs[[#This Row],[Date_livraison]],Tab_Calculs[[#This Row],[fin mois]])-MAX(Tab_Calculs[[#This Row],[Début mois]],Tab_Calculs[[#This Row],[Début periode livraison]]))</f>
        <v>0</v>
      </c>
      <c r="M950" s="94" t="e">
        <f ca="1">INDEX(INDIRECT(CONCATENATE("Tab_",Tab_Calculs[[#This Row],[Colonne1]])),Tab_Calculs[[#This Row],[index_date_livraison]]+1,6)*(Tab_Calculs[[#This Row],[fin mois]]-MIN(Tab_Calculs[[#This Row],[fin mois]],Tab_Calculs[[#This Row],[Date_livraison]]))</f>
        <v>#VALUE!</v>
      </c>
      <c r="N950" s="231" t="str">
        <f ca="1">IFERROR(Tab_Calculs[[#This Row],[Ratio_jour_après_livr]]+Tab_Calculs[[#This Row],[Ratio_jour_avant_livr]]+Tab_Calculs[[#This Row],[ratio_avant_debut]],"")</f>
        <v/>
      </c>
      <c r="O950" t="e">
        <f ca="1">INDEX(INDIRECT(CONCATENATE("Tab_",Tab_Calculs[[#This Row],[Colonne1]])),Tab_Calculs[[#This Row],[index_date_livraison]]-1,7)*(MAX(Tab_Calculs[[#This Row],[Début periode livraison]],Tab_Calculs[[#This Row],[Début mois]])-Tab_Calculs[[#This Row],[Début mois]])</f>
        <v>#VALUE!</v>
      </c>
      <c r="P950">
        <f ca="1">INDEX(INDIRECT(CONCATENATE("Tab_",Tab_Calculs[[#This Row],[Colonne1]])),Tab_Calculs[[#This Row],[index_date_livraison]],7)*(1+MIN(Tab_Calculs[[#This Row],[Date_livraison]],Tab_Calculs[[#This Row],[fin mois]])-MAX(Tab_Calculs[[#This Row],[Début mois]],Tab_Calculs[[#This Row],[Début periode livraison]]))</f>
        <v>0</v>
      </c>
      <c r="Q950" t="e">
        <f ca="1">INDEX(INDIRECT(CONCATENATE("Tab_",Tab_Calculs[[#This Row],[Colonne1]])),Tab_Calculs[[#This Row],[index_date_livraison]]+1,7)*(Tab_Calculs[[#This Row],[fin mois]]-MIN(Tab_Calculs[[#This Row],[fin mois]],Tab_Calculs[[#This Row],[Date_livraison]]))</f>
        <v>#VALUE!</v>
      </c>
      <c r="R950" t="e">
        <f ca="1">Tab_Calculs[[#This Row],[Ratio_Cout_après_livr]]+Tab_Calculs[[#This Row],[Ratio_Cout_avant_livr]]+Tab_Calculs[[#This Row],[Ratio_Cout_avant_debut]]</f>
        <v>#VALUE!</v>
      </c>
      <c r="S950" t="str">
        <f ca="1">IFERROR(N950*VLOOKUP(Tab_Calculs[[#This Row],[Colonne1]],Controle_des_données!$B$7:$G$14,6,FALSE),"")</f>
        <v/>
      </c>
      <c r="T950" t="str">
        <f ca="1">IF(Tab_Calculs[[#This Row],[Combustible ]]="Electricité (kWh)",Tab_Calculs[[#This Row],[Conso_mois_kWh]]*2.3,Tab_Calculs[[#This Row],[Conso_mois_kWh]])</f>
        <v/>
      </c>
      <c r="U950" t="str">
        <f ca="1">IFERROR(N950*VLOOKUP(Tab_Calculs[[#This Row],[Colonne1]],Controle_des_données!$B$7:$H$14,7,FALSE),"")</f>
        <v/>
      </c>
      <c r="V950">
        <f ca="1">IFERROR(Tab_Calculs[[#This Row],[Cout_mois]]/Tab_Calculs[[#This Row],[Conso_mois_kWh]],0)</f>
        <v>0</v>
      </c>
      <c r="W950" t="str">
        <f>T(VLOOKUP(Tab_Calculs[[#This Row],[Compteur]],Site!$B$33:$G$40,3,FALSE))</f>
        <v/>
      </c>
      <c r="X950" t="str">
        <f>T(VLOOKUP(Tab_Calculs[[#This Row],[Compteur]],Site!$B$33:$G$40,4,FALSE))</f>
        <v/>
      </c>
      <c r="Y950" t="str">
        <f>T(VLOOKUP(Tab_Calculs[[#This Row],[Compteur]],Site!$B$33:$G$40,5,FALSE))</f>
        <v/>
      </c>
      <c r="Z950" t="str">
        <f>T(VLOOKUP(Tab_Calculs[[#This Row],[Compteur]],Site!$B$33:$G$40,6,FALSE))</f>
        <v/>
      </c>
      <c r="AA950">
        <f>IFERROR(GETPIVOTDATA("DJU(chauffagiste)",BDD_DJU!$P$13,"annee",Tab_Calculs[[#This Row],[ANNEE]],"mois_numero",Tab_Calculs[[#This Row],[MOIS]]),0)</f>
        <v>0</v>
      </c>
    </row>
    <row r="951" spans="1:27" x14ac:dyDescent="0.25">
      <c r="A951" s="3">
        <f>DATE(Tab_Calculs[[#This Row],[ANNEE]],Tab_Calculs[[#This Row],[MOIS]],1)</f>
        <v>45474</v>
      </c>
      <c r="B951" s="3">
        <f>EDATE(Tab_Calculs[[#This Row],[Début mois]],1)-1</f>
        <v>45504</v>
      </c>
      <c r="C951">
        <f t="shared" si="31"/>
        <v>7</v>
      </c>
      <c r="D951">
        <f t="shared" si="33"/>
        <v>2024</v>
      </c>
      <c r="E951" t="s">
        <v>84</v>
      </c>
      <c r="F951" t="str">
        <f>SUBSTITUTE(Tab_Calculs[[#This Row],[Compteur]]," ","_")</f>
        <v>Compteur_5</v>
      </c>
      <c r="G951" t="str">
        <f>T(INDEX(Site!$B$33:$G$40, MATCH(Tab_Calculs[[#This Row],[Compteur]], Site!$B$33:$B$40,0),2))</f>
        <v/>
      </c>
      <c r="H951" s="3">
        <f t="array" aca="1" ref="H951" ca="1">MIN(IF(INDIRECT(CONCATENATE(Tab_Calculs[[#This Row],[Colonne1]],"!$B$2:$B$243"))&gt;=Calculs_Consos!$A951,INDIRECT(CONCATENATE(Tab_Calculs[[#This Row],[Colonne1]],"!$B$2:$B$243"))))</f>
        <v>0</v>
      </c>
      <c r="I951" s="3">
        <f ca="1">INDEX(INDIRECT(CONCATENATE("Tab_",Tab_Calculs[[#This Row],[Colonne1]])),Tab_Calculs[[#This Row],[index_date_livraison]],1)</f>
        <v>0</v>
      </c>
      <c r="J951">
        <f ca="1">MATCH(Tab_Calculs[[#This Row],[Date_livraison]],INDIRECT(CONCATENATE("Tab_",Tab_Calculs[[#This Row],[Colonne1]],"[Fin de période]")),0)</f>
        <v>1</v>
      </c>
      <c r="K951" t="e">
        <f ca="1">INDEX(INDIRECT(CONCATENATE("Tab_",Tab_Calculs[[#This Row],[Colonne1]])),Tab_Calculs[[#This Row],[index_date_livraison]]-1,6)*(MAX(Tab_Calculs[[#This Row],[Début periode livraison]],Tab_Calculs[[#This Row],[Début mois]])-Tab_Calculs[[#This Row],[Début mois]])</f>
        <v>#VALUE!</v>
      </c>
      <c r="L951" s="94">
        <f ca="1">INDEX(INDIRECT(CONCATENATE("Tab_",Tab_Calculs[[#This Row],[Colonne1]])),Tab_Calculs[[#This Row],[index_date_livraison]],6)*(1+MIN(Tab_Calculs[[#This Row],[Date_livraison]],Tab_Calculs[[#This Row],[fin mois]])-MAX(Tab_Calculs[[#This Row],[Début mois]],Tab_Calculs[[#This Row],[Début periode livraison]]))</f>
        <v>0</v>
      </c>
      <c r="M951" s="94" t="e">
        <f ca="1">INDEX(INDIRECT(CONCATENATE("Tab_",Tab_Calculs[[#This Row],[Colonne1]])),Tab_Calculs[[#This Row],[index_date_livraison]]+1,6)*(Tab_Calculs[[#This Row],[fin mois]]-MIN(Tab_Calculs[[#This Row],[fin mois]],Tab_Calculs[[#This Row],[Date_livraison]]))</f>
        <v>#VALUE!</v>
      </c>
      <c r="N951" s="231" t="str">
        <f ca="1">IFERROR(Tab_Calculs[[#This Row],[Ratio_jour_après_livr]]+Tab_Calculs[[#This Row],[Ratio_jour_avant_livr]]+Tab_Calculs[[#This Row],[ratio_avant_debut]],"")</f>
        <v/>
      </c>
      <c r="O951" t="e">
        <f ca="1">INDEX(INDIRECT(CONCATENATE("Tab_",Tab_Calculs[[#This Row],[Colonne1]])),Tab_Calculs[[#This Row],[index_date_livraison]]-1,7)*(MAX(Tab_Calculs[[#This Row],[Début periode livraison]],Tab_Calculs[[#This Row],[Début mois]])-Tab_Calculs[[#This Row],[Début mois]])</f>
        <v>#VALUE!</v>
      </c>
      <c r="P951">
        <f ca="1">INDEX(INDIRECT(CONCATENATE("Tab_",Tab_Calculs[[#This Row],[Colonne1]])),Tab_Calculs[[#This Row],[index_date_livraison]],7)*(1+MIN(Tab_Calculs[[#This Row],[Date_livraison]],Tab_Calculs[[#This Row],[fin mois]])-MAX(Tab_Calculs[[#This Row],[Début mois]],Tab_Calculs[[#This Row],[Début periode livraison]]))</f>
        <v>0</v>
      </c>
      <c r="Q951" t="e">
        <f ca="1">INDEX(INDIRECT(CONCATENATE("Tab_",Tab_Calculs[[#This Row],[Colonne1]])),Tab_Calculs[[#This Row],[index_date_livraison]]+1,7)*(Tab_Calculs[[#This Row],[fin mois]]-MIN(Tab_Calculs[[#This Row],[fin mois]],Tab_Calculs[[#This Row],[Date_livraison]]))</f>
        <v>#VALUE!</v>
      </c>
      <c r="R951" t="e">
        <f ca="1">Tab_Calculs[[#This Row],[Ratio_Cout_après_livr]]+Tab_Calculs[[#This Row],[Ratio_Cout_avant_livr]]+Tab_Calculs[[#This Row],[Ratio_Cout_avant_debut]]</f>
        <v>#VALUE!</v>
      </c>
      <c r="S951" t="str">
        <f ca="1">IFERROR(N951*VLOOKUP(Tab_Calculs[[#This Row],[Colonne1]],Controle_des_données!$B$7:$G$14,6,FALSE),"")</f>
        <v/>
      </c>
      <c r="T951" t="str">
        <f ca="1">IF(Tab_Calculs[[#This Row],[Combustible ]]="Electricité (kWh)",Tab_Calculs[[#This Row],[Conso_mois_kWh]]*2.3,Tab_Calculs[[#This Row],[Conso_mois_kWh]])</f>
        <v/>
      </c>
      <c r="U951" t="str">
        <f ca="1">IFERROR(N951*VLOOKUP(Tab_Calculs[[#This Row],[Colonne1]],Controle_des_données!$B$7:$H$14,7,FALSE),"")</f>
        <v/>
      </c>
      <c r="V951">
        <f ca="1">IFERROR(Tab_Calculs[[#This Row],[Cout_mois]]/Tab_Calculs[[#This Row],[Conso_mois_kWh]],0)</f>
        <v>0</v>
      </c>
      <c r="W951" t="str">
        <f>T(VLOOKUP(Tab_Calculs[[#This Row],[Compteur]],Site!$B$33:$G$40,3,FALSE))</f>
        <v/>
      </c>
      <c r="X951" t="str">
        <f>T(VLOOKUP(Tab_Calculs[[#This Row],[Compteur]],Site!$B$33:$G$40,4,FALSE))</f>
        <v/>
      </c>
      <c r="Y951" t="str">
        <f>T(VLOOKUP(Tab_Calculs[[#This Row],[Compteur]],Site!$B$33:$G$40,5,FALSE))</f>
        <v/>
      </c>
      <c r="Z951" t="str">
        <f>T(VLOOKUP(Tab_Calculs[[#This Row],[Compteur]],Site!$B$33:$G$40,6,FALSE))</f>
        <v/>
      </c>
      <c r="AA951">
        <f>IFERROR(GETPIVOTDATA("DJU(chauffagiste)",BDD_DJU!$P$13,"annee",Tab_Calculs[[#This Row],[ANNEE]],"mois_numero",Tab_Calculs[[#This Row],[MOIS]]),0)</f>
        <v>0</v>
      </c>
    </row>
    <row r="952" spans="1:27" x14ac:dyDescent="0.25">
      <c r="A952" s="3">
        <f>DATE(Tab_Calculs[[#This Row],[ANNEE]],Tab_Calculs[[#This Row],[MOIS]],1)</f>
        <v>45505</v>
      </c>
      <c r="B952" s="3">
        <f>EDATE(Tab_Calculs[[#This Row],[Début mois]],1)-1</f>
        <v>45535</v>
      </c>
      <c r="C952">
        <f t="shared" si="31"/>
        <v>8</v>
      </c>
      <c r="D952">
        <f t="shared" si="33"/>
        <v>2024</v>
      </c>
      <c r="E952" t="s">
        <v>84</v>
      </c>
      <c r="F952" t="str">
        <f>SUBSTITUTE(Tab_Calculs[[#This Row],[Compteur]]," ","_")</f>
        <v>Compteur_5</v>
      </c>
      <c r="G952" t="str">
        <f>T(INDEX(Site!$B$33:$G$40, MATCH(Tab_Calculs[[#This Row],[Compteur]], Site!$B$33:$B$40,0),2))</f>
        <v/>
      </c>
      <c r="H952" s="3">
        <f t="array" aca="1" ref="H952" ca="1">MIN(IF(INDIRECT(CONCATENATE(Tab_Calculs[[#This Row],[Colonne1]],"!$B$2:$B$243"))&gt;=Calculs_Consos!$A952,INDIRECT(CONCATENATE(Tab_Calculs[[#This Row],[Colonne1]],"!$B$2:$B$243"))))</f>
        <v>0</v>
      </c>
      <c r="I952" s="3">
        <f ca="1">INDEX(INDIRECT(CONCATENATE("Tab_",Tab_Calculs[[#This Row],[Colonne1]])),Tab_Calculs[[#This Row],[index_date_livraison]],1)</f>
        <v>0</v>
      </c>
      <c r="J952">
        <f ca="1">MATCH(Tab_Calculs[[#This Row],[Date_livraison]],INDIRECT(CONCATENATE("Tab_",Tab_Calculs[[#This Row],[Colonne1]],"[Fin de période]")),0)</f>
        <v>1</v>
      </c>
      <c r="K952" t="e">
        <f ca="1">INDEX(INDIRECT(CONCATENATE("Tab_",Tab_Calculs[[#This Row],[Colonne1]])),Tab_Calculs[[#This Row],[index_date_livraison]]-1,6)*(MAX(Tab_Calculs[[#This Row],[Début periode livraison]],Tab_Calculs[[#This Row],[Début mois]])-Tab_Calculs[[#This Row],[Début mois]])</f>
        <v>#VALUE!</v>
      </c>
      <c r="L952" s="94">
        <f ca="1">INDEX(INDIRECT(CONCATENATE("Tab_",Tab_Calculs[[#This Row],[Colonne1]])),Tab_Calculs[[#This Row],[index_date_livraison]],6)*(1+MIN(Tab_Calculs[[#This Row],[Date_livraison]],Tab_Calculs[[#This Row],[fin mois]])-MAX(Tab_Calculs[[#This Row],[Début mois]],Tab_Calculs[[#This Row],[Début periode livraison]]))</f>
        <v>0</v>
      </c>
      <c r="M952" s="94" t="e">
        <f ca="1">INDEX(INDIRECT(CONCATENATE("Tab_",Tab_Calculs[[#This Row],[Colonne1]])),Tab_Calculs[[#This Row],[index_date_livraison]]+1,6)*(Tab_Calculs[[#This Row],[fin mois]]-MIN(Tab_Calculs[[#This Row],[fin mois]],Tab_Calculs[[#This Row],[Date_livraison]]))</f>
        <v>#VALUE!</v>
      </c>
      <c r="N952" s="231" t="str">
        <f ca="1">IFERROR(Tab_Calculs[[#This Row],[Ratio_jour_après_livr]]+Tab_Calculs[[#This Row],[Ratio_jour_avant_livr]]+Tab_Calculs[[#This Row],[ratio_avant_debut]],"")</f>
        <v/>
      </c>
      <c r="O952" t="e">
        <f ca="1">INDEX(INDIRECT(CONCATENATE("Tab_",Tab_Calculs[[#This Row],[Colonne1]])),Tab_Calculs[[#This Row],[index_date_livraison]]-1,7)*(MAX(Tab_Calculs[[#This Row],[Début periode livraison]],Tab_Calculs[[#This Row],[Début mois]])-Tab_Calculs[[#This Row],[Début mois]])</f>
        <v>#VALUE!</v>
      </c>
      <c r="P952">
        <f ca="1">INDEX(INDIRECT(CONCATENATE("Tab_",Tab_Calculs[[#This Row],[Colonne1]])),Tab_Calculs[[#This Row],[index_date_livraison]],7)*(1+MIN(Tab_Calculs[[#This Row],[Date_livraison]],Tab_Calculs[[#This Row],[fin mois]])-MAX(Tab_Calculs[[#This Row],[Début mois]],Tab_Calculs[[#This Row],[Début periode livraison]]))</f>
        <v>0</v>
      </c>
      <c r="Q952" t="e">
        <f ca="1">INDEX(INDIRECT(CONCATENATE("Tab_",Tab_Calculs[[#This Row],[Colonne1]])),Tab_Calculs[[#This Row],[index_date_livraison]]+1,7)*(Tab_Calculs[[#This Row],[fin mois]]-MIN(Tab_Calculs[[#This Row],[fin mois]],Tab_Calculs[[#This Row],[Date_livraison]]))</f>
        <v>#VALUE!</v>
      </c>
      <c r="R952" t="e">
        <f ca="1">Tab_Calculs[[#This Row],[Ratio_Cout_après_livr]]+Tab_Calculs[[#This Row],[Ratio_Cout_avant_livr]]+Tab_Calculs[[#This Row],[Ratio_Cout_avant_debut]]</f>
        <v>#VALUE!</v>
      </c>
      <c r="S952" t="str">
        <f ca="1">IFERROR(N952*VLOOKUP(Tab_Calculs[[#This Row],[Colonne1]],Controle_des_données!$B$7:$G$14,6,FALSE),"")</f>
        <v/>
      </c>
      <c r="T952" t="str">
        <f ca="1">IF(Tab_Calculs[[#This Row],[Combustible ]]="Electricité (kWh)",Tab_Calculs[[#This Row],[Conso_mois_kWh]]*2.3,Tab_Calculs[[#This Row],[Conso_mois_kWh]])</f>
        <v/>
      </c>
      <c r="U952" t="str">
        <f ca="1">IFERROR(N952*VLOOKUP(Tab_Calculs[[#This Row],[Colonne1]],Controle_des_données!$B$7:$H$14,7,FALSE),"")</f>
        <v/>
      </c>
      <c r="V952">
        <f ca="1">IFERROR(Tab_Calculs[[#This Row],[Cout_mois]]/Tab_Calculs[[#This Row],[Conso_mois_kWh]],0)</f>
        <v>0</v>
      </c>
      <c r="W952" t="str">
        <f>T(VLOOKUP(Tab_Calculs[[#This Row],[Compteur]],Site!$B$33:$G$40,3,FALSE))</f>
        <v/>
      </c>
      <c r="X952" t="str">
        <f>T(VLOOKUP(Tab_Calculs[[#This Row],[Compteur]],Site!$B$33:$G$40,4,FALSE))</f>
        <v/>
      </c>
      <c r="Y952" t="str">
        <f>T(VLOOKUP(Tab_Calculs[[#This Row],[Compteur]],Site!$B$33:$G$40,5,FALSE))</f>
        <v/>
      </c>
      <c r="Z952" t="str">
        <f>T(VLOOKUP(Tab_Calculs[[#This Row],[Compteur]],Site!$B$33:$G$40,6,FALSE))</f>
        <v/>
      </c>
      <c r="AA952">
        <f>IFERROR(GETPIVOTDATA("DJU(chauffagiste)",BDD_DJU!$P$13,"annee",Tab_Calculs[[#This Row],[ANNEE]],"mois_numero",Tab_Calculs[[#This Row],[MOIS]]),0)</f>
        <v>0</v>
      </c>
    </row>
    <row r="953" spans="1:27" x14ac:dyDescent="0.25">
      <c r="A953" s="3">
        <f>DATE(Tab_Calculs[[#This Row],[ANNEE]],Tab_Calculs[[#This Row],[MOIS]],1)</f>
        <v>45536</v>
      </c>
      <c r="B953" s="3">
        <f>EDATE(Tab_Calculs[[#This Row],[Début mois]],1)-1</f>
        <v>45565</v>
      </c>
      <c r="C953">
        <f t="shared" si="31"/>
        <v>9</v>
      </c>
      <c r="D953">
        <f t="shared" si="33"/>
        <v>2024</v>
      </c>
      <c r="E953" t="s">
        <v>84</v>
      </c>
      <c r="F953" t="str">
        <f>SUBSTITUTE(Tab_Calculs[[#This Row],[Compteur]]," ","_")</f>
        <v>Compteur_5</v>
      </c>
      <c r="G953" t="str">
        <f>T(INDEX(Site!$B$33:$G$40, MATCH(Tab_Calculs[[#This Row],[Compteur]], Site!$B$33:$B$40,0),2))</f>
        <v/>
      </c>
      <c r="H953" s="3">
        <f t="array" aca="1" ref="H953" ca="1">MIN(IF(INDIRECT(CONCATENATE(Tab_Calculs[[#This Row],[Colonne1]],"!$B$2:$B$243"))&gt;=Calculs_Consos!$A953,INDIRECT(CONCATENATE(Tab_Calculs[[#This Row],[Colonne1]],"!$B$2:$B$243"))))</f>
        <v>0</v>
      </c>
      <c r="I953" s="3">
        <f ca="1">INDEX(INDIRECT(CONCATENATE("Tab_",Tab_Calculs[[#This Row],[Colonne1]])),Tab_Calculs[[#This Row],[index_date_livraison]],1)</f>
        <v>0</v>
      </c>
      <c r="J953">
        <f ca="1">MATCH(Tab_Calculs[[#This Row],[Date_livraison]],INDIRECT(CONCATENATE("Tab_",Tab_Calculs[[#This Row],[Colonne1]],"[Fin de période]")),0)</f>
        <v>1</v>
      </c>
      <c r="K953" t="e">
        <f ca="1">INDEX(INDIRECT(CONCATENATE("Tab_",Tab_Calculs[[#This Row],[Colonne1]])),Tab_Calculs[[#This Row],[index_date_livraison]]-1,6)*(MAX(Tab_Calculs[[#This Row],[Début periode livraison]],Tab_Calculs[[#This Row],[Début mois]])-Tab_Calculs[[#This Row],[Début mois]])</f>
        <v>#VALUE!</v>
      </c>
      <c r="L953" s="94">
        <f ca="1">INDEX(INDIRECT(CONCATENATE("Tab_",Tab_Calculs[[#This Row],[Colonne1]])),Tab_Calculs[[#This Row],[index_date_livraison]],6)*(1+MIN(Tab_Calculs[[#This Row],[Date_livraison]],Tab_Calculs[[#This Row],[fin mois]])-MAX(Tab_Calculs[[#This Row],[Début mois]],Tab_Calculs[[#This Row],[Début periode livraison]]))</f>
        <v>0</v>
      </c>
      <c r="M953" s="94" t="e">
        <f ca="1">INDEX(INDIRECT(CONCATENATE("Tab_",Tab_Calculs[[#This Row],[Colonne1]])),Tab_Calculs[[#This Row],[index_date_livraison]]+1,6)*(Tab_Calculs[[#This Row],[fin mois]]-MIN(Tab_Calculs[[#This Row],[fin mois]],Tab_Calculs[[#This Row],[Date_livraison]]))</f>
        <v>#VALUE!</v>
      </c>
      <c r="N953" s="231" t="str">
        <f ca="1">IFERROR(Tab_Calculs[[#This Row],[Ratio_jour_après_livr]]+Tab_Calculs[[#This Row],[Ratio_jour_avant_livr]]+Tab_Calculs[[#This Row],[ratio_avant_debut]],"")</f>
        <v/>
      </c>
      <c r="O953" t="e">
        <f ca="1">INDEX(INDIRECT(CONCATENATE("Tab_",Tab_Calculs[[#This Row],[Colonne1]])),Tab_Calculs[[#This Row],[index_date_livraison]]-1,7)*(MAX(Tab_Calculs[[#This Row],[Début periode livraison]],Tab_Calculs[[#This Row],[Début mois]])-Tab_Calculs[[#This Row],[Début mois]])</f>
        <v>#VALUE!</v>
      </c>
      <c r="P953">
        <f ca="1">INDEX(INDIRECT(CONCATENATE("Tab_",Tab_Calculs[[#This Row],[Colonne1]])),Tab_Calculs[[#This Row],[index_date_livraison]],7)*(1+MIN(Tab_Calculs[[#This Row],[Date_livraison]],Tab_Calculs[[#This Row],[fin mois]])-MAX(Tab_Calculs[[#This Row],[Début mois]],Tab_Calculs[[#This Row],[Début periode livraison]]))</f>
        <v>0</v>
      </c>
      <c r="Q953" t="e">
        <f ca="1">INDEX(INDIRECT(CONCATENATE("Tab_",Tab_Calculs[[#This Row],[Colonne1]])),Tab_Calculs[[#This Row],[index_date_livraison]]+1,7)*(Tab_Calculs[[#This Row],[fin mois]]-MIN(Tab_Calculs[[#This Row],[fin mois]],Tab_Calculs[[#This Row],[Date_livraison]]))</f>
        <v>#VALUE!</v>
      </c>
      <c r="R953" t="e">
        <f ca="1">Tab_Calculs[[#This Row],[Ratio_Cout_après_livr]]+Tab_Calculs[[#This Row],[Ratio_Cout_avant_livr]]+Tab_Calculs[[#This Row],[Ratio_Cout_avant_debut]]</f>
        <v>#VALUE!</v>
      </c>
      <c r="S953" t="str">
        <f ca="1">IFERROR(N953*VLOOKUP(Tab_Calculs[[#This Row],[Colonne1]],Controle_des_données!$B$7:$G$14,6,FALSE),"")</f>
        <v/>
      </c>
      <c r="T953" t="str">
        <f ca="1">IF(Tab_Calculs[[#This Row],[Combustible ]]="Electricité (kWh)",Tab_Calculs[[#This Row],[Conso_mois_kWh]]*2.3,Tab_Calculs[[#This Row],[Conso_mois_kWh]])</f>
        <v/>
      </c>
      <c r="U953" t="str">
        <f ca="1">IFERROR(N953*VLOOKUP(Tab_Calculs[[#This Row],[Colonne1]],Controle_des_données!$B$7:$H$14,7,FALSE),"")</f>
        <v/>
      </c>
      <c r="V953">
        <f ca="1">IFERROR(Tab_Calculs[[#This Row],[Cout_mois]]/Tab_Calculs[[#This Row],[Conso_mois_kWh]],0)</f>
        <v>0</v>
      </c>
      <c r="W953" t="str">
        <f>T(VLOOKUP(Tab_Calculs[[#This Row],[Compteur]],Site!$B$33:$G$40,3,FALSE))</f>
        <v/>
      </c>
      <c r="X953" t="str">
        <f>T(VLOOKUP(Tab_Calculs[[#This Row],[Compteur]],Site!$B$33:$G$40,4,FALSE))</f>
        <v/>
      </c>
      <c r="Y953" t="str">
        <f>T(VLOOKUP(Tab_Calculs[[#This Row],[Compteur]],Site!$B$33:$G$40,5,FALSE))</f>
        <v/>
      </c>
      <c r="Z953" t="str">
        <f>T(VLOOKUP(Tab_Calculs[[#This Row],[Compteur]],Site!$B$33:$G$40,6,FALSE))</f>
        <v/>
      </c>
      <c r="AA953">
        <f>IFERROR(GETPIVOTDATA("DJU(chauffagiste)",BDD_DJU!$P$13,"annee",Tab_Calculs[[#This Row],[ANNEE]],"mois_numero",Tab_Calculs[[#This Row],[MOIS]]),0)</f>
        <v>0</v>
      </c>
    </row>
    <row r="954" spans="1:27" x14ac:dyDescent="0.25">
      <c r="A954" s="3">
        <f>DATE(Tab_Calculs[[#This Row],[ANNEE]],Tab_Calculs[[#This Row],[MOIS]],1)</f>
        <v>45566</v>
      </c>
      <c r="B954" s="3">
        <f>EDATE(Tab_Calculs[[#This Row],[Début mois]],1)-1</f>
        <v>45596</v>
      </c>
      <c r="C954">
        <f t="shared" si="31"/>
        <v>10</v>
      </c>
      <c r="D954">
        <f t="shared" si="33"/>
        <v>2024</v>
      </c>
      <c r="E954" t="s">
        <v>84</v>
      </c>
      <c r="F954" t="str">
        <f>SUBSTITUTE(Tab_Calculs[[#This Row],[Compteur]]," ","_")</f>
        <v>Compteur_5</v>
      </c>
      <c r="G954" t="str">
        <f>T(INDEX(Site!$B$33:$G$40, MATCH(Tab_Calculs[[#This Row],[Compteur]], Site!$B$33:$B$40,0),2))</f>
        <v/>
      </c>
      <c r="H954" s="3">
        <f t="array" aca="1" ref="H954" ca="1">MIN(IF(INDIRECT(CONCATENATE(Tab_Calculs[[#This Row],[Colonne1]],"!$B$2:$B$243"))&gt;=Calculs_Consos!$A954,INDIRECT(CONCATENATE(Tab_Calculs[[#This Row],[Colonne1]],"!$B$2:$B$243"))))</f>
        <v>0</v>
      </c>
      <c r="I954" s="3">
        <f ca="1">INDEX(INDIRECT(CONCATENATE("Tab_",Tab_Calculs[[#This Row],[Colonne1]])),Tab_Calculs[[#This Row],[index_date_livraison]],1)</f>
        <v>0</v>
      </c>
      <c r="J954">
        <f ca="1">MATCH(Tab_Calculs[[#This Row],[Date_livraison]],INDIRECT(CONCATENATE("Tab_",Tab_Calculs[[#This Row],[Colonne1]],"[Fin de période]")),0)</f>
        <v>1</v>
      </c>
      <c r="K954" t="e">
        <f ca="1">INDEX(INDIRECT(CONCATENATE("Tab_",Tab_Calculs[[#This Row],[Colonne1]])),Tab_Calculs[[#This Row],[index_date_livraison]]-1,6)*(MAX(Tab_Calculs[[#This Row],[Début periode livraison]],Tab_Calculs[[#This Row],[Début mois]])-Tab_Calculs[[#This Row],[Début mois]])</f>
        <v>#VALUE!</v>
      </c>
      <c r="L954" s="94">
        <f ca="1">INDEX(INDIRECT(CONCATENATE("Tab_",Tab_Calculs[[#This Row],[Colonne1]])),Tab_Calculs[[#This Row],[index_date_livraison]],6)*(1+MIN(Tab_Calculs[[#This Row],[Date_livraison]],Tab_Calculs[[#This Row],[fin mois]])-MAX(Tab_Calculs[[#This Row],[Début mois]],Tab_Calculs[[#This Row],[Début periode livraison]]))</f>
        <v>0</v>
      </c>
      <c r="M954" s="94" t="e">
        <f ca="1">INDEX(INDIRECT(CONCATENATE("Tab_",Tab_Calculs[[#This Row],[Colonne1]])),Tab_Calculs[[#This Row],[index_date_livraison]]+1,6)*(Tab_Calculs[[#This Row],[fin mois]]-MIN(Tab_Calculs[[#This Row],[fin mois]],Tab_Calculs[[#This Row],[Date_livraison]]))</f>
        <v>#VALUE!</v>
      </c>
      <c r="N954" s="231" t="str">
        <f ca="1">IFERROR(Tab_Calculs[[#This Row],[Ratio_jour_après_livr]]+Tab_Calculs[[#This Row],[Ratio_jour_avant_livr]]+Tab_Calculs[[#This Row],[ratio_avant_debut]],"")</f>
        <v/>
      </c>
      <c r="O954" t="e">
        <f ca="1">INDEX(INDIRECT(CONCATENATE("Tab_",Tab_Calculs[[#This Row],[Colonne1]])),Tab_Calculs[[#This Row],[index_date_livraison]]-1,7)*(MAX(Tab_Calculs[[#This Row],[Début periode livraison]],Tab_Calculs[[#This Row],[Début mois]])-Tab_Calculs[[#This Row],[Début mois]])</f>
        <v>#VALUE!</v>
      </c>
      <c r="P954">
        <f ca="1">INDEX(INDIRECT(CONCATENATE("Tab_",Tab_Calculs[[#This Row],[Colonne1]])),Tab_Calculs[[#This Row],[index_date_livraison]],7)*(1+MIN(Tab_Calculs[[#This Row],[Date_livraison]],Tab_Calculs[[#This Row],[fin mois]])-MAX(Tab_Calculs[[#This Row],[Début mois]],Tab_Calculs[[#This Row],[Début periode livraison]]))</f>
        <v>0</v>
      </c>
      <c r="Q954" t="e">
        <f ca="1">INDEX(INDIRECT(CONCATENATE("Tab_",Tab_Calculs[[#This Row],[Colonne1]])),Tab_Calculs[[#This Row],[index_date_livraison]]+1,7)*(Tab_Calculs[[#This Row],[fin mois]]-MIN(Tab_Calculs[[#This Row],[fin mois]],Tab_Calculs[[#This Row],[Date_livraison]]))</f>
        <v>#VALUE!</v>
      </c>
      <c r="R954" t="e">
        <f ca="1">Tab_Calculs[[#This Row],[Ratio_Cout_après_livr]]+Tab_Calculs[[#This Row],[Ratio_Cout_avant_livr]]+Tab_Calculs[[#This Row],[Ratio_Cout_avant_debut]]</f>
        <v>#VALUE!</v>
      </c>
      <c r="S954" t="str">
        <f ca="1">IFERROR(N954*VLOOKUP(Tab_Calculs[[#This Row],[Colonne1]],Controle_des_données!$B$7:$G$14,6,FALSE),"")</f>
        <v/>
      </c>
      <c r="T954" t="str">
        <f ca="1">IF(Tab_Calculs[[#This Row],[Combustible ]]="Electricité (kWh)",Tab_Calculs[[#This Row],[Conso_mois_kWh]]*2.3,Tab_Calculs[[#This Row],[Conso_mois_kWh]])</f>
        <v/>
      </c>
      <c r="U954" t="str">
        <f ca="1">IFERROR(N954*VLOOKUP(Tab_Calculs[[#This Row],[Colonne1]],Controle_des_données!$B$7:$H$14,7,FALSE),"")</f>
        <v/>
      </c>
      <c r="V954">
        <f ca="1">IFERROR(Tab_Calculs[[#This Row],[Cout_mois]]/Tab_Calculs[[#This Row],[Conso_mois_kWh]],0)</f>
        <v>0</v>
      </c>
      <c r="W954" t="str">
        <f>T(VLOOKUP(Tab_Calculs[[#This Row],[Compteur]],Site!$B$33:$G$40,3,FALSE))</f>
        <v/>
      </c>
      <c r="X954" t="str">
        <f>T(VLOOKUP(Tab_Calculs[[#This Row],[Compteur]],Site!$B$33:$G$40,4,FALSE))</f>
        <v/>
      </c>
      <c r="Y954" t="str">
        <f>T(VLOOKUP(Tab_Calculs[[#This Row],[Compteur]],Site!$B$33:$G$40,5,FALSE))</f>
        <v/>
      </c>
      <c r="Z954" t="str">
        <f>T(VLOOKUP(Tab_Calculs[[#This Row],[Compteur]],Site!$B$33:$G$40,6,FALSE))</f>
        <v/>
      </c>
      <c r="AA954">
        <f>IFERROR(GETPIVOTDATA("DJU(chauffagiste)",BDD_DJU!$P$13,"annee",Tab_Calculs[[#This Row],[ANNEE]],"mois_numero",Tab_Calculs[[#This Row],[MOIS]]),0)</f>
        <v>0</v>
      </c>
    </row>
    <row r="955" spans="1:27" x14ac:dyDescent="0.25">
      <c r="A955" s="3">
        <f>DATE(Tab_Calculs[[#This Row],[ANNEE]],Tab_Calculs[[#This Row],[MOIS]],1)</f>
        <v>45597</v>
      </c>
      <c r="B955" s="3">
        <f>EDATE(Tab_Calculs[[#This Row],[Début mois]],1)-1</f>
        <v>45626</v>
      </c>
      <c r="C955">
        <f t="shared" si="31"/>
        <v>11</v>
      </c>
      <c r="D955">
        <f t="shared" si="33"/>
        <v>2024</v>
      </c>
      <c r="E955" t="s">
        <v>84</v>
      </c>
      <c r="F955" t="str">
        <f>SUBSTITUTE(Tab_Calculs[[#This Row],[Compteur]]," ","_")</f>
        <v>Compteur_5</v>
      </c>
      <c r="G955" t="str">
        <f>T(INDEX(Site!$B$33:$G$40, MATCH(Tab_Calculs[[#This Row],[Compteur]], Site!$B$33:$B$40,0),2))</f>
        <v/>
      </c>
      <c r="H955" s="3">
        <f t="array" aca="1" ref="H955" ca="1">MIN(IF(INDIRECT(CONCATENATE(Tab_Calculs[[#This Row],[Colonne1]],"!$B$2:$B$243"))&gt;=Calculs_Consos!$A955,INDIRECT(CONCATENATE(Tab_Calculs[[#This Row],[Colonne1]],"!$B$2:$B$243"))))</f>
        <v>0</v>
      </c>
      <c r="I955" s="3">
        <f ca="1">INDEX(INDIRECT(CONCATENATE("Tab_",Tab_Calculs[[#This Row],[Colonne1]])),Tab_Calculs[[#This Row],[index_date_livraison]],1)</f>
        <v>0</v>
      </c>
      <c r="J955">
        <f ca="1">MATCH(Tab_Calculs[[#This Row],[Date_livraison]],INDIRECT(CONCATENATE("Tab_",Tab_Calculs[[#This Row],[Colonne1]],"[Fin de période]")),0)</f>
        <v>1</v>
      </c>
      <c r="K955" t="e">
        <f ca="1">INDEX(INDIRECT(CONCATENATE("Tab_",Tab_Calculs[[#This Row],[Colonne1]])),Tab_Calculs[[#This Row],[index_date_livraison]]-1,6)*(MAX(Tab_Calculs[[#This Row],[Début periode livraison]],Tab_Calculs[[#This Row],[Début mois]])-Tab_Calculs[[#This Row],[Début mois]])</f>
        <v>#VALUE!</v>
      </c>
      <c r="L955" s="94">
        <f ca="1">INDEX(INDIRECT(CONCATENATE("Tab_",Tab_Calculs[[#This Row],[Colonne1]])),Tab_Calculs[[#This Row],[index_date_livraison]],6)*(1+MIN(Tab_Calculs[[#This Row],[Date_livraison]],Tab_Calculs[[#This Row],[fin mois]])-MAX(Tab_Calculs[[#This Row],[Début mois]],Tab_Calculs[[#This Row],[Début periode livraison]]))</f>
        <v>0</v>
      </c>
      <c r="M955" s="94" t="e">
        <f ca="1">INDEX(INDIRECT(CONCATENATE("Tab_",Tab_Calculs[[#This Row],[Colonne1]])),Tab_Calculs[[#This Row],[index_date_livraison]]+1,6)*(Tab_Calculs[[#This Row],[fin mois]]-MIN(Tab_Calculs[[#This Row],[fin mois]],Tab_Calculs[[#This Row],[Date_livraison]]))</f>
        <v>#VALUE!</v>
      </c>
      <c r="N955" s="231" t="str">
        <f ca="1">IFERROR(Tab_Calculs[[#This Row],[Ratio_jour_après_livr]]+Tab_Calculs[[#This Row],[Ratio_jour_avant_livr]]+Tab_Calculs[[#This Row],[ratio_avant_debut]],"")</f>
        <v/>
      </c>
      <c r="O955" t="e">
        <f ca="1">INDEX(INDIRECT(CONCATENATE("Tab_",Tab_Calculs[[#This Row],[Colonne1]])),Tab_Calculs[[#This Row],[index_date_livraison]]-1,7)*(MAX(Tab_Calculs[[#This Row],[Début periode livraison]],Tab_Calculs[[#This Row],[Début mois]])-Tab_Calculs[[#This Row],[Début mois]])</f>
        <v>#VALUE!</v>
      </c>
      <c r="P955">
        <f ca="1">INDEX(INDIRECT(CONCATENATE("Tab_",Tab_Calculs[[#This Row],[Colonne1]])),Tab_Calculs[[#This Row],[index_date_livraison]],7)*(1+MIN(Tab_Calculs[[#This Row],[Date_livraison]],Tab_Calculs[[#This Row],[fin mois]])-MAX(Tab_Calculs[[#This Row],[Début mois]],Tab_Calculs[[#This Row],[Début periode livraison]]))</f>
        <v>0</v>
      </c>
      <c r="Q955" t="e">
        <f ca="1">INDEX(INDIRECT(CONCATENATE("Tab_",Tab_Calculs[[#This Row],[Colonne1]])),Tab_Calculs[[#This Row],[index_date_livraison]]+1,7)*(Tab_Calculs[[#This Row],[fin mois]]-MIN(Tab_Calculs[[#This Row],[fin mois]],Tab_Calculs[[#This Row],[Date_livraison]]))</f>
        <v>#VALUE!</v>
      </c>
      <c r="R955" t="e">
        <f ca="1">Tab_Calculs[[#This Row],[Ratio_Cout_après_livr]]+Tab_Calculs[[#This Row],[Ratio_Cout_avant_livr]]+Tab_Calculs[[#This Row],[Ratio_Cout_avant_debut]]</f>
        <v>#VALUE!</v>
      </c>
      <c r="S955" t="str">
        <f ca="1">IFERROR(N955*VLOOKUP(Tab_Calculs[[#This Row],[Colonne1]],Controle_des_données!$B$7:$G$14,6,FALSE),"")</f>
        <v/>
      </c>
      <c r="T955" t="str">
        <f ca="1">IF(Tab_Calculs[[#This Row],[Combustible ]]="Electricité (kWh)",Tab_Calculs[[#This Row],[Conso_mois_kWh]]*2.3,Tab_Calculs[[#This Row],[Conso_mois_kWh]])</f>
        <v/>
      </c>
      <c r="U955" t="str">
        <f ca="1">IFERROR(N955*VLOOKUP(Tab_Calculs[[#This Row],[Colonne1]],Controle_des_données!$B$7:$H$14,7,FALSE),"")</f>
        <v/>
      </c>
      <c r="V955">
        <f ca="1">IFERROR(Tab_Calculs[[#This Row],[Cout_mois]]/Tab_Calculs[[#This Row],[Conso_mois_kWh]],0)</f>
        <v>0</v>
      </c>
      <c r="W955" t="str">
        <f>T(VLOOKUP(Tab_Calculs[[#This Row],[Compteur]],Site!$B$33:$G$40,3,FALSE))</f>
        <v/>
      </c>
      <c r="X955" t="str">
        <f>T(VLOOKUP(Tab_Calculs[[#This Row],[Compteur]],Site!$B$33:$G$40,4,FALSE))</f>
        <v/>
      </c>
      <c r="Y955" t="str">
        <f>T(VLOOKUP(Tab_Calculs[[#This Row],[Compteur]],Site!$B$33:$G$40,5,FALSE))</f>
        <v/>
      </c>
      <c r="Z955" t="str">
        <f>T(VLOOKUP(Tab_Calculs[[#This Row],[Compteur]],Site!$B$33:$G$40,6,FALSE))</f>
        <v/>
      </c>
      <c r="AA955">
        <f>IFERROR(GETPIVOTDATA("DJU(chauffagiste)",BDD_DJU!$P$13,"annee",Tab_Calculs[[#This Row],[ANNEE]],"mois_numero",Tab_Calculs[[#This Row],[MOIS]]),0)</f>
        <v>0</v>
      </c>
    </row>
    <row r="956" spans="1:27" x14ac:dyDescent="0.25">
      <c r="A956" s="3">
        <f>DATE(Tab_Calculs[[#This Row],[ANNEE]],Tab_Calculs[[#This Row],[MOIS]],1)</f>
        <v>45627</v>
      </c>
      <c r="B956" s="3">
        <f>EDATE(Tab_Calculs[[#This Row],[Début mois]],1)-1</f>
        <v>45657</v>
      </c>
      <c r="C956">
        <f t="shared" si="31"/>
        <v>12</v>
      </c>
      <c r="D956">
        <f>D944+1</f>
        <v>2024</v>
      </c>
      <c r="E956" t="s">
        <v>84</v>
      </c>
      <c r="F956" t="str">
        <f>SUBSTITUTE(Tab_Calculs[[#This Row],[Compteur]]," ","_")</f>
        <v>Compteur_5</v>
      </c>
      <c r="G956" t="str">
        <f>T(INDEX(Site!$B$33:$G$40, MATCH(Tab_Calculs[[#This Row],[Compteur]], Site!$B$33:$B$40,0),2))</f>
        <v/>
      </c>
      <c r="H956" s="3">
        <f t="array" aca="1" ref="H956" ca="1">MIN(IF(INDIRECT(CONCATENATE(Tab_Calculs[[#This Row],[Colonne1]],"!$B$2:$B$243"))&gt;=Calculs_Consos!$A956,INDIRECT(CONCATENATE(Tab_Calculs[[#This Row],[Colonne1]],"!$B$2:$B$243"))))</f>
        <v>0</v>
      </c>
      <c r="I956" s="3">
        <f ca="1">INDEX(INDIRECT(CONCATENATE("Tab_",Tab_Calculs[[#This Row],[Colonne1]])),Tab_Calculs[[#This Row],[index_date_livraison]],1)</f>
        <v>0</v>
      </c>
      <c r="J956">
        <f ca="1">MATCH(Tab_Calculs[[#This Row],[Date_livraison]],INDIRECT(CONCATENATE("Tab_",Tab_Calculs[[#This Row],[Colonne1]],"[Fin de période]")),0)</f>
        <v>1</v>
      </c>
      <c r="K956" t="e">
        <f ca="1">INDEX(INDIRECT(CONCATENATE("Tab_",Tab_Calculs[[#This Row],[Colonne1]])),Tab_Calculs[[#This Row],[index_date_livraison]]-1,6)*(MAX(Tab_Calculs[[#This Row],[Début periode livraison]],Tab_Calculs[[#This Row],[Début mois]])-Tab_Calculs[[#This Row],[Début mois]])</f>
        <v>#VALUE!</v>
      </c>
      <c r="L956" s="94">
        <f ca="1">INDEX(INDIRECT(CONCATENATE("Tab_",Tab_Calculs[[#This Row],[Colonne1]])),Tab_Calculs[[#This Row],[index_date_livraison]],6)*(1+MIN(Tab_Calculs[[#This Row],[Date_livraison]],Tab_Calculs[[#This Row],[fin mois]])-MAX(Tab_Calculs[[#This Row],[Début mois]],Tab_Calculs[[#This Row],[Début periode livraison]]))</f>
        <v>0</v>
      </c>
      <c r="M956" s="94" t="e">
        <f ca="1">INDEX(INDIRECT(CONCATENATE("Tab_",Tab_Calculs[[#This Row],[Colonne1]])),Tab_Calculs[[#This Row],[index_date_livraison]]+1,6)*(Tab_Calculs[[#This Row],[fin mois]]-MIN(Tab_Calculs[[#This Row],[fin mois]],Tab_Calculs[[#This Row],[Date_livraison]]))</f>
        <v>#VALUE!</v>
      </c>
      <c r="N956" s="231" t="str">
        <f ca="1">IFERROR(Tab_Calculs[[#This Row],[Ratio_jour_après_livr]]+Tab_Calculs[[#This Row],[Ratio_jour_avant_livr]]+Tab_Calculs[[#This Row],[ratio_avant_debut]],"")</f>
        <v/>
      </c>
      <c r="O956" t="e">
        <f ca="1">INDEX(INDIRECT(CONCATENATE("Tab_",Tab_Calculs[[#This Row],[Colonne1]])),Tab_Calculs[[#This Row],[index_date_livraison]]-1,7)*(MAX(Tab_Calculs[[#This Row],[Début periode livraison]],Tab_Calculs[[#This Row],[Début mois]])-Tab_Calculs[[#This Row],[Début mois]])</f>
        <v>#VALUE!</v>
      </c>
      <c r="P956">
        <f ca="1">INDEX(INDIRECT(CONCATENATE("Tab_",Tab_Calculs[[#This Row],[Colonne1]])),Tab_Calculs[[#This Row],[index_date_livraison]],7)*(1+MIN(Tab_Calculs[[#This Row],[Date_livraison]],Tab_Calculs[[#This Row],[fin mois]])-MAX(Tab_Calculs[[#This Row],[Début mois]],Tab_Calculs[[#This Row],[Début periode livraison]]))</f>
        <v>0</v>
      </c>
      <c r="Q956" t="e">
        <f ca="1">INDEX(INDIRECT(CONCATENATE("Tab_",Tab_Calculs[[#This Row],[Colonne1]])),Tab_Calculs[[#This Row],[index_date_livraison]]+1,7)*(Tab_Calculs[[#This Row],[fin mois]]-MIN(Tab_Calculs[[#This Row],[fin mois]],Tab_Calculs[[#This Row],[Date_livraison]]))</f>
        <v>#VALUE!</v>
      </c>
      <c r="R956" t="e">
        <f ca="1">Tab_Calculs[[#This Row],[Ratio_Cout_après_livr]]+Tab_Calculs[[#This Row],[Ratio_Cout_avant_livr]]+Tab_Calculs[[#This Row],[Ratio_Cout_avant_debut]]</f>
        <v>#VALUE!</v>
      </c>
      <c r="S956" t="str">
        <f ca="1">IFERROR(N956*VLOOKUP(Tab_Calculs[[#This Row],[Colonne1]],Controle_des_données!$B$7:$G$14,6,FALSE),"")</f>
        <v/>
      </c>
      <c r="T956" t="str">
        <f ca="1">IF(Tab_Calculs[[#This Row],[Combustible ]]="Electricité (kWh)",Tab_Calculs[[#This Row],[Conso_mois_kWh]]*2.3,Tab_Calculs[[#This Row],[Conso_mois_kWh]])</f>
        <v/>
      </c>
      <c r="U956" t="str">
        <f ca="1">IFERROR(N956*VLOOKUP(Tab_Calculs[[#This Row],[Colonne1]],Controle_des_données!$B$7:$H$14,7,FALSE),"")</f>
        <v/>
      </c>
      <c r="V956">
        <f ca="1">IFERROR(Tab_Calculs[[#This Row],[Cout_mois]]/Tab_Calculs[[#This Row],[Conso_mois_kWh]],0)</f>
        <v>0</v>
      </c>
      <c r="W956" t="str">
        <f>T(VLOOKUP(Tab_Calculs[[#This Row],[Compteur]],Site!$B$33:$G$40,3,FALSE))</f>
        <v/>
      </c>
      <c r="X956" t="str">
        <f>T(VLOOKUP(Tab_Calculs[[#This Row],[Compteur]],Site!$B$33:$G$40,4,FALSE))</f>
        <v/>
      </c>
      <c r="Y956" t="str">
        <f>T(VLOOKUP(Tab_Calculs[[#This Row],[Compteur]],Site!$B$33:$G$40,5,FALSE))</f>
        <v/>
      </c>
      <c r="Z956" t="str">
        <f>T(VLOOKUP(Tab_Calculs[[#This Row],[Compteur]],Site!$B$33:$G$40,6,FALSE))</f>
        <v/>
      </c>
      <c r="AA956">
        <f>IFERROR(GETPIVOTDATA("DJU(chauffagiste)",BDD_DJU!$P$13,"annee",Tab_Calculs[[#This Row],[ANNEE]],"mois_numero",Tab_Calculs[[#This Row],[MOIS]]),0)</f>
        <v>0</v>
      </c>
    </row>
    <row r="957" spans="1:27" x14ac:dyDescent="0.25">
      <c r="A957" s="3">
        <f>DATE(Tab_Calculs[[#This Row],[ANNEE]],Tab_Calculs[[#This Row],[MOIS]],1)</f>
        <v>45658</v>
      </c>
      <c r="B957" s="3">
        <f>EDATE(Tab_Calculs[[#This Row],[Début mois]],1)-1</f>
        <v>45688</v>
      </c>
      <c r="C957">
        <f t="shared" si="31"/>
        <v>1</v>
      </c>
      <c r="D957">
        <f t="shared" ref="D957:D968" si="34">D945+1</f>
        <v>2025</v>
      </c>
      <c r="E957" t="s">
        <v>84</v>
      </c>
      <c r="F957" t="str">
        <f>SUBSTITUTE(Tab_Calculs[[#This Row],[Compteur]]," ","_")</f>
        <v>Compteur_5</v>
      </c>
      <c r="G957" t="str">
        <f>T(INDEX(Site!$B$33:$G$40, MATCH(Tab_Calculs[[#This Row],[Compteur]], Site!$B$33:$B$40,0),2))</f>
        <v/>
      </c>
      <c r="H957" s="3">
        <f t="array" aca="1" ref="H957" ca="1">MIN(IF(INDIRECT(CONCATENATE(Tab_Calculs[[#This Row],[Colonne1]],"!$B$2:$B$243"))&gt;=Calculs_Consos!$A957,INDIRECT(CONCATENATE(Tab_Calculs[[#This Row],[Colonne1]],"!$B$2:$B$243"))))</f>
        <v>0</v>
      </c>
      <c r="I957" s="3">
        <f ca="1">INDEX(INDIRECT(CONCATENATE("Tab_",Tab_Calculs[[#This Row],[Colonne1]])),Tab_Calculs[[#This Row],[index_date_livraison]],1)</f>
        <v>0</v>
      </c>
      <c r="J957">
        <f ca="1">MATCH(Tab_Calculs[[#This Row],[Date_livraison]],INDIRECT(CONCATENATE("Tab_",Tab_Calculs[[#This Row],[Colonne1]],"[Fin de période]")),0)</f>
        <v>1</v>
      </c>
      <c r="K957" t="e">
        <f ca="1">INDEX(INDIRECT(CONCATENATE("Tab_",Tab_Calculs[[#This Row],[Colonne1]])),Tab_Calculs[[#This Row],[index_date_livraison]]-1,6)*(MAX(Tab_Calculs[[#This Row],[Début periode livraison]],Tab_Calculs[[#This Row],[Début mois]])-Tab_Calculs[[#This Row],[Début mois]])</f>
        <v>#VALUE!</v>
      </c>
      <c r="L957" s="94">
        <f ca="1">INDEX(INDIRECT(CONCATENATE("Tab_",Tab_Calculs[[#This Row],[Colonne1]])),Tab_Calculs[[#This Row],[index_date_livraison]],6)*(1+MIN(Tab_Calculs[[#This Row],[Date_livraison]],Tab_Calculs[[#This Row],[fin mois]])-MAX(Tab_Calculs[[#This Row],[Début mois]],Tab_Calculs[[#This Row],[Début periode livraison]]))</f>
        <v>0</v>
      </c>
      <c r="M957" s="94" t="e">
        <f ca="1">INDEX(INDIRECT(CONCATENATE("Tab_",Tab_Calculs[[#This Row],[Colonne1]])),Tab_Calculs[[#This Row],[index_date_livraison]]+1,6)*(Tab_Calculs[[#This Row],[fin mois]]-MIN(Tab_Calculs[[#This Row],[fin mois]],Tab_Calculs[[#This Row],[Date_livraison]]))</f>
        <v>#VALUE!</v>
      </c>
      <c r="N957" s="231" t="str">
        <f ca="1">IFERROR(Tab_Calculs[[#This Row],[Ratio_jour_après_livr]]+Tab_Calculs[[#This Row],[Ratio_jour_avant_livr]]+Tab_Calculs[[#This Row],[ratio_avant_debut]],"")</f>
        <v/>
      </c>
      <c r="O957" t="e">
        <f ca="1">INDEX(INDIRECT(CONCATENATE("Tab_",Tab_Calculs[[#This Row],[Colonne1]])),Tab_Calculs[[#This Row],[index_date_livraison]]-1,7)*(MAX(Tab_Calculs[[#This Row],[Début periode livraison]],Tab_Calculs[[#This Row],[Début mois]])-Tab_Calculs[[#This Row],[Début mois]])</f>
        <v>#VALUE!</v>
      </c>
      <c r="P957">
        <f ca="1">INDEX(INDIRECT(CONCATENATE("Tab_",Tab_Calculs[[#This Row],[Colonne1]])),Tab_Calculs[[#This Row],[index_date_livraison]],7)*(1+MIN(Tab_Calculs[[#This Row],[Date_livraison]],Tab_Calculs[[#This Row],[fin mois]])-MAX(Tab_Calculs[[#This Row],[Début mois]],Tab_Calculs[[#This Row],[Début periode livraison]]))</f>
        <v>0</v>
      </c>
      <c r="Q957" t="e">
        <f ca="1">INDEX(INDIRECT(CONCATENATE("Tab_",Tab_Calculs[[#This Row],[Colonne1]])),Tab_Calculs[[#This Row],[index_date_livraison]]+1,7)*(Tab_Calculs[[#This Row],[fin mois]]-MIN(Tab_Calculs[[#This Row],[fin mois]],Tab_Calculs[[#This Row],[Date_livraison]]))</f>
        <v>#VALUE!</v>
      </c>
      <c r="R957" t="e">
        <f ca="1">Tab_Calculs[[#This Row],[Ratio_Cout_après_livr]]+Tab_Calculs[[#This Row],[Ratio_Cout_avant_livr]]+Tab_Calculs[[#This Row],[Ratio_Cout_avant_debut]]</f>
        <v>#VALUE!</v>
      </c>
      <c r="S957" t="str">
        <f ca="1">IFERROR(N957*VLOOKUP(Tab_Calculs[[#This Row],[Colonne1]],Controle_des_données!$B$7:$G$14,6,FALSE),"")</f>
        <v/>
      </c>
      <c r="T957" t="str">
        <f ca="1">IF(Tab_Calculs[[#This Row],[Combustible ]]="Electricité (kWh)",Tab_Calculs[[#This Row],[Conso_mois_kWh]]*2.3,Tab_Calculs[[#This Row],[Conso_mois_kWh]])</f>
        <v/>
      </c>
      <c r="U957" t="str">
        <f ca="1">IFERROR(N957*VLOOKUP(Tab_Calculs[[#This Row],[Colonne1]],Controle_des_données!$B$7:$H$14,7,FALSE),"")</f>
        <v/>
      </c>
      <c r="V957">
        <f ca="1">IFERROR(Tab_Calculs[[#This Row],[Cout_mois]]/Tab_Calculs[[#This Row],[Conso_mois_kWh]],0)</f>
        <v>0</v>
      </c>
      <c r="W957" t="str">
        <f>T(VLOOKUP(Tab_Calculs[[#This Row],[Compteur]],Site!$B$33:$G$40,3,FALSE))</f>
        <v/>
      </c>
      <c r="X957" t="str">
        <f>T(VLOOKUP(Tab_Calculs[[#This Row],[Compteur]],Site!$B$33:$G$40,4,FALSE))</f>
        <v/>
      </c>
      <c r="Y957" t="str">
        <f>T(VLOOKUP(Tab_Calculs[[#This Row],[Compteur]],Site!$B$33:$G$40,5,FALSE))</f>
        <v/>
      </c>
      <c r="Z957" t="str">
        <f>T(VLOOKUP(Tab_Calculs[[#This Row],[Compteur]],Site!$B$33:$G$40,6,FALSE))</f>
        <v/>
      </c>
      <c r="AA957">
        <f>IFERROR(GETPIVOTDATA("DJU(chauffagiste)",BDD_DJU!$P$13,"annee",Tab_Calculs[[#This Row],[ANNEE]],"mois_numero",Tab_Calculs[[#This Row],[MOIS]]),0)</f>
        <v>0</v>
      </c>
    </row>
    <row r="958" spans="1:27" x14ac:dyDescent="0.25">
      <c r="A958" s="3">
        <f>DATE(Tab_Calculs[[#This Row],[ANNEE]],Tab_Calculs[[#This Row],[MOIS]],1)</f>
        <v>45689</v>
      </c>
      <c r="B958" s="3">
        <f>EDATE(Tab_Calculs[[#This Row],[Début mois]],1)-1</f>
        <v>45716</v>
      </c>
      <c r="C958">
        <f t="shared" si="31"/>
        <v>2</v>
      </c>
      <c r="D958">
        <f t="shared" si="34"/>
        <v>2025</v>
      </c>
      <c r="E958" t="s">
        <v>84</v>
      </c>
      <c r="F958" t="str">
        <f>SUBSTITUTE(Tab_Calculs[[#This Row],[Compteur]]," ","_")</f>
        <v>Compteur_5</v>
      </c>
      <c r="G958" t="str">
        <f>T(INDEX(Site!$B$33:$G$40, MATCH(Tab_Calculs[[#This Row],[Compteur]], Site!$B$33:$B$40,0),2))</f>
        <v/>
      </c>
      <c r="H958" s="3">
        <f t="array" aca="1" ref="H958" ca="1">MIN(IF(INDIRECT(CONCATENATE(Tab_Calculs[[#This Row],[Colonne1]],"!$B$2:$B$243"))&gt;=Calculs_Consos!$A958,INDIRECT(CONCATENATE(Tab_Calculs[[#This Row],[Colonne1]],"!$B$2:$B$243"))))</f>
        <v>0</v>
      </c>
      <c r="I958" s="3">
        <f ca="1">INDEX(INDIRECT(CONCATENATE("Tab_",Tab_Calculs[[#This Row],[Colonne1]])),Tab_Calculs[[#This Row],[index_date_livraison]],1)</f>
        <v>0</v>
      </c>
      <c r="J958">
        <f ca="1">MATCH(Tab_Calculs[[#This Row],[Date_livraison]],INDIRECT(CONCATENATE("Tab_",Tab_Calculs[[#This Row],[Colonne1]],"[Fin de période]")),0)</f>
        <v>1</v>
      </c>
      <c r="K958" t="e">
        <f ca="1">INDEX(INDIRECT(CONCATENATE("Tab_",Tab_Calculs[[#This Row],[Colonne1]])),Tab_Calculs[[#This Row],[index_date_livraison]]-1,6)*(MAX(Tab_Calculs[[#This Row],[Début periode livraison]],Tab_Calculs[[#This Row],[Début mois]])-Tab_Calculs[[#This Row],[Début mois]])</f>
        <v>#VALUE!</v>
      </c>
      <c r="L958" s="94">
        <f ca="1">INDEX(INDIRECT(CONCATENATE("Tab_",Tab_Calculs[[#This Row],[Colonne1]])),Tab_Calculs[[#This Row],[index_date_livraison]],6)*(1+MIN(Tab_Calculs[[#This Row],[Date_livraison]],Tab_Calculs[[#This Row],[fin mois]])-MAX(Tab_Calculs[[#This Row],[Début mois]],Tab_Calculs[[#This Row],[Début periode livraison]]))</f>
        <v>0</v>
      </c>
      <c r="M958" s="94" t="e">
        <f ca="1">INDEX(INDIRECT(CONCATENATE("Tab_",Tab_Calculs[[#This Row],[Colonne1]])),Tab_Calculs[[#This Row],[index_date_livraison]]+1,6)*(Tab_Calculs[[#This Row],[fin mois]]-MIN(Tab_Calculs[[#This Row],[fin mois]],Tab_Calculs[[#This Row],[Date_livraison]]))</f>
        <v>#VALUE!</v>
      </c>
      <c r="N958" s="231" t="str">
        <f ca="1">IFERROR(Tab_Calculs[[#This Row],[Ratio_jour_après_livr]]+Tab_Calculs[[#This Row],[Ratio_jour_avant_livr]]+Tab_Calculs[[#This Row],[ratio_avant_debut]],"")</f>
        <v/>
      </c>
      <c r="O958" t="e">
        <f ca="1">INDEX(INDIRECT(CONCATENATE("Tab_",Tab_Calculs[[#This Row],[Colonne1]])),Tab_Calculs[[#This Row],[index_date_livraison]]-1,7)*(MAX(Tab_Calculs[[#This Row],[Début periode livraison]],Tab_Calculs[[#This Row],[Début mois]])-Tab_Calculs[[#This Row],[Début mois]])</f>
        <v>#VALUE!</v>
      </c>
      <c r="P958">
        <f ca="1">INDEX(INDIRECT(CONCATENATE("Tab_",Tab_Calculs[[#This Row],[Colonne1]])),Tab_Calculs[[#This Row],[index_date_livraison]],7)*(1+MIN(Tab_Calculs[[#This Row],[Date_livraison]],Tab_Calculs[[#This Row],[fin mois]])-MAX(Tab_Calculs[[#This Row],[Début mois]],Tab_Calculs[[#This Row],[Début periode livraison]]))</f>
        <v>0</v>
      </c>
      <c r="Q958" t="e">
        <f ca="1">INDEX(INDIRECT(CONCATENATE("Tab_",Tab_Calculs[[#This Row],[Colonne1]])),Tab_Calculs[[#This Row],[index_date_livraison]]+1,7)*(Tab_Calculs[[#This Row],[fin mois]]-MIN(Tab_Calculs[[#This Row],[fin mois]],Tab_Calculs[[#This Row],[Date_livraison]]))</f>
        <v>#VALUE!</v>
      </c>
      <c r="R958" t="e">
        <f ca="1">Tab_Calculs[[#This Row],[Ratio_Cout_après_livr]]+Tab_Calculs[[#This Row],[Ratio_Cout_avant_livr]]+Tab_Calculs[[#This Row],[Ratio_Cout_avant_debut]]</f>
        <v>#VALUE!</v>
      </c>
      <c r="S958" t="str">
        <f ca="1">IFERROR(N958*VLOOKUP(Tab_Calculs[[#This Row],[Colonne1]],Controle_des_données!$B$7:$G$14,6,FALSE),"")</f>
        <v/>
      </c>
      <c r="T958" t="str">
        <f ca="1">IF(Tab_Calculs[[#This Row],[Combustible ]]="Electricité (kWh)",Tab_Calculs[[#This Row],[Conso_mois_kWh]]*2.3,Tab_Calculs[[#This Row],[Conso_mois_kWh]])</f>
        <v/>
      </c>
      <c r="U958" t="str">
        <f ca="1">IFERROR(N958*VLOOKUP(Tab_Calculs[[#This Row],[Colonne1]],Controle_des_données!$B$7:$H$14,7,FALSE),"")</f>
        <v/>
      </c>
      <c r="V958">
        <f ca="1">IFERROR(Tab_Calculs[[#This Row],[Cout_mois]]/Tab_Calculs[[#This Row],[Conso_mois_kWh]],0)</f>
        <v>0</v>
      </c>
      <c r="W958" t="str">
        <f>T(VLOOKUP(Tab_Calculs[[#This Row],[Compteur]],Site!$B$33:$G$40,3,FALSE))</f>
        <v/>
      </c>
      <c r="X958" t="str">
        <f>T(VLOOKUP(Tab_Calculs[[#This Row],[Compteur]],Site!$B$33:$G$40,4,FALSE))</f>
        <v/>
      </c>
      <c r="Y958" t="str">
        <f>T(VLOOKUP(Tab_Calculs[[#This Row],[Compteur]],Site!$B$33:$G$40,5,FALSE))</f>
        <v/>
      </c>
      <c r="Z958" t="str">
        <f>T(VLOOKUP(Tab_Calculs[[#This Row],[Compteur]],Site!$B$33:$G$40,6,FALSE))</f>
        <v/>
      </c>
      <c r="AA958">
        <f>IFERROR(GETPIVOTDATA("DJU(chauffagiste)",BDD_DJU!$P$13,"annee",Tab_Calculs[[#This Row],[ANNEE]],"mois_numero",Tab_Calculs[[#This Row],[MOIS]]),0)</f>
        <v>0</v>
      </c>
    </row>
    <row r="959" spans="1:27" x14ac:dyDescent="0.25">
      <c r="A959" s="3">
        <f>DATE(Tab_Calculs[[#This Row],[ANNEE]],Tab_Calculs[[#This Row],[MOIS]],1)</f>
        <v>45717</v>
      </c>
      <c r="B959" s="3">
        <f>EDATE(Tab_Calculs[[#This Row],[Début mois]],1)-1</f>
        <v>45747</v>
      </c>
      <c r="C959">
        <f t="shared" si="31"/>
        <v>3</v>
      </c>
      <c r="D959">
        <f t="shared" si="34"/>
        <v>2025</v>
      </c>
      <c r="E959" t="s">
        <v>84</v>
      </c>
      <c r="F959" t="str">
        <f>SUBSTITUTE(Tab_Calculs[[#This Row],[Compteur]]," ","_")</f>
        <v>Compteur_5</v>
      </c>
      <c r="G959" t="str">
        <f>T(INDEX(Site!$B$33:$G$40, MATCH(Tab_Calculs[[#This Row],[Compteur]], Site!$B$33:$B$40,0),2))</f>
        <v/>
      </c>
      <c r="H959" s="3">
        <f t="array" aca="1" ref="H959" ca="1">MIN(IF(INDIRECT(CONCATENATE(Tab_Calculs[[#This Row],[Colonne1]],"!$B$2:$B$243"))&gt;=Calculs_Consos!$A959,INDIRECT(CONCATENATE(Tab_Calculs[[#This Row],[Colonne1]],"!$B$2:$B$243"))))</f>
        <v>0</v>
      </c>
      <c r="I959" s="3">
        <f ca="1">INDEX(INDIRECT(CONCATENATE("Tab_",Tab_Calculs[[#This Row],[Colonne1]])),Tab_Calculs[[#This Row],[index_date_livraison]],1)</f>
        <v>0</v>
      </c>
      <c r="J959">
        <f ca="1">MATCH(Tab_Calculs[[#This Row],[Date_livraison]],INDIRECT(CONCATENATE("Tab_",Tab_Calculs[[#This Row],[Colonne1]],"[Fin de période]")),0)</f>
        <v>1</v>
      </c>
      <c r="K959" t="e">
        <f ca="1">INDEX(INDIRECT(CONCATENATE("Tab_",Tab_Calculs[[#This Row],[Colonne1]])),Tab_Calculs[[#This Row],[index_date_livraison]]-1,6)*(MAX(Tab_Calculs[[#This Row],[Début periode livraison]],Tab_Calculs[[#This Row],[Début mois]])-Tab_Calculs[[#This Row],[Début mois]])</f>
        <v>#VALUE!</v>
      </c>
      <c r="L959" s="94">
        <f ca="1">INDEX(INDIRECT(CONCATENATE("Tab_",Tab_Calculs[[#This Row],[Colonne1]])),Tab_Calculs[[#This Row],[index_date_livraison]],6)*(1+MIN(Tab_Calculs[[#This Row],[Date_livraison]],Tab_Calculs[[#This Row],[fin mois]])-MAX(Tab_Calculs[[#This Row],[Début mois]],Tab_Calculs[[#This Row],[Début periode livraison]]))</f>
        <v>0</v>
      </c>
      <c r="M959" s="94" t="e">
        <f ca="1">INDEX(INDIRECT(CONCATENATE("Tab_",Tab_Calculs[[#This Row],[Colonne1]])),Tab_Calculs[[#This Row],[index_date_livraison]]+1,6)*(Tab_Calculs[[#This Row],[fin mois]]-MIN(Tab_Calculs[[#This Row],[fin mois]],Tab_Calculs[[#This Row],[Date_livraison]]))</f>
        <v>#VALUE!</v>
      </c>
      <c r="N959" s="231" t="str">
        <f ca="1">IFERROR(Tab_Calculs[[#This Row],[Ratio_jour_après_livr]]+Tab_Calculs[[#This Row],[Ratio_jour_avant_livr]]+Tab_Calculs[[#This Row],[ratio_avant_debut]],"")</f>
        <v/>
      </c>
      <c r="O959" t="e">
        <f ca="1">INDEX(INDIRECT(CONCATENATE("Tab_",Tab_Calculs[[#This Row],[Colonne1]])),Tab_Calculs[[#This Row],[index_date_livraison]]-1,7)*(MAX(Tab_Calculs[[#This Row],[Début periode livraison]],Tab_Calculs[[#This Row],[Début mois]])-Tab_Calculs[[#This Row],[Début mois]])</f>
        <v>#VALUE!</v>
      </c>
      <c r="P959">
        <f ca="1">INDEX(INDIRECT(CONCATENATE("Tab_",Tab_Calculs[[#This Row],[Colonne1]])),Tab_Calculs[[#This Row],[index_date_livraison]],7)*(1+MIN(Tab_Calculs[[#This Row],[Date_livraison]],Tab_Calculs[[#This Row],[fin mois]])-MAX(Tab_Calculs[[#This Row],[Début mois]],Tab_Calculs[[#This Row],[Début periode livraison]]))</f>
        <v>0</v>
      </c>
      <c r="Q959" t="e">
        <f ca="1">INDEX(INDIRECT(CONCATENATE("Tab_",Tab_Calculs[[#This Row],[Colonne1]])),Tab_Calculs[[#This Row],[index_date_livraison]]+1,7)*(Tab_Calculs[[#This Row],[fin mois]]-MIN(Tab_Calculs[[#This Row],[fin mois]],Tab_Calculs[[#This Row],[Date_livraison]]))</f>
        <v>#VALUE!</v>
      </c>
      <c r="R959" t="e">
        <f ca="1">Tab_Calculs[[#This Row],[Ratio_Cout_après_livr]]+Tab_Calculs[[#This Row],[Ratio_Cout_avant_livr]]+Tab_Calculs[[#This Row],[Ratio_Cout_avant_debut]]</f>
        <v>#VALUE!</v>
      </c>
      <c r="S959" t="str">
        <f ca="1">IFERROR(N959*VLOOKUP(Tab_Calculs[[#This Row],[Colonne1]],Controle_des_données!$B$7:$G$14,6,FALSE),"")</f>
        <v/>
      </c>
      <c r="T959" t="str">
        <f ca="1">IF(Tab_Calculs[[#This Row],[Combustible ]]="Electricité (kWh)",Tab_Calculs[[#This Row],[Conso_mois_kWh]]*2.3,Tab_Calculs[[#This Row],[Conso_mois_kWh]])</f>
        <v/>
      </c>
      <c r="U959" t="str">
        <f ca="1">IFERROR(N959*VLOOKUP(Tab_Calculs[[#This Row],[Colonne1]],Controle_des_données!$B$7:$H$14,7,FALSE),"")</f>
        <v/>
      </c>
      <c r="V959">
        <f ca="1">IFERROR(Tab_Calculs[[#This Row],[Cout_mois]]/Tab_Calculs[[#This Row],[Conso_mois_kWh]],0)</f>
        <v>0</v>
      </c>
      <c r="W959" t="str">
        <f>T(VLOOKUP(Tab_Calculs[[#This Row],[Compteur]],Site!$B$33:$G$40,3,FALSE))</f>
        <v/>
      </c>
      <c r="X959" t="str">
        <f>T(VLOOKUP(Tab_Calculs[[#This Row],[Compteur]],Site!$B$33:$G$40,4,FALSE))</f>
        <v/>
      </c>
      <c r="Y959" t="str">
        <f>T(VLOOKUP(Tab_Calculs[[#This Row],[Compteur]],Site!$B$33:$G$40,5,FALSE))</f>
        <v/>
      </c>
      <c r="Z959" t="str">
        <f>T(VLOOKUP(Tab_Calculs[[#This Row],[Compteur]],Site!$B$33:$G$40,6,FALSE))</f>
        <v/>
      </c>
      <c r="AA959">
        <f>IFERROR(GETPIVOTDATA("DJU(chauffagiste)",BDD_DJU!$P$13,"annee",Tab_Calculs[[#This Row],[ANNEE]],"mois_numero",Tab_Calculs[[#This Row],[MOIS]]),0)</f>
        <v>0</v>
      </c>
    </row>
    <row r="960" spans="1:27" x14ac:dyDescent="0.25">
      <c r="A960" s="3">
        <f>DATE(Tab_Calculs[[#This Row],[ANNEE]],Tab_Calculs[[#This Row],[MOIS]],1)</f>
        <v>45748</v>
      </c>
      <c r="B960" s="3">
        <f>EDATE(Tab_Calculs[[#This Row],[Début mois]],1)-1</f>
        <v>45777</v>
      </c>
      <c r="C960">
        <f t="shared" si="31"/>
        <v>4</v>
      </c>
      <c r="D960">
        <f t="shared" si="34"/>
        <v>2025</v>
      </c>
      <c r="E960" t="s">
        <v>84</v>
      </c>
      <c r="F960" t="str">
        <f>SUBSTITUTE(Tab_Calculs[[#This Row],[Compteur]]," ","_")</f>
        <v>Compteur_5</v>
      </c>
      <c r="G960" t="str">
        <f>T(INDEX(Site!$B$33:$G$40, MATCH(Tab_Calculs[[#This Row],[Compteur]], Site!$B$33:$B$40,0),2))</f>
        <v/>
      </c>
      <c r="H960" s="3">
        <f t="array" aca="1" ref="H960" ca="1">MIN(IF(INDIRECT(CONCATENATE(Tab_Calculs[[#This Row],[Colonne1]],"!$B$2:$B$243"))&gt;=Calculs_Consos!$A960,INDIRECT(CONCATENATE(Tab_Calculs[[#This Row],[Colonne1]],"!$B$2:$B$243"))))</f>
        <v>0</v>
      </c>
      <c r="I960" s="3">
        <f ca="1">INDEX(INDIRECT(CONCATENATE("Tab_",Tab_Calculs[[#This Row],[Colonne1]])),Tab_Calculs[[#This Row],[index_date_livraison]],1)</f>
        <v>0</v>
      </c>
      <c r="J960">
        <f ca="1">MATCH(Tab_Calculs[[#This Row],[Date_livraison]],INDIRECT(CONCATENATE("Tab_",Tab_Calculs[[#This Row],[Colonne1]],"[Fin de période]")),0)</f>
        <v>1</v>
      </c>
      <c r="K960" t="e">
        <f ca="1">INDEX(INDIRECT(CONCATENATE("Tab_",Tab_Calculs[[#This Row],[Colonne1]])),Tab_Calculs[[#This Row],[index_date_livraison]]-1,6)*(MAX(Tab_Calculs[[#This Row],[Début periode livraison]],Tab_Calculs[[#This Row],[Début mois]])-Tab_Calculs[[#This Row],[Début mois]])</f>
        <v>#VALUE!</v>
      </c>
      <c r="L960" s="94">
        <f ca="1">INDEX(INDIRECT(CONCATENATE("Tab_",Tab_Calculs[[#This Row],[Colonne1]])),Tab_Calculs[[#This Row],[index_date_livraison]],6)*(1+MIN(Tab_Calculs[[#This Row],[Date_livraison]],Tab_Calculs[[#This Row],[fin mois]])-MAX(Tab_Calculs[[#This Row],[Début mois]],Tab_Calculs[[#This Row],[Début periode livraison]]))</f>
        <v>0</v>
      </c>
      <c r="M960" s="94" t="e">
        <f ca="1">INDEX(INDIRECT(CONCATENATE("Tab_",Tab_Calculs[[#This Row],[Colonne1]])),Tab_Calculs[[#This Row],[index_date_livraison]]+1,6)*(Tab_Calculs[[#This Row],[fin mois]]-MIN(Tab_Calculs[[#This Row],[fin mois]],Tab_Calculs[[#This Row],[Date_livraison]]))</f>
        <v>#VALUE!</v>
      </c>
      <c r="N960" s="231" t="str">
        <f ca="1">IFERROR(Tab_Calculs[[#This Row],[Ratio_jour_après_livr]]+Tab_Calculs[[#This Row],[Ratio_jour_avant_livr]]+Tab_Calculs[[#This Row],[ratio_avant_debut]],"")</f>
        <v/>
      </c>
      <c r="O960" t="e">
        <f ca="1">INDEX(INDIRECT(CONCATENATE("Tab_",Tab_Calculs[[#This Row],[Colonne1]])),Tab_Calculs[[#This Row],[index_date_livraison]]-1,7)*(MAX(Tab_Calculs[[#This Row],[Début periode livraison]],Tab_Calculs[[#This Row],[Début mois]])-Tab_Calculs[[#This Row],[Début mois]])</f>
        <v>#VALUE!</v>
      </c>
      <c r="P960">
        <f ca="1">INDEX(INDIRECT(CONCATENATE("Tab_",Tab_Calculs[[#This Row],[Colonne1]])),Tab_Calculs[[#This Row],[index_date_livraison]],7)*(1+MIN(Tab_Calculs[[#This Row],[Date_livraison]],Tab_Calculs[[#This Row],[fin mois]])-MAX(Tab_Calculs[[#This Row],[Début mois]],Tab_Calculs[[#This Row],[Début periode livraison]]))</f>
        <v>0</v>
      </c>
      <c r="Q960" t="e">
        <f ca="1">INDEX(INDIRECT(CONCATENATE("Tab_",Tab_Calculs[[#This Row],[Colonne1]])),Tab_Calculs[[#This Row],[index_date_livraison]]+1,7)*(Tab_Calculs[[#This Row],[fin mois]]-MIN(Tab_Calculs[[#This Row],[fin mois]],Tab_Calculs[[#This Row],[Date_livraison]]))</f>
        <v>#VALUE!</v>
      </c>
      <c r="R960" t="e">
        <f ca="1">Tab_Calculs[[#This Row],[Ratio_Cout_après_livr]]+Tab_Calculs[[#This Row],[Ratio_Cout_avant_livr]]+Tab_Calculs[[#This Row],[Ratio_Cout_avant_debut]]</f>
        <v>#VALUE!</v>
      </c>
      <c r="S960" t="str">
        <f ca="1">IFERROR(N960*VLOOKUP(Tab_Calculs[[#This Row],[Colonne1]],Controle_des_données!$B$7:$G$14,6,FALSE),"")</f>
        <v/>
      </c>
      <c r="T960" t="str">
        <f ca="1">IF(Tab_Calculs[[#This Row],[Combustible ]]="Electricité (kWh)",Tab_Calculs[[#This Row],[Conso_mois_kWh]]*2.3,Tab_Calculs[[#This Row],[Conso_mois_kWh]])</f>
        <v/>
      </c>
      <c r="U960" t="str">
        <f ca="1">IFERROR(N960*VLOOKUP(Tab_Calculs[[#This Row],[Colonne1]],Controle_des_données!$B$7:$H$14,7,FALSE),"")</f>
        <v/>
      </c>
      <c r="V960">
        <f ca="1">IFERROR(Tab_Calculs[[#This Row],[Cout_mois]]/Tab_Calculs[[#This Row],[Conso_mois_kWh]],0)</f>
        <v>0</v>
      </c>
      <c r="W960" t="str">
        <f>T(VLOOKUP(Tab_Calculs[[#This Row],[Compteur]],Site!$B$33:$G$40,3,FALSE))</f>
        <v/>
      </c>
      <c r="X960" t="str">
        <f>T(VLOOKUP(Tab_Calculs[[#This Row],[Compteur]],Site!$B$33:$G$40,4,FALSE))</f>
        <v/>
      </c>
      <c r="Y960" t="str">
        <f>T(VLOOKUP(Tab_Calculs[[#This Row],[Compteur]],Site!$B$33:$G$40,5,FALSE))</f>
        <v/>
      </c>
      <c r="Z960" t="str">
        <f>T(VLOOKUP(Tab_Calculs[[#This Row],[Compteur]],Site!$B$33:$G$40,6,FALSE))</f>
        <v/>
      </c>
      <c r="AA960">
        <f>IFERROR(GETPIVOTDATA("DJU(chauffagiste)",BDD_DJU!$P$13,"annee",Tab_Calculs[[#This Row],[ANNEE]],"mois_numero",Tab_Calculs[[#This Row],[MOIS]]),0)</f>
        <v>0</v>
      </c>
    </row>
    <row r="961" spans="1:27" x14ac:dyDescent="0.25">
      <c r="A961" s="3">
        <f>DATE(Tab_Calculs[[#This Row],[ANNEE]],Tab_Calculs[[#This Row],[MOIS]],1)</f>
        <v>45778</v>
      </c>
      <c r="B961" s="3">
        <f>EDATE(Tab_Calculs[[#This Row],[Début mois]],1)-1</f>
        <v>45808</v>
      </c>
      <c r="C961">
        <f t="shared" si="31"/>
        <v>5</v>
      </c>
      <c r="D961">
        <f t="shared" si="34"/>
        <v>2025</v>
      </c>
      <c r="E961" t="s">
        <v>84</v>
      </c>
      <c r="F961" t="str">
        <f>SUBSTITUTE(Tab_Calculs[[#This Row],[Compteur]]," ","_")</f>
        <v>Compteur_5</v>
      </c>
      <c r="G961" t="str">
        <f>T(INDEX(Site!$B$33:$G$40, MATCH(Tab_Calculs[[#This Row],[Compteur]], Site!$B$33:$B$40,0),2))</f>
        <v/>
      </c>
      <c r="H961" s="3">
        <f t="array" aca="1" ref="H961" ca="1">MIN(IF(INDIRECT(CONCATENATE(Tab_Calculs[[#This Row],[Colonne1]],"!$B$2:$B$243"))&gt;=Calculs_Consos!$A961,INDIRECT(CONCATENATE(Tab_Calculs[[#This Row],[Colonne1]],"!$B$2:$B$243"))))</f>
        <v>0</v>
      </c>
      <c r="I961" s="3">
        <f ca="1">INDEX(INDIRECT(CONCATENATE("Tab_",Tab_Calculs[[#This Row],[Colonne1]])),Tab_Calculs[[#This Row],[index_date_livraison]],1)</f>
        <v>0</v>
      </c>
      <c r="J961">
        <f ca="1">MATCH(Tab_Calculs[[#This Row],[Date_livraison]],INDIRECT(CONCATENATE("Tab_",Tab_Calculs[[#This Row],[Colonne1]],"[Fin de période]")),0)</f>
        <v>1</v>
      </c>
      <c r="K961" t="e">
        <f ca="1">INDEX(INDIRECT(CONCATENATE("Tab_",Tab_Calculs[[#This Row],[Colonne1]])),Tab_Calculs[[#This Row],[index_date_livraison]]-1,6)*(MAX(Tab_Calculs[[#This Row],[Début periode livraison]],Tab_Calculs[[#This Row],[Début mois]])-Tab_Calculs[[#This Row],[Début mois]])</f>
        <v>#VALUE!</v>
      </c>
      <c r="L961" s="94">
        <f ca="1">INDEX(INDIRECT(CONCATENATE("Tab_",Tab_Calculs[[#This Row],[Colonne1]])),Tab_Calculs[[#This Row],[index_date_livraison]],6)*(1+MIN(Tab_Calculs[[#This Row],[Date_livraison]],Tab_Calculs[[#This Row],[fin mois]])-MAX(Tab_Calculs[[#This Row],[Début mois]],Tab_Calculs[[#This Row],[Début periode livraison]]))</f>
        <v>0</v>
      </c>
      <c r="M961" s="94" t="e">
        <f ca="1">INDEX(INDIRECT(CONCATENATE("Tab_",Tab_Calculs[[#This Row],[Colonne1]])),Tab_Calculs[[#This Row],[index_date_livraison]]+1,6)*(Tab_Calculs[[#This Row],[fin mois]]-MIN(Tab_Calculs[[#This Row],[fin mois]],Tab_Calculs[[#This Row],[Date_livraison]]))</f>
        <v>#VALUE!</v>
      </c>
      <c r="N961" s="231" t="str">
        <f ca="1">IFERROR(Tab_Calculs[[#This Row],[Ratio_jour_après_livr]]+Tab_Calculs[[#This Row],[Ratio_jour_avant_livr]]+Tab_Calculs[[#This Row],[ratio_avant_debut]],"")</f>
        <v/>
      </c>
      <c r="O961" t="e">
        <f ca="1">INDEX(INDIRECT(CONCATENATE("Tab_",Tab_Calculs[[#This Row],[Colonne1]])),Tab_Calculs[[#This Row],[index_date_livraison]]-1,7)*(MAX(Tab_Calculs[[#This Row],[Début periode livraison]],Tab_Calculs[[#This Row],[Début mois]])-Tab_Calculs[[#This Row],[Début mois]])</f>
        <v>#VALUE!</v>
      </c>
      <c r="P961">
        <f ca="1">INDEX(INDIRECT(CONCATENATE("Tab_",Tab_Calculs[[#This Row],[Colonne1]])),Tab_Calculs[[#This Row],[index_date_livraison]],7)*(1+MIN(Tab_Calculs[[#This Row],[Date_livraison]],Tab_Calculs[[#This Row],[fin mois]])-MAX(Tab_Calculs[[#This Row],[Début mois]],Tab_Calculs[[#This Row],[Début periode livraison]]))</f>
        <v>0</v>
      </c>
      <c r="Q961" t="e">
        <f ca="1">INDEX(INDIRECT(CONCATENATE("Tab_",Tab_Calculs[[#This Row],[Colonne1]])),Tab_Calculs[[#This Row],[index_date_livraison]]+1,7)*(Tab_Calculs[[#This Row],[fin mois]]-MIN(Tab_Calculs[[#This Row],[fin mois]],Tab_Calculs[[#This Row],[Date_livraison]]))</f>
        <v>#VALUE!</v>
      </c>
      <c r="R961" t="e">
        <f ca="1">Tab_Calculs[[#This Row],[Ratio_Cout_après_livr]]+Tab_Calculs[[#This Row],[Ratio_Cout_avant_livr]]+Tab_Calculs[[#This Row],[Ratio_Cout_avant_debut]]</f>
        <v>#VALUE!</v>
      </c>
      <c r="S961" t="str">
        <f ca="1">IFERROR(N961*VLOOKUP(Tab_Calculs[[#This Row],[Colonne1]],Controle_des_données!$B$7:$G$14,6,FALSE),"")</f>
        <v/>
      </c>
      <c r="T961" t="str">
        <f ca="1">IF(Tab_Calculs[[#This Row],[Combustible ]]="Electricité (kWh)",Tab_Calculs[[#This Row],[Conso_mois_kWh]]*2.3,Tab_Calculs[[#This Row],[Conso_mois_kWh]])</f>
        <v/>
      </c>
      <c r="U961" t="str">
        <f ca="1">IFERROR(N961*VLOOKUP(Tab_Calculs[[#This Row],[Colonne1]],Controle_des_données!$B$7:$H$14,7,FALSE),"")</f>
        <v/>
      </c>
      <c r="V961">
        <f ca="1">IFERROR(Tab_Calculs[[#This Row],[Cout_mois]]/Tab_Calculs[[#This Row],[Conso_mois_kWh]],0)</f>
        <v>0</v>
      </c>
      <c r="W961" t="str">
        <f>T(VLOOKUP(Tab_Calculs[[#This Row],[Compteur]],Site!$B$33:$G$40,3,FALSE))</f>
        <v/>
      </c>
      <c r="X961" t="str">
        <f>T(VLOOKUP(Tab_Calculs[[#This Row],[Compteur]],Site!$B$33:$G$40,4,FALSE))</f>
        <v/>
      </c>
      <c r="Y961" t="str">
        <f>T(VLOOKUP(Tab_Calculs[[#This Row],[Compteur]],Site!$B$33:$G$40,5,FALSE))</f>
        <v/>
      </c>
      <c r="Z961" t="str">
        <f>T(VLOOKUP(Tab_Calculs[[#This Row],[Compteur]],Site!$B$33:$G$40,6,FALSE))</f>
        <v/>
      </c>
      <c r="AA961">
        <f>IFERROR(GETPIVOTDATA("DJU(chauffagiste)",BDD_DJU!$P$13,"annee",Tab_Calculs[[#This Row],[ANNEE]],"mois_numero",Tab_Calculs[[#This Row],[MOIS]]),0)</f>
        <v>0</v>
      </c>
    </row>
    <row r="962" spans="1:27" x14ac:dyDescent="0.25">
      <c r="A962" s="3">
        <f>DATE(Tab_Calculs[[#This Row],[ANNEE]],Tab_Calculs[[#This Row],[MOIS]],1)</f>
        <v>45809</v>
      </c>
      <c r="B962" s="3">
        <f>EDATE(Tab_Calculs[[#This Row],[Début mois]],1)-1</f>
        <v>45838</v>
      </c>
      <c r="C962">
        <f t="shared" si="31"/>
        <v>6</v>
      </c>
      <c r="D962">
        <f t="shared" si="34"/>
        <v>2025</v>
      </c>
      <c r="E962" t="s">
        <v>84</v>
      </c>
      <c r="F962" t="str">
        <f>SUBSTITUTE(Tab_Calculs[[#This Row],[Compteur]]," ","_")</f>
        <v>Compteur_5</v>
      </c>
      <c r="G962" t="str">
        <f>T(INDEX(Site!$B$33:$G$40, MATCH(Tab_Calculs[[#This Row],[Compteur]], Site!$B$33:$B$40,0),2))</f>
        <v/>
      </c>
      <c r="H962" s="3">
        <f t="array" aca="1" ref="H962" ca="1">MIN(IF(INDIRECT(CONCATENATE(Tab_Calculs[[#This Row],[Colonne1]],"!$B$2:$B$243"))&gt;=Calculs_Consos!$A962,INDIRECT(CONCATENATE(Tab_Calculs[[#This Row],[Colonne1]],"!$B$2:$B$243"))))</f>
        <v>0</v>
      </c>
      <c r="I962" s="3">
        <f ca="1">INDEX(INDIRECT(CONCATENATE("Tab_",Tab_Calculs[[#This Row],[Colonne1]])),Tab_Calculs[[#This Row],[index_date_livraison]],1)</f>
        <v>0</v>
      </c>
      <c r="J962">
        <f ca="1">MATCH(Tab_Calculs[[#This Row],[Date_livraison]],INDIRECT(CONCATENATE("Tab_",Tab_Calculs[[#This Row],[Colonne1]],"[Fin de période]")),0)</f>
        <v>1</v>
      </c>
      <c r="K962" t="e">
        <f ca="1">INDEX(INDIRECT(CONCATENATE("Tab_",Tab_Calculs[[#This Row],[Colonne1]])),Tab_Calculs[[#This Row],[index_date_livraison]]-1,6)*(MAX(Tab_Calculs[[#This Row],[Début periode livraison]],Tab_Calculs[[#This Row],[Début mois]])-Tab_Calculs[[#This Row],[Début mois]])</f>
        <v>#VALUE!</v>
      </c>
      <c r="L962" s="94">
        <f ca="1">INDEX(INDIRECT(CONCATENATE("Tab_",Tab_Calculs[[#This Row],[Colonne1]])),Tab_Calculs[[#This Row],[index_date_livraison]],6)*(1+MIN(Tab_Calculs[[#This Row],[Date_livraison]],Tab_Calculs[[#This Row],[fin mois]])-MAX(Tab_Calculs[[#This Row],[Début mois]],Tab_Calculs[[#This Row],[Début periode livraison]]))</f>
        <v>0</v>
      </c>
      <c r="M962" s="94" t="e">
        <f ca="1">INDEX(INDIRECT(CONCATENATE("Tab_",Tab_Calculs[[#This Row],[Colonne1]])),Tab_Calculs[[#This Row],[index_date_livraison]]+1,6)*(Tab_Calculs[[#This Row],[fin mois]]-MIN(Tab_Calculs[[#This Row],[fin mois]],Tab_Calculs[[#This Row],[Date_livraison]]))</f>
        <v>#VALUE!</v>
      </c>
      <c r="N962" s="231" t="str">
        <f ca="1">IFERROR(Tab_Calculs[[#This Row],[Ratio_jour_après_livr]]+Tab_Calculs[[#This Row],[Ratio_jour_avant_livr]]+Tab_Calculs[[#This Row],[ratio_avant_debut]],"")</f>
        <v/>
      </c>
      <c r="O962" t="e">
        <f ca="1">INDEX(INDIRECT(CONCATENATE("Tab_",Tab_Calculs[[#This Row],[Colonne1]])),Tab_Calculs[[#This Row],[index_date_livraison]]-1,7)*(MAX(Tab_Calculs[[#This Row],[Début periode livraison]],Tab_Calculs[[#This Row],[Début mois]])-Tab_Calculs[[#This Row],[Début mois]])</f>
        <v>#VALUE!</v>
      </c>
      <c r="P962">
        <f ca="1">INDEX(INDIRECT(CONCATENATE("Tab_",Tab_Calculs[[#This Row],[Colonne1]])),Tab_Calculs[[#This Row],[index_date_livraison]],7)*(1+MIN(Tab_Calculs[[#This Row],[Date_livraison]],Tab_Calculs[[#This Row],[fin mois]])-MAX(Tab_Calculs[[#This Row],[Début mois]],Tab_Calculs[[#This Row],[Début periode livraison]]))</f>
        <v>0</v>
      </c>
      <c r="Q962" t="e">
        <f ca="1">INDEX(INDIRECT(CONCATENATE("Tab_",Tab_Calculs[[#This Row],[Colonne1]])),Tab_Calculs[[#This Row],[index_date_livraison]]+1,7)*(Tab_Calculs[[#This Row],[fin mois]]-MIN(Tab_Calculs[[#This Row],[fin mois]],Tab_Calculs[[#This Row],[Date_livraison]]))</f>
        <v>#VALUE!</v>
      </c>
      <c r="R962" t="e">
        <f ca="1">Tab_Calculs[[#This Row],[Ratio_Cout_après_livr]]+Tab_Calculs[[#This Row],[Ratio_Cout_avant_livr]]+Tab_Calculs[[#This Row],[Ratio_Cout_avant_debut]]</f>
        <v>#VALUE!</v>
      </c>
      <c r="S962" t="str">
        <f ca="1">IFERROR(N962*VLOOKUP(Tab_Calculs[[#This Row],[Colonne1]],Controle_des_données!$B$7:$G$14,6,FALSE),"")</f>
        <v/>
      </c>
      <c r="T962" t="str">
        <f ca="1">IF(Tab_Calculs[[#This Row],[Combustible ]]="Electricité (kWh)",Tab_Calculs[[#This Row],[Conso_mois_kWh]]*2.3,Tab_Calculs[[#This Row],[Conso_mois_kWh]])</f>
        <v/>
      </c>
      <c r="U962" t="str">
        <f ca="1">IFERROR(N962*VLOOKUP(Tab_Calculs[[#This Row],[Colonne1]],Controle_des_données!$B$7:$H$14,7,FALSE),"")</f>
        <v/>
      </c>
      <c r="V962">
        <f ca="1">IFERROR(Tab_Calculs[[#This Row],[Cout_mois]]/Tab_Calculs[[#This Row],[Conso_mois_kWh]],0)</f>
        <v>0</v>
      </c>
      <c r="W962" t="str">
        <f>T(VLOOKUP(Tab_Calculs[[#This Row],[Compteur]],Site!$B$33:$G$40,3,FALSE))</f>
        <v/>
      </c>
      <c r="X962" t="str">
        <f>T(VLOOKUP(Tab_Calculs[[#This Row],[Compteur]],Site!$B$33:$G$40,4,FALSE))</f>
        <v/>
      </c>
      <c r="Y962" t="str">
        <f>T(VLOOKUP(Tab_Calculs[[#This Row],[Compteur]],Site!$B$33:$G$40,5,FALSE))</f>
        <v/>
      </c>
      <c r="Z962" t="str">
        <f>T(VLOOKUP(Tab_Calculs[[#This Row],[Compteur]],Site!$B$33:$G$40,6,FALSE))</f>
        <v/>
      </c>
      <c r="AA962">
        <f>IFERROR(GETPIVOTDATA("DJU(chauffagiste)",BDD_DJU!$P$13,"annee",Tab_Calculs[[#This Row],[ANNEE]],"mois_numero",Tab_Calculs[[#This Row],[MOIS]]),0)</f>
        <v>0</v>
      </c>
    </row>
    <row r="963" spans="1:27" x14ac:dyDescent="0.25">
      <c r="A963" s="3">
        <f>DATE(Tab_Calculs[[#This Row],[ANNEE]],Tab_Calculs[[#This Row],[MOIS]],1)</f>
        <v>45839</v>
      </c>
      <c r="B963" s="3">
        <f>EDATE(Tab_Calculs[[#This Row],[Début mois]],1)-1</f>
        <v>45869</v>
      </c>
      <c r="C963">
        <f t="shared" si="31"/>
        <v>7</v>
      </c>
      <c r="D963">
        <f t="shared" si="34"/>
        <v>2025</v>
      </c>
      <c r="E963" t="s">
        <v>84</v>
      </c>
      <c r="F963" t="str">
        <f>SUBSTITUTE(Tab_Calculs[[#This Row],[Compteur]]," ","_")</f>
        <v>Compteur_5</v>
      </c>
      <c r="G963" t="str">
        <f>T(INDEX(Site!$B$33:$G$40, MATCH(Tab_Calculs[[#This Row],[Compteur]], Site!$B$33:$B$40,0),2))</f>
        <v/>
      </c>
      <c r="H963" s="3">
        <f t="array" aca="1" ref="H963" ca="1">MIN(IF(INDIRECT(CONCATENATE(Tab_Calculs[[#This Row],[Colonne1]],"!$B$2:$B$243"))&gt;=Calculs_Consos!$A963,INDIRECT(CONCATENATE(Tab_Calculs[[#This Row],[Colonne1]],"!$B$2:$B$243"))))</f>
        <v>0</v>
      </c>
      <c r="I963" s="3">
        <f ca="1">INDEX(INDIRECT(CONCATENATE("Tab_",Tab_Calculs[[#This Row],[Colonne1]])),Tab_Calculs[[#This Row],[index_date_livraison]],1)</f>
        <v>0</v>
      </c>
      <c r="J963">
        <f ca="1">MATCH(Tab_Calculs[[#This Row],[Date_livraison]],INDIRECT(CONCATENATE("Tab_",Tab_Calculs[[#This Row],[Colonne1]],"[Fin de période]")),0)</f>
        <v>1</v>
      </c>
      <c r="K963" t="e">
        <f ca="1">INDEX(INDIRECT(CONCATENATE("Tab_",Tab_Calculs[[#This Row],[Colonne1]])),Tab_Calculs[[#This Row],[index_date_livraison]]-1,6)*(MAX(Tab_Calculs[[#This Row],[Début periode livraison]],Tab_Calculs[[#This Row],[Début mois]])-Tab_Calculs[[#This Row],[Début mois]])</f>
        <v>#VALUE!</v>
      </c>
      <c r="L963" s="94">
        <f ca="1">INDEX(INDIRECT(CONCATENATE("Tab_",Tab_Calculs[[#This Row],[Colonne1]])),Tab_Calculs[[#This Row],[index_date_livraison]],6)*(1+MIN(Tab_Calculs[[#This Row],[Date_livraison]],Tab_Calculs[[#This Row],[fin mois]])-MAX(Tab_Calculs[[#This Row],[Début mois]],Tab_Calculs[[#This Row],[Début periode livraison]]))</f>
        <v>0</v>
      </c>
      <c r="M963" s="94" t="e">
        <f ca="1">INDEX(INDIRECT(CONCATENATE("Tab_",Tab_Calculs[[#This Row],[Colonne1]])),Tab_Calculs[[#This Row],[index_date_livraison]]+1,6)*(Tab_Calculs[[#This Row],[fin mois]]-MIN(Tab_Calculs[[#This Row],[fin mois]],Tab_Calculs[[#This Row],[Date_livraison]]))</f>
        <v>#VALUE!</v>
      </c>
      <c r="N963" s="231" t="str">
        <f ca="1">IFERROR(Tab_Calculs[[#This Row],[Ratio_jour_après_livr]]+Tab_Calculs[[#This Row],[Ratio_jour_avant_livr]]+Tab_Calculs[[#This Row],[ratio_avant_debut]],"")</f>
        <v/>
      </c>
      <c r="O963" t="e">
        <f ca="1">INDEX(INDIRECT(CONCATENATE("Tab_",Tab_Calculs[[#This Row],[Colonne1]])),Tab_Calculs[[#This Row],[index_date_livraison]]-1,7)*(MAX(Tab_Calculs[[#This Row],[Début periode livraison]],Tab_Calculs[[#This Row],[Début mois]])-Tab_Calculs[[#This Row],[Début mois]])</f>
        <v>#VALUE!</v>
      </c>
      <c r="P963">
        <f ca="1">INDEX(INDIRECT(CONCATENATE("Tab_",Tab_Calculs[[#This Row],[Colonne1]])),Tab_Calculs[[#This Row],[index_date_livraison]],7)*(1+MIN(Tab_Calculs[[#This Row],[Date_livraison]],Tab_Calculs[[#This Row],[fin mois]])-MAX(Tab_Calculs[[#This Row],[Début mois]],Tab_Calculs[[#This Row],[Début periode livraison]]))</f>
        <v>0</v>
      </c>
      <c r="Q963" t="e">
        <f ca="1">INDEX(INDIRECT(CONCATENATE("Tab_",Tab_Calculs[[#This Row],[Colonne1]])),Tab_Calculs[[#This Row],[index_date_livraison]]+1,7)*(Tab_Calculs[[#This Row],[fin mois]]-MIN(Tab_Calculs[[#This Row],[fin mois]],Tab_Calculs[[#This Row],[Date_livraison]]))</f>
        <v>#VALUE!</v>
      </c>
      <c r="R963" t="e">
        <f ca="1">Tab_Calculs[[#This Row],[Ratio_Cout_après_livr]]+Tab_Calculs[[#This Row],[Ratio_Cout_avant_livr]]+Tab_Calculs[[#This Row],[Ratio_Cout_avant_debut]]</f>
        <v>#VALUE!</v>
      </c>
      <c r="S963" t="str">
        <f ca="1">IFERROR(N963*VLOOKUP(Tab_Calculs[[#This Row],[Colonne1]],Controle_des_données!$B$7:$G$14,6,FALSE),"")</f>
        <v/>
      </c>
      <c r="T963" t="str">
        <f ca="1">IF(Tab_Calculs[[#This Row],[Combustible ]]="Electricité (kWh)",Tab_Calculs[[#This Row],[Conso_mois_kWh]]*2.3,Tab_Calculs[[#This Row],[Conso_mois_kWh]])</f>
        <v/>
      </c>
      <c r="U963" t="str">
        <f ca="1">IFERROR(N963*VLOOKUP(Tab_Calculs[[#This Row],[Colonne1]],Controle_des_données!$B$7:$H$14,7,FALSE),"")</f>
        <v/>
      </c>
      <c r="V963">
        <f ca="1">IFERROR(Tab_Calculs[[#This Row],[Cout_mois]]/Tab_Calculs[[#This Row],[Conso_mois_kWh]],0)</f>
        <v>0</v>
      </c>
      <c r="W963" t="str">
        <f>T(VLOOKUP(Tab_Calculs[[#This Row],[Compteur]],Site!$B$33:$G$40,3,FALSE))</f>
        <v/>
      </c>
      <c r="X963" t="str">
        <f>T(VLOOKUP(Tab_Calculs[[#This Row],[Compteur]],Site!$B$33:$G$40,4,FALSE))</f>
        <v/>
      </c>
      <c r="Y963" t="str">
        <f>T(VLOOKUP(Tab_Calculs[[#This Row],[Compteur]],Site!$B$33:$G$40,5,FALSE))</f>
        <v/>
      </c>
      <c r="Z963" t="str">
        <f>T(VLOOKUP(Tab_Calculs[[#This Row],[Compteur]],Site!$B$33:$G$40,6,FALSE))</f>
        <v/>
      </c>
      <c r="AA963">
        <f>IFERROR(GETPIVOTDATA("DJU(chauffagiste)",BDD_DJU!$P$13,"annee",Tab_Calculs[[#This Row],[ANNEE]],"mois_numero",Tab_Calculs[[#This Row],[MOIS]]),0)</f>
        <v>0</v>
      </c>
    </row>
    <row r="964" spans="1:27" x14ac:dyDescent="0.25">
      <c r="A964" s="3">
        <f>DATE(Tab_Calculs[[#This Row],[ANNEE]],Tab_Calculs[[#This Row],[MOIS]],1)</f>
        <v>45870</v>
      </c>
      <c r="B964" s="3">
        <f>EDATE(Tab_Calculs[[#This Row],[Début mois]],1)-1</f>
        <v>45900</v>
      </c>
      <c r="C964">
        <f t="shared" si="31"/>
        <v>8</v>
      </c>
      <c r="D964">
        <f t="shared" si="34"/>
        <v>2025</v>
      </c>
      <c r="E964" t="s">
        <v>84</v>
      </c>
      <c r="F964" t="str">
        <f>SUBSTITUTE(Tab_Calculs[[#This Row],[Compteur]]," ","_")</f>
        <v>Compteur_5</v>
      </c>
      <c r="G964" t="str">
        <f>T(INDEX(Site!$B$33:$G$40, MATCH(Tab_Calculs[[#This Row],[Compteur]], Site!$B$33:$B$40,0),2))</f>
        <v/>
      </c>
      <c r="H964" s="3">
        <f t="array" aca="1" ref="H964" ca="1">MIN(IF(INDIRECT(CONCATENATE(Tab_Calculs[[#This Row],[Colonne1]],"!$B$2:$B$243"))&gt;=Calculs_Consos!$A964,INDIRECT(CONCATENATE(Tab_Calculs[[#This Row],[Colonne1]],"!$B$2:$B$243"))))</f>
        <v>0</v>
      </c>
      <c r="I964" s="3">
        <f ca="1">INDEX(INDIRECT(CONCATENATE("Tab_",Tab_Calculs[[#This Row],[Colonne1]])),Tab_Calculs[[#This Row],[index_date_livraison]],1)</f>
        <v>0</v>
      </c>
      <c r="J964">
        <f ca="1">MATCH(Tab_Calculs[[#This Row],[Date_livraison]],INDIRECT(CONCATENATE("Tab_",Tab_Calculs[[#This Row],[Colonne1]],"[Fin de période]")),0)</f>
        <v>1</v>
      </c>
      <c r="K964" t="e">
        <f ca="1">INDEX(INDIRECT(CONCATENATE("Tab_",Tab_Calculs[[#This Row],[Colonne1]])),Tab_Calculs[[#This Row],[index_date_livraison]]-1,6)*(MAX(Tab_Calculs[[#This Row],[Début periode livraison]],Tab_Calculs[[#This Row],[Début mois]])-Tab_Calculs[[#This Row],[Début mois]])</f>
        <v>#VALUE!</v>
      </c>
      <c r="L964" s="94">
        <f ca="1">INDEX(INDIRECT(CONCATENATE("Tab_",Tab_Calculs[[#This Row],[Colonne1]])),Tab_Calculs[[#This Row],[index_date_livraison]],6)*(1+MIN(Tab_Calculs[[#This Row],[Date_livraison]],Tab_Calculs[[#This Row],[fin mois]])-MAX(Tab_Calculs[[#This Row],[Début mois]],Tab_Calculs[[#This Row],[Début periode livraison]]))</f>
        <v>0</v>
      </c>
      <c r="M964" s="94" t="e">
        <f ca="1">INDEX(INDIRECT(CONCATENATE("Tab_",Tab_Calculs[[#This Row],[Colonne1]])),Tab_Calculs[[#This Row],[index_date_livraison]]+1,6)*(Tab_Calculs[[#This Row],[fin mois]]-MIN(Tab_Calculs[[#This Row],[fin mois]],Tab_Calculs[[#This Row],[Date_livraison]]))</f>
        <v>#VALUE!</v>
      </c>
      <c r="N964" s="231" t="str">
        <f ca="1">IFERROR(Tab_Calculs[[#This Row],[Ratio_jour_après_livr]]+Tab_Calculs[[#This Row],[Ratio_jour_avant_livr]]+Tab_Calculs[[#This Row],[ratio_avant_debut]],"")</f>
        <v/>
      </c>
      <c r="O964" t="e">
        <f ca="1">INDEX(INDIRECT(CONCATENATE("Tab_",Tab_Calculs[[#This Row],[Colonne1]])),Tab_Calculs[[#This Row],[index_date_livraison]]-1,7)*(MAX(Tab_Calculs[[#This Row],[Début periode livraison]],Tab_Calculs[[#This Row],[Début mois]])-Tab_Calculs[[#This Row],[Début mois]])</f>
        <v>#VALUE!</v>
      </c>
      <c r="P964">
        <f ca="1">INDEX(INDIRECT(CONCATENATE("Tab_",Tab_Calculs[[#This Row],[Colonne1]])),Tab_Calculs[[#This Row],[index_date_livraison]],7)*(1+MIN(Tab_Calculs[[#This Row],[Date_livraison]],Tab_Calculs[[#This Row],[fin mois]])-MAX(Tab_Calculs[[#This Row],[Début mois]],Tab_Calculs[[#This Row],[Début periode livraison]]))</f>
        <v>0</v>
      </c>
      <c r="Q964" t="e">
        <f ca="1">INDEX(INDIRECT(CONCATENATE("Tab_",Tab_Calculs[[#This Row],[Colonne1]])),Tab_Calculs[[#This Row],[index_date_livraison]]+1,7)*(Tab_Calculs[[#This Row],[fin mois]]-MIN(Tab_Calculs[[#This Row],[fin mois]],Tab_Calculs[[#This Row],[Date_livraison]]))</f>
        <v>#VALUE!</v>
      </c>
      <c r="R964" t="e">
        <f ca="1">Tab_Calculs[[#This Row],[Ratio_Cout_après_livr]]+Tab_Calculs[[#This Row],[Ratio_Cout_avant_livr]]+Tab_Calculs[[#This Row],[Ratio_Cout_avant_debut]]</f>
        <v>#VALUE!</v>
      </c>
      <c r="S964" t="str">
        <f ca="1">IFERROR(N964*VLOOKUP(Tab_Calculs[[#This Row],[Colonne1]],Controle_des_données!$B$7:$G$14,6,FALSE),"")</f>
        <v/>
      </c>
      <c r="T964" t="str">
        <f ca="1">IF(Tab_Calculs[[#This Row],[Combustible ]]="Electricité (kWh)",Tab_Calculs[[#This Row],[Conso_mois_kWh]]*2.3,Tab_Calculs[[#This Row],[Conso_mois_kWh]])</f>
        <v/>
      </c>
      <c r="U964" t="str">
        <f ca="1">IFERROR(N964*VLOOKUP(Tab_Calculs[[#This Row],[Colonne1]],Controle_des_données!$B$7:$H$14,7,FALSE),"")</f>
        <v/>
      </c>
      <c r="V964">
        <f ca="1">IFERROR(Tab_Calculs[[#This Row],[Cout_mois]]/Tab_Calculs[[#This Row],[Conso_mois_kWh]],0)</f>
        <v>0</v>
      </c>
      <c r="W964" t="str">
        <f>T(VLOOKUP(Tab_Calculs[[#This Row],[Compteur]],Site!$B$33:$G$40,3,FALSE))</f>
        <v/>
      </c>
      <c r="X964" t="str">
        <f>T(VLOOKUP(Tab_Calculs[[#This Row],[Compteur]],Site!$B$33:$G$40,4,FALSE))</f>
        <v/>
      </c>
      <c r="Y964" t="str">
        <f>T(VLOOKUP(Tab_Calculs[[#This Row],[Compteur]],Site!$B$33:$G$40,5,FALSE))</f>
        <v/>
      </c>
      <c r="Z964" t="str">
        <f>T(VLOOKUP(Tab_Calculs[[#This Row],[Compteur]],Site!$B$33:$G$40,6,FALSE))</f>
        <v/>
      </c>
      <c r="AA964">
        <f>IFERROR(GETPIVOTDATA("DJU(chauffagiste)",BDD_DJU!$P$13,"annee",Tab_Calculs[[#This Row],[ANNEE]],"mois_numero",Tab_Calculs[[#This Row],[MOIS]]),0)</f>
        <v>0</v>
      </c>
    </row>
    <row r="965" spans="1:27" x14ac:dyDescent="0.25">
      <c r="A965" s="3">
        <f>DATE(Tab_Calculs[[#This Row],[ANNEE]],Tab_Calculs[[#This Row],[MOIS]],1)</f>
        <v>45901</v>
      </c>
      <c r="B965" s="3">
        <f>EDATE(Tab_Calculs[[#This Row],[Début mois]],1)-1</f>
        <v>45930</v>
      </c>
      <c r="C965">
        <f t="shared" si="31"/>
        <v>9</v>
      </c>
      <c r="D965">
        <f t="shared" si="34"/>
        <v>2025</v>
      </c>
      <c r="E965" t="s">
        <v>84</v>
      </c>
      <c r="F965" t="str">
        <f>SUBSTITUTE(Tab_Calculs[[#This Row],[Compteur]]," ","_")</f>
        <v>Compteur_5</v>
      </c>
      <c r="G965" t="str">
        <f>T(INDEX(Site!$B$33:$G$40, MATCH(Tab_Calculs[[#This Row],[Compteur]], Site!$B$33:$B$40,0),2))</f>
        <v/>
      </c>
      <c r="H965" s="3">
        <f t="array" aca="1" ref="H965" ca="1">MIN(IF(INDIRECT(CONCATENATE(Tab_Calculs[[#This Row],[Colonne1]],"!$B$2:$B$243"))&gt;=Calculs_Consos!$A965,INDIRECT(CONCATENATE(Tab_Calculs[[#This Row],[Colonne1]],"!$B$2:$B$243"))))</f>
        <v>0</v>
      </c>
      <c r="I965" s="3">
        <f ca="1">INDEX(INDIRECT(CONCATENATE("Tab_",Tab_Calculs[[#This Row],[Colonne1]])),Tab_Calculs[[#This Row],[index_date_livraison]],1)</f>
        <v>0</v>
      </c>
      <c r="J965">
        <f ca="1">MATCH(Tab_Calculs[[#This Row],[Date_livraison]],INDIRECT(CONCATENATE("Tab_",Tab_Calculs[[#This Row],[Colonne1]],"[Fin de période]")),0)</f>
        <v>1</v>
      </c>
      <c r="K965" t="e">
        <f ca="1">INDEX(INDIRECT(CONCATENATE("Tab_",Tab_Calculs[[#This Row],[Colonne1]])),Tab_Calculs[[#This Row],[index_date_livraison]]-1,6)*(MAX(Tab_Calculs[[#This Row],[Début periode livraison]],Tab_Calculs[[#This Row],[Début mois]])-Tab_Calculs[[#This Row],[Début mois]])</f>
        <v>#VALUE!</v>
      </c>
      <c r="L965" s="94">
        <f ca="1">INDEX(INDIRECT(CONCATENATE("Tab_",Tab_Calculs[[#This Row],[Colonne1]])),Tab_Calculs[[#This Row],[index_date_livraison]],6)*(1+MIN(Tab_Calculs[[#This Row],[Date_livraison]],Tab_Calculs[[#This Row],[fin mois]])-MAX(Tab_Calculs[[#This Row],[Début mois]],Tab_Calculs[[#This Row],[Début periode livraison]]))</f>
        <v>0</v>
      </c>
      <c r="M965" s="94" t="e">
        <f ca="1">INDEX(INDIRECT(CONCATENATE("Tab_",Tab_Calculs[[#This Row],[Colonne1]])),Tab_Calculs[[#This Row],[index_date_livraison]]+1,6)*(Tab_Calculs[[#This Row],[fin mois]]-MIN(Tab_Calculs[[#This Row],[fin mois]],Tab_Calculs[[#This Row],[Date_livraison]]))</f>
        <v>#VALUE!</v>
      </c>
      <c r="N965" s="231" t="str">
        <f ca="1">IFERROR(Tab_Calculs[[#This Row],[Ratio_jour_après_livr]]+Tab_Calculs[[#This Row],[Ratio_jour_avant_livr]]+Tab_Calculs[[#This Row],[ratio_avant_debut]],"")</f>
        <v/>
      </c>
      <c r="O965" t="e">
        <f ca="1">INDEX(INDIRECT(CONCATENATE("Tab_",Tab_Calculs[[#This Row],[Colonne1]])),Tab_Calculs[[#This Row],[index_date_livraison]]-1,7)*(MAX(Tab_Calculs[[#This Row],[Début periode livraison]],Tab_Calculs[[#This Row],[Début mois]])-Tab_Calculs[[#This Row],[Début mois]])</f>
        <v>#VALUE!</v>
      </c>
      <c r="P965">
        <f ca="1">INDEX(INDIRECT(CONCATENATE("Tab_",Tab_Calculs[[#This Row],[Colonne1]])),Tab_Calculs[[#This Row],[index_date_livraison]],7)*(1+MIN(Tab_Calculs[[#This Row],[Date_livraison]],Tab_Calculs[[#This Row],[fin mois]])-MAX(Tab_Calculs[[#This Row],[Début mois]],Tab_Calculs[[#This Row],[Début periode livraison]]))</f>
        <v>0</v>
      </c>
      <c r="Q965" t="e">
        <f ca="1">INDEX(INDIRECT(CONCATENATE("Tab_",Tab_Calculs[[#This Row],[Colonne1]])),Tab_Calculs[[#This Row],[index_date_livraison]]+1,7)*(Tab_Calculs[[#This Row],[fin mois]]-MIN(Tab_Calculs[[#This Row],[fin mois]],Tab_Calculs[[#This Row],[Date_livraison]]))</f>
        <v>#VALUE!</v>
      </c>
      <c r="R965" t="e">
        <f ca="1">Tab_Calculs[[#This Row],[Ratio_Cout_après_livr]]+Tab_Calculs[[#This Row],[Ratio_Cout_avant_livr]]+Tab_Calculs[[#This Row],[Ratio_Cout_avant_debut]]</f>
        <v>#VALUE!</v>
      </c>
      <c r="S965" t="str">
        <f ca="1">IFERROR(N965*VLOOKUP(Tab_Calculs[[#This Row],[Colonne1]],Controle_des_données!$B$7:$G$14,6,FALSE),"")</f>
        <v/>
      </c>
      <c r="T965" t="str">
        <f ca="1">IF(Tab_Calculs[[#This Row],[Combustible ]]="Electricité (kWh)",Tab_Calculs[[#This Row],[Conso_mois_kWh]]*2.3,Tab_Calculs[[#This Row],[Conso_mois_kWh]])</f>
        <v/>
      </c>
      <c r="U965" t="str">
        <f ca="1">IFERROR(N965*VLOOKUP(Tab_Calculs[[#This Row],[Colonne1]],Controle_des_données!$B$7:$H$14,7,FALSE),"")</f>
        <v/>
      </c>
      <c r="V965">
        <f ca="1">IFERROR(Tab_Calculs[[#This Row],[Cout_mois]]/Tab_Calculs[[#This Row],[Conso_mois_kWh]],0)</f>
        <v>0</v>
      </c>
      <c r="W965" t="str">
        <f>T(VLOOKUP(Tab_Calculs[[#This Row],[Compteur]],Site!$B$33:$G$40,3,FALSE))</f>
        <v/>
      </c>
      <c r="X965" t="str">
        <f>T(VLOOKUP(Tab_Calculs[[#This Row],[Compteur]],Site!$B$33:$G$40,4,FALSE))</f>
        <v/>
      </c>
      <c r="Y965" t="str">
        <f>T(VLOOKUP(Tab_Calculs[[#This Row],[Compteur]],Site!$B$33:$G$40,5,FALSE))</f>
        <v/>
      </c>
      <c r="Z965" t="str">
        <f>T(VLOOKUP(Tab_Calculs[[#This Row],[Compteur]],Site!$B$33:$G$40,6,FALSE))</f>
        <v/>
      </c>
      <c r="AA965">
        <f>IFERROR(GETPIVOTDATA("DJU(chauffagiste)",BDD_DJU!$P$13,"annee",Tab_Calculs[[#This Row],[ANNEE]],"mois_numero",Tab_Calculs[[#This Row],[MOIS]]),0)</f>
        <v>0</v>
      </c>
    </row>
    <row r="966" spans="1:27" x14ac:dyDescent="0.25">
      <c r="A966" s="3">
        <f>DATE(Tab_Calculs[[#This Row],[ANNEE]],Tab_Calculs[[#This Row],[MOIS]],1)</f>
        <v>45931</v>
      </c>
      <c r="B966" s="3">
        <f>EDATE(Tab_Calculs[[#This Row],[Début mois]],1)-1</f>
        <v>45961</v>
      </c>
      <c r="C966">
        <f t="shared" si="31"/>
        <v>10</v>
      </c>
      <c r="D966">
        <f t="shared" si="34"/>
        <v>2025</v>
      </c>
      <c r="E966" t="s">
        <v>84</v>
      </c>
      <c r="F966" t="str">
        <f>SUBSTITUTE(Tab_Calculs[[#This Row],[Compteur]]," ","_")</f>
        <v>Compteur_5</v>
      </c>
      <c r="G966" t="str">
        <f>T(INDEX(Site!$B$33:$G$40, MATCH(Tab_Calculs[[#This Row],[Compteur]], Site!$B$33:$B$40,0),2))</f>
        <v/>
      </c>
      <c r="H966" s="3">
        <f t="array" aca="1" ref="H966" ca="1">MIN(IF(INDIRECT(CONCATENATE(Tab_Calculs[[#This Row],[Colonne1]],"!$B$2:$B$243"))&gt;=Calculs_Consos!$A966,INDIRECT(CONCATENATE(Tab_Calculs[[#This Row],[Colonne1]],"!$B$2:$B$243"))))</f>
        <v>0</v>
      </c>
      <c r="I966" s="3">
        <f ca="1">INDEX(INDIRECT(CONCATENATE("Tab_",Tab_Calculs[[#This Row],[Colonne1]])),Tab_Calculs[[#This Row],[index_date_livraison]],1)</f>
        <v>0</v>
      </c>
      <c r="J966">
        <f ca="1">MATCH(Tab_Calculs[[#This Row],[Date_livraison]],INDIRECT(CONCATENATE("Tab_",Tab_Calculs[[#This Row],[Colonne1]],"[Fin de période]")),0)</f>
        <v>1</v>
      </c>
      <c r="K966" t="e">
        <f ca="1">INDEX(INDIRECT(CONCATENATE("Tab_",Tab_Calculs[[#This Row],[Colonne1]])),Tab_Calculs[[#This Row],[index_date_livraison]]-1,6)*(MAX(Tab_Calculs[[#This Row],[Début periode livraison]],Tab_Calculs[[#This Row],[Début mois]])-Tab_Calculs[[#This Row],[Début mois]])</f>
        <v>#VALUE!</v>
      </c>
      <c r="L966" s="94">
        <f ca="1">INDEX(INDIRECT(CONCATENATE("Tab_",Tab_Calculs[[#This Row],[Colonne1]])),Tab_Calculs[[#This Row],[index_date_livraison]],6)*(1+MIN(Tab_Calculs[[#This Row],[Date_livraison]],Tab_Calculs[[#This Row],[fin mois]])-MAX(Tab_Calculs[[#This Row],[Début mois]],Tab_Calculs[[#This Row],[Début periode livraison]]))</f>
        <v>0</v>
      </c>
      <c r="M966" s="94" t="e">
        <f ca="1">INDEX(INDIRECT(CONCATENATE("Tab_",Tab_Calculs[[#This Row],[Colonne1]])),Tab_Calculs[[#This Row],[index_date_livraison]]+1,6)*(Tab_Calculs[[#This Row],[fin mois]]-MIN(Tab_Calculs[[#This Row],[fin mois]],Tab_Calculs[[#This Row],[Date_livraison]]))</f>
        <v>#VALUE!</v>
      </c>
      <c r="N966" s="231" t="str">
        <f ca="1">IFERROR(Tab_Calculs[[#This Row],[Ratio_jour_après_livr]]+Tab_Calculs[[#This Row],[Ratio_jour_avant_livr]]+Tab_Calculs[[#This Row],[ratio_avant_debut]],"")</f>
        <v/>
      </c>
      <c r="O966" t="e">
        <f ca="1">INDEX(INDIRECT(CONCATENATE("Tab_",Tab_Calculs[[#This Row],[Colonne1]])),Tab_Calculs[[#This Row],[index_date_livraison]]-1,7)*(MAX(Tab_Calculs[[#This Row],[Début periode livraison]],Tab_Calculs[[#This Row],[Début mois]])-Tab_Calculs[[#This Row],[Début mois]])</f>
        <v>#VALUE!</v>
      </c>
      <c r="P966">
        <f ca="1">INDEX(INDIRECT(CONCATENATE("Tab_",Tab_Calculs[[#This Row],[Colonne1]])),Tab_Calculs[[#This Row],[index_date_livraison]],7)*(1+MIN(Tab_Calculs[[#This Row],[Date_livraison]],Tab_Calculs[[#This Row],[fin mois]])-MAX(Tab_Calculs[[#This Row],[Début mois]],Tab_Calculs[[#This Row],[Début periode livraison]]))</f>
        <v>0</v>
      </c>
      <c r="Q966" t="e">
        <f ca="1">INDEX(INDIRECT(CONCATENATE("Tab_",Tab_Calculs[[#This Row],[Colonne1]])),Tab_Calculs[[#This Row],[index_date_livraison]]+1,7)*(Tab_Calculs[[#This Row],[fin mois]]-MIN(Tab_Calculs[[#This Row],[fin mois]],Tab_Calculs[[#This Row],[Date_livraison]]))</f>
        <v>#VALUE!</v>
      </c>
      <c r="R966" t="e">
        <f ca="1">Tab_Calculs[[#This Row],[Ratio_Cout_après_livr]]+Tab_Calculs[[#This Row],[Ratio_Cout_avant_livr]]+Tab_Calculs[[#This Row],[Ratio_Cout_avant_debut]]</f>
        <v>#VALUE!</v>
      </c>
      <c r="S966" t="str">
        <f ca="1">IFERROR(N966*VLOOKUP(Tab_Calculs[[#This Row],[Colonne1]],Controle_des_données!$B$7:$G$14,6,FALSE),"")</f>
        <v/>
      </c>
      <c r="T966" t="str">
        <f ca="1">IF(Tab_Calculs[[#This Row],[Combustible ]]="Electricité (kWh)",Tab_Calculs[[#This Row],[Conso_mois_kWh]]*2.3,Tab_Calculs[[#This Row],[Conso_mois_kWh]])</f>
        <v/>
      </c>
      <c r="U966" t="str">
        <f ca="1">IFERROR(N966*VLOOKUP(Tab_Calculs[[#This Row],[Colonne1]],Controle_des_données!$B$7:$H$14,7,FALSE),"")</f>
        <v/>
      </c>
      <c r="V966">
        <f ca="1">IFERROR(Tab_Calculs[[#This Row],[Cout_mois]]/Tab_Calculs[[#This Row],[Conso_mois_kWh]],0)</f>
        <v>0</v>
      </c>
      <c r="W966" t="str">
        <f>T(VLOOKUP(Tab_Calculs[[#This Row],[Compteur]],Site!$B$33:$G$40,3,FALSE))</f>
        <v/>
      </c>
      <c r="X966" t="str">
        <f>T(VLOOKUP(Tab_Calculs[[#This Row],[Compteur]],Site!$B$33:$G$40,4,FALSE))</f>
        <v/>
      </c>
      <c r="Y966" t="str">
        <f>T(VLOOKUP(Tab_Calculs[[#This Row],[Compteur]],Site!$B$33:$G$40,5,FALSE))</f>
        <v/>
      </c>
      <c r="Z966" t="str">
        <f>T(VLOOKUP(Tab_Calculs[[#This Row],[Compteur]],Site!$B$33:$G$40,6,FALSE))</f>
        <v/>
      </c>
      <c r="AA966">
        <f>IFERROR(GETPIVOTDATA("DJU(chauffagiste)",BDD_DJU!$P$13,"annee",Tab_Calculs[[#This Row],[ANNEE]],"mois_numero",Tab_Calculs[[#This Row],[MOIS]]),0)</f>
        <v>0</v>
      </c>
    </row>
    <row r="967" spans="1:27" x14ac:dyDescent="0.25">
      <c r="A967" s="3">
        <f>DATE(Tab_Calculs[[#This Row],[ANNEE]],Tab_Calculs[[#This Row],[MOIS]],1)</f>
        <v>45962</v>
      </c>
      <c r="B967" s="3">
        <f>EDATE(Tab_Calculs[[#This Row],[Début mois]],1)-1</f>
        <v>45991</v>
      </c>
      <c r="C967">
        <f t="shared" si="31"/>
        <v>11</v>
      </c>
      <c r="D967">
        <f t="shared" si="34"/>
        <v>2025</v>
      </c>
      <c r="E967" t="s">
        <v>84</v>
      </c>
      <c r="F967" t="str">
        <f>SUBSTITUTE(Tab_Calculs[[#This Row],[Compteur]]," ","_")</f>
        <v>Compteur_5</v>
      </c>
      <c r="G967" t="str">
        <f>T(INDEX(Site!$B$33:$G$40, MATCH(Tab_Calculs[[#This Row],[Compteur]], Site!$B$33:$B$40,0),2))</f>
        <v/>
      </c>
      <c r="H967" s="3">
        <f t="array" aca="1" ref="H967" ca="1">MIN(IF(INDIRECT(CONCATENATE(Tab_Calculs[[#This Row],[Colonne1]],"!$B$2:$B$243"))&gt;=Calculs_Consos!$A967,INDIRECT(CONCATENATE(Tab_Calculs[[#This Row],[Colonne1]],"!$B$2:$B$243"))))</f>
        <v>0</v>
      </c>
      <c r="I967" s="3">
        <f ca="1">INDEX(INDIRECT(CONCATENATE("Tab_",Tab_Calculs[[#This Row],[Colonne1]])),Tab_Calculs[[#This Row],[index_date_livraison]],1)</f>
        <v>0</v>
      </c>
      <c r="J967">
        <f ca="1">MATCH(Tab_Calculs[[#This Row],[Date_livraison]],INDIRECT(CONCATENATE("Tab_",Tab_Calculs[[#This Row],[Colonne1]],"[Fin de période]")),0)</f>
        <v>1</v>
      </c>
      <c r="K967" t="e">
        <f ca="1">INDEX(INDIRECT(CONCATENATE("Tab_",Tab_Calculs[[#This Row],[Colonne1]])),Tab_Calculs[[#This Row],[index_date_livraison]]-1,6)*(MAX(Tab_Calculs[[#This Row],[Début periode livraison]],Tab_Calculs[[#This Row],[Début mois]])-Tab_Calculs[[#This Row],[Début mois]])</f>
        <v>#VALUE!</v>
      </c>
      <c r="L967" s="94">
        <f ca="1">INDEX(INDIRECT(CONCATENATE("Tab_",Tab_Calculs[[#This Row],[Colonne1]])),Tab_Calculs[[#This Row],[index_date_livraison]],6)*(1+MIN(Tab_Calculs[[#This Row],[Date_livraison]],Tab_Calculs[[#This Row],[fin mois]])-MAX(Tab_Calculs[[#This Row],[Début mois]],Tab_Calculs[[#This Row],[Début periode livraison]]))</f>
        <v>0</v>
      </c>
      <c r="M967" s="94" t="e">
        <f ca="1">INDEX(INDIRECT(CONCATENATE("Tab_",Tab_Calculs[[#This Row],[Colonne1]])),Tab_Calculs[[#This Row],[index_date_livraison]]+1,6)*(Tab_Calculs[[#This Row],[fin mois]]-MIN(Tab_Calculs[[#This Row],[fin mois]],Tab_Calculs[[#This Row],[Date_livraison]]))</f>
        <v>#VALUE!</v>
      </c>
      <c r="N967" s="231" t="str">
        <f ca="1">IFERROR(Tab_Calculs[[#This Row],[Ratio_jour_après_livr]]+Tab_Calculs[[#This Row],[Ratio_jour_avant_livr]]+Tab_Calculs[[#This Row],[ratio_avant_debut]],"")</f>
        <v/>
      </c>
      <c r="O967" t="e">
        <f ca="1">INDEX(INDIRECT(CONCATENATE("Tab_",Tab_Calculs[[#This Row],[Colonne1]])),Tab_Calculs[[#This Row],[index_date_livraison]]-1,7)*(MAX(Tab_Calculs[[#This Row],[Début periode livraison]],Tab_Calculs[[#This Row],[Début mois]])-Tab_Calculs[[#This Row],[Début mois]])</f>
        <v>#VALUE!</v>
      </c>
      <c r="P967">
        <f ca="1">INDEX(INDIRECT(CONCATENATE("Tab_",Tab_Calculs[[#This Row],[Colonne1]])),Tab_Calculs[[#This Row],[index_date_livraison]],7)*(1+MIN(Tab_Calculs[[#This Row],[Date_livraison]],Tab_Calculs[[#This Row],[fin mois]])-MAX(Tab_Calculs[[#This Row],[Début mois]],Tab_Calculs[[#This Row],[Début periode livraison]]))</f>
        <v>0</v>
      </c>
      <c r="Q967" t="e">
        <f ca="1">INDEX(INDIRECT(CONCATENATE("Tab_",Tab_Calculs[[#This Row],[Colonne1]])),Tab_Calculs[[#This Row],[index_date_livraison]]+1,7)*(Tab_Calculs[[#This Row],[fin mois]]-MIN(Tab_Calculs[[#This Row],[fin mois]],Tab_Calculs[[#This Row],[Date_livraison]]))</f>
        <v>#VALUE!</v>
      </c>
      <c r="R967" t="e">
        <f ca="1">Tab_Calculs[[#This Row],[Ratio_Cout_après_livr]]+Tab_Calculs[[#This Row],[Ratio_Cout_avant_livr]]+Tab_Calculs[[#This Row],[Ratio_Cout_avant_debut]]</f>
        <v>#VALUE!</v>
      </c>
      <c r="S967" t="str">
        <f ca="1">IFERROR(N967*VLOOKUP(Tab_Calculs[[#This Row],[Colonne1]],Controle_des_données!$B$7:$G$14,6,FALSE),"")</f>
        <v/>
      </c>
      <c r="T967" t="str">
        <f ca="1">IF(Tab_Calculs[[#This Row],[Combustible ]]="Electricité (kWh)",Tab_Calculs[[#This Row],[Conso_mois_kWh]]*2.3,Tab_Calculs[[#This Row],[Conso_mois_kWh]])</f>
        <v/>
      </c>
      <c r="U967" t="str">
        <f ca="1">IFERROR(N967*VLOOKUP(Tab_Calculs[[#This Row],[Colonne1]],Controle_des_données!$B$7:$H$14,7,FALSE),"")</f>
        <v/>
      </c>
      <c r="V967">
        <f ca="1">IFERROR(Tab_Calculs[[#This Row],[Cout_mois]]/Tab_Calculs[[#This Row],[Conso_mois_kWh]],0)</f>
        <v>0</v>
      </c>
      <c r="W967" t="str">
        <f>T(VLOOKUP(Tab_Calculs[[#This Row],[Compteur]],Site!$B$33:$G$40,3,FALSE))</f>
        <v/>
      </c>
      <c r="X967" t="str">
        <f>T(VLOOKUP(Tab_Calculs[[#This Row],[Compteur]],Site!$B$33:$G$40,4,FALSE))</f>
        <v/>
      </c>
      <c r="Y967" t="str">
        <f>T(VLOOKUP(Tab_Calculs[[#This Row],[Compteur]],Site!$B$33:$G$40,5,FALSE))</f>
        <v/>
      </c>
      <c r="Z967" t="str">
        <f>T(VLOOKUP(Tab_Calculs[[#This Row],[Compteur]],Site!$B$33:$G$40,6,FALSE))</f>
        <v/>
      </c>
      <c r="AA967">
        <f>IFERROR(GETPIVOTDATA("DJU(chauffagiste)",BDD_DJU!$P$13,"annee",Tab_Calculs[[#This Row],[ANNEE]],"mois_numero",Tab_Calculs[[#This Row],[MOIS]]),0)</f>
        <v>0</v>
      </c>
    </row>
    <row r="968" spans="1:27" x14ac:dyDescent="0.25">
      <c r="A968" s="3">
        <f>DATE(Tab_Calculs[[#This Row],[ANNEE]],Tab_Calculs[[#This Row],[MOIS]],1)</f>
        <v>45992</v>
      </c>
      <c r="B968" s="3">
        <f>EDATE(Tab_Calculs[[#This Row],[Début mois]],1)-1</f>
        <v>46022</v>
      </c>
      <c r="C968">
        <f t="shared" si="31"/>
        <v>12</v>
      </c>
      <c r="D968">
        <f t="shared" si="34"/>
        <v>2025</v>
      </c>
      <c r="E968" t="s">
        <v>84</v>
      </c>
      <c r="F968" t="str">
        <f>SUBSTITUTE(Tab_Calculs[[#This Row],[Compteur]]," ","_")</f>
        <v>Compteur_5</v>
      </c>
      <c r="G968" t="str">
        <f>T(INDEX(Site!$B$33:$G$40, MATCH(Tab_Calculs[[#This Row],[Compteur]], Site!$B$33:$B$40,0),2))</f>
        <v/>
      </c>
      <c r="H968" s="3">
        <f t="array" aca="1" ref="H968" ca="1">MIN(IF(INDIRECT(CONCATENATE(Tab_Calculs[[#This Row],[Colonne1]],"!$B$2:$B$243"))&gt;=Calculs_Consos!$A968,INDIRECT(CONCATENATE(Tab_Calculs[[#This Row],[Colonne1]],"!$B$2:$B$243"))))</f>
        <v>0</v>
      </c>
      <c r="I968" s="3">
        <f ca="1">INDEX(INDIRECT(CONCATENATE("Tab_",Tab_Calculs[[#This Row],[Colonne1]])),Tab_Calculs[[#This Row],[index_date_livraison]],1)</f>
        <v>0</v>
      </c>
      <c r="J968">
        <f ca="1">MATCH(Tab_Calculs[[#This Row],[Date_livraison]],INDIRECT(CONCATENATE("Tab_",Tab_Calculs[[#This Row],[Colonne1]],"[Fin de période]")),0)</f>
        <v>1</v>
      </c>
      <c r="K968" t="e">
        <f ca="1">INDEX(INDIRECT(CONCATENATE("Tab_",Tab_Calculs[[#This Row],[Colonne1]])),Tab_Calculs[[#This Row],[index_date_livraison]]-1,6)*(MAX(Tab_Calculs[[#This Row],[Début periode livraison]],Tab_Calculs[[#This Row],[Début mois]])-Tab_Calculs[[#This Row],[Début mois]])</f>
        <v>#VALUE!</v>
      </c>
      <c r="L968" s="94">
        <f ca="1">INDEX(INDIRECT(CONCATENATE("Tab_",Tab_Calculs[[#This Row],[Colonne1]])),Tab_Calculs[[#This Row],[index_date_livraison]],6)*(1+MIN(Tab_Calculs[[#This Row],[Date_livraison]],Tab_Calculs[[#This Row],[fin mois]])-MAX(Tab_Calculs[[#This Row],[Début mois]],Tab_Calculs[[#This Row],[Début periode livraison]]))</f>
        <v>0</v>
      </c>
      <c r="M968" s="94" t="e">
        <f ca="1">INDEX(INDIRECT(CONCATENATE("Tab_",Tab_Calculs[[#This Row],[Colonne1]])),Tab_Calculs[[#This Row],[index_date_livraison]]+1,6)*(Tab_Calculs[[#This Row],[fin mois]]-MIN(Tab_Calculs[[#This Row],[fin mois]],Tab_Calculs[[#This Row],[Date_livraison]]))</f>
        <v>#VALUE!</v>
      </c>
      <c r="N968" s="231" t="str">
        <f ca="1">IFERROR(Tab_Calculs[[#This Row],[Ratio_jour_après_livr]]+Tab_Calculs[[#This Row],[Ratio_jour_avant_livr]]+Tab_Calculs[[#This Row],[ratio_avant_debut]],"")</f>
        <v/>
      </c>
      <c r="O968" t="e">
        <f ca="1">INDEX(INDIRECT(CONCATENATE("Tab_",Tab_Calculs[[#This Row],[Colonne1]])),Tab_Calculs[[#This Row],[index_date_livraison]]-1,7)*(MAX(Tab_Calculs[[#This Row],[Début periode livraison]],Tab_Calculs[[#This Row],[Début mois]])-Tab_Calculs[[#This Row],[Début mois]])</f>
        <v>#VALUE!</v>
      </c>
      <c r="P968">
        <f ca="1">INDEX(INDIRECT(CONCATENATE("Tab_",Tab_Calculs[[#This Row],[Colonne1]])),Tab_Calculs[[#This Row],[index_date_livraison]],7)*(1+MIN(Tab_Calculs[[#This Row],[Date_livraison]],Tab_Calculs[[#This Row],[fin mois]])-MAX(Tab_Calculs[[#This Row],[Début mois]],Tab_Calculs[[#This Row],[Début periode livraison]]))</f>
        <v>0</v>
      </c>
      <c r="Q968" t="e">
        <f ca="1">INDEX(INDIRECT(CONCATENATE("Tab_",Tab_Calculs[[#This Row],[Colonne1]])),Tab_Calculs[[#This Row],[index_date_livraison]]+1,7)*(Tab_Calculs[[#This Row],[fin mois]]-MIN(Tab_Calculs[[#This Row],[fin mois]],Tab_Calculs[[#This Row],[Date_livraison]]))</f>
        <v>#VALUE!</v>
      </c>
      <c r="R968" t="e">
        <f ca="1">Tab_Calculs[[#This Row],[Ratio_Cout_après_livr]]+Tab_Calculs[[#This Row],[Ratio_Cout_avant_livr]]+Tab_Calculs[[#This Row],[Ratio_Cout_avant_debut]]</f>
        <v>#VALUE!</v>
      </c>
      <c r="S968" t="str">
        <f ca="1">IFERROR(N968*VLOOKUP(Tab_Calculs[[#This Row],[Colonne1]],Controle_des_données!$B$7:$G$14,6,FALSE),"")</f>
        <v/>
      </c>
      <c r="T968" t="str">
        <f ca="1">IF(Tab_Calculs[[#This Row],[Combustible ]]="Electricité (kWh)",Tab_Calculs[[#This Row],[Conso_mois_kWh]]*2.3,Tab_Calculs[[#This Row],[Conso_mois_kWh]])</f>
        <v/>
      </c>
      <c r="U968" t="str">
        <f ca="1">IFERROR(N968*VLOOKUP(Tab_Calculs[[#This Row],[Colonne1]],Controle_des_données!$B$7:$H$14,7,FALSE),"")</f>
        <v/>
      </c>
      <c r="V968">
        <f ca="1">IFERROR(Tab_Calculs[[#This Row],[Cout_mois]]/Tab_Calculs[[#This Row],[Conso_mois_kWh]],0)</f>
        <v>0</v>
      </c>
      <c r="W968" t="str">
        <f>T(VLOOKUP(Tab_Calculs[[#This Row],[Compteur]],Site!$B$33:$G$40,3,FALSE))</f>
        <v/>
      </c>
      <c r="X968" t="str">
        <f>T(VLOOKUP(Tab_Calculs[[#This Row],[Compteur]],Site!$B$33:$G$40,4,FALSE))</f>
        <v/>
      </c>
      <c r="Y968" t="str">
        <f>T(VLOOKUP(Tab_Calculs[[#This Row],[Compteur]],Site!$B$33:$G$40,5,FALSE))</f>
        <v/>
      </c>
      <c r="Z968" t="str">
        <f>T(VLOOKUP(Tab_Calculs[[#This Row],[Compteur]],Site!$B$33:$G$40,6,FALSE))</f>
        <v/>
      </c>
      <c r="AA968">
        <f>IFERROR(GETPIVOTDATA("DJU(chauffagiste)",BDD_DJU!$P$13,"annee",Tab_Calculs[[#This Row],[ANNEE]],"mois_numero",Tab_Calculs[[#This Row],[MOIS]]),0)</f>
        <v>0</v>
      </c>
    </row>
    <row r="969" spans="1:27" x14ac:dyDescent="0.25">
      <c r="A969" s="3">
        <f>DATE(Tab_Calculs[[#This Row],[ANNEE]],Tab_Calculs[[#This Row],[MOIS]],1)</f>
        <v>40179</v>
      </c>
      <c r="B969" s="3">
        <f>EDATE(Tab_Calculs[[#This Row],[Début mois]],1)-1</f>
        <v>40209</v>
      </c>
      <c r="C969">
        <v>1</v>
      </c>
      <c r="D969">
        <v>2010</v>
      </c>
      <c r="E969" t="s">
        <v>85</v>
      </c>
      <c r="F969" t="str">
        <f>SUBSTITUTE(Tab_Calculs[[#This Row],[Compteur]]," ","_")</f>
        <v>Compteur_6</v>
      </c>
      <c r="G969" t="str">
        <f>T(INDEX(Site!$B$33:$G$40, MATCH(Tab_Calculs[[#This Row],[Compteur]], Site!$B$33:$B$40,0),2))</f>
        <v/>
      </c>
      <c r="H969" s="3">
        <f t="array" aca="1" ref="H969" ca="1">MIN(IF(INDIRECT(CONCATENATE(Tab_Calculs[[#This Row],[Colonne1]],"!$B$2:$B$243"))&gt;=Calculs_Consos!$A969,INDIRECT(CONCATENATE(Tab_Calculs[[#This Row],[Colonne1]],"!$B$2:$B$243"))))</f>
        <v>0</v>
      </c>
      <c r="I969" s="3">
        <f ca="1">INDEX(INDIRECT(CONCATENATE("Tab_",Tab_Calculs[[#This Row],[Colonne1]])),Tab_Calculs[[#This Row],[index_date_livraison]],1)</f>
        <v>0</v>
      </c>
      <c r="J969">
        <f ca="1">MATCH(Tab_Calculs[[#This Row],[Date_livraison]],INDIRECT(CONCATENATE("Tab_",Tab_Calculs[[#This Row],[Colonne1]],"[Fin de période]")),0)</f>
        <v>1</v>
      </c>
      <c r="K969" t="e">
        <f ca="1">INDEX(INDIRECT(CONCATENATE("Tab_",Tab_Calculs[[#This Row],[Colonne1]])),Tab_Calculs[[#This Row],[index_date_livraison]]-1,6)*(MAX(Tab_Calculs[[#This Row],[Début periode livraison]],Tab_Calculs[[#This Row],[Début mois]])-Tab_Calculs[[#This Row],[Début mois]])</f>
        <v>#VALUE!</v>
      </c>
      <c r="L969" s="94">
        <f ca="1">INDEX(INDIRECT(CONCATENATE("Tab_",Tab_Calculs[[#This Row],[Colonne1]])),Tab_Calculs[[#This Row],[index_date_livraison]],6)*(1+MIN(Tab_Calculs[[#This Row],[Date_livraison]],Tab_Calculs[[#This Row],[fin mois]])-MAX(Tab_Calculs[[#This Row],[Début mois]],Tab_Calculs[[#This Row],[Début periode livraison]]))</f>
        <v>0</v>
      </c>
      <c r="M969" s="94" t="e">
        <f ca="1">INDEX(INDIRECT(CONCATENATE("Tab_",Tab_Calculs[[#This Row],[Colonne1]])),Tab_Calculs[[#This Row],[index_date_livraison]]+1,6)*(Tab_Calculs[[#This Row],[fin mois]]-MIN(Tab_Calculs[[#This Row],[fin mois]],Tab_Calculs[[#This Row],[Date_livraison]]))</f>
        <v>#VALUE!</v>
      </c>
      <c r="N969" s="231" t="str">
        <f ca="1">IFERROR(Tab_Calculs[[#This Row],[Ratio_jour_après_livr]]+Tab_Calculs[[#This Row],[Ratio_jour_avant_livr]]+Tab_Calculs[[#This Row],[ratio_avant_debut]],"")</f>
        <v/>
      </c>
      <c r="O969" t="e">
        <f ca="1">INDEX(INDIRECT(CONCATENATE("Tab_",Tab_Calculs[[#This Row],[Colonne1]])),Tab_Calculs[[#This Row],[index_date_livraison]]-1,7)*(MAX(Tab_Calculs[[#This Row],[Début periode livraison]],Tab_Calculs[[#This Row],[Début mois]])-Tab_Calculs[[#This Row],[Début mois]])</f>
        <v>#VALUE!</v>
      </c>
      <c r="P969">
        <f ca="1">INDEX(INDIRECT(CONCATENATE("Tab_",Tab_Calculs[[#This Row],[Colonne1]])),Tab_Calculs[[#This Row],[index_date_livraison]],7)*(1+MIN(Tab_Calculs[[#This Row],[Date_livraison]],Tab_Calculs[[#This Row],[fin mois]])-MAX(Tab_Calculs[[#This Row],[Début mois]],Tab_Calculs[[#This Row],[Début periode livraison]]))</f>
        <v>0</v>
      </c>
      <c r="Q969" t="e">
        <f ca="1">INDEX(INDIRECT(CONCATENATE("Tab_",Tab_Calculs[[#This Row],[Colonne1]])),Tab_Calculs[[#This Row],[index_date_livraison]]+1,7)*(Tab_Calculs[[#This Row],[fin mois]]-MIN(Tab_Calculs[[#This Row],[fin mois]],Tab_Calculs[[#This Row],[Date_livraison]]))</f>
        <v>#VALUE!</v>
      </c>
      <c r="R969" t="e">
        <f ca="1">Tab_Calculs[[#This Row],[Ratio_Cout_après_livr]]+Tab_Calculs[[#This Row],[Ratio_Cout_avant_livr]]+Tab_Calculs[[#This Row],[Ratio_Cout_avant_debut]]</f>
        <v>#VALUE!</v>
      </c>
      <c r="S969" t="str">
        <f ca="1">IFERROR(N969*VLOOKUP(Tab_Calculs[[#This Row],[Colonne1]],Controle_des_données!$B$7:$G$14,6,FALSE),"")</f>
        <v/>
      </c>
      <c r="T969" t="str">
        <f ca="1">IF(Tab_Calculs[[#This Row],[Combustible ]]="Electricité (kWh)",Tab_Calculs[[#This Row],[Conso_mois_kWh]]*2.3,Tab_Calculs[[#This Row],[Conso_mois_kWh]])</f>
        <v/>
      </c>
      <c r="U969" t="str">
        <f ca="1">IFERROR(N969*VLOOKUP(Tab_Calculs[[#This Row],[Colonne1]],Controle_des_données!$B$7:$H$14,7,FALSE),"")</f>
        <v/>
      </c>
      <c r="V969">
        <f ca="1">IFERROR(Tab_Calculs[[#This Row],[Cout_mois]]/Tab_Calculs[[#This Row],[Conso_mois_kWh]],0)</f>
        <v>0</v>
      </c>
      <c r="W969" t="str">
        <f>T(VLOOKUP(Tab_Calculs[[#This Row],[Compteur]],Site!$B$33:$G$40,3,FALSE))</f>
        <v/>
      </c>
      <c r="X969" t="str">
        <f>T(VLOOKUP(Tab_Calculs[[#This Row],[Compteur]],Site!$B$33:$G$40,4,FALSE))</f>
        <v/>
      </c>
      <c r="Y969" t="str">
        <f>T(VLOOKUP(Tab_Calculs[[#This Row],[Compteur]],Site!$B$33:$G$40,5,FALSE))</f>
        <v/>
      </c>
      <c r="Z969" t="str">
        <f>T(VLOOKUP(Tab_Calculs[[#This Row],[Compteur]],Site!$B$33:$G$40,6,FALSE))</f>
        <v/>
      </c>
      <c r="AA969">
        <f>IFERROR(GETPIVOTDATA("DJU(chauffagiste)",BDD_DJU!$P$13,"annee",Tab_Calculs[[#This Row],[ANNEE]],"mois_numero",Tab_Calculs[[#This Row],[MOIS]]),0)</f>
        <v>487.6</v>
      </c>
    </row>
    <row r="970" spans="1:27" x14ac:dyDescent="0.25">
      <c r="A970" s="3">
        <f>DATE(Tab_Calculs[[#This Row],[ANNEE]],Tab_Calculs[[#This Row],[MOIS]],1)</f>
        <v>40210</v>
      </c>
      <c r="B970" s="3">
        <f>EDATE(Tab_Calculs[[#This Row],[Début mois]],1)-1</f>
        <v>40237</v>
      </c>
      <c r="C970">
        <v>2</v>
      </c>
      <c r="D970">
        <v>2010</v>
      </c>
      <c r="E970" t="s">
        <v>85</v>
      </c>
      <c r="F970" t="str">
        <f>SUBSTITUTE(Tab_Calculs[[#This Row],[Compteur]]," ","_")</f>
        <v>Compteur_6</v>
      </c>
      <c r="G970" t="str">
        <f>T(INDEX(Site!$B$33:$G$40, MATCH(Tab_Calculs[[#This Row],[Compteur]], Site!$B$33:$B$40,0),2))</f>
        <v/>
      </c>
      <c r="H970" s="3">
        <f t="array" aca="1" ref="H970" ca="1">MIN(IF(INDIRECT(CONCATENATE(Tab_Calculs[[#This Row],[Colonne1]],"!$B$2:$B$243"))&gt;=Calculs_Consos!$A970,INDIRECT(CONCATENATE(Tab_Calculs[[#This Row],[Colonne1]],"!$B$2:$B$243"))))</f>
        <v>0</v>
      </c>
      <c r="I970" s="3">
        <f ca="1">INDEX(INDIRECT(CONCATENATE("Tab_",Tab_Calculs[[#This Row],[Colonne1]])),Tab_Calculs[[#This Row],[index_date_livraison]],1)</f>
        <v>0</v>
      </c>
      <c r="J970">
        <f ca="1">MATCH(Tab_Calculs[[#This Row],[Date_livraison]],INDIRECT(CONCATENATE("Tab_",Tab_Calculs[[#This Row],[Colonne1]],"[Fin de période]")),0)</f>
        <v>1</v>
      </c>
      <c r="K970" t="e">
        <f ca="1">INDEX(INDIRECT(CONCATENATE("Tab_",Tab_Calculs[[#This Row],[Colonne1]])),Tab_Calculs[[#This Row],[index_date_livraison]]-1,6)*(MAX(Tab_Calculs[[#This Row],[Début periode livraison]],Tab_Calculs[[#This Row],[Début mois]])-Tab_Calculs[[#This Row],[Début mois]])</f>
        <v>#VALUE!</v>
      </c>
      <c r="L970" s="94">
        <f ca="1">INDEX(INDIRECT(CONCATENATE("Tab_",Tab_Calculs[[#This Row],[Colonne1]])),Tab_Calculs[[#This Row],[index_date_livraison]],6)*(1+MIN(Tab_Calculs[[#This Row],[Date_livraison]],Tab_Calculs[[#This Row],[fin mois]])-MAX(Tab_Calculs[[#This Row],[Début mois]],Tab_Calculs[[#This Row],[Début periode livraison]]))</f>
        <v>0</v>
      </c>
      <c r="M970" s="94" t="e">
        <f ca="1">INDEX(INDIRECT(CONCATENATE("Tab_",Tab_Calculs[[#This Row],[Colonne1]])),Tab_Calculs[[#This Row],[index_date_livraison]]+1,6)*(Tab_Calculs[[#This Row],[fin mois]]-MIN(Tab_Calculs[[#This Row],[fin mois]],Tab_Calculs[[#This Row],[Date_livraison]]))</f>
        <v>#VALUE!</v>
      </c>
      <c r="N970" s="231" t="str">
        <f ca="1">IFERROR(Tab_Calculs[[#This Row],[Ratio_jour_après_livr]]+Tab_Calculs[[#This Row],[Ratio_jour_avant_livr]]+Tab_Calculs[[#This Row],[ratio_avant_debut]],"")</f>
        <v/>
      </c>
      <c r="O970" t="e">
        <f ca="1">INDEX(INDIRECT(CONCATENATE("Tab_",Tab_Calculs[[#This Row],[Colonne1]])),Tab_Calculs[[#This Row],[index_date_livraison]]-1,7)*(MAX(Tab_Calculs[[#This Row],[Début periode livraison]],Tab_Calculs[[#This Row],[Début mois]])-Tab_Calculs[[#This Row],[Début mois]])</f>
        <v>#VALUE!</v>
      </c>
      <c r="P970">
        <f ca="1">INDEX(INDIRECT(CONCATENATE("Tab_",Tab_Calculs[[#This Row],[Colonne1]])),Tab_Calculs[[#This Row],[index_date_livraison]],7)*(1+MIN(Tab_Calculs[[#This Row],[Date_livraison]],Tab_Calculs[[#This Row],[fin mois]])-MAX(Tab_Calculs[[#This Row],[Début mois]],Tab_Calculs[[#This Row],[Début periode livraison]]))</f>
        <v>0</v>
      </c>
      <c r="Q970" t="e">
        <f ca="1">INDEX(INDIRECT(CONCATENATE("Tab_",Tab_Calculs[[#This Row],[Colonne1]])),Tab_Calculs[[#This Row],[index_date_livraison]]+1,7)*(Tab_Calculs[[#This Row],[fin mois]]-MIN(Tab_Calculs[[#This Row],[fin mois]],Tab_Calculs[[#This Row],[Date_livraison]]))</f>
        <v>#VALUE!</v>
      </c>
      <c r="R970" t="e">
        <f ca="1">Tab_Calculs[[#This Row],[Ratio_Cout_après_livr]]+Tab_Calculs[[#This Row],[Ratio_Cout_avant_livr]]+Tab_Calculs[[#This Row],[Ratio_Cout_avant_debut]]</f>
        <v>#VALUE!</v>
      </c>
      <c r="S970" t="str">
        <f ca="1">IFERROR(N970*VLOOKUP(Tab_Calculs[[#This Row],[Colonne1]],Controle_des_données!$B$7:$G$14,6,FALSE),"")</f>
        <v/>
      </c>
      <c r="T970" t="str">
        <f ca="1">IF(Tab_Calculs[[#This Row],[Combustible ]]="Electricité (kWh)",Tab_Calculs[[#This Row],[Conso_mois_kWh]]*2.3,Tab_Calculs[[#This Row],[Conso_mois_kWh]])</f>
        <v/>
      </c>
      <c r="U970" t="str">
        <f ca="1">IFERROR(N970*VLOOKUP(Tab_Calculs[[#This Row],[Colonne1]],Controle_des_données!$B$7:$H$14,7,FALSE),"")</f>
        <v/>
      </c>
      <c r="V970">
        <f ca="1">IFERROR(Tab_Calculs[[#This Row],[Cout_mois]]/Tab_Calculs[[#This Row],[Conso_mois_kWh]],0)</f>
        <v>0</v>
      </c>
      <c r="W970" t="str">
        <f>T(VLOOKUP(Tab_Calculs[[#This Row],[Compteur]],Site!$B$33:$G$40,3,FALSE))</f>
        <v/>
      </c>
      <c r="X970" t="str">
        <f>T(VLOOKUP(Tab_Calculs[[#This Row],[Compteur]],Site!$B$33:$G$40,4,FALSE))</f>
        <v/>
      </c>
      <c r="Y970" t="str">
        <f>T(VLOOKUP(Tab_Calculs[[#This Row],[Compteur]],Site!$B$33:$G$40,5,FALSE))</f>
        <v/>
      </c>
      <c r="Z970" t="str">
        <f>T(VLOOKUP(Tab_Calculs[[#This Row],[Compteur]],Site!$B$33:$G$40,6,FALSE))</f>
        <v/>
      </c>
      <c r="AA970">
        <f>IFERROR(GETPIVOTDATA("DJU(chauffagiste)",BDD_DJU!$P$13,"annee",Tab_Calculs[[#This Row],[ANNEE]],"mois_numero",Tab_Calculs[[#This Row],[MOIS]]),0)</f>
        <v>370.3</v>
      </c>
    </row>
    <row r="971" spans="1:27" x14ac:dyDescent="0.25">
      <c r="A971" s="3">
        <f>DATE(Tab_Calculs[[#This Row],[ANNEE]],Tab_Calculs[[#This Row],[MOIS]],1)</f>
        <v>40238</v>
      </c>
      <c r="B971" s="3">
        <f>EDATE(Tab_Calculs[[#This Row],[Début mois]],1)-1</f>
        <v>40268</v>
      </c>
      <c r="C971">
        <v>3</v>
      </c>
      <c r="D971">
        <v>2010</v>
      </c>
      <c r="E971" t="s">
        <v>85</v>
      </c>
      <c r="F971" t="str">
        <f>SUBSTITUTE(Tab_Calculs[[#This Row],[Compteur]]," ","_")</f>
        <v>Compteur_6</v>
      </c>
      <c r="G971" t="str">
        <f>T(INDEX(Site!$B$33:$G$40, MATCH(Tab_Calculs[[#This Row],[Compteur]], Site!$B$33:$B$40,0),2))</f>
        <v/>
      </c>
      <c r="H971" s="3">
        <f t="array" aca="1" ref="H971" ca="1">MIN(IF(INDIRECT(CONCATENATE(Tab_Calculs[[#This Row],[Colonne1]],"!$B$2:$B$243"))&gt;=Calculs_Consos!$A971,INDIRECT(CONCATENATE(Tab_Calculs[[#This Row],[Colonne1]],"!$B$2:$B$243"))))</f>
        <v>0</v>
      </c>
      <c r="I971" s="3">
        <f ca="1">INDEX(INDIRECT(CONCATENATE("Tab_",Tab_Calculs[[#This Row],[Colonne1]])),Tab_Calculs[[#This Row],[index_date_livraison]],1)</f>
        <v>0</v>
      </c>
      <c r="J971">
        <f ca="1">MATCH(Tab_Calculs[[#This Row],[Date_livraison]],INDIRECT(CONCATENATE("Tab_",Tab_Calculs[[#This Row],[Colonne1]],"[Fin de période]")),0)</f>
        <v>1</v>
      </c>
      <c r="K971" t="e">
        <f ca="1">INDEX(INDIRECT(CONCATENATE("Tab_",Tab_Calculs[[#This Row],[Colonne1]])),Tab_Calculs[[#This Row],[index_date_livraison]]-1,6)*(MAX(Tab_Calculs[[#This Row],[Début periode livraison]],Tab_Calculs[[#This Row],[Début mois]])-Tab_Calculs[[#This Row],[Début mois]])</f>
        <v>#VALUE!</v>
      </c>
      <c r="L971" s="94">
        <f ca="1">INDEX(INDIRECT(CONCATENATE("Tab_",Tab_Calculs[[#This Row],[Colonne1]])),Tab_Calculs[[#This Row],[index_date_livraison]],6)*(1+MIN(Tab_Calculs[[#This Row],[Date_livraison]],Tab_Calculs[[#This Row],[fin mois]])-MAX(Tab_Calculs[[#This Row],[Début mois]],Tab_Calculs[[#This Row],[Début periode livraison]]))</f>
        <v>0</v>
      </c>
      <c r="M971" s="94" t="e">
        <f ca="1">INDEX(INDIRECT(CONCATENATE("Tab_",Tab_Calculs[[#This Row],[Colonne1]])),Tab_Calculs[[#This Row],[index_date_livraison]]+1,6)*(Tab_Calculs[[#This Row],[fin mois]]-MIN(Tab_Calculs[[#This Row],[fin mois]],Tab_Calculs[[#This Row],[Date_livraison]]))</f>
        <v>#VALUE!</v>
      </c>
      <c r="N971" s="231" t="str">
        <f ca="1">IFERROR(Tab_Calculs[[#This Row],[Ratio_jour_après_livr]]+Tab_Calculs[[#This Row],[Ratio_jour_avant_livr]]+Tab_Calculs[[#This Row],[ratio_avant_debut]],"")</f>
        <v/>
      </c>
      <c r="O971" t="e">
        <f ca="1">INDEX(INDIRECT(CONCATENATE("Tab_",Tab_Calculs[[#This Row],[Colonne1]])),Tab_Calculs[[#This Row],[index_date_livraison]]-1,7)*(MAX(Tab_Calculs[[#This Row],[Début periode livraison]],Tab_Calculs[[#This Row],[Début mois]])-Tab_Calculs[[#This Row],[Début mois]])</f>
        <v>#VALUE!</v>
      </c>
      <c r="P971">
        <f ca="1">INDEX(INDIRECT(CONCATENATE("Tab_",Tab_Calculs[[#This Row],[Colonne1]])),Tab_Calculs[[#This Row],[index_date_livraison]],7)*(1+MIN(Tab_Calculs[[#This Row],[Date_livraison]],Tab_Calculs[[#This Row],[fin mois]])-MAX(Tab_Calculs[[#This Row],[Début mois]],Tab_Calculs[[#This Row],[Début periode livraison]]))</f>
        <v>0</v>
      </c>
      <c r="Q971" t="e">
        <f ca="1">INDEX(INDIRECT(CONCATENATE("Tab_",Tab_Calculs[[#This Row],[Colonne1]])),Tab_Calculs[[#This Row],[index_date_livraison]]+1,7)*(Tab_Calculs[[#This Row],[fin mois]]-MIN(Tab_Calculs[[#This Row],[fin mois]],Tab_Calculs[[#This Row],[Date_livraison]]))</f>
        <v>#VALUE!</v>
      </c>
      <c r="R971" t="e">
        <f ca="1">Tab_Calculs[[#This Row],[Ratio_Cout_après_livr]]+Tab_Calculs[[#This Row],[Ratio_Cout_avant_livr]]+Tab_Calculs[[#This Row],[Ratio_Cout_avant_debut]]</f>
        <v>#VALUE!</v>
      </c>
      <c r="S971" t="str">
        <f ca="1">IFERROR(N971*VLOOKUP(Tab_Calculs[[#This Row],[Colonne1]],Controle_des_données!$B$7:$G$14,6,FALSE),"")</f>
        <v/>
      </c>
      <c r="T971" t="str">
        <f ca="1">IF(Tab_Calculs[[#This Row],[Combustible ]]="Electricité (kWh)",Tab_Calculs[[#This Row],[Conso_mois_kWh]]*2.3,Tab_Calculs[[#This Row],[Conso_mois_kWh]])</f>
        <v/>
      </c>
      <c r="U971" t="str">
        <f ca="1">IFERROR(N971*VLOOKUP(Tab_Calculs[[#This Row],[Colonne1]],Controle_des_données!$B$7:$H$14,7,FALSE),"")</f>
        <v/>
      </c>
      <c r="V971">
        <f ca="1">IFERROR(Tab_Calculs[[#This Row],[Cout_mois]]/Tab_Calculs[[#This Row],[Conso_mois_kWh]],0)</f>
        <v>0</v>
      </c>
      <c r="W971" t="str">
        <f>T(VLOOKUP(Tab_Calculs[[#This Row],[Compteur]],Site!$B$33:$G$40,3,FALSE))</f>
        <v/>
      </c>
      <c r="X971" t="str">
        <f>T(VLOOKUP(Tab_Calculs[[#This Row],[Compteur]],Site!$B$33:$G$40,4,FALSE))</f>
        <v/>
      </c>
      <c r="Y971" t="str">
        <f>T(VLOOKUP(Tab_Calculs[[#This Row],[Compteur]],Site!$B$33:$G$40,5,FALSE))</f>
        <v/>
      </c>
      <c r="Z971" t="str">
        <f>T(VLOOKUP(Tab_Calculs[[#This Row],[Compteur]],Site!$B$33:$G$40,6,FALSE))</f>
        <v/>
      </c>
      <c r="AA971">
        <f>IFERROR(GETPIVOTDATA("DJU(chauffagiste)",BDD_DJU!$P$13,"annee",Tab_Calculs[[#This Row],[ANNEE]],"mois_numero",Tab_Calculs[[#This Row],[MOIS]]),0)</f>
        <v>312.8</v>
      </c>
    </row>
    <row r="972" spans="1:27" x14ac:dyDescent="0.25">
      <c r="A972" s="3">
        <f>DATE(Tab_Calculs[[#This Row],[ANNEE]],Tab_Calculs[[#This Row],[MOIS]],1)</f>
        <v>40269</v>
      </c>
      <c r="B972" s="3">
        <f>EDATE(Tab_Calculs[[#This Row],[Début mois]],1)-1</f>
        <v>40298</v>
      </c>
      <c r="C972">
        <v>4</v>
      </c>
      <c r="D972">
        <v>2010</v>
      </c>
      <c r="E972" t="s">
        <v>85</v>
      </c>
      <c r="F972" t="str">
        <f>SUBSTITUTE(Tab_Calculs[[#This Row],[Compteur]]," ","_")</f>
        <v>Compteur_6</v>
      </c>
      <c r="G972" t="str">
        <f>T(INDEX(Site!$B$33:$G$40, MATCH(Tab_Calculs[[#This Row],[Compteur]], Site!$B$33:$B$40,0),2))</f>
        <v/>
      </c>
      <c r="H972" s="3">
        <f t="array" aca="1" ref="H972" ca="1">MIN(IF(INDIRECT(CONCATENATE(Tab_Calculs[[#This Row],[Colonne1]],"!$B$2:$B$243"))&gt;=Calculs_Consos!$A972,INDIRECT(CONCATENATE(Tab_Calculs[[#This Row],[Colonne1]],"!$B$2:$B$243"))))</f>
        <v>0</v>
      </c>
      <c r="I972" s="3">
        <f ca="1">INDEX(INDIRECT(CONCATENATE("Tab_",Tab_Calculs[[#This Row],[Colonne1]])),Tab_Calculs[[#This Row],[index_date_livraison]],1)</f>
        <v>0</v>
      </c>
      <c r="J972">
        <f ca="1">MATCH(Tab_Calculs[[#This Row],[Date_livraison]],INDIRECT(CONCATENATE("Tab_",Tab_Calculs[[#This Row],[Colonne1]],"[Fin de période]")),0)</f>
        <v>1</v>
      </c>
      <c r="K972" t="e">
        <f ca="1">INDEX(INDIRECT(CONCATENATE("Tab_",Tab_Calculs[[#This Row],[Colonne1]])),Tab_Calculs[[#This Row],[index_date_livraison]]-1,6)*(MAX(Tab_Calculs[[#This Row],[Début periode livraison]],Tab_Calculs[[#This Row],[Début mois]])-Tab_Calculs[[#This Row],[Début mois]])</f>
        <v>#VALUE!</v>
      </c>
      <c r="L972" s="94">
        <f ca="1">INDEX(INDIRECT(CONCATENATE("Tab_",Tab_Calculs[[#This Row],[Colonne1]])),Tab_Calculs[[#This Row],[index_date_livraison]],6)*(1+MIN(Tab_Calculs[[#This Row],[Date_livraison]],Tab_Calculs[[#This Row],[fin mois]])-MAX(Tab_Calculs[[#This Row],[Début mois]],Tab_Calculs[[#This Row],[Début periode livraison]]))</f>
        <v>0</v>
      </c>
      <c r="M972" s="94" t="e">
        <f ca="1">INDEX(INDIRECT(CONCATENATE("Tab_",Tab_Calculs[[#This Row],[Colonne1]])),Tab_Calculs[[#This Row],[index_date_livraison]]+1,6)*(Tab_Calculs[[#This Row],[fin mois]]-MIN(Tab_Calculs[[#This Row],[fin mois]],Tab_Calculs[[#This Row],[Date_livraison]]))</f>
        <v>#VALUE!</v>
      </c>
      <c r="N972" s="231" t="str">
        <f ca="1">IFERROR(Tab_Calculs[[#This Row],[Ratio_jour_après_livr]]+Tab_Calculs[[#This Row],[Ratio_jour_avant_livr]]+Tab_Calculs[[#This Row],[ratio_avant_debut]],"")</f>
        <v/>
      </c>
      <c r="O972" t="e">
        <f ca="1">INDEX(INDIRECT(CONCATENATE("Tab_",Tab_Calculs[[#This Row],[Colonne1]])),Tab_Calculs[[#This Row],[index_date_livraison]]-1,7)*(MAX(Tab_Calculs[[#This Row],[Début periode livraison]],Tab_Calculs[[#This Row],[Début mois]])-Tab_Calculs[[#This Row],[Début mois]])</f>
        <v>#VALUE!</v>
      </c>
      <c r="P972">
        <f ca="1">INDEX(INDIRECT(CONCATENATE("Tab_",Tab_Calculs[[#This Row],[Colonne1]])),Tab_Calculs[[#This Row],[index_date_livraison]],7)*(1+MIN(Tab_Calculs[[#This Row],[Date_livraison]],Tab_Calculs[[#This Row],[fin mois]])-MAX(Tab_Calculs[[#This Row],[Début mois]],Tab_Calculs[[#This Row],[Début periode livraison]]))</f>
        <v>0</v>
      </c>
      <c r="Q972" t="e">
        <f ca="1">INDEX(INDIRECT(CONCATENATE("Tab_",Tab_Calculs[[#This Row],[Colonne1]])),Tab_Calculs[[#This Row],[index_date_livraison]]+1,7)*(Tab_Calculs[[#This Row],[fin mois]]-MIN(Tab_Calculs[[#This Row],[fin mois]],Tab_Calculs[[#This Row],[Date_livraison]]))</f>
        <v>#VALUE!</v>
      </c>
      <c r="R972" t="e">
        <f ca="1">Tab_Calculs[[#This Row],[Ratio_Cout_après_livr]]+Tab_Calculs[[#This Row],[Ratio_Cout_avant_livr]]+Tab_Calculs[[#This Row],[Ratio_Cout_avant_debut]]</f>
        <v>#VALUE!</v>
      </c>
      <c r="S972" t="str">
        <f ca="1">IFERROR(N972*VLOOKUP(Tab_Calculs[[#This Row],[Colonne1]],Controle_des_données!$B$7:$G$14,6,FALSE),"")</f>
        <v/>
      </c>
      <c r="T972" t="str">
        <f ca="1">IF(Tab_Calculs[[#This Row],[Combustible ]]="Electricité (kWh)",Tab_Calculs[[#This Row],[Conso_mois_kWh]]*2.3,Tab_Calculs[[#This Row],[Conso_mois_kWh]])</f>
        <v/>
      </c>
      <c r="U972" t="str">
        <f ca="1">IFERROR(N972*VLOOKUP(Tab_Calculs[[#This Row],[Colonne1]],Controle_des_données!$B$7:$H$14,7,FALSE),"")</f>
        <v/>
      </c>
      <c r="V972">
        <f ca="1">IFERROR(Tab_Calculs[[#This Row],[Cout_mois]]/Tab_Calculs[[#This Row],[Conso_mois_kWh]],0)</f>
        <v>0</v>
      </c>
      <c r="W972" t="str">
        <f>T(VLOOKUP(Tab_Calculs[[#This Row],[Compteur]],Site!$B$33:$G$40,3,FALSE))</f>
        <v/>
      </c>
      <c r="X972" t="str">
        <f>T(VLOOKUP(Tab_Calculs[[#This Row],[Compteur]],Site!$B$33:$G$40,4,FALSE))</f>
        <v/>
      </c>
      <c r="Y972" t="str">
        <f>T(VLOOKUP(Tab_Calculs[[#This Row],[Compteur]],Site!$B$33:$G$40,5,FALSE))</f>
        <v/>
      </c>
      <c r="Z972" t="str">
        <f>T(VLOOKUP(Tab_Calculs[[#This Row],[Compteur]],Site!$B$33:$G$40,6,FALSE))</f>
        <v/>
      </c>
      <c r="AA972">
        <f>IFERROR(GETPIVOTDATA("DJU(chauffagiste)",BDD_DJU!$P$13,"annee",Tab_Calculs[[#This Row],[ANNEE]],"mois_numero",Tab_Calculs[[#This Row],[MOIS]]),0)</f>
        <v>199.2</v>
      </c>
    </row>
    <row r="973" spans="1:27" x14ac:dyDescent="0.25">
      <c r="A973" s="3">
        <f>DATE(Tab_Calculs[[#This Row],[ANNEE]],Tab_Calculs[[#This Row],[MOIS]],1)</f>
        <v>40299</v>
      </c>
      <c r="B973" s="3">
        <f>EDATE(Tab_Calculs[[#This Row],[Début mois]],1)-1</f>
        <v>40329</v>
      </c>
      <c r="C973">
        <v>5</v>
      </c>
      <c r="D973">
        <v>2010</v>
      </c>
      <c r="E973" t="s">
        <v>85</v>
      </c>
      <c r="F973" t="str">
        <f>SUBSTITUTE(Tab_Calculs[[#This Row],[Compteur]]," ","_")</f>
        <v>Compteur_6</v>
      </c>
      <c r="G973" t="str">
        <f>T(INDEX(Site!$B$33:$G$40, MATCH(Tab_Calculs[[#This Row],[Compteur]], Site!$B$33:$B$40,0),2))</f>
        <v/>
      </c>
      <c r="H973" s="3">
        <f t="array" aca="1" ref="H973" ca="1">MIN(IF(INDIRECT(CONCATENATE(Tab_Calculs[[#This Row],[Colonne1]],"!$B$2:$B$243"))&gt;=Calculs_Consos!$A973,INDIRECT(CONCATENATE(Tab_Calculs[[#This Row],[Colonne1]],"!$B$2:$B$243"))))</f>
        <v>0</v>
      </c>
      <c r="I973" s="3">
        <f ca="1">INDEX(INDIRECT(CONCATENATE("Tab_",Tab_Calculs[[#This Row],[Colonne1]])),Tab_Calculs[[#This Row],[index_date_livraison]],1)</f>
        <v>0</v>
      </c>
      <c r="J973">
        <f ca="1">MATCH(Tab_Calculs[[#This Row],[Date_livraison]],INDIRECT(CONCATENATE("Tab_",Tab_Calculs[[#This Row],[Colonne1]],"[Fin de période]")),0)</f>
        <v>1</v>
      </c>
      <c r="K973" t="e">
        <f ca="1">INDEX(INDIRECT(CONCATENATE("Tab_",Tab_Calculs[[#This Row],[Colonne1]])),Tab_Calculs[[#This Row],[index_date_livraison]]-1,6)*(MAX(Tab_Calculs[[#This Row],[Début periode livraison]],Tab_Calculs[[#This Row],[Début mois]])-Tab_Calculs[[#This Row],[Début mois]])</f>
        <v>#VALUE!</v>
      </c>
      <c r="L973" s="94">
        <f ca="1">INDEX(INDIRECT(CONCATENATE("Tab_",Tab_Calculs[[#This Row],[Colonne1]])),Tab_Calculs[[#This Row],[index_date_livraison]],6)*(1+MIN(Tab_Calculs[[#This Row],[Date_livraison]],Tab_Calculs[[#This Row],[fin mois]])-MAX(Tab_Calculs[[#This Row],[Début mois]],Tab_Calculs[[#This Row],[Début periode livraison]]))</f>
        <v>0</v>
      </c>
      <c r="M973" s="94" t="e">
        <f ca="1">INDEX(INDIRECT(CONCATENATE("Tab_",Tab_Calculs[[#This Row],[Colonne1]])),Tab_Calculs[[#This Row],[index_date_livraison]]+1,6)*(Tab_Calculs[[#This Row],[fin mois]]-MIN(Tab_Calculs[[#This Row],[fin mois]],Tab_Calculs[[#This Row],[Date_livraison]]))</f>
        <v>#VALUE!</v>
      </c>
      <c r="N973" s="231" t="str">
        <f ca="1">IFERROR(Tab_Calculs[[#This Row],[Ratio_jour_après_livr]]+Tab_Calculs[[#This Row],[Ratio_jour_avant_livr]]+Tab_Calculs[[#This Row],[ratio_avant_debut]],"")</f>
        <v/>
      </c>
      <c r="O973" t="e">
        <f ca="1">INDEX(INDIRECT(CONCATENATE("Tab_",Tab_Calculs[[#This Row],[Colonne1]])),Tab_Calculs[[#This Row],[index_date_livraison]]-1,7)*(MAX(Tab_Calculs[[#This Row],[Début periode livraison]],Tab_Calculs[[#This Row],[Début mois]])-Tab_Calculs[[#This Row],[Début mois]])</f>
        <v>#VALUE!</v>
      </c>
      <c r="P973">
        <f ca="1">INDEX(INDIRECT(CONCATENATE("Tab_",Tab_Calculs[[#This Row],[Colonne1]])),Tab_Calculs[[#This Row],[index_date_livraison]],7)*(1+MIN(Tab_Calculs[[#This Row],[Date_livraison]],Tab_Calculs[[#This Row],[fin mois]])-MAX(Tab_Calculs[[#This Row],[Début mois]],Tab_Calculs[[#This Row],[Début periode livraison]]))</f>
        <v>0</v>
      </c>
      <c r="Q973" t="e">
        <f ca="1">INDEX(INDIRECT(CONCATENATE("Tab_",Tab_Calculs[[#This Row],[Colonne1]])),Tab_Calculs[[#This Row],[index_date_livraison]]+1,7)*(Tab_Calculs[[#This Row],[fin mois]]-MIN(Tab_Calculs[[#This Row],[fin mois]],Tab_Calculs[[#This Row],[Date_livraison]]))</f>
        <v>#VALUE!</v>
      </c>
      <c r="R973" t="e">
        <f ca="1">Tab_Calculs[[#This Row],[Ratio_Cout_après_livr]]+Tab_Calculs[[#This Row],[Ratio_Cout_avant_livr]]+Tab_Calculs[[#This Row],[Ratio_Cout_avant_debut]]</f>
        <v>#VALUE!</v>
      </c>
      <c r="S973" t="str">
        <f ca="1">IFERROR(N973*VLOOKUP(Tab_Calculs[[#This Row],[Colonne1]],Controle_des_données!$B$7:$G$14,6,FALSE),"")</f>
        <v/>
      </c>
      <c r="T973" t="str">
        <f ca="1">IF(Tab_Calculs[[#This Row],[Combustible ]]="Electricité (kWh)",Tab_Calculs[[#This Row],[Conso_mois_kWh]]*2.3,Tab_Calculs[[#This Row],[Conso_mois_kWh]])</f>
        <v/>
      </c>
      <c r="U973" t="str">
        <f ca="1">IFERROR(N973*VLOOKUP(Tab_Calculs[[#This Row],[Colonne1]],Controle_des_données!$B$7:$H$14,7,FALSE),"")</f>
        <v/>
      </c>
      <c r="V973">
        <f ca="1">IFERROR(Tab_Calculs[[#This Row],[Cout_mois]]/Tab_Calculs[[#This Row],[Conso_mois_kWh]],0)</f>
        <v>0</v>
      </c>
      <c r="W973" t="str">
        <f>T(VLOOKUP(Tab_Calculs[[#This Row],[Compteur]],Site!$B$33:$G$40,3,FALSE))</f>
        <v/>
      </c>
      <c r="X973" t="str">
        <f>T(VLOOKUP(Tab_Calculs[[#This Row],[Compteur]],Site!$B$33:$G$40,4,FALSE))</f>
        <v/>
      </c>
      <c r="Y973" t="str">
        <f>T(VLOOKUP(Tab_Calculs[[#This Row],[Compteur]],Site!$B$33:$G$40,5,FALSE))</f>
        <v/>
      </c>
      <c r="Z973" t="str">
        <f>T(VLOOKUP(Tab_Calculs[[#This Row],[Compteur]],Site!$B$33:$G$40,6,FALSE))</f>
        <v/>
      </c>
      <c r="AA973">
        <f>IFERROR(GETPIVOTDATA("DJU(chauffagiste)",BDD_DJU!$P$13,"annee",Tab_Calculs[[#This Row],[ANNEE]],"mois_numero",Tab_Calculs[[#This Row],[MOIS]]),0)</f>
        <v>155.4</v>
      </c>
    </row>
    <row r="974" spans="1:27" x14ac:dyDescent="0.25">
      <c r="A974" s="3">
        <f>DATE(Tab_Calculs[[#This Row],[ANNEE]],Tab_Calculs[[#This Row],[MOIS]],1)</f>
        <v>40330</v>
      </c>
      <c r="B974" s="3">
        <f>EDATE(Tab_Calculs[[#This Row],[Début mois]],1)-1</f>
        <v>40359</v>
      </c>
      <c r="C974">
        <v>6</v>
      </c>
      <c r="D974">
        <v>2010</v>
      </c>
      <c r="E974" t="s">
        <v>85</v>
      </c>
      <c r="F974" t="str">
        <f>SUBSTITUTE(Tab_Calculs[[#This Row],[Compteur]]," ","_")</f>
        <v>Compteur_6</v>
      </c>
      <c r="G974" t="str">
        <f>T(INDEX(Site!$B$33:$G$40, MATCH(Tab_Calculs[[#This Row],[Compteur]], Site!$B$33:$B$40,0),2))</f>
        <v/>
      </c>
      <c r="H974" s="3">
        <f t="array" aca="1" ref="H974" ca="1">MIN(IF(INDIRECT(CONCATENATE(Tab_Calculs[[#This Row],[Colonne1]],"!$B$2:$B$243"))&gt;=Calculs_Consos!$A974,INDIRECT(CONCATENATE(Tab_Calculs[[#This Row],[Colonne1]],"!$B$2:$B$243"))))</f>
        <v>0</v>
      </c>
      <c r="I974" s="3">
        <f ca="1">INDEX(INDIRECT(CONCATENATE("Tab_",Tab_Calculs[[#This Row],[Colonne1]])),Tab_Calculs[[#This Row],[index_date_livraison]],1)</f>
        <v>0</v>
      </c>
      <c r="J974">
        <f ca="1">MATCH(Tab_Calculs[[#This Row],[Date_livraison]],INDIRECT(CONCATENATE("Tab_",Tab_Calculs[[#This Row],[Colonne1]],"[Fin de période]")),0)</f>
        <v>1</v>
      </c>
      <c r="K974" t="e">
        <f ca="1">INDEX(INDIRECT(CONCATENATE("Tab_",Tab_Calculs[[#This Row],[Colonne1]])),Tab_Calculs[[#This Row],[index_date_livraison]]-1,6)*(MAX(Tab_Calculs[[#This Row],[Début periode livraison]],Tab_Calculs[[#This Row],[Début mois]])-Tab_Calculs[[#This Row],[Début mois]])</f>
        <v>#VALUE!</v>
      </c>
      <c r="L974" s="94">
        <f ca="1">INDEX(INDIRECT(CONCATENATE("Tab_",Tab_Calculs[[#This Row],[Colonne1]])),Tab_Calculs[[#This Row],[index_date_livraison]],6)*(1+MIN(Tab_Calculs[[#This Row],[Date_livraison]],Tab_Calculs[[#This Row],[fin mois]])-MAX(Tab_Calculs[[#This Row],[Début mois]],Tab_Calculs[[#This Row],[Début periode livraison]]))</f>
        <v>0</v>
      </c>
      <c r="M974" s="94" t="e">
        <f ca="1">INDEX(INDIRECT(CONCATENATE("Tab_",Tab_Calculs[[#This Row],[Colonne1]])),Tab_Calculs[[#This Row],[index_date_livraison]]+1,6)*(Tab_Calculs[[#This Row],[fin mois]]-MIN(Tab_Calculs[[#This Row],[fin mois]],Tab_Calculs[[#This Row],[Date_livraison]]))</f>
        <v>#VALUE!</v>
      </c>
      <c r="N974" s="231" t="str">
        <f ca="1">IFERROR(Tab_Calculs[[#This Row],[Ratio_jour_après_livr]]+Tab_Calculs[[#This Row],[Ratio_jour_avant_livr]]+Tab_Calculs[[#This Row],[ratio_avant_debut]],"")</f>
        <v/>
      </c>
      <c r="O974" t="e">
        <f ca="1">INDEX(INDIRECT(CONCATENATE("Tab_",Tab_Calculs[[#This Row],[Colonne1]])),Tab_Calculs[[#This Row],[index_date_livraison]]-1,7)*(MAX(Tab_Calculs[[#This Row],[Début periode livraison]],Tab_Calculs[[#This Row],[Début mois]])-Tab_Calculs[[#This Row],[Début mois]])</f>
        <v>#VALUE!</v>
      </c>
      <c r="P974">
        <f ca="1">INDEX(INDIRECT(CONCATENATE("Tab_",Tab_Calculs[[#This Row],[Colonne1]])),Tab_Calculs[[#This Row],[index_date_livraison]],7)*(1+MIN(Tab_Calculs[[#This Row],[Date_livraison]],Tab_Calculs[[#This Row],[fin mois]])-MAX(Tab_Calculs[[#This Row],[Début mois]],Tab_Calculs[[#This Row],[Début periode livraison]]))</f>
        <v>0</v>
      </c>
      <c r="Q974" t="e">
        <f ca="1">INDEX(INDIRECT(CONCATENATE("Tab_",Tab_Calculs[[#This Row],[Colonne1]])),Tab_Calculs[[#This Row],[index_date_livraison]]+1,7)*(Tab_Calculs[[#This Row],[fin mois]]-MIN(Tab_Calculs[[#This Row],[fin mois]],Tab_Calculs[[#This Row],[Date_livraison]]))</f>
        <v>#VALUE!</v>
      </c>
      <c r="R974" t="e">
        <f ca="1">Tab_Calculs[[#This Row],[Ratio_Cout_après_livr]]+Tab_Calculs[[#This Row],[Ratio_Cout_avant_livr]]+Tab_Calculs[[#This Row],[Ratio_Cout_avant_debut]]</f>
        <v>#VALUE!</v>
      </c>
      <c r="S974" t="str">
        <f ca="1">IFERROR(N974*VLOOKUP(Tab_Calculs[[#This Row],[Colonne1]],Controle_des_données!$B$7:$G$14,6,FALSE),"")</f>
        <v/>
      </c>
      <c r="T974" t="str">
        <f ca="1">IF(Tab_Calculs[[#This Row],[Combustible ]]="Electricité (kWh)",Tab_Calculs[[#This Row],[Conso_mois_kWh]]*2.3,Tab_Calculs[[#This Row],[Conso_mois_kWh]])</f>
        <v/>
      </c>
      <c r="U974" t="str">
        <f ca="1">IFERROR(N974*VLOOKUP(Tab_Calculs[[#This Row],[Colonne1]],Controle_des_données!$B$7:$H$14,7,FALSE),"")</f>
        <v/>
      </c>
      <c r="V974">
        <f ca="1">IFERROR(Tab_Calculs[[#This Row],[Cout_mois]]/Tab_Calculs[[#This Row],[Conso_mois_kWh]],0)</f>
        <v>0</v>
      </c>
      <c r="W974" t="str">
        <f>T(VLOOKUP(Tab_Calculs[[#This Row],[Compteur]],Site!$B$33:$G$40,3,FALSE))</f>
        <v/>
      </c>
      <c r="X974" t="str">
        <f>T(VLOOKUP(Tab_Calculs[[#This Row],[Compteur]],Site!$B$33:$G$40,4,FALSE))</f>
        <v/>
      </c>
      <c r="Y974" t="str">
        <f>T(VLOOKUP(Tab_Calculs[[#This Row],[Compteur]],Site!$B$33:$G$40,5,FALSE))</f>
        <v/>
      </c>
      <c r="Z974" t="str">
        <f>T(VLOOKUP(Tab_Calculs[[#This Row],[Compteur]],Site!$B$33:$G$40,6,FALSE))</f>
        <v/>
      </c>
      <c r="AA974">
        <f>IFERROR(GETPIVOTDATA("DJU(chauffagiste)",BDD_DJU!$P$13,"annee",Tab_Calculs[[#This Row],[ANNEE]],"mois_numero",Tab_Calculs[[#This Row],[MOIS]]),0)</f>
        <v>46.7</v>
      </c>
    </row>
    <row r="975" spans="1:27" x14ac:dyDescent="0.25">
      <c r="A975" s="3">
        <f>DATE(Tab_Calculs[[#This Row],[ANNEE]],Tab_Calculs[[#This Row],[MOIS]],1)</f>
        <v>40360</v>
      </c>
      <c r="B975" s="3">
        <f>EDATE(Tab_Calculs[[#This Row],[Début mois]],1)-1</f>
        <v>40390</v>
      </c>
      <c r="C975">
        <v>7</v>
      </c>
      <c r="D975">
        <v>2010</v>
      </c>
      <c r="E975" t="s">
        <v>85</v>
      </c>
      <c r="F975" t="str">
        <f>SUBSTITUTE(Tab_Calculs[[#This Row],[Compteur]]," ","_")</f>
        <v>Compteur_6</v>
      </c>
      <c r="G975" t="str">
        <f>T(INDEX(Site!$B$33:$G$40, MATCH(Tab_Calculs[[#This Row],[Compteur]], Site!$B$33:$B$40,0),2))</f>
        <v/>
      </c>
      <c r="H975" s="3">
        <f t="array" aca="1" ref="H975" ca="1">MIN(IF(INDIRECT(CONCATENATE(Tab_Calculs[[#This Row],[Colonne1]],"!$B$2:$B$243"))&gt;=Calculs_Consos!$A975,INDIRECT(CONCATENATE(Tab_Calculs[[#This Row],[Colonne1]],"!$B$2:$B$243"))))</f>
        <v>0</v>
      </c>
      <c r="I975" s="3">
        <f ca="1">INDEX(INDIRECT(CONCATENATE("Tab_",Tab_Calculs[[#This Row],[Colonne1]])),Tab_Calculs[[#This Row],[index_date_livraison]],1)</f>
        <v>0</v>
      </c>
      <c r="J975">
        <f ca="1">MATCH(Tab_Calculs[[#This Row],[Date_livraison]],INDIRECT(CONCATENATE("Tab_",Tab_Calculs[[#This Row],[Colonne1]],"[Fin de période]")),0)</f>
        <v>1</v>
      </c>
      <c r="K975" t="e">
        <f ca="1">INDEX(INDIRECT(CONCATENATE("Tab_",Tab_Calculs[[#This Row],[Colonne1]])),Tab_Calculs[[#This Row],[index_date_livraison]]-1,6)*(MAX(Tab_Calculs[[#This Row],[Début periode livraison]],Tab_Calculs[[#This Row],[Début mois]])-Tab_Calculs[[#This Row],[Début mois]])</f>
        <v>#VALUE!</v>
      </c>
      <c r="L975" s="94">
        <f ca="1">INDEX(INDIRECT(CONCATENATE("Tab_",Tab_Calculs[[#This Row],[Colonne1]])),Tab_Calculs[[#This Row],[index_date_livraison]],6)*(1+MIN(Tab_Calculs[[#This Row],[Date_livraison]],Tab_Calculs[[#This Row],[fin mois]])-MAX(Tab_Calculs[[#This Row],[Début mois]],Tab_Calculs[[#This Row],[Début periode livraison]]))</f>
        <v>0</v>
      </c>
      <c r="M975" s="94" t="e">
        <f ca="1">INDEX(INDIRECT(CONCATENATE("Tab_",Tab_Calculs[[#This Row],[Colonne1]])),Tab_Calculs[[#This Row],[index_date_livraison]]+1,6)*(Tab_Calculs[[#This Row],[fin mois]]-MIN(Tab_Calculs[[#This Row],[fin mois]],Tab_Calculs[[#This Row],[Date_livraison]]))</f>
        <v>#VALUE!</v>
      </c>
      <c r="N975" s="231" t="str">
        <f ca="1">IFERROR(Tab_Calculs[[#This Row],[Ratio_jour_après_livr]]+Tab_Calculs[[#This Row],[Ratio_jour_avant_livr]]+Tab_Calculs[[#This Row],[ratio_avant_debut]],"")</f>
        <v/>
      </c>
      <c r="O975" t="e">
        <f ca="1">INDEX(INDIRECT(CONCATENATE("Tab_",Tab_Calculs[[#This Row],[Colonne1]])),Tab_Calculs[[#This Row],[index_date_livraison]]-1,7)*(MAX(Tab_Calculs[[#This Row],[Début periode livraison]],Tab_Calculs[[#This Row],[Début mois]])-Tab_Calculs[[#This Row],[Début mois]])</f>
        <v>#VALUE!</v>
      </c>
      <c r="P975">
        <f ca="1">INDEX(INDIRECT(CONCATENATE("Tab_",Tab_Calculs[[#This Row],[Colonne1]])),Tab_Calculs[[#This Row],[index_date_livraison]],7)*(1+MIN(Tab_Calculs[[#This Row],[Date_livraison]],Tab_Calculs[[#This Row],[fin mois]])-MAX(Tab_Calculs[[#This Row],[Début mois]],Tab_Calculs[[#This Row],[Début periode livraison]]))</f>
        <v>0</v>
      </c>
      <c r="Q975" t="e">
        <f ca="1">INDEX(INDIRECT(CONCATENATE("Tab_",Tab_Calculs[[#This Row],[Colonne1]])),Tab_Calculs[[#This Row],[index_date_livraison]]+1,7)*(Tab_Calculs[[#This Row],[fin mois]]-MIN(Tab_Calculs[[#This Row],[fin mois]],Tab_Calculs[[#This Row],[Date_livraison]]))</f>
        <v>#VALUE!</v>
      </c>
      <c r="R975" t="e">
        <f ca="1">Tab_Calculs[[#This Row],[Ratio_Cout_après_livr]]+Tab_Calculs[[#This Row],[Ratio_Cout_avant_livr]]+Tab_Calculs[[#This Row],[Ratio_Cout_avant_debut]]</f>
        <v>#VALUE!</v>
      </c>
      <c r="S975" t="str">
        <f ca="1">IFERROR(N975*VLOOKUP(Tab_Calculs[[#This Row],[Colonne1]],Controle_des_données!$B$7:$G$14,6,FALSE),"")</f>
        <v/>
      </c>
      <c r="T975" t="str">
        <f ca="1">IF(Tab_Calculs[[#This Row],[Combustible ]]="Electricité (kWh)",Tab_Calculs[[#This Row],[Conso_mois_kWh]]*2.3,Tab_Calculs[[#This Row],[Conso_mois_kWh]])</f>
        <v/>
      </c>
      <c r="U975" t="str">
        <f ca="1">IFERROR(N975*VLOOKUP(Tab_Calculs[[#This Row],[Colonne1]],Controle_des_données!$B$7:$H$14,7,FALSE),"")</f>
        <v/>
      </c>
      <c r="V975">
        <f ca="1">IFERROR(Tab_Calculs[[#This Row],[Cout_mois]]/Tab_Calculs[[#This Row],[Conso_mois_kWh]],0)</f>
        <v>0</v>
      </c>
      <c r="W975" t="str">
        <f>T(VLOOKUP(Tab_Calculs[[#This Row],[Compteur]],Site!$B$33:$G$40,3,FALSE))</f>
        <v/>
      </c>
      <c r="X975" t="str">
        <f>T(VLOOKUP(Tab_Calculs[[#This Row],[Compteur]],Site!$B$33:$G$40,4,FALSE))</f>
        <v/>
      </c>
      <c r="Y975" t="str">
        <f>T(VLOOKUP(Tab_Calculs[[#This Row],[Compteur]],Site!$B$33:$G$40,5,FALSE))</f>
        <v/>
      </c>
      <c r="Z975" t="str">
        <f>T(VLOOKUP(Tab_Calculs[[#This Row],[Compteur]],Site!$B$33:$G$40,6,FALSE))</f>
        <v/>
      </c>
      <c r="AA975">
        <f>IFERROR(GETPIVOTDATA("DJU(chauffagiste)",BDD_DJU!$P$13,"annee",Tab_Calculs[[#This Row],[ANNEE]],"mois_numero",Tab_Calculs[[#This Row],[MOIS]]),0)</f>
        <v>22.2</v>
      </c>
    </row>
    <row r="976" spans="1:27" x14ac:dyDescent="0.25">
      <c r="A976" s="3">
        <f>DATE(Tab_Calculs[[#This Row],[ANNEE]],Tab_Calculs[[#This Row],[MOIS]],1)</f>
        <v>40391</v>
      </c>
      <c r="B976" s="3">
        <f>EDATE(Tab_Calculs[[#This Row],[Début mois]],1)-1</f>
        <v>40421</v>
      </c>
      <c r="C976">
        <v>8</v>
      </c>
      <c r="D976">
        <v>2010</v>
      </c>
      <c r="E976" t="s">
        <v>85</v>
      </c>
      <c r="F976" t="str">
        <f>SUBSTITUTE(Tab_Calculs[[#This Row],[Compteur]]," ","_")</f>
        <v>Compteur_6</v>
      </c>
      <c r="G976" t="str">
        <f>T(INDEX(Site!$B$33:$G$40, MATCH(Tab_Calculs[[#This Row],[Compteur]], Site!$B$33:$B$40,0),2))</f>
        <v/>
      </c>
      <c r="H976" s="3">
        <f t="array" aca="1" ref="H976" ca="1">MIN(IF(INDIRECT(CONCATENATE(Tab_Calculs[[#This Row],[Colonne1]],"!$B$2:$B$243"))&gt;=Calculs_Consos!$A976,INDIRECT(CONCATENATE(Tab_Calculs[[#This Row],[Colonne1]],"!$B$2:$B$243"))))</f>
        <v>0</v>
      </c>
      <c r="I976" s="3">
        <f ca="1">INDEX(INDIRECT(CONCATENATE("Tab_",Tab_Calculs[[#This Row],[Colonne1]])),Tab_Calculs[[#This Row],[index_date_livraison]],1)</f>
        <v>0</v>
      </c>
      <c r="J976">
        <f ca="1">MATCH(Tab_Calculs[[#This Row],[Date_livraison]],INDIRECT(CONCATENATE("Tab_",Tab_Calculs[[#This Row],[Colonne1]],"[Fin de période]")),0)</f>
        <v>1</v>
      </c>
      <c r="K976" t="e">
        <f ca="1">INDEX(INDIRECT(CONCATENATE("Tab_",Tab_Calculs[[#This Row],[Colonne1]])),Tab_Calculs[[#This Row],[index_date_livraison]]-1,6)*(MAX(Tab_Calculs[[#This Row],[Début periode livraison]],Tab_Calculs[[#This Row],[Début mois]])-Tab_Calculs[[#This Row],[Début mois]])</f>
        <v>#VALUE!</v>
      </c>
      <c r="L976" s="94">
        <f ca="1">INDEX(INDIRECT(CONCATENATE("Tab_",Tab_Calculs[[#This Row],[Colonne1]])),Tab_Calculs[[#This Row],[index_date_livraison]],6)*(1+MIN(Tab_Calculs[[#This Row],[Date_livraison]],Tab_Calculs[[#This Row],[fin mois]])-MAX(Tab_Calculs[[#This Row],[Début mois]],Tab_Calculs[[#This Row],[Début periode livraison]]))</f>
        <v>0</v>
      </c>
      <c r="M976" s="94" t="e">
        <f ca="1">INDEX(INDIRECT(CONCATENATE("Tab_",Tab_Calculs[[#This Row],[Colonne1]])),Tab_Calculs[[#This Row],[index_date_livraison]]+1,6)*(Tab_Calculs[[#This Row],[fin mois]]-MIN(Tab_Calculs[[#This Row],[fin mois]],Tab_Calculs[[#This Row],[Date_livraison]]))</f>
        <v>#VALUE!</v>
      </c>
      <c r="N976" s="231" t="str">
        <f ca="1">IFERROR(Tab_Calculs[[#This Row],[Ratio_jour_après_livr]]+Tab_Calculs[[#This Row],[Ratio_jour_avant_livr]]+Tab_Calculs[[#This Row],[ratio_avant_debut]],"")</f>
        <v/>
      </c>
      <c r="O976" t="e">
        <f ca="1">INDEX(INDIRECT(CONCATENATE("Tab_",Tab_Calculs[[#This Row],[Colonne1]])),Tab_Calculs[[#This Row],[index_date_livraison]]-1,7)*(MAX(Tab_Calculs[[#This Row],[Début periode livraison]],Tab_Calculs[[#This Row],[Début mois]])-Tab_Calculs[[#This Row],[Début mois]])</f>
        <v>#VALUE!</v>
      </c>
      <c r="P976">
        <f ca="1">INDEX(INDIRECT(CONCATENATE("Tab_",Tab_Calculs[[#This Row],[Colonne1]])),Tab_Calculs[[#This Row],[index_date_livraison]],7)*(1+MIN(Tab_Calculs[[#This Row],[Date_livraison]],Tab_Calculs[[#This Row],[fin mois]])-MAX(Tab_Calculs[[#This Row],[Début mois]],Tab_Calculs[[#This Row],[Début periode livraison]]))</f>
        <v>0</v>
      </c>
      <c r="Q976" t="e">
        <f ca="1">INDEX(INDIRECT(CONCATENATE("Tab_",Tab_Calculs[[#This Row],[Colonne1]])),Tab_Calculs[[#This Row],[index_date_livraison]]+1,7)*(Tab_Calculs[[#This Row],[fin mois]]-MIN(Tab_Calculs[[#This Row],[fin mois]],Tab_Calculs[[#This Row],[Date_livraison]]))</f>
        <v>#VALUE!</v>
      </c>
      <c r="R976" t="e">
        <f ca="1">Tab_Calculs[[#This Row],[Ratio_Cout_après_livr]]+Tab_Calculs[[#This Row],[Ratio_Cout_avant_livr]]+Tab_Calculs[[#This Row],[Ratio_Cout_avant_debut]]</f>
        <v>#VALUE!</v>
      </c>
      <c r="S976" t="str">
        <f ca="1">IFERROR(N976*VLOOKUP(Tab_Calculs[[#This Row],[Colonne1]],Controle_des_données!$B$7:$G$14,6,FALSE),"")</f>
        <v/>
      </c>
      <c r="T976" t="str">
        <f ca="1">IF(Tab_Calculs[[#This Row],[Combustible ]]="Electricité (kWh)",Tab_Calculs[[#This Row],[Conso_mois_kWh]]*2.3,Tab_Calculs[[#This Row],[Conso_mois_kWh]])</f>
        <v/>
      </c>
      <c r="U976" t="str">
        <f ca="1">IFERROR(N976*VLOOKUP(Tab_Calculs[[#This Row],[Colonne1]],Controle_des_données!$B$7:$H$14,7,FALSE),"")</f>
        <v/>
      </c>
      <c r="V976">
        <f ca="1">IFERROR(Tab_Calculs[[#This Row],[Cout_mois]]/Tab_Calculs[[#This Row],[Conso_mois_kWh]],0)</f>
        <v>0</v>
      </c>
      <c r="W976" t="str">
        <f>T(VLOOKUP(Tab_Calculs[[#This Row],[Compteur]],Site!$B$33:$G$40,3,FALSE))</f>
        <v/>
      </c>
      <c r="X976" t="str">
        <f>T(VLOOKUP(Tab_Calculs[[#This Row],[Compteur]],Site!$B$33:$G$40,4,FALSE))</f>
        <v/>
      </c>
      <c r="Y976" t="str">
        <f>T(VLOOKUP(Tab_Calculs[[#This Row],[Compteur]],Site!$B$33:$G$40,5,FALSE))</f>
        <v/>
      </c>
      <c r="Z976" t="str">
        <f>T(VLOOKUP(Tab_Calculs[[#This Row],[Compteur]],Site!$B$33:$G$40,6,FALSE))</f>
        <v/>
      </c>
      <c r="AA976">
        <f>IFERROR(GETPIVOTDATA("DJU(chauffagiste)",BDD_DJU!$P$13,"annee",Tab_Calculs[[#This Row],[ANNEE]],"mois_numero",Tab_Calculs[[#This Row],[MOIS]]),0)</f>
        <v>41.5</v>
      </c>
    </row>
    <row r="977" spans="1:27" x14ac:dyDescent="0.25">
      <c r="A977" s="3">
        <f>DATE(Tab_Calculs[[#This Row],[ANNEE]],Tab_Calculs[[#This Row],[MOIS]],1)</f>
        <v>40422</v>
      </c>
      <c r="B977" s="3">
        <f>EDATE(Tab_Calculs[[#This Row],[Début mois]],1)-1</f>
        <v>40451</v>
      </c>
      <c r="C977">
        <v>9</v>
      </c>
      <c r="D977">
        <v>2010</v>
      </c>
      <c r="E977" t="s">
        <v>85</v>
      </c>
      <c r="F977" t="str">
        <f>SUBSTITUTE(Tab_Calculs[[#This Row],[Compteur]]," ","_")</f>
        <v>Compteur_6</v>
      </c>
      <c r="G977" t="str">
        <f>T(INDEX(Site!$B$33:$G$40, MATCH(Tab_Calculs[[#This Row],[Compteur]], Site!$B$33:$B$40,0),2))</f>
        <v/>
      </c>
      <c r="H977" s="3">
        <f t="array" aca="1" ref="H977" ca="1">MIN(IF(INDIRECT(CONCATENATE(Tab_Calculs[[#This Row],[Colonne1]],"!$B$2:$B$243"))&gt;=Calculs_Consos!$A977,INDIRECT(CONCATENATE(Tab_Calculs[[#This Row],[Colonne1]],"!$B$2:$B$243"))))</f>
        <v>0</v>
      </c>
      <c r="I977" s="3">
        <f ca="1">INDEX(INDIRECT(CONCATENATE("Tab_",Tab_Calculs[[#This Row],[Colonne1]])),Tab_Calculs[[#This Row],[index_date_livraison]],1)</f>
        <v>0</v>
      </c>
      <c r="J977">
        <f ca="1">MATCH(Tab_Calculs[[#This Row],[Date_livraison]],INDIRECT(CONCATENATE("Tab_",Tab_Calculs[[#This Row],[Colonne1]],"[Fin de période]")),0)</f>
        <v>1</v>
      </c>
      <c r="K977" t="e">
        <f ca="1">INDEX(INDIRECT(CONCATENATE("Tab_",Tab_Calculs[[#This Row],[Colonne1]])),Tab_Calculs[[#This Row],[index_date_livraison]]-1,6)*(MAX(Tab_Calculs[[#This Row],[Début periode livraison]],Tab_Calculs[[#This Row],[Début mois]])-Tab_Calculs[[#This Row],[Début mois]])</f>
        <v>#VALUE!</v>
      </c>
      <c r="L977" s="94">
        <f ca="1">INDEX(INDIRECT(CONCATENATE("Tab_",Tab_Calculs[[#This Row],[Colonne1]])),Tab_Calculs[[#This Row],[index_date_livraison]],6)*(1+MIN(Tab_Calculs[[#This Row],[Date_livraison]],Tab_Calculs[[#This Row],[fin mois]])-MAX(Tab_Calculs[[#This Row],[Début mois]],Tab_Calculs[[#This Row],[Début periode livraison]]))</f>
        <v>0</v>
      </c>
      <c r="M977" s="94" t="e">
        <f ca="1">INDEX(INDIRECT(CONCATENATE("Tab_",Tab_Calculs[[#This Row],[Colonne1]])),Tab_Calculs[[#This Row],[index_date_livraison]]+1,6)*(Tab_Calculs[[#This Row],[fin mois]]-MIN(Tab_Calculs[[#This Row],[fin mois]],Tab_Calculs[[#This Row],[Date_livraison]]))</f>
        <v>#VALUE!</v>
      </c>
      <c r="N977" s="231" t="str">
        <f ca="1">IFERROR(Tab_Calculs[[#This Row],[Ratio_jour_après_livr]]+Tab_Calculs[[#This Row],[Ratio_jour_avant_livr]]+Tab_Calculs[[#This Row],[ratio_avant_debut]],"")</f>
        <v/>
      </c>
      <c r="O977" t="e">
        <f ca="1">INDEX(INDIRECT(CONCATENATE("Tab_",Tab_Calculs[[#This Row],[Colonne1]])),Tab_Calculs[[#This Row],[index_date_livraison]]-1,7)*(MAX(Tab_Calculs[[#This Row],[Début periode livraison]],Tab_Calculs[[#This Row],[Début mois]])-Tab_Calculs[[#This Row],[Début mois]])</f>
        <v>#VALUE!</v>
      </c>
      <c r="P977">
        <f ca="1">INDEX(INDIRECT(CONCATENATE("Tab_",Tab_Calculs[[#This Row],[Colonne1]])),Tab_Calculs[[#This Row],[index_date_livraison]],7)*(1+MIN(Tab_Calculs[[#This Row],[Date_livraison]],Tab_Calculs[[#This Row],[fin mois]])-MAX(Tab_Calculs[[#This Row],[Début mois]],Tab_Calculs[[#This Row],[Début periode livraison]]))</f>
        <v>0</v>
      </c>
      <c r="Q977" t="e">
        <f ca="1">INDEX(INDIRECT(CONCATENATE("Tab_",Tab_Calculs[[#This Row],[Colonne1]])),Tab_Calculs[[#This Row],[index_date_livraison]]+1,7)*(Tab_Calculs[[#This Row],[fin mois]]-MIN(Tab_Calculs[[#This Row],[fin mois]],Tab_Calculs[[#This Row],[Date_livraison]]))</f>
        <v>#VALUE!</v>
      </c>
      <c r="R977" t="e">
        <f ca="1">Tab_Calculs[[#This Row],[Ratio_Cout_après_livr]]+Tab_Calculs[[#This Row],[Ratio_Cout_avant_livr]]+Tab_Calculs[[#This Row],[Ratio_Cout_avant_debut]]</f>
        <v>#VALUE!</v>
      </c>
      <c r="S977" t="str">
        <f ca="1">IFERROR(N977*VLOOKUP(Tab_Calculs[[#This Row],[Colonne1]],Controle_des_données!$B$7:$G$14,6,FALSE),"")</f>
        <v/>
      </c>
      <c r="T977" t="str">
        <f ca="1">IF(Tab_Calculs[[#This Row],[Combustible ]]="Electricité (kWh)",Tab_Calculs[[#This Row],[Conso_mois_kWh]]*2.3,Tab_Calculs[[#This Row],[Conso_mois_kWh]])</f>
        <v/>
      </c>
      <c r="U977" t="str">
        <f ca="1">IFERROR(N977*VLOOKUP(Tab_Calculs[[#This Row],[Colonne1]],Controle_des_données!$B$7:$H$14,7,FALSE),"")</f>
        <v/>
      </c>
      <c r="V977">
        <f ca="1">IFERROR(Tab_Calculs[[#This Row],[Cout_mois]]/Tab_Calculs[[#This Row],[Conso_mois_kWh]],0)</f>
        <v>0</v>
      </c>
      <c r="W977" t="str">
        <f>T(VLOOKUP(Tab_Calculs[[#This Row],[Compteur]],Site!$B$33:$G$40,3,FALSE))</f>
        <v/>
      </c>
      <c r="X977" t="str">
        <f>T(VLOOKUP(Tab_Calculs[[#This Row],[Compteur]],Site!$B$33:$G$40,4,FALSE))</f>
        <v/>
      </c>
      <c r="Y977" t="str">
        <f>T(VLOOKUP(Tab_Calculs[[#This Row],[Compteur]],Site!$B$33:$G$40,5,FALSE))</f>
        <v/>
      </c>
      <c r="Z977" t="str">
        <f>T(VLOOKUP(Tab_Calculs[[#This Row],[Compteur]],Site!$B$33:$G$40,6,FALSE))</f>
        <v/>
      </c>
      <c r="AA977">
        <f>IFERROR(GETPIVOTDATA("DJU(chauffagiste)",BDD_DJU!$P$13,"annee",Tab_Calculs[[#This Row],[ANNEE]],"mois_numero",Tab_Calculs[[#This Row],[MOIS]]),0)</f>
        <v>95.4</v>
      </c>
    </row>
    <row r="978" spans="1:27" x14ac:dyDescent="0.25">
      <c r="A978" s="3">
        <f>DATE(Tab_Calculs[[#This Row],[ANNEE]],Tab_Calculs[[#This Row],[MOIS]],1)</f>
        <v>40452</v>
      </c>
      <c r="B978" s="3">
        <f>EDATE(Tab_Calculs[[#This Row],[Début mois]],1)-1</f>
        <v>40482</v>
      </c>
      <c r="C978">
        <v>10</v>
      </c>
      <c r="D978">
        <v>2010</v>
      </c>
      <c r="E978" t="s">
        <v>85</v>
      </c>
      <c r="F978" t="str">
        <f>SUBSTITUTE(Tab_Calculs[[#This Row],[Compteur]]," ","_")</f>
        <v>Compteur_6</v>
      </c>
      <c r="G978" t="str">
        <f>T(INDEX(Site!$B$33:$G$40, MATCH(Tab_Calculs[[#This Row],[Compteur]], Site!$B$33:$B$40,0),2))</f>
        <v/>
      </c>
      <c r="H978" s="3">
        <f t="array" aca="1" ref="H978" ca="1">MIN(IF(INDIRECT(CONCATENATE(Tab_Calculs[[#This Row],[Colonne1]],"!$B$2:$B$243"))&gt;=Calculs_Consos!$A978,INDIRECT(CONCATENATE(Tab_Calculs[[#This Row],[Colonne1]],"!$B$2:$B$243"))))</f>
        <v>0</v>
      </c>
      <c r="I978" s="3">
        <f ca="1">INDEX(INDIRECT(CONCATENATE("Tab_",Tab_Calculs[[#This Row],[Colonne1]])),Tab_Calculs[[#This Row],[index_date_livraison]],1)</f>
        <v>0</v>
      </c>
      <c r="J978">
        <f ca="1">MATCH(Tab_Calculs[[#This Row],[Date_livraison]],INDIRECT(CONCATENATE("Tab_",Tab_Calculs[[#This Row],[Colonne1]],"[Fin de période]")),0)</f>
        <v>1</v>
      </c>
      <c r="K978" t="e">
        <f ca="1">INDEX(INDIRECT(CONCATENATE("Tab_",Tab_Calculs[[#This Row],[Colonne1]])),Tab_Calculs[[#This Row],[index_date_livraison]]-1,6)*(MAX(Tab_Calculs[[#This Row],[Début periode livraison]],Tab_Calculs[[#This Row],[Début mois]])-Tab_Calculs[[#This Row],[Début mois]])</f>
        <v>#VALUE!</v>
      </c>
      <c r="L978" s="94">
        <f ca="1">INDEX(INDIRECT(CONCATENATE("Tab_",Tab_Calculs[[#This Row],[Colonne1]])),Tab_Calculs[[#This Row],[index_date_livraison]],6)*(1+MIN(Tab_Calculs[[#This Row],[Date_livraison]],Tab_Calculs[[#This Row],[fin mois]])-MAX(Tab_Calculs[[#This Row],[Début mois]],Tab_Calculs[[#This Row],[Début periode livraison]]))</f>
        <v>0</v>
      </c>
      <c r="M978" s="94" t="e">
        <f ca="1">INDEX(INDIRECT(CONCATENATE("Tab_",Tab_Calculs[[#This Row],[Colonne1]])),Tab_Calculs[[#This Row],[index_date_livraison]]+1,6)*(Tab_Calculs[[#This Row],[fin mois]]-MIN(Tab_Calculs[[#This Row],[fin mois]],Tab_Calculs[[#This Row],[Date_livraison]]))</f>
        <v>#VALUE!</v>
      </c>
      <c r="N978" s="231" t="str">
        <f ca="1">IFERROR(Tab_Calculs[[#This Row],[Ratio_jour_après_livr]]+Tab_Calculs[[#This Row],[Ratio_jour_avant_livr]]+Tab_Calculs[[#This Row],[ratio_avant_debut]],"")</f>
        <v/>
      </c>
      <c r="O978" t="e">
        <f ca="1">INDEX(INDIRECT(CONCATENATE("Tab_",Tab_Calculs[[#This Row],[Colonne1]])),Tab_Calculs[[#This Row],[index_date_livraison]]-1,7)*(MAX(Tab_Calculs[[#This Row],[Début periode livraison]],Tab_Calculs[[#This Row],[Début mois]])-Tab_Calculs[[#This Row],[Début mois]])</f>
        <v>#VALUE!</v>
      </c>
      <c r="P978">
        <f ca="1">INDEX(INDIRECT(CONCATENATE("Tab_",Tab_Calculs[[#This Row],[Colonne1]])),Tab_Calculs[[#This Row],[index_date_livraison]],7)*(1+MIN(Tab_Calculs[[#This Row],[Date_livraison]],Tab_Calculs[[#This Row],[fin mois]])-MAX(Tab_Calculs[[#This Row],[Début mois]],Tab_Calculs[[#This Row],[Début periode livraison]]))</f>
        <v>0</v>
      </c>
      <c r="Q978" t="e">
        <f ca="1">INDEX(INDIRECT(CONCATENATE("Tab_",Tab_Calculs[[#This Row],[Colonne1]])),Tab_Calculs[[#This Row],[index_date_livraison]]+1,7)*(Tab_Calculs[[#This Row],[fin mois]]-MIN(Tab_Calculs[[#This Row],[fin mois]],Tab_Calculs[[#This Row],[Date_livraison]]))</f>
        <v>#VALUE!</v>
      </c>
      <c r="R978" t="e">
        <f ca="1">Tab_Calculs[[#This Row],[Ratio_Cout_après_livr]]+Tab_Calculs[[#This Row],[Ratio_Cout_avant_livr]]+Tab_Calculs[[#This Row],[Ratio_Cout_avant_debut]]</f>
        <v>#VALUE!</v>
      </c>
      <c r="S978" t="str">
        <f ca="1">IFERROR(N978*VLOOKUP(Tab_Calculs[[#This Row],[Colonne1]],Controle_des_données!$B$7:$G$14,6,FALSE),"")</f>
        <v/>
      </c>
      <c r="T978" t="str">
        <f ca="1">IF(Tab_Calculs[[#This Row],[Combustible ]]="Electricité (kWh)",Tab_Calculs[[#This Row],[Conso_mois_kWh]]*2.3,Tab_Calculs[[#This Row],[Conso_mois_kWh]])</f>
        <v/>
      </c>
      <c r="U978" t="str">
        <f ca="1">IFERROR(N978*VLOOKUP(Tab_Calculs[[#This Row],[Colonne1]],Controle_des_données!$B$7:$H$14,7,FALSE),"")</f>
        <v/>
      </c>
      <c r="V978">
        <f ca="1">IFERROR(Tab_Calculs[[#This Row],[Cout_mois]]/Tab_Calculs[[#This Row],[Conso_mois_kWh]],0)</f>
        <v>0</v>
      </c>
      <c r="W978" t="str">
        <f>T(VLOOKUP(Tab_Calculs[[#This Row],[Compteur]],Site!$B$33:$G$40,3,FALSE))</f>
        <v/>
      </c>
      <c r="X978" t="str">
        <f>T(VLOOKUP(Tab_Calculs[[#This Row],[Compteur]],Site!$B$33:$G$40,4,FALSE))</f>
        <v/>
      </c>
      <c r="Y978" t="str">
        <f>T(VLOOKUP(Tab_Calculs[[#This Row],[Compteur]],Site!$B$33:$G$40,5,FALSE))</f>
        <v/>
      </c>
      <c r="Z978" t="str">
        <f>T(VLOOKUP(Tab_Calculs[[#This Row],[Compteur]],Site!$B$33:$G$40,6,FALSE))</f>
        <v/>
      </c>
      <c r="AA978">
        <f>IFERROR(GETPIVOTDATA("DJU(chauffagiste)",BDD_DJU!$P$13,"annee",Tab_Calculs[[#This Row],[ANNEE]],"mois_numero",Tab_Calculs[[#This Row],[MOIS]]),0)</f>
        <v>190.1</v>
      </c>
    </row>
    <row r="979" spans="1:27" x14ac:dyDescent="0.25">
      <c r="A979" s="3">
        <f>DATE(Tab_Calculs[[#This Row],[ANNEE]],Tab_Calculs[[#This Row],[MOIS]],1)</f>
        <v>40483</v>
      </c>
      <c r="B979" s="3">
        <f>EDATE(Tab_Calculs[[#This Row],[Début mois]],1)-1</f>
        <v>40512</v>
      </c>
      <c r="C979">
        <v>11</v>
      </c>
      <c r="D979">
        <v>2010</v>
      </c>
      <c r="E979" t="s">
        <v>85</v>
      </c>
      <c r="F979" t="str">
        <f>SUBSTITUTE(Tab_Calculs[[#This Row],[Compteur]]," ","_")</f>
        <v>Compteur_6</v>
      </c>
      <c r="G979" t="str">
        <f>T(INDEX(Site!$B$33:$G$40, MATCH(Tab_Calculs[[#This Row],[Compteur]], Site!$B$33:$B$40,0),2))</f>
        <v/>
      </c>
      <c r="H979" s="3">
        <f t="array" aca="1" ref="H979" ca="1">MIN(IF(INDIRECT(CONCATENATE(Tab_Calculs[[#This Row],[Colonne1]],"!$B$2:$B$243"))&gt;=Calculs_Consos!$A979,INDIRECT(CONCATENATE(Tab_Calculs[[#This Row],[Colonne1]],"!$B$2:$B$243"))))</f>
        <v>0</v>
      </c>
      <c r="I979" s="3">
        <f ca="1">INDEX(INDIRECT(CONCATENATE("Tab_",Tab_Calculs[[#This Row],[Colonne1]])),Tab_Calculs[[#This Row],[index_date_livraison]],1)</f>
        <v>0</v>
      </c>
      <c r="J979">
        <f ca="1">MATCH(Tab_Calculs[[#This Row],[Date_livraison]],INDIRECT(CONCATENATE("Tab_",Tab_Calculs[[#This Row],[Colonne1]],"[Fin de période]")),0)</f>
        <v>1</v>
      </c>
      <c r="K979" t="e">
        <f ca="1">INDEX(INDIRECT(CONCATENATE("Tab_",Tab_Calculs[[#This Row],[Colonne1]])),Tab_Calculs[[#This Row],[index_date_livraison]]-1,6)*(MAX(Tab_Calculs[[#This Row],[Début periode livraison]],Tab_Calculs[[#This Row],[Début mois]])-Tab_Calculs[[#This Row],[Début mois]])</f>
        <v>#VALUE!</v>
      </c>
      <c r="L979" s="94">
        <f ca="1">INDEX(INDIRECT(CONCATENATE("Tab_",Tab_Calculs[[#This Row],[Colonne1]])),Tab_Calculs[[#This Row],[index_date_livraison]],6)*(1+MIN(Tab_Calculs[[#This Row],[Date_livraison]],Tab_Calculs[[#This Row],[fin mois]])-MAX(Tab_Calculs[[#This Row],[Début mois]],Tab_Calculs[[#This Row],[Début periode livraison]]))</f>
        <v>0</v>
      </c>
      <c r="M979" s="94" t="e">
        <f ca="1">INDEX(INDIRECT(CONCATENATE("Tab_",Tab_Calculs[[#This Row],[Colonne1]])),Tab_Calculs[[#This Row],[index_date_livraison]]+1,6)*(Tab_Calculs[[#This Row],[fin mois]]-MIN(Tab_Calculs[[#This Row],[fin mois]],Tab_Calculs[[#This Row],[Date_livraison]]))</f>
        <v>#VALUE!</v>
      </c>
      <c r="N979" s="231" t="str">
        <f ca="1">IFERROR(Tab_Calculs[[#This Row],[Ratio_jour_après_livr]]+Tab_Calculs[[#This Row],[Ratio_jour_avant_livr]]+Tab_Calculs[[#This Row],[ratio_avant_debut]],"")</f>
        <v/>
      </c>
      <c r="O979" t="e">
        <f ca="1">INDEX(INDIRECT(CONCATENATE("Tab_",Tab_Calculs[[#This Row],[Colonne1]])),Tab_Calculs[[#This Row],[index_date_livraison]]-1,7)*(MAX(Tab_Calculs[[#This Row],[Début periode livraison]],Tab_Calculs[[#This Row],[Début mois]])-Tab_Calculs[[#This Row],[Début mois]])</f>
        <v>#VALUE!</v>
      </c>
      <c r="P979">
        <f ca="1">INDEX(INDIRECT(CONCATENATE("Tab_",Tab_Calculs[[#This Row],[Colonne1]])),Tab_Calculs[[#This Row],[index_date_livraison]],7)*(1+MIN(Tab_Calculs[[#This Row],[Date_livraison]],Tab_Calculs[[#This Row],[fin mois]])-MAX(Tab_Calculs[[#This Row],[Début mois]],Tab_Calculs[[#This Row],[Début periode livraison]]))</f>
        <v>0</v>
      </c>
      <c r="Q979" t="e">
        <f ca="1">INDEX(INDIRECT(CONCATENATE("Tab_",Tab_Calculs[[#This Row],[Colonne1]])),Tab_Calculs[[#This Row],[index_date_livraison]]+1,7)*(Tab_Calculs[[#This Row],[fin mois]]-MIN(Tab_Calculs[[#This Row],[fin mois]],Tab_Calculs[[#This Row],[Date_livraison]]))</f>
        <v>#VALUE!</v>
      </c>
      <c r="R979" t="e">
        <f ca="1">Tab_Calculs[[#This Row],[Ratio_Cout_après_livr]]+Tab_Calculs[[#This Row],[Ratio_Cout_avant_livr]]+Tab_Calculs[[#This Row],[Ratio_Cout_avant_debut]]</f>
        <v>#VALUE!</v>
      </c>
      <c r="S979" t="str">
        <f ca="1">IFERROR(N979*VLOOKUP(Tab_Calculs[[#This Row],[Colonne1]],Controle_des_données!$B$7:$G$14,6,FALSE),"")</f>
        <v/>
      </c>
      <c r="T979" t="str">
        <f ca="1">IF(Tab_Calculs[[#This Row],[Combustible ]]="Electricité (kWh)",Tab_Calculs[[#This Row],[Conso_mois_kWh]]*2.3,Tab_Calculs[[#This Row],[Conso_mois_kWh]])</f>
        <v/>
      </c>
      <c r="U979" t="str">
        <f ca="1">IFERROR(N979*VLOOKUP(Tab_Calculs[[#This Row],[Colonne1]],Controle_des_données!$B$7:$H$14,7,FALSE),"")</f>
        <v/>
      </c>
      <c r="V979">
        <f ca="1">IFERROR(Tab_Calculs[[#This Row],[Cout_mois]]/Tab_Calculs[[#This Row],[Conso_mois_kWh]],0)</f>
        <v>0</v>
      </c>
      <c r="W979" t="str">
        <f>T(VLOOKUP(Tab_Calculs[[#This Row],[Compteur]],Site!$B$33:$G$40,3,FALSE))</f>
        <v/>
      </c>
      <c r="X979" t="str">
        <f>T(VLOOKUP(Tab_Calculs[[#This Row],[Compteur]],Site!$B$33:$G$40,4,FALSE))</f>
        <v/>
      </c>
      <c r="Y979" t="str">
        <f>T(VLOOKUP(Tab_Calculs[[#This Row],[Compteur]],Site!$B$33:$G$40,5,FALSE))</f>
        <v/>
      </c>
      <c r="Z979" t="str">
        <f>T(VLOOKUP(Tab_Calculs[[#This Row],[Compteur]],Site!$B$33:$G$40,6,FALSE))</f>
        <v/>
      </c>
      <c r="AA979">
        <f>IFERROR(GETPIVOTDATA("DJU(chauffagiste)",BDD_DJU!$P$13,"annee",Tab_Calculs[[#This Row],[ANNEE]],"mois_numero",Tab_Calculs[[#This Row],[MOIS]]),0)</f>
        <v>320.89999999999998</v>
      </c>
    </row>
    <row r="980" spans="1:27" x14ac:dyDescent="0.25">
      <c r="A980" s="3">
        <f>DATE(Tab_Calculs[[#This Row],[ANNEE]],Tab_Calculs[[#This Row],[MOIS]],1)</f>
        <v>40513</v>
      </c>
      <c r="B980" s="3">
        <f>EDATE(Tab_Calculs[[#This Row],[Début mois]],1)-1</f>
        <v>40543</v>
      </c>
      <c r="C980">
        <v>12</v>
      </c>
      <c r="D980">
        <v>2010</v>
      </c>
      <c r="E980" t="s">
        <v>85</v>
      </c>
      <c r="F980" t="str">
        <f>SUBSTITUTE(Tab_Calculs[[#This Row],[Compteur]]," ","_")</f>
        <v>Compteur_6</v>
      </c>
      <c r="G980" t="str">
        <f>T(INDEX(Site!$B$33:$G$40, MATCH(Tab_Calculs[[#This Row],[Compteur]], Site!$B$33:$B$40,0),2))</f>
        <v/>
      </c>
      <c r="H980" s="3">
        <f t="array" aca="1" ref="H980" ca="1">MIN(IF(INDIRECT(CONCATENATE(Tab_Calculs[[#This Row],[Colonne1]],"!$B$2:$B$243"))&gt;=Calculs_Consos!$A980,INDIRECT(CONCATENATE(Tab_Calculs[[#This Row],[Colonne1]],"!$B$2:$B$243"))))</f>
        <v>0</v>
      </c>
      <c r="I980" s="3">
        <f ca="1">INDEX(INDIRECT(CONCATENATE("Tab_",Tab_Calculs[[#This Row],[Colonne1]])),Tab_Calculs[[#This Row],[index_date_livraison]],1)</f>
        <v>0</v>
      </c>
      <c r="J980">
        <f ca="1">MATCH(Tab_Calculs[[#This Row],[Date_livraison]],INDIRECT(CONCATENATE("Tab_",Tab_Calculs[[#This Row],[Colonne1]],"[Fin de période]")),0)</f>
        <v>1</v>
      </c>
      <c r="K980" t="e">
        <f ca="1">INDEX(INDIRECT(CONCATENATE("Tab_",Tab_Calculs[[#This Row],[Colonne1]])),Tab_Calculs[[#This Row],[index_date_livraison]]-1,6)*(MAX(Tab_Calculs[[#This Row],[Début periode livraison]],Tab_Calculs[[#This Row],[Début mois]])-Tab_Calculs[[#This Row],[Début mois]])</f>
        <v>#VALUE!</v>
      </c>
      <c r="L980" s="94">
        <f ca="1">INDEX(INDIRECT(CONCATENATE("Tab_",Tab_Calculs[[#This Row],[Colonne1]])),Tab_Calculs[[#This Row],[index_date_livraison]],6)*(1+MIN(Tab_Calculs[[#This Row],[Date_livraison]],Tab_Calculs[[#This Row],[fin mois]])-MAX(Tab_Calculs[[#This Row],[Début mois]],Tab_Calculs[[#This Row],[Début periode livraison]]))</f>
        <v>0</v>
      </c>
      <c r="M980" s="94" t="e">
        <f ca="1">INDEX(INDIRECT(CONCATENATE("Tab_",Tab_Calculs[[#This Row],[Colonne1]])),Tab_Calculs[[#This Row],[index_date_livraison]]+1,6)*(Tab_Calculs[[#This Row],[fin mois]]-MIN(Tab_Calculs[[#This Row],[fin mois]],Tab_Calculs[[#This Row],[Date_livraison]]))</f>
        <v>#VALUE!</v>
      </c>
      <c r="N980" s="231" t="str">
        <f ca="1">IFERROR(Tab_Calculs[[#This Row],[Ratio_jour_après_livr]]+Tab_Calculs[[#This Row],[Ratio_jour_avant_livr]]+Tab_Calculs[[#This Row],[ratio_avant_debut]],"")</f>
        <v/>
      </c>
      <c r="O980" t="e">
        <f ca="1">INDEX(INDIRECT(CONCATENATE("Tab_",Tab_Calculs[[#This Row],[Colonne1]])),Tab_Calculs[[#This Row],[index_date_livraison]]-1,7)*(MAX(Tab_Calculs[[#This Row],[Début periode livraison]],Tab_Calculs[[#This Row],[Début mois]])-Tab_Calculs[[#This Row],[Début mois]])</f>
        <v>#VALUE!</v>
      </c>
      <c r="P980">
        <f ca="1">INDEX(INDIRECT(CONCATENATE("Tab_",Tab_Calculs[[#This Row],[Colonne1]])),Tab_Calculs[[#This Row],[index_date_livraison]],7)*(1+MIN(Tab_Calculs[[#This Row],[Date_livraison]],Tab_Calculs[[#This Row],[fin mois]])-MAX(Tab_Calculs[[#This Row],[Début mois]],Tab_Calculs[[#This Row],[Début periode livraison]]))</f>
        <v>0</v>
      </c>
      <c r="Q980" t="e">
        <f ca="1">INDEX(INDIRECT(CONCATENATE("Tab_",Tab_Calculs[[#This Row],[Colonne1]])),Tab_Calculs[[#This Row],[index_date_livraison]]+1,7)*(Tab_Calculs[[#This Row],[fin mois]]-MIN(Tab_Calculs[[#This Row],[fin mois]],Tab_Calculs[[#This Row],[Date_livraison]]))</f>
        <v>#VALUE!</v>
      </c>
      <c r="R980" t="e">
        <f ca="1">Tab_Calculs[[#This Row],[Ratio_Cout_après_livr]]+Tab_Calculs[[#This Row],[Ratio_Cout_avant_livr]]+Tab_Calculs[[#This Row],[Ratio_Cout_avant_debut]]</f>
        <v>#VALUE!</v>
      </c>
      <c r="S980" t="str">
        <f ca="1">IFERROR(N980*VLOOKUP(Tab_Calculs[[#This Row],[Colonne1]],Controle_des_données!$B$7:$G$14,6,FALSE),"")</f>
        <v/>
      </c>
      <c r="T980" t="str">
        <f ca="1">IF(Tab_Calculs[[#This Row],[Combustible ]]="Electricité (kWh)",Tab_Calculs[[#This Row],[Conso_mois_kWh]]*2.3,Tab_Calculs[[#This Row],[Conso_mois_kWh]])</f>
        <v/>
      </c>
      <c r="U980" t="str">
        <f ca="1">IFERROR(N980*VLOOKUP(Tab_Calculs[[#This Row],[Colonne1]],Controle_des_données!$B$7:$H$14,7,FALSE),"")</f>
        <v/>
      </c>
      <c r="V980">
        <f ca="1">IFERROR(Tab_Calculs[[#This Row],[Cout_mois]]/Tab_Calculs[[#This Row],[Conso_mois_kWh]],0)</f>
        <v>0</v>
      </c>
      <c r="W980" t="str">
        <f>T(VLOOKUP(Tab_Calculs[[#This Row],[Compteur]],Site!$B$33:$G$40,3,FALSE))</f>
        <v/>
      </c>
      <c r="X980" t="str">
        <f>T(VLOOKUP(Tab_Calculs[[#This Row],[Compteur]],Site!$B$33:$G$40,4,FALSE))</f>
        <v/>
      </c>
      <c r="Y980" t="str">
        <f>T(VLOOKUP(Tab_Calculs[[#This Row],[Compteur]],Site!$B$33:$G$40,5,FALSE))</f>
        <v/>
      </c>
      <c r="Z980" t="str">
        <f>T(VLOOKUP(Tab_Calculs[[#This Row],[Compteur]],Site!$B$33:$G$40,6,FALSE))</f>
        <v/>
      </c>
      <c r="AA980">
        <f>IFERROR(GETPIVOTDATA("DJU(chauffagiste)",BDD_DJU!$P$13,"annee",Tab_Calculs[[#This Row],[ANNEE]],"mois_numero",Tab_Calculs[[#This Row],[MOIS]]),0)</f>
        <v>500.7</v>
      </c>
    </row>
    <row r="981" spans="1:27" x14ac:dyDescent="0.25">
      <c r="A981" s="3">
        <f>DATE(Tab_Calculs[[#This Row],[ANNEE]],Tab_Calculs[[#This Row],[MOIS]],1)</f>
        <v>40544</v>
      </c>
      <c r="B981" s="3">
        <f>EDATE(Tab_Calculs[[#This Row],[Début mois]],1)-1</f>
        <v>40574</v>
      </c>
      <c r="C981">
        <v>1</v>
      </c>
      <c r="D981">
        <v>2011</v>
      </c>
      <c r="E981" t="s">
        <v>85</v>
      </c>
      <c r="F981" t="str">
        <f>SUBSTITUTE(Tab_Calculs[[#This Row],[Compteur]]," ","_")</f>
        <v>Compteur_6</v>
      </c>
      <c r="G981" t="str">
        <f>T(INDEX(Site!$B$33:$G$40, MATCH(Tab_Calculs[[#This Row],[Compteur]], Site!$B$33:$B$40,0),2))</f>
        <v/>
      </c>
      <c r="H981" s="3">
        <f t="array" aca="1" ref="H981" ca="1">MIN(IF(INDIRECT(CONCATENATE(Tab_Calculs[[#This Row],[Colonne1]],"!$B$2:$B$243"))&gt;=Calculs_Consos!$A981,INDIRECT(CONCATENATE(Tab_Calculs[[#This Row],[Colonne1]],"!$B$2:$B$243"))))</f>
        <v>0</v>
      </c>
      <c r="I981" s="3">
        <f ca="1">INDEX(INDIRECT(CONCATENATE("Tab_",Tab_Calculs[[#This Row],[Colonne1]])),Tab_Calculs[[#This Row],[index_date_livraison]],1)</f>
        <v>0</v>
      </c>
      <c r="J981">
        <f ca="1">MATCH(Tab_Calculs[[#This Row],[Date_livraison]],INDIRECT(CONCATENATE("Tab_",Tab_Calculs[[#This Row],[Colonne1]],"[Fin de période]")),0)</f>
        <v>1</v>
      </c>
      <c r="K981" t="e">
        <f ca="1">INDEX(INDIRECT(CONCATENATE("Tab_",Tab_Calculs[[#This Row],[Colonne1]])),Tab_Calculs[[#This Row],[index_date_livraison]]-1,6)*(MAX(Tab_Calculs[[#This Row],[Début periode livraison]],Tab_Calculs[[#This Row],[Début mois]])-Tab_Calculs[[#This Row],[Début mois]])</f>
        <v>#VALUE!</v>
      </c>
      <c r="L981" s="94">
        <f ca="1">INDEX(INDIRECT(CONCATENATE("Tab_",Tab_Calculs[[#This Row],[Colonne1]])),Tab_Calculs[[#This Row],[index_date_livraison]],6)*(1+MIN(Tab_Calculs[[#This Row],[Date_livraison]],Tab_Calculs[[#This Row],[fin mois]])-MAX(Tab_Calculs[[#This Row],[Début mois]],Tab_Calculs[[#This Row],[Début periode livraison]]))</f>
        <v>0</v>
      </c>
      <c r="M981" s="94" t="e">
        <f ca="1">INDEX(INDIRECT(CONCATENATE("Tab_",Tab_Calculs[[#This Row],[Colonne1]])),Tab_Calculs[[#This Row],[index_date_livraison]]+1,6)*(Tab_Calculs[[#This Row],[fin mois]]-MIN(Tab_Calculs[[#This Row],[fin mois]],Tab_Calculs[[#This Row],[Date_livraison]]))</f>
        <v>#VALUE!</v>
      </c>
      <c r="N981" s="231" t="str">
        <f ca="1">IFERROR(Tab_Calculs[[#This Row],[Ratio_jour_après_livr]]+Tab_Calculs[[#This Row],[Ratio_jour_avant_livr]]+Tab_Calculs[[#This Row],[ratio_avant_debut]],"")</f>
        <v/>
      </c>
      <c r="O981" t="e">
        <f ca="1">INDEX(INDIRECT(CONCATENATE("Tab_",Tab_Calculs[[#This Row],[Colonne1]])),Tab_Calculs[[#This Row],[index_date_livraison]]-1,7)*(MAX(Tab_Calculs[[#This Row],[Début periode livraison]],Tab_Calculs[[#This Row],[Début mois]])-Tab_Calculs[[#This Row],[Début mois]])</f>
        <v>#VALUE!</v>
      </c>
      <c r="P981">
        <f ca="1">INDEX(INDIRECT(CONCATENATE("Tab_",Tab_Calculs[[#This Row],[Colonne1]])),Tab_Calculs[[#This Row],[index_date_livraison]],7)*(1+MIN(Tab_Calculs[[#This Row],[Date_livraison]],Tab_Calculs[[#This Row],[fin mois]])-MAX(Tab_Calculs[[#This Row],[Début mois]],Tab_Calculs[[#This Row],[Début periode livraison]]))</f>
        <v>0</v>
      </c>
      <c r="Q981" t="e">
        <f ca="1">INDEX(INDIRECT(CONCATENATE("Tab_",Tab_Calculs[[#This Row],[Colonne1]])),Tab_Calculs[[#This Row],[index_date_livraison]]+1,7)*(Tab_Calculs[[#This Row],[fin mois]]-MIN(Tab_Calculs[[#This Row],[fin mois]],Tab_Calculs[[#This Row],[Date_livraison]]))</f>
        <v>#VALUE!</v>
      </c>
      <c r="R981" t="e">
        <f ca="1">Tab_Calculs[[#This Row],[Ratio_Cout_après_livr]]+Tab_Calculs[[#This Row],[Ratio_Cout_avant_livr]]+Tab_Calculs[[#This Row],[Ratio_Cout_avant_debut]]</f>
        <v>#VALUE!</v>
      </c>
      <c r="S981" t="str">
        <f ca="1">IFERROR(N981*VLOOKUP(Tab_Calculs[[#This Row],[Colonne1]],Controle_des_données!$B$7:$G$14,6,FALSE),"")</f>
        <v/>
      </c>
      <c r="T981" t="str">
        <f ca="1">IF(Tab_Calculs[[#This Row],[Combustible ]]="Electricité (kWh)",Tab_Calculs[[#This Row],[Conso_mois_kWh]]*2.3,Tab_Calculs[[#This Row],[Conso_mois_kWh]])</f>
        <v/>
      </c>
      <c r="U981" t="str">
        <f ca="1">IFERROR(N981*VLOOKUP(Tab_Calculs[[#This Row],[Colonne1]],Controle_des_données!$B$7:$H$14,7,FALSE),"")</f>
        <v/>
      </c>
      <c r="V981">
        <f ca="1">IFERROR(Tab_Calculs[[#This Row],[Cout_mois]]/Tab_Calculs[[#This Row],[Conso_mois_kWh]],0)</f>
        <v>0</v>
      </c>
      <c r="W981" t="str">
        <f>T(VLOOKUP(Tab_Calculs[[#This Row],[Compteur]],Site!$B$33:$G$40,3,FALSE))</f>
        <v/>
      </c>
      <c r="X981" t="str">
        <f>T(VLOOKUP(Tab_Calculs[[#This Row],[Compteur]],Site!$B$33:$G$40,4,FALSE))</f>
        <v/>
      </c>
      <c r="Y981" t="str">
        <f>T(VLOOKUP(Tab_Calculs[[#This Row],[Compteur]],Site!$B$33:$G$40,5,FALSE))</f>
        <v/>
      </c>
      <c r="Z981" t="str">
        <f>T(VLOOKUP(Tab_Calculs[[#This Row],[Compteur]],Site!$B$33:$G$40,6,FALSE))</f>
        <v/>
      </c>
      <c r="AA981">
        <f>IFERROR(GETPIVOTDATA("DJU(chauffagiste)",BDD_DJU!$P$13,"annee",Tab_Calculs[[#This Row],[ANNEE]],"mois_numero",Tab_Calculs[[#This Row],[MOIS]]),0)</f>
        <v>392.2</v>
      </c>
    </row>
    <row r="982" spans="1:27" x14ac:dyDescent="0.25">
      <c r="A982" s="3">
        <f>DATE(Tab_Calculs[[#This Row],[ANNEE]],Tab_Calculs[[#This Row],[MOIS]],1)</f>
        <v>40575</v>
      </c>
      <c r="B982" s="3">
        <f>EDATE(Tab_Calculs[[#This Row],[Début mois]],1)-1</f>
        <v>40602</v>
      </c>
      <c r="C982">
        <v>2</v>
      </c>
      <c r="D982">
        <v>2011</v>
      </c>
      <c r="E982" t="s">
        <v>85</v>
      </c>
      <c r="F982" t="str">
        <f>SUBSTITUTE(Tab_Calculs[[#This Row],[Compteur]]," ","_")</f>
        <v>Compteur_6</v>
      </c>
      <c r="G982" t="str">
        <f>T(INDEX(Site!$B$33:$G$40, MATCH(Tab_Calculs[[#This Row],[Compteur]], Site!$B$33:$B$40,0),2))</f>
        <v/>
      </c>
      <c r="H982" s="3">
        <f t="array" aca="1" ref="H982" ca="1">MIN(IF(INDIRECT(CONCATENATE(Tab_Calculs[[#This Row],[Colonne1]],"!$B$2:$B$243"))&gt;=Calculs_Consos!$A982,INDIRECT(CONCATENATE(Tab_Calculs[[#This Row],[Colonne1]],"!$B$2:$B$243"))))</f>
        <v>0</v>
      </c>
      <c r="I982" s="3">
        <f ca="1">INDEX(INDIRECT(CONCATENATE("Tab_",Tab_Calculs[[#This Row],[Colonne1]])),Tab_Calculs[[#This Row],[index_date_livraison]],1)</f>
        <v>0</v>
      </c>
      <c r="J982">
        <f ca="1">MATCH(Tab_Calculs[[#This Row],[Date_livraison]],INDIRECT(CONCATENATE("Tab_",Tab_Calculs[[#This Row],[Colonne1]],"[Fin de période]")),0)</f>
        <v>1</v>
      </c>
      <c r="K982" t="e">
        <f ca="1">INDEX(INDIRECT(CONCATENATE("Tab_",Tab_Calculs[[#This Row],[Colonne1]])),Tab_Calculs[[#This Row],[index_date_livraison]]-1,6)*(MAX(Tab_Calculs[[#This Row],[Début periode livraison]],Tab_Calculs[[#This Row],[Début mois]])-Tab_Calculs[[#This Row],[Début mois]])</f>
        <v>#VALUE!</v>
      </c>
      <c r="L982" s="94">
        <f ca="1">INDEX(INDIRECT(CONCATENATE("Tab_",Tab_Calculs[[#This Row],[Colonne1]])),Tab_Calculs[[#This Row],[index_date_livraison]],6)*(1+MIN(Tab_Calculs[[#This Row],[Date_livraison]],Tab_Calculs[[#This Row],[fin mois]])-MAX(Tab_Calculs[[#This Row],[Début mois]],Tab_Calculs[[#This Row],[Début periode livraison]]))</f>
        <v>0</v>
      </c>
      <c r="M982" s="94" t="e">
        <f ca="1">INDEX(INDIRECT(CONCATENATE("Tab_",Tab_Calculs[[#This Row],[Colonne1]])),Tab_Calculs[[#This Row],[index_date_livraison]]+1,6)*(Tab_Calculs[[#This Row],[fin mois]]-MIN(Tab_Calculs[[#This Row],[fin mois]],Tab_Calculs[[#This Row],[Date_livraison]]))</f>
        <v>#VALUE!</v>
      </c>
      <c r="N982" s="231" t="str">
        <f ca="1">IFERROR(Tab_Calculs[[#This Row],[Ratio_jour_après_livr]]+Tab_Calculs[[#This Row],[Ratio_jour_avant_livr]]+Tab_Calculs[[#This Row],[ratio_avant_debut]],"")</f>
        <v/>
      </c>
      <c r="O982" t="e">
        <f ca="1">INDEX(INDIRECT(CONCATENATE("Tab_",Tab_Calculs[[#This Row],[Colonne1]])),Tab_Calculs[[#This Row],[index_date_livraison]]-1,7)*(MAX(Tab_Calculs[[#This Row],[Début periode livraison]],Tab_Calculs[[#This Row],[Début mois]])-Tab_Calculs[[#This Row],[Début mois]])</f>
        <v>#VALUE!</v>
      </c>
      <c r="P982">
        <f ca="1">INDEX(INDIRECT(CONCATENATE("Tab_",Tab_Calculs[[#This Row],[Colonne1]])),Tab_Calculs[[#This Row],[index_date_livraison]],7)*(1+MIN(Tab_Calculs[[#This Row],[Date_livraison]],Tab_Calculs[[#This Row],[fin mois]])-MAX(Tab_Calculs[[#This Row],[Début mois]],Tab_Calculs[[#This Row],[Début periode livraison]]))</f>
        <v>0</v>
      </c>
      <c r="Q982" t="e">
        <f ca="1">INDEX(INDIRECT(CONCATENATE("Tab_",Tab_Calculs[[#This Row],[Colonne1]])),Tab_Calculs[[#This Row],[index_date_livraison]]+1,7)*(Tab_Calculs[[#This Row],[fin mois]]-MIN(Tab_Calculs[[#This Row],[fin mois]],Tab_Calculs[[#This Row],[Date_livraison]]))</f>
        <v>#VALUE!</v>
      </c>
      <c r="R982" t="e">
        <f ca="1">Tab_Calculs[[#This Row],[Ratio_Cout_après_livr]]+Tab_Calculs[[#This Row],[Ratio_Cout_avant_livr]]+Tab_Calculs[[#This Row],[Ratio_Cout_avant_debut]]</f>
        <v>#VALUE!</v>
      </c>
      <c r="S982" t="str">
        <f ca="1">IFERROR(N982*VLOOKUP(Tab_Calculs[[#This Row],[Colonne1]],Controle_des_données!$B$7:$G$14,6,FALSE),"")</f>
        <v/>
      </c>
      <c r="T982" t="str">
        <f ca="1">IF(Tab_Calculs[[#This Row],[Combustible ]]="Electricité (kWh)",Tab_Calculs[[#This Row],[Conso_mois_kWh]]*2.3,Tab_Calculs[[#This Row],[Conso_mois_kWh]])</f>
        <v/>
      </c>
      <c r="U982" t="str">
        <f ca="1">IFERROR(N982*VLOOKUP(Tab_Calculs[[#This Row],[Colonne1]],Controle_des_données!$B$7:$H$14,7,FALSE),"")</f>
        <v/>
      </c>
      <c r="V982">
        <f ca="1">IFERROR(Tab_Calculs[[#This Row],[Cout_mois]]/Tab_Calculs[[#This Row],[Conso_mois_kWh]],0)</f>
        <v>0</v>
      </c>
      <c r="W982" t="str">
        <f>T(VLOOKUP(Tab_Calculs[[#This Row],[Compteur]],Site!$B$33:$G$40,3,FALSE))</f>
        <v/>
      </c>
      <c r="X982" t="str">
        <f>T(VLOOKUP(Tab_Calculs[[#This Row],[Compteur]],Site!$B$33:$G$40,4,FALSE))</f>
        <v/>
      </c>
      <c r="Y982" t="str">
        <f>T(VLOOKUP(Tab_Calculs[[#This Row],[Compteur]],Site!$B$33:$G$40,5,FALSE))</f>
        <v/>
      </c>
      <c r="Z982" t="str">
        <f>T(VLOOKUP(Tab_Calculs[[#This Row],[Compteur]],Site!$B$33:$G$40,6,FALSE))</f>
        <v/>
      </c>
      <c r="AA982">
        <f>IFERROR(GETPIVOTDATA("DJU(chauffagiste)",BDD_DJU!$P$13,"annee",Tab_Calculs[[#This Row],[ANNEE]],"mois_numero",Tab_Calculs[[#This Row],[MOIS]]),0)</f>
        <v>299.10000000000002</v>
      </c>
    </row>
    <row r="983" spans="1:27" x14ac:dyDescent="0.25">
      <c r="A983" s="3">
        <f>DATE(Tab_Calculs[[#This Row],[ANNEE]],Tab_Calculs[[#This Row],[MOIS]],1)</f>
        <v>40603</v>
      </c>
      <c r="B983" s="3">
        <f>EDATE(Tab_Calculs[[#This Row],[Début mois]],1)-1</f>
        <v>40633</v>
      </c>
      <c r="C983">
        <v>3</v>
      </c>
      <c r="D983">
        <v>2011</v>
      </c>
      <c r="E983" t="s">
        <v>85</v>
      </c>
      <c r="F983" t="str">
        <f>SUBSTITUTE(Tab_Calculs[[#This Row],[Compteur]]," ","_")</f>
        <v>Compteur_6</v>
      </c>
      <c r="G983" t="str">
        <f>T(INDEX(Site!$B$33:$G$40, MATCH(Tab_Calculs[[#This Row],[Compteur]], Site!$B$33:$B$40,0),2))</f>
        <v/>
      </c>
      <c r="H983" s="3">
        <f t="array" aca="1" ref="H983" ca="1">MIN(IF(INDIRECT(CONCATENATE(Tab_Calculs[[#This Row],[Colonne1]],"!$B$2:$B$243"))&gt;=Calculs_Consos!$A983,INDIRECT(CONCATENATE(Tab_Calculs[[#This Row],[Colonne1]],"!$B$2:$B$243"))))</f>
        <v>0</v>
      </c>
      <c r="I983" s="3">
        <f ca="1">INDEX(INDIRECT(CONCATENATE("Tab_",Tab_Calculs[[#This Row],[Colonne1]])),Tab_Calculs[[#This Row],[index_date_livraison]],1)</f>
        <v>0</v>
      </c>
      <c r="J983">
        <f ca="1">MATCH(Tab_Calculs[[#This Row],[Date_livraison]],INDIRECT(CONCATENATE("Tab_",Tab_Calculs[[#This Row],[Colonne1]],"[Fin de période]")),0)</f>
        <v>1</v>
      </c>
      <c r="K983" t="e">
        <f ca="1">INDEX(INDIRECT(CONCATENATE("Tab_",Tab_Calculs[[#This Row],[Colonne1]])),Tab_Calculs[[#This Row],[index_date_livraison]]-1,6)*(MAX(Tab_Calculs[[#This Row],[Début periode livraison]],Tab_Calculs[[#This Row],[Début mois]])-Tab_Calculs[[#This Row],[Début mois]])</f>
        <v>#VALUE!</v>
      </c>
      <c r="L983" s="94">
        <f ca="1">INDEX(INDIRECT(CONCATENATE("Tab_",Tab_Calculs[[#This Row],[Colonne1]])),Tab_Calculs[[#This Row],[index_date_livraison]],6)*(1+MIN(Tab_Calculs[[#This Row],[Date_livraison]],Tab_Calculs[[#This Row],[fin mois]])-MAX(Tab_Calculs[[#This Row],[Début mois]],Tab_Calculs[[#This Row],[Début periode livraison]]))</f>
        <v>0</v>
      </c>
      <c r="M983" s="94" t="e">
        <f ca="1">INDEX(INDIRECT(CONCATENATE("Tab_",Tab_Calculs[[#This Row],[Colonne1]])),Tab_Calculs[[#This Row],[index_date_livraison]]+1,6)*(Tab_Calculs[[#This Row],[fin mois]]-MIN(Tab_Calculs[[#This Row],[fin mois]],Tab_Calculs[[#This Row],[Date_livraison]]))</f>
        <v>#VALUE!</v>
      </c>
      <c r="N983" s="231" t="str">
        <f ca="1">IFERROR(Tab_Calculs[[#This Row],[Ratio_jour_après_livr]]+Tab_Calculs[[#This Row],[Ratio_jour_avant_livr]]+Tab_Calculs[[#This Row],[ratio_avant_debut]],"")</f>
        <v/>
      </c>
      <c r="O983" t="e">
        <f ca="1">INDEX(INDIRECT(CONCATENATE("Tab_",Tab_Calculs[[#This Row],[Colonne1]])),Tab_Calculs[[#This Row],[index_date_livraison]]-1,7)*(MAX(Tab_Calculs[[#This Row],[Début periode livraison]],Tab_Calculs[[#This Row],[Début mois]])-Tab_Calculs[[#This Row],[Début mois]])</f>
        <v>#VALUE!</v>
      </c>
      <c r="P983">
        <f ca="1">INDEX(INDIRECT(CONCATENATE("Tab_",Tab_Calculs[[#This Row],[Colonne1]])),Tab_Calculs[[#This Row],[index_date_livraison]],7)*(1+MIN(Tab_Calculs[[#This Row],[Date_livraison]],Tab_Calculs[[#This Row],[fin mois]])-MAX(Tab_Calculs[[#This Row],[Début mois]],Tab_Calculs[[#This Row],[Début periode livraison]]))</f>
        <v>0</v>
      </c>
      <c r="Q983" t="e">
        <f ca="1">INDEX(INDIRECT(CONCATENATE("Tab_",Tab_Calculs[[#This Row],[Colonne1]])),Tab_Calculs[[#This Row],[index_date_livraison]]+1,7)*(Tab_Calculs[[#This Row],[fin mois]]-MIN(Tab_Calculs[[#This Row],[fin mois]],Tab_Calculs[[#This Row],[Date_livraison]]))</f>
        <v>#VALUE!</v>
      </c>
      <c r="R983" t="e">
        <f ca="1">Tab_Calculs[[#This Row],[Ratio_Cout_après_livr]]+Tab_Calculs[[#This Row],[Ratio_Cout_avant_livr]]+Tab_Calculs[[#This Row],[Ratio_Cout_avant_debut]]</f>
        <v>#VALUE!</v>
      </c>
      <c r="S983" t="str">
        <f ca="1">IFERROR(N983*VLOOKUP(Tab_Calculs[[#This Row],[Colonne1]],Controle_des_données!$B$7:$G$14,6,FALSE),"")</f>
        <v/>
      </c>
      <c r="T983" t="str">
        <f ca="1">IF(Tab_Calculs[[#This Row],[Combustible ]]="Electricité (kWh)",Tab_Calculs[[#This Row],[Conso_mois_kWh]]*2.3,Tab_Calculs[[#This Row],[Conso_mois_kWh]])</f>
        <v/>
      </c>
      <c r="U983" t="str">
        <f ca="1">IFERROR(N983*VLOOKUP(Tab_Calculs[[#This Row],[Colonne1]],Controle_des_données!$B$7:$H$14,7,FALSE),"")</f>
        <v/>
      </c>
      <c r="V983">
        <f ca="1">IFERROR(Tab_Calculs[[#This Row],[Cout_mois]]/Tab_Calculs[[#This Row],[Conso_mois_kWh]],0)</f>
        <v>0</v>
      </c>
      <c r="W983" t="str">
        <f>T(VLOOKUP(Tab_Calculs[[#This Row],[Compteur]],Site!$B$33:$G$40,3,FALSE))</f>
        <v/>
      </c>
      <c r="X983" t="str">
        <f>T(VLOOKUP(Tab_Calculs[[#This Row],[Compteur]],Site!$B$33:$G$40,4,FALSE))</f>
        <v/>
      </c>
      <c r="Y983" t="str">
        <f>T(VLOOKUP(Tab_Calculs[[#This Row],[Compteur]],Site!$B$33:$G$40,5,FALSE))</f>
        <v/>
      </c>
      <c r="Z983" t="str">
        <f>T(VLOOKUP(Tab_Calculs[[#This Row],[Compteur]],Site!$B$33:$G$40,6,FALSE))</f>
        <v/>
      </c>
      <c r="AA983">
        <f>IFERROR(GETPIVOTDATA("DJU(chauffagiste)",BDD_DJU!$P$13,"annee",Tab_Calculs[[#This Row],[ANNEE]],"mois_numero",Tab_Calculs[[#This Row],[MOIS]]),0)</f>
        <v>266.5</v>
      </c>
    </row>
    <row r="984" spans="1:27" x14ac:dyDescent="0.25">
      <c r="A984" s="3">
        <f>DATE(Tab_Calculs[[#This Row],[ANNEE]],Tab_Calculs[[#This Row],[MOIS]],1)</f>
        <v>40634</v>
      </c>
      <c r="B984" s="3">
        <f>EDATE(Tab_Calculs[[#This Row],[Début mois]],1)-1</f>
        <v>40663</v>
      </c>
      <c r="C984">
        <v>4</v>
      </c>
      <c r="D984">
        <v>2011</v>
      </c>
      <c r="E984" t="s">
        <v>85</v>
      </c>
      <c r="F984" t="str">
        <f>SUBSTITUTE(Tab_Calculs[[#This Row],[Compteur]]," ","_")</f>
        <v>Compteur_6</v>
      </c>
      <c r="G984" t="str">
        <f>T(INDEX(Site!$B$33:$G$40, MATCH(Tab_Calculs[[#This Row],[Compteur]], Site!$B$33:$B$40,0),2))</f>
        <v/>
      </c>
      <c r="H984" s="3">
        <f t="array" aca="1" ref="H984" ca="1">MIN(IF(INDIRECT(CONCATENATE(Tab_Calculs[[#This Row],[Colonne1]],"!$B$2:$B$243"))&gt;=Calculs_Consos!$A984,INDIRECT(CONCATENATE(Tab_Calculs[[#This Row],[Colonne1]],"!$B$2:$B$243"))))</f>
        <v>0</v>
      </c>
      <c r="I984" s="3">
        <f ca="1">INDEX(INDIRECT(CONCATENATE("Tab_",Tab_Calculs[[#This Row],[Colonne1]])),Tab_Calculs[[#This Row],[index_date_livraison]],1)</f>
        <v>0</v>
      </c>
      <c r="J984">
        <f ca="1">MATCH(Tab_Calculs[[#This Row],[Date_livraison]],INDIRECT(CONCATENATE("Tab_",Tab_Calculs[[#This Row],[Colonne1]],"[Fin de période]")),0)</f>
        <v>1</v>
      </c>
      <c r="K984" t="e">
        <f ca="1">INDEX(INDIRECT(CONCATENATE("Tab_",Tab_Calculs[[#This Row],[Colonne1]])),Tab_Calculs[[#This Row],[index_date_livraison]]-1,6)*(MAX(Tab_Calculs[[#This Row],[Début periode livraison]],Tab_Calculs[[#This Row],[Début mois]])-Tab_Calculs[[#This Row],[Début mois]])</f>
        <v>#VALUE!</v>
      </c>
      <c r="L984" s="94">
        <f ca="1">INDEX(INDIRECT(CONCATENATE("Tab_",Tab_Calculs[[#This Row],[Colonne1]])),Tab_Calculs[[#This Row],[index_date_livraison]],6)*(1+MIN(Tab_Calculs[[#This Row],[Date_livraison]],Tab_Calculs[[#This Row],[fin mois]])-MAX(Tab_Calculs[[#This Row],[Début mois]],Tab_Calculs[[#This Row],[Début periode livraison]]))</f>
        <v>0</v>
      </c>
      <c r="M984" s="94" t="e">
        <f ca="1">INDEX(INDIRECT(CONCATENATE("Tab_",Tab_Calculs[[#This Row],[Colonne1]])),Tab_Calculs[[#This Row],[index_date_livraison]]+1,6)*(Tab_Calculs[[#This Row],[fin mois]]-MIN(Tab_Calculs[[#This Row],[fin mois]],Tab_Calculs[[#This Row],[Date_livraison]]))</f>
        <v>#VALUE!</v>
      </c>
      <c r="N984" s="231" t="str">
        <f ca="1">IFERROR(Tab_Calculs[[#This Row],[Ratio_jour_après_livr]]+Tab_Calculs[[#This Row],[Ratio_jour_avant_livr]]+Tab_Calculs[[#This Row],[ratio_avant_debut]],"")</f>
        <v/>
      </c>
      <c r="O984" t="e">
        <f ca="1">INDEX(INDIRECT(CONCATENATE("Tab_",Tab_Calculs[[#This Row],[Colonne1]])),Tab_Calculs[[#This Row],[index_date_livraison]]-1,7)*(MAX(Tab_Calculs[[#This Row],[Début periode livraison]],Tab_Calculs[[#This Row],[Début mois]])-Tab_Calculs[[#This Row],[Début mois]])</f>
        <v>#VALUE!</v>
      </c>
      <c r="P984">
        <f ca="1">INDEX(INDIRECT(CONCATENATE("Tab_",Tab_Calculs[[#This Row],[Colonne1]])),Tab_Calculs[[#This Row],[index_date_livraison]],7)*(1+MIN(Tab_Calculs[[#This Row],[Date_livraison]],Tab_Calculs[[#This Row],[fin mois]])-MAX(Tab_Calculs[[#This Row],[Début mois]],Tab_Calculs[[#This Row],[Début periode livraison]]))</f>
        <v>0</v>
      </c>
      <c r="Q984" t="e">
        <f ca="1">INDEX(INDIRECT(CONCATENATE("Tab_",Tab_Calculs[[#This Row],[Colonne1]])),Tab_Calculs[[#This Row],[index_date_livraison]]+1,7)*(Tab_Calculs[[#This Row],[fin mois]]-MIN(Tab_Calculs[[#This Row],[fin mois]],Tab_Calculs[[#This Row],[Date_livraison]]))</f>
        <v>#VALUE!</v>
      </c>
      <c r="R984" t="e">
        <f ca="1">Tab_Calculs[[#This Row],[Ratio_Cout_après_livr]]+Tab_Calculs[[#This Row],[Ratio_Cout_avant_livr]]+Tab_Calculs[[#This Row],[Ratio_Cout_avant_debut]]</f>
        <v>#VALUE!</v>
      </c>
      <c r="S984" t="str">
        <f ca="1">IFERROR(N984*VLOOKUP(Tab_Calculs[[#This Row],[Colonne1]],Controle_des_données!$B$7:$G$14,6,FALSE),"")</f>
        <v/>
      </c>
      <c r="T984" t="str">
        <f ca="1">IF(Tab_Calculs[[#This Row],[Combustible ]]="Electricité (kWh)",Tab_Calculs[[#This Row],[Conso_mois_kWh]]*2.3,Tab_Calculs[[#This Row],[Conso_mois_kWh]])</f>
        <v/>
      </c>
      <c r="U984" t="str">
        <f ca="1">IFERROR(N984*VLOOKUP(Tab_Calculs[[#This Row],[Colonne1]],Controle_des_données!$B$7:$H$14,7,FALSE),"")</f>
        <v/>
      </c>
      <c r="V984">
        <f ca="1">IFERROR(Tab_Calculs[[#This Row],[Cout_mois]]/Tab_Calculs[[#This Row],[Conso_mois_kWh]],0)</f>
        <v>0</v>
      </c>
      <c r="W984" t="str">
        <f>T(VLOOKUP(Tab_Calculs[[#This Row],[Compteur]],Site!$B$33:$G$40,3,FALSE))</f>
        <v/>
      </c>
      <c r="X984" t="str">
        <f>T(VLOOKUP(Tab_Calculs[[#This Row],[Compteur]],Site!$B$33:$G$40,4,FALSE))</f>
        <v/>
      </c>
      <c r="Y984" t="str">
        <f>T(VLOOKUP(Tab_Calculs[[#This Row],[Compteur]],Site!$B$33:$G$40,5,FALSE))</f>
        <v/>
      </c>
      <c r="Z984" t="str">
        <f>T(VLOOKUP(Tab_Calculs[[#This Row],[Compteur]],Site!$B$33:$G$40,6,FALSE))</f>
        <v/>
      </c>
      <c r="AA984">
        <f>IFERROR(GETPIVOTDATA("DJU(chauffagiste)",BDD_DJU!$P$13,"annee",Tab_Calculs[[#This Row],[ANNEE]],"mois_numero",Tab_Calculs[[#This Row],[MOIS]]),0)</f>
        <v>136.19999999999999</v>
      </c>
    </row>
    <row r="985" spans="1:27" x14ac:dyDescent="0.25">
      <c r="A985" s="3">
        <f>DATE(Tab_Calculs[[#This Row],[ANNEE]],Tab_Calculs[[#This Row],[MOIS]],1)</f>
        <v>40664</v>
      </c>
      <c r="B985" s="3">
        <f>EDATE(Tab_Calculs[[#This Row],[Début mois]],1)-1</f>
        <v>40694</v>
      </c>
      <c r="C985">
        <v>5</v>
      </c>
      <c r="D985">
        <v>2011</v>
      </c>
      <c r="E985" t="s">
        <v>85</v>
      </c>
      <c r="F985" t="str">
        <f>SUBSTITUTE(Tab_Calculs[[#This Row],[Compteur]]," ","_")</f>
        <v>Compteur_6</v>
      </c>
      <c r="G985" t="str">
        <f>T(INDEX(Site!$B$33:$G$40, MATCH(Tab_Calculs[[#This Row],[Compteur]], Site!$B$33:$B$40,0),2))</f>
        <v/>
      </c>
      <c r="H985" s="3">
        <f t="array" aca="1" ref="H985" ca="1">MIN(IF(INDIRECT(CONCATENATE(Tab_Calculs[[#This Row],[Colonne1]],"!$B$2:$B$243"))&gt;=Calculs_Consos!$A985,INDIRECT(CONCATENATE(Tab_Calculs[[#This Row],[Colonne1]],"!$B$2:$B$243"))))</f>
        <v>0</v>
      </c>
      <c r="I985" s="3">
        <f ca="1">INDEX(INDIRECT(CONCATENATE("Tab_",Tab_Calculs[[#This Row],[Colonne1]])),Tab_Calculs[[#This Row],[index_date_livraison]],1)</f>
        <v>0</v>
      </c>
      <c r="J985">
        <f ca="1">MATCH(Tab_Calculs[[#This Row],[Date_livraison]],INDIRECT(CONCATENATE("Tab_",Tab_Calculs[[#This Row],[Colonne1]],"[Fin de période]")),0)</f>
        <v>1</v>
      </c>
      <c r="K985" t="e">
        <f ca="1">INDEX(INDIRECT(CONCATENATE("Tab_",Tab_Calculs[[#This Row],[Colonne1]])),Tab_Calculs[[#This Row],[index_date_livraison]]-1,6)*(MAX(Tab_Calculs[[#This Row],[Début periode livraison]],Tab_Calculs[[#This Row],[Début mois]])-Tab_Calculs[[#This Row],[Début mois]])</f>
        <v>#VALUE!</v>
      </c>
      <c r="L985" s="94">
        <f ca="1">INDEX(INDIRECT(CONCATENATE("Tab_",Tab_Calculs[[#This Row],[Colonne1]])),Tab_Calculs[[#This Row],[index_date_livraison]],6)*(1+MIN(Tab_Calculs[[#This Row],[Date_livraison]],Tab_Calculs[[#This Row],[fin mois]])-MAX(Tab_Calculs[[#This Row],[Début mois]],Tab_Calculs[[#This Row],[Début periode livraison]]))</f>
        <v>0</v>
      </c>
      <c r="M985" s="94" t="e">
        <f ca="1">INDEX(INDIRECT(CONCATENATE("Tab_",Tab_Calculs[[#This Row],[Colonne1]])),Tab_Calculs[[#This Row],[index_date_livraison]]+1,6)*(Tab_Calculs[[#This Row],[fin mois]]-MIN(Tab_Calculs[[#This Row],[fin mois]],Tab_Calculs[[#This Row],[Date_livraison]]))</f>
        <v>#VALUE!</v>
      </c>
      <c r="N985" s="231" t="str">
        <f ca="1">IFERROR(Tab_Calculs[[#This Row],[Ratio_jour_après_livr]]+Tab_Calculs[[#This Row],[Ratio_jour_avant_livr]]+Tab_Calculs[[#This Row],[ratio_avant_debut]],"")</f>
        <v/>
      </c>
      <c r="O985" t="e">
        <f ca="1">INDEX(INDIRECT(CONCATENATE("Tab_",Tab_Calculs[[#This Row],[Colonne1]])),Tab_Calculs[[#This Row],[index_date_livraison]]-1,7)*(MAX(Tab_Calculs[[#This Row],[Début periode livraison]],Tab_Calculs[[#This Row],[Début mois]])-Tab_Calculs[[#This Row],[Début mois]])</f>
        <v>#VALUE!</v>
      </c>
      <c r="P985">
        <f ca="1">INDEX(INDIRECT(CONCATENATE("Tab_",Tab_Calculs[[#This Row],[Colonne1]])),Tab_Calculs[[#This Row],[index_date_livraison]],7)*(1+MIN(Tab_Calculs[[#This Row],[Date_livraison]],Tab_Calculs[[#This Row],[fin mois]])-MAX(Tab_Calculs[[#This Row],[Début mois]],Tab_Calculs[[#This Row],[Début periode livraison]]))</f>
        <v>0</v>
      </c>
      <c r="Q985" t="e">
        <f ca="1">INDEX(INDIRECT(CONCATENATE("Tab_",Tab_Calculs[[#This Row],[Colonne1]])),Tab_Calculs[[#This Row],[index_date_livraison]]+1,7)*(Tab_Calculs[[#This Row],[fin mois]]-MIN(Tab_Calculs[[#This Row],[fin mois]],Tab_Calculs[[#This Row],[Date_livraison]]))</f>
        <v>#VALUE!</v>
      </c>
      <c r="R985" t="e">
        <f ca="1">Tab_Calculs[[#This Row],[Ratio_Cout_après_livr]]+Tab_Calculs[[#This Row],[Ratio_Cout_avant_livr]]+Tab_Calculs[[#This Row],[Ratio_Cout_avant_debut]]</f>
        <v>#VALUE!</v>
      </c>
      <c r="S985" t="str">
        <f ca="1">IFERROR(N985*VLOOKUP(Tab_Calculs[[#This Row],[Colonne1]],Controle_des_données!$B$7:$G$14,6,FALSE),"")</f>
        <v/>
      </c>
      <c r="T985" t="str">
        <f ca="1">IF(Tab_Calculs[[#This Row],[Combustible ]]="Electricité (kWh)",Tab_Calculs[[#This Row],[Conso_mois_kWh]]*2.3,Tab_Calculs[[#This Row],[Conso_mois_kWh]])</f>
        <v/>
      </c>
      <c r="U985" t="str">
        <f ca="1">IFERROR(N985*VLOOKUP(Tab_Calculs[[#This Row],[Colonne1]],Controle_des_données!$B$7:$H$14,7,FALSE),"")</f>
        <v/>
      </c>
      <c r="V985">
        <f ca="1">IFERROR(Tab_Calculs[[#This Row],[Cout_mois]]/Tab_Calculs[[#This Row],[Conso_mois_kWh]],0)</f>
        <v>0</v>
      </c>
      <c r="W985" t="str">
        <f>T(VLOOKUP(Tab_Calculs[[#This Row],[Compteur]],Site!$B$33:$G$40,3,FALSE))</f>
        <v/>
      </c>
      <c r="X985" t="str">
        <f>T(VLOOKUP(Tab_Calculs[[#This Row],[Compteur]],Site!$B$33:$G$40,4,FALSE))</f>
        <v/>
      </c>
      <c r="Y985" t="str">
        <f>T(VLOOKUP(Tab_Calculs[[#This Row],[Compteur]],Site!$B$33:$G$40,5,FALSE))</f>
        <v/>
      </c>
      <c r="Z985" t="str">
        <f>T(VLOOKUP(Tab_Calculs[[#This Row],[Compteur]],Site!$B$33:$G$40,6,FALSE))</f>
        <v/>
      </c>
      <c r="AA985">
        <f>IFERROR(GETPIVOTDATA("DJU(chauffagiste)",BDD_DJU!$P$13,"annee",Tab_Calculs[[#This Row],[ANNEE]],"mois_numero",Tab_Calculs[[#This Row],[MOIS]]),0)</f>
        <v>91.9</v>
      </c>
    </row>
    <row r="986" spans="1:27" x14ac:dyDescent="0.25">
      <c r="A986" s="3">
        <f>DATE(Tab_Calculs[[#This Row],[ANNEE]],Tab_Calculs[[#This Row],[MOIS]],1)</f>
        <v>40695</v>
      </c>
      <c r="B986" s="3">
        <f>EDATE(Tab_Calculs[[#This Row],[Début mois]],1)-1</f>
        <v>40724</v>
      </c>
      <c r="C986">
        <v>6</v>
      </c>
      <c r="D986">
        <v>2011</v>
      </c>
      <c r="E986" t="s">
        <v>85</v>
      </c>
      <c r="F986" t="str">
        <f>SUBSTITUTE(Tab_Calculs[[#This Row],[Compteur]]," ","_")</f>
        <v>Compteur_6</v>
      </c>
      <c r="G986" t="str">
        <f>T(INDEX(Site!$B$33:$G$40, MATCH(Tab_Calculs[[#This Row],[Compteur]], Site!$B$33:$B$40,0),2))</f>
        <v/>
      </c>
      <c r="H986" s="3">
        <f t="array" aca="1" ref="H986" ca="1">MIN(IF(INDIRECT(CONCATENATE(Tab_Calculs[[#This Row],[Colonne1]],"!$B$2:$B$243"))&gt;=Calculs_Consos!$A986,INDIRECT(CONCATENATE(Tab_Calculs[[#This Row],[Colonne1]],"!$B$2:$B$243"))))</f>
        <v>0</v>
      </c>
      <c r="I986" s="3">
        <f ca="1">INDEX(INDIRECT(CONCATENATE("Tab_",Tab_Calculs[[#This Row],[Colonne1]])),Tab_Calculs[[#This Row],[index_date_livraison]],1)</f>
        <v>0</v>
      </c>
      <c r="J986">
        <f ca="1">MATCH(Tab_Calculs[[#This Row],[Date_livraison]],INDIRECT(CONCATENATE("Tab_",Tab_Calculs[[#This Row],[Colonne1]],"[Fin de période]")),0)</f>
        <v>1</v>
      </c>
      <c r="K986" t="e">
        <f ca="1">INDEX(INDIRECT(CONCATENATE("Tab_",Tab_Calculs[[#This Row],[Colonne1]])),Tab_Calculs[[#This Row],[index_date_livraison]]-1,6)*(MAX(Tab_Calculs[[#This Row],[Début periode livraison]],Tab_Calculs[[#This Row],[Début mois]])-Tab_Calculs[[#This Row],[Début mois]])</f>
        <v>#VALUE!</v>
      </c>
      <c r="L986" s="94">
        <f ca="1">INDEX(INDIRECT(CONCATENATE("Tab_",Tab_Calculs[[#This Row],[Colonne1]])),Tab_Calculs[[#This Row],[index_date_livraison]],6)*(1+MIN(Tab_Calculs[[#This Row],[Date_livraison]],Tab_Calculs[[#This Row],[fin mois]])-MAX(Tab_Calculs[[#This Row],[Début mois]],Tab_Calculs[[#This Row],[Début periode livraison]]))</f>
        <v>0</v>
      </c>
      <c r="M986" s="94" t="e">
        <f ca="1">INDEX(INDIRECT(CONCATENATE("Tab_",Tab_Calculs[[#This Row],[Colonne1]])),Tab_Calculs[[#This Row],[index_date_livraison]]+1,6)*(Tab_Calculs[[#This Row],[fin mois]]-MIN(Tab_Calculs[[#This Row],[fin mois]],Tab_Calculs[[#This Row],[Date_livraison]]))</f>
        <v>#VALUE!</v>
      </c>
      <c r="N986" s="231" t="str">
        <f ca="1">IFERROR(Tab_Calculs[[#This Row],[Ratio_jour_après_livr]]+Tab_Calculs[[#This Row],[Ratio_jour_avant_livr]]+Tab_Calculs[[#This Row],[ratio_avant_debut]],"")</f>
        <v/>
      </c>
      <c r="O986" t="e">
        <f ca="1">INDEX(INDIRECT(CONCATENATE("Tab_",Tab_Calculs[[#This Row],[Colonne1]])),Tab_Calculs[[#This Row],[index_date_livraison]]-1,7)*(MAX(Tab_Calculs[[#This Row],[Début periode livraison]],Tab_Calculs[[#This Row],[Début mois]])-Tab_Calculs[[#This Row],[Début mois]])</f>
        <v>#VALUE!</v>
      </c>
      <c r="P986">
        <f ca="1">INDEX(INDIRECT(CONCATENATE("Tab_",Tab_Calculs[[#This Row],[Colonne1]])),Tab_Calculs[[#This Row],[index_date_livraison]],7)*(1+MIN(Tab_Calculs[[#This Row],[Date_livraison]],Tab_Calculs[[#This Row],[fin mois]])-MAX(Tab_Calculs[[#This Row],[Début mois]],Tab_Calculs[[#This Row],[Début periode livraison]]))</f>
        <v>0</v>
      </c>
      <c r="Q986" t="e">
        <f ca="1">INDEX(INDIRECT(CONCATENATE("Tab_",Tab_Calculs[[#This Row],[Colonne1]])),Tab_Calculs[[#This Row],[index_date_livraison]]+1,7)*(Tab_Calculs[[#This Row],[fin mois]]-MIN(Tab_Calculs[[#This Row],[fin mois]],Tab_Calculs[[#This Row],[Date_livraison]]))</f>
        <v>#VALUE!</v>
      </c>
      <c r="R986" t="e">
        <f ca="1">Tab_Calculs[[#This Row],[Ratio_Cout_après_livr]]+Tab_Calculs[[#This Row],[Ratio_Cout_avant_livr]]+Tab_Calculs[[#This Row],[Ratio_Cout_avant_debut]]</f>
        <v>#VALUE!</v>
      </c>
      <c r="S986" t="str">
        <f ca="1">IFERROR(N986*VLOOKUP(Tab_Calculs[[#This Row],[Colonne1]],Controle_des_données!$B$7:$G$14,6,FALSE),"")</f>
        <v/>
      </c>
      <c r="T986" t="str">
        <f ca="1">IF(Tab_Calculs[[#This Row],[Combustible ]]="Electricité (kWh)",Tab_Calculs[[#This Row],[Conso_mois_kWh]]*2.3,Tab_Calculs[[#This Row],[Conso_mois_kWh]])</f>
        <v/>
      </c>
      <c r="U986" t="str">
        <f ca="1">IFERROR(N986*VLOOKUP(Tab_Calculs[[#This Row],[Colonne1]],Controle_des_données!$B$7:$H$14,7,FALSE),"")</f>
        <v/>
      </c>
      <c r="V986">
        <f ca="1">IFERROR(Tab_Calculs[[#This Row],[Cout_mois]]/Tab_Calculs[[#This Row],[Conso_mois_kWh]],0)</f>
        <v>0</v>
      </c>
      <c r="W986" t="str">
        <f>T(VLOOKUP(Tab_Calculs[[#This Row],[Compteur]],Site!$B$33:$G$40,3,FALSE))</f>
        <v/>
      </c>
      <c r="X986" t="str">
        <f>T(VLOOKUP(Tab_Calculs[[#This Row],[Compteur]],Site!$B$33:$G$40,4,FALSE))</f>
        <v/>
      </c>
      <c r="Y986" t="str">
        <f>T(VLOOKUP(Tab_Calculs[[#This Row],[Compteur]],Site!$B$33:$G$40,5,FALSE))</f>
        <v/>
      </c>
      <c r="Z986" t="str">
        <f>T(VLOOKUP(Tab_Calculs[[#This Row],[Compteur]],Site!$B$33:$G$40,6,FALSE))</f>
        <v/>
      </c>
      <c r="AA986">
        <f>IFERROR(GETPIVOTDATA("DJU(chauffagiste)",BDD_DJU!$P$13,"annee",Tab_Calculs[[#This Row],[ANNEE]],"mois_numero",Tab_Calculs[[#This Row],[MOIS]]),0)</f>
        <v>55.8</v>
      </c>
    </row>
    <row r="987" spans="1:27" x14ac:dyDescent="0.25">
      <c r="A987" s="3">
        <f>DATE(Tab_Calculs[[#This Row],[ANNEE]],Tab_Calculs[[#This Row],[MOIS]],1)</f>
        <v>40725</v>
      </c>
      <c r="B987" s="3">
        <f>EDATE(Tab_Calculs[[#This Row],[Début mois]],1)-1</f>
        <v>40755</v>
      </c>
      <c r="C987">
        <v>7</v>
      </c>
      <c r="D987">
        <v>2011</v>
      </c>
      <c r="E987" t="s">
        <v>85</v>
      </c>
      <c r="F987" t="str">
        <f>SUBSTITUTE(Tab_Calculs[[#This Row],[Compteur]]," ","_")</f>
        <v>Compteur_6</v>
      </c>
      <c r="G987" t="str">
        <f>T(INDEX(Site!$B$33:$G$40, MATCH(Tab_Calculs[[#This Row],[Compteur]], Site!$B$33:$B$40,0),2))</f>
        <v/>
      </c>
      <c r="H987" s="3">
        <f t="array" aca="1" ref="H987" ca="1">MIN(IF(INDIRECT(CONCATENATE(Tab_Calculs[[#This Row],[Colonne1]],"!$B$2:$B$243"))&gt;=Calculs_Consos!$A987,INDIRECT(CONCATENATE(Tab_Calculs[[#This Row],[Colonne1]],"!$B$2:$B$243"))))</f>
        <v>0</v>
      </c>
      <c r="I987" s="3">
        <f ca="1">INDEX(INDIRECT(CONCATENATE("Tab_",Tab_Calculs[[#This Row],[Colonne1]])),Tab_Calculs[[#This Row],[index_date_livraison]],1)</f>
        <v>0</v>
      </c>
      <c r="J987">
        <f ca="1">MATCH(Tab_Calculs[[#This Row],[Date_livraison]],INDIRECT(CONCATENATE("Tab_",Tab_Calculs[[#This Row],[Colonne1]],"[Fin de période]")),0)</f>
        <v>1</v>
      </c>
      <c r="K987" t="e">
        <f ca="1">INDEX(INDIRECT(CONCATENATE("Tab_",Tab_Calculs[[#This Row],[Colonne1]])),Tab_Calculs[[#This Row],[index_date_livraison]]-1,6)*(MAX(Tab_Calculs[[#This Row],[Début periode livraison]],Tab_Calculs[[#This Row],[Début mois]])-Tab_Calculs[[#This Row],[Début mois]])</f>
        <v>#VALUE!</v>
      </c>
      <c r="L987" s="94">
        <f ca="1">INDEX(INDIRECT(CONCATENATE("Tab_",Tab_Calculs[[#This Row],[Colonne1]])),Tab_Calculs[[#This Row],[index_date_livraison]],6)*(1+MIN(Tab_Calculs[[#This Row],[Date_livraison]],Tab_Calculs[[#This Row],[fin mois]])-MAX(Tab_Calculs[[#This Row],[Début mois]],Tab_Calculs[[#This Row],[Début periode livraison]]))</f>
        <v>0</v>
      </c>
      <c r="M987" s="94" t="e">
        <f ca="1">INDEX(INDIRECT(CONCATENATE("Tab_",Tab_Calculs[[#This Row],[Colonne1]])),Tab_Calculs[[#This Row],[index_date_livraison]]+1,6)*(Tab_Calculs[[#This Row],[fin mois]]-MIN(Tab_Calculs[[#This Row],[fin mois]],Tab_Calculs[[#This Row],[Date_livraison]]))</f>
        <v>#VALUE!</v>
      </c>
      <c r="N987" s="231" t="str">
        <f ca="1">IFERROR(Tab_Calculs[[#This Row],[Ratio_jour_après_livr]]+Tab_Calculs[[#This Row],[Ratio_jour_avant_livr]]+Tab_Calculs[[#This Row],[ratio_avant_debut]],"")</f>
        <v/>
      </c>
      <c r="O987" t="e">
        <f ca="1">INDEX(INDIRECT(CONCATENATE("Tab_",Tab_Calculs[[#This Row],[Colonne1]])),Tab_Calculs[[#This Row],[index_date_livraison]]-1,7)*(MAX(Tab_Calculs[[#This Row],[Début periode livraison]],Tab_Calculs[[#This Row],[Début mois]])-Tab_Calculs[[#This Row],[Début mois]])</f>
        <v>#VALUE!</v>
      </c>
      <c r="P987">
        <f ca="1">INDEX(INDIRECT(CONCATENATE("Tab_",Tab_Calculs[[#This Row],[Colonne1]])),Tab_Calculs[[#This Row],[index_date_livraison]],7)*(1+MIN(Tab_Calculs[[#This Row],[Date_livraison]],Tab_Calculs[[#This Row],[fin mois]])-MAX(Tab_Calculs[[#This Row],[Début mois]],Tab_Calculs[[#This Row],[Début periode livraison]]))</f>
        <v>0</v>
      </c>
      <c r="Q987" t="e">
        <f ca="1">INDEX(INDIRECT(CONCATENATE("Tab_",Tab_Calculs[[#This Row],[Colonne1]])),Tab_Calculs[[#This Row],[index_date_livraison]]+1,7)*(Tab_Calculs[[#This Row],[fin mois]]-MIN(Tab_Calculs[[#This Row],[fin mois]],Tab_Calculs[[#This Row],[Date_livraison]]))</f>
        <v>#VALUE!</v>
      </c>
      <c r="R987" t="e">
        <f ca="1">Tab_Calculs[[#This Row],[Ratio_Cout_après_livr]]+Tab_Calculs[[#This Row],[Ratio_Cout_avant_livr]]+Tab_Calculs[[#This Row],[Ratio_Cout_avant_debut]]</f>
        <v>#VALUE!</v>
      </c>
      <c r="S987" t="str">
        <f ca="1">IFERROR(N987*VLOOKUP(Tab_Calculs[[#This Row],[Colonne1]],Controle_des_données!$B$7:$G$14,6,FALSE),"")</f>
        <v/>
      </c>
      <c r="T987" t="str">
        <f ca="1">IF(Tab_Calculs[[#This Row],[Combustible ]]="Electricité (kWh)",Tab_Calculs[[#This Row],[Conso_mois_kWh]]*2.3,Tab_Calculs[[#This Row],[Conso_mois_kWh]])</f>
        <v/>
      </c>
      <c r="U987" t="str">
        <f ca="1">IFERROR(N987*VLOOKUP(Tab_Calculs[[#This Row],[Colonne1]],Controle_des_données!$B$7:$H$14,7,FALSE),"")</f>
        <v/>
      </c>
      <c r="V987">
        <f ca="1">IFERROR(Tab_Calculs[[#This Row],[Cout_mois]]/Tab_Calculs[[#This Row],[Conso_mois_kWh]],0)</f>
        <v>0</v>
      </c>
      <c r="W987" t="str">
        <f>T(VLOOKUP(Tab_Calculs[[#This Row],[Compteur]],Site!$B$33:$G$40,3,FALSE))</f>
        <v/>
      </c>
      <c r="X987" t="str">
        <f>T(VLOOKUP(Tab_Calculs[[#This Row],[Compteur]],Site!$B$33:$G$40,4,FALSE))</f>
        <v/>
      </c>
      <c r="Y987" t="str">
        <f>T(VLOOKUP(Tab_Calculs[[#This Row],[Compteur]],Site!$B$33:$G$40,5,FALSE))</f>
        <v/>
      </c>
      <c r="Z987" t="str">
        <f>T(VLOOKUP(Tab_Calculs[[#This Row],[Compteur]],Site!$B$33:$G$40,6,FALSE))</f>
        <v/>
      </c>
      <c r="AA987">
        <f>IFERROR(GETPIVOTDATA("DJU(chauffagiste)",BDD_DJU!$P$13,"annee",Tab_Calculs[[#This Row],[ANNEE]],"mois_numero",Tab_Calculs[[#This Row],[MOIS]]),0)</f>
        <v>50.8</v>
      </c>
    </row>
    <row r="988" spans="1:27" x14ac:dyDescent="0.25">
      <c r="A988" s="3">
        <f>DATE(Tab_Calculs[[#This Row],[ANNEE]],Tab_Calculs[[#This Row],[MOIS]],1)</f>
        <v>40756</v>
      </c>
      <c r="B988" s="3">
        <f>EDATE(Tab_Calculs[[#This Row],[Début mois]],1)-1</f>
        <v>40786</v>
      </c>
      <c r="C988">
        <v>8</v>
      </c>
      <c r="D988">
        <v>2011</v>
      </c>
      <c r="E988" t="s">
        <v>85</v>
      </c>
      <c r="F988" t="str">
        <f>SUBSTITUTE(Tab_Calculs[[#This Row],[Compteur]]," ","_")</f>
        <v>Compteur_6</v>
      </c>
      <c r="G988" t="str">
        <f>T(INDEX(Site!$B$33:$G$40, MATCH(Tab_Calculs[[#This Row],[Compteur]], Site!$B$33:$B$40,0),2))</f>
        <v/>
      </c>
      <c r="H988" s="3">
        <f t="array" aca="1" ref="H988" ca="1">MIN(IF(INDIRECT(CONCATENATE(Tab_Calculs[[#This Row],[Colonne1]],"!$B$2:$B$243"))&gt;=Calculs_Consos!$A988,INDIRECT(CONCATENATE(Tab_Calculs[[#This Row],[Colonne1]],"!$B$2:$B$243"))))</f>
        <v>0</v>
      </c>
      <c r="I988" s="3">
        <f ca="1">INDEX(INDIRECT(CONCATENATE("Tab_",Tab_Calculs[[#This Row],[Colonne1]])),Tab_Calculs[[#This Row],[index_date_livraison]],1)</f>
        <v>0</v>
      </c>
      <c r="J988">
        <f ca="1">MATCH(Tab_Calculs[[#This Row],[Date_livraison]],INDIRECT(CONCATENATE("Tab_",Tab_Calculs[[#This Row],[Colonne1]],"[Fin de période]")),0)</f>
        <v>1</v>
      </c>
      <c r="K988" t="e">
        <f ca="1">INDEX(INDIRECT(CONCATENATE("Tab_",Tab_Calculs[[#This Row],[Colonne1]])),Tab_Calculs[[#This Row],[index_date_livraison]]-1,6)*(MAX(Tab_Calculs[[#This Row],[Début periode livraison]],Tab_Calculs[[#This Row],[Début mois]])-Tab_Calculs[[#This Row],[Début mois]])</f>
        <v>#VALUE!</v>
      </c>
      <c r="L988" s="94">
        <f ca="1">INDEX(INDIRECT(CONCATENATE("Tab_",Tab_Calculs[[#This Row],[Colonne1]])),Tab_Calculs[[#This Row],[index_date_livraison]],6)*(1+MIN(Tab_Calculs[[#This Row],[Date_livraison]],Tab_Calculs[[#This Row],[fin mois]])-MAX(Tab_Calculs[[#This Row],[Début mois]],Tab_Calculs[[#This Row],[Début periode livraison]]))</f>
        <v>0</v>
      </c>
      <c r="M988" s="94" t="e">
        <f ca="1">INDEX(INDIRECT(CONCATENATE("Tab_",Tab_Calculs[[#This Row],[Colonne1]])),Tab_Calculs[[#This Row],[index_date_livraison]]+1,6)*(Tab_Calculs[[#This Row],[fin mois]]-MIN(Tab_Calculs[[#This Row],[fin mois]],Tab_Calculs[[#This Row],[Date_livraison]]))</f>
        <v>#VALUE!</v>
      </c>
      <c r="N988" s="231" t="str">
        <f ca="1">IFERROR(Tab_Calculs[[#This Row],[Ratio_jour_après_livr]]+Tab_Calculs[[#This Row],[Ratio_jour_avant_livr]]+Tab_Calculs[[#This Row],[ratio_avant_debut]],"")</f>
        <v/>
      </c>
      <c r="O988" t="e">
        <f ca="1">INDEX(INDIRECT(CONCATENATE("Tab_",Tab_Calculs[[#This Row],[Colonne1]])),Tab_Calculs[[#This Row],[index_date_livraison]]-1,7)*(MAX(Tab_Calculs[[#This Row],[Début periode livraison]],Tab_Calculs[[#This Row],[Début mois]])-Tab_Calculs[[#This Row],[Début mois]])</f>
        <v>#VALUE!</v>
      </c>
      <c r="P988">
        <f ca="1">INDEX(INDIRECT(CONCATENATE("Tab_",Tab_Calculs[[#This Row],[Colonne1]])),Tab_Calculs[[#This Row],[index_date_livraison]],7)*(1+MIN(Tab_Calculs[[#This Row],[Date_livraison]],Tab_Calculs[[#This Row],[fin mois]])-MAX(Tab_Calculs[[#This Row],[Début mois]],Tab_Calculs[[#This Row],[Début periode livraison]]))</f>
        <v>0</v>
      </c>
      <c r="Q988" t="e">
        <f ca="1">INDEX(INDIRECT(CONCATENATE("Tab_",Tab_Calculs[[#This Row],[Colonne1]])),Tab_Calculs[[#This Row],[index_date_livraison]]+1,7)*(Tab_Calculs[[#This Row],[fin mois]]-MIN(Tab_Calculs[[#This Row],[fin mois]],Tab_Calculs[[#This Row],[Date_livraison]]))</f>
        <v>#VALUE!</v>
      </c>
      <c r="R988" t="e">
        <f ca="1">Tab_Calculs[[#This Row],[Ratio_Cout_après_livr]]+Tab_Calculs[[#This Row],[Ratio_Cout_avant_livr]]+Tab_Calculs[[#This Row],[Ratio_Cout_avant_debut]]</f>
        <v>#VALUE!</v>
      </c>
      <c r="S988" t="str">
        <f ca="1">IFERROR(N988*VLOOKUP(Tab_Calculs[[#This Row],[Colonne1]],Controle_des_données!$B$7:$G$14,6,FALSE),"")</f>
        <v/>
      </c>
      <c r="T988" t="str">
        <f ca="1">IF(Tab_Calculs[[#This Row],[Combustible ]]="Electricité (kWh)",Tab_Calculs[[#This Row],[Conso_mois_kWh]]*2.3,Tab_Calculs[[#This Row],[Conso_mois_kWh]])</f>
        <v/>
      </c>
      <c r="U988" t="str">
        <f ca="1">IFERROR(N988*VLOOKUP(Tab_Calculs[[#This Row],[Colonne1]],Controle_des_données!$B$7:$H$14,7,FALSE),"")</f>
        <v/>
      </c>
      <c r="V988">
        <f ca="1">IFERROR(Tab_Calculs[[#This Row],[Cout_mois]]/Tab_Calculs[[#This Row],[Conso_mois_kWh]],0)</f>
        <v>0</v>
      </c>
      <c r="W988" t="str">
        <f>T(VLOOKUP(Tab_Calculs[[#This Row],[Compteur]],Site!$B$33:$G$40,3,FALSE))</f>
        <v/>
      </c>
      <c r="X988" t="str">
        <f>T(VLOOKUP(Tab_Calculs[[#This Row],[Compteur]],Site!$B$33:$G$40,4,FALSE))</f>
        <v/>
      </c>
      <c r="Y988" t="str">
        <f>T(VLOOKUP(Tab_Calculs[[#This Row],[Compteur]],Site!$B$33:$G$40,5,FALSE))</f>
        <v/>
      </c>
      <c r="Z988" t="str">
        <f>T(VLOOKUP(Tab_Calculs[[#This Row],[Compteur]],Site!$B$33:$G$40,6,FALSE))</f>
        <v/>
      </c>
      <c r="AA988">
        <f>IFERROR(GETPIVOTDATA("DJU(chauffagiste)",BDD_DJU!$P$13,"annee",Tab_Calculs[[#This Row],[ANNEE]],"mois_numero",Tab_Calculs[[#This Row],[MOIS]]),0)</f>
        <v>34.700000000000003</v>
      </c>
    </row>
    <row r="989" spans="1:27" x14ac:dyDescent="0.25">
      <c r="A989" s="3">
        <f>DATE(Tab_Calculs[[#This Row],[ANNEE]],Tab_Calculs[[#This Row],[MOIS]],1)</f>
        <v>40787</v>
      </c>
      <c r="B989" s="3">
        <f>EDATE(Tab_Calculs[[#This Row],[Début mois]],1)-1</f>
        <v>40816</v>
      </c>
      <c r="C989">
        <v>9</v>
      </c>
      <c r="D989">
        <v>2011</v>
      </c>
      <c r="E989" t="s">
        <v>85</v>
      </c>
      <c r="F989" t="str">
        <f>SUBSTITUTE(Tab_Calculs[[#This Row],[Compteur]]," ","_")</f>
        <v>Compteur_6</v>
      </c>
      <c r="G989" t="str">
        <f>T(INDEX(Site!$B$33:$G$40, MATCH(Tab_Calculs[[#This Row],[Compteur]], Site!$B$33:$B$40,0),2))</f>
        <v/>
      </c>
      <c r="H989" s="3">
        <f t="array" aca="1" ref="H989" ca="1">MIN(IF(INDIRECT(CONCATENATE(Tab_Calculs[[#This Row],[Colonne1]],"!$B$2:$B$243"))&gt;=Calculs_Consos!$A989,INDIRECT(CONCATENATE(Tab_Calculs[[#This Row],[Colonne1]],"!$B$2:$B$243"))))</f>
        <v>0</v>
      </c>
      <c r="I989" s="3">
        <f ca="1">INDEX(INDIRECT(CONCATENATE("Tab_",Tab_Calculs[[#This Row],[Colonne1]])),Tab_Calculs[[#This Row],[index_date_livraison]],1)</f>
        <v>0</v>
      </c>
      <c r="J989">
        <f ca="1">MATCH(Tab_Calculs[[#This Row],[Date_livraison]],INDIRECT(CONCATENATE("Tab_",Tab_Calculs[[#This Row],[Colonne1]],"[Fin de période]")),0)</f>
        <v>1</v>
      </c>
      <c r="K989" t="e">
        <f ca="1">INDEX(INDIRECT(CONCATENATE("Tab_",Tab_Calculs[[#This Row],[Colonne1]])),Tab_Calculs[[#This Row],[index_date_livraison]]-1,6)*(MAX(Tab_Calculs[[#This Row],[Début periode livraison]],Tab_Calculs[[#This Row],[Début mois]])-Tab_Calculs[[#This Row],[Début mois]])</f>
        <v>#VALUE!</v>
      </c>
      <c r="L989" s="94">
        <f ca="1">INDEX(INDIRECT(CONCATENATE("Tab_",Tab_Calculs[[#This Row],[Colonne1]])),Tab_Calculs[[#This Row],[index_date_livraison]],6)*(1+MIN(Tab_Calculs[[#This Row],[Date_livraison]],Tab_Calculs[[#This Row],[fin mois]])-MAX(Tab_Calculs[[#This Row],[Début mois]],Tab_Calculs[[#This Row],[Début periode livraison]]))</f>
        <v>0</v>
      </c>
      <c r="M989" s="94" t="e">
        <f ca="1">INDEX(INDIRECT(CONCATENATE("Tab_",Tab_Calculs[[#This Row],[Colonne1]])),Tab_Calculs[[#This Row],[index_date_livraison]]+1,6)*(Tab_Calculs[[#This Row],[fin mois]]-MIN(Tab_Calculs[[#This Row],[fin mois]],Tab_Calculs[[#This Row],[Date_livraison]]))</f>
        <v>#VALUE!</v>
      </c>
      <c r="N989" s="231" t="str">
        <f ca="1">IFERROR(Tab_Calculs[[#This Row],[Ratio_jour_après_livr]]+Tab_Calculs[[#This Row],[Ratio_jour_avant_livr]]+Tab_Calculs[[#This Row],[ratio_avant_debut]],"")</f>
        <v/>
      </c>
      <c r="O989" t="e">
        <f ca="1">INDEX(INDIRECT(CONCATENATE("Tab_",Tab_Calculs[[#This Row],[Colonne1]])),Tab_Calculs[[#This Row],[index_date_livraison]]-1,7)*(MAX(Tab_Calculs[[#This Row],[Début periode livraison]],Tab_Calculs[[#This Row],[Début mois]])-Tab_Calculs[[#This Row],[Début mois]])</f>
        <v>#VALUE!</v>
      </c>
      <c r="P989">
        <f ca="1">INDEX(INDIRECT(CONCATENATE("Tab_",Tab_Calculs[[#This Row],[Colonne1]])),Tab_Calculs[[#This Row],[index_date_livraison]],7)*(1+MIN(Tab_Calculs[[#This Row],[Date_livraison]],Tab_Calculs[[#This Row],[fin mois]])-MAX(Tab_Calculs[[#This Row],[Début mois]],Tab_Calculs[[#This Row],[Début periode livraison]]))</f>
        <v>0</v>
      </c>
      <c r="Q989" t="e">
        <f ca="1">INDEX(INDIRECT(CONCATENATE("Tab_",Tab_Calculs[[#This Row],[Colonne1]])),Tab_Calculs[[#This Row],[index_date_livraison]]+1,7)*(Tab_Calculs[[#This Row],[fin mois]]-MIN(Tab_Calculs[[#This Row],[fin mois]],Tab_Calculs[[#This Row],[Date_livraison]]))</f>
        <v>#VALUE!</v>
      </c>
      <c r="R989" t="e">
        <f ca="1">Tab_Calculs[[#This Row],[Ratio_Cout_après_livr]]+Tab_Calculs[[#This Row],[Ratio_Cout_avant_livr]]+Tab_Calculs[[#This Row],[Ratio_Cout_avant_debut]]</f>
        <v>#VALUE!</v>
      </c>
      <c r="S989" t="str">
        <f ca="1">IFERROR(N989*VLOOKUP(Tab_Calculs[[#This Row],[Colonne1]],Controle_des_données!$B$7:$G$14,6,FALSE),"")</f>
        <v/>
      </c>
      <c r="T989" t="str">
        <f ca="1">IF(Tab_Calculs[[#This Row],[Combustible ]]="Electricité (kWh)",Tab_Calculs[[#This Row],[Conso_mois_kWh]]*2.3,Tab_Calculs[[#This Row],[Conso_mois_kWh]])</f>
        <v/>
      </c>
      <c r="U989" t="str">
        <f ca="1">IFERROR(N989*VLOOKUP(Tab_Calculs[[#This Row],[Colonne1]],Controle_des_données!$B$7:$H$14,7,FALSE),"")</f>
        <v/>
      </c>
      <c r="V989">
        <f ca="1">IFERROR(Tab_Calculs[[#This Row],[Cout_mois]]/Tab_Calculs[[#This Row],[Conso_mois_kWh]],0)</f>
        <v>0</v>
      </c>
      <c r="W989" t="str">
        <f>T(VLOOKUP(Tab_Calculs[[#This Row],[Compteur]],Site!$B$33:$G$40,3,FALSE))</f>
        <v/>
      </c>
      <c r="X989" t="str">
        <f>T(VLOOKUP(Tab_Calculs[[#This Row],[Compteur]],Site!$B$33:$G$40,4,FALSE))</f>
        <v/>
      </c>
      <c r="Y989" t="str">
        <f>T(VLOOKUP(Tab_Calculs[[#This Row],[Compteur]],Site!$B$33:$G$40,5,FALSE))</f>
        <v/>
      </c>
      <c r="Z989" t="str">
        <f>T(VLOOKUP(Tab_Calculs[[#This Row],[Compteur]],Site!$B$33:$G$40,6,FALSE))</f>
        <v/>
      </c>
      <c r="AA989">
        <f>IFERROR(GETPIVOTDATA("DJU(chauffagiste)",BDD_DJU!$P$13,"annee",Tab_Calculs[[#This Row],[ANNEE]],"mois_numero",Tab_Calculs[[#This Row],[MOIS]]),0)</f>
        <v>51.3</v>
      </c>
    </row>
    <row r="990" spans="1:27" x14ac:dyDescent="0.25">
      <c r="A990" s="3">
        <f>DATE(Tab_Calculs[[#This Row],[ANNEE]],Tab_Calculs[[#This Row],[MOIS]],1)</f>
        <v>40817</v>
      </c>
      <c r="B990" s="3">
        <f>EDATE(Tab_Calculs[[#This Row],[Début mois]],1)-1</f>
        <v>40847</v>
      </c>
      <c r="C990">
        <v>10</v>
      </c>
      <c r="D990">
        <v>2011</v>
      </c>
      <c r="E990" t="s">
        <v>85</v>
      </c>
      <c r="F990" t="str">
        <f>SUBSTITUTE(Tab_Calculs[[#This Row],[Compteur]]," ","_")</f>
        <v>Compteur_6</v>
      </c>
      <c r="G990" t="str">
        <f>T(INDEX(Site!$B$33:$G$40, MATCH(Tab_Calculs[[#This Row],[Compteur]], Site!$B$33:$B$40,0),2))</f>
        <v/>
      </c>
      <c r="H990" s="3">
        <f t="array" aca="1" ref="H990" ca="1">MIN(IF(INDIRECT(CONCATENATE(Tab_Calculs[[#This Row],[Colonne1]],"!$B$2:$B$243"))&gt;=Calculs_Consos!$A990,INDIRECT(CONCATENATE(Tab_Calculs[[#This Row],[Colonne1]],"!$B$2:$B$243"))))</f>
        <v>0</v>
      </c>
      <c r="I990" s="3">
        <f ca="1">INDEX(INDIRECT(CONCATENATE("Tab_",Tab_Calculs[[#This Row],[Colonne1]])),Tab_Calculs[[#This Row],[index_date_livraison]],1)</f>
        <v>0</v>
      </c>
      <c r="J990">
        <f ca="1">MATCH(Tab_Calculs[[#This Row],[Date_livraison]],INDIRECT(CONCATENATE("Tab_",Tab_Calculs[[#This Row],[Colonne1]],"[Fin de période]")),0)</f>
        <v>1</v>
      </c>
      <c r="K990" t="e">
        <f ca="1">INDEX(INDIRECT(CONCATENATE("Tab_",Tab_Calculs[[#This Row],[Colonne1]])),Tab_Calculs[[#This Row],[index_date_livraison]]-1,6)*(MAX(Tab_Calculs[[#This Row],[Début periode livraison]],Tab_Calculs[[#This Row],[Début mois]])-Tab_Calculs[[#This Row],[Début mois]])</f>
        <v>#VALUE!</v>
      </c>
      <c r="L990" s="94">
        <f ca="1">INDEX(INDIRECT(CONCATENATE("Tab_",Tab_Calculs[[#This Row],[Colonne1]])),Tab_Calculs[[#This Row],[index_date_livraison]],6)*(1+MIN(Tab_Calculs[[#This Row],[Date_livraison]],Tab_Calculs[[#This Row],[fin mois]])-MAX(Tab_Calculs[[#This Row],[Début mois]],Tab_Calculs[[#This Row],[Début periode livraison]]))</f>
        <v>0</v>
      </c>
      <c r="M990" s="94" t="e">
        <f ca="1">INDEX(INDIRECT(CONCATENATE("Tab_",Tab_Calculs[[#This Row],[Colonne1]])),Tab_Calculs[[#This Row],[index_date_livraison]]+1,6)*(Tab_Calculs[[#This Row],[fin mois]]-MIN(Tab_Calculs[[#This Row],[fin mois]],Tab_Calculs[[#This Row],[Date_livraison]]))</f>
        <v>#VALUE!</v>
      </c>
      <c r="N990" s="231" t="str">
        <f ca="1">IFERROR(Tab_Calculs[[#This Row],[Ratio_jour_après_livr]]+Tab_Calculs[[#This Row],[Ratio_jour_avant_livr]]+Tab_Calculs[[#This Row],[ratio_avant_debut]],"")</f>
        <v/>
      </c>
      <c r="O990" t="e">
        <f ca="1">INDEX(INDIRECT(CONCATENATE("Tab_",Tab_Calculs[[#This Row],[Colonne1]])),Tab_Calculs[[#This Row],[index_date_livraison]]-1,7)*(MAX(Tab_Calculs[[#This Row],[Début periode livraison]],Tab_Calculs[[#This Row],[Début mois]])-Tab_Calculs[[#This Row],[Début mois]])</f>
        <v>#VALUE!</v>
      </c>
      <c r="P990">
        <f ca="1">INDEX(INDIRECT(CONCATENATE("Tab_",Tab_Calculs[[#This Row],[Colonne1]])),Tab_Calculs[[#This Row],[index_date_livraison]],7)*(1+MIN(Tab_Calculs[[#This Row],[Date_livraison]],Tab_Calculs[[#This Row],[fin mois]])-MAX(Tab_Calculs[[#This Row],[Début mois]],Tab_Calculs[[#This Row],[Début periode livraison]]))</f>
        <v>0</v>
      </c>
      <c r="Q990" t="e">
        <f ca="1">INDEX(INDIRECT(CONCATENATE("Tab_",Tab_Calculs[[#This Row],[Colonne1]])),Tab_Calculs[[#This Row],[index_date_livraison]]+1,7)*(Tab_Calculs[[#This Row],[fin mois]]-MIN(Tab_Calculs[[#This Row],[fin mois]],Tab_Calculs[[#This Row],[Date_livraison]]))</f>
        <v>#VALUE!</v>
      </c>
      <c r="R990" t="e">
        <f ca="1">Tab_Calculs[[#This Row],[Ratio_Cout_après_livr]]+Tab_Calculs[[#This Row],[Ratio_Cout_avant_livr]]+Tab_Calculs[[#This Row],[Ratio_Cout_avant_debut]]</f>
        <v>#VALUE!</v>
      </c>
      <c r="S990" t="str">
        <f ca="1">IFERROR(N990*VLOOKUP(Tab_Calculs[[#This Row],[Colonne1]],Controle_des_données!$B$7:$G$14,6,FALSE),"")</f>
        <v/>
      </c>
      <c r="T990" t="str">
        <f ca="1">IF(Tab_Calculs[[#This Row],[Combustible ]]="Electricité (kWh)",Tab_Calculs[[#This Row],[Conso_mois_kWh]]*2.3,Tab_Calculs[[#This Row],[Conso_mois_kWh]])</f>
        <v/>
      </c>
      <c r="U990" t="str">
        <f ca="1">IFERROR(N990*VLOOKUP(Tab_Calculs[[#This Row],[Colonne1]],Controle_des_données!$B$7:$H$14,7,FALSE),"")</f>
        <v/>
      </c>
      <c r="V990">
        <f ca="1">IFERROR(Tab_Calculs[[#This Row],[Cout_mois]]/Tab_Calculs[[#This Row],[Conso_mois_kWh]],0)</f>
        <v>0</v>
      </c>
      <c r="W990" t="str">
        <f>T(VLOOKUP(Tab_Calculs[[#This Row],[Compteur]],Site!$B$33:$G$40,3,FALSE))</f>
        <v/>
      </c>
      <c r="X990" t="str">
        <f>T(VLOOKUP(Tab_Calculs[[#This Row],[Compteur]],Site!$B$33:$G$40,4,FALSE))</f>
        <v/>
      </c>
      <c r="Y990" t="str">
        <f>T(VLOOKUP(Tab_Calculs[[#This Row],[Compteur]],Site!$B$33:$G$40,5,FALSE))</f>
        <v/>
      </c>
      <c r="Z990" t="str">
        <f>T(VLOOKUP(Tab_Calculs[[#This Row],[Compteur]],Site!$B$33:$G$40,6,FALSE))</f>
        <v/>
      </c>
      <c r="AA990">
        <f>IFERROR(GETPIVOTDATA("DJU(chauffagiste)",BDD_DJU!$P$13,"annee",Tab_Calculs[[#This Row],[ANNEE]],"mois_numero",Tab_Calculs[[#This Row],[MOIS]]),0)</f>
        <v>145.6</v>
      </c>
    </row>
    <row r="991" spans="1:27" x14ac:dyDescent="0.25">
      <c r="A991" s="3">
        <f>DATE(Tab_Calculs[[#This Row],[ANNEE]],Tab_Calculs[[#This Row],[MOIS]],1)</f>
        <v>40848</v>
      </c>
      <c r="B991" s="3">
        <f>EDATE(Tab_Calculs[[#This Row],[Début mois]],1)-1</f>
        <v>40877</v>
      </c>
      <c r="C991">
        <v>11</v>
      </c>
      <c r="D991">
        <v>2011</v>
      </c>
      <c r="E991" t="s">
        <v>85</v>
      </c>
      <c r="F991" t="str">
        <f>SUBSTITUTE(Tab_Calculs[[#This Row],[Compteur]]," ","_")</f>
        <v>Compteur_6</v>
      </c>
      <c r="G991" t="str">
        <f>T(INDEX(Site!$B$33:$G$40, MATCH(Tab_Calculs[[#This Row],[Compteur]], Site!$B$33:$B$40,0),2))</f>
        <v/>
      </c>
      <c r="H991" s="3">
        <f t="array" aca="1" ref="H991" ca="1">MIN(IF(INDIRECT(CONCATENATE(Tab_Calculs[[#This Row],[Colonne1]],"!$B$2:$B$243"))&gt;=Calculs_Consos!$A991,INDIRECT(CONCATENATE(Tab_Calculs[[#This Row],[Colonne1]],"!$B$2:$B$243"))))</f>
        <v>0</v>
      </c>
      <c r="I991" s="3">
        <f ca="1">INDEX(INDIRECT(CONCATENATE("Tab_",Tab_Calculs[[#This Row],[Colonne1]])),Tab_Calculs[[#This Row],[index_date_livraison]],1)</f>
        <v>0</v>
      </c>
      <c r="J991">
        <f ca="1">MATCH(Tab_Calculs[[#This Row],[Date_livraison]],INDIRECT(CONCATENATE("Tab_",Tab_Calculs[[#This Row],[Colonne1]],"[Fin de période]")),0)</f>
        <v>1</v>
      </c>
      <c r="K991" t="e">
        <f ca="1">INDEX(INDIRECT(CONCATENATE("Tab_",Tab_Calculs[[#This Row],[Colonne1]])),Tab_Calculs[[#This Row],[index_date_livraison]]-1,6)*(MAX(Tab_Calculs[[#This Row],[Début periode livraison]],Tab_Calculs[[#This Row],[Début mois]])-Tab_Calculs[[#This Row],[Début mois]])</f>
        <v>#VALUE!</v>
      </c>
      <c r="L991" s="94">
        <f ca="1">INDEX(INDIRECT(CONCATENATE("Tab_",Tab_Calculs[[#This Row],[Colonne1]])),Tab_Calculs[[#This Row],[index_date_livraison]],6)*(1+MIN(Tab_Calculs[[#This Row],[Date_livraison]],Tab_Calculs[[#This Row],[fin mois]])-MAX(Tab_Calculs[[#This Row],[Début mois]],Tab_Calculs[[#This Row],[Début periode livraison]]))</f>
        <v>0</v>
      </c>
      <c r="M991" s="94" t="e">
        <f ca="1">INDEX(INDIRECT(CONCATENATE("Tab_",Tab_Calculs[[#This Row],[Colonne1]])),Tab_Calculs[[#This Row],[index_date_livraison]]+1,6)*(Tab_Calculs[[#This Row],[fin mois]]-MIN(Tab_Calculs[[#This Row],[fin mois]],Tab_Calculs[[#This Row],[Date_livraison]]))</f>
        <v>#VALUE!</v>
      </c>
      <c r="N991" s="231" t="str">
        <f ca="1">IFERROR(Tab_Calculs[[#This Row],[Ratio_jour_après_livr]]+Tab_Calculs[[#This Row],[Ratio_jour_avant_livr]]+Tab_Calculs[[#This Row],[ratio_avant_debut]],"")</f>
        <v/>
      </c>
      <c r="O991" t="e">
        <f ca="1">INDEX(INDIRECT(CONCATENATE("Tab_",Tab_Calculs[[#This Row],[Colonne1]])),Tab_Calculs[[#This Row],[index_date_livraison]]-1,7)*(MAX(Tab_Calculs[[#This Row],[Début periode livraison]],Tab_Calculs[[#This Row],[Début mois]])-Tab_Calculs[[#This Row],[Début mois]])</f>
        <v>#VALUE!</v>
      </c>
      <c r="P991">
        <f ca="1">INDEX(INDIRECT(CONCATENATE("Tab_",Tab_Calculs[[#This Row],[Colonne1]])),Tab_Calculs[[#This Row],[index_date_livraison]],7)*(1+MIN(Tab_Calculs[[#This Row],[Date_livraison]],Tab_Calculs[[#This Row],[fin mois]])-MAX(Tab_Calculs[[#This Row],[Début mois]],Tab_Calculs[[#This Row],[Début periode livraison]]))</f>
        <v>0</v>
      </c>
      <c r="Q991" t="e">
        <f ca="1">INDEX(INDIRECT(CONCATENATE("Tab_",Tab_Calculs[[#This Row],[Colonne1]])),Tab_Calculs[[#This Row],[index_date_livraison]]+1,7)*(Tab_Calculs[[#This Row],[fin mois]]-MIN(Tab_Calculs[[#This Row],[fin mois]],Tab_Calculs[[#This Row],[Date_livraison]]))</f>
        <v>#VALUE!</v>
      </c>
      <c r="R991" t="e">
        <f ca="1">Tab_Calculs[[#This Row],[Ratio_Cout_après_livr]]+Tab_Calculs[[#This Row],[Ratio_Cout_avant_livr]]+Tab_Calculs[[#This Row],[Ratio_Cout_avant_debut]]</f>
        <v>#VALUE!</v>
      </c>
      <c r="S991" t="str">
        <f ca="1">IFERROR(N991*VLOOKUP(Tab_Calculs[[#This Row],[Colonne1]],Controle_des_données!$B$7:$G$14,6,FALSE),"")</f>
        <v/>
      </c>
      <c r="T991" t="str">
        <f ca="1">IF(Tab_Calculs[[#This Row],[Combustible ]]="Electricité (kWh)",Tab_Calculs[[#This Row],[Conso_mois_kWh]]*2.3,Tab_Calculs[[#This Row],[Conso_mois_kWh]])</f>
        <v/>
      </c>
      <c r="U991" t="str">
        <f ca="1">IFERROR(N991*VLOOKUP(Tab_Calculs[[#This Row],[Colonne1]],Controle_des_données!$B$7:$H$14,7,FALSE),"")</f>
        <v/>
      </c>
      <c r="V991">
        <f ca="1">IFERROR(Tab_Calculs[[#This Row],[Cout_mois]]/Tab_Calculs[[#This Row],[Conso_mois_kWh]],0)</f>
        <v>0</v>
      </c>
      <c r="W991" t="str">
        <f>T(VLOOKUP(Tab_Calculs[[#This Row],[Compteur]],Site!$B$33:$G$40,3,FALSE))</f>
        <v/>
      </c>
      <c r="X991" t="str">
        <f>T(VLOOKUP(Tab_Calculs[[#This Row],[Compteur]],Site!$B$33:$G$40,4,FALSE))</f>
        <v/>
      </c>
      <c r="Y991" t="str">
        <f>T(VLOOKUP(Tab_Calculs[[#This Row],[Compteur]],Site!$B$33:$G$40,5,FALSE))</f>
        <v/>
      </c>
      <c r="Z991" t="str">
        <f>T(VLOOKUP(Tab_Calculs[[#This Row],[Compteur]],Site!$B$33:$G$40,6,FALSE))</f>
        <v/>
      </c>
      <c r="AA991">
        <f>IFERROR(GETPIVOTDATA("DJU(chauffagiste)",BDD_DJU!$P$13,"annee",Tab_Calculs[[#This Row],[ANNEE]],"mois_numero",Tab_Calculs[[#This Row],[MOIS]]),0)</f>
        <v>205.3</v>
      </c>
    </row>
    <row r="992" spans="1:27" x14ac:dyDescent="0.25">
      <c r="A992" s="3">
        <f>DATE(Tab_Calculs[[#This Row],[ANNEE]],Tab_Calculs[[#This Row],[MOIS]],1)</f>
        <v>40878</v>
      </c>
      <c r="B992" s="3">
        <f>EDATE(Tab_Calculs[[#This Row],[Début mois]],1)-1</f>
        <v>40908</v>
      </c>
      <c r="C992">
        <v>12</v>
      </c>
      <c r="D992">
        <v>2011</v>
      </c>
      <c r="E992" t="s">
        <v>85</v>
      </c>
      <c r="F992" t="str">
        <f>SUBSTITUTE(Tab_Calculs[[#This Row],[Compteur]]," ","_")</f>
        <v>Compteur_6</v>
      </c>
      <c r="G992" t="str">
        <f>T(INDEX(Site!$B$33:$G$40, MATCH(Tab_Calculs[[#This Row],[Compteur]], Site!$B$33:$B$40,0),2))</f>
        <v/>
      </c>
      <c r="H992" s="3">
        <f t="array" aca="1" ref="H992" ca="1">MIN(IF(INDIRECT(CONCATENATE(Tab_Calculs[[#This Row],[Colonne1]],"!$B$2:$B$243"))&gt;=Calculs_Consos!$A992,INDIRECT(CONCATENATE(Tab_Calculs[[#This Row],[Colonne1]],"!$B$2:$B$243"))))</f>
        <v>0</v>
      </c>
      <c r="I992" s="3">
        <f ca="1">INDEX(INDIRECT(CONCATENATE("Tab_",Tab_Calculs[[#This Row],[Colonne1]])),Tab_Calculs[[#This Row],[index_date_livraison]],1)</f>
        <v>0</v>
      </c>
      <c r="J992">
        <f ca="1">MATCH(Tab_Calculs[[#This Row],[Date_livraison]],INDIRECT(CONCATENATE("Tab_",Tab_Calculs[[#This Row],[Colonne1]],"[Fin de période]")),0)</f>
        <v>1</v>
      </c>
      <c r="K992" t="e">
        <f ca="1">INDEX(INDIRECT(CONCATENATE("Tab_",Tab_Calculs[[#This Row],[Colonne1]])),Tab_Calculs[[#This Row],[index_date_livraison]]-1,6)*(MAX(Tab_Calculs[[#This Row],[Début periode livraison]],Tab_Calculs[[#This Row],[Début mois]])-Tab_Calculs[[#This Row],[Début mois]])</f>
        <v>#VALUE!</v>
      </c>
      <c r="L992" s="94">
        <f ca="1">INDEX(INDIRECT(CONCATENATE("Tab_",Tab_Calculs[[#This Row],[Colonne1]])),Tab_Calculs[[#This Row],[index_date_livraison]],6)*(1+MIN(Tab_Calculs[[#This Row],[Date_livraison]],Tab_Calculs[[#This Row],[fin mois]])-MAX(Tab_Calculs[[#This Row],[Début mois]],Tab_Calculs[[#This Row],[Début periode livraison]]))</f>
        <v>0</v>
      </c>
      <c r="M992" s="94" t="e">
        <f ca="1">INDEX(INDIRECT(CONCATENATE("Tab_",Tab_Calculs[[#This Row],[Colonne1]])),Tab_Calculs[[#This Row],[index_date_livraison]]+1,6)*(Tab_Calculs[[#This Row],[fin mois]]-MIN(Tab_Calculs[[#This Row],[fin mois]],Tab_Calculs[[#This Row],[Date_livraison]]))</f>
        <v>#VALUE!</v>
      </c>
      <c r="N992" s="231" t="str">
        <f ca="1">IFERROR(Tab_Calculs[[#This Row],[Ratio_jour_après_livr]]+Tab_Calculs[[#This Row],[Ratio_jour_avant_livr]]+Tab_Calculs[[#This Row],[ratio_avant_debut]],"")</f>
        <v/>
      </c>
      <c r="O992" t="e">
        <f ca="1">INDEX(INDIRECT(CONCATENATE("Tab_",Tab_Calculs[[#This Row],[Colonne1]])),Tab_Calculs[[#This Row],[index_date_livraison]]-1,7)*(MAX(Tab_Calculs[[#This Row],[Début periode livraison]],Tab_Calculs[[#This Row],[Début mois]])-Tab_Calculs[[#This Row],[Début mois]])</f>
        <v>#VALUE!</v>
      </c>
      <c r="P992">
        <f ca="1">INDEX(INDIRECT(CONCATENATE("Tab_",Tab_Calculs[[#This Row],[Colonne1]])),Tab_Calculs[[#This Row],[index_date_livraison]],7)*(1+MIN(Tab_Calculs[[#This Row],[Date_livraison]],Tab_Calculs[[#This Row],[fin mois]])-MAX(Tab_Calculs[[#This Row],[Début mois]],Tab_Calculs[[#This Row],[Début periode livraison]]))</f>
        <v>0</v>
      </c>
      <c r="Q992" t="e">
        <f ca="1">INDEX(INDIRECT(CONCATENATE("Tab_",Tab_Calculs[[#This Row],[Colonne1]])),Tab_Calculs[[#This Row],[index_date_livraison]]+1,7)*(Tab_Calculs[[#This Row],[fin mois]]-MIN(Tab_Calculs[[#This Row],[fin mois]],Tab_Calculs[[#This Row],[Date_livraison]]))</f>
        <v>#VALUE!</v>
      </c>
      <c r="R992" t="e">
        <f ca="1">Tab_Calculs[[#This Row],[Ratio_Cout_après_livr]]+Tab_Calculs[[#This Row],[Ratio_Cout_avant_livr]]+Tab_Calculs[[#This Row],[Ratio_Cout_avant_debut]]</f>
        <v>#VALUE!</v>
      </c>
      <c r="S992" t="str">
        <f ca="1">IFERROR(N992*VLOOKUP(Tab_Calculs[[#This Row],[Colonne1]],Controle_des_données!$B$7:$G$14,6,FALSE),"")</f>
        <v/>
      </c>
      <c r="T992" t="str">
        <f ca="1">IF(Tab_Calculs[[#This Row],[Combustible ]]="Electricité (kWh)",Tab_Calculs[[#This Row],[Conso_mois_kWh]]*2.3,Tab_Calculs[[#This Row],[Conso_mois_kWh]])</f>
        <v/>
      </c>
      <c r="U992" t="str">
        <f ca="1">IFERROR(N992*VLOOKUP(Tab_Calculs[[#This Row],[Colonne1]],Controle_des_données!$B$7:$H$14,7,FALSE),"")</f>
        <v/>
      </c>
      <c r="V992">
        <f ca="1">IFERROR(Tab_Calculs[[#This Row],[Cout_mois]]/Tab_Calculs[[#This Row],[Conso_mois_kWh]],0)</f>
        <v>0</v>
      </c>
      <c r="W992" t="str">
        <f>T(VLOOKUP(Tab_Calculs[[#This Row],[Compteur]],Site!$B$33:$G$40,3,FALSE))</f>
        <v/>
      </c>
      <c r="X992" t="str">
        <f>T(VLOOKUP(Tab_Calculs[[#This Row],[Compteur]],Site!$B$33:$G$40,4,FALSE))</f>
        <v/>
      </c>
      <c r="Y992" t="str">
        <f>T(VLOOKUP(Tab_Calculs[[#This Row],[Compteur]],Site!$B$33:$G$40,5,FALSE))</f>
        <v/>
      </c>
      <c r="Z992" t="str">
        <f>T(VLOOKUP(Tab_Calculs[[#This Row],[Compteur]],Site!$B$33:$G$40,6,FALSE))</f>
        <v/>
      </c>
      <c r="AA992">
        <f>IFERROR(GETPIVOTDATA("DJU(chauffagiste)",BDD_DJU!$P$13,"annee",Tab_Calculs[[#This Row],[ANNEE]],"mois_numero",Tab_Calculs[[#This Row],[MOIS]]),0)</f>
        <v>307.5</v>
      </c>
    </row>
    <row r="993" spans="1:27" x14ac:dyDescent="0.25">
      <c r="A993" s="3">
        <f>DATE(Tab_Calculs[[#This Row],[ANNEE]],Tab_Calculs[[#This Row],[MOIS]],1)</f>
        <v>40909</v>
      </c>
      <c r="B993" s="3">
        <f>EDATE(Tab_Calculs[[#This Row],[Début mois]],1)-1</f>
        <v>40939</v>
      </c>
      <c r="C993">
        <v>1</v>
      </c>
      <c r="D993">
        <v>2012</v>
      </c>
      <c r="E993" t="s">
        <v>85</v>
      </c>
      <c r="F993" t="str">
        <f>SUBSTITUTE(Tab_Calculs[[#This Row],[Compteur]]," ","_")</f>
        <v>Compteur_6</v>
      </c>
      <c r="G993" t="str">
        <f>T(INDEX(Site!$B$33:$G$40, MATCH(Tab_Calculs[[#This Row],[Compteur]], Site!$B$33:$B$40,0),2))</f>
        <v/>
      </c>
      <c r="H993" s="3">
        <f t="array" aca="1" ref="H993" ca="1">MIN(IF(INDIRECT(CONCATENATE(Tab_Calculs[[#This Row],[Colonne1]],"!$B$2:$B$243"))&gt;=Calculs_Consos!$A993,INDIRECT(CONCATENATE(Tab_Calculs[[#This Row],[Colonne1]],"!$B$2:$B$243"))))</f>
        <v>0</v>
      </c>
      <c r="I993" s="3">
        <f ca="1">INDEX(INDIRECT(CONCATENATE("Tab_",Tab_Calculs[[#This Row],[Colonne1]])),Tab_Calculs[[#This Row],[index_date_livraison]],1)</f>
        <v>0</v>
      </c>
      <c r="J993">
        <f ca="1">MATCH(Tab_Calculs[[#This Row],[Date_livraison]],INDIRECT(CONCATENATE("Tab_",Tab_Calculs[[#This Row],[Colonne1]],"[Fin de période]")),0)</f>
        <v>1</v>
      </c>
      <c r="K993" t="e">
        <f ca="1">INDEX(INDIRECT(CONCATENATE("Tab_",Tab_Calculs[[#This Row],[Colonne1]])),Tab_Calculs[[#This Row],[index_date_livraison]]-1,6)*(MAX(Tab_Calculs[[#This Row],[Début periode livraison]],Tab_Calculs[[#This Row],[Début mois]])-Tab_Calculs[[#This Row],[Début mois]])</f>
        <v>#VALUE!</v>
      </c>
      <c r="L993" s="94">
        <f ca="1">INDEX(INDIRECT(CONCATENATE("Tab_",Tab_Calculs[[#This Row],[Colonne1]])),Tab_Calculs[[#This Row],[index_date_livraison]],6)*(1+MIN(Tab_Calculs[[#This Row],[Date_livraison]],Tab_Calculs[[#This Row],[fin mois]])-MAX(Tab_Calculs[[#This Row],[Début mois]],Tab_Calculs[[#This Row],[Début periode livraison]]))</f>
        <v>0</v>
      </c>
      <c r="M993" s="94" t="e">
        <f ca="1">INDEX(INDIRECT(CONCATENATE("Tab_",Tab_Calculs[[#This Row],[Colonne1]])),Tab_Calculs[[#This Row],[index_date_livraison]]+1,6)*(Tab_Calculs[[#This Row],[fin mois]]-MIN(Tab_Calculs[[#This Row],[fin mois]],Tab_Calculs[[#This Row],[Date_livraison]]))</f>
        <v>#VALUE!</v>
      </c>
      <c r="N993" s="231" t="str">
        <f ca="1">IFERROR(Tab_Calculs[[#This Row],[Ratio_jour_après_livr]]+Tab_Calculs[[#This Row],[Ratio_jour_avant_livr]]+Tab_Calculs[[#This Row],[ratio_avant_debut]],"")</f>
        <v/>
      </c>
      <c r="O993" t="e">
        <f ca="1">INDEX(INDIRECT(CONCATENATE("Tab_",Tab_Calculs[[#This Row],[Colonne1]])),Tab_Calculs[[#This Row],[index_date_livraison]]-1,7)*(MAX(Tab_Calculs[[#This Row],[Début periode livraison]],Tab_Calculs[[#This Row],[Début mois]])-Tab_Calculs[[#This Row],[Début mois]])</f>
        <v>#VALUE!</v>
      </c>
      <c r="P993">
        <f ca="1">INDEX(INDIRECT(CONCATENATE("Tab_",Tab_Calculs[[#This Row],[Colonne1]])),Tab_Calculs[[#This Row],[index_date_livraison]],7)*(1+MIN(Tab_Calculs[[#This Row],[Date_livraison]],Tab_Calculs[[#This Row],[fin mois]])-MAX(Tab_Calculs[[#This Row],[Début mois]],Tab_Calculs[[#This Row],[Début periode livraison]]))</f>
        <v>0</v>
      </c>
      <c r="Q993" t="e">
        <f ca="1">INDEX(INDIRECT(CONCATENATE("Tab_",Tab_Calculs[[#This Row],[Colonne1]])),Tab_Calculs[[#This Row],[index_date_livraison]]+1,7)*(Tab_Calculs[[#This Row],[fin mois]]-MIN(Tab_Calculs[[#This Row],[fin mois]],Tab_Calculs[[#This Row],[Date_livraison]]))</f>
        <v>#VALUE!</v>
      </c>
      <c r="R993" t="e">
        <f ca="1">Tab_Calculs[[#This Row],[Ratio_Cout_après_livr]]+Tab_Calculs[[#This Row],[Ratio_Cout_avant_livr]]+Tab_Calculs[[#This Row],[Ratio_Cout_avant_debut]]</f>
        <v>#VALUE!</v>
      </c>
      <c r="S993" t="str">
        <f ca="1">IFERROR(N993*VLOOKUP(Tab_Calculs[[#This Row],[Colonne1]],Controle_des_données!$B$7:$G$14,6,FALSE),"")</f>
        <v/>
      </c>
      <c r="T993" t="str">
        <f ca="1">IF(Tab_Calculs[[#This Row],[Combustible ]]="Electricité (kWh)",Tab_Calculs[[#This Row],[Conso_mois_kWh]]*2.3,Tab_Calculs[[#This Row],[Conso_mois_kWh]])</f>
        <v/>
      </c>
      <c r="U993" t="str">
        <f ca="1">IFERROR(N993*VLOOKUP(Tab_Calculs[[#This Row],[Colonne1]],Controle_des_données!$B$7:$H$14,7,FALSE),"")</f>
        <v/>
      </c>
      <c r="V993">
        <f ca="1">IFERROR(Tab_Calculs[[#This Row],[Cout_mois]]/Tab_Calculs[[#This Row],[Conso_mois_kWh]],0)</f>
        <v>0</v>
      </c>
      <c r="W993" t="str">
        <f>T(VLOOKUP(Tab_Calculs[[#This Row],[Compteur]],Site!$B$33:$G$40,3,FALSE))</f>
        <v/>
      </c>
      <c r="X993" t="str">
        <f>T(VLOOKUP(Tab_Calculs[[#This Row],[Compteur]],Site!$B$33:$G$40,4,FALSE))</f>
        <v/>
      </c>
      <c r="Y993" t="str">
        <f>T(VLOOKUP(Tab_Calculs[[#This Row],[Compteur]],Site!$B$33:$G$40,5,FALSE))</f>
        <v/>
      </c>
      <c r="Z993" t="str">
        <f>T(VLOOKUP(Tab_Calculs[[#This Row],[Compteur]],Site!$B$33:$G$40,6,FALSE))</f>
        <v/>
      </c>
      <c r="AA993">
        <f>IFERROR(GETPIVOTDATA("DJU(chauffagiste)",BDD_DJU!$P$13,"annee",Tab_Calculs[[#This Row],[ANNEE]],"mois_numero",Tab_Calculs[[#This Row],[MOIS]]),0)</f>
        <v>348.8</v>
      </c>
    </row>
    <row r="994" spans="1:27" x14ac:dyDescent="0.25">
      <c r="A994" s="3">
        <f>DATE(Tab_Calculs[[#This Row],[ANNEE]],Tab_Calculs[[#This Row],[MOIS]],1)</f>
        <v>40940</v>
      </c>
      <c r="B994" s="3">
        <f>EDATE(Tab_Calculs[[#This Row],[Début mois]],1)-1</f>
        <v>40968</v>
      </c>
      <c r="C994">
        <v>2</v>
      </c>
      <c r="D994">
        <v>2012</v>
      </c>
      <c r="E994" t="s">
        <v>85</v>
      </c>
      <c r="F994" t="str">
        <f>SUBSTITUTE(Tab_Calculs[[#This Row],[Compteur]]," ","_")</f>
        <v>Compteur_6</v>
      </c>
      <c r="G994" t="str">
        <f>T(INDEX(Site!$B$33:$G$40, MATCH(Tab_Calculs[[#This Row],[Compteur]], Site!$B$33:$B$40,0),2))</f>
        <v/>
      </c>
      <c r="H994" s="3">
        <f t="array" aca="1" ref="H994" ca="1">MIN(IF(INDIRECT(CONCATENATE(Tab_Calculs[[#This Row],[Colonne1]],"!$B$2:$B$243"))&gt;=Calculs_Consos!$A994,INDIRECT(CONCATENATE(Tab_Calculs[[#This Row],[Colonne1]],"!$B$2:$B$243"))))</f>
        <v>0</v>
      </c>
      <c r="I994" s="3">
        <f ca="1">INDEX(INDIRECT(CONCATENATE("Tab_",Tab_Calculs[[#This Row],[Colonne1]])),Tab_Calculs[[#This Row],[index_date_livraison]],1)</f>
        <v>0</v>
      </c>
      <c r="J994">
        <f ca="1">MATCH(Tab_Calculs[[#This Row],[Date_livraison]],INDIRECT(CONCATENATE("Tab_",Tab_Calculs[[#This Row],[Colonne1]],"[Fin de période]")),0)</f>
        <v>1</v>
      </c>
      <c r="K994" t="e">
        <f ca="1">INDEX(INDIRECT(CONCATENATE("Tab_",Tab_Calculs[[#This Row],[Colonne1]])),Tab_Calculs[[#This Row],[index_date_livraison]]-1,6)*(MAX(Tab_Calculs[[#This Row],[Début periode livraison]],Tab_Calculs[[#This Row],[Début mois]])-Tab_Calculs[[#This Row],[Début mois]])</f>
        <v>#VALUE!</v>
      </c>
      <c r="L994" s="94">
        <f ca="1">INDEX(INDIRECT(CONCATENATE("Tab_",Tab_Calculs[[#This Row],[Colonne1]])),Tab_Calculs[[#This Row],[index_date_livraison]],6)*(1+MIN(Tab_Calculs[[#This Row],[Date_livraison]],Tab_Calculs[[#This Row],[fin mois]])-MAX(Tab_Calculs[[#This Row],[Début mois]],Tab_Calculs[[#This Row],[Début periode livraison]]))</f>
        <v>0</v>
      </c>
      <c r="M994" s="94" t="e">
        <f ca="1">INDEX(INDIRECT(CONCATENATE("Tab_",Tab_Calculs[[#This Row],[Colonne1]])),Tab_Calculs[[#This Row],[index_date_livraison]]+1,6)*(Tab_Calculs[[#This Row],[fin mois]]-MIN(Tab_Calculs[[#This Row],[fin mois]],Tab_Calculs[[#This Row],[Date_livraison]]))</f>
        <v>#VALUE!</v>
      </c>
      <c r="N994" s="231" t="str">
        <f ca="1">IFERROR(Tab_Calculs[[#This Row],[Ratio_jour_après_livr]]+Tab_Calculs[[#This Row],[Ratio_jour_avant_livr]]+Tab_Calculs[[#This Row],[ratio_avant_debut]],"")</f>
        <v/>
      </c>
      <c r="O994" t="e">
        <f ca="1">INDEX(INDIRECT(CONCATENATE("Tab_",Tab_Calculs[[#This Row],[Colonne1]])),Tab_Calculs[[#This Row],[index_date_livraison]]-1,7)*(MAX(Tab_Calculs[[#This Row],[Début periode livraison]],Tab_Calculs[[#This Row],[Début mois]])-Tab_Calculs[[#This Row],[Début mois]])</f>
        <v>#VALUE!</v>
      </c>
      <c r="P994">
        <f ca="1">INDEX(INDIRECT(CONCATENATE("Tab_",Tab_Calculs[[#This Row],[Colonne1]])),Tab_Calculs[[#This Row],[index_date_livraison]],7)*(1+MIN(Tab_Calculs[[#This Row],[Date_livraison]],Tab_Calculs[[#This Row],[fin mois]])-MAX(Tab_Calculs[[#This Row],[Début mois]],Tab_Calculs[[#This Row],[Début periode livraison]]))</f>
        <v>0</v>
      </c>
      <c r="Q994" t="e">
        <f ca="1">INDEX(INDIRECT(CONCATENATE("Tab_",Tab_Calculs[[#This Row],[Colonne1]])),Tab_Calculs[[#This Row],[index_date_livraison]]+1,7)*(Tab_Calculs[[#This Row],[fin mois]]-MIN(Tab_Calculs[[#This Row],[fin mois]],Tab_Calculs[[#This Row],[Date_livraison]]))</f>
        <v>#VALUE!</v>
      </c>
      <c r="R994" t="e">
        <f ca="1">Tab_Calculs[[#This Row],[Ratio_Cout_après_livr]]+Tab_Calculs[[#This Row],[Ratio_Cout_avant_livr]]+Tab_Calculs[[#This Row],[Ratio_Cout_avant_debut]]</f>
        <v>#VALUE!</v>
      </c>
      <c r="S994" t="str">
        <f ca="1">IFERROR(N994*VLOOKUP(Tab_Calculs[[#This Row],[Colonne1]],Controle_des_données!$B$7:$G$14,6,FALSE),"")</f>
        <v/>
      </c>
      <c r="T994" t="str">
        <f ca="1">IF(Tab_Calculs[[#This Row],[Combustible ]]="Electricité (kWh)",Tab_Calculs[[#This Row],[Conso_mois_kWh]]*2.3,Tab_Calculs[[#This Row],[Conso_mois_kWh]])</f>
        <v/>
      </c>
      <c r="U994" t="str">
        <f ca="1">IFERROR(N994*VLOOKUP(Tab_Calculs[[#This Row],[Colonne1]],Controle_des_données!$B$7:$H$14,7,FALSE),"")</f>
        <v/>
      </c>
      <c r="V994">
        <f ca="1">IFERROR(Tab_Calculs[[#This Row],[Cout_mois]]/Tab_Calculs[[#This Row],[Conso_mois_kWh]],0)</f>
        <v>0</v>
      </c>
      <c r="W994" t="str">
        <f>T(VLOOKUP(Tab_Calculs[[#This Row],[Compteur]],Site!$B$33:$G$40,3,FALSE))</f>
        <v/>
      </c>
      <c r="X994" t="str">
        <f>T(VLOOKUP(Tab_Calculs[[#This Row],[Compteur]],Site!$B$33:$G$40,4,FALSE))</f>
        <v/>
      </c>
      <c r="Y994" t="str">
        <f>T(VLOOKUP(Tab_Calculs[[#This Row],[Compteur]],Site!$B$33:$G$40,5,FALSE))</f>
        <v/>
      </c>
      <c r="Z994" t="str">
        <f>T(VLOOKUP(Tab_Calculs[[#This Row],[Compteur]],Site!$B$33:$G$40,6,FALSE))</f>
        <v/>
      </c>
      <c r="AA994">
        <f>IFERROR(GETPIVOTDATA("DJU(chauffagiste)",BDD_DJU!$P$13,"annee",Tab_Calculs[[#This Row],[ANNEE]],"mois_numero",Tab_Calculs[[#This Row],[MOIS]]),0)</f>
        <v>469.8</v>
      </c>
    </row>
    <row r="995" spans="1:27" x14ac:dyDescent="0.25">
      <c r="A995" s="3">
        <f>DATE(Tab_Calculs[[#This Row],[ANNEE]],Tab_Calculs[[#This Row],[MOIS]],1)</f>
        <v>40969</v>
      </c>
      <c r="B995" s="3">
        <f>EDATE(Tab_Calculs[[#This Row],[Début mois]],1)-1</f>
        <v>40999</v>
      </c>
      <c r="C995">
        <v>3</v>
      </c>
      <c r="D995">
        <v>2012</v>
      </c>
      <c r="E995" t="s">
        <v>85</v>
      </c>
      <c r="F995" t="str">
        <f>SUBSTITUTE(Tab_Calculs[[#This Row],[Compteur]]," ","_")</f>
        <v>Compteur_6</v>
      </c>
      <c r="G995" t="str">
        <f>T(INDEX(Site!$B$33:$G$40, MATCH(Tab_Calculs[[#This Row],[Compteur]], Site!$B$33:$B$40,0),2))</f>
        <v/>
      </c>
      <c r="H995" s="3">
        <f t="array" aca="1" ref="H995" ca="1">MIN(IF(INDIRECT(CONCATENATE(Tab_Calculs[[#This Row],[Colonne1]],"!$B$2:$B$243"))&gt;=Calculs_Consos!$A995,INDIRECT(CONCATENATE(Tab_Calculs[[#This Row],[Colonne1]],"!$B$2:$B$243"))))</f>
        <v>0</v>
      </c>
      <c r="I995" s="3">
        <f ca="1">INDEX(INDIRECT(CONCATENATE("Tab_",Tab_Calculs[[#This Row],[Colonne1]])),Tab_Calculs[[#This Row],[index_date_livraison]],1)</f>
        <v>0</v>
      </c>
      <c r="J995">
        <f ca="1">MATCH(Tab_Calculs[[#This Row],[Date_livraison]],INDIRECT(CONCATENATE("Tab_",Tab_Calculs[[#This Row],[Colonne1]],"[Fin de période]")),0)</f>
        <v>1</v>
      </c>
      <c r="K995" t="e">
        <f ca="1">INDEX(INDIRECT(CONCATENATE("Tab_",Tab_Calculs[[#This Row],[Colonne1]])),Tab_Calculs[[#This Row],[index_date_livraison]]-1,6)*(MAX(Tab_Calculs[[#This Row],[Début periode livraison]],Tab_Calculs[[#This Row],[Début mois]])-Tab_Calculs[[#This Row],[Début mois]])</f>
        <v>#VALUE!</v>
      </c>
      <c r="L995" s="94">
        <f ca="1">INDEX(INDIRECT(CONCATENATE("Tab_",Tab_Calculs[[#This Row],[Colonne1]])),Tab_Calculs[[#This Row],[index_date_livraison]],6)*(1+MIN(Tab_Calculs[[#This Row],[Date_livraison]],Tab_Calculs[[#This Row],[fin mois]])-MAX(Tab_Calculs[[#This Row],[Début mois]],Tab_Calculs[[#This Row],[Début periode livraison]]))</f>
        <v>0</v>
      </c>
      <c r="M995" s="94" t="e">
        <f ca="1">INDEX(INDIRECT(CONCATENATE("Tab_",Tab_Calculs[[#This Row],[Colonne1]])),Tab_Calculs[[#This Row],[index_date_livraison]]+1,6)*(Tab_Calculs[[#This Row],[fin mois]]-MIN(Tab_Calculs[[#This Row],[fin mois]],Tab_Calculs[[#This Row],[Date_livraison]]))</f>
        <v>#VALUE!</v>
      </c>
      <c r="N995" s="231" t="str">
        <f ca="1">IFERROR(Tab_Calculs[[#This Row],[Ratio_jour_après_livr]]+Tab_Calculs[[#This Row],[Ratio_jour_avant_livr]]+Tab_Calculs[[#This Row],[ratio_avant_debut]],"")</f>
        <v/>
      </c>
      <c r="O995" t="e">
        <f ca="1">INDEX(INDIRECT(CONCATENATE("Tab_",Tab_Calculs[[#This Row],[Colonne1]])),Tab_Calculs[[#This Row],[index_date_livraison]]-1,7)*(MAX(Tab_Calculs[[#This Row],[Début periode livraison]],Tab_Calculs[[#This Row],[Début mois]])-Tab_Calculs[[#This Row],[Début mois]])</f>
        <v>#VALUE!</v>
      </c>
      <c r="P995">
        <f ca="1">INDEX(INDIRECT(CONCATENATE("Tab_",Tab_Calculs[[#This Row],[Colonne1]])),Tab_Calculs[[#This Row],[index_date_livraison]],7)*(1+MIN(Tab_Calculs[[#This Row],[Date_livraison]],Tab_Calculs[[#This Row],[fin mois]])-MAX(Tab_Calculs[[#This Row],[Début mois]],Tab_Calculs[[#This Row],[Début periode livraison]]))</f>
        <v>0</v>
      </c>
      <c r="Q995" t="e">
        <f ca="1">INDEX(INDIRECT(CONCATENATE("Tab_",Tab_Calculs[[#This Row],[Colonne1]])),Tab_Calculs[[#This Row],[index_date_livraison]]+1,7)*(Tab_Calculs[[#This Row],[fin mois]]-MIN(Tab_Calculs[[#This Row],[fin mois]],Tab_Calculs[[#This Row],[Date_livraison]]))</f>
        <v>#VALUE!</v>
      </c>
      <c r="R995" t="e">
        <f ca="1">Tab_Calculs[[#This Row],[Ratio_Cout_après_livr]]+Tab_Calculs[[#This Row],[Ratio_Cout_avant_livr]]+Tab_Calculs[[#This Row],[Ratio_Cout_avant_debut]]</f>
        <v>#VALUE!</v>
      </c>
      <c r="S995" t="str">
        <f ca="1">IFERROR(N995*VLOOKUP(Tab_Calculs[[#This Row],[Colonne1]],Controle_des_données!$B$7:$G$14,6,FALSE),"")</f>
        <v/>
      </c>
      <c r="T995" t="str">
        <f ca="1">IF(Tab_Calculs[[#This Row],[Combustible ]]="Electricité (kWh)",Tab_Calculs[[#This Row],[Conso_mois_kWh]]*2.3,Tab_Calculs[[#This Row],[Conso_mois_kWh]])</f>
        <v/>
      </c>
      <c r="U995" t="str">
        <f ca="1">IFERROR(N995*VLOOKUP(Tab_Calculs[[#This Row],[Colonne1]],Controle_des_données!$B$7:$H$14,7,FALSE),"")</f>
        <v/>
      </c>
      <c r="V995">
        <f ca="1">IFERROR(Tab_Calculs[[#This Row],[Cout_mois]]/Tab_Calculs[[#This Row],[Conso_mois_kWh]],0)</f>
        <v>0</v>
      </c>
      <c r="W995" t="str">
        <f>T(VLOOKUP(Tab_Calculs[[#This Row],[Compteur]],Site!$B$33:$G$40,3,FALSE))</f>
        <v/>
      </c>
      <c r="X995" t="str">
        <f>T(VLOOKUP(Tab_Calculs[[#This Row],[Compteur]],Site!$B$33:$G$40,4,FALSE))</f>
        <v/>
      </c>
      <c r="Y995" t="str">
        <f>T(VLOOKUP(Tab_Calculs[[#This Row],[Compteur]],Site!$B$33:$G$40,5,FALSE))</f>
        <v/>
      </c>
      <c r="Z995" t="str">
        <f>T(VLOOKUP(Tab_Calculs[[#This Row],[Compteur]],Site!$B$33:$G$40,6,FALSE))</f>
        <v/>
      </c>
      <c r="AA995">
        <f>IFERROR(GETPIVOTDATA("DJU(chauffagiste)",BDD_DJU!$P$13,"annee",Tab_Calculs[[#This Row],[ANNEE]],"mois_numero",Tab_Calculs[[#This Row],[MOIS]]),0)</f>
        <v>247.3</v>
      </c>
    </row>
    <row r="996" spans="1:27" x14ac:dyDescent="0.25">
      <c r="A996" s="3">
        <f>DATE(Tab_Calculs[[#This Row],[ANNEE]],Tab_Calculs[[#This Row],[MOIS]],1)</f>
        <v>41000</v>
      </c>
      <c r="B996" s="3">
        <f>EDATE(Tab_Calculs[[#This Row],[Début mois]],1)-1</f>
        <v>41029</v>
      </c>
      <c r="C996">
        <v>4</v>
      </c>
      <c r="D996">
        <v>2012</v>
      </c>
      <c r="E996" t="s">
        <v>85</v>
      </c>
      <c r="F996" t="str">
        <f>SUBSTITUTE(Tab_Calculs[[#This Row],[Compteur]]," ","_")</f>
        <v>Compteur_6</v>
      </c>
      <c r="G996" t="str">
        <f>T(INDEX(Site!$B$33:$G$40, MATCH(Tab_Calculs[[#This Row],[Compteur]], Site!$B$33:$B$40,0),2))</f>
        <v/>
      </c>
      <c r="H996" s="3">
        <f t="array" aca="1" ref="H996" ca="1">MIN(IF(INDIRECT(CONCATENATE(Tab_Calculs[[#This Row],[Colonne1]],"!$B$2:$B$243"))&gt;=Calculs_Consos!$A996,INDIRECT(CONCATENATE(Tab_Calculs[[#This Row],[Colonne1]],"!$B$2:$B$243"))))</f>
        <v>0</v>
      </c>
      <c r="I996" s="3">
        <f ca="1">INDEX(INDIRECT(CONCATENATE("Tab_",Tab_Calculs[[#This Row],[Colonne1]])),Tab_Calculs[[#This Row],[index_date_livraison]],1)</f>
        <v>0</v>
      </c>
      <c r="J996">
        <f ca="1">MATCH(Tab_Calculs[[#This Row],[Date_livraison]],INDIRECT(CONCATENATE("Tab_",Tab_Calculs[[#This Row],[Colonne1]],"[Fin de période]")),0)</f>
        <v>1</v>
      </c>
      <c r="K996" t="e">
        <f ca="1">INDEX(INDIRECT(CONCATENATE("Tab_",Tab_Calculs[[#This Row],[Colonne1]])),Tab_Calculs[[#This Row],[index_date_livraison]]-1,6)*(MAX(Tab_Calculs[[#This Row],[Début periode livraison]],Tab_Calculs[[#This Row],[Début mois]])-Tab_Calculs[[#This Row],[Début mois]])</f>
        <v>#VALUE!</v>
      </c>
      <c r="L996" s="94">
        <f ca="1">INDEX(INDIRECT(CONCATENATE("Tab_",Tab_Calculs[[#This Row],[Colonne1]])),Tab_Calculs[[#This Row],[index_date_livraison]],6)*(1+MIN(Tab_Calculs[[#This Row],[Date_livraison]],Tab_Calculs[[#This Row],[fin mois]])-MAX(Tab_Calculs[[#This Row],[Début mois]],Tab_Calculs[[#This Row],[Début periode livraison]]))</f>
        <v>0</v>
      </c>
      <c r="M996" s="94" t="e">
        <f ca="1">INDEX(INDIRECT(CONCATENATE("Tab_",Tab_Calculs[[#This Row],[Colonne1]])),Tab_Calculs[[#This Row],[index_date_livraison]]+1,6)*(Tab_Calculs[[#This Row],[fin mois]]-MIN(Tab_Calculs[[#This Row],[fin mois]],Tab_Calculs[[#This Row],[Date_livraison]]))</f>
        <v>#VALUE!</v>
      </c>
      <c r="N996" s="231" t="str">
        <f ca="1">IFERROR(Tab_Calculs[[#This Row],[Ratio_jour_après_livr]]+Tab_Calculs[[#This Row],[Ratio_jour_avant_livr]]+Tab_Calculs[[#This Row],[ratio_avant_debut]],"")</f>
        <v/>
      </c>
      <c r="O996" t="e">
        <f ca="1">INDEX(INDIRECT(CONCATENATE("Tab_",Tab_Calculs[[#This Row],[Colonne1]])),Tab_Calculs[[#This Row],[index_date_livraison]]-1,7)*(MAX(Tab_Calculs[[#This Row],[Début periode livraison]],Tab_Calculs[[#This Row],[Début mois]])-Tab_Calculs[[#This Row],[Début mois]])</f>
        <v>#VALUE!</v>
      </c>
      <c r="P996">
        <f ca="1">INDEX(INDIRECT(CONCATENATE("Tab_",Tab_Calculs[[#This Row],[Colonne1]])),Tab_Calculs[[#This Row],[index_date_livraison]],7)*(1+MIN(Tab_Calculs[[#This Row],[Date_livraison]],Tab_Calculs[[#This Row],[fin mois]])-MAX(Tab_Calculs[[#This Row],[Début mois]],Tab_Calculs[[#This Row],[Début periode livraison]]))</f>
        <v>0</v>
      </c>
      <c r="Q996" t="e">
        <f ca="1">INDEX(INDIRECT(CONCATENATE("Tab_",Tab_Calculs[[#This Row],[Colonne1]])),Tab_Calculs[[#This Row],[index_date_livraison]]+1,7)*(Tab_Calculs[[#This Row],[fin mois]]-MIN(Tab_Calculs[[#This Row],[fin mois]],Tab_Calculs[[#This Row],[Date_livraison]]))</f>
        <v>#VALUE!</v>
      </c>
      <c r="R996" t="e">
        <f ca="1">Tab_Calculs[[#This Row],[Ratio_Cout_après_livr]]+Tab_Calculs[[#This Row],[Ratio_Cout_avant_livr]]+Tab_Calculs[[#This Row],[Ratio_Cout_avant_debut]]</f>
        <v>#VALUE!</v>
      </c>
      <c r="S996" t="str">
        <f ca="1">IFERROR(N996*VLOOKUP(Tab_Calculs[[#This Row],[Colonne1]],Controle_des_données!$B$7:$G$14,6,FALSE),"")</f>
        <v/>
      </c>
      <c r="T996" t="str">
        <f ca="1">IF(Tab_Calculs[[#This Row],[Combustible ]]="Electricité (kWh)",Tab_Calculs[[#This Row],[Conso_mois_kWh]]*2.3,Tab_Calculs[[#This Row],[Conso_mois_kWh]])</f>
        <v/>
      </c>
      <c r="U996" t="str">
        <f ca="1">IFERROR(N996*VLOOKUP(Tab_Calculs[[#This Row],[Colonne1]],Controle_des_données!$B$7:$H$14,7,FALSE),"")</f>
        <v/>
      </c>
      <c r="V996">
        <f ca="1">IFERROR(Tab_Calculs[[#This Row],[Cout_mois]]/Tab_Calculs[[#This Row],[Conso_mois_kWh]],0)</f>
        <v>0</v>
      </c>
      <c r="W996" t="str">
        <f>T(VLOOKUP(Tab_Calculs[[#This Row],[Compteur]],Site!$B$33:$G$40,3,FALSE))</f>
        <v/>
      </c>
      <c r="X996" t="str">
        <f>T(VLOOKUP(Tab_Calculs[[#This Row],[Compteur]],Site!$B$33:$G$40,4,FALSE))</f>
        <v/>
      </c>
      <c r="Y996" t="str">
        <f>T(VLOOKUP(Tab_Calculs[[#This Row],[Compteur]],Site!$B$33:$G$40,5,FALSE))</f>
        <v/>
      </c>
      <c r="Z996" t="str">
        <f>T(VLOOKUP(Tab_Calculs[[#This Row],[Compteur]],Site!$B$33:$G$40,6,FALSE))</f>
        <v/>
      </c>
      <c r="AA996">
        <f>IFERROR(GETPIVOTDATA("DJU(chauffagiste)",BDD_DJU!$P$13,"annee",Tab_Calculs[[#This Row],[ANNEE]],"mois_numero",Tab_Calculs[[#This Row],[MOIS]]),0)</f>
        <v>253.8</v>
      </c>
    </row>
    <row r="997" spans="1:27" x14ac:dyDescent="0.25">
      <c r="A997" s="3">
        <f>DATE(Tab_Calculs[[#This Row],[ANNEE]],Tab_Calculs[[#This Row],[MOIS]],1)</f>
        <v>41030</v>
      </c>
      <c r="B997" s="3">
        <f>EDATE(Tab_Calculs[[#This Row],[Début mois]],1)-1</f>
        <v>41060</v>
      </c>
      <c r="C997">
        <v>5</v>
      </c>
      <c r="D997">
        <v>2012</v>
      </c>
      <c r="E997" t="s">
        <v>85</v>
      </c>
      <c r="F997" t="str">
        <f>SUBSTITUTE(Tab_Calculs[[#This Row],[Compteur]]," ","_")</f>
        <v>Compteur_6</v>
      </c>
      <c r="G997" t="str">
        <f>T(INDEX(Site!$B$33:$G$40, MATCH(Tab_Calculs[[#This Row],[Compteur]], Site!$B$33:$B$40,0),2))</f>
        <v/>
      </c>
      <c r="H997" s="3">
        <f t="array" aca="1" ref="H997" ca="1">MIN(IF(INDIRECT(CONCATENATE(Tab_Calculs[[#This Row],[Colonne1]],"!$B$2:$B$243"))&gt;=Calculs_Consos!$A997,INDIRECT(CONCATENATE(Tab_Calculs[[#This Row],[Colonne1]],"!$B$2:$B$243"))))</f>
        <v>0</v>
      </c>
      <c r="I997" s="3">
        <f ca="1">INDEX(INDIRECT(CONCATENATE("Tab_",Tab_Calculs[[#This Row],[Colonne1]])),Tab_Calculs[[#This Row],[index_date_livraison]],1)</f>
        <v>0</v>
      </c>
      <c r="J997">
        <f ca="1">MATCH(Tab_Calculs[[#This Row],[Date_livraison]],INDIRECT(CONCATENATE("Tab_",Tab_Calculs[[#This Row],[Colonne1]],"[Fin de période]")),0)</f>
        <v>1</v>
      </c>
      <c r="K997" t="e">
        <f ca="1">INDEX(INDIRECT(CONCATENATE("Tab_",Tab_Calculs[[#This Row],[Colonne1]])),Tab_Calculs[[#This Row],[index_date_livraison]]-1,6)*(MAX(Tab_Calculs[[#This Row],[Début periode livraison]],Tab_Calculs[[#This Row],[Début mois]])-Tab_Calculs[[#This Row],[Début mois]])</f>
        <v>#VALUE!</v>
      </c>
      <c r="L997" s="94">
        <f ca="1">INDEX(INDIRECT(CONCATENATE("Tab_",Tab_Calculs[[#This Row],[Colonne1]])),Tab_Calculs[[#This Row],[index_date_livraison]],6)*(1+MIN(Tab_Calculs[[#This Row],[Date_livraison]],Tab_Calculs[[#This Row],[fin mois]])-MAX(Tab_Calculs[[#This Row],[Début mois]],Tab_Calculs[[#This Row],[Début periode livraison]]))</f>
        <v>0</v>
      </c>
      <c r="M997" s="94" t="e">
        <f ca="1">INDEX(INDIRECT(CONCATENATE("Tab_",Tab_Calculs[[#This Row],[Colonne1]])),Tab_Calculs[[#This Row],[index_date_livraison]]+1,6)*(Tab_Calculs[[#This Row],[fin mois]]-MIN(Tab_Calculs[[#This Row],[fin mois]],Tab_Calculs[[#This Row],[Date_livraison]]))</f>
        <v>#VALUE!</v>
      </c>
      <c r="N997" s="231" t="str">
        <f ca="1">IFERROR(Tab_Calculs[[#This Row],[Ratio_jour_après_livr]]+Tab_Calculs[[#This Row],[Ratio_jour_avant_livr]]+Tab_Calculs[[#This Row],[ratio_avant_debut]],"")</f>
        <v/>
      </c>
      <c r="O997" t="e">
        <f ca="1">INDEX(INDIRECT(CONCATENATE("Tab_",Tab_Calculs[[#This Row],[Colonne1]])),Tab_Calculs[[#This Row],[index_date_livraison]]-1,7)*(MAX(Tab_Calculs[[#This Row],[Début periode livraison]],Tab_Calculs[[#This Row],[Début mois]])-Tab_Calculs[[#This Row],[Début mois]])</f>
        <v>#VALUE!</v>
      </c>
      <c r="P997">
        <f ca="1">INDEX(INDIRECT(CONCATENATE("Tab_",Tab_Calculs[[#This Row],[Colonne1]])),Tab_Calculs[[#This Row],[index_date_livraison]],7)*(1+MIN(Tab_Calculs[[#This Row],[Date_livraison]],Tab_Calculs[[#This Row],[fin mois]])-MAX(Tab_Calculs[[#This Row],[Début mois]],Tab_Calculs[[#This Row],[Début periode livraison]]))</f>
        <v>0</v>
      </c>
      <c r="Q997" t="e">
        <f ca="1">INDEX(INDIRECT(CONCATENATE("Tab_",Tab_Calculs[[#This Row],[Colonne1]])),Tab_Calculs[[#This Row],[index_date_livraison]]+1,7)*(Tab_Calculs[[#This Row],[fin mois]]-MIN(Tab_Calculs[[#This Row],[fin mois]],Tab_Calculs[[#This Row],[Date_livraison]]))</f>
        <v>#VALUE!</v>
      </c>
      <c r="R997" t="e">
        <f ca="1">Tab_Calculs[[#This Row],[Ratio_Cout_après_livr]]+Tab_Calculs[[#This Row],[Ratio_Cout_avant_livr]]+Tab_Calculs[[#This Row],[Ratio_Cout_avant_debut]]</f>
        <v>#VALUE!</v>
      </c>
      <c r="S997" t="str">
        <f ca="1">IFERROR(N997*VLOOKUP(Tab_Calculs[[#This Row],[Colonne1]],Controle_des_données!$B$7:$G$14,6,FALSE),"")</f>
        <v/>
      </c>
      <c r="T997" t="str">
        <f ca="1">IF(Tab_Calculs[[#This Row],[Combustible ]]="Electricité (kWh)",Tab_Calculs[[#This Row],[Conso_mois_kWh]]*2.3,Tab_Calculs[[#This Row],[Conso_mois_kWh]])</f>
        <v/>
      </c>
      <c r="U997" t="str">
        <f ca="1">IFERROR(N997*VLOOKUP(Tab_Calculs[[#This Row],[Colonne1]],Controle_des_données!$B$7:$H$14,7,FALSE),"")</f>
        <v/>
      </c>
      <c r="V997">
        <f ca="1">IFERROR(Tab_Calculs[[#This Row],[Cout_mois]]/Tab_Calculs[[#This Row],[Conso_mois_kWh]],0)</f>
        <v>0</v>
      </c>
      <c r="W997" t="str">
        <f>T(VLOOKUP(Tab_Calculs[[#This Row],[Compteur]],Site!$B$33:$G$40,3,FALSE))</f>
        <v/>
      </c>
      <c r="X997" t="str">
        <f>T(VLOOKUP(Tab_Calculs[[#This Row],[Compteur]],Site!$B$33:$G$40,4,FALSE))</f>
        <v/>
      </c>
      <c r="Y997" t="str">
        <f>T(VLOOKUP(Tab_Calculs[[#This Row],[Compteur]],Site!$B$33:$G$40,5,FALSE))</f>
        <v/>
      </c>
      <c r="Z997" t="str">
        <f>T(VLOOKUP(Tab_Calculs[[#This Row],[Compteur]],Site!$B$33:$G$40,6,FALSE))</f>
        <v/>
      </c>
      <c r="AA997">
        <f>IFERROR(GETPIVOTDATA("DJU(chauffagiste)",BDD_DJU!$P$13,"annee",Tab_Calculs[[#This Row],[ANNEE]],"mois_numero",Tab_Calculs[[#This Row],[MOIS]]),0)</f>
        <v>113.8</v>
      </c>
    </row>
    <row r="998" spans="1:27" x14ac:dyDescent="0.25">
      <c r="A998" s="3">
        <f>DATE(Tab_Calculs[[#This Row],[ANNEE]],Tab_Calculs[[#This Row],[MOIS]],1)</f>
        <v>41061</v>
      </c>
      <c r="B998" s="3">
        <f>EDATE(Tab_Calculs[[#This Row],[Début mois]],1)-1</f>
        <v>41090</v>
      </c>
      <c r="C998">
        <v>6</v>
      </c>
      <c r="D998">
        <v>2012</v>
      </c>
      <c r="E998" t="s">
        <v>85</v>
      </c>
      <c r="F998" t="str">
        <f>SUBSTITUTE(Tab_Calculs[[#This Row],[Compteur]]," ","_")</f>
        <v>Compteur_6</v>
      </c>
      <c r="G998" t="str">
        <f>T(INDEX(Site!$B$33:$G$40, MATCH(Tab_Calculs[[#This Row],[Compteur]], Site!$B$33:$B$40,0),2))</f>
        <v/>
      </c>
      <c r="H998" s="3">
        <f t="array" aca="1" ref="H998" ca="1">MIN(IF(INDIRECT(CONCATENATE(Tab_Calculs[[#This Row],[Colonne1]],"!$B$2:$B$243"))&gt;=Calculs_Consos!$A998,INDIRECT(CONCATENATE(Tab_Calculs[[#This Row],[Colonne1]],"!$B$2:$B$243"))))</f>
        <v>0</v>
      </c>
      <c r="I998" s="3">
        <f ca="1">INDEX(INDIRECT(CONCATENATE("Tab_",Tab_Calculs[[#This Row],[Colonne1]])),Tab_Calculs[[#This Row],[index_date_livraison]],1)</f>
        <v>0</v>
      </c>
      <c r="J998">
        <f ca="1">MATCH(Tab_Calculs[[#This Row],[Date_livraison]],INDIRECT(CONCATENATE("Tab_",Tab_Calculs[[#This Row],[Colonne1]],"[Fin de période]")),0)</f>
        <v>1</v>
      </c>
      <c r="K998" t="e">
        <f ca="1">INDEX(INDIRECT(CONCATENATE("Tab_",Tab_Calculs[[#This Row],[Colonne1]])),Tab_Calculs[[#This Row],[index_date_livraison]]-1,6)*(MAX(Tab_Calculs[[#This Row],[Début periode livraison]],Tab_Calculs[[#This Row],[Début mois]])-Tab_Calculs[[#This Row],[Début mois]])</f>
        <v>#VALUE!</v>
      </c>
      <c r="L998" s="94">
        <f ca="1">INDEX(INDIRECT(CONCATENATE("Tab_",Tab_Calculs[[#This Row],[Colonne1]])),Tab_Calculs[[#This Row],[index_date_livraison]],6)*(1+MIN(Tab_Calculs[[#This Row],[Date_livraison]],Tab_Calculs[[#This Row],[fin mois]])-MAX(Tab_Calculs[[#This Row],[Début mois]],Tab_Calculs[[#This Row],[Début periode livraison]]))</f>
        <v>0</v>
      </c>
      <c r="M998" s="94" t="e">
        <f ca="1">INDEX(INDIRECT(CONCATENATE("Tab_",Tab_Calculs[[#This Row],[Colonne1]])),Tab_Calculs[[#This Row],[index_date_livraison]]+1,6)*(Tab_Calculs[[#This Row],[fin mois]]-MIN(Tab_Calculs[[#This Row],[fin mois]],Tab_Calculs[[#This Row],[Date_livraison]]))</f>
        <v>#VALUE!</v>
      </c>
      <c r="N998" s="231" t="str">
        <f ca="1">IFERROR(Tab_Calculs[[#This Row],[Ratio_jour_après_livr]]+Tab_Calculs[[#This Row],[Ratio_jour_avant_livr]]+Tab_Calculs[[#This Row],[ratio_avant_debut]],"")</f>
        <v/>
      </c>
      <c r="O998" t="e">
        <f ca="1">INDEX(INDIRECT(CONCATENATE("Tab_",Tab_Calculs[[#This Row],[Colonne1]])),Tab_Calculs[[#This Row],[index_date_livraison]]-1,7)*(MAX(Tab_Calculs[[#This Row],[Début periode livraison]],Tab_Calculs[[#This Row],[Début mois]])-Tab_Calculs[[#This Row],[Début mois]])</f>
        <v>#VALUE!</v>
      </c>
      <c r="P998">
        <f ca="1">INDEX(INDIRECT(CONCATENATE("Tab_",Tab_Calculs[[#This Row],[Colonne1]])),Tab_Calculs[[#This Row],[index_date_livraison]],7)*(1+MIN(Tab_Calculs[[#This Row],[Date_livraison]],Tab_Calculs[[#This Row],[fin mois]])-MAX(Tab_Calculs[[#This Row],[Début mois]],Tab_Calculs[[#This Row],[Début periode livraison]]))</f>
        <v>0</v>
      </c>
      <c r="Q998" t="e">
        <f ca="1">INDEX(INDIRECT(CONCATENATE("Tab_",Tab_Calculs[[#This Row],[Colonne1]])),Tab_Calculs[[#This Row],[index_date_livraison]]+1,7)*(Tab_Calculs[[#This Row],[fin mois]]-MIN(Tab_Calculs[[#This Row],[fin mois]],Tab_Calculs[[#This Row],[Date_livraison]]))</f>
        <v>#VALUE!</v>
      </c>
      <c r="R998" t="e">
        <f ca="1">Tab_Calculs[[#This Row],[Ratio_Cout_après_livr]]+Tab_Calculs[[#This Row],[Ratio_Cout_avant_livr]]+Tab_Calculs[[#This Row],[Ratio_Cout_avant_debut]]</f>
        <v>#VALUE!</v>
      </c>
      <c r="S998" t="str">
        <f ca="1">IFERROR(N998*VLOOKUP(Tab_Calculs[[#This Row],[Colonne1]],Controle_des_données!$B$7:$G$14,6,FALSE),"")</f>
        <v/>
      </c>
      <c r="T998" t="str">
        <f ca="1">IF(Tab_Calculs[[#This Row],[Combustible ]]="Electricité (kWh)",Tab_Calculs[[#This Row],[Conso_mois_kWh]]*2.3,Tab_Calculs[[#This Row],[Conso_mois_kWh]])</f>
        <v/>
      </c>
      <c r="U998" t="str">
        <f ca="1">IFERROR(N998*VLOOKUP(Tab_Calculs[[#This Row],[Colonne1]],Controle_des_données!$B$7:$H$14,7,FALSE),"")</f>
        <v/>
      </c>
      <c r="V998">
        <f ca="1">IFERROR(Tab_Calculs[[#This Row],[Cout_mois]]/Tab_Calculs[[#This Row],[Conso_mois_kWh]],0)</f>
        <v>0</v>
      </c>
      <c r="W998" t="str">
        <f>T(VLOOKUP(Tab_Calculs[[#This Row],[Compteur]],Site!$B$33:$G$40,3,FALSE))</f>
        <v/>
      </c>
      <c r="X998" t="str">
        <f>T(VLOOKUP(Tab_Calculs[[#This Row],[Compteur]],Site!$B$33:$G$40,4,FALSE))</f>
        <v/>
      </c>
      <c r="Y998" t="str">
        <f>T(VLOOKUP(Tab_Calculs[[#This Row],[Compteur]],Site!$B$33:$G$40,5,FALSE))</f>
        <v/>
      </c>
      <c r="Z998" t="str">
        <f>T(VLOOKUP(Tab_Calculs[[#This Row],[Compteur]],Site!$B$33:$G$40,6,FALSE))</f>
        <v/>
      </c>
      <c r="AA998">
        <f>IFERROR(GETPIVOTDATA("DJU(chauffagiste)",BDD_DJU!$P$13,"annee",Tab_Calculs[[#This Row],[ANNEE]],"mois_numero",Tab_Calculs[[#This Row],[MOIS]]),0)</f>
        <v>59.4</v>
      </c>
    </row>
    <row r="999" spans="1:27" x14ac:dyDescent="0.25">
      <c r="A999" s="3">
        <f>DATE(Tab_Calculs[[#This Row],[ANNEE]],Tab_Calculs[[#This Row],[MOIS]],1)</f>
        <v>41091</v>
      </c>
      <c r="B999" s="3">
        <f>EDATE(Tab_Calculs[[#This Row],[Début mois]],1)-1</f>
        <v>41121</v>
      </c>
      <c r="C999">
        <v>7</v>
      </c>
      <c r="D999">
        <v>2012</v>
      </c>
      <c r="E999" t="s">
        <v>85</v>
      </c>
      <c r="F999" t="str">
        <f>SUBSTITUTE(Tab_Calculs[[#This Row],[Compteur]]," ","_")</f>
        <v>Compteur_6</v>
      </c>
      <c r="G999" t="str">
        <f>T(INDEX(Site!$B$33:$G$40, MATCH(Tab_Calculs[[#This Row],[Compteur]], Site!$B$33:$B$40,0),2))</f>
        <v/>
      </c>
      <c r="H999" s="3">
        <f t="array" aca="1" ref="H999" ca="1">MIN(IF(INDIRECT(CONCATENATE(Tab_Calculs[[#This Row],[Colonne1]],"!$B$2:$B$243"))&gt;=Calculs_Consos!$A999,INDIRECT(CONCATENATE(Tab_Calculs[[#This Row],[Colonne1]],"!$B$2:$B$243"))))</f>
        <v>0</v>
      </c>
      <c r="I999" s="3">
        <f ca="1">INDEX(INDIRECT(CONCATENATE("Tab_",Tab_Calculs[[#This Row],[Colonne1]])),Tab_Calculs[[#This Row],[index_date_livraison]],1)</f>
        <v>0</v>
      </c>
      <c r="J999">
        <f ca="1">MATCH(Tab_Calculs[[#This Row],[Date_livraison]],INDIRECT(CONCATENATE("Tab_",Tab_Calculs[[#This Row],[Colonne1]],"[Fin de période]")),0)</f>
        <v>1</v>
      </c>
      <c r="K999" t="e">
        <f ca="1">INDEX(INDIRECT(CONCATENATE("Tab_",Tab_Calculs[[#This Row],[Colonne1]])),Tab_Calculs[[#This Row],[index_date_livraison]]-1,6)*(MAX(Tab_Calculs[[#This Row],[Début periode livraison]],Tab_Calculs[[#This Row],[Début mois]])-Tab_Calculs[[#This Row],[Début mois]])</f>
        <v>#VALUE!</v>
      </c>
      <c r="L999" s="94">
        <f ca="1">INDEX(INDIRECT(CONCATENATE("Tab_",Tab_Calculs[[#This Row],[Colonne1]])),Tab_Calculs[[#This Row],[index_date_livraison]],6)*(1+MIN(Tab_Calculs[[#This Row],[Date_livraison]],Tab_Calculs[[#This Row],[fin mois]])-MAX(Tab_Calculs[[#This Row],[Début mois]],Tab_Calculs[[#This Row],[Début periode livraison]]))</f>
        <v>0</v>
      </c>
      <c r="M999" s="94" t="e">
        <f ca="1">INDEX(INDIRECT(CONCATENATE("Tab_",Tab_Calculs[[#This Row],[Colonne1]])),Tab_Calculs[[#This Row],[index_date_livraison]]+1,6)*(Tab_Calculs[[#This Row],[fin mois]]-MIN(Tab_Calculs[[#This Row],[fin mois]],Tab_Calculs[[#This Row],[Date_livraison]]))</f>
        <v>#VALUE!</v>
      </c>
      <c r="N999" s="231" t="str">
        <f ca="1">IFERROR(Tab_Calculs[[#This Row],[Ratio_jour_après_livr]]+Tab_Calculs[[#This Row],[Ratio_jour_avant_livr]]+Tab_Calculs[[#This Row],[ratio_avant_debut]],"")</f>
        <v/>
      </c>
      <c r="O999" t="e">
        <f ca="1">INDEX(INDIRECT(CONCATENATE("Tab_",Tab_Calculs[[#This Row],[Colonne1]])),Tab_Calculs[[#This Row],[index_date_livraison]]-1,7)*(MAX(Tab_Calculs[[#This Row],[Début periode livraison]],Tab_Calculs[[#This Row],[Début mois]])-Tab_Calculs[[#This Row],[Début mois]])</f>
        <v>#VALUE!</v>
      </c>
      <c r="P999">
        <f ca="1">INDEX(INDIRECT(CONCATENATE("Tab_",Tab_Calculs[[#This Row],[Colonne1]])),Tab_Calculs[[#This Row],[index_date_livraison]],7)*(1+MIN(Tab_Calculs[[#This Row],[Date_livraison]],Tab_Calculs[[#This Row],[fin mois]])-MAX(Tab_Calculs[[#This Row],[Début mois]],Tab_Calculs[[#This Row],[Début periode livraison]]))</f>
        <v>0</v>
      </c>
      <c r="Q999" t="e">
        <f ca="1">INDEX(INDIRECT(CONCATENATE("Tab_",Tab_Calculs[[#This Row],[Colonne1]])),Tab_Calculs[[#This Row],[index_date_livraison]]+1,7)*(Tab_Calculs[[#This Row],[fin mois]]-MIN(Tab_Calculs[[#This Row],[fin mois]],Tab_Calculs[[#This Row],[Date_livraison]]))</f>
        <v>#VALUE!</v>
      </c>
      <c r="R999" t="e">
        <f ca="1">Tab_Calculs[[#This Row],[Ratio_Cout_après_livr]]+Tab_Calculs[[#This Row],[Ratio_Cout_avant_livr]]+Tab_Calculs[[#This Row],[Ratio_Cout_avant_debut]]</f>
        <v>#VALUE!</v>
      </c>
      <c r="S999" t="str">
        <f ca="1">IFERROR(N999*VLOOKUP(Tab_Calculs[[#This Row],[Colonne1]],Controle_des_données!$B$7:$G$14,6,FALSE),"")</f>
        <v/>
      </c>
      <c r="T999" t="str">
        <f ca="1">IF(Tab_Calculs[[#This Row],[Combustible ]]="Electricité (kWh)",Tab_Calculs[[#This Row],[Conso_mois_kWh]]*2.3,Tab_Calculs[[#This Row],[Conso_mois_kWh]])</f>
        <v/>
      </c>
      <c r="U999" t="str">
        <f ca="1">IFERROR(N999*VLOOKUP(Tab_Calculs[[#This Row],[Colonne1]],Controle_des_données!$B$7:$H$14,7,FALSE),"")</f>
        <v/>
      </c>
      <c r="V999">
        <f ca="1">IFERROR(Tab_Calculs[[#This Row],[Cout_mois]]/Tab_Calculs[[#This Row],[Conso_mois_kWh]],0)</f>
        <v>0</v>
      </c>
      <c r="W999" t="str">
        <f>T(VLOOKUP(Tab_Calculs[[#This Row],[Compteur]],Site!$B$33:$G$40,3,FALSE))</f>
        <v/>
      </c>
      <c r="X999" t="str">
        <f>T(VLOOKUP(Tab_Calculs[[#This Row],[Compteur]],Site!$B$33:$G$40,4,FALSE))</f>
        <v/>
      </c>
      <c r="Y999" t="str">
        <f>T(VLOOKUP(Tab_Calculs[[#This Row],[Compteur]],Site!$B$33:$G$40,5,FALSE))</f>
        <v/>
      </c>
      <c r="Z999" t="str">
        <f>T(VLOOKUP(Tab_Calculs[[#This Row],[Compteur]],Site!$B$33:$G$40,6,FALSE))</f>
        <v/>
      </c>
      <c r="AA999">
        <f>IFERROR(GETPIVOTDATA("DJU(chauffagiste)",BDD_DJU!$P$13,"annee",Tab_Calculs[[#This Row],[ANNEE]],"mois_numero",Tab_Calculs[[#This Row],[MOIS]]),0)</f>
        <v>48.9</v>
      </c>
    </row>
    <row r="1000" spans="1:27" x14ac:dyDescent="0.25">
      <c r="A1000" s="3">
        <f>DATE(Tab_Calculs[[#This Row],[ANNEE]],Tab_Calculs[[#This Row],[MOIS]],1)</f>
        <v>41122</v>
      </c>
      <c r="B1000" s="3">
        <f>EDATE(Tab_Calculs[[#This Row],[Début mois]],1)-1</f>
        <v>41152</v>
      </c>
      <c r="C1000">
        <v>8</v>
      </c>
      <c r="D1000">
        <v>2012</v>
      </c>
      <c r="E1000" t="s">
        <v>85</v>
      </c>
      <c r="F1000" t="str">
        <f>SUBSTITUTE(Tab_Calculs[[#This Row],[Compteur]]," ","_")</f>
        <v>Compteur_6</v>
      </c>
      <c r="G1000" t="str">
        <f>T(INDEX(Site!$B$33:$G$40, MATCH(Tab_Calculs[[#This Row],[Compteur]], Site!$B$33:$B$40,0),2))</f>
        <v/>
      </c>
      <c r="H1000" s="3">
        <f t="array" aca="1" ref="H1000" ca="1">MIN(IF(INDIRECT(CONCATENATE(Tab_Calculs[[#This Row],[Colonne1]],"!$B$2:$B$243"))&gt;=Calculs_Consos!$A1000,INDIRECT(CONCATENATE(Tab_Calculs[[#This Row],[Colonne1]],"!$B$2:$B$243"))))</f>
        <v>0</v>
      </c>
      <c r="I1000" s="3">
        <f ca="1">INDEX(INDIRECT(CONCATENATE("Tab_",Tab_Calculs[[#This Row],[Colonne1]])),Tab_Calculs[[#This Row],[index_date_livraison]],1)</f>
        <v>0</v>
      </c>
      <c r="J1000">
        <f ca="1">MATCH(Tab_Calculs[[#This Row],[Date_livraison]],INDIRECT(CONCATENATE("Tab_",Tab_Calculs[[#This Row],[Colonne1]],"[Fin de période]")),0)</f>
        <v>1</v>
      </c>
      <c r="K1000" t="e">
        <f ca="1">INDEX(INDIRECT(CONCATENATE("Tab_",Tab_Calculs[[#This Row],[Colonne1]])),Tab_Calculs[[#This Row],[index_date_livraison]]-1,6)*(MAX(Tab_Calculs[[#This Row],[Début periode livraison]],Tab_Calculs[[#This Row],[Début mois]])-Tab_Calculs[[#This Row],[Début mois]])</f>
        <v>#VALUE!</v>
      </c>
      <c r="L1000" s="94">
        <f ca="1">INDEX(INDIRECT(CONCATENATE("Tab_",Tab_Calculs[[#This Row],[Colonne1]])),Tab_Calculs[[#This Row],[index_date_livraison]],6)*(1+MIN(Tab_Calculs[[#This Row],[Date_livraison]],Tab_Calculs[[#This Row],[fin mois]])-MAX(Tab_Calculs[[#This Row],[Début mois]],Tab_Calculs[[#This Row],[Début periode livraison]]))</f>
        <v>0</v>
      </c>
      <c r="M1000" s="94" t="e">
        <f ca="1">INDEX(INDIRECT(CONCATENATE("Tab_",Tab_Calculs[[#This Row],[Colonne1]])),Tab_Calculs[[#This Row],[index_date_livraison]]+1,6)*(Tab_Calculs[[#This Row],[fin mois]]-MIN(Tab_Calculs[[#This Row],[fin mois]],Tab_Calculs[[#This Row],[Date_livraison]]))</f>
        <v>#VALUE!</v>
      </c>
      <c r="N1000" s="231" t="str">
        <f ca="1">IFERROR(Tab_Calculs[[#This Row],[Ratio_jour_après_livr]]+Tab_Calculs[[#This Row],[Ratio_jour_avant_livr]]+Tab_Calculs[[#This Row],[ratio_avant_debut]],"")</f>
        <v/>
      </c>
      <c r="O1000" t="e">
        <f ca="1">INDEX(INDIRECT(CONCATENATE("Tab_",Tab_Calculs[[#This Row],[Colonne1]])),Tab_Calculs[[#This Row],[index_date_livraison]]-1,7)*(MAX(Tab_Calculs[[#This Row],[Début periode livraison]],Tab_Calculs[[#This Row],[Début mois]])-Tab_Calculs[[#This Row],[Début mois]])</f>
        <v>#VALUE!</v>
      </c>
      <c r="P1000">
        <f ca="1">INDEX(INDIRECT(CONCATENATE("Tab_",Tab_Calculs[[#This Row],[Colonne1]])),Tab_Calculs[[#This Row],[index_date_livraison]],7)*(1+MIN(Tab_Calculs[[#This Row],[Date_livraison]],Tab_Calculs[[#This Row],[fin mois]])-MAX(Tab_Calculs[[#This Row],[Début mois]],Tab_Calculs[[#This Row],[Début periode livraison]]))</f>
        <v>0</v>
      </c>
      <c r="Q1000" t="e">
        <f ca="1">INDEX(INDIRECT(CONCATENATE("Tab_",Tab_Calculs[[#This Row],[Colonne1]])),Tab_Calculs[[#This Row],[index_date_livraison]]+1,7)*(Tab_Calculs[[#This Row],[fin mois]]-MIN(Tab_Calculs[[#This Row],[fin mois]],Tab_Calculs[[#This Row],[Date_livraison]]))</f>
        <v>#VALUE!</v>
      </c>
      <c r="R1000" t="e">
        <f ca="1">Tab_Calculs[[#This Row],[Ratio_Cout_après_livr]]+Tab_Calculs[[#This Row],[Ratio_Cout_avant_livr]]+Tab_Calculs[[#This Row],[Ratio_Cout_avant_debut]]</f>
        <v>#VALUE!</v>
      </c>
      <c r="S1000" t="str">
        <f ca="1">IFERROR(N1000*VLOOKUP(Tab_Calculs[[#This Row],[Colonne1]],Controle_des_données!$B$7:$G$14,6,FALSE),"")</f>
        <v/>
      </c>
      <c r="T1000" t="str">
        <f ca="1">IF(Tab_Calculs[[#This Row],[Combustible ]]="Electricité (kWh)",Tab_Calculs[[#This Row],[Conso_mois_kWh]]*2.3,Tab_Calculs[[#This Row],[Conso_mois_kWh]])</f>
        <v/>
      </c>
      <c r="U1000" t="str">
        <f ca="1">IFERROR(N1000*VLOOKUP(Tab_Calculs[[#This Row],[Colonne1]],Controle_des_données!$B$7:$H$14,7,FALSE),"")</f>
        <v/>
      </c>
      <c r="V1000">
        <f ca="1">IFERROR(Tab_Calculs[[#This Row],[Cout_mois]]/Tab_Calculs[[#This Row],[Conso_mois_kWh]],0)</f>
        <v>0</v>
      </c>
      <c r="W1000" t="str">
        <f>T(VLOOKUP(Tab_Calculs[[#This Row],[Compteur]],Site!$B$33:$G$40,3,FALSE))</f>
        <v/>
      </c>
      <c r="X1000" t="str">
        <f>T(VLOOKUP(Tab_Calculs[[#This Row],[Compteur]],Site!$B$33:$G$40,4,FALSE))</f>
        <v/>
      </c>
      <c r="Y1000" t="str">
        <f>T(VLOOKUP(Tab_Calculs[[#This Row],[Compteur]],Site!$B$33:$G$40,5,FALSE))</f>
        <v/>
      </c>
      <c r="Z1000" t="str">
        <f>T(VLOOKUP(Tab_Calculs[[#This Row],[Compteur]],Site!$B$33:$G$40,6,FALSE))</f>
        <v/>
      </c>
      <c r="AA1000">
        <f>IFERROR(GETPIVOTDATA("DJU(chauffagiste)",BDD_DJU!$P$13,"annee",Tab_Calculs[[#This Row],[ANNEE]],"mois_numero",Tab_Calculs[[#This Row],[MOIS]]),0)</f>
        <v>28.8</v>
      </c>
    </row>
    <row r="1001" spans="1:27" x14ac:dyDescent="0.25">
      <c r="A1001" s="3">
        <f>DATE(Tab_Calculs[[#This Row],[ANNEE]],Tab_Calculs[[#This Row],[MOIS]],1)</f>
        <v>41153</v>
      </c>
      <c r="B1001" s="3">
        <f>EDATE(Tab_Calculs[[#This Row],[Début mois]],1)-1</f>
        <v>41182</v>
      </c>
      <c r="C1001">
        <v>9</v>
      </c>
      <c r="D1001">
        <v>2012</v>
      </c>
      <c r="E1001" t="s">
        <v>85</v>
      </c>
      <c r="F1001" t="str">
        <f>SUBSTITUTE(Tab_Calculs[[#This Row],[Compteur]]," ","_")</f>
        <v>Compteur_6</v>
      </c>
      <c r="G1001" t="str">
        <f>T(INDEX(Site!$B$33:$G$40, MATCH(Tab_Calculs[[#This Row],[Compteur]], Site!$B$33:$B$40,0),2))</f>
        <v/>
      </c>
      <c r="H1001" s="3">
        <f t="array" aca="1" ref="H1001" ca="1">MIN(IF(INDIRECT(CONCATENATE(Tab_Calculs[[#This Row],[Colonne1]],"!$B$2:$B$243"))&gt;=Calculs_Consos!$A1001,INDIRECT(CONCATENATE(Tab_Calculs[[#This Row],[Colonne1]],"!$B$2:$B$243"))))</f>
        <v>0</v>
      </c>
      <c r="I1001" s="3">
        <f ca="1">INDEX(INDIRECT(CONCATENATE("Tab_",Tab_Calculs[[#This Row],[Colonne1]])),Tab_Calculs[[#This Row],[index_date_livraison]],1)</f>
        <v>0</v>
      </c>
      <c r="J1001">
        <f ca="1">MATCH(Tab_Calculs[[#This Row],[Date_livraison]],INDIRECT(CONCATENATE("Tab_",Tab_Calculs[[#This Row],[Colonne1]],"[Fin de période]")),0)</f>
        <v>1</v>
      </c>
      <c r="K1001" t="e">
        <f ca="1">INDEX(INDIRECT(CONCATENATE("Tab_",Tab_Calculs[[#This Row],[Colonne1]])),Tab_Calculs[[#This Row],[index_date_livraison]]-1,6)*(MAX(Tab_Calculs[[#This Row],[Début periode livraison]],Tab_Calculs[[#This Row],[Début mois]])-Tab_Calculs[[#This Row],[Début mois]])</f>
        <v>#VALUE!</v>
      </c>
      <c r="L1001" s="94">
        <f ca="1">INDEX(INDIRECT(CONCATENATE("Tab_",Tab_Calculs[[#This Row],[Colonne1]])),Tab_Calculs[[#This Row],[index_date_livraison]],6)*(1+MIN(Tab_Calculs[[#This Row],[Date_livraison]],Tab_Calculs[[#This Row],[fin mois]])-MAX(Tab_Calculs[[#This Row],[Début mois]],Tab_Calculs[[#This Row],[Début periode livraison]]))</f>
        <v>0</v>
      </c>
      <c r="M1001" s="94" t="e">
        <f ca="1">INDEX(INDIRECT(CONCATENATE("Tab_",Tab_Calculs[[#This Row],[Colonne1]])),Tab_Calculs[[#This Row],[index_date_livraison]]+1,6)*(Tab_Calculs[[#This Row],[fin mois]]-MIN(Tab_Calculs[[#This Row],[fin mois]],Tab_Calculs[[#This Row],[Date_livraison]]))</f>
        <v>#VALUE!</v>
      </c>
      <c r="N1001" s="231" t="str">
        <f ca="1">IFERROR(Tab_Calculs[[#This Row],[Ratio_jour_après_livr]]+Tab_Calculs[[#This Row],[Ratio_jour_avant_livr]]+Tab_Calculs[[#This Row],[ratio_avant_debut]],"")</f>
        <v/>
      </c>
      <c r="O1001" t="e">
        <f ca="1">INDEX(INDIRECT(CONCATENATE("Tab_",Tab_Calculs[[#This Row],[Colonne1]])),Tab_Calculs[[#This Row],[index_date_livraison]]-1,7)*(MAX(Tab_Calculs[[#This Row],[Début periode livraison]],Tab_Calculs[[#This Row],[Début mois]])-Tab_Calculs[[#This Row],[Début mois]])</f>
        <v>#VALUE!</v>
      </c>
      <c r="P1001">
        <f ca="1">INDEX(INDIRECT(CONCATENATE("Tab_",Tab_Calculs[[#This Row],[Colonne1]])),Tab_Calculs[[#This Row],[index_date_livraison]],7)*(1+MIN(Tab_Calculs[[#This Row],[Date_livraison]],Tab_Calculs[[#This Row],[fin mois]])-MAX(Tab_Calculs[[#This Row],[Début mois]],Tab_Calculs[[#This Row],[Début periode livraison]]))</f>
        <v>0</v>
      </c>
      <c r="Q1001" t="e">
        <f ca="1">INDEX(INDIRECT(CONCATENATE("Tab_",Tab_Calculs[[#This Row],[Colonne1]])),Tab_Calculs[[#This Row],[index_date_livraison]]+1,7)*(Tab_Calculs[[#This Row],[fin mois]]-MIN(Tab_Calculs[[#This Row],[fin mois]],Tab_Calculs[[#This Row],[Date_livraison]]))</f>
        <v>#VALUE!</v>
      </c>
      <c r="R1001" t="e">
        <f ca="1">Tab_Calculs[[#This Row],[Ratio_Cout_après_livr]]+Tab_Calculs[[#This Row],[Ratio_Cout_avant_livr]]+Tab_Calculs[[#This Row],[Ratio_Cout_avant_debut]]</f>
        <v>#VALUE!</v>
      </c>
      <c r="S1001" t="str">
        <f ca="1">IFERROR(N1001*VLOOKUP(Tab_Calculs[[#This Row],[Colonne1]],Controle_des_données!$B$7:$G$14,6,FALSE),"")</f>
        <v/>
      </c>
      <c r="T1001" t="str">
        <f ca="1">IF(Tab_Calculs[[#This Row],[Combustible ]]="Electricité (kWh)",Tab_Calculs[[#This Row],[Conso_mois_kWh]]*2.3,Tab_Calculs[[#This Row],[Conso_mois_kWh]])</f>
        <v/>
      </c>
      <c r="U1001" t="str">
        <f ca="1">IFERROR(N1001*VLOOKUP(Tab_Calculs[[#This Row],[Colonne1]],Controle_des_données!$B$7:$H$14,7,FALSE),"")</f>
        <v/>
      </c>
      <c r="V1001">
        <f ca="1">IFERROR(Tab_Calculs[[#This Row],[Cout_mois]]/Tab_Calculs[[#This Row],[Conso_mois_kWh]],0)</f>
        <v>0</v>
      </c>
      <c r="W1001" t="str">
        <f>T(VLOOKUP(Tab_Calculs[[#This Row],[Compteur]],Site!$B$33:$G$40,3,FALSE))</f>
        <v/>
      </c>
      <c r="X1001" t="str">
        <f>T(VLOOKUP(Tab_Calculs[[#This Row],[Compteur]],Site!$B$33:$G$40,4,FALSE))</f>
        <v/>
      </c>
      <c r="Y1001" t="str">
        <f>T(VLOOKUP(Tab_Calculs[[#This Row],[Compteur]],Site!$B$33:$G$40,5,FALSE))</f>
        <v/>
      </c>
      <c r="Z1001" t="str">
        <f>T(VLOOKUP(Tab_Calculs[[#This Row],[Compteur]],Site!$B$33:$G$40,6,FALSE))</f>
        <v/>
      </c>
      <c r="AA1001">
        <f>IFERROR(GETPIVOTDATA("DJU(chauffagiste)",BDD_DJU!$P$13,"annee",Tab_Calculs[[#This Row],[ANNEE]],"mois_numero",Tab_Calculs[[#This Row],[MOIS]]),0)</f>
        <v>108.1</v>
      </c>
    </row>
    <row r="1002" spans="1:27" x14ac:dyDescent="0.25">
      <c r="A1002" s="3">
        <f>DATE(Tab_Calculs[[#This Row],[ANNEE]],Tab_Calculs[[#This Row],[MOIS]],1)</f>
        <v>41183</v>
      </c>
      <c r="B1002" s="3">
        <f>EDATE(Tab_Calculs[[#This Row],[Début mois]],1)-1</f>
        <v>41213</v>
      </c>
      <c r="C1002">
        <v>10</v>
      </c>
      <c r="D1002">
        <v>2012</v>
      </c>
      <c r="E1002" t="s">
        <v>85</v>
      </c>
      <c r="F1002" t="str">
        <f>SUBSTITUTE(Tab_Calculs[[#This Row],[Compteur]]," ","_")</f>
        <v>Compteur_6</v>
      </c>
      <c r="G1002" t="str">
        <f>T(INDEX(Site!$B$33:$G$40, MATCH(Tab_Calculs[[#This Row],[Compteur]], Site!$B$33:$B$40,0),2))</f>
        <v/>
      </c>
      <c r="H1002" s="3">
        <f t="array" aca="1" ref="H1002" ca="1">MIN(IF(INDIRECT(CONCATENATE(Tab_Calculs[[#This Row],[Colonne1]],"!$B$2:$B$243"))&gt;=Calculs_Consos!$A1002,INDIRECT(CONCATENATE(Tab_Calculs[[#This Row],[Colonne1]],"!$B$2:$B$243"))))</f>
        <v>0</v>
      </c>
      <c r="I1002" s="3">
        <f ca="1">INDEX(INDIRECT(CONCATENATE("Tab_",Tab_Calculs[[#This Row],[Colonne1]])),Tab_Calculs[[#This Row],[index_date_livraison]],1)</f>
        <v>0</v>
      </c>
      <c r="J1002">
        <f ca="1">MATCH(Tab_Calculs[[#This Row],[Date_livraison]],INDIRECT(CONCATENATE("Tab_",Tab_Calculs[[#This Row],[Colonne1]],"[Fin de période]")),0)</f>
        <v>1</v>
      </c>
      <c r="K1002" t="e">
        <f ca="1">INDEX(INDIRECT(CONCATENATE("Tab_",Tab_Calculs[[#This Row],[Colonne1]])),Tab_Calculs[[#This Row],[index_date_livraison]]-1,6)*(MAX(Tab_Calculs[[#This Row],[Début periode livraison]],Tab_Calculs[[#This Row],[Début mois]])-Tab_Calculs[[#This Row],[Début mois]])</f>
        <v>#VALUE!</v>
      </c>
      <c r="L1002" s="94">
        <f ca="1">INDEX(INDIRECT(CONCATENATE("Tab_",Tab_Calculs[[#This Row],[Colonne1]])),Tab_Calculs[[#This Row],[index_date_livraison]],6)*(1+MIN(Tab_Calculs[[#This Row],[Date_livraison]],Tab_Calculs[[#This Row],[fin mois]])-MAX(Tab_Calculs[[#This Row],[Début mois]],Tab_Calculs[[#This Row],[Début periode livraison]]))</f>
        <v>0</v>
      </c>
      <c r="M1002" s="94" t="e">
        <f ca="1">INDEX(INDIRECT(CONCATENATE("Tab_",Tab_Calculs[[#This Row],[Colonne1]])),Tab_Calculs[[#This Row],[index_date_livraison]]+1,6)*(Tab_Calculs[[#This Row],[fin mois]]-MIN(Tab_Calculs[[#This Row],[fin mois]],Tab_Calculs[[#This Row],[Date_livraison]]))</f>
        <v>#VALUE!</v>
      </c>
      <c r="N1002" s="231" t="str">
        <f ca="1">IFERROR(Tab_Calculs[[#This Row],[Ratio_jour_après_livr]]+Tab_Calculs[[#This Row],[Ratio_jour_avant_livr]]+Tab_Calculs[[#This Row],[ratio_avant_debut]],"")</f>
        <v/>
      </c>
      <c r="O1002" t="e">
        <f ca="1">INDEX(INDIRECT(CONCATENATE("Tab_",Tab_Calculs[[#This Row],[Colonne1]])),Tab_Calculs[[#This Row],[index_date_livraison]]-1,7)*(MAX(Tab_Calculs[[#This Row],[Début periode livraison]],Tab_Calculs[[#This Row],[Début mois]])-Tab_Calculs[[#This Row],[Début mois]])</f>
        <v>#VALUE!</v>
      </c>
      <c r="P1002">
        <f ca="1">INDEX(INDIRECT(CONCATENATE("Tab_",Tab_Calculs[[#This Row],[Colonne1]])),Tab_Calculs[[#This Row],[index_date_livraison]],7)*(1+MIN(Tab_Calculs[[#This Row],[Date_livraison]],Tab_Calculs[[#This Row],[fin mois]])-MAX(Tab_Calculs[[#This Row],[Début mois]],Tab_Calculs[[#This Row],[Début periode livraison]]))</f>
        <v>0</v>
      </c>
      <c r="Q1002" t="e">
        <f ca="1">INDEX(INDIRECT(CONCATENATE("Tab_",Tab_Calculs[[#This Row],[Colonne1]])),Tab_Calculs[[#This Row],[index_date_livraison]]+1,7)*(Tab_Calculs[[#This Row],[fin mois]]-MIN(Tab_Calculs[[#This Row],[fin mois]],Tab_Calculs[[#This Row],[Date_livraison]]))</f>
        <v>#VALUE!</v>
      </c>
      <c r="R1002" t="e">
        <f ca="1">Tab_Calculs[[#This Row],[Ratio_Cout_après_livr]]+Tab_Calculs[[#This Row],[Ratio_Cout_avant_livr]]+Tab_Calculs[[#This Row],[Ratio_Cout_avant_debut]]</f>
        <v>#VALUE!</v>
      </c>
      <c r="S1002" t="str">
        <f ca="1">IFERROR(N1002*VLOOKUP(Tab_Calculs[[#This Row],[Colonne1]],Controle_des_données!$B$7:$G$14,6,FALSE),"")</f>
        <v/>
      </c>
      <c r="T1002" t="str">
        <f ca="1">IF(Tab_Calculs[[#This Row],[Combustible ]]="Electricité (kWh)",Tab_Calculs[[#This Row],[Conso_mois_kWh]]*2.3,Tab_Calculs[[#This Row],[Conso_mois_kWh]])</f>
        <v/>
      </c>
      <c r="U1002" t="str">
        <f ca="1">IFERROR(N1002*VLOOKUP(Tab_Calculs[[#This Row],[Colonne1]],Controle_des_données!$B$7:$H$14,7,FALSE),"")</f>
        <v/>
      </c>
      <c r="V1002">
        <f ca="1">IFERROR(Tab_Calculs[[#This Row],[Cout_mois]]/Tab_Calculs[[#This Row],[Conso_mois_kWh]],0)</f>
        <v>0</v>
      </c>
      <c r="W1002" t="str">
        <f>T(VLOOKUP(Tab_Calculs[[#This Row],[Compteur]],Site!$B$33:$G$40,3,FALSE))</f>
        <v/>
      </c>
      <c r="X1002" t="str">
        <f>T(VLOOKUP(Tab_Calculs[[#This Row],[Compteur]],Site!$B$33:$G$40,4,FALSE))</f>
        <v/>
      </c>
      <c r="Y1002" t="str">
        <f>T(VLOOKUP(Tab_Calculs[[#This Row],[Compteur]],Site!$B$33:$G$40,5,FALSE))</f>
        <v/>
      </c>
      <c r="Z1002" t="str">
        <f>T(VLOOKUP(Tab_Calculs[[#This Row],[Compteur]],Site!$B$33:$G$40,6,FALSE))</f>
        <v/>
      </c>
      <c r="AA1002">
        <f>IFERROR(GETPIVOTDATA("DJU(chauffagiste)",BDD_DJU!$P$13,"annee",Tab_Calculs[[#This Row],[ANNEE]],"mois_numero",Tab_Calculs[[#This Row],[MOIS]]),0)</f>
        <v>161.69999999999999</v>
      </c>
    </row>
    <row r="1003" spans="1:27" x14ac:dyDescent="0.25">
      <c r="A1003" s="3">
        <f>DATE(Tab_Calculs[[#This Row],[ANNEE]],Tab_Calculs[[#This Row],[MOIS]],1)</f>
        <v>41214</v>
      </c>
      <c r="B1003" s="3">
        <f>EDATE(Tab_Calculs[[#This Row],[Début mois]],1)-1</f>
        <v>41243</v>
      </c>
      <c r="C1003">
        <v>11</v>
      </c>
      <c r="D1003">
        <v>2012</v>
      </c>
      <c r="E1003" t="s">
        <v>85</v>
      </c>
      <c r="F1003" t="str">
        <f>SUBSTITUTE(Tab_Calculs[[#This Row],[Compteur]]," ","_")</f>
        <v>Compteur_6</v>
      </c>
      <c r="G1003" t="str">
        <f>T(INDEX(Site!$B$33:$G$40, MATCH(Tab_Calculs[[#This Row],[Compteur]], Site!$B$33:$B$40,0),2))</f>
        <v/>
      </c>
      <c r="H1003" s="3">
        <f t="array" aca="1" ref="H1003" ca="1">MIN(IF(INDIRECT(CONCATENATE(Tab_Calculs[[#This Row],[Colonne1]],"!$B$2:$B$243"))&gt;=Calculs_Consos!$A1003,INDIRECT(CONCATENATE(Tab_Calculs[[#This Row],[Colonne1]],"!$B$2:$B$243"))))</f>
        <v>0</v>
      </c>
      <c r="I1003" s="3">
        <f ca="1">INDEX(INDIRECT(CONCATENATE("Tab_",Tab_Calculs[[#This Row],[Colonne1]])),Tab_Calculs[[#This Row],[index_date_livraison]],1)</f>
        <v>0</v>
      </c>
      <c r="J1003">
        <f ca="1">MATCH(Tab_Calculs[[#This Row],[Date_livraison]],INDIRECT(CONCATENATE("Tab_",Tab_Calculs[[#This Row],[Colonne1]],"[Fin de période]")),0)</f>
        <v>1</v>
      </c>
      <c r="K1003" t="e">
        <f ca="1">INDEX(INDIRECT(CONCATENATE("Tab_",Tab_Calculs[[#This Row],[Colonne1]])),Tab_Calculs[[#This Row],[index_date_livraison]]-1,6)*(MAX(Tab_Calculs[[#This Row],[Début periode livraison]],Tab_Calculs[[#This Row],[Début mois]])-Tab_Calculs[[#This Row],[Début mois]])</f>
        <v>#VALUE!</v>
      </c>
      <c r="L1003" s="94">
        <f ca="1">INDEX(INDIRECT(CONCATENATE("Tab_",Tab_Calculs[[#This Row],[Colonne1]])),Tab_Calculs[[#This Row],[index_date_livraison]],6)*(1+MIN(Tab_Calculs[[#This Row],[Date_livraison]],Tab_Calculs[[#This Row],[fin mois]])-MAX(Tab_Calculs[[#This Row],[Début mois]],Tab_Calculs[[#This Row],[Début periode livraison]]))</f>
        <v>0</v>
      </c>
      <c r="M1003" s="94" t="e">
        <f ca="1">INDEX(INDIRECT(CONCATENATE("Tab_",Tab_Calculs[[#This Row],[Colonne1]])),Tab_Calculs[[#This Row],[index_date_livraison]]+1,6)*(Tab_Calculs[[#This Row],[fin mois]]-MIN(Tab_Calculs[[#This Row],[fin mois]],Tab_Calculs[[#This Row],[Date_livraison]]))</f>
        <v>#VALUE!</v>
      </c>
      <c r="N1003" s="231" t="str">
        <f ca="1">IFERROR(Tab_Calculs[[#This Row],[Ratio_jour_après_livr]]+Tab_Calculs[[#This Row],[Ratio_jour_avant_livr]]+Tab_Calculs[[#This Row],[ratio_avant_debut]],"")</f>
        <v/>
      </c>
      <c r="O1003" t="e">
        <f ca="1">INDEX(INDIRECT(CONCATENATE("Tab_",Tab_Calculs[[#This Row],[Colonne1]])),Tab_Calculs[[#This Row],[index_date_livraison]]-1,7)*(MAX(Tab_Calculs[[#This Row],[Début periode livraison]],Tab_Calculs[[#This Row],[Début mois]])-Tab_Calculs[[#This Row],[Début mois]])</f>
        <v>#VALUE!</v>
      </c>
      <c r="P1003">
        <f ca="1">INDEX(INDIRECT(CONCATENATE("Tab_",Tab_Calculs[[#This Row],[Colonne1]])),Tab_Calculs[[#This Row],[index_date_livraison]],7)*(1+MIN(Tab_Calculs[[#This Row],[Date_livraison]],Tab_Calculs[[#This Row],[fin mois]])-MAX(Tab_Calculs[[#This Row],[Début mois]],Tab_Calculs[[#This Row],[Début periode livraison]]))</f>
        <v>0</v>
      </c>
      <c r="Q1003" t="e">
        <f ca="1">INDEX(INDIRECT(CONCATENATE("Tab_",Tab_Calculs[[#This Row],[Colonne1]])),Tab_Calculs[[#This Row],[index_date_livraison]]+1,7)*(Tab_Calculs[[#This Row],[fin mois]]-MIN(Tab_Calculs[[#This Row],[fin mois]],Tab_Calculs[[#This Row],[Date_livraison]]))</f>
        <v>#VALUE!</v>
      </c>
      <c r="R1003" t="e">
        <f ca="1">Tab_Calculs[[#This Row],[Ratio_Cout_après_livr]]+Tab_Calculs[[#This Row],[Ratio_Cout_avant_livr]]+Tab_Calculs[[#This Row],[Ratio_Cout_avant_debut]]</f>
        <v>#VALUE!</v>
      </c>
      <c r="S1003" t="str">
        <f ca="1">IFERROR(N1003*VLOOKUP(Tab_Calculs[[#This Row],[Colonne1]],Controle_des_données!$B$7:$G$14,6,FALSE),"")</f>
        <v/>
      </c>
      <c r="T1003" t="str">
        <f ca="1">IF(Tab_Calculs[[#This Row],[Combustible ]]="Electricité (kWh)",Tab_Calculs[[#This Row],[Conso_mois_kWh]]*2.3,Tab_Calculs[[#This Row],[Conso_mois_kWh]])</f>
        <v/>
      </c>
      <c r="U1003" t="str">
        <f ca="1">IFERROR(N1003*VLOOKUP(Tab_Calculs[[#This Row],[Colonne1]],Controle_des_données!$B$7:$H$14,7,FALSE),"")</f>
        <v/>
      </c>
      <c r="V1003">
        <f ca="1">IFERROR(Tab_Calculs[[#This Row],[Cout_mois]]/Tab_Calculs[[#This Row],[Conso_mois_kWh]],0)</f>
        <v>0</v>
      </c>
      <c r="W1003" t="str">
        <f>T(VLOOKUP(Tab_Calculs[[#This Row],[Compteur]],Site!$B$33:$G$40,3,FALSE))</f>
        <v/>
      </c>
      <c r="X1003" t="str">
        <f>T(VLOOKUP(Tab_Calculs[[#This Row],[Compteur]],Site!$B$33:$G$40,4,FALSE))</f>
        <v/>
      </c>
      <c r="Y1003" t="str">
        <f>T(VLOOKUP(Tab_Calculs[[#This Row],[Compteur]],Site!$B$33:$G$40,5,FALSE))</f>
        <v/>
      </c>
      <c r="Z1003" t="str">
        <f>T(VLOOKUP(Tab_Calculs[[#This Row],[Compteur]],Site!$B$33:$G$40,6,FALSE))</f>
        <v/>
      </c>
      <c r="AA1003">
        <f>IFERROR(GETPIVOTDATA("DJU(chauffagiste)",BDD_DJU!$P$13,"annee",Tab_Calculs[[#This Row],[ANNEE]],"mois_numero",Tab_Calculs[[#This Row],[MOIS]]),0)</f>
        <v>300.39999999999998</v>
      </c>
    </row>
    <row r="1004" spans="1:27" x14ac:dyDescent="0.25">
      <c r="A1004" s="3">
        <f>DATE(Tab_Calculs[[#This Row],[ANNEE]],Tab_Calculs[[#This Row],[MOIS]],1)</f>
        <v>41244</v>
      </c>
      <c r="B1004" s="3">
        <f>EDATE(Tab_Calculs[[#This Row],[Début mois]],1)-1</f>
        <v>41274</v>
      </c>
      <c r="C1004">
        <v>12</v>
      </c>
      <c r="D1004">
        <v>2012</v>
      </c>
      <c r="E1004" t="s">
        <v>85</v>
      </c>
      <c r="F1004" t="str">
        <f>SUBSTITUTE(Tab_Calculs[[#This Row],[Compteur]]," ","_")</f>
        <v>Compteur_6</v>
      </c>
      <c r="G1004" t="str">
        <f>T(INDEX(Site!$B$33:$G$40, MATCH(Tab_Calculs[[#This Row],[Compteur]], Site!$B$33:$B$40,0),2))</f>
        <v/>
      </c>
      <c r="H1004" s="3">
        <f t="array" aca="1" ref="H1004" ca="1">MIN(IF(INDIRECT(CONCATENATE(Tab_Calculs[[#This Row],[Colonne1]],"!$B$2:$B$243"))&gt;=Calculs_Consos!$A1004,INDIRECT(CONCATENATE(Tab_Calculs[[#This Row],[Colonne1]],"!$B$2:$B$243"))))</f>
        <v>0</v>
      </c>
      <c r="I1004" s="3">
        <f ca="1">INDEX(INDIRECT(CONCATENATE("Tab_",Tab_Calculs[[#This Row],[Colonne1]])),Tab_Calculs[[#This Row],[index_date_livraison]],1)</f>
        <v>0</v>
      </c>
      <c r="J1004">
        <f ca="1">MATCH(Tab_Calculs[[#This Row],[Date_livraison]],INDIRECT(CONCATENATE("Tab_",Tab_Calculs[[#This Row],[Colonne1]],"[Fin de période]")),0)</f>
        <v>1</v>
      </c>
      <c r="K1004" t="e">
        <f ca="1">INDEX(INDIRECT(CONCATENATE("Tab_",Tab_Calculs[[#This Row],[Colonne1]])),Tab_Calculs[[#This Row],[index_date_livraison]]-1,6)*(MAX(Tab_Calculs[[#This Row],[Début periode livraison]],Tab_Calculs[[#This Row],[Début mois]])-Tab_Calculs[[#This Row],[Début mois]])</f>
        <v>#VALUE!</v>
      </c>
      <c r="L1004" s="94">
        <f ca="1">INDEX(INDIRECT(CONCATENATE("Tab_",Tab_Calculs[[#This Row],[Colonne1]])),Tab_Calculs[[#This Row],[index_date_livraison]],6)*(1+MIN(Tab_Calculs[[#This Row],[Date_livraison]],Tab_Calculs[[#This Row],[fin mois]])-MAX(Tab_Calculs[[#This Row],[Début mois]],Tab_Calculs[[#This Row],[Début periode livraison]]))</f>
        <v>0</v>
      </c>
      <c r="M1004" s="94" t="e">
        <f ca="1">INDEX(INDIRECT(CONCATENATE("Tab_",Tab_Calculs[[#This Row],[Colonne1]])),Tab_Calculs[[#This Row],[index_date_livraison]]+1,6)*(Tab_Calculs[[#This Row],[fin mois]]-MIN(Tab_Calculs[[#This Row],[fin mois]],Tab_Calculs[[#This Row],[Date_livraison]]))</f>
        <v>#VALUE!</v>
      </c>
      <c r="N1004" s="231" t="str">
        <f ca="1">IFERROR(Tab_Calculs[[#This Row],[Ratio_jour_après_livr]]+Tab_Calculs[[#This Row],[Ratio_jour_avant_livr]]+Tab_Calculs[[#This Row],[ratio_avant_debut]],"")</f>
        <v/>
      </c>
      <c r="O1004" t="e">
        <f ca="1">INDEX(INDIRECT(CONCATENATE("Tab_",Tab_Calculs[[#This Row],[Colonne1]])),Tab_Calculs[[#This Row],[index_date_livraison]]-1,7)*(MAX(Tab_Calculs[[#This Row],[Début periode livraison]],Tab_Calculs[[#This Row],[Début mois]])-Tab_Calculs[[#This Row],[Début mois]])</f>
        <v>#VALUE!</v>
      </c>
      <c r="P1004">
        <f ca="1">INDEX(INDIRECT(CONCATENATE("Tab_",Tab_Calculs[[#This Row],[Colonne1]])),Tab_Calculs[[#This Row],[index_date_livraison]],7)*(1+MIN(Tab_Calculs[[#This Row],[Date_livraison]],Tab_Calculs[[#This Row],[fin mois]])-MAX(Tab_Calculs[[#This Row],[Début mois]],Tab_Calculs[[#This Row],[Début periode livraison]]))</f>
        <v>0</v>
      </c>
      <c r="Q1004" t="e">
        <f ca="1">INDEX(INDIRECT(CONCATENATE("Tab_",Tab_Calculs[[#This Row],[Colonne1]])),Tab_Calculs[[#This Row],[index_date_livraison]]+1,7)*(Tab_Calculs[[#This Row],[fin mois]]-MIN(Tab_Calculs[[#This Row],[fin mois]],Tab_Calculs[[#This Row],[Date_livraison]]))</f>
        <v>#VALUE!</v>
      </c>
      <c r="R1004" t="e">
        <f ca="1">Tab_Calculs[[#This Row],[Ratio_Cout_après_livr]]+Tab_Calculs[[#This Row],[Ratio_Cout_avant_livr]]+Tab_Calculs[[#This Row],[Ratio_Cout_avant_debut]]</f>
        <v>#VALUE!</v>
      </c>
      <c r="S1004" t="str">
        <f ca="1">IFERROR(N1004*VLOOKUP(Tab_Calculs[[#This Row],[Colonne1]],Controle_des_données!$B$7:$G$14,6,FALSE),"")</f>
        <v/>
      </c>
      <c r="T1004" t="str">
        <f ca="1">IF(Tab_Calculs[[#This Row],[Combustible ]]="Electricité (kWh)",Tab_Calculs[[#This Row],[Conso_mois_kWh]]*2.3,Tab_Calculs[[#This Row],[Conso_mois_kWh]])</f>
        <v/>
      </c>
      <c r="U1004" t="str">
        <f ca="1">IFERROR(N1004*VLOOKUP(Tab_Calculs[[#This Row],[Colonne1]],Controle_des_données!$B$7:$H$14,7,FALSE),"")</f>
        <v/>
      </c>
      <c r="V1004">
        <f ca="1">IFERROR(Tab_Calculs[[#This Row],[Cout_mois]]/Tab_Calculs[[#This Row],[Conso_mois_kWh]],0)</f>
        <v>0</v>
      </c>
      <c r="W1004" t="str">
        <f>T(VLOOKUP(Tab_Calculs[[#This Row],[Compteur]],Site!$B$33:$G$40,3,FALSE))</f>
        <v/>
      </c>
      <c r="X1004" t="str">
        <f>T(VLOOKUP(Tab_Calculs[[#This Row],[Compteur]],Site!$B$33:$G$40,4,FALSE))</f>
        <v/>
      </c>
      <c r="Y1004" t="str">
        <f>T(VLOOKUP(Tab_Calculs[[#This Row],[Compteur]],Site!$B$33:$G$40,5,FALSE))</f>
        <v/>
      </c>
      <c r="Z1004" t="str">
        <f>T(VLOOKUP(Tab_Calculs[[#This Row],[Compteur]],Site!$B$33:$G$40,6,FALSE))</f>
        <v/>
      </c>
      <c r="AA1004">
        <f>IFERROR(GETPIVOTDATA("DJU(chauffagiste)",BDD_DJU!$P$13,"annee",Tab_Calculs[[#This Row],[ANNEE]],"mois_numero",Tab_Calculs[[#This Row],[MOIS]]),0)</f>
        <v>333.7</v>
      </c>
    </row>
    <row r="1005" spans="1:27" x14ac:dyDescent="0.25">
      <c r="A1005" s="3">
        <f>DATE(Tab_Calculs[[#This Row],[ANNEE]],Tab_Calculs[[#This Row],[MOIS]],1)</f>
        <v>41275</v>
      </c>
      <c r="B1005" s="3">
        <f>EDATE(Tab_Calculs[[#This Row],[Début mois]],1)-1</f>
        <v>41305</v>
      </c>
      <c r="C1005">
        <v>1</v>
      </c>
      <c r="D1005">
        <v>2013</v>
      </c>
      <c r="E1005" t="s">
        <v>85</v>
      </c>
      <c r="F1005" t="str">
        <f>SUBSTITUTE(Tab_Calculs[[#This Row],[Compteur]]," ","_")</f>
        <v>Compteur_6</v>
      </c>
      <c r="G1005" t="str">
        <f>T(INDEX(Site!$B$33:$G$40, MATCH(Tab_Calculs[[#This Row],[Compteur]], Site!$B$33:$B$40,0),2))</f>
        <v/>
      </c>
      <c r="H1005" s="3">
        <f t="array" aca="1" ref="H1005" ca="1">MIN(IF(INDIRECT(CONCATENATE(Tab_Calculs[[#This Row],[Colonne1]],"!$B$2:$B$243"))&gt;=Calculs_Consos!$A1005,INDIRECT(CONCATENATE(Tab_Calculs[[#This Row],[Colonne1]],"!$B$2:$B$243"))))</f>
        <v>0</v>
      </c>
      <c r="I1005" s="3">
        <f ca="1">INDEX(INDIRECT(CONCATENATE("Tab_",Tab_Calculs[[#This Row],[Colonne1]])),Tab_Calculs[[#This Row],[index_date_livraison]],1)</f>
        <v>0</v>
      </c>
      <c r="J1005">
        <f ca="1">MATCH(Tab_Calculs[[#This Row],[Date_livraison]],INDIRECT(CONCATENATE("Tab_",Tab_Calculs[[#This Row],[Colonne1]],"[Fin de période]")),0)</f>
        <v>1</v>
      </c>
      <c r="K1005" t="e">
        <f ca="1">INDEX(INDIRECT(CONCATENATE("Tab_",Tab_Calculs[[#This Row],[Colonne1]])),Tab_Calculs[[#This Row],[index_date_livraison]]-1,6)*(MAX(Tab_Calculs[[#This Row],[Début periode livraison]],Tab_Calculs[[#This Row],[Début mois]])-Tab_Calculs[[#This Row],[Début mois]])</f>
        <v>#VALUE!</v>
      </c>
      <c r="L1005" s="94">
        <f ca="1">INDEX(INDIRECT(CONCATENATE("Tab_",Tab_Calculs[[#This Row],[Colonne1]])),Tab_Calculs[[#This Row],[index_date_livraison]],6)*(1+MIN(Tab_Calculs[[#This Row],[Date_livraison]],Tab_Calculs[[#This Row],[fin mois]])-MAX(Tab_Calculs[[#This Row],[Début mois]],Tab_Calculs[[#This Row],[Début periode livraison]]))</f>
        <v>0</v>
      </c>
      <c r="M1005" s="94" t="e">
        <f ca="1">INDEX(INDIRECT(CONCATENATE("Tab_",Tab_Calculs[[#This Row],[Colonne1]])),Tab_Calculs[[#This Row],[index_date_livraison]]+1,6)*(Tab_Calculs[[#This Row],[fin mois]]-MIN(Tab_Calculs[[#This Row],[fin mois]],Tab_Calculs[[#This Row],[Date_livraison]]))</f>
        <v>#VALUE!</v>
      </c>
      <c r="N1005" s="231" t="str">
        <f ca="1">IFERROR(Tab_Calculs[[#This Row],[Ratio_jour_après_livr]]+Tab_Calculs[[#This Row],[Ratio_jour_avant_livr]]+Tab_Calculs[[#This Row],[ratio_avant_debut]],"")</f>
        <v/>
      </c>
      <c r="O1005" t="e">
        <f ca="1">INDEX(INDIRECT(CONCATENATE("Tab_",Tab_Calculs[[#This Row],[Colonne1]])),Tab_Calculs[[#This Row],[index_date_livraison]]-1,7)*(MAX(Tab_Calculs[[#This Row],[Début periode livraison]],Tab_Calculs[[#This Row],[Début mois]])-Tab_Calculs[[#This Row],[Début mois]])</f>
        <v>#VALUE!</v>
      </c>
      <c r="P1005">
        <f ca="1">INDEX(INDIRECT(CONCATENATE("Tab_",Tab_Calculs[[#This Row],[Colonne1]])),Tab_Calculs[[#This Row],[index_date_livraison]],7)*(1+MIN(Tab_Calculs[[#This Row],[Date_livraison]],Tab_Calculs[[#This Row],[fin mois]])-MAX(Tab_Calculs[[#This Row],[Début mois]],Tab_Calculs[[#This Row],[Début periode livraison]]))</f>
        <v>0</v>
      </c>
      <c r="Q1005" t="e">
        <f ca="1">INDEX(INDIRECT(CONCATENATE("Tab_",Tab_Calculs[[#This Row],[Colonne1]])),Tab_Calculs[[#This Row],[index_date_livraison]]+1,7)*(Tab_Calculs[[#This Row],[fin mois]]-MIN(Tab_Calculs[[#This Row],[fin mois]],Tab_Calculs[[#This Row],[Date_livraison]]))</f>
        <v>#VALUE!</v>
      </c>
      <c r="R1005" t="e">
        <f ca="1">Tab_Calculs[[#This Row],[Ratio_Cout_après_livr]]+Tab_Calculs[[#This Row],[Ratio_Cout_avant_livr]]+Tab_Calculs[[#This Row],[Ratio_Cout_avant_debut]]</f>
        <v>#VALUE!</v>
      </c>
      <c r="S1005" t="str">
        <f ca="1">IFERROR(N1005*VLOOKUP(Tab_Calculs[[#This Row],[Colonne1]],Controle_des_données!$B$7:$G$14,6,FALSE),"")</f>
        <v/>
      </c>
      <c r="T1005" t="str">
        <f ca="1">IF(Tab_Calculs[[#This Row],[Combustible ]]="Electricité (kWh)",Tab_Calculs[[#This Row],[Conso_mois_kWh]]*2.3,Tab_Calculs[[#This Row],[Conso_mois_kWh]])</f>
        <v/>
      </c>
      <c r="U1005" t="str">
        <f ca="1">IFERROR(N1005*VLOOKUP(Tab_Calculs[[#This Row],[Colonne1]],Controle_des_données!$B$7:$H$14,7,FALSE),"")</f>
        <v/>
      </c>
      <c r="V1005">
        <f ca="1">IFERROR(Tab_Calculs[[#This Row],[Cout_mois]]/Tab_Calculs[[#This Row],[Conso_mois_kWh]],0)</f>
        <v>0</v>
      </c>
      <c r="W1005" t="str">
        <f>T(VLOOKUP(Tab_Calculs[[#This Row],[Compteur]],Site!$B$33:$G$40,3,FALSE))</f>
        <v/>
      </c>
      <c r="X1005" t="str">
        <f>T(VLOOKUP(Tab_Calculs[[#This Row],[Compteur]],Site!$B$33:$G$40,4,FALSE))</f>
        <v/>
      </c>
      <c r="Y1005" t="str">
        <f>T(VLOOKUP(Tab_Calculs[[#This Row],[Compteur]],Site!$B$33:$G$40,5,FALSE))</f>
        <v/>
      </c>
      <c r="Z1005" t="str">
        <f>T(VLOOKUP(Tab_Calculs[[#This Row],[Compteur]],Site!$B$33:$G$40,6,FALSE))</f>
        <v/>
      </c>
      <c r="AA1005">
        <f>IFERROR(GETPIVOTDATA("DJU(chauffagiste)",BDD_DJU!$P$13,"annee",Tab_Calculs[[#This Row],[ANNEE]],"mois_numero",Tab_Calculs[[#This Row],[MOIS]]),0)</f>
        <v>409.5</v>
      </c>
    </row>
    <row r="1006" spans="1:27" x14ac:dyDescent="0.25">
      <c r="A1006" s="3">
        <f>DATE(Tab_Calculs[[#This Row],[ANNEE]],Tab_Calculs[[#This Row],[MOIS]],1)</f>
        <v>41306</v>
      </c>
      <c r="B1006" s="3">
        <f>EDATE(Tab_Calculs[[#This Row],[Début mois]],1)-1</f>
        <v>41333</v>
      </c>
      <c r="C1006">
        <v>2</v>
      </c>
      <c r="D1006">
        <v>2013</v>
      </c>
      <c r="E1006" t="s">
        <v>85</v>
      </c>
      <c r="F1006" t="str">
        <f>SUBSTITUTE(Tab_Calculs[[#This Row],[Compteur]]," ","_")</f>
        <v>Compteur_6</v>
      </c>
      <c r="G1006" t="str">
        <f>T(INDEX(Site!$B$33:$G$40, MATCH(Tab_Calculs[[#This Row],[Compteur]], Site!$B$33:$B$40,0),2))</f>
        <v/>
      </c>
      <c r="H1006" s="3">
        <f t="array" aca="1" ref="H1006" ca="1">MIN(IF(INDIRECT(CONCATENATE(Tab_Calculs[[#This Row],[Colonne1]],"!$B$2:$B$243"))&gt;=Calculs_Consos!$A1006,INDIRECT(CONCATENATE(Tab_Calculs[[#This Row],[Colonne1]],"!$B$2:$B$243"))))</f>
        <v>0</v>
      </c>
      <c r="I1006" s="3">
        <f ca="1">INDEX(INDIRECT(CONCATENATE("Tab_",Tab_Calculs[[#This Row],[Colonne1]])),Tab_Calculs[[#This Row],[index_date_livraison]],1)</f>
        <v>0</v>
      </c>
      <c r="J1006">
        <f ca="1">MATCH(Tab_Calculs[[#This Row],[Date_livraison]],INDIRECT(CONCATENATE("Tab_",Tab_Calculs[[#This Row],[Colonne1]],"[Fin de période]")),0)</f>
        <v>1</v>
      </c>
      <c r="K1006" t="e">
        <f ca="1">INDEX(INDIRECT(CONCATENATE("Tab_",Tab_Calculs[[#This Row],[Colonne1]])),Tab_Calculs[[#This Row],[index_date_livraison]]-1,6)*(MAX(Tab_Calculs[[#This Row],[Début periode livraison]],Tab_Calculs[[#This Row],[Début mois]])-Tab_Calculs[[#This Row],[Début mois]])</f>
        <v>#VALUE!</v>
      </c>
      <c r="L1006" s="94">
        <f ca="1">INDEX(INDIRECT(CONCATENATE("Tab_",Tab_Calculs[[#This Row],[Colonne1]])),Tab_Calculs[[#This Row],[index_date_livraison]],6)*(1+MIN(Tab_Calculs[[#This Row],[Date_livraison]],Tab_Calculs[[#This Row],[fin mois]])-MAX(Tab_Calculs[[#This Row],[Début mois]],Tab_Calculs[[#This Row],[Début periode livraison]]))</f>
        <v>0</v>
      </c>
      <c r="M1006" s="94" t="e">
        <f ca="1">INDEX(INDIRECT(CONCATENATE("Tab_",Tab_Calculs[[#This Row],[Colonne1]])),Tab_Calculs[[#This Row],[index_date_livraison]]+1,6)*(Tab_Calculs[[#This Row],[fin mois]]-MIN(Tab_Calculs[[#This Row],[fin mois]],Tab_Calculs[[#This Row],[Date_livraison]]))</f>
        <v>#VALUE!</v>
      </c>
      <c r="N1006" s="231" t="str">
        <f ca="1">IFERROR(Tab_Calculs[[#This Row],[Ratio_jour_après_livr]]+Tab_Calculs[[#This Row],[Ratio_jour_avant_livr]]+Tab_Calculs[[#This Row],[ratio_avant_debut]],"")</f>
        <v/>
      </c>
      <c r="O1006" t="e">
        <f ca="1">INDEX(INDIRECT(CONCATENATE("Tab_",Tab_Calculs[[#This Row],[Colonne1]])),Tab_Calculs[[#This Row],[index_date_livraison]]-1,7)*(MAX(Tab_Calculs[[#This Row],[Début periode livraison]],Tab_Calculs[[#This Row],[Début mois]])-Tab_Calculs[[#This Row],[Début mois]])</f>
        <v>#VALUE!</v>
      </c>
      <c r="P1006">
        <f ca="1">INDEX(INDIRECT(CONCATENATE("Tab_",Tab_Calculs[[#This Row],[Colonne1]])),Tab_Calculs[[#This Row],[index_date_livraison]],7)*(1+MIN(Tab_Calculs[[#This Row],[Date_livraison]],Tab_Calculs[[#This Row],[fin mois]])-MAX(Tab_Calculs[[#This Row],[Début mois]],Tab_Calculs[[#This Row],[Début periode livraison]]))</f>
        <v>0</v>
      </c>
      <c r="Q1006" t="e">
        <f ca="1">INDEX(INDIRECT(CONCATENATE("Tab_",Tab_Calculs[[#This Row],[Colonne1]])),Tab_Calculs[[#This Row],[index_date_livraison]]+1,7)*(Tab_Calculs[[#This Row],[fin mois]]-MIN(Tab_Calculs[[#This Row],[fin mois]],Tab_Calculs[[#This Row],[Date_livraison]]))</f>
        <v>#VALUE!</v>
      </c>
      <c r="R1006" t="e">
        <f ca="1">Tab_Calculs[[#This Row],[Ratio_Cout_après_livr]]+Tab_Calculs[[#This Row],[Ratio_Cout_avant_livr]]+Tab_Calculs[[#This Row],[Ratio_Cout_avant_debut]]</f>
        <v>#VALUE!</v>
      </c>
      <c r="S1006" t="str">
        <f ca="1">IFERROR(N1006*VLOOKUP(Tab_Calculs[[#This Row],[Colonne1]],Controle_des_données!$B$7:$G$14,6,FALSE),"")</f>
        <v/>
      </c>
      <c r="T1006" t="str">
        <f ca="1">IF(Tab_Calculs[[#This Row],[Combustible ]]="Electricité (kWh)",Tab_Calculs[[#This Row],[Conso_mois_kWh]]*2.3,Tab_Calculs[[#This Row],[Conso_mois_kWh]])</f>
        <v/>
      </c>
      <c r="U1006" t="str">
        <f ca="1">IFERROR(N1006*VLOOKUP(Tab_Calculs[[#This Row],[Colonne1]],Controle_des_données!$B$7:$H$14,7,FALSE),"")</f>
        <v/>
      </c>
      <c r="V1006">
        <f ca="1">IFERROR(Tab_Calculs[[#This Row],[Cout_mois]]/Tab_Calculs[[#This Row],[Conso_mois_kWh]],0)</f>
        <v>0</v>
      </c>
      <c r="W1006" t="str">
        <f>T(VLOOKUP(Tab_Calculs[[#This Row],[Compteur]],Site!$B$33:$G$40,3,FALSE))</f>
        <v/>
      </c>
      <c r="X1006" t="str">
        <f>T(VLOOKUP(Tab_Calculs[[#This Row],[Compteur]],Site!$B$33:$G$40,4,FALSE))</f>
        <v/>
      </c>
      <c r="Y1006" t="str">
        <f>T(VLOOKUP(Tab_Calculs[[#This Row],[Compteur]],Site!$B$33:$G$40,5,FALSE))</f>
        <v/>
      </c>
      <c r="Z1006" t="str">
        <f>T(VLOOKUP(Tab_Calculs[[#This Row],[Compteur]],Site!$B$33:$G$40,6,FALSE))</f>
        <v/>
      </c>
      <c r="AA1006">
        <f>IFERROR(GETPIVOTDATA("DJU(chauffagiste)",BDD_DJU!$P$13,"annee",Tab_Calculs[[#This Row],[ANNEE]],"mois_numero",Tab_Calculs[[#This Row],[MOIS]]),0)</f>
        <v>389.8</v>
      </c>
    </row>
    <row r="1007" spans="1:27" x14ac:dyDescent="0.25">
      <c r="A1007" s="3">
        <f>DATE(Tab_Calculs[[#This Row],[ANNEE]],Tab_Calculs[[#This Row],[MOIS]],1)</f>
        <v>41334</v>
      </c>
      <c r="B1007" s="3">
        <f>EDATE(Tab_Calculs[[#This Row],[Début mois]],1)-1</f>
        <v>41364</v>
      </c>
      <c r="C1007">
        <v>3</v>
      </c>
      <c r="D1007">
        <v>2013</v>
      </c>
      <c r="E1007" t="s">
        <v>85</v>
      </c>
      <c r="F1007" t="str">
        <f>SUBSTITUTE(Tab_Calculs[[#This Row],[Compteur]]," ","_")</f>
        <v>Compteur_6</v>
      </c>
      <c r="G1007" t="str">
        <f>T(INDEX(Site!$B$33:$G$40, MATCH(Tab_Calculs[[#This Row],[Compteur]], Site!$B$33:$B$40,0),2))</f>
        <v/>
      </c>
      <c r="H1007" s="3">
        <f t="array" aca="1" ref="H1007" ca="1">MIN(IF(INDIRECT(CONCATENATE(Tab_Calculs[[#This Row],[Colonne1]],"!$B$2:$B$243"))&gt;=Calculs_Consos!$A1007,INDIRECT(CONCATENATE(Tab_Calculs[[#This Row],[Colonne1]],"!$B$2:$B$243"))))</f>
        <v>0</v>
      </c>
      <c r="I1007" s="3">
        <f ca="1">INDEX(INDIRECT(CONCATENATE("Tab_",Tab_Calculs[[#This Row],[Colonne1]])),Tab_Calculs[[#This Row],[index_date_livraison]],1)</f>
        <v>0</v>
      </c>
      <c r="J1007">
        <f ca="1">MATCH(Tab_Calculs[[#This Row],[Date_livraison]],INDIRECT(CONCATENATE("Tab_",Tab_Calculs[[#This Row],[Colonne1]],"[Fin de période]")),0)</f>
        <v>1</v>
      </c>
      <c r="K1007" t="e">
        <f ca="1">INDEX(INDIRECT(CONCATENATE("Tab_",Tab_Calculs[[#This Row],[Colonne1]])),Tab_Calculs[[#This Row],[index_date_livraison]]-1,6)*(MAX(Tab_Calculs[[#This Row],[Début periode livraison]],Tab_Calculs[[#This Row],[Début mois]])-Tab_Calculs[[#This Row],[Début mois]])</f>
        <v>#VALUE!</v>
      </c>
      <c r="L1007" s="94">
        <f ca="1">INDEX(INDIRECT(CONCATENATE("Tab_",Tab_Calculs[[#This Row],[Colonne1]])),Tab_Calculs[[#This Row],[index_date_livraison]],6)*(1+MIN(Tab_Calculs[[#This Row],[Date_livraison]],Tab_Calculs[[#This Row],[fin mois]])-MAX(Tab_Calculs[[#This Row],[Début mois]],Tab_Calculs[[#This Row],[Début periode livraison]]))</f>
        <v>0</v>
      </c>
      <c r="M1007" s="94" t="e">
        <f ca="1">INDEX(INDIRECT(CONCATENATE("Tab_",Tab_Calculs[[#This Row],[Colonne1]])),Tab_Calculs[[#This Row],[index_date_livraison]]+1,6)*(Tab_Calculs[[#This Row],[fin mois]]-MIN(Tab_Calculs[[#This Row],[fin mois]],Tab_Calculs[[#This Row],[Date_livraison]]))</f>
        <v>#VALUE!</v>
      </c>
      <c r="N1007" s="231" t="str">
        <f ca="1">IFERROR(Tab_Calculs[[#This Row],[Ratio_jour_après_livr]]+Tab_Calculs[[#This Row],[Ratio_jour_avant_livr]]+Tab_Calculs[[#This Row],[ratio_avant_debut]],"")</f>
        <v/>
      </c>
      <c r="O1007" t="e">
        <f ca="1">INDEX(INDIRECT(CONCATENATE("Tab_",Tab_Calculs[[#This Row],[Colonne1]])),Tab_Calculs[[#This Row],[index_date_livraison]]-1,7)*(MAX(Tab_Calculs[[#This Row],[Début periode livraison]],Tab_Calculs[[#This Row],[Début mois]])-Tab_Calculs[[#This Row],[Début mois]])</f>
        <v>#VALUE!</v>
      </c>
      <c r="P1007">
        <f ca="1">INDEX(INDIRECT(CONCATENATE("Tab_",Tab_Calculs[[#This Row],[Colonne1]])),Tab_Calculs[[#This Row],[index_date_livraison]],7)*(1+MIN(Tab_Calculs[[#This Row],[Date_livraison]],Tab_Calculs[[#This Row],[fin mois]])-MAX(Tab_Calculs[[#This Row],[Début mois]],Tab_Calculs[[#This Row],[Début periode livraison]]))</f>
        <v>0</v>
      </c>
      <c r="Q1007" t="e">
        <f ca="1">INDEX(INDIRECT(CONCATENATE("Tab_",Tab_Calculs[[#This Row],[Colonne1]])),Tab_Calculs[[#This Row],[index_date_livraison]]+1,7)*(Tab_Calculs[[#This Row],[fin mois]]-MIN(Tab_Calculs[[#This Row],[fin mois]],Tab_Calculs[[#This Row],[Date_livraison]]))</f>
        <v>#VALUE!</v>
      </c>
      <c r="R1007" t="e">
        <f ca="1">Tab_Calculs[[#This Row],[Ratio_Cout_après_livr]]+Tab_Calculs[[#This Row],[Ratio_Cout_avant_livr]]+Tab_Calculs[[#This Row],[Ratio_Cout_avant_debut]]</f>
        <v>#VALUE!</v>
      </c>
      <c r="S1007" t="str">
        <f ca="1">IFERROR(N1007*VLOOKUP(Tab_Calculs[[#This Row],[Colonne1]],Controle_des_données!$B$7:$G$14,6,FALSE),"")</f>
        <v/>
      </c>
      <c r="T1007" t="str">
        <f ca="1">IF(Tab_Calculs[[#This Row],[Combustible ]]="Electricité (kWh)",Tab_Calculs[[#This Row],[Conso_mois_kWh]]*2.3,Tab_Calculs[[#This Row],[Conso_mois_kWh]])</f>
        <v/>
      </c>
      <c r="U1007" t="str">
        <f ca="1">IFERROR(N1007*VLOOKUP(Tab_Calculs[[#This Row],[Colonne1]],Controle_des_données!$B$7:$H$14,7,FALSE),"")</f>
        <v/>
      </c>
      <c r="V1007">
        <f ca="1">IFERROR(Tab_Calculs[[#This Row],[Cout_mois]]/Tab_Calculs[[#This Row],[Conso_mois_kWh]],0)</f>
        <v>0</v>
      </c>
      <c r="W1007" t="str">
        <f>T(VLOOKUP(Tab_Calculs[[#This Row],[Compteur]],Site!$B$33:$G$40,3,FALSE))</f>
        <v/>
      </c>
      <c r="X1007" t="str">
        <f>T(VLOOKUP(Tab_Calculs[[#This Row],[Compteur]],Site!$B$33:$G$40,4,FALSE))</f>
        <v/>
      </c>
      <c r="Y1007" t="str">
        <f>T(VLOOKUP(Tab_Calculs[[#This Row],[Compteur]],Site!$B$33:$G$40,5,FALSE))</f>
        <v/>
      </c>
      <c r="Z1007" t="str">
        <f>T(VLOOKUP(Tab_Calculs[[#This Row],[Compteur]],Site!$B$33:$G$40,6,FALSE))</f>
        <v/>
      </c>
      <c r="AA1007">
        <f>IFERROR(GETPIVOTDATA("DJU(chauffagiste)",BDD_DJU!$P$13,"annee",Tab_Calculs[[#This Row],[ANNEE]],"mois_numero",Tab_Calculs[[#This Row],[MOIS]]),0)</f>
        <v>360.4</v>
      </c>
    </row>
    <row r="1008" spans="1:27" x14ac:dyDescent="0.25">
      <c r="A1008" s="3">
        <f>DATE(Tab_Calculs[[#This Row],[ANNEE]],Tab_Calculs[[#This Row],[MOIS]],1)</f>
        <v>41365</v>
      </c>
      <c r="B1008" s="3">
        <f>EDATE(Tab_Calculs[[#This Row],[Début mois]],1)-1</f>
        <v>41394</v>
      </c>
      <c r="C1008">
        <v>4</v>
      </c>
      <c r="D1008">
        <v>2013</v>
      </c>
      <c r="E1008" t="s">
        <v>85</v>
      </c>
      <c r="F1008" t="str">
        <f>SUBSTITUTE(Tab_Calculs[[#This Row],[Compteur]]," ","_")</f>
        <v>Compteur_6</v>
      </c>
      <c r="G1008" t="str">
        <f>T(INDEX(Site!$B$33:$G$40, MATCH(Tab_Calculs[[#This Row],[Compteur]], Site!$B$33:$B$40,0),2))</f>
        <v/>
      </c>
      <c r="H1008" s="3">
        <f t="array" aca="1" ref="H1008" ca="1">MIN(IF(INDIRECT(CONCATENATE(Tab_Calculs[[#This Row],[Colonne1]],"!$B$2:$B$243"))&gt;=Calculs_Consos!$A1008,INDIRECT(CONCATENATE(Tab_Calculs[[#This Row],[Colonne1]],"!$B$2:$B$243"))))</f>
        <v>0</v>
      </c>
      <c r="I1008" s="3">
        <f ca="1">INDEX(INDIRECT(CONCATENATE("Tab_",Tab_Calculs[[#This Row],[Colonne1]])),Tab_Calculs[[#This Row],[index_date_livraison]],1)</f>
        <v>0</v>
      </c>
      <c r="J1008">
        <f ca="1">MATCH(Tab_Calculs[[#This Row],[Date_livraison]],INDIRECT(CONCATENATE("Tab_",Tab_Calculs[[#This Row],[Colonne1]],"[Fin de période]")),0)</f>
        <v>1</v>
      </c>
      <c r="K1008" t="e">
        <f ca="1">INDEX(INDIRECT(CONCATENATE("Tab_",Tab_Calculs[[#This Row],[Colonne1]])),Tab_Calculs[[#This Row],[index_date_livraison]]-1,6)*(MAX(Tab_Calculs[[#This Row],[Début periode livraison]],Tab_Calculs[[#This Row],[Début mois]])-Tab_Calculs[[#This Row],[Début mois]])</f>
        <v>#VALUE!</v>
      </c>
      <c r="L1008" s="94">
        <f ca="1">INDEX(INDIRECT(CONCATENATE("Tab_",Tab_Calculs[[#This Row],[Colonne1]])),Tab_Calculs[[#This Row],[index_date_livraison]],6)*(1+MIN(Tab_Calculs[[#This Row],[Date_livraison]],Tab_Calculs[[#This Row],[fin mois]])-MAX(Tab_Calculs[[#This Row],[Début mois]],Tab_Calculs[[#This Row],[Début periode livraison]]))</f>
        <v>0</v>
      </c>
      <c r="M1008" s="94" t="e">
        <f ca="1">INDEX(INDIRECT(CONCATENATE("Tab_",Tab_Calculs[[#This Row],[Colonne1]])),Tab_Calculs[[#This Row],[index_date_livraison]]+1,6)*(Tab_Calculs[[#This Row],[fin mois]]-MIN(Tab_Calculs[[#This Row],[fin mois]],Tab_Calculs[[#This Row],[Date_livraison]]))</f>
        <v>#VALUE!</v>
      </c>
      <c r="N1008" s="231" t="str">
        <f ca="1">IFERROR(Tab_Calculs[[#This Row],[Ratio_jour_après_livr]]+Tab_Calculs[[#This Row],[Ratio_jour_avant_livr]]+Tab_Calculs[[#This Row],[ratio_avant_debut]],"")</f>
        <v/>
      </c>
      <c r="O1008" t="e">
        <f ca="1">INDEX(INDIRECT(CONCATENATE("Tab_",Tab_Calculs[[#This Row],[Colonne1]])),Tab_Calculs[[#This Row],[index_date_livraison]]-1,7)*(MAX(Tab_Calculs[[#This Row],[Début periode livraison]],Tab_Calculs[[#This Row],[Début mois]])-Tab_Calculs[[#This Row],[Début mois]])</f>
        <v>#VALUE!</v>
      </c>
      <c r="P1008">
        <f ca="1">INDEX(INDIRECT(CONCATENATE("Tab_",Tab_Calculs[[#This Row],[Colonne1]])),Tab_Calculs[[#This Row],[index_date_livraison]],7)*(1+MIN(Tab_Calculs[[#This Row],[Date_livraison]],Tab_Calculs[[#This Row],[fin mois]])-MAX(Tab_Calculs[[#This Row],[Début mois]],Tab_Calculs[[#This Row],[Début periode livraison]]))</f>
        <v>0</v>
      </c>
      <c r="Q1008" t="e">
        <f ca="1">INDEX(INDIRECT(CONCATENATE("Tab_",Tab_Calculs[[#This Row],[Colonne1]])),Tab_Calculs[[#This Row],[index_date_livraison]]+1,7)*(Tab_Calculs[[#This Row],[fin mois]]-MIN(Tab_Calculs[[#This Row],[fin mois]],Tab_Calculs[[#This Row],[Date_livraison]]))</f>
        <v>#VALUE!</v>
      </c>
      <c r="R1008" t="e">
        <f ca="1">Tab_Calculs[[#This Row],[Ratio_Cout_après_livr]]+Tab_Calculs[[#This Row],[Ratio_Cout_avant_livr]]+Tab_Calculs[[#This Row],[Ratio_Cout_avant_debut]]</f>
        <v>#VALUE!</v>
      </c>
      <c r="S1008" t="str">
        <f ca="1">IFERROR(N1008*VLOOKUP(Tab_Calculs[[#This Row],[Colonne1]],Controle_des_données!$B$7:$G$14,6,FALSE),"")</f>
        <v/>
      </c>
      <c r="T1008" t="str">
        <f ca="1">IF(Tab_Calculs[[#This Row],[Combustible ]]="Electricité (kWh)",Tab_Calculs[[#This Row],[Conso_mois_kWh]]*2.3,Tab_Calculs[[#This Row],[Conso_mois_kWh]])</f>
        <v/>
      </c>
      <c r="U1008" t="str">
        <f ca="1">IFERROR(N1008*VLOOKUP(Tab_Calculs[[#This Row],[Colonne1]],Controle_des_données!$B$7:$H$14,7,FALSE),"")</f>
        <v/>
      </c>
      <c r="V1008">
        <f ca="1">IFERROR(Tab_Calculs[[#This Row],[Cout_mois]]/Tab_Calculs[[#This Row],[Conso_mois_kWh]],0)</f>
        <v>0</v>
      </c>
      <c r="W1008" t="str">
        <f>T(VLOOKUP(Tab_Calculs[[#This Row],[Compteur]],Site!$B$33:$G$40,3,FALSE))</f>
        <v/>
      </c>
      <c r="X1008" t="str">
        <f>T(VLOOKUP(Tab_Calculs[[#This Row],[Compteur]],Site!$B$33:$G$40,4,FALSE))</f>
        <v/>
      </c>
      <c r="Y1008" t="str">
        <f>T(VLOOKUP(Tab_Calculs[[#This Row],[Compteur]],Site!$B$33:$G$40,5,FALSE))</f>
        <v/>
      </c>
      <c r="Z1008" t="str">
        <f>T(VLOOKUP(Tab_Calculs[[#This Row],[Compteur]],Site!$B$33:$G$40,6,FALSE))</f>
        <v/>
      </c>
      <c r="AA1008">
        <f>IFERROR(GETPIVOTDATA("DJU(chauffagiste)",BDD_DJU!$P$13,"annee",Tab_Calculs[[#This Row],[ANNEE]],"mois_numero",Tab_Calculs[[#This Row],[MOIS]]),0)</f>
        <v>247.2</v>
      </c>
    </row>
    <row r="1009" spans="1:27" x14ac:dyDescent="0.25">
      <c r="A1009" s="3">
        <f>DATE(Tab_Calculs[[#This Row],[ANNEE]],Tab_Calculs[[#This Row],[MOIS]],1)</f>
        <v>41395</v>
      </c>
      <c r="B1009" s="3">
        <f>EDATE(Tab_Calculs[[#This Row],[Début mois]],1)-1</f>
        <v>41425</v>
      </c>
      <c r="C1009">
        <v>5</v>
      </c>
      <c r="D1009">
        <v>2013</v>
      </c>
      <c r="E1009" t="s">
        <v>85</v>
      </c>
      <c r="F1009" t="str">
        <f>SUBSTITUTE(Tab_Calculs[[#This Row],[Compteur]]," ","_")</f>
        <v>Compteur_6</v>
      </c>
      <c r="G1009" t="str">
        <f>T(INDEX(Site!$B$33:$G$40, MATCH(Tab_Calculs[[#This Row],[Compteur]], Site!$B$33:$B$40,0),2))</f>
        <v/>
      </c>
      <c r="H1009" s="3">
        <f t="array" aca="1" ref="H1009" ca="1">MIN(IF(INDIRECT(CONCATENATE(Tab_Calculs[[#This Row],[Colonne1]],"!$B$2:$B$243"))&gt;=Calculs_Consos!$A1009,INDIRECT(CONCATENATE(Tab_Calculs[[#This Row],[Colonne1]],"!$B$2:$B$243"))))</f>
        <v>0</v>
      </c>
      <c r="I1009" s="3">
        <f ca="1">INDEX(INDIRECT(CONCATENATE("Tab_",Tab_Calculs[[#This Row],[Colonne1]])),Tab_Calculs[[#This Row],[index_date_livraison]],1)</f>
        <v>0</v>
      </c>
      <c r="J1009">
        <f ca="1">MATCH(Tab_Calculs[[#This Row],[Date_livraison]],INDIRECT(CONCATENATE("Tab_",Tab_Calculs[[#This Row],[Colonne1]],"[Fin de période]")),0)</f>
        <v>1</v>
      </c>
      <c r="K1009" t="e">
        <f ca="1">INDEX(INDIRECT(CONCATENATE("Tab_",Tab_Calculs[[#This Row],[Colonne1]])),Tab_Calculs[[#This Row],[index_date_livraison]]-1,6)*(MAX(Tab_Calculs[[#This Row],[Début periode livraison]],Tab_Calculs[[#This Row],[Début mois]])-Tab_Calculs[[#This Row],[Début mois]])</f>
        <v>#VALUE!</v>
      </c>
      <c r="L1009" s="94">
        <f ca="1">INDEX(INDIRECT(CONCATENATE("Tab_",Tab_Calculs[[#This Row],[Colonne1]])),Tab_Calculs[[#This Row],[index_date_livraison]],6)*(1+MIN(Tab_Calculs[[#This Row],[Date_livraison]],Tab_Calculs[[#This Row],[fin mois]])-MAX(Tab_Calculs[[#This Row],[Début mois]],Tab_Calculs[[#This Row],[Début periode livraison]]))</f>
        <v>0</v>
      </c>
      <c r="M1009" s="94" t="e">
        <f ca="1">INDEX(INDIRECT(CONCATENATE("Tab_",Tab_Calculs[[#This Row],[Colonne1]])),Tab_Calculs[[#This Row],[index_date_livraison]]+1,6)*(Tab_Calculs[[#This Row],[fin mois]]-MIN(Tab_Calculs[[#This Row],[fin mois]],Tab_Calculs[[#This Row],[Date_livraison]]))</f>
        <v>#VALUE!</v>
      </c>
      <c r="N1009" s="231" t="str">
        <f ca="1">IFERROR(Tab_Calculs[[#This Row],[Ratio_jour_après_livr]]+Tab_Calculs[[#This Row],[Ratio_jour_avant_livr]]+Tab_Calculs[[#This Row],[ratio_avant_debut]],"")</f>
        <v/>
      </c>
      <c r="O1009" t="e">
        <f ca="1">INDEX(INDIRECT(CONCATENATE("Tab_",Tab_Calculs[[#This Row],[Colonne1]])),Tab_Calculs[[#This Row],[index_date_livraison]]-1,7)*(MAX(Tab_Calculs[[#This Row],[Début periode livraison]],Tab_Calculs[[#This Row],[Début mois]])-Tab_Calculs[[#This Row],[Début mois]])</f>
        <v>#VALUE!</v>
      </c>
      <c r="P1009">
        <f ca="1">INDEX(INDIRECT(CONCATENATE("Tab_",Tab_Calculs[[#This Row],[Colonne1]])),Tab_Calculs[[#This Row],[index_date_livraison]],7)*(1+MIN(Tab_Calculs[[#This Row],[Date_livraison]],Tab_Calculs[[#This Row],[fin mois]])-MAX(Tab_Calculs[[#This Row],[Début mois]],Tab_Calculs[[#This Row],[Début periode livraison]]))</f>
        <v>0</v>
      </c>
      <c r="Q1009" t="e">
        <f ca="1">INDEX(INDIRECT(CONCATENATE("Tab_",Tab_Calculs[[#This Row],[Colonne1]])),Tab_Calculs[[#This Row],[index_date_livraison]]+1,7)*(Tab_Calculs[[#This Row],[fin mois]]-MIN(Tab_Calculs[[#This Row],[fin mois]],Tab_Calculs[[#This Row],[Date_livraison]]))</f>
        <v>#VALUE!</v>
      </c>
      <c r="R1009" t="e">
        <f ca="1">Tab_Calculs[[#This Row],[Ratio_Cout_après_livr]]+Tab_Calculs[[#This Row],[Ratio_Cout_avant_livr]]+Tab_Calculs[[#This Row],[Ratio_Cout_avant_debut]]</f>
        <v>#VALUE!</v>
      </c>
      <c r="S1009" t="str">
        <f ca="1">IFERROR(N1009*VLOOKUP(Tab_Calculs[[#This Row],[Colonne1]],Controle_des_données!$B$7:$G$14,6,FALSE),"")</f>
        <v/>
      </c>
      <c r="T1009" t="str">
        <f ca="1">IF(Tab_Calculs[[#This Row],[Combustible ]]="Electricité (kWh)",Tab_Calculs[[#This Row],[Conso_mois_kWh]]*2.3,Tab_Calculs[[#This Row],[Conso_mois_kWh]])</f>
        <v/>
      </c>
      <c r="U1009" t="str">
        <f ca="1">IFERROR(N1009*VLOOKUP(Tab_Calculs[[#This Row],[Colonne1]],Controle_des_données!$B$7:$H$14,7,FALSE),"")</f>
        <v/>
      </c>
      <c r="V1009">
        <f ca="1">IFERROR(Tab_Calculs[[#This Row],[Cout_mois]]/Tab_Calculs[[#This Row],[Conso_mois_kWh]],0)</f>
        <v>0</v>
      </c>
      <c r="W1009" t="str">
        <f>T(VLOOKUP(Tab_Calculs[[#This Row],[Compteur]],Site!$B$33:$G$40,3,FALSE))</f>
        <v/>
      </c>
      <c r="X1009" t="str">
        <f>T(VLOOKUP(Tab_Calculs[[#This Row],[Compteur]],Site!$B$33:$G$40,4,FALSE))</f>
        <v/>
      </c>
      <c r="Y1009" t="str">
        <f>T(VLOOKUP(Tab_Calculs[[#This Row],[Compteur]],Site!$B$33:$G$40,5,FALSE))</f>
        <v/>
      </c>
      <c r="Z1009" t="str">
        <f>T(VLOOKUP(Tab_Calculs[[#This Row],[Compteur]],Site!$B$33:$G$40,6,FALSE))</f>
        <v/>
      </c>
      <c r="AA1009">
        <f>IFERROR(GETPIVOTDATA("DJU(chauffagiste)",BDD_DJU!$P$13,"annee",Tab_Calculs[[#This Row],[ANNEE]],"mois_numero",Tab_Calculs[[#This Row],[MOIS]]),0)</f>
        <v>175.2</v>
      </c>
    </row>
    <row r="1010" spans="1:27" x14ac:dyDescent="0.25">
      <c r="A1010" s="3">
        <f>DATE(Tab_Calculs[[#This Row],[ANNEE]],Tab_Calculs[[#This Row],[MOIS]],1)</f>
        <v>41426</v>
      </c>
      <c r="B1010" s="3">
        <f>EDATE(Tab_Calculs[[#This Row],[Début mois]],1)-1</f>
        <v>41455</v>
      </c>
      <c r="C1010">
        <v>6</v>
      </c>
      <c r="D1010">
        <v>2013</v>
      </c>
      <c r="E1010" t="s">
        <v>85</v>
      </c>
      <c r="F1010" t="str">
        <f>SUBSTITUTE(Tab_Calculs[[#This Row],[Compteur]]," ","_")</f>
        <v>Compteur_6</v>
      </c>
      <c r="G1010" t="str">
        <f>T(INDEX(Site!$B$33:$G$40, MATCH(Tab_Calculs[[#This Row],[Compteur]], Site!$B$33:$B$40,0),2))</f>
        <v/>
      </c>
      <c r="H1010" s="3">
        <f t="array" aca="1" ref="H1010" ca="1">MIN(IF(INDIRECT(CONCATENATE(Tab_Calculs[[#This Row],[Colonne1]],"!$B$2:$B$243"))&gt;=Calculs_Consos!$A1010,INDIRECT(CONCATENATE(Tab_Calculs[[#This Row],[Colonne1]],"!$B$2:$B$243"))))</f>
        <v>0</v>
      </c>
      <c r="I1010" s="3">
        <f ca="1">INDEX(INDIRECT(CONCATENATE("Tab_",Tab_Calculs[[#This Row],[Colonne1]])),Tab_Calculs[[#This Row],[index_date_livraison]],1)</f>
        <v>0</v>
      </c>
      <c r="J1010">
        <f ca="1">MATCH(Tab_Calculs[[#This Row],[Date_livraison]],INDIRECT(CONCATENATE("Tab_",Tab_Calculs[[#This Row],[Colonne1]],"[Fin de période]")),0)</f>
        <v>1</v>
      </c>
      <c r="K1010" t="e">
        <f ca="1">INDEX(INDIRECT(CONCATENATE("Tab_",Tab_Calculs[[#This Row],[Colonne1]])),Tab_Calculs[[#This Row],[index_date_livraison]]-1,6)*(MAX(Tab_Calculs[[#This Row],[Début periode livraison]],Tab_Calculs[[#This Row],[Début mois]])-Tab_Calculs[[#This Row],[Début mois]])</f>
        <v>#VALUE!</v>
      </c>
      <c r="L1010" s="94">
        <f ca="1">INDEX(INDIRECT(CONCATENATE("Tab_",Tab_Calculs[[#This Row],[Colonne1]])),Tab_Calculs[[#This Row],[index_date_livraison]],6)*(1+MIN(Tab_Calculs[[#This Row],[Date_livraison]],Tab_Calculs[[#This Row],[fin mois]])-MAX(Tab_Calculs[[#This Row],[Début mois]],Tab_Calculs[[#This Row],[Début periode livraison]]))</f>
        <v>0</v>
      </c>
      <c r="M1010" s="94" t="e">
        <f ca="1">INDEX(INDIRECT(CONCATENATE("Tab_",Tab_Calculs[[#This Row],[Colonne1]])),Tab_Calculs[[#This Row],[index_date_livraison]]+1,6)*(Tab_Calculs[[#This Row],[fin mois]]-MIN(Tab_Calculs[[#This Row],[fin mois]],Tab_Calculs[[#This Row],[Date_livraison]]))</f>
        <v>#VALUE!</v>
      </c>
      <c r="N1010" s="231" t="str">
        <f ca="1">IFERROR(Tab_Calculs[[#This Row],[Ratio_jour_après_livr]]+Tab_Calculs[[#This Row],[Ratio_jour_avant_livr]]+Tab_Calculs[[#This Row],[ratio_avant_debut]],"")</f>
        <v/>
      </c>
      <c r="O1010" t="e">
        <f ca="1">INDEX(INDIRECT(CONCATENATE("Tab_",Tab_Calculs[[#This Row],[Colonne1]])),Tab_Calculs[[#This Row],[index_date_livraison]]-1,7)*(MAX(Tab_Calculs[[#This Row],[Début periode livraison]],Tab_Calculs[[#This Row],[Début mois]])-Tab_Calculs[[#This Row],[Début mois]])</f>
        <v>#VALUE!</v>
      </c>
      <c r="P1010">
        <f ca="1">INDEX(INDIRECT(CONCATENATE("Tab_",Tab_Calculs[[#This Row],[Colonne1]])),Tab_Calculs[[#This Row],[index_date_livraison]],7)*(1+MIN(Tab_Calculs[[#This Row],[Date_livraison]],Tab_Calculs[[#This Row],[fin mois]])-MAX(Tab_Calculs[[#This Row],[Début mois]],Tab_Calculs[[#This Row],[Début periode livraison]]))</f>
        <v>0</v>
      </c>
      <c r="Q1010" t="e">
        <f ca="1">INDEX(INDIRECT(CONCATENATE("Tab_",Tab_Calculs[[#This Row],[Colonne1]])),Tab_Calculs[[#This Row],[index_date_livraison]]+1,7)*(Tab_Calculs[[#This Row],[fin mois]]-MIN(Tab_Calculs[[#This Row],[fin mois]],Tab_Calculs[[#This Row],[Date_livraison]]))</f>
        <v>#VALUE!</v>
      </c>
      <c r="R1010" t="e">
        <f ca="1">Tab_Calculs[[#This Row],[Ratio_Cout_après_livr]]+Tab_Calculs[[#This Row],[Ratio_Cout_avant_livr]]+Tab_Calculs[[#This Row],[Ratio_Cout_avant_debut]]</f>
        <v>#VALUE!</v>
      </c>
      <c r="S1010" t="str">
        <f ca="1">IFERROR(N1010*VLOOKUP(Tab_Calculs[[#This Row],[Colonne1]],Controle_des_données!$B$7:$G$14,6,FALSE),"")</f>
        <v/>
      </c>
      <c r="T1010" t="str">
        <f ca="1">IF(Tab_Calculs[[#This Row],[Combustible ]]="Electricité (kWh)",Tab_Calculs[[#This Row],[Conso_mois_kWh]]*2.3,Tab_Calculs[[#This Row],[Conso_mois_kWh]])</f>
        <v/>
      </c>
      <c r="U1010" t="str">
        <f ca="1">IFERROR(N1010*VLOOKUP(Tab_Calculs[[#This Row],[Colonne1]],Controle_des_données!$B$7:$H$14,7,FALSE),"")</f>
        <v/>
      </c>
      <c r="V1010">
        <f ca="1">IFERROR(Tab_Calculs[[#This Row],[Cout_mois]]/Tab_Calculs[[#This Row],[Conso_mois_kWh]],0)</f>
        <v>0</v>
      </c>
      <c r="W1010" t="str">
        <f>T(VLOOKUP(Tab_Calculs[[#This Row],[Compteur]],Site!$B$33:$G$40,3,FALSE))</f>
        <v/>
      </c>
      <c r="X1010" t="str">
        <f>T(VLOOKUP(Tab_Calculs[[#This Row],[Compteur]],Site!$B$33:$G$40,4,FALSE))</f>
        <v/>
      </c>
      <c r="Y1010" t="str">
        <f>T(VLOOKUP(Tab_Calculs[[#This Row],[Compteur]],Site!$B$33:$G$40,5,FALSE))</f>
        <v/>
      </c>
      <c r="Z1010" t="str">
        <f>T(VLOOKUP(Tab_Calculs[[#This Row],[Compteur]],Site!$B$33:$G$40,6,FALSE))</f>
        <v/>
      </c>
      <c r="AA1010">
        <f>IFERROR(GETPIVOTDATA("DJU(chauffagiste)",BDD_DJU!$P$13,"annee",Tab_Calculs[[#This Row],[ANNEE]],"mois_numero",Tab_Calculs[[#This Row],[MOIS]]),0)</f>
        <v>68</v>
      </c>
    </row>
    <row r="1011" spans="1:27" x14ac:dyDescent="0.25">
      <c r="A1011" s="3">
        <f>DATE(Tab_Calculs[[#This Row],[ANNEE]],Tab_Calculs[[#This Row],[MOIS]],1)</f>
        <v>41456</v>
      </c>
      <c r="B1011" s="3">
        <f>EDATE(Tab_Calculs[[#This Row],[Début mois]],1)-1</f>
        <v>41486</v>
      </c>
      <c r="C1011">
        <v>7</v>
      </c>
      <c r="D1011">
        <v>2013</v>
      </c>
      <c r="E1011" t="s">
        <v>85</v>
      </c>
      <c r="F1011" t="str">
        <f>SUBSTITUTE(Tab_Calculs[[#This Row],[Compteur]]," ","_")</f>
        <v>Compteur_6</v>
      </c>
      <c r="G1011" t="str">
        <f>T(INDEX(Site!$B$33:$G$40, MATCH(Tab_Calculs[[#This Row],[Compteur]], Site!$B$33:$B$40,0),2))</f>
        <v/>
      </c>
      <c r="H1011" s="3">
        <f t="array" aca="1" ref="H1011" ca="1">MIN(IF(INDIRECT(CONCATENATE(Tab_Calculs[[#This Row],[Colonne1]],"!$B$2:$B$243"))&gt;=Calculs_Consos!$A1011,INDIRECT(CONCATENATE(Tab_Calculs[[#This Row],[Colonne1]],"!$B$2:$B$243"))))</f>
        <v>0</v>
      </c>
      <c r="I1011" s="3">
        <f ca="1">INDEX(INDIRECT(CONCATENATE("Tab_",Tab_Calculs[[#This Row],[Colonne1]])),Tab_Calculs[[#This Row],[index_date_livraison]],1)</f>
        <v>0</v>
      </c>
      <c r="J1011">
        <f ca="1">MATCH(Tab_Calculs[[#This Row],[Date_livraison]],INDIRECT(CONCATENATE("Tab_",Tab_Calculs[[#This Row],[Colonne1]],"[Fin de période]")),0)</f>
        <v>1</v>
      </c>
      <c r="K1011" t="e">
        <f ca="1">INDEX(INDIRECT(CONCATENATE("Tab_",Tab_Calculs[[#This Row],[Colonne1]])),Tab_Calculs[[#This Row],[index_date_livraison]]-1,6)*(MAX(Tab_Calculs[[#This Row],[Début periode livraison]],Tab_Calculs[[#This Row],[Début mois]])-Tab_Calculs[[#This Row],[Début mois]])</f>
        <v>#VALUE!</v>
      </c>
      <c r="L1011" s="94">
        <f ca="1">INDEX(INDIRECT(CONCATENATE("Tab_",Tab_Calculs[[#This Row],[Colonne1]])),Tab_Calculs[[#This Row],[index_date_livraison]],6)*(1+MIN(Tab_Calculs[[#This Row],[Date_livraison]],Tab_Calculs[[#This Row],[fin mois]])-MAX(Tab_Calculs[[#This Row],[Début mois]],Tab_Calculs[[#This Row],[Début periode livraison]]))</f>
        <v>0</v>
      </c>
      <c r="M1011" s="94" t="e">
        <f ca="1">INDEX(INDIRECT(CONCATENATE("Tab_",Tab_Calculs[[#This Row],[Colonne1]])),Tab_Calculs[[#This Row],[index_date_livraison]]+1,6)*(Tab_Calculs[[#This Row],[fin mois]]-MIN(Tab_Calculs[[#This Row],[fin mois]],Tab_Calculs[[#This Row],[Date_livraison]]))</f>
        <v>#VALUE!</v>
      </c>
      <c r="N1011" s="231" t="str">
        <f ca="1">IFERROR(Tab_Calculs[[#This Row],[Ratio_jour_après_livr]]+Tab_Calculs[[#This Row],[Ratio_jour_avant_livr]]+Tab_Calculs[[#This Row],[ratio_avant_debut]],"")</f>
        <v/>
      </c>
      <c r="O1011" t="e">
        <f ca="1">INDEX(INDIRECT(CONCATENATE("Tab_",Tab_Calculs[[#This Row],[Colonne1]])),Tab_Calculs[[#This Row],[index_date_livraison]]-1,7)*(MAX(Tab_Calculs[[#This Row],[Début periode livraison]],Tab_Calculs[[#This Row],[Début mois]])-Tab_Calculs[[#This Row],[Début mois]])</f>
        <v>#VALUE!</v>
      </c>
      <c r="P1011">
        <f ca="1">INDEX(INDIRECT(CONCATENATE("Tab_",Tab_Calculs[[#This Row],[Colonne1]])),Tab_Calculs[[#This Row],[index_date_livraison]],7)*(1+MIN(Tab_Calculs[[#This Row],[Date_livraison]],Tab_Calculs[[#This Row],[fin mois]])-MAX(Tab_Calculs[[#This Row],[Début mois]],Tab_Calculs[[#This Row],[Début periode livraison]]))</f>
        <v>0</v>
      </c>
      <c r="Q1011" t="e">
        <f ca="1">INDEX(INDIRECT(CONCATENATE("Tab_",Tab_Calculs[[#This Row],[Colonne1]])),Tab_Calculs[[#This Row],[index_date_livraison]]+1,7)*(Tab_Calculs[[#This Row],[fin mois]]-MIN(Tab_Calculs[[#This Row],[fin mois]],Tab_Calculs[[#This Row],[Date_livraison]]))</f>
        <v>#VALUE!</v>
      </c>
      <c r="R1011" t="e">
        <f ca="1">Tab_Calculs[[#This Row],[Ratio_Cout_après_livr]]+Tab_Calculs[[#This Row],[Ratio_Cout_avant_livr]]+Tab_Calculs[[#This Row],[Ratio_Cout_avant_debut]]</f>
        <v>#VALUE!</v>
      </c>
      <c r="S1011" t="str">
        <f ca="1">IFERROR(N1011*VLOOKUP(Tab_Calculs[[#This Row],[Colonne1]],Controle_des_données!$B$7:$G$14,6,FALSE),"")</f>
        <v/>
      </c>
      <c r="T1011" t="str">
        <f ca="1">IF(Tab_Calculs[[#This Row],[Combustible ]]="Electricité (kWh)",Tab_Calculs[[#This Row],[Conso_mois_kWh]]*2.3,Tab_Calculs[[#This Row],[Conso_mois_kWh]])</f>
        <v/>
      </c>
      <c r="U1011" t="str">
        <f ca="1">IFERROR(N1011*VLOOKUP(Tab_Calculs[[#This Row],[Colonne1]],Controle_des_données!$B$7:$H$14,7,FALSE),"")</f>
        <v/>
      </c>
      <c r="V1011">
        <f ca="1">IFERROR(Tab_Calculs[[#This Row],[Cout_mois]]/Tab_Calculs[[#This Row],[Conso_mois_kWh]],0)</f>
        <v>0</v>
      </c>
      <c r="W1011" t="str">
        <f>T(VLOOKUP(Tab_Calculs[[#This Row],[Compteur]],Site!$B$33:$G$40,3,FALSE))</f>
        <v/>
      </c>
      <c r="X1011" t="str">
        <f>T(VLOOKUP(Tab_Calculs[[#This Row],[Compteur]],Site!$B$33:$G$40,4,FALSE))</f>
        <v/>
      </c>
      <c r="Y1011" t="str">
        <f>T(VLOOKUP(Tab_Calculs[[#This Row],[Compteur]],Site!$B$33:$G$40,5,FALSE))</f>
        <v/>
      </c>
      <c r="Z1011" t="str">
        <f>T(VLOOKUP(Tab_Calculs[[#This Row],[Compteur]],Site!$B$33:$G$40,6,FALSE))</f>
        <v/>
      </c>
      <c r="AA1011">
        <f>IFERROR(GETPIVOTDATA("DJU(chauffagiste)",BDD_DJU!$P$13,"annee",Tab_Calculs[[#This Row],[ANNEE]],"mois_numero",Tab_Calculs[[#This Row],[MOIS]]),0)</f>
        <v>13.3</v>
      </c>
    </row>
    <row r="1012" spans="1:27" x14ac:dyDescent="0.25">
      <c r="A1012" s="3">
        <f>DATE(Tab_Calculs[[#This Row],[ANNEE]],Tab_Calculs[[#This Row],[MOIS]],1)</f>
        <v>41487</v>
      </c>
      <c r="B1012" s="3">
        <f>EDATE(Tab_Calculs[[#This Row],[Début mois]],1)-1</f>
        <v>41517</v>
      </c>
      <c r="C1012">
        <v>8</v>
      </c>
      <c r="D1012">
        <v>2013</v>
      </c>
      <c r="E1012" t="s">
        <v>85</v>
      </c>
      <c r="F1012" t="str">
        <f>SUBSTITUTE(Tab_Calculs[[#This Row],[Compteur]]," ","_")</f>
        <v>Compteur_6</v>
      </c>
      <c r="G1012" t="str">
        <f>T(INDEX(Site!$B$33:$G$40, MATCH(Tab_Calculs[[#This Row],[Compteur]], Site!$B$33:$B$40,0),2))</f>
        <v/>
      </c>
      <c r="H1012" s="3">
        <f t="array" aca="1" ref="H1012" ca="1">MIN(IF(INDIRECT(CONCATENATE(Tab_Calculs[[#This Row],[Colonne1]],"!$B$2:$B$243"))&gt;=Calculs_Consos!$A1012,INDIRECT(CONCATENATE(Tab_Calculs[[#This Row],[Colonne1]],"!$B$2:$B$243"))))</f>
        <v>0</v>
      </c>
      <c r="I1012" s="3">
        <f ca="1">INDEX(INDIRECT(CONCATENATE("Tab_",Tab_Calculs[[#This Row],[Colonne1]])),Tab_Calculs[[#This Row],[index_date_livraison]],1)</f>
        <v>0</v>
      </c>
      <c r="J1012">
        <f ca="1">MATCH(Tab_Calculs[[#This Row],[Date_livraison]],INDIRECT(CONCATENATE("Tab_",Tab_Calculs[[#This Row],[Colonne1]],"[Fin de période]")),0)</f>
        <v>1</v>
      </c>
      <c r="K1012" t="e">
        <f ca="1">INDEX(INDIRECT(CONCATENATE("Tab_",Tab_Calculs[[#This Row],[Colonne1]])),Tab_Calculs[[#This Row],[index_date_livraison]]-1,6)*(MAX(Tab_Calculs[[#This Row],[Début periode livraison]],Tab_Calculs[[#This Row],[Début mois]])-Tab_Calculs[[#This Row],[Début mois]])</f>
        <v>#VALUE!</v>
      </c>
      <c r="L1012" s="94">
        <f ca="1">INDEX(INDIRECT(CONCATENATE("Tab_",Tab_Calculs[[#This Row],[Colonne1]])),Tab_Calculs[[#This Row],[index_date_livraison]],6)*(1+MIN(Tab_Calculs[[#This Row],[Date_livraison]],Tab_Calculs[[#This Row],[fin mois]])-MAX(Tab_Calculs[[#This Row],[Début mois]],Tab_Calculs[[#This Row],[Début periode livraison]]))</f>
        <v>0</v>
      </c>
      <c r="M1012" s="94" t="e">
        <f ca="1">INDEX(INDIRECT(CONCATENATE("Tab_",Tab_Calculs[[#This Row],[Colonne1]])),Tab_Calculs[[#This Row],[index_date_livraison]]+1,6)*(Tab_Calculs[[#This Row],[fin mois]]-MIN(Tab_Calculs[[#This Row],[fin mois]],Tab_Calculs[[#This Row],[Date_livraison]]))</f>
        <v>#VALUE!</v>
      </c>
      <c r="N1012" s="231" t="str">
        <f ca="1">IFERROR(Tab_Calculs[[#This Row],[Ratio_jour_après_livr]]+Tab_Calculs[[#This Row],[Ratio_jour_avant_livr]]+Tab_Calculs[[#This Row],[ratio_avant_debut]],"")</f>
        <v/>
      </c>
      <c r="O1012" t="e">
        <f ca="1">INDEX(INDIRECT(CONCATENATE("Tab_",Tab_Calculs[[#This Row],[Colonne1]])),Tab_Calculs[[#This Row],[index_date_livraison]]-1,7)*(MAX(Tab_Calculs[[#This Row],[Début periode livraison]],Tab_Calculs[[#This Row],[Début mois]])-Tab_Calculs[[#This Row],[Début mois]])</f>
        <v>#VALUE!</v>
      </c>
      <c r="P1012">
        <f ca="1">INDEX(INDIRECT(CONCATENATE("Tab_",Tab_Calculs[[#This Row],[Colonne1]])),Tab_Calculs[[#This Row],[index_date_livraison]],7)*(1+MIN(Tab_Calculs[[#This Row],[Date_livraison]],Tab_Calculs[[#This Row],[fin mois]])-MAX(Tab_Calculs[[#This Row],[Début mois]],Tab_Calculs[[#This Row],[Début periode livraison]]))</f>
        <v>0</v>
      </c>
      <c r="Q1012" t="e">
        <f ca="1">INDEX(INDIRECT(CONCATENATE("Tab_",Tab_Calculs[[#This Row],[Colonne1]])),Tab_Calculs[[#This Row],[index_date_livraison]]+1,7)*(Tab_Calculs[[#This Row],[fin mois]]-MIN(Tab_Calculs[[#This Row],[fin mois]],Tab_Calculs[[#This Row],[Date_livraison]]))</f>
        <v>#VALUE!</v>
      </c>
      <c r="R1012" t="e">
        <f ca="1">Tab_Calculs[[#This Row],[Ratio_Cout_après_livr]]+Tab_Calculs[[#This Row],[Ratio_Cout_avant_livr]]+Tab_Calculs[[#This Row],[Ratio_Cout_avant_debut]]</f>
        <v>#VALUE!</v>
      </c>
      <c r="S1012" t="str">
        <f ca="1">IFERROR(N1012*VLOOKUP(Tab_Calculs[[#This Row],[Colonne1]],Controle_des_données!$B$7:$G$14,6,FALSE),"")</f>
        <v/>
      </c>
      <c r="T1012" t="str">
        <f ca="1">IF(Tab_Calculs[[#This Row],[Combustible ]]="Electricité (kWh)",Tab_Calculs[[#This Row],[Conso_mois_kWh]]*2.3,Tab_Calculs[[#This Row],[Conso_mois_kWh]])</f>
        <v/>
      </c>
      <c r="U1012" t="str">
        <f ca="1">IFERROR(N1012*VLOOKUP(Tab_Calculs[[#This Row],[Colonne1]],Controle_des_données!$B$7:$H$14,7,FALSE),"")</f>
        <v/>
      </c>
      <c r="V1012">
        <f ca="1">IFERROR(Tab_Calculs[[#This Row],[Cout_mois]]/Tab_Calculs[[#This Row],[Conso_mois_kWh]],0)</f>
        <v>0</v>
      </c>
      <c r="W1012" t="str">
        <f>T(VLOOKUP(Tab_Calculs[[#This Row],[Compteur]],Site!$B$33:$G$40,3,FALSE))</f>
        <v/>
      </c>
      <c r="X1012" t="str">
        <f>T(VLOOKUP(Tab_Calculs[[#This Row],[Compteur]],Site!$B$33:$G$40,4,FALSE))</f>
        <v/>
      </c>
      <c r="Y1012" t="str">
        <f>T(VLOOKUP(Tab_Calculs[[#This Row],[Compteur]],Site!$B$33:$G$40,5,FALSE))</f>
        <v/>
      </c>
      <c r="Z1012" t="str">
        <f>T(VLOOKUP(Tab_Calculs[[#This Row],[Compteur]],Site!$B$33:$G$40,6,FALSE))</f>
        <v/>
      </c>
      <c r="AA1012">
        <f>IFERROR(GETPIVOTDATA("DJU(chauffagiste)",BDD_DJU!$P$13,"annee",Tab_Calculs[[#This Row],[ANNEE]],"mois_numero",Tab_Calculs[[#This Row],[MOIS]]),0)</f>
        <v>38.5</v>
      </c>
    </row>
    <row r="1013" spans="1:27" x14ac:dyDescent="0.25">
      <c r="A1013" s="3">
        <f>DATE(Tab_Calculs[[#This Row],[ANNEE]],Tab_Calculs[[#This Row],[MOIS]],1)</f>
        <v>41518</v>
      </c>
      <c r="B1013" s="3">
        <f>EDATE(Tab_Calculs[[#This Row],[Début mois]],1)-1</f>
        <v>41547</v>
      </c>
      <c r="C1013">
        <v>9</v>
      </c>
      <c r="D1013">
        <v>2013</v>
      </c>
      <c r="E1013" t="s">
        <v>85</v>
      </c>
      <c r="F1013" t="str">
        <f>SUBSTITUTE(Tab_Calculs[[#This Row],[Compteur]]," ","_")</f>
        <v>Compteur_6</v>
      </c>
      <c r="G1013" t="str">
        <f>T(INDEX(Site!$B$33:$G$40, MATCH(Tab_Calculs[[#This Row],[Compteur]], Site!$B$33:$B$40,0),2))</f>
        <v/>
      </c>
      <c r="H1013" s="3">
        <f t="array" aca="1" ref="H1013" ca="1">MIN(IF(INDIRECT(CONCATENATE(Tab_Calculs[[#This Row],[Colonne1]],"!$B$2:$B$243"))&gt;=Calculs_Consos!$A1013,INDIRECT(CONCATENATE(Tab_Calculs[[#This Row],[Colonne1]],"!$B$2:$B$243"))))</f>
        <v>0</v>
      </c>
      <c r="I1013" s="3">
        <f ca="1">INDEX(INDIRECT(CONCATENATE("Tab_",Tab_Calculs[[#This Row],[Colonne1]])),Tab_Calculs[[#This Row],[index_date_livraison]],1)</f>
        <v>0</v>
      </c>
      <c r="J1013">
        <f ca="1">MATCH(Tab_Calculs[[#This Row],[Date_livraison]],INDIRECT(CONCATENATE("Tab_",Tab_Calculs[[#This Row],[Colonne1]],"[Fin de période]")),0)</f>
        <v>1</v>
      </c>
      <c r="K1013" t="e">
        <f ca="1">INDEX(INDIRECT(CONCATENATE("Tab_",Tab_Calculs[[#This Row],[Colonne1]])),Tab_Calculs[[#This Row],[index_date_livraison]]-1,6)*(MAX(Tab_Calculs[[#This Row],[Début periode livraison]],Tab_Calculs[[#This Row],[Début mois]])-Tab_Calculs[[#This Row],[Début mois]])</f>
        <v>#VALUE!</v>
      </c>
      <c r="L1013" s="94">
        <f ca="1">INDEX(INDIRECT(CONCATENATE("Tab_",Tab_Calculs[[#This Row],[Colonne1]])),Tab_Calculs[[#This Row],[index_date_livraison]],6)*(1+MIN(Tab_Calculs[[#This Row],[Date_livraison]],Tab_Calculs[[#This Row],[fin mois]])-MAX(Tab_Calculs[[#This Row],[Début mois]],Tab_Calculs[[#This Row],[Début periode livraison]]))</f>
        <v>0</v>
      </c>
      <c r="M1013" s="94" t="e">
        <f ca="1">INDEX(INDIRECT(CONCATENATE("Tab_",Tab_Calculs[[#This Row],[Colonne1]])),Tab_Calculs[[#This Row],[index_date_livraison]]+1,6)*(Tab_Calculs[[#This Row],[fin mois]]-MIN(Tab_Calculs[[#This Row],[fin mois]],Tab_Calculs[[#This Row],[Date_livraison]]))</f>
        <v>#VALUE!</v>
      </c>
      <c r="N1013" s="231" t="str">
        <f ca="1">IFERROR(Tab_Calculs[[#This Row],[Ratio_jour_après_livr]]+Tab_Calculs[[#This Row],[Ratio_jour_avant_livr]]+Tab_Calculs[[#This Row],[ratio_avant_debut]],"")</f>
        <v/>
      </c>
      <c r="O1013" t="e">
        <f ca="1">INDEX(INDIRECT(CONCATENATE("Tab_",Tab_Calculs[[#This Row],[Colonne1]])),Tab_Calculs[[#This Row],[index_date_livraison]]-1,7)*(MAX(Tab_Calculs[[#This Row],[Début periode livraison]],Tab_Calculs[[#This Row],[Début mois]])-Tab_Calculs[[#This Row],[Début mois]])</f>
        <v>#VALUE!</v>
      </c>
      <c r="P1013">
        <f ca="1">INDEX(INDIRECT(CONCATENATE("Tab_",Tab_Calculs[[#This Row],[Colonne1]])),Tab_Calculs[[#This Row],[index_date_livraison]],7)*(1+MIN(Tab_Calculs[[#This Row],[Date_livraison]],Tab_Calculs[[#This Row],[fin mois]])-MAX(Tab_Calculs[[#This Row],[Début mois]],Tab_Calculs[[#This Row],[Début periode livraison]]))</f>
        <v>0</v>
      </c>
      <c r="Q1013" t="e">
        <f ca="1">INDEX(INDIRECT(CONCATENATE("Tab_",Tab_Calculs[[#This Row],[Colonne1]])),Tab_Calculs[[#This Row],[index_date_livraison]]+1,7)*(Tab_Calculs[[#This Row],[fin mois]]-MIN(Tab_Calculs[[#This Row],[fin mois]],Tab_Calculs[[#This Row],[Date_livraison]]))</f>
        <v>#VALUE!</v>
      </c>
      <c r="R1013" t="e">
        <f ca="1">Tab_Calculs[[#This Row],[Ratio_Cout_après_livr]]+Tab_Calculs[[#This Row],[Ratio_Cout_avant_livr]]+Tab_Calculs[[#This Row],[Ratio_Cout_avant_debut]]</f>
        <v>#VALUE!</v>
      </c>
      <c r="S1013" t="str">
        <f ca="1">IFERROR(N1013*VLOOKUP(Tab_Calculs[[#This Row],[Colonne1]],Controle_des_données!$B$7:$G$14,6,FALSE),"")</f>
        <v/>
      </c>
      <c r="T1013" t="str">
        <f ca="1">IF(Tab_Calculs[[#This Row],[Combustible ]]="Electricité (kWh)",Tab_Calculs[[#This Row],[Conso_mois_kWh]]*2.3,Tab_Calculs[[#This Row],[Conso_mois_kWh]])</f>
        <v/>
      </c>
      <c r="U1013" t="str">
        <f ca="1">IFERROR(N1013*VLOOKUP(Tab_Calculs[[#This Row],[Colonne1]],Controle_des_données!$B$7:$H$14,7,FALSE),"")</f>
        <v/>
      </c>
      <c r="V1013">
        <f ca="1">IFERROR(Tab_Calculs[[#This Row],[Cout_mois]]/Tab_Calculs[[#This Row],[Conso_mois_kWh]],0)</f>
        <v>0</v>
      </c>
      <c r="W1013" t="str">
        <f>T(VLOOKUP(Tab_Calculs[[#This Row],[Compteur]],Site!$B$33:$G$40,3,FALSE))</f>
        <v/>
      </c>
      <c r="X1013" t="str">
        <f>T(VLOOKUP(Tab_Calculs[[#This Row],[Compteur]],Site!$B$33:$G$40,4,FALSE))</f>
        <v/>
      </c>
      <c r="Y1013" t="str">
        <f>T(VLOOKUP(Tab_Calculs[[#This Row],[Compteur]],Site!$B$33:$G$40,5,FALSE))</f>
        <v/>
      </c>
      <c r="Z1013" t="str">
        <f>T(VLOOKUP(Tab_Calculs[[#This Row],[Compteur]],Site!$B$33:$G$40,6,FALSE))</f>
        <v/>
      </c>
      <c r="AA1013">
        <f>IFERROR(GETPIVOTDATA("DJU(chauffagiste)",BDD_DJU!$P$13,"annee",Tab_Calculs[[#This Row],[ANNEE]],"mois_numero",Tab_Calculs[[#This Row],[MOIS]]),0)</f>
        <v>69.2</v>
      </c>
    </row>
    <row r="1014" spans="1:27" x14ac:dyDescent="0.25">
      <c r="A1014" s="3">
        <f>DATE(Tab_Calculs[[#This Row],[ANNEE]],Tab_Calculs[[#This Row],[MOIS]],1)</f>
        <v>41548</v>
      </c>
      <c r="B1014" s="3">
        <f>EDATE(Tab_Calculs[[#This Row],[Début mois]],1)-1</f>
        <v>41578</v>
      </c>
      <c r="C1014">
        <v>10</v>
      </c>
      <c r="D1014">
        <v>2013</v>
      </c>
      <c r="E1014" t="s">
        <v>85</v>
      </c>
      <c r="F1014" t="str">
        <f>SUBSTITUTE(Tab_Calculs[[#This Row],[Compteur]]," ","_")</f>
        <v>Compteur_6</v>
      </c>
      <c r="G1014" t="str">
        <f>T(INDEX(Site!$B$33:$G$40, MATCH(Tab_Calculs[[#This Row],[Compteur]], Site!$B$33:$B$40,0),2))</f>
        <v/>
      </c>
      <c r="H1014" s="3">
        <f t="array" aca="1" ref="H1014" ca="1">MIN(IF(INDIRECT(CONCATENATE(Tab_Calculs[[#This Row],[Colonne1]],"!$B$2:$B$243"))&gt;=Calculs_Consos!$A1014,INDIRECT(CONCATENATE(Tab_Calculs[[#This Row],[Colonne1]],"!$B$2:$B$243"))))</f>
        <v>0</v>
      </c>
      <c r="I1014" s="3">
        <f ca="1">INDEX(INDIRECT(CONCATENATE("Tab_",Tab_Calculs[[#This Row],[Colonne1]])),Tab_Calculs[[#This Row],[index_date_livraison]],1)</f>
        <v>0</v>
      </c>
      <c r="J1014">
        <f ca="1">MATCH(Tab_Calculs[[#This Row],[Date_livraison]],INDIRECT(CONCATENATE("Tab_",Tab_Calculs[[#This Row],[Colonne1]],"[Fin de période]")),0)</f>
        <v>1</v>
      </c>
      <c r="K1014" t="e">
        <f ca="1">INDEX(INDIRECT(CONCATENATE("Tab_",Tab_Calculs[[#This Row],[Colonne1]])),Tab_Calculs[[#This Row],[index_date_livraison]]-1,6)*(MAX(Tab_Calculs[[#This Row],[Début periode livraison]],Tab_Calculs[[#This Row],[Début mois]])-Tab_Calculs[[#This Row],[Début mois]])</f>
        <v>#VALUE!</v>
      </c>
      <c r="L1014" s="94">
        <f ca="1">INDEX(INDIRECT(CONCATENATE("Tab_",Tab_Calculs[[#This Row],[Colonne1]])),Tab_Calculs[[#This Row],[index_date_livraison]],6)*(1+MIN(Tab_Calculs[[#This Row],[Date_livraison]],Tab_Calculs[[#This Row],[fin mois]])-MAX(Tab_Calculs[[#This Row],[Début mois]],Tab_Calculs[[#This Row],[Début periode livraison]]))</f>
        <v>0</v>
      </c>
      <c r="M1014" s="94" t="e">
        <f ca="1">INDEX(INDIRECT(CONCATENATE("Tab_",Tab_Calculs[[#This Row],[Colonne1]])),Tab_Calculs[[#This Row],[index_date_livraison]]+1,6)*(Tab_Calculs[[#This Row],[fin mois]]-MIN(Tab_Calculs[[#This Row],[fin mois]],Tab_Calculs[[#This Row],[Date_livraison]]))</f>
        <v>#VALUE!</v>
      </c>
      <c r="N1014" s="231" t="str">
        <f ca="1">IFERROR(Tab_Calculs[[#This Row],[Ratio_jour_après_livr]]+Tab_Calculs[[#This Row],[Ratio_jour_avant_livr]]+Tab_Calculs[[#This Row],[ratio_avant_debut]],"")</f>
        <v/>
      </c>
      <c r="O1014" t="e">
        <f ca="1">INDEX(INDIRECT(CONCATENATE("Tab_",Tab_Calculs[[#This Row],[Colonne1]])),Tab_Calculs[[#This Row],[index_date_livraison]]-1,7)*(MAX(Tab_Calculs[[#This Row],[Début periode livraison]],Tab_Calculs[[#This Row],[Début mois]])-Tab_Calculs[[#This Row],[Début mois]])</f>
        <v>#VALUE!</v>
      </c>
      <c r="P1014">
        <f ca="1">INDEX(INDIRECT(CONCATENATE("Tab_",Tab_Calculs[[#This Row],[Colonne1]])),Tab_Calculs[[#This Row],[index_date_livraison]],7)*(1+MIN(Tab_Calculs[[#This Row],[Date_livraison]],Tab_Calculs[[#This Row],[fin mois]])-MAX(Tab_Calculs[[#This Row],[Début mois]],Tab_Calculs[[#This Row],[Début periode livraison]]))</f>
        <v>0</v>
      </c>
      <c r="Q1014" t="e">
        <f ca="1">INDEX(INDIRECT(CONCATENATE("Tab_",Tab_Calculs[[#This Row],[Colonne1]])),Tab_Calculs[[#This Row],[index_date_livraison]]+1,7)*(Tab_Calculs[[#This Row],[fin mois]]-MIN(Tab_Calculs[[#This Row],[fin mois]],Tab_Calculs[[#This Row],[Date_livraison]]))</f>
        <v>#VALUE!</v>
      </c>
      <c r="R1014" t="e">
        <f ca="1">Tab_Calculs[[#This Row],[Ratio_Cout_après_livr]]+Tab_Calculs[[#This Row],[Ratio_Cout_avant_livr]]+Tab_Calculs[[#This Row],[Ratio_Cout_avant_debut]]</f>
        <v>#VALUE!</v>
      </c>
      <c r="S1014" t="str">
        <f ca="1">IFERROR(N1014*VLOOKUP(Tab_Calculs[[#This Row],[Colonne1]],Controle_des_données!$B$7:$G$14,6,FALSE),"")</f>
        <v/>
      </c>
      <c r="T1014" t="str">
        <f ca="1">IF(Tab_Calculs[[#This Row],[Combustible ]]="Electricité (kWh)",Tab_Calculs[[#This Row],[Conso_mois_kWh]]*2.3,Tab_Calculs[[#This Row],[Conso_mois_kWh]])</f>
        <v/>
      </c>
      <c r="U1014" t="str">
        <f ca="1">IFERROR(N1014*VLOOKUP(Tab_Calculs[[#This Row],[Colonne1]],Controle_des_données!$B$7:$H$14,7,FALSE),"")</f>
        <v/>
      </c>
      <c r="V1014">
        <f ca="1">IFERROR(Tab_Calculs[[#This Row],[Cout_mois]]/Tab_Calculs[[#This Row],[Conso_mois_kWh]],0)</f>
        <v>0</v>
      </c>
      <c r="W1014" t="str">
        <f>T(VLOOKUP(Tab_Calculs[[#This Row],[Compteur]],Site!$B$33:$G$40,3,FALSE))</f>
        <v/>
      </c>
      <c r="X1014" t="str">
        <f>T(VLOOKUP(Tab_Calculs[[#This Row],[Compteur]],Site!$B$33:$G$40,4,FALSE))</f>
        <v/>
      </c>
      <c r="Y1014" t="str">
        <f>T(VLOOKUP(Tab_Calculs[[#This Row],[Compteur]],Site!$B$33:$G$40,5,FALSE))</f>
        <v/>
      </c>
      <c r="Z1014" t="str">
        <f>T(VLOOKUP(Tab_Calculs[[#This Row],[Compteur]],Site!$B$33:$G$40,6,FALSE))</f>
        <v/>
      </c>
      <c r="AA1014">
        <f>IFERROR(GETPIVOTDATA("DJU(chauffagiste)",BDD_DJU!$P$13,"annee",Tab_Calculs[[#This Row],[ANNEE]],"mois_numero",Tab_Calculs[[#This Row],[MOIS]]),0)</f>
        <v>122.6</v>
      </c>
    </row>
    <row r="1015" spans="1:27" x14ac:dyDescent="0.25">
      <c r="A1015" s="3">
        <f>DATE(Tab_Calculs[[#This Row],[ANNEE]],Tab_Calculs[[#This Row],[MOIS]],1)</f>
        <v>41579</v>
      </c>
      <c r="B1015" s="3">
        <f>EDATE(Tab_Calculs[[#This Row],[Début mois]],1)-1</f>
        <v>41608</v>
      </c>
      <c r="C1015">
        <v>11</v>
      </c>
      <c r="D1015">
        <v>2013</v>
      </c>
      <c r="E1015" t="s">
        <v>85</v>
      </c>
      <c r="F1015" t="str">
        <f>SUBSTITUTE(Tab_Calculs[[#This Row],[Compteur]]," ","_")</f>
        <v>Compteur_6</v>
      </c>
      <c r="G1015" t="str">
        <f>T(INDEX(Site!$B$33:$G$40, MATCH(Tab_Calculs[[#This Row],[Compteur]], Site!$B$33:$B$40,0),2))</f>
        <v/>
      </c>
      <c r="H1015" s="3">
        <f t="array" aca="1" ref="H1015" ca="1">MIN(IF(INDIRECT(CONCATENATE(Tab_Calculs[[#This Row],[Colonne1]],"!$B$2:$B$243"))&gt;=Calculs_Consos!$A1015,INDIRECT(CONCATENATE(Tab_Calculs[[#This Row],[Colonne1]],"!$B$2:$B$243"))))</f>
        <v>0</v>
      </c>
      <c r="I1015" s="3">
        <f ca="1">INDEX(INDIRECT(CONCATENATE("Tab_",Tab_Calculs[[#This Row],[Colonne1]])),Tab_Calculs[[#This Row],[index_date_livraison]],1)</f>
        <v>0</v>
      </c>
      <c r="J1015">
        <f ca="1">MATCH(Tab_Calculs[[#This Row],[Date_livraison]],INDIRECT(CONCATENATE("Tab_",Tab_Calculs[[#This Row],[Colonne1]],"[Fin de période]")),0)</f>
        <v>1</v>
      </c>
      <c r="K1015" t="e">
        <f ca="1">INDEX(INDIRECT(CONCATENATE("Tab_",Tab_Calculs[[#This Row],[Colonne1]])),Tab_Calculs[[#This Row],[index_date_livraison]]-1,6)*(MAX(Tab_Calculs[[#This Row],[Début periode livraison]],Tab_Calculs[[#This Row],[Début mois]])-Tab_Calculs[[#This Row],[Début mois]])</f>
        <v>#VALUE!</v>
      </c>
      <c r="L1015" s="94">
        <f ca="1">INDEX(INDIRECT(CONCATENATE("Tab_",Tab_Calculs[[#This Row],[Colonne1]])),Tab_Calculs[[#This Row],[index_date_livraison]],6)*(1+MIN(Tab_Calculs[[#This Row],[Date_livraison]],Tab_Calculs[[#This Row],[fin mois]])-MAX(Tab_Calculs[[#This Row],[Début mois]],Tab_Calculs[[#This Row],[Début periode livraison]]))</f>
        <v>0</v>
      </c>
      <c r="M1015" s="94" t="e">
        <f ca="1">INDEX(INDIRECT(CONCATENATE("Tab_",Tab_Calculs[[#This Row],[Colonne1]])),Tab_Calculs[[#This Row],[index_date_livraison]]+1,6)*(Tab_Calculs[[#This Row],[fin mois]]-MIN(Tab_Calculs[[#This Row],[fin mois]],Tab_Calculs[[#This Row],[Date_livraison]]))</f>
        <v>#VALUE!</v>
      </c>
      <c r="N1015" s="231" t="str">
        <f ca="1">IFERROR(Tab_Calculs[[#This Row],[Ratio_jour_après_livr]]+Tab_Calculs[[#This Row],[Ratio_jour_avant_livr]]+Tab_Calculs[[#This Row],[ratio_avant_debut]],"")</f>
        <v/>
      </c>
      <c r="O1015" t="e">
        <f ca="1">INDEX(INDIRECT(CONCATENATE("Tab_",Tab_Calculs[[#This Row],[Colonne1]])),Tab_Calculs[[#This Row],[index_date_livraison]]-1,7)*(MAX(Tab_Calculs[[#This Row],[Début periode livraison]],Tab_Calculs[[#This Row],[Début mois]])-Tab_Calculs[[#This Row],[Début mois]])</f>
        <v>#VALUE!</v>
      </c>
      <c r="P1015">
        <f ca="1">INDEX(INDIRECT(CONCATENATE("Tab_",Tab_Calculs[[#This Row],[Colonne1]])),Tab_Calculs[[#This Row],[index_date_livraison]],7)*(1+MIN(Tab_Calculs[[#This Row],[Date_livraison]],Tab_Calculs[[#This Row],[fin mois]])-MAX(Tab_Calculs[[#This Row],[Début mois]],Tab_Calculs[[#This Row],[Début periode livraison]]))</f>
        <v>0</v>
      </c>
      <c r="Q1015" t="e">
        <f ca="1">INDEX(INDIRECT(CONCATENATE("Tab_",Tab_Calculs[[#This Row],[Colonne1]])),Tab_Calculs[[#This Row],[index_date_livraison]]+1,7)*(Tab_Calculs[[#This Row],[fin mois]]-MIN(Tab_Calculs[[#This Row],[fin mois]],Tab_Calculs[[#This Row],[Date_livraison]]))</f>
        <v>#VALUE!</v>
      </c>
      <c r="R1015" t="e">
        <f ca="1">Tab_Calculs[[#This Row],[Ratio_Cout_après_livr]]+Tab_Calculs[[#This Row],[Ratio_Cout_avant_livr]]+Tab_Calculs[[#This Row],[Ratio_Cout_avant_debut]]</f>
        <v>#VALUE!</v>
      </c>
      <c r="S1015" t="str">
        <f ca="1">IFERROR(N1015*VLOOKUP(Tab_Calculs[[#This Row],[Colonne1]],Controle_des_données!$B$7:$G$14,6,FALSE),"")</f>
        <v/>
      </c>
      <c r="T1015" t="str">
        <f ca="1">IF(Tab_Calculs[[#This Row],[Combustible ]]="Electricité (kWh)",Tab_Calculs[[#This Row],[Conso_mois_kWh]]*2.3,Tab_Calculs[[#This Row],[Conso_mois_kWh]])</f>
        <v/>
      </c>
      <c r="U1015" t="str">
        <f ca="1">IFERROR(N1015*VLOOKUP(Tab_Calculs[[#This Row],[Colonne1]],Controle_des_données!$B$7:$H$14,7,FALSE),"")</f>
        <v/>
      </c>
      <c r="V1015">
        <f ca="1">IFERROR(Tab_Calculs[[#This Row],[Cout_mois]]/Tab_Calculs[[#This Row],[Conso_mois_kWh]],0)</f>
        <v>0</v>
      </c>
      <c r="W1015" t="str">
        <f>T(VLOOKUP(Tab_Calculs[[#This Row],[Compteur]],Site!$B$33:$G$40,3,FALSE))</f>
        <v/>
      </c>
      <c r="X1015" t="str">
        <f>T(VLOOKUP(Tab_Calculs[[#This Row],[Compteur]],Site!$B$33:$G$40,4,FALSE))</f>
        <v/>
      </c>
      <c r="Y1015" t="str">
        <f>T(VLOOKUP(Tab_Calculs[[#This Row],[Compteur]],Site!$B$33:$G$40,5,FALSE))</f>
        <v/>
      </c>
      <c r="Z1015" t="str">
        <f>T(VLOOKUP(Tab_Calculs[[#This Row],[Compteur]],Site!$B$33:$G$40,6,FALSE))</f>
        <v/>
      </c>
      <c r="AA1015">
        <f>IFERROR(GETPIVOTDATA("DJU(chauffagiste)",BDD_DJU!$P$13,"annee",Tab_Calculs[[#This Row],[ANNEE]],"mois_numero",Tab_Calculs[[#This Row],[MOIS]]),0)</f>
        <v>311.10000000000002</v>
      </c>
    </row>
    <row r="1016" spans="1:27" x14ac:dyDescent="0.25">
      <c r="A1016" s="3">
        <f>DATE(Tab_Calculs[[#This Row],[ANNEE]],Tab_Calculs[[#This Row],[MOIS]],1)</f>
        <v>41609</v>
      </c>
      <c r="B1016" s="3">
        <f>EDATE(Tab_Calculs[[#This Row],[Début mois]],1)-1</f>
        <v>41639</v>
      </c>
      <c r="C1016">
        <v>12</v>
      </c>
      <c r="D1016">
        <v>2013</v>
      </c>
      <c r="E1016" t="s">
        <v>85</v>
      </c>
      <c r="F1016" t="str">
        <f>SUBSTITUTE(Tab_Calculs[[#This Row],[Compteur]]," ","_")</f>
        <v>Compteur_6</v>
      </c>
      <c r="G1016" t="str">
        <f>T(INDEX(Site!$B$33:$G$40, MATCH(Tab_Calculs[[#This Row],[Compteur]], Site!$B$33:$B$40,0),2))</f>
        <v/>
      </c>
      <c r="H1016" s="3">
        <f t="array" aca="1" ref="H1016" ca="1">MIN(IF(INDIRECT(CONCATENATE(Tab_Calculs[[#This Row],[Colonne1]],"!$B$2:$B$243"))&gt;=Calculs_Consos!$A1016,INDIRECT(CONCATENATE(Tab_Calculs[[#This Row],[Colonne1]],"!$B$2:$B$243"))))</f>
        <v>0</v>
      </c>
      <c r="I1016" s="3">
        <f ca="1">INDEX(INDIRECT(CONCATENATE("Tab_",Tab_Calculs[[#This Row],[Colonne1]])),Tab_Calculs[[#This Row],[index_date_livraison]],1)</f>
        <v>0</v>
      </c>
      <c r="J1016">
        <f ca="1">MATCH(Tab_Calculs[[#This Row],[Date_livraison]],INDIRECT(CONCATENATE("Tab_",Tab_Calculs[[#This Row],[Colonne1]],"[Fin de période]")),0)</f>
        <v>1</v>
      </c>
      <c r="K1016" t="e">
        <f ca="1">INDEX(INDIRECT(CONCATENATE("Tab_",Tab_Calculs[[#This Row],[Colonne1]])),Tab_Calculs[[#This Row],[index_date_livraison]]-1,6)*(MAX(Tab_Calculs[[#This Row],[Début periode livraison]],Tab_Calculs[[#This Row],[Début mois]])-Tab_Calculs[[#This Row],[Début mois]])</f>
        <v>#VALUE!</v>
      </c>
      <c r="L1016" s="94">
        <f ca="1">INDEX(INDIRECT(CONCATENATE("Tab_",Tab_Calculs[[#This Row],[Colonne1]])),Tab_Calculs[[#This Row],[index_date_livraison]],6)*(1+MIN(Tab_Calculs[[#This Row],[Date_livraison]],Tab_Calculs[[#This Row],[fin mois]])-MAX(Tab_Calculs[[#This Row],[Début mois]],Tab_Calculs[[#This Row],[Début periode livraison]]))</f>
        <v>0</v>
      </c>
      <c r="M1016" s="94" t="e">
        <f ca="1">INDEX(INDIRECT(CONCATENATE("Tab_",Tab_Calculs[[#This Row],[Colonne1]])),Tab_Calculs[[#This Row],[index_date_livraison]]+1,6)*(Tab_Calculs[[#This Row],[fin mois]]-MIN(Tab_Calculs[[#This Row],[fin mois]],Tab_Calculs[[#This Row],[Date_livraison]]))</f>
        <v>#VALUE!</v>
      </c>
      <c r="N1016" s="231" t="str">
        <f ca="1">IFERROR(Tab_Calculs[[#This Row],[Ratio_jour_après_livr]]+Tab_Calculs[[#This Row],[Ratio_jour_avant_livr]]+Tab_Calculs[[#This Row],[ratio_avant_debut]],"")</f>
        <v/>
      </c>
      <c r="O1016" t="e">
        <f ca="1">INDEX(INDIRECT(CONCATENATE("Tab_",Tab_Calculs[[#This Row],[Colonne1]])),Tab_Calculs[[#This Row],[index_date_livraison]]-1,7)*(MAX(Tab_Calculs[[#This Row],[Début periode livraison]],Tab_Calculs[[#This Row],[Début mois]])-Tab_Calculs[[#This Row],[Début mois]])</f>
        <v>#VALUE!</v>
      </c>
      <c r="P1016">
        <f ca="1">INDEX(INDIRECT(CONCATENATE("Tab_",Tab_Calculs[[#This Row],[Colonne1]])),Tab_Calculs[[#This Row],[index_date_livraison]],7)*(1+MIN(Tab_Calculs[[#This Row],[Date_livraison]],Tab_Calculs[[#This Row],[fin mois]])-MAX(Tab_Calculs[[#This Row],[Début mois]],Tab_Calculs[[#This Row],[Début periode livraison]]))</f>
        <v>0</v>
      </c>
      <c r="Q1016" t="e">
        <f ca="1">INDEX(INDIRECT(CONCATENATE("Tab_",Tab_Calculs[[#This Row],[Colonne1]])),Tab_Calculs[[#This Row],[index_date_livraison]]+1,7)*(Tab_Calculs[[#This Row],[fin mois]]-MIN(Tab_Calculs[[#This Row],[fin mois]],Tab_Calculs[[#This Row],[Date_livraison]]))</f>
        <v>#VALUE!</v>
      </c>
      <c r="R1016" t="e">
        <f ca="1">Tab_Calculs[[#This Row],[Ratio_Cout_après_livr]]+Tab_Calculs[[#This Row],[Ratio_Cout_avant_livr]]+Tab_Calculs[[#This Row],[Ratio_Cout_avant_debut]]</f>
        <v>#VALUE!</v>
      </c>
      <c r="S1016" t="str">
        <f ca="1">IFERROR(N1016*VLOOKUP(Tab_Calculs[[#This Row],[Colonne1]],Controle_des_données!$B$7:$G$14,6,FALSE),"")</f>
        <v/>
      </c>
      <c r="T1016" t="str">
        <f ca="1">IF(Tab_Calculs[[#This Row],[Combustible ]]="Electricité (kWh)",Tab_Calculs[[#This Row],[Conso_mois_kWh]]*2.3,Tab_Calculs[[#This Row],[Conso_mois_kWh]])</f>
        <v/>
      </c>
      <c r="U1016" t="str">
        <f ca="1">IFERROR(N1016*VLOOKUP(Tab_Calculs[[#This Row],[Colonne1]],Controle_des_données!$B$7:$H$14,7,FALSE),"")</f>
        <v/>
      </c>
      <c r="V1016">
        <f ca="1">IFERROR(Tab_Calculs[[#This Row],[Cout_mois]]/Tab_Calculs[[#This Row],[Conso_mois_kWh]],0)</f>
        <v>0</v>
      </c>
      <c r="W1016" t="str">
        <f>T(VLOOKUP(Tab_Calculs[[#This Row],[Compteur]],Site!$B$33:$G$40,3,FALSE))</f>
        <v/>
      </c>
      <c r="X1016" t="str">
        <f>T(VLOOKUP(Tab_Calculs[[#This Row],[Compteur]],Site!$B$33:$G$40,4,FALSE))</f>
        <v/>
      </c>
      <c r="Y1016" t="str">
        <f>T(VLOOKUP(Tab_Calculs[[#This Row],[Compteur]],Site!$B$33:$G$40,5,FALSE))</f>
        <v/>
      </c>
      <c r="Z1016" t="str">
        <f>T(VLOOKUP(Tab_Calculs[[#This Row],[Compteur]],Site!$B$33:$G$40,6,FALSE))</f>
        <v/>
      </c>
      <c r="AA1016">
        <f>IFERROR(GETPIVOTDATA("DJU(chauffagiste)",BDD_DJU!$P$13,"annee",Tab_Calculs[[#This Row],[ANNEE]],"mois_numero",Tab_Calculs[[#This Row],[MOIS]]),0)</f>
        <v>380.4</v>
      </c>
    </row>
    <row r="1017" spans="1:27" x14ac:dyDescent="0.25">
      <c r="A1017" s="3">
        <f>DATE(Tab_Calculs[[#This Row],[ANNEE]],Tab_Calculs[[#This Row],[MOIS]],1)</f>
        <v>41640</v>
      </c>
      <c r="B1017" s="3">
        <f>EDATE(Tab_Calculs[[#This Row],[Début mois]],1)-1</f>
        <v>41670</v>
      </c>
      <c r="C1017">
        <v>1</v>
      </c>
      <c r="D1017">
        <v>2014</v>
      </c>
      <c r="E1017" t="s">
        <v>85</v>
      </c>
      <c r="F1017" t="str">
        <f>SUBSTITUTE(Tab_Calculs[[#This Row],[Compteur]]," ","_")</f>
        <v>Compteur_6</v>
      </c>
      <c r="G1017" t="str">
        <f>T(INDEX(Site!$B$33:$G$40, MATCH(Tab_Calculs[[#This Row],[Compteur]], Site!$B$33:$B$40,0),2))</f>
        <v/>
      </c>
      <c r="H1017" s="3">
        <f t="array" aca="1" ref="H1017" ca="1">MIN(IF(INDIRECT(CONCATENATE(Tab_Calculs[[#This Row],[Colonne1]],"!$B$2:$B$243"))&gt;=Calculs_Consos!$A1017,INDIRECT(CONCATENATE(Tab_Calculs[[#This Row],[Colonne1]],"!$B$2:$B$243"))))</f>
        <v>0</v>
      </c>
      <c r="I1017" s="3">
        <f ca="1">INDEX(INDIRECT(CONCATENATE("Tab_",Tab_Calculs[[#This Row],[Colonne1]])),Tab_Calculs[[#This Row],[index_date_livraison]],1)</f>
        <v>0</v>
      </c>
      <c r="J1017">
        <f ca="1">MATCH(Tab_Calculs[[#This Row],[Date_livraison]],INDIRECT(CONCATENATE("Tab_",Tab_Calculs[[#This Row],[Colonne1]],"[Fin de période]")),0)</f>
        <v>1</v>
      </c>
      <c r="K1017" t="e">
        <f ca="1">INDEX(INDIRECT(CONCATENATE("Tab_",Tab_Calculs[[#This Row],[Colonne1]])),Tab_Calculs[[#This Row],[index_date_livraison]]-1,6)*(MAX(Tab_Calculs[[#This Row],[Début periode livraison]],Tab_Calculs[[#This Row],[Début mois]])-Tab_Calculs[[#This Row],[Début mois]])</f>
        <v>#VALUE!</v>
      </c>
      <c r="L1017" s="94">
        <f ca="1">INDEX(INDIRECT(CONCATENATE("Tab_",Tab_Calculs[[#This Row],[Colonne1]])),Tab_Calculs[[#This Row],[index_date_livraison]],6)*(1+MIN(Tab_Calculs[[#This Row],[Date_livraison]],Tab_Calculs[[#This Row],[fin mois]])-MAX(Tab_Calculs[[#This Row],[Début mois]],Tab_Calculs[[#This Row],[Début periode livraison]]))</f>
        <v>0</v>
      </c>
      <c r="M1017" s="94" t="e">
        <f ca="1">INDEX(INDIRECT(CONCATENATE("Tab_",Tab_Calculs[[#This Row],[Colonne1]])),Tab_Calculs[[#This Row],[index_date_livraison]]+1,6)*(Tab_Calculs[[#This Row],[fin mois]]-MIN(Tab_Calculs[[#This Row],[fin mois]],Tab_Calculs[[#This Row],[Date_livraison]]))</f>
        <v>#VALUE!</v>
      </c>
      <c r="N1017" s="231" t="str">
        <f ca="1">IFERROR(Tab_Calculs[[#This Row],[Ratio_jour_après_livr]]+Tab_Calculs[[#This Row],[Ratio_jour_avant_livr]]+Tab_Calculs[[#This Row],[ratio_avant_debut]],"")</f>
        <v/>
      </c>
      <c r="O1017" t="e">
        <f ca="1">INDEX(INDIRECT(CONCATENATE("Tab_",Tab_Calculs[[#This Row],[Colonne1]])),Tab_Calculs[[#This Row],[index_date_livraison]]-1,7)*(MAX(Tab_Calculs[[#This Row],[Début periode livraison]],Tab_Calculs[[#This Row],[Début mois]])-Tab_Calculs[[#This Row],[Début mois]])</f>
        <v>#VALUE!</v>
      </c>
      <c r="P1017">
        <f ca="1">INDEX(INDIRECT(CONCATENATE("Tab_",Tab_Calculs[[#This Row],[Colonne1]])),Tab_Calculs[[#This Row],[index_date_livraison]],7)*(1+MIN(Tab_Calculs[[#This Row],[Date_livraison]],Tab_Calculs[[#This Row],[fin mois]])-MAX(Tab_Calculs[[#This Row],[Début mois]],Tab_Calculs[[#This Row],[Début periode livraison]]))</f>
        <v>0</v>
      </c>
      <c r="Q1017" t="e">
        <f ca="1">INDEX(INDIRECT(CONCATENATE("Tab_",Tab_Calculs[[#This Row],[Colonne1]])),Tab_Calculs[[#This Row],[index_date_livraison]]+1,7)*(Tab_Calculs[[#This Row],[fin mois]]-MIN(Tab_Calculs[[#This Row],[fin mois]],Tab_Calculs[[#This Row],[Date_livraison]]))</f>
        <v>#VALUE!</v>
      </c>
      <c r="R1017" t="e">
        <f ca="1">Tab_Calculs[[#This Row],[Ratio_Cout_après_livr]]+Tab_Calculs[[#This Row],[Ratio_Cout_avant_livr]]+Tab_Calculs[[#This Row],[Ratio_Cout_avant_debut]]</f>
        <v>#VALUE!</v>
      </c>
      <c r="S1017" t="str">
        <f ca="1">IFERROR(N1017*VLOOKUP(Tab_Calculs[[#This Row],[Colonne1]],Controle_des_données!$B$7:$G$14,6,FALSE),"")</f>
        <v/>
      </c>
      <c r="T1017" t="str">
        <f ca="1">IF(Tab_Calculs[[#This Row],[Combustible ]]="Electricité (kWh)",Tab_Calculs[[#This Row],[Conso_mois_kWh]]*2.3,Tab_Calculs[[#This Row],[Conso_mois_kWh]])</f>
        <v/>
      </c>
      <c r="U1017" t="str">
        <f ca="1">IFERROR(N1017*VLOOKUP(Tab_Calculs[[#This Row],[Colonne1]],Controle_des_données!$B$7:$H$14,7,FALSE),"")</f>
        <v/>
      </c>
      <c r="V1017">
        <f ca="1">IFERROR(Tab_Calculs[[#This Row],[Cout_mois]]/Tab_Calculs[[#This Row],[Conso_mois_kWh]],0)</f>
        <v>0</v>
      </c>
      <c r="W1017" t="str">
        <f>T(VLOOKUP(Tab_Calculs[[#This Row],[Compteur]],Site!$B$33:$G$40,3,FALSE))</f>
        <v/>
      </c>
      <c r="X1017" t="str">
        <f>T(VLOOKUP(Tab_Calculs[[#This Row],[Compteur]],Site!$B$33:$G$40,4,FALSE))</f>
        <v/>
      </c>
      <c r="Y1017" t="str">
        <f>T(VLOOKUP(Tab_Calculs[[#This Row],[Compteur]],Site!$B$33:$G$40,5,FALSE))</f>
        <v/>
      </c>
      <c r="Z1017" t="str">
        <f>T(VLOOKUP(Tab_Calculs[[#This Row],[Compteur]],Site!$B$33:$G$40,6,FALSE))</f>
        <v/>
      </c>
      <c r="AA1017">
        <f>IFERROR(GETPIVOTDATA("DJU(chauffagiste)",BDD_DJU!$P$13,"annee",Tab_Calculs[[#This Row],[ANNEE]],"mois_numero",Tab_Calculs[[#This Row],[MOIS]]),0)</f>
        <v>320.5</v>
      </c>
    </row>
    <row r="1018" spans="1:27" x14ac:dyDescent="0.25">
      <c r="A1018" s="3">
        <f>DATE(Tab_Calculs[[#This Row],[ANNEE]],Tab_Calculs[[#This Row],[MOIS]],1)</f>
        <v>41671</v>
      </c>
      <c r="B1018" s="3">
        <f>EDATE(Tab_Calculs[[#This Row],[Début mois]],1)-1</f>
        <v>41698</v>
      </c>
      <c r="C1018">
        <v>2</v>
      </c>
      <c r="D1018">
        <v>2014</v>
      </c>
      <c r="E1018" t="s">
        <v>85</v>
      </c>
      <c r="F1018" t="str">
        <f>SUBSTITUTE(Tab_Calculs[[#This Row],[Compteur]]," ","_")</f>
        <v>Compteur_6</v>
      </c>
      <c r="G1018" t="str">
        <f>T(INDEX(Site!$B$33:$G$40, MATCH(Tab_Calculs[[#This Row],[Compteur]], Site!$B$33:$B$40,0),2))</f>
        <v/>
      </c>
      <c r="H1018" s="3">
        <f t="array" aca="1" ref="H1018" ca="1">MIN(IF(INDIRECT(CONCATENATE(Tab_Calculs[[#This Row],[Colonne1]],"!$B$2:$B$243"))&gt;=Calculs_Consos!$A1018,INDIRECT(CONCATENATE(Tab_Calculs[[#This Row],[Colonne1]],"!$B$2:$B$243"))))</f>
        <v>0</v>
      </c>
      <c r="I1018" s="3">
        <f ca="1">INDEX(INDIRECT(CONCATENATE("Tab_",Tab_Calculs[[#This Row],[Colonne1]])),Tab_Calculs[[#This Row],[index_date_livraison]],1)</f>
        <v>0</v>
      </c>
      <c r="J1018">
        <f ca="1">MATCH(Tab_Calculs[[#This Row],[Date_livraison]],INDIRECT(CONCATENATE("Tab_",Tab_Calculs[[#This Row],[Colonne1]],"[Fin de période]")),0)</f>
        <v>1</v>
      </c>
      <c r="K1018" t="e">
        <f ca="1">INDEX(INDIRECT(CONCATENATE("Tab_",Tab_Calculs[[#This Row],[Colonne1]])),Tab_Calculs[[#This Row],[index_date_livraison]]-1,6)*(MAX(Tab_Calculs[[#This Row],[Début periode livraison]],Tab_Calculs[[#This Row],[Début mois]])-Tab_Calculs[[#This Row],[Début mois]])</f>
        <v>#VALUE!</v>
      </c>
      <c r="L1018" s="94">
        <f ca="1">INDEX(INDIRECT(CONCATENATE("Tab_",Tab_Calculs[[#This Row],[Colonne1]])),Tab_Calculs[[#This Row],[index_date_livraison]],6)*(1+MIN(Tab_Calculs[[#This Row],[Date_livraison]],Tab_Calculs[[#This Row],[fin mois]])-MAX(Tab_Calculs[[#This Row],[Début mois]],Tab_Calculs[[#This Row],[Début periode livraison]]))</f>
        <v>0</v>
      </c>
      <c r="M1018" s="94" t="e">
        <f ca="1">INDEX(INDIRECT(CONCATENATE("Tab_",Tab_Calculs[[#This Row],[Colonne1]])),Tab_Calculs[[#This Row],[index_date_livraison]]+1,6)*(Tab_Calculs[[#This Row],[fin mois]]-MIN(Tab_Calculs[[#This Row],[fin mois]],Tab_Calculs[[#This Row],[Date_livraison]]))</f>
        <v>#VALUE!</v>
      </c>
      <c r="N1018" s="231" t="str">
        <f ca="1">IFERROR(Tab_Calculs[[#This Row],[Ratio_jour_après_livr]]+Tab_Calculs[[#This Row],[Ratio_jour_avant_livr]]+Tab_Calculs[[#This Row],[ratio_avant_debut]],"")</f>
        <v/>
      </c>
      <c r="O1018" t="e">
        <f ca="1">INDEX(INDIRECT(CONCATENATE("Tab_",Tab_Calculs[[#This Row],[Colonne1]])),Tab_Calculs[[#This Row],[index_date_livraison]]-1,7)*(MAX(Tab_Calculs[[#This Row],[Début periode livraison]],Tab_Calculs[[#This Row],[Début mois]])-Tab_Calculs[[#This Row],[Début mois]])</f>
        <v>#VALUE!</v>
      </c>
      <c r="P1018">
        <f ca="1">INDEX(INDIRECT(CONCATENATE("Tab_",Tab_Calculs[[#This Row],[Colonne1]])),Tab_Calculs[[#This Row],[index_date_livraison]],7)*(1+MIN(Tab_Calculs[[#This Row],[Date_livraison]],Tab_Calculs[[#This Row],[fin mois]])-MAX(Tab_Calculs[[#This Row],[Début mois]],Tab_Calculs[[#This Row],[Début periode livraison]]))</f>
        <v>0</v>
      </c>
      <c r="Q1018" t="e">
        <f ca="1">INDEX(INDIRECT(CONCATENATE("Tab_",Tab_Calculs[[#This Row],[Colonne1]])),Tab_Calculs[[#This Row],[index_date_livraison]]+1,7)*(Tab_Calculs[[#This Row],[fin mois]]-MIN(Tab_Calculs[[#This Row],[fin mois]],Tab_Calculs[[#This Row],[Date_livraison]]))</f>
        <v>#VALUE!</v>
      </c>
      <c r="R1018" t="e">
        <f ca="1">Tab_Calculs[[#This Row],[Ratio_Cout_après_livr]]+Tab_Calculs[[#This Row],[Ratio_Cout_avant_livr]]+Tab_Calculs[[#This Row],[Ratio_Cout_avant_debut]]</f>
        <v>#VALUE!</v>
      </c>
      <c r="S1018" t="str">
        <f ca="1">IFERROR(N1018*VLOOKUP(Tab_Calculs[[#This Row],[Colonne1]],Controle_des_données!$B$7:$G$14,6,FALSE),"")</f>
        <v/>
      </c>
      <c r="T1018" t="str">
        <f ca="1">IF(Tab_Calculs[[#This Row],[Combustible ]]="Electricité (kWh)",Tab_Calculs[[#This Row],[Conso_mois_kWh]]*2.3,Tab_Calculs[[#This Row],[Conso_mois_kWh]])</f>
        <v/>
      </c>
      <c r="U1018" t="str">
        <f ca="1">IFERROR(N1018*VLOOKUP(Tab_Calculs[[#This Row],[Colonne1]],Controle_des_données!$B$7:$H$14,7,FALSE),"")</f>
        <v/>
      </c>
      <c r="V1018">
        <f ca="1">IFERROR(Tab_Calculs[[#This Row],[Cout_mois]]/Tab_Calculs[[#This Row],[Conso_mois_kWh]],0)</f>
        <v>0</v>
      </c>
      <c r="W1018" t="str">
        <f>T(VLOOKUP(Tab_Calculs[[#This Row],[Compteur]],Site!$B$33:$G$40,3,FALSE))</f>
        <v/>
      </c>
      <c r="X1018" t="str">
        <f>T(VLOOKUP(Tab_Calculs[[#This Row],[Compteur]],Site!$B$33:$G$40,4,FALSE))</f>
        <v/>
      </c>
      <c r="Y1018" t="str">
        <f>T(VLOOKUP(Tab_Calculs[[#This Row],[Compteur]],Site!$B$33:$G$40,5,FALSE))</f>
        <v/>
      </c>
      <c r="Z1018" t="str">
        <f>T(VLOOKUP(Tab_Calculs[[#This Row],[Compteur]],Site!$B$33:$G$40,6,FALSE))</f>
        <v/>
      </c>
      <c r="AA1018">
        <f>IFERROR(GETPIVOTDATA("DJU(chauffagiste)",BDD_DJU!$P$13,"annee",Tab_Calculs[[#This Row],[ANNEE]],"mois_numero",Tab_Calculs[[#This Row],[MOIS]]),0)</f>
        <v>281.3</v>
      </c>
    </row>
    <row r="1019" spans="1:27" x14ac:dyDescent="0.25">
      <c r="A1019" s="3">
        <f>DATE(Tab_Calculs[[#This Row],[ANNEE]],Tab_Calculs[[#This Row],[MOIS]],1)</f>
        <v>41699</v>
      </c>
      <c r="B1019" s="3">
        <f>EDATE(Tab_Calculs[[#This Row],[Début mois]],1)-1</f>
        <v>41729</v>
      </c>
      <c r="C1019">
        <v>3</v>
      </c>
      <c r="D1019">
        <v>2014</v>
      </c>
      <c r="E1019" t="s">
        <v>85</v>
      </c>
      <c r="F1019" t="str">
        <f>SUBSTITUTE(Tab_Calculs[[#This Row],[Compteur]]," ","_")</f>
        <v>Compteur_6</v>
      </c>
      <c r="G1019" t="str">
        <f>T(INDEX(Site!$B$33:$G$40, MATCH(Tab_Calculs[[#This Row],[Compteur]], Site!$B$33:$B$40,0),2))</f>
        <v/>
      </c>
      <c r="H1019" s="3">
        <f t="array" aca="1" ref="H1019" ca="1">MIN(IF(INDIRECT(CONCATENATE(Tab_Calculs[[#This Row],[Colonne1]],"!$B$2:$B$243"))&gt;=Calculs_Consos!$A1019,INDIRECT(CONCATENATE(Tab_Calculs[[#This Row],[Colonne1]],"!$B$2:$B$243"))))</f>
        <v>0</v>
      </c>
      <c r="I1019" s="3">
        <f ca="1">INDEX(INDIRECT(CONCATENATE("Tab_",Tab_Calculs[[#This Row],[Colonne1]])),Tab_Calculs[[#This Row],[index_date_livraison]],1)</f>
        <v>0</v>
      </c>
      <c r="J1019">
        <f ca="1">MATCH(Tab_Calculs[[#This Row],[Date_livraison]],INDIRECT(CONCATENATE("Tab_",Tab_Calculs[[#This Row],[Colonne1]],"[Fin de période]")),0)</f>
        <v>1</v>
      </c>
      <c r="K1019" t="e">
        <f ca="1">INDEX(INDIRECT(CONCATENATE("Tab_",Tab_Calculs[[#This Row],[Colonne1]])),Tab_Calculs[[#This Row],[index_date_livraison]]-1,6)*(MAX(Tab_Calculs[[#This Row],[Début periode livraison]],Tab_Calculs[[#This Row],[Début mois]])-Tab_Calculs[[#This Row],[Début mois]])</f>
        <v>#VALUE!</v>
      </c>
      <c r="L1019" s="94">
        <f ca="1">INDEX(INDIRECT(CONCATENATE("Tab_",Tab_Calculs[[#This Row],[Colonne1]])),Tab_Calculs[[#This Row],[index_date_livraison]],6)*(1+MIN(Tab_Calculs[[#This Row],[Date_livraison]],Tab_Calculs[[#This Row],[fin mois]])-MAX(Tab_Calculs[[#This Row],[Début mois]],Tab_Calculs[[#This Row],[Début periode livraison]]))</f>
        <v>0</v>
      </c>
      <c r="M1019" s="94" t="e">
        <f ca="1">INDEX(INDIRECT(CONCATENATE("Tab_",Tab_Calculs[[#This Row],[Colonne1]])),Tab_Calculs[[#This Row],[index_date_livraison]]+1,6)*(Tab_Calculs[[#This Row],[fin mois]]-MIN(Tab_Calculs[[#This Row],[fin mois]],Tab_Calculs[[#This Row],[Date_livraison]]))</f>
        <v>#VALUE!</v>
      </c>
      <c r="N1019" s="231" t="str">
        <f ca="1">IFERROR(Tab_Calculs[[#This Row],[Ratio_jour_après_livr]]+Tab_Calculs[[#This Row],[Ratio_jour_avant_livr]]+Tab_Calculs[[#This Row],[ratio_avant_debut]],"")</f>
        <v/>
      </c>
      <c r="O1019" t="e">
        <f ca="1">INDEX(INDIRECT(CONCATENATE("Tab_",Tab_Calculs[[#This Row],[Colonne1]])),Tab_Calculs[[#This Row],[index_date_livraison]]-1,7)*(MAX(Tab_Calculs[[#This Row],[Début periode livraison]],Tab_Calculs[[#This Row],[Début mois]])-Tab_Calculs[[#This Row],[Début mois]])</f>
        <v>#VALUE!</v>
      </c>
      <c r="P1019">
        <f ca="1">INDEX(INDIRECT(CONCATENATE("Tab_",Tab_Calculs[[#This Row],[Colonne1]])),Tab_Calculs[[#This Row],[index_date_livraison]],7)*(1+MIN(Tab_Calculs[[#This Row],[Date_livraison]],Tab_Calculs[[#This Row],[fin mois]])-MAX(Tab_Calculs[[#This Row],[Début mois]],Tab_Calculs[[#This Row],[Début periode livraison]]))</f>
        <v>0</v>
      </c>
      <c r="Q1019" t="e">
        <f ca="1">INDEX(INDIRECT(CONCATENATE("Tab_",Tab_Calculs[[#This Row],[Colonne1]])),Tab_Calculs[[#This Row],[index_date_livraison]]+1,7)*(Tab_Calculs[[#This Row],[fin mois]]-MIN(Tab_Calculs[[#This Row],[fin mois]],Tab_Calculs[[#This Row],[Date_livraison]]))</f>
        <v>#VALUE!</v>
      </c>
      <c r="R1019" t="e">
        <f ca="1">Tab_Calculs[[#This Row],[Ratio_Cout_après_livr]]+Tab_Calculs[[#This Row],[Ratio_Cout_avant_livr]]+Tab_Calculs[[#This Row],[Ratio_Cout_avant_debut]]</f>
        <v>#VALUE!</v>
      </c>
      <c r="S1019" t="str">
        <f ca="1">IFERROR(N1019*VLOOKUP(Tab_Calculs[[#This Row],[Colonne1]],Controle_des_données!$B$7:$G$14,6,FALSE),"")</f>
        <v/>
      </c>
      <c r="T1019" t="str">
        <f ca="1">IF(Tab_Calculs[[#This Row],[Combustible ]]="Electricité (kWh)",Tab_Calculs[[#This Row],[Conso_mois_kWh]]*2.3,Tab_Calculs[[#This Row],[Conso_mois_kWh]])</f>
        <v/>
      </c>
      <c r="U1019" t="str">
        <f ca="1">IFERROR(N1019*VLOOKUP(Tab_Calculs[[#This Row],[Colonne1]],Controle_des_données!$B$7:$H$14,7,FALSE),"")</f>
        <v/>
      </c>
      <c r="V1019">
        <f ca="1">IFERROR(Tab_Calculs[[#This Row],[Cout_mois]]/Tab_Calculs[[#This Row],[Conso_mois_kWh]],0)</f>
        <v>0</v>
      </c>
      <c r="W1019" t="str">
        <f>T(VLOOKUP(Tab_Calculs[[#This Row],[Compteur]],Site!$B$33:$G$40,3,FALSE))</f>
        <v/>
      </c>
      <c r="X1019" t="str">
        <f>T(VLOOKUP(Tab_Calculs[[#This Row],[Compteur]],Site!$B$33:$G$40,4,FALSE))</f>
        <v/>
      </c>
      <c r="Y1019" t="str">
        <f>T(VLOOKUP(Tab_Calculs[[#This Row],[Compteur]],Site!$B$33:$G$40,5,FALSE))</f>
        <v/>
      </c>
      <c r="Z1019" t="str">
        <f>T(VLOOKUP(Tab_Calculs[[#This Row],[Compteur]],Site!$B$33:$G$40,6,FALSE))</f>
        <v/>
      </c>
      <c r="AA1019">
        <f>IFERROR(GETPIVOTDATA("DJU(chauffagiste)",BDD_DJU!$P$13,"annee",Tab_Calculs[[#This Row],[ANNEE]],"mois_numero",Tab_Calculs[[#This Row],[MOIS]]),0)</f>
        <v>263.89999999999998</v>
      </c>
    </row>
    <row r="1020" spans="1:27" x14ac:dyDescent="0.25">
      <c r="A1020" s="3">
        <f>DATE(Tab_Calculs[[#This Row],[ANNEE]],Tab_Calculs[[#This Row],[MOIS]],1)</f>
        <v>41730</v>
      </c>
      <c r="B1020" s="3">
        <f>EDATE(Tab_Calculs[[#This Row],[Début mois]],1)-1</f>
        <v>41759</v>
      </c>
      <c r="C1020">
        <v>4</v>
      </c>
      <c r="D1020">
        <v>2014</v>
      </c>
      <c r="E1020" t="s">
        <v>85</v>
      </c>
      <c r="F1020" t="str">
        <f>SUBSTITUTE(Tab_Calculs[[#This Row],[Compteur]]," ","_")</f>
        <v>Compteur_6</v>
      </c>
      <c r="G1020" t="str">
        <f>T(INDEX(Site!$B$33:$G$40, MATCH(Tab_Calculs[[#This Row],[Compteur]], Site!$B$33:$B$40,0),2))</f>
        <v/>
      </c>
      <c r="H1020" s="3">
        <f t="array" aca="1" ref="H1020" ca="1">MIN(IF(INDIRECT(CONCATENATE(Tab_Calculs[[#This Row],[Colonne1]],"!$B$2:$B$243"))&gt;=Calculs_Consos!$A1020,INDIRECT(CONCATENATE(Tab_Calculs[[#This Row],[Colonne1]],"!$B$2:$B$243"))))</f>
        <v>0</v>
      </c>
      <c r="I1020" s="3">
        <f ca="1">INDEX(INDIRECT(CONCATENATE("Tab_",Tab_Calculs[[#This Row],[Colonne1]])),Tab_Calculs[[#This Row],[index_date_livraison]],1)</f>
        <v>0</v>
      </c>
      <c r="J1020">
        <f ca="1">MATCH(Tab_Calculs[[#This Row],[Date_livraison]],INDIRECT(CONCATENATE("Tab_",Tab_Calculs[[#This Row],[Colonne1]],"[Fin de période]")),0)</f>
        <v>1</v>
      </c>
      <c r="K1020" t="e">
        <f ca="1">INDEX(INDIRECT(CONCATENATE("Tab_",Tab_Calculs[[#This Row],[Colonne1]])),Tab_Calculs[[#This Row],[index_date_livraison]]-1,6)*(MAX(Tab_Calculs[[#This Row],[Début periode livraison]],Tab_Calculs[[#This Row],[Début mois]])-Tab_Calculs[[#This Row],[Début mois]])</f>
        <v>#VALUE!</v>
      </c>
      <c r="L1020" s="94">
        <f ca="1">INDEX(INDIRECT(CONCATENATE("Tab_",Tab_Calculs[[#This Row],[Colonne1]])),Tab_Calculs[[#This Row],[index_date_livraison]],6)*(1+MIN(Tab_Calculs[[#This Row],[Date_livraison]],Tab_Calculs[[#This Row],[fin mois]])-MAX(Tab_Calculs[[#This Row],[Début mois]],Tab_Calculs[[#This Row],[Début periode livraison]]))</f>
        <v>0</v>
      </c>
      <c r="M1020" s="94" t="e">
        <f ca="1">INDEX(INDIRECT(CONCATENATE("Tab_",Tab_Calculs[[#This Row],[Colonne1]])),Tab_Calculs[[#This Row],[index_date_livraison]]+1,6)*(Tab_Calculs[[#This Row],[fin mois]]-MIN(Tab_Calculs[[#This Row],[fin mois]],Tab_Calculs[[#This Row],[Date_livraison]]))</f>
        <v>#VALUE!</v>
      </c>
      <c r="N1020" s="231" t="str">
        <f ca="1">IFERROR(Tab_Calculs[[#This Row],[Ratio_jour_après_livr]]+Tab_Calculs[[#This Row],[Ratio_jour_avant_livr]]+Tab_Calculs[[#This Row],[ratio_avant_debut]],"")</f>
        <v/>
      </c>
      <c r="O1020" t="e">
        <f ca="1">INDEX(INDIRECT(CONCATENATE("Tab_",Tab_Calculs[[#This Row],[Colonne1]])),Tab_Calculs[[#This Row],[index_date_livraison]]-1,7)*(MAX(Tab_Calculs[[#This Row],[Début periode livraison]],Tab_Calculs[[#This Row],[Début mois]])-Tab_Calculs[[#This Row],[Début mois]])</f>
        <v>#VALUE!</v>
      </c>
      <c r="P1020">
        <f ca="1">INDEX(INDIRECT(CONCATENATE("Tab_",Tab_Calculs[[#This Row],[Colonne1]])),Tab_Calculs[[#This Row],[index_date_livraison]],7)*(1+MIN(Tab_Calculs[[#This Row],[Date_livraison]],Tab_Calculs[[#This Row],[fin mois]])-MAX(Tab_Calculs[[#This Row],[Début mois]],Tab_Calculs[[#This Row],[Début periode livraison]]))</f>
        <v>0</v>
      </c>
      <c r="Q1020" t="e">
        <f ca="1">INDEX(INDIRECT(CONCATENATE("Tab_",Tab_Calculs[[#This Row],[Colonne1]])),Tab_Calculs[[#This Row],[index_date_livraison]]+1,7)*(Tab_Calculs[[#This Row],[fin mois]]-MIN(Tab_Calculs[[#This Row],[fin mois]],Tab_Calculs[[#This Row],[Date_livraison]]))</f>
        <v>#VALUE!</v>
      </c>
      <c r="R1020" t="e">
        <f ca="1">Tab_Calculs[[#This Row],[Ratio_Cout_après_livr]]+Tab_Calculs[[#This Row],[Ratio_Cout_avant_livr]]+Tab_Calculs[[#This Row],[Ratio_Cout_avant_debut]]</f>
        <v>#VALUE!</v>
      </c>
      <c r="S1020" t="str">
        <f ca="1">IFERROR(N1020*VLOOKUP(Tab_Calculs[[#This Row],[Colonne1]],Controle_des_données!$B$7:$G$14,6,FALSE),"")</f>
        <v/>
      </c>
      <c r="T1020" t="str">
        <f ca="1">IF(Tab_Calculs[[#This Row],[Combustible ]]="Electricité (kWh)",Tab_Calculs[[#This Row],[Conso_mois_kWh]]*2.3,Tab_Calculs[[#This Row],[Conso_mois_kWh]])</f>
        <v/>
      </c>
      <c r="U1020" t="str">
        <f ca="1">IFERROR(N1020*VLOOKUP(Tab_Calculs[[#This Row],[Colonne1]],Controle_des_données!$B$7:$H$14,7,FALSE),"")</f>
        <v/>
      </c>
      <c r="V1020">
        <f ca="1">IFERROR(Tab_Calculs[[#This Row],[Cout_mois]]/Tab_Calculs[[#This Row],[Conso_mois_kWh]],0)</f>
        <v>0</v>
      </c>
      <c r="W1020" t="str">
        <f>T(VLOOKUP(Tab_Calculs[[#This Row],[Compteur]],Site!$B$33:$G$40,3,FALSE))</f>
        <v/>
      </c>
      <c r="X1020" t="str">
        <f>T(VLOOKUP(Tab_Calculs[[#This Row],[Compteur]],Site!$B$33:$G$40,4,FALSE))</f>
        <v/>
      </c>
      <c r="Y1020" t="str">
        <f>T(VLOOKUP(Tab_Calculs[[#This Row],[Compteur]],Site!$B$33:$G$40,5,FALSE))</f>
        <v/>
      </c>
      <c r="Z1020" t="str">
        <f>T(VLOOKUP(Tab_Calculs[[#This Row],[Compteur]],Site!$B$33:$G$40,6,FALSE))</f>
        <v/>
      </c>
      <c r="AA1020">
        <f>IFERROR(GETPIVOTDATA("DJU(chauffagiste)",BDD_DJU!$P$13,"annee",Tab_Calculs[[#This Row],[ANNEE]],"mois_numero",Tab_Calculs[[#This Row],[MOIS]]),0)</f>
        <v>174.2</v>
      </c>
    </row>
    <row r="1021" spans="1:27" x14ac:dyDescent="0.25">
      <c r="A1021" s="3">
        <f>DATE(Tab_Calculs[[#This Row],[ANNEE]],Tab_Calculs[[#This Row],[MOIS]],1)</f>
        <v>41760</v>
      </c>
      <c r="B1021" s="3">
        <f>EDATE(Tab_Calculs[[#This Row],[Début mois]],1)-1</f>
        <v>41790</v>
      </c>
      <c r="C1021">
        <v>5</v>
      </c>
      <c r="D1021">
        <v>2014</v>
      </c>
      <c r="E1021" t="s">
        <v>85</v>
      </c>
      <c r="F1021" t="str">
        <f>SUBSTITUTE(Tab_Calculs[[#This Row],[Compteur]]," ","_")</f>
        <v>Compteur_6</v>
      </c>
      <c r="G1021" t="str">
        <f>T(INDEX(Site!$B$33:$G$40, MATCH(Tab_Calculs[[#This Row],[Compteur]], Site!$B$33:$B$40,0),2))</f>
        <v/>
      </c>
      <c r="H1021" s="3">
        <f t="array" aca="1" ref="H1021" ca="1">MIN(IF(INDIRECT(CONCATENATE(Tab_Calculs[[#This Row],[Colonne1]],"!$B$2:$B$243"))&gt;=Calculs_Consos!$A1021,INDIRECT(CONCATENATE(Tab_Calculs[[#This Row],[Colonne1]],"!$B$2:$B$243"))))</f>
        <v>0</v>
      </c>
      <c r="I1021" s="3">
        <f ca="1">INDEX(INDIRECT(CONCATENATE("Tab_",Tab_Calculs[[#This Row],[Colonne1]])),Tab_Calculs[[#This Row],[index_date_livraison]],1)</f>
        <v>0</v>
      </c>
      <c r="J1021">
        <f ca="1">MATCH(Tab_Calculs[[#This Row],[Date_livraison]],INDIRECT(CONCATENATE("Tab_",Tab_Calculs[[#This Row],[Colonne1]],"[Fin de période]")),0)</f>
        <v>1</v>
      </c>
      <c r="K1021" t="e">
        <f ca="1">INDEX(INDIRECT(CONCATENATE("Tab_",Tab_Calculs[[#This Row],[Colonne1]])),Tab_Calculs[[#This Row],[index_date_livraison]]-1,6)*(MAX(Tab_Calculs[[#This Row],[Début periode livraison]],Tab_Calculs[[#This Row],[Début mois]])-Tab_Calculs[[#This Row],[Début mois]])</f>
        <v>#VALUE!</v>
      </c>
      <c r="L1021" s="94">
        <f ca="1">INDEX(INDIRECT(CONCATENATE("Tab_",Tab_Calculs[[#This Row],[Colonne1]])),Tab_Calculs[[#This Row],[index_date_livraison]],6)*(1+MIN(Tab_Calculs[[#This Row],[Date_livraison]],Tab_Calculs[[#This Row],[fin mois]])-MAX(Tab_Calculs[[#This Row],[Début mois]],Tab_Calculs[[#This Row],[Début periode livraison]]))</f>
        <v>0</v>
      </c>
      <c r="M1021" s="94" t="e">
        <f ca="1">INDEX(INDIRECT(CONCATENATE("Tab_",Tab_Calculs[[#This Row],[Colonne1]])),Tab_Calculs[[#This Row],[index_date_livraison]]+1,6)*(Tab_Calculs[[#This Row],[fin mois]]-MIN(Tab_Calculs[[#This Row],[fin mois]],Tab_Calculs[[#This Row],[Date_livraison]]))</f>
        <v>#VALUE!</v>
      </c>
      <c r="N1021" s="231" t="str">
        <f ca="1">IFERROR(Tab_Calculs[[#This Row],[Ratio_jour_après_livr]]+Tab_Calculs[[#This Row],[Ratio_jour_avant_livr]]+Tab_Calculs[[#This Row],[ratio_avant_debut]],"")</f>
        <v/>
      </c>
      <c r="O1021" t="e">
        <f ca="1">INDEX(INDIRECT(CONCATENATE("Tab_",Tab_Calculs[[#This Row],[Colonne1]])),Tab_Calculs[[#This Row],[index_date_livraison]]-1,7)*(MAX(Tab_Calculs[[#This Row],[Début periode livraison]],Tab_Calculs[[#This Row],[Début mois]])-Tab_Calculs[[#This Row],[Début mois]])</f>
        <v>#VALUE!</v>
      </c>
      <c r="P1021">
        <f ca="1">INDEX(INDIRECT(CONCATENATE("Tab_",Tab_Calculs[[#This Row],[Colonne1]])),Tab_Calculs[[#This Row],[index_date_livraison]],7)*(1+MIN(Tab_Calculs[[#This Row],[Date_livraison]],Tab_Calculs[[#This Row],[fin mois]])-MAX(Tab_Calculs[[#This Row],[Début mois]],Tab_Calculs[[#This Row],[Début periode livraison]]))</f>
        <v>0</v>
      </c>
      <c r="Q1021" t="e">
        <f ca="1">INDEX(INDIRECT(CONCATENATE("Tab_",Tab_Calculs[[#This Row],[Colonne1]])),Tab_Calculs[[#This Row],[index_date_livraison]]+1,7)*(Tab_Calculs[[#This Row],[fin mois]]-MIN(Tab_Calculs[[#This Row],[fin mois]],Tab_Calculs[[#This Row],[Date_livraison]]))</f>
        <v>#VALUE!</v>
      </c>
      <c r="R1021" t="e">
        <f ca="1">Tab_Calculs[[#This Row],[Ratio_Cout_après_livr]]+Tab_Calculs[[#This Row],[Ratio_Cout_avant_livr]]+Tab_Calculs[[#This Row],[Ratio_Cout_avant_debut]]</f>
        <v>#VALUE!</v>
      </c>
      <c r="S1021" t="str">
        <f ca="1">IFERROR(N1021*VLOOKUP(Tab_Calculs[[#This Row],[Colonne1]],Controle_des_données!$B$7:$G$14,6,FALSE),"")</f>
        <v/>
      </c>
      <c r="T1021" t="str">
        <f ca="1">IF(Tab_Calculs[[#This Row],[Combustible ]]="Electricité (kWh)",Tab_Calculs[[#This Row],[Conso_mois_kWh]]*2.3,Tab_Calculs[[#This Row],[Conso_mois_kWh]])</f>
        <v/>
      </c>
      <c r="U1021" t="str">
        <f ca="1">IFERROR(N1021*VLOOKUP(Tab_Calculs[[#This Row],[Colonne1]],Controle_des_données!$B$7:$H$14,7,FALSE),"")</f>
        <v/>
      </c>
      <c r="V1021">
        <f ca="1">IFERROR(Tab_Calculs[[#This Row],[Cout_mois]]/Tab_Calculs[[#This Row],[Conso_mois_kWh]],0)</f>
        <v>0</v>
      </c>
      <c r="W1021" t="str">
        <f>T(VLOOKUP(Tab_Calculs[[#This Row],[Compteur]],Site!$B$33:$G$40,3,FALSE))</f>
        <v/>
      </c>
      <c r="X1021" t="str">
        <f>T(VLOOKUP(Tab_Calculs[[#This Row],[Compteur]],Site!$B$33:$G$40,4,FALSE))</f>
        <v/>
      </c>
      <c r="Y1021" t="str">
        <f>T(VLOOKUP(Tab_Calculs[[#This Row],[Compteur]],Site!$B$33:$G$40,5,FALSE))</f>
        <v/>
      </c>
      <c r="Z1021" t="str">
        <f>T(VLOOKUP(Tab_Calculs[[#This Row],[Compteur]],Site!$B$33:$G$40,6,FALSE))</f>
        <v/>
      </c>
      <c r="AA1021">
        <f>IFERROR(GETPIVOTDATA("DJU(chauffagiste)",BDD_DJU!$P$13,"annee",Tab_Calculs[[#This Row],[ANNEE]],"mois_numero",Tab_Calculs[[#This Row],[MOIS]]),0)</f>
        <v>134.5</v>
      </c>
    </row>
    <row r="1022" spans="1:27" x14ac:dyDescent="0.25">
      <c r="A1022" s="3">
        <f>DATE(Tab_Calculs[[#This Row],[ANNEE]],Tab_Calculs[[#This Row],[MOIS]],1)</f>
        <v>41791</v>
      </c>
      <c r="B1022" s="3">
        <f>EDATE(Tab_Calculs[[#This Row],[Début mois]],1)-1</f>
        <v>41820</v>
      </c>
      <c r="C1022">
        <v>6</v>
      </c>
      <c r="D1022">
        <v>2014</v>
      </c>
      <c r="E1022" t="s">
        <v>85</v>
      </c>
      <c r="F1022" t="str">
        <f>SUBSTITUTE(Tab_Calculs[[#This Row],[Compteur]]," ","_")</f>
        <v>Compteur_6</v>
      </c>
      <c r="G1022" t="str">
        <f>T(INDEX(Site!$B$33:$G$40, MATCH(Tab_Calculs[[#This Row],[Compteur]], Site!$B$33:$B$40,0),2))</f>
        <v/>
      </c>
      <c r="H1022" s="3">
        <f t="array" aca="1" ref="H1022" ca="1">MIN(IF(INDIRECT(CONCATENATE(Tab_Calculs[[#This Row],[Colonne1]],"!$B$2:$B$243"))&gt;=Calculs_Consos!$A1022,INDIRECT(CONCATENATE(Tab_Calculs[[#This Row],[Colonne1]],"!$B$2:$B$243"))))</f>
        <v>0</v>
      </c>
      <c r="I1022" s="3">
        <f ca="1">INDEX(INDIRECT(CONCATENATE("Tab_",Tab_Calculs[[#This Row],[Colonne1]])),Tab_Calculs[[#This Row],[index_date_livraison]],1)</f>
        <v>0</v>
      </c>
      <c r="J1022">
        <f ca="1">MATCH(Tab_Calculs[[#This Row],[Date_livraison]],INDIRECT(CONCATENATE("Tab_",Tab_Calculs[[#This Row],[Colonne1]],"[Fin de période]")),0)</f>
        <v>1</v>
      </c>
      <c r="K1022" t="e">
        <f ca="1">INDEX(INDIRECT(CONCATENATE("Tab_",Tab_Calculs[[#This Row],[Colonne1]])),Tab_Calculs[[#This Row],[index_date_livraison]]-1,6)*(MAX(Tab_Calculs[[#This Row],[Début periode livraison]],Tab_Calculs[[#This Row],[Début mois]])-Tab_Calculs[[#This Row],[Début mois]])</f>
        <v>#VALUE!</v>
      </c>
      <c r="L1022" s="94">
        <f ca="1">INDEX(INDIRECT(CONCATENATE("Tab_",Tab_Calculs[[#This Row],[Colonne1]])),Tab_Calculs[[#This Row],[index_date_livraison]],6)*(1+MIN(Tab_Calculs[[#This Row],[Date_livraison]],Tab_Calculs[[#This Row],[fin mois]])-MAX(Tab_Calculs[[#This Row],[Début mois]],Tab_Calculs[[#This Row],[Début periode livraison]]))</f>
        <v>0</v>
      </c>
      <c r="M1022" s="94" t="e">
        <f ca="1">INDEX(INDIRECT(CONCATENATE("Tab_",Tab_Calculs[[#This Row],[Colonne1]])),Tab_Calculs[[#This Row],[index_date_livraison]]+1,6)*(Tab_Calculs[[#This Row],[fin mois]]-MIN(Tab_Calculs[[#This Row],[fin mois]],Tab_Calculs[[#This Row],[Date_livraison]]))</f>
        <v>#VALUE!</v>
      </c>
      <c r="N1022" s="231" t="str">
        <f ca="1">IFERROR(Tab_Calculs[[#This Row],[Ratio_jour_après_livr]]+Tab_Calculs[[#This Row],[Ratio_jour_avant_livr]]+Tab_Calculs[[#This Row],[ratio_avant_debut]],"")</f>
        <v/>
      </c>
      <c r="O1022" t="e">
        <f ca="1">INDEX(INDIRECT(CONCATENATE("Tab_",Tab_Calculs[[#This Row],[Colonne1]])),Tab_Calculs[[#This Row],[index_date_livraison]]-1,7)*(MAX(Tab_Calculs[[#This Row],[Début periode livraison]],Tab_Calculs[[#This Row],[Début mois]])-Tab_Calculs[[#This Row],[Début mois]])</f>
        <v>#VALUE!</v>
      </c>
      <c r="P1022">
        <f ca="1">INDEX(INDIRECT(CONCATENATE("Tab_",Tab_Calculs[[#This Row],[Colonne1]])),Tab_Calculs[[#This Row],[index_date_livraison]],7)*(1+MIN(Tab_Calculs[[#This Row],[Date_livraison]],Tab_Calculs[[#This Row],[fin mois]])-MAX(Tab_Calculs[[#This Row],[Début mois]],Tab_Calculs[[#This Row],[Début periode livraison]]))</f>
        <v>0</v>
      </c>
      <c r="Q1022" t="e">
        <f ca="1">INDEX(INDIRECT(CONCATENATE("Tab_",Tab_Calculs[[#This Row],[Colonne1]])),Tab_Calculs[[#This Row],[index_date_livraison]]+1,7)*(Tab_Calculs[[#This Row],[fin mois]]-MIN(Tab_Calculs[[#This Row],[fin mois]],Tab_Calculs[[#This Row],[Date_livraison]]))</f>
        <v>#VALUE!</v>
      </c>
      <c r="R1022" t="e">
        <f ca="1">Tab_Calculs[[#This Row],[Ratio_Cout_après_livr]]+Tab_Calculs[[#This Row],[Ratio_Cout_avant_livr]]+Tab_Calculs[[#This Row],[Ratio_Cout_avant_debut]]</f>
        <v>#VALUE!</v>
      </c>
      <c r="S1022" t="str">
        <f ca="1">IFERROR(N1022*VLOOKUP(Tab_Calculs[[#This Row],[Colonne1]],Controle_des_données!$B$7:$G$14,6,FALSE),"")</f>
        <v/>
      </c>
      <c r="T1022" t="str">
        <f ca="1">IF(Tab_Calculs[[#This Row],[Combustible ]]="Electricité (kWh)",Tab_Calculs[[#This Row],[Conso_mois_kWh]]*2.3,Tab_Calculs[[#This Row],[Conso_mois_kWh]])</f>
        <v/>
      </c>
      <c r="U1022" t="str">
        <f ca="1">IFERROR(N1022*VLOOKUP(Tab_Calculs[[#This Row],[Colonne1]],Controle_des_données!$B$7:$H$14,7,FALSE),"")</f>
        <v/>
      </c>
      <c r="V1022">
        <f ca="1">IFERROR(Tab_Calculs[[#This Row],[Cout_mois]]/Tab_Calculs[[#This Row],[Conso_mois_kWh]],0)</f>
        <v>0</v>
      </c>
      <c r="W1022" t="str">
        <f>T(VLOOKUP(Tab_Calculs[[#This Row],[Compteur]],Site!$B$33:$G$40,3,FALSE))</f>
        <v/>
      </c>
      <c r="X1022" t="str">
        <f>T(VLOOKUP(Tab_Calculs[[#This Row],[Compteur]],Site!$B$33:$G$40,4,FALSE))</f>
        <v/>
      </c>
      <c r="Y1022" t="str">
        <f>T(VLOOKUP(Tab_Calculs[[#This Row],[Compteur]],Site!$B$33:$G$40,5,FALSE))</f>
        <v/>
      </c>
      <c r="Z1022" t="str">
        <f>T(VLOOKUP(Tab_Calculs[[#This Row],[Compteur]],Site!$B$33:$G$40,6,FALSE))</f>
        <v/>
      </c>
      <c r="AA1022">
        <f>IFERROR(GETPIVOTDATA("DJU(chauffagiste)",BDD_DJU!$P$13,"annee",Tab_Calculs[[#This Row],[ANNEE]],"mois_numero",Tab_Calculs[[#This Row],[MOIS]]),0)</f>
        <v>48.5</v>
      </c>
    </row>
    <row r="1023" spans="1:27" x14ac:dyDescent="0.25">
      <c r="A1023" s="3">
        <f>DATE(Tab_Calculs[[#This Row],[ANNEE]],Tab_Calculs[[#This Row],[MOIS]],1)</f>
        <v>41821</v>
      </c>
      <c r="B1023" s="3">
        <f>EDATE(Tab_Calculs[[#This Row],[Début mois]],1)-1</f>
        <v>41851</v>
      </c>
      <c r="C1023">
        <v>7</v>
      </c>
      <c r="D1023">
        <v>2014</v>
      </c>
      <c r="E1023" t="s">
        <v>85</v>
      </c>
      <c r="F1023" t="str">
        <f>SUBSTITUTE(Tab_Calculs[[#This Row],[Compteur]]," ","_")</f>
        <v>Compteur_6</v>
      </c>
      <c r="G1023" t="str">
        <f>T(INDEX(Site!$B$33:$G$40, MATCH(Tab_Calculs[[#This Row],[Compteur]], Site!$B$33:$B$40,0),2))</f>
        <v/>
      </c>
      <c r="H1023" s="3">
        <f t="array" aca="1" ref="H1023" ca="1">MIN(IF(INDIRECT(CONCATENATE(Tab_Calculs[[#This Row],[Colonne1]],"!$B$2:$B$243"))&gt;=Calculs_Consos!$A1023,INDIRECT(CONCATENATE(Tab_Calculs[[#This Row],[Colonne1]],"!$B$2:$B$243"))))</f>
        <v>0</v>
      </c>
      <c r="I1023" s="3">
        <f ca="1">INDEX(INDIRECT(CONCATENATE("Tab_",Tab_Calculs[[#This Row],[Colonne1]])),Tab_Calculs[[#This Row],[index_date_livraison]],1)</f>
        <v>0</v>
      </c>
      <c r="J1023">
        <f ca="1">MATCH(Tab_Calculs[[#This Row],[Date_livraison]],INDIRECT(CONCATENATE("Tab_",Tab_Calculs[[#This Row],[Colonne1]],"[Fin de période]")),0)</f>
        <v>1</v>
      </c>
      <c r="K1023" t="e">
        <f ca="1">INDEX(INDIRECT(CONCATENATE("Tab_",Tab_Calculs[[#This Row],[Colonne1]])),Tab_Calculs[[#This Row],[index_date_livraison]]-1,6)*(MAX(Tab_Calculs[[#This Row],[Début periode livraison]],Tab_Calculs[[#This Row],[Début mois]])-Tab_Calculs[[#This Row],[Début mois]])</f>
        <v>#VALUE!</v>
      </c>
      <c r="L1023" s="94">
        <f ca="1">INDEX(INDIRECT(CONCATENATE("Tab_",Tab_Calculs[[#This Row],[Colonne1]])),Tab_Calculs[[#This Row],[index_date_livraison]],6)*(1+MIN(Tab_Calculs[[#This Row],[Date_livraison]],Tab_Calculs[[#This Row],[fin mois]])-MAX(Tab_Calculs[[#This Row],[Début mois]],Tab_Calculs[[#This Row],[Début periode livraison]]))</f>
        <v>0</v>
      </c>
      <c r="M1023" s="94" t="e">
        <f ca="1">INDEX(INDIRECT(CONCATENATE("Tab_",Tab_Calculs[[#This Row],[Colonne1]])),Tab_Calculs[[#This Row],[index_date_livraison]]+1,6)*(Tab_Calculs[[#This Row],[fin mois]]-MIN(Tab_Calculs[[#This Row],[fin mois]],Tab_Calculs[[#This Row],[Date_livraison]]))</f>
        <v>#VALUE!</v>
      </c>
      <c r="N1023" s="231" t="str">
        <f ca="1">IFERROR(Tab_Calculs[[#This Row],[Ratio_jour_après_livr]]+Tab_Calculs[[#This Row],[Ratio_jour_avant_livr]]+Tab_Calculs[[#This Row],[ratio_avant_debut]],"")</f>
        <v/>
      </c>
      <c r="O1023" t="e">
        <f ca="1">INDEX(INDIRECT(CONCATENATE("Tab_",Tab_Calculs[[#This Row],[Colonne1]])),Tab_Calculs[[#This Row],[index_date_livraison]]-1,7)*(MAX(Tab_Calculs[[#This Row],[Début periode livraison]],Tab_Calculs[[#This Row],[Début mois]])-Tab_Calculs[[#This Row],[Début mois]])</f>
        <v>#VALUE!</v>
      </c>
      <c r="P1023">
        <f ca="1">INDEX(INDIRECT(CONCATENATE("Tab_",Tab_Calculs[[#This Row],[Colonne1]])),Tab_Calculs[[#This Row],[index_date_livraison]],7)*(1+MIN(Tab_Calculs[[#This Row],[Date_livraison]],Tab_Calculs[[#This Row],[fin mois]])-MAX(Tab_Calculs[[#This Row],[Début mois]],Tab_Calculs[[#This Row],[Début periode livraison]]))</f>
        <v>0</v>
      </c>
      <c r="Q1023" t="e">
        <f ca="1">INDEX(INDIRECT(CONCATENATE("Tab_",Tab_Calculs[[#This Row],[Colonne1]])),Tab_Calculs[[#This Row],[index_date_livraison]]+1,7)*(Tab_Calculs[[#This Row],[fin mois]]-MIN(Tab_Calculs[[#This Row],[fin mois]],Tab_Calculs[[#This Row],[Date_livraison]]))</f>
        <v>#VALUE!</v>
      </c>
      <c r="R1023" t="e">
        <f ca="1">Tab_Calculs[[#This Row],[Ratio_Cout_après_livr]]+Tab_Calculs[[#This Row],[Ratio_Cout_avant_livr]]+Tab_Calculs[[#This Row],[Ratio_Cout_avant_debut]]</f>
        <v>#VALUE!</v>
      </c>
      <c r="S1023" t="str">
        <f ca="1">IFERROR(N1023*VLOOKUP(Tab_Calculs[[#This Row],[Colonne1]],Controle_des_données!$B$7:$G$14,6,FALSE),"")</f>
        <v/>
      </c>
      <c r="T1023" t="str">
        <f ca="1">IF(Tab_Calculs[[#This Row],[Combustible ]]="Electricité (kWh)",Tab_Calculs[[#This Row],[Conso_mois_kWh]]*2.3,Tab_Calculs[[#This Row],[Conso_mois_kWh]])</f>
        <v/>
      </c>
      <c r="U1023" t="str">
        <f ca="1">IFERROR(N1023*VLOOKUP(Tab_Calculs[[#This Row],[Colonne1]],Controle_des_données!$B$7:$H$14,7,FALSE),"")</f>
        <v/>
      </c>
      <c r="V1023">
        <f ca="1">IFERROR(Tab_Calculs[[#This Row],[Cout_mois]]/Tab_Calculs[[#This Row],[Conso_mois_kWh]],0)</f>
        <v>0</v>
      </c>
      <c r="W1023" t="str">
        <f>T(VLOOKUP(Tab_Calculs[[#This Row],[Compteur]],Site!$B$33:$G$40,3,FALSE))</f>
        <v/>
      </c>
      <c r="X1023" t="str">
        <f>T(VLOOKUP(Tab_Calculs[[#This Row],[Compteur]],Site!$B$33:$G$40,4,FALSE))</f>
        <v/>
      </c>
      <c r="Y1023" t="str">
        <f>T(VLOOKUP(Tab_Calculs[[#This Row],[Compteur]],Site!$B$33:$G$40,5,FALSE))</f>
        <v/>
      </c>
      <c r="Z1023" t="str">
        <f>T(VLOOKUP(Tab_Calculs[[#This Row],[Compteur]],Site!$B$33:$G$40,6,FALSE))</f>
        <v/>
      </c>
      <c r="AA1023">
        <f>IFERROR(GETPIVOTDATA("DJU(chauffagiste)",BDD_DJU!$P$13,"annee",Tab_Calculs[[#This Row],[ANNEE]],"mois_numero",Tab_Calculs[[#This Row],[MOIS]]),0)</f>
        <v>22.6</v>
      </c>
    </row>
    <row r="1024" spans="1:27" x14ac:dyDescent="0.25">
      <c r="A1024" s="3">
        <f>DATE(Tab_Calculs[[#This Row],[ANNEE]],Tab_Calculs[[#This Row],[MOIS]],1)</f>
        <v>41852</v>
      </c>
      <c r="B1024" s="3">
        <f>EDATE(Tab_Calculs[[#This Row],[Début mois]],1)-1</f>
        <v>41882</v>
      </c>
      <c r="C1024">
        <v>8</v>
      </c>
      <c r="D1024">
        <v>2014</v>
      </c>
      <c r="E1024" t="s">
        <v>85</v>
      </c>
      <c r="F1024" t="str">
        <f>SUBSTITUTE(Tab_Calculs[[#This Row],[Compteur]]," ","_")</f>
        <v>Compteur_6</v>
      </c>
      <c r="G1024" t="str">
        <f>T(INDEX(Site!$B$33:$G$40, MATCH(Tab_Calculs[[#This Row],[Compteur]], Site!$B$33:$B$40,0),2))</f>
        <v/>
      </c>
      <c r="H1024" s="3">
        <f t="array" aca="1" ref="H1024" ca="1">MIN(IF(INDIRECT(CONCATENATE(Tab_Calculs[[#This Row],[Colonne1]],"!$B$2:$B$243"))&gt;=Calculs_Consos!$A1024,INDIRECT(CONCATENATE(Tab_Calculs[[#This Row],[Colonne1]],"!$B$2:$B$243"))))</f>
        <v>0</v>
      </c>
      <c r="I1024" s="3">
        <f ca="1">INDEX(INDIRECT(CONCATENATE("Tab_",Tab_Calculs[[#This Row],[Colonne1]])),Tab_Calculs[[#This Row],[index_date_livraison]],1)</f>
        <v>0</v>
      </c>
      <c r="J1024">
        <f ca="1">MATCH(Tab_Calculs[[#This Row],[Date_livraison]],INDIRECT(CONCATENATE("Tab_",Tab_Calculs[[#This Row],[Colonne1]],"[Fin de période]")),0)</f>
        <v>1</v>
      </c>
      <c r="K1024" t="e">
        <f ca="1">INDEX(INDIRECT(CONCATENATE("Tab_",Tab_Calculs[[#This Row],[Colonne1]])),Tab_Calculs[[#This Row],[index_date_livraison]]-1,6)*(MAX(Tab_Calculs[[#This Row],[Début periode livraison]],Tab_Calculs[[#This Row],[Début mois]])-Tab_Calculs[[#This Row],[Début mois]])</f>
        <v>#VALUE!</v>
      </c>
      <c r="L1024" s="94">
        <f ca="1">INDEX(INDIRECT(CONCATENATE("Tab_",Tab_Calculs[[#This Row],[Colonne1]])),Tab_Calculs[[#This Row],[index_date_livraison]],6)*(1+MIN(Tab_Calculs[[#This Row],[Date_livraison]],Tab_Calculs[[#This Row],[fin mois]])-MAX(Tab_Calculs[[#This Row],[Début mois]],Tab_Calculs[[#This Row],[Début periode livraison]]))</f>
        <v>0</v>
      </c>
      <c r="M1024" s="94" t="e">
        <f ca="1">INDEX(INDIRECT(CONCATENATE("Tab_",Tab_Calculs[[#This Row],[Colonne1]])),Tab_Calculs[[#This Row],[index_date_livraison]]+1,6)*(Tab_Calculs[[#This Row],[fin mois]]-MIN(Tab_Calculs[[#This Row],[fin mois]],Tab_Calculs[[#This Row],[Date_livraison]]))</f>
        <v>#VALUE!</v>
      </c>
      <c r="N1024" s="231" t="str">
        <f ca="1">IFERROR(Tab_Calculs[[#This Row],[Ratio_jour_après_livr]]+Tab_Calculs[[#This Row],[Ratio_jour_avant_livr]]+Tab_Calculs[[#This Row],[ratio_avant_debut]],"")</f>
        <v/>
      </c>
      <c r="O1024" t="e">
        <f ca="1">INDEX(INDIRECT(CONCATENATE("Tab_",Tab_Calculs[[#This Row],[Colonne1]])),Tab_Calculs[[#This Row],[index_date_livraison]]-1,7)*(MAX(Tab_Calculs[[#This Row],[Début periode livraison]],Tab_Calculs[[#This Row],[Début mois]])-Tab_Calculs[[#This Row],[Début mois]])</f>
        <v>#VALUE!</v>
      </c>
      <c r="P1024">
        <f ca="1">INDEX(INDIRECT(CONCATENATE("Tab_",Tab_Calculs[[#This Row],[Colonne1]])),Tab_Calculs[[#This Row],[index_date_livraison]],7)*(1+MIN(Tab_Calculs[[#This Row],[Date_livraison]],Tab_Calculs[[#This Row],[fin mois]])-MAX(Tab_Calculs[[#This Row],[Début mois]],Tab_Calculs[[#This Row],[Début periode livraison]]))</f>
        <v>0</v>
      </c>
      <c r="Q1024" t="e">
        <f ca="1">INDEX(INDIRECT(CONCATENATE("Tab_",Tab_Calculs[[#This Row],[Colonne1]])),Tab_Calculs[[#This Row],[index_date_livraison]]+1,7)*(Tab_Calculs[[#This Row],[fin mois]]-MIN(Tab_Calculs[[#This Row],[fin mois]],Tab_Calculs[[#This Row],[Date_livraison]]))</f>
        <v>#VALUE!</v>
      </c>
      <c r="R1024" t="e">
        <f ca="1">Tab_Calculs[[#This Row],[Ratio_Cout_après_livr]]+Tab_Calculs[[#This Row],[Ratio_Cout_avant_livr]]+Tab_Calculs[[#This Row],[Ratio_Cout_avant_debut]]</f>
        <v>#VALUE!</v>
      </c>
      <c r="S1024" t="str">
        <f ca="1">IFERROR(N1024*VLOOKUP(Tab_Calculs[[#This Row],[Colonne1]],Controle_des_données!$B$7:$G$14,6,FALSE),"")</f>
        <v/>
      </c>
      <c r="T1024" t="str">
        <f ca="1">IF(Tab_Calculs[[#This Row],[Combustible ]]="Electricité (kWh)",Tab_Calculs[[#This Row],[Conso_mois_kWh]]*2.3,Tab_Calculs[[#This Row],[Conso_mois_kWh]])</f>
        <v/>
      </c>
      <c r="U1024" t="str">
        <f ca="1">IFERROR(N1024*VLOOKUP(Tab_Calculs[[#This Row],[Colonne1]],Controle_des_données!$B$7:$H$14,7,FALSE),"")</f>
        <v/>
      </c>
      <c r="V1024">
        <f ca="1">IFERROR(Tab_Calculs[[#This Row],[Cout_mois]]/Tab_Calculs[[#This Row],[Conso_mois_kWh]],0)</f>
        <v>0</v>
      </c>
      <c r="W1024" t="str">
        <f>T(VLOOKUP(Tab_Calculs[[#This Row],[Compteur]],Site!$B$33:$G$40,3,FALSE))</f>
        <v/>
      </c>
      <c r="X1024" t="str">
        <f>T(VLOOKUP(Tab_Calculs[[#This Row],[Compteur]],Site!$B$33:$G$40,4,FALSE))</f>
        <v/>
      </c>
      <c r="Y1024" t="str">
        <f>T(VLOOKUP(Tab_Calculs[[#This Row],[Compteur]],Site!$B$33:$G$40,5,FALSE))</f>
        <v/>
      </c>
      <c r="Z1024" t="str">
        <f>T(VLOOKUP(Tab_Calculs[[#This Row],[Compteur]],Site!$B$33:$G$40,6,FALSE))</f>
        <v/>
      </c>
      <c r="AA1024">
        <f>IFERROR(GETPIVOTDATA("DJU(chauffagiste)",BDD_DJU!$P$13,"annee",Tab_Calculs[[#This Row],[ANNEE]],"mois_numero",Tab_Calculs[[#This Row],[MOIS]]),0)</f>
        <v>51.9</v>
      </c>
    </row>
    <row r="1025" spans="1:27" x14ac:dyDescent="0.25">
      <c r="A1025" s="3">
        <f>DATE(Tab_Calculs[[#This Row],[ANNEE]],Tab_Calculs[[#This Row],[MOIS]],1)</f>
        <v>41883</v>
      </c>
      <c r="B1025" s="3">
        <f>EDATE(Tab_Calculs[[#This Row],[Début mois]],1)-1</f>
        <v>41912</v>
      </c>
      <c r="C1025">
        <v>9</v>
      </c>
      <c r="D1025">
        <v>2014</v>
      </c>
      <c r="E1025" t="s">
        <v>85</v>
      </c>
      <c r="F1025" t="str">
        <f>SUBSTITUTE(Tab_Calculs[[#This Row],[Compteur]]," ","_")</f>
        <v>Compteur_6</v>
      </c>
      <c r="G1025" t="str">
        <f>T(INDEX(Site!$B$33:$G$40, MATCH(Tab_Calculs[[#This Row],[Compteur]], Site!$B$33:$B$40,0),2))</f>
        <v/>
      </c>
      <c r="H1025" s="3">
        <f t="array" aca="1" ref="H1025" ca="1">MIN(IF(INDIRECT(CONCATENATE(Tab_Calculs[[#This Row],[Colonne1]],"!$B$2:$B$243"))&gt;=Calculs_Consos!$A1025,INDIRECT(CONCATENATE(Tab_Calculs[[#This Row],[Colonne1]],"!$B$2:$B$243"))))</f>
        <v>0</v>
      </c>
      <c r="I1025" s="3">
        <f ca="1">INDEX(INDIRECT(CONCATENATE("Tab_",Tab_Calculs[[#This Row],[Colonne1]])),Tab_Calculs[[#This Row],[index_date_livraison]],1)</f>
        <v>0</v>
      </c>
      <c r="J1025">
        <f ca="1">MATCH(Tab_Calculs[[#This Row],[Date_livraison]],INDIRECT(CONCATENATE("Tab_",Tab_Calculs[[#This Row],[Colonne1]],"[Fin de période]")),0)</f>
        <v>1</v>
      </c>
      <c r="K1025" t="e">
        <f ca="1">INDEX(INDIRECT(CONCATENATE("Tab_",Tab_Calculs[[#This Row],[Colonne1]])),Tab_Calculs[[#This Row],[index_date_livraison]]-1,6)*(MAX(Tab_Calculs[[#This Row],[Début periode livraison]],Tab_Calculs[[#This Row],[Début mois]])-Tab_Calculs[[#This Row],[Début mois]])</f>
        <v>#VALUE!</v>
      </c>
      <c r="L1025" s="94">
        <f ca="1">INDEX(INDIRECT(CONCATENATE("Tab_",Tab_Calculs[[#This Row],[Colonne1]])),Tab_Calculs[[#This Row],[index_date_livraison]],6)*(1+MIN(Tab_Calculs[[#This Row],[Date_livraison]],Tab_Calculs[[#This Row],[fin mois]])-MAX(Tab_Calculs[[#This Row],[Début mois]],Tab_Calculs[[#This Row],[Début periode livraison]]))</f>
        <v>0</v>
      </c>
      <c r="M1025" s="94" t="e">
        <f ca="1">INDEX(INDIRECT(CONCATENATE("Tab_",Tab_Calculs[[#This Row],[Colonne1]])),Tab_Calculs[[#This Row],[index_date_livraison]]+1,6)*(Tab_Calculs[[#This Row],[fin mois]]-MIN(Tab_Calculs[[#This Row],[fin mois]],Tab_Calculs[[#This Row],[Date_livraison]]))</f>
        <v>#VALUE!</v>
      </c>
      <c r="N1025" s="231" t="str">
        <f ca="1">IFERROR(Tab_Calculs[[#This Row],[Ratio_jour_après_livr]]+Tab_Calculs[[#This Row],[Ratio_jour_avant_livr]]+Tab_Calculs[[#This Row],[ratio_avant_debut]],"")</f>
        <v/>
      </c>
      <c r="O1025" t="e">
        <f ca="1">INDEX(INDIRECT(CONCATENATE("Tab_",Tab_Calculs[[#This Row],[Colonne1]])),Tab_Calculs[[#This Row],[index_date_livraison]]-1,7)*(MAX(Tab_Calculs[[#This Row],[Début periode livraison]],Tab_Calculs[[#This Row],[Début mois]])-Tab_Calculs[[#This Row],[Début mois]])</f>
        <v>#VALUE!</v>
      </c>
      <c r="P1025">
        <f ca="1">INDEX(INDIRECT(CONCATENATE("Tab_",Tab_Calculs[[#This Row],[Colonne1]])),Tab_Calculs[[#This Row],[index_date_livraison]],7)*(1+MIN(Tab_Calculs[[#This Row],[Date_livraison]],Tab_Calculs[[#This Row],[fin mois]])-MAX(Tab_Calculs[[#This Row],[Début mois]],Tab_Calculs[[#This Row],[Début periode livraison]]))</f>
        <v>0</v>
      </c>
      <c r="Q1025" t="e">
        <f ca="1">INDEX(INDIRECT(CONCATENATE("Tab_",Tab_Calculs[[#This Row],[Colonne1]])),Tab_Calculs[[#This Row],[index_date_livraison]]+1,7)*(Tab_Calculs[[#This Row],[fin mois]]-MIN(Tab_Calculs[[#This Row],[fin mois]],Tab_Calculs[[#This Row],[Date_livraison]]))</f>
        <v>#VALUE!</v>
      </c>
      <c r="R1025" t="e">
        <f ca="1">Tab_Calculs[[#This Row],[Ratio_Cout_après_livr]]+Tab_Calculs[[#This Row],[Ratio_Cout_avant_livr]]+Tab_Calculs[[#This Row],[Ratio_Cout_avant_debut]]</f>
        <v>#VALUE!</v>
      </c>
      <c r="S1025" t="str">
        <f ca="1">IFERROR(N1025*VLOOKUP(Tab_Calculs[[#This Row],[Colonne1]],Controle_des_données!$B$7:$G$14,6,FALSE),"")</f>
        <v/>
      </c>
      <c r="T1025" t="str">
        <f ca="1">IF(Tab_Calculs[[#This Row],[Combustible ]]="Electricité (kWh)",Tab_Calculs[[#This Row],[Conso_mois_kWh]]*2.3,Tab_Calculs[[#This Row],[Conso_mois_kWh]])</f>
        <v/>
      </c>
      <c r="U1025" t="str">
        <f ca="1">IFERROR(N1025*VLOOKUP(Tab_Calculs[[#This Row],[Colonne1]],Controle_des_données!$B$7:$H$14,7,FALSE),"")</f>
        <v/>
      </c>
      <c r="V1025">
        <f ca="1">IFERROR(Tab_Calculs[[#This Row],[Cout_mois]]/Tab_Calculs[[#This Row],[Conso_mois_kWh]],0)</f>
        <v>0</v>
      </c>
      <c r="W1025" t="str">
        <f>T(VLOOKUP(Tab_Calculs[[#This Row],[Compteur]],Site!$B$33:$G$40,3,FALSE))</f>
        <v/>
      </c>
      <c r="X1025" t="str">
        <f>T(VLOOKUP(Tab_Calculs[[#This Row],[Compteur]],Site!$B$33:$G$40,4,FALSE))</f>
        <v/>
      </c>
      <c r="Y1025" t="str">
        <f>T(VLOOKUP(Tab_Calculs[[#This Row],[Compteur]],Site!$B$33:$G$40,5,FALSE))</f>
        <v/>
      </c>
      <c r="Z1025" t="str">
        <f>T(VLOOKUP(Tab_Calculs[[#This Row],[Compteur]],Site!$B$33:$G$40,6,FALSE))</f>
        <v/>
      </c>
      <c r="AA1025">
        <f>IFERROR(GETPIVOTDATA("DJU(chauffagiste)",BDD_DJU!$P$13,"annee",Tab_Calculs[[#This Row],[ANNEE]],"mois_numero",Tab_Calculs[[#This Row],[MOIS]]),0)</f>
        <v>54.3</v>
      </c>
    </row>
    <row r="1026" spans="1:27" x14ac:dyDescent="0.25">
      <c r="A1026" s="3">
        <f>DATE(Tab_Calculs[[#This Row],[ANNEE]],Tab_Calculs[[#This Row],[MOIS]],1)</f>
        <v>41913</v>
      </c>
      <c r="B1026" s="3">
        <f>EDATE(Tab_Calculs[[#This Row],[Début mois]],1)-1</f>
        <v>41943</v>
      </c>
      <c r="C1026">
        <v>10</v>
      </c>
      <c r="D1026">
        <v>2014</v>
      </c>
      <c r="E1026" t="s">
        <v>85</v>
      </c>
      <c r="F1026" t="str">
        <f>SUBSTITUTE(Tab_Calculs[[#This Row],[Compteur]]," ","_")</f>
        <v>Compteur_6</v>
      </c>
      <c r="G1026" t="str">
        <f>T(INDEX(Site!$B$33:$G$40, MATCH(Tab_Calculs[[#This Row],[Compteur]], Site!$B$33:$B$40,0),2))</f>
        <v/>
      </c>
      <c r="H1026" s="3">
        <f t="array" aca="1" ref="H1026" ca="1">MIN(IF(INDIRECT(CONCATENATE(Tab_Calculs[[#This Row],[Colonne1]],"!$B$2:$B$243"))&gt;=Calculs_Consos!$A1026,INDIRECT(CONCATENATE(Tab_Calculs[[#This Row],[Colonne1]],"!$B$2:$B$243"))))</f>
        <v>0</v>
      </c>
      <c r="I1026" s="3">
        <f ca="1">INDEX(INDIRECT(CONCATENATE("Tab_",Tab_Calculs[[#This Row],[Colonne1]])),Tab_Calculs[[#This Row],[index_date_livraison]],1)</f>
        <v>0</v>
      </c>
      <c r="J1026">
        <f ca="1">MATCH(Tab_Calculs[[#This Row],[Date_livraison]],INDIRECT(CONCATENATE("Tab_",Tab_Calculs[[#This Row],[Colonne1]],"[Fin de période]")),0)</f>
        <v>1</v>
      </c>
      <c r="K1026" t="e">
        <f ca="1">INDEX(INDIRECT(CONCATENATE("Tab_",Tab_Calculs[[#This Row],[Colonne1]])),Tab_Calculs[[#This Row],[index_date_livraison]]-1,6)*(MAX(Tab_Calculs[[#This Row],[Début periode livraison]],Tab_Calculs[[#This Row],[Début mois]])-Tab_Calculs[[#This Row],[Début mois]])</f>
        <v>#VALUE!</v>
      </c>
      <c r="L1026" s="94">
        <f ca="1">INDEX(INDIRECT(CONCATENATE("Tab_",Tab_Calculs[[#This Row],[Colonne1]])),Tab_Calculs[[#This Row],[index_date_livraison]],6)*(1+MIN(Tab_Calculs[[#This Row],[Date_livraison]],Tab_Calculs[[#This Row],[fin mois]])-MAX(Tab_Calculs[[#This Row],[Début mois]],Tab_Calculs[[#This Row],[Début periode livraison]]))</f>
        <v>0</v>
      </c>
      <c r="M1026" s="94" t="e">
        <f ca="1">INDEX(INDIRECT(CONCATENATE("Tab_",Tab_Calculs[[#This Row],[Colonne1]])),Tab_Calculs[[#This Row],[index_date_livraison]]+1,6)*(Tab_Calculs[[#This Row],[fin mois]]-MIN(Tab_Calculs[[#This Row],[fin mois]],Tab_Calculs[[#This Row],[Date_livraison]]))</f>
        <v>#VALUE!</v>
      </c>
      <c r="N1026" s="231" t="str">
        <f ca="1">IFERROR(Tab_Calculs[[#This Row],[Ratio_jour_après_livr]]+Tab_Calculs[[#This Row],[Ratio_jour_avant_livr]]+Tab_Calculs[[#This Row],[ratio_avant_debut]],"")</f>
        <v/>
      </c>
      <c r="O1026" t="e">
        <f ca="1">INDEX(INDIRECT(CONCATENATE("Tab_",Tab_Calculs[[#This Row],[Colonne1]])),Tab_Calculs[[#This Row],[index_date_livraison]]-1,7)*(MAX(Tab_Calculs[[#This Row],[Début periode livraison]],Tab_Calculs[[#This Row],[Début mois]])-Tab_Calculs[[#This Row],[Début mois]])</f>
        <v>#VALUE!</v>
      </c>
      <c r="P1026">
        <f ca="1">INDEX(INDIRECT(CONCATENATE("Tab_",Tab_Calculs[[#This Row],[Colonne1]])),Tab_Calculs[[#This Row],[index_date_livraison]],7)*(1+MIN(Tab_Calculs[[#This Row],[Date_livraison]],Tab_Calculs[[#This Row],[fin mois]])-MAX(Tab_Calculs[[#This Row],[Début mois]],Tab_Calculs[[#This Row],[Début periode livraison]]))</f>
        <v>0</v>
      </c>
      <c r="Q1026" t="e">
        <f ca="1">INDEX(INDIRECT(CONCATENATE("Tab_",Tab_Calculs[[#This Row],[Colonne1]])),Tab_Calculs[[#This Row],[index_date_livraison]]+1,7)*(Tab_Calculs[[#This Row],[fin mois]]-MIN(Tab_Calculs[[#This Row],[fin mois]],Tab_Calculs[[#This Row],[Date_livraison]]))</f>
        <v>#VALUE!</v>
      </c>
      <c r="R1026" t="e">
        <f ca="1">Tab_Calculs[[#This Row],[Ratio_Cout_après_livr]]+Tab_Calculs[[#This Row],[Ratio_Cout_avant_livr]]+Tab_Calculs[[#This Row],[Ratio_Cout_avant_debut]]</f>
        <v>#VALUE!</v>
      </c>
      <c r="S1026" t="str">
        <f ca="1">IFERROR(N1026*VLOOKUP(Tab_Calculs[[#This Row],[Colonne1]],Controle_des_données!$B$7:$G$14,6,FALSE),"")</f>
        <v/>
      </c>
      <c r="T1026" t="str">
        <f ca="1">IF(Tab_Calculs[[#This Row],[Combustible ]]="Electricité (kWh)",Tab_Calculs[[#This Row],[Conso_mois_kWh]]*2.3,Tab_Calculs[[#This Row],[Conso_mois_kWh]])</f>
        <v/>
      </c>
      <c r="U1026" t="str">
        <f ca="1">IFERROR(N1026*VLOOKUP(Tab_Calculs[[#This Row],[Colonne1]],Controle_des_données!$B$7:$H$14,7,FALSE),"")</f>
        <v/>
      </c>
      <c r="V1026">
        <f ca="1">IFERROR(Tab_Calculs[[#This Row],[Cout_mois]]/Tab_Calculs[[#This Row],[Conso_mois_kWh]],0)</f>
        <v>0</v>
      </c>
      <c r="W1026" t="str">
        <f>T(VLOOKUP(Tab_Calculs[[#This Row],[Compteur]],Site!$B$33:$G$40,3,FALSE))</f>
        <v/>
      </c>
      <c r="X1026" t="str">
        <f>T(VLOOKUP(Tab_Calculs[[#This Row],[Compteur]],Site!$B$33:$G$40,4,FALSE))</f>
        <v/>
      </c>
      <c r="Y1026" t="str">
        <f>T(VLOOKUP(Tab_Calculs[[#This Row],[Compteur]],Site!$B$33:$G$40,5,FALSE))</f>
        <v/>
      </c>
      <c r="Z1026" t="str">
        <f>T(VLOOKUP(Tab_Calculs[[#This Row],[Compteur]],Site!$B$33:$G$40,6,FALSE))</f>
        <v/>
      </c>
      <c r="AA1026">
        <f>IFERROR(GETPIVOTDATA("DJU(chauffagiste)",BDD_DJU!$P$13,"annee",Tab_Calculs[[#This Row],[ANNEE]],"mois_numero",Tab_Calculs[[#This Row],[MOIS]]),0)</f>
        <v>124.2</v>
      </c>
    </row>
    <row r="1027" spans="1:27" x14ac:dyDescent="0.25">
      <c r="A1027" s="3">
        <f>DATE(Tab_Calculs[[#This Row],[ANNEE]],Tab_Calculs[[#This Row],[MOIS]],1)</f>
        <v>41944</v>
      </c>
      <c r="B1027" s="3">
        <f>EDATE(Tab_Calculs[[#This Row],[Début mois]],1)-1</f>
        <v>41973</v>
      </c>
      <c r="C1027">
        <v>11</v>
      </c>
      <c r="D1027">
        <v>2014</v>
      </c>
      <c r="E1027" t="s">
        <v>85</v>
      </c>
      <c r="F1027" t="str">
        <f>SUBSTITUTE(Tab_Calculs[[#This Row],[Compteur]]," ","_")</f>
        <v>Compteur_6</v>
      </c>
      <c r="G1027" t="str">
        <f>T(INDEX(Site!$B$33:$G$40, MATCH(Tab_Calculs[[#This Row],[Compteur]], Site!$B$33:$B$40,0),2))</f>
        <v/>
      </c>
      <c r="H1027" s="3">
        <f t="array" aca="1" ref="H1027" ca="1">MIN(IF(INDIRECT(CONCATENATE(Tab_Calculs[[#This Row],[Colonne1]],"!$B$2:$B$243"))&gt;=Calculs_Consos!$A1027,INDIRECT(CONCATENATE(Tab_Calculs[[#This Row],[Colonne1]],"!$B$2:$B$243"))))</f>
        <v>0</v>
      </c>
      <c r="I1027" s="3">
        <f ca="1">INDEX(INDIRECT(CONCATENATE("Tab_",Tab_Calculs[[#This Row],[Colonne1]])),Tab_Calculs[[#This Row],[index_date_livraison]],1)</f>
        <v>0</v>
      </c>
      <c r="J1027">
        <f ca="1">MATCH(Tab_Calculs[[#This Row],[Date_livraison]],INDIRECT(CONCATENATE("Tab_",Tab_Calculs[[#This Row],[Colonne1]],"[Fin de période]")),0)</f>
        <v>1</v>
      </c>
      <c r="K1027" t="e">
        <f ca="1">INDEX(INDIRECT(CONCATENATE("Tab_",Tab_Calculs[[#This Row],[Colonne1]])),Tab_Calculs[[#This Row],[index_date_livraison]]-1,6)*(MAX(Tab_Calculs[[#This Row],[Début periode livraison]],Tab_Calculs[[#This Row],[Début mois]])-Tab_Calculs[[#This Row],[Début mois]])</f>
        <v>#VALUE!</v>
      </c>
      <c r="L1027" s="94">
        <f ca="1">INDEX(INDIRECT(CONCATENATE("Tab_",Tab_Calculs[[#This Row],[Colonne1]])),Tab_Calculs[[#This Row],[index_date_livraison]],6)*(1+MIN(Tab_Calculs[[#This Row],[Date_livraison]],Tab_Calculs[[#This Row],[fin mois]])-MAX(Tab_Calculs[[#This Row],[Début mois]],Tab_Calculs[[#This Row],[Début periode livraison]]))</f>
        <v>0</v>
      </c>
      <c r="M1027" s="94" t="e">
        <f ca="1">INDEX(INDIRECT(CONCATENATE("Tab_",Tab_Calculs[[#This Row],[Colonne1]])),Tab_Calculs[[#This Row],[index_date_livraison]]+1,6)*(Tab_Calculs[[#This Row],[fin mois]]-MIN(Tab_Calculs[[#This Row],[fin mois]],Tab_Calculs[[#This Row],[Date_livraison]]))</f>
        <v>#VALUE!</v>
      </c>
      <c r="N1027" s="231" t="str">
        <f ca="1">IFERROR(Tab_Calculs[[#This Row],[Ratio_jour_après_livr]]+Tab_Calculs[[#This Row],[Ratio_jour_avant_livr]]+Tab_Calculs[[#This Row],[ratio_avant_debut]],"")</f>
        <v/>
      </c>
      <c r="O1027" t="e">
        <f ca="1">INDEX(INDIRECT(CONCATENATE("Tab_",Tab_Calculs[[#This Row],[Colonne1]])),Tab_Calculs[[#This Row],[index_date_livraison]]-1,7)*(MAX(Tab_Calculs[[#This Row],[Début periode livraison]],Tab_Calculs[[#This Row],[Début mois]])-Tab_Calculs[[#This Row],[Début mois]])</f>
        <v>#VALUE!</v>
      </c>
      <c r="P1027">
        <f ca="1">INDEX(INDIRECT(CONCATENATE("Tab_",Tab_Calculs[[#This Row],[Colonne1]])),Tab_Calculs[[#This Row],[index_date_livraison]],7)*(1+MIN(Tab_Calculs[[#This Row],[Date_livraison]],Tab_Calculs[[#This Row],[fin mois]])-MAX(Tab_Calculs[[#This Row],[Début mois]],Tab_Calculs[[#This Row],[Début periode livraison]]))</f>
        <v>0</v>
      </c>
      <c r="Q1027" t="e">
        <f ca="1">INDEX(INDIRECT(CONCATENATE("Tab_",Tab_Calculs[[#This Row],[Colonne1]])),Tab_Calculs[[#This Row],[index_date_livraison]]+1,7)*(Tab_Calculs[[#This Row],[fin mois]]-MIN(Tab_Calculs[[#This Row],[fin mois]],Tab_Calculs[[#This Row],[Date_livraison]]))</f>
        <v>#VALUE!</v>
      </c>
      <c r="R1027" t="e">
        <f ca="1">Tab_Calculs[[#This Row],[Ratio_Cout_après_livr]]+Tab_Calculs[[#This Row],[Ratio_Cout_avant_livr]]+Tab_Calculs[[#This Row],[Ratio_Cout_avant_debut]]</f>
        <v>#VALUE!</v>
      </c>
      <c r="S1027" t="str">
        <f ca="1">IFERROR(N1027*VLOOKUP(Tab_Calculs[[#This Row],[Colonne1]],Controle_des_données!$B$7:$G$14,6,FALSE),"")</f>
        <v/>
      </c>
      <c r="T1027" t="str">
        <f ca="1">IF(Tab_Calculs[[#This Row],[Combustible ]]="Electricité (kWh)",Tab_Calculs[[#This Row],[Conso_mois_kWh]]*2.3,Tab_Calculs[[#This Row],[Conso_mois_kWh]])</f>
        <v/>
      </c>
      <c r="U1027" t="str">
        <f ca="1">IFERROR(N1027*VLOOKUP(Tab_Calculs[[#This Row],[Colonne1]],Controle_des_données!$B$7:$H$14,7,FALSE),"")</f>
        <v/>
      </c>
      <c r="V1027">
        <f ca="1">IFERROR(Tab_Calculs[[#This Row],[Cout_mois]]/Tab_Calculs[[#This Row],[Conso_mois_kWh]],0)</f>
        <v>0</v>
      </c>
      <c r="W1027" t="str">
        <f>T(VLOOKUP(Tab_Calculs[[#This Row],[Compteur]],Site!$B$33:$G$40,3,FALSE))</f>
        <v/>
      </c>
      <c r="X1027" t="str">
        <f>T(VLOOKUP(Tab_Calculs[[#This Row],[Compteur]],Site!$B$33:$G$40,4,FALSE))</f>
        <v/>
      </c>
      <c r="Y1027" t="str">
        <f>T(VLOOKUP(Tab_Calculs[[#This Row],[Compteur]],Site!$B$33:$G$40,5,FALSE))</f>
        <v/>
      </c>
      <c r="Z1027" t="str">
        <f>T(VLOOKUP(Tab_Calculs[[#This Row],[Compteur]],Site!$B$33:$G$40,6,FALSE))</f>
        <v/>
      </c>
      <c r="AA1027">
        <f>IFERROR(GETPIVOTDATA("DJU(chauffagiste)",BDD_DJU!$P$13,"annee",Tab_Calculs[[#This Row],[ANNEE]],"mois_numero",Tab_Calculs[[#This Row],[MOIS]]),0)</f>
        <v>219.5</v>
      </c>
    </row>
    <row r="1028" spans="1:27" x14ac:dyDescent="0.25">
      <c r="A1028" s="3">
        <f>DATE(Tab_Calculs[[#This Row],[ANNEE]],Tab_Calculs[[#This Row],[MOIS]],1)</f>
        <v>41974</v>
      </c>
      <c r="B1028" s="3">
        <f>EDATE(Tab_Calculs[[#This Row],[Début mois]],1)-1</f>
        <v>42004</v>
      </c>
      <c r="C1028">
        <v>12</v>
      </c>
      <c r="D1028">
        <v>2014</v>
      </c>
      <c r="E1028" t="s">
        <v>85</v>
      </c>
      <c r="F1028" t="str">
        <f>SUBSTITUTE(Tab_Calculs[[#This Row],[Compteur]]," ","_")</f>
        <v>Compteur_6</v>
      </c>
      <c r="G1028" t="str">
        <f>T(INDEX(Site!$B$33:$G$40, MATCH(Tab_Calculs[[#This Row],[Compteur]], Site!$B$33:$B$40,0),2))</f>
        <v/>
      </c>
      <c r="H1028" s="3">
        <f t="array" aca="1" ref="H1028" ca="1">MIN(IF(INDIRECT(CONCATENATE(Tab_Calculs[[#This Row],[Colonne1]],"!$B$2:$B$243"))&gt;=Calculs_Consos!$A1028,INDIRECT(CONCATENATE(Tab_Calculs[[#This Row],[Colonne1]],"!$B$2:$B$243"))))</f>
        <v>0</v>
      </c>
      <c r="I1028" s="3">
        <f ca="1">INDEX(INDIRECT(CONCATENATE("Tab_",Tab_Calculs[[#This Row],[Colonne1]])),Tab_Calculs[[#This Row],[index_date_livraison]],1)</f>
        <v>0</v>
      </c>
      <c r="J1028">
        <f ca="1">MATCH(Tab_Calculs[[#This Row],[Date_livraison]],INDIRECT(CONCATENATE("Tab_",Tab_Calculs[[#This Row],[Colonne1]],"[Fin de période]")),0)</f>
        <v>1</v>
      </c>
      <c r="K1028" t="e">
        <f ca="1">INDEX(INDIRECT(CONCATENATE("Tab_",Tab_Calculs[[#This Row],[Colonne1]])),Tab_Calculs[[#This Row],[index_date_livraison]]-1,6)*(MAX(Tab_Calculs[[#This Row],[Début periode livraison]],Tab_Calculs[[#This Row],[Début mois]])-Tab_Calculs[[#This Row],[Début mois]])</f>
        <v>#VALUE!</v>
      </c>
      <c r="L1028" s="94">
        <f ca="1">INDEX(INDIRECT(CONCATENATE("Tab_",Tab_Calculs[[#This Row],[Colonne1]])),Tab_Calculs[[#This Row],[index_date_livraison]],6)*(1+MIN(Tab_Calculs[[#This Row],[Date_livraison]],Tab_Calculs[[#This Row],[fin mois]])-MAX(Tab_Calculs[[#This Row],[Début mois]],Tab_Calculs[[#This Row],[Début periode livraison]]))</f>
        <v>0</v>
      </c>
      <c r="M1028" s="94" t="e">
        <f ca="1">INDEX(INDIRECT(CONCATENATE("Tab_",Tab_Calculs[[#This Row],[Colonne1]])),Tab_Calculs[[#This Row],[index_date_livraison]]+1,6)*(Tab_Calculs[[#This Row],[fin mois]]-MIN(Tab_Calculs[[#This Row],[fin mois]],Tab_Calculs[[#This Row],[Date_livraison]]))</f>
        <v>#VALUE!</v>
      </c>
      <c r="N1028" s="231" t="str">
        <f ca="1">IFERROR(Tab_Calculs[[#This Row],[Ratio_jour_après_livr]]+Tab_Calculs[[#This Row],[Ratio_jour_avant_livr]]+Tab_Calculs[[#This Row],[ratio_avant_debut]],"")</f>
        <v/>
      </c>
      <c r="O1028" t="e">
        <f ca="1">INDEX(INDIRECT(CONCATENATE("Tab_",Tab_Calculs[[#This Row],[Colonne1]])),Tab_Calculs[[#This Row],[index_date_livraison]]-1,7)*(MAX(Tab_Calculs[[#This Row],[Début periode livraison]],Tab_Calculs[[#This Row],[Début mois]])-Tab_Calculs[[#This Row],[Début mois]])</f>
        <v>#VALUE!</v>
      </c>
      <c r="P1028">
        <f ca="1">INDEX(INDIRECT(CONCATENATE("Tab_",Tab_Calculs[[#This Row],[Colonne1]])),Tab_Calculs[[#This Row],[index_date_livraison]],7)*(1+MIN(Tab_Calculs[[#This Row],[Date_livraison]],Tab_Calculs[[#This Row],[fin mois]])-MAX(Tab_Calculs[[#This Row],[Début mois]],Tab_Calculs[[#This Row],[Début periode livraison]]))</f>
        <v>0</v>
      </c>
      <c r="Q1028" t="e">
        <f ca="1">INDEX(INDIRECT(CONCATENATE("Tab_",Tab_Calculs[[#This Row],[Colonne1]])),Tab_Calculs[[#This Row],[index_date_livraison]]+1,7)*(Tab_Calculs[[#This Row],[fin mois]]-MIN(Tab_Calculs[[#This Row],[fin mois]],Tab_Calculs[[#This Row],[Date_livraison]]))</f>
        <v>#VALUE!</v>
      </c>
      <c r="R1028" t="e">
        <f ca="1">Tab_Calculs[[#This Row],[Ratio_Cout_après_livr]]+Tab_Calculs[[#This Row],[Ratio_Cout_avant_livr]]+Tab_Calculs[[#This Row],[Ratio_Cout_avant_debut]]</f>
        <v>#VALUE!</v>
      </c>
      <c r="S1028" t="str">
        <f ca="1">IFERROR(N1028*VLOOKUP(Tab_Calculs[[#This Row],[Colonne1]],Controle_des_données!$B$7:$G$14,6,FALSE),"")</f>
        <v/>
      </c>
      <c r="T1028" t="str">
        <f ca="1">IF(Tab_Calculs[[#This Row],[Combustible ]]="Electricité (kWh)",Tab_Calculs[[#This Row],[Conso_mois_kWh]]*2.3,Tab_Calculs[[#This Row],[Conso_mois_kWh]])</f>
        <v/>
      </c>
      <c r="U1028" t="str">
        <f ca="1">IFERROR(N1028*VLOOKUP(Tab_Calculs[[#This Row],[Colonne1]],Controle_des_données!$B$7:$H$14,7,FALSE),"")</f>
        <v/>
      </c>
      <c r="V1028">
        <f ca="1">IFERROR(Tab_Calculs[[#This Row],[Cout_mois]]/Tab_Calculs[[#This Row],[Conso_mois_kWh]],0)</f>
        <v>0</v>
      </c>
      <c r="W1028" t="str">
        <f>T(VLOOKUP(Tab_Calculs[[#This Row],[Compteur]],Site!$B$33:$G$40,3,FALSE))</f>
        <v/>
      </c>
      <c r="X1028" t="str">
        <f>T(VLOOKUP(Tab_Calculs[[#This Row],[Compteur]],Site!$B$33:$G$40,4,FALSE))</f>
        <v/>
      </c>
      <c r="Y1028" t="str">
        <f>T(VLOOKUP(Tab_Calculs[[#This Row],[Compteur]],Site!$B$33:$G$40,5,FALSE))</f>
        <v/>
      </c>
      <c r="Z1028" t="str">
        <f>T(VLOOKUP(Tab_Calculs[[#This Row],[Compteur]],Site!$B$33:$G$40,6,FALSE))</f>
        <v/>
      </c>
      <c r="AA1028">
        <f>IFERROR(GETPIVOTDATA("DJU(chauffagiste)",BDD_DJU!$P$13,"annee",Tab_Calculs[[#This Row],[ANNEE]],"mois_numero",Tab_Calculs[[#This Row],[MOIS]]),0)</f>
        <v>374.8</v>
      </c>
    </row>
    <row r="1029" spans="1:27" x14ac:dyDescent="0.25">
      <c r="A1029" s="3">
        <f>DATE(Tab_Calculs[[#This Row],[ANNEE]],Tab_Calculs[[#This Row],[MOIS]],1)</f>
        <v>42005</v>
      </c>
      <c r="B1029" s="3">
        <f>EDATE(Tab_Calculs[[#This Row],[Début mois]],1)-1</f>
        <v>42035</v>
      </c>
      <c r="C1029">
        <v>1</v>
      </c>
      <c r="D1029">
        <f>D1017+1</f>
        <v>2015</v>
      </c>
      <c r="E1029" t="s">
        <v>85</v>
      </c>
      <c r="F1029" t="str">
        <f>SUBSTITUTE(Tab_Calculs[[#This Row],[Compteur]]," ","_")</f>
        <v>Compteur_6</v>
      </c>
      <c r="G1029" t="str">
        <f>T(INDEX(Site!$B$33:$G$40, MATCH(Tab_Calculs[[#This Row],[Compteur]], Site!$B$33:$B$40,0),2))</f>
        <v/>
      </c>
      <c r="H1029" s="3">
        <f t="array" aca="1" ref="H1029" ca="1">MIN(IF(INDIRECT(CONCATENATE(Tab_Calculs[[#This Row],[Colonne1]],"!$B$2:$B$243"))&gt;=Calculs_Consos!$A1029,INDIRECT(CONCATENATE(Tab_Calculs[[#This Row],[Colonne1]],"!$B$2:$B$243"))))</f>
        <v>0</v>
      </c>
      <c r="I1029" s="3">
        <f ca="1">INDEX(INDIRECT(CONCATENATE("Tab_",Tab_Calculs[[#This Row],[Colonne1]])),Tab_Calculs[[#This Row],[index_date_livraison]],1)</f>
        <v>0</v>
      </c>
      <c r="J1029">
        <f ca="1">MATCH(Tab_Calculs[[#This Row],[Date_livraison]],INDIRECT(CONCATENATE("Tab_",Tab_Calculs[[#This Row],[Colonne1]],"[Fin de période]")),0)</f>
        <v>1</v>
      </c>
      <c r="K1029" t="e">
        <f ca="1">INDEX(INDIRECT(CONCATENATE("Tab_",Tab_Calculs[[#This Row],[Colonne1]])),Tab_Calculs[[#This Row],[index_date_livraison]]-1,6)*(MAX(Tab_Calculs[[#This Row],[Début periode livraison]],Tab_Calculs[[#This Row],[Début mois]])-Tab_Calculs[[#This Row],[Début mois]])</f>
        <v>#VALUE!</v>
      </c>
      <c r="L1029" s="94">
        <f ca="1">INDEX(INDIRECT(CONCATENATE("Tab_",Tab_Calculs[[#This Row],[Colonne1]])),Tab_Calculs[[#This Row],[index_date_livraison]],6)*(1+MIN(Tab_Calculs[[#This Row],[Date_livraison]],Tab_Calculs[[#This Row],[fin mois]])-MAX(Tab_Calculs[[#This Row],[Début mois]],Tab_Calculs[[#This Row],[Début periode livraison]]))</f>
        <v>0</v>
      </c>
      <c r="M1029" s="94" t="e">
        <f ca="1">INDEX(INDIRECT(CONCATENATE("Tab_",Tab_Calculs[[#This Row],[Colonne1]])),Tab_Calculs[[#This Row],[index_date_livraison]]+1,6)*(Tab_Calculs[[#This Row],[fin mois]]-MIN(Tab_Calculs[[#This Row],[fin mois]],Tab_Calculs[[#This Row],[Date_livraison]]))</f>
        <v>#VALUE!</v>
      </c>
      <c r="N1029" s="231" t="str">
        <f ca="1">IFERROR(Tab_Calculs[[#This Row],[Ratio_jour_après_livr]]+Tab_Calculs[[#This Row],[Ratio_jour_avant_livr]]+Tab_Calculs[[#This Row],[ratio_avant_debut]],"")</f>
        <v/>
      </c>
      <c r="O1029" t="e">
        <f ca="1">INDEX(INDIRECT(CONCATENATE("Tab_",Tab_Calculs[[#This Row],[Colonne1]])),Tab_Calculs[[#This Row],[index_date_livraison]]-1,7)*(MAX(Tab_Calculs[[#This Row],[Début periode livraison]],Tab_Calculs[[#This Row],[Début mois]])-Tab_Calculs[[#This Row],[Début mois]])</f>
        <v>#VALUE!</v>
      </c>
      <c r="P1029">
        <f ca="1">INDEX(INDIRECT(CONCATENATE("Tab_",Tab_Calculs[[#This Row],[Colonne1]])),Tab_Calculs[[#This Row],[index_date_livraison]],7)*(1+MIN(Tab_Calculs[[#This Row],[Date_livraison]],Tab_Calculs[[#This Row],[fin mois]])-MAX(Tab_Calculs[[#This Row],[Début mois]],Tab_Calculs[[#This Row],[Début periode livraison]]))</f>
        <v>0</v>
      </c>
      <c r="Q1029" t="e">
        <f ca="1">INDEX(INDIRECT(CONCATENATE("Tab_",Tab_Calculs[[#This Row],[Colonne1]])),Tab_Calculs[[#This Row],[index_date_livraison]]+1,7)*(Tab_Calculs[[#This Row],[fin mois]]-MIN(Tab_Calculs[[#This Row],[fin mois]],Tab_Calculs[[#This Row],[Date_livraison]]))</f>
        <v>#VALUE!</v>
      </c>
      <c r="R1029" t="e">
        <f ca="1">Tab_Calculs[[#This Row],[Ratio_Cout_après_livr]]+Tab_Calculs[[#This Row],[Ratio_Cout_avant_livr]]+Tab_Calculs[[#This Row],[Ratio_Cout_avant_debut]]</f>
        <v>#VALUE!</v>
      </c>
      <c r="S1029" t="str">
        <f ca="1">IFERROR(N1029*VLOOKUP(Tab_Calculs[[#This Row],[Colonne1]],Controle_des_données!$B$7:$G$14,6,FALSE),"")</f>
        <v/>
      </c>
      <c r="T1029" t="str">
        <f ca="1">IF(Tab_Calculs[[#This Row],[Combustible ]]="Electricité (kWh)",Tab_Calculs[[#This Row],[Conso_mois_kWh]]*2.3,Tab_Calculs[[#This Row],[Conso_mois_kWh]])</f>
        <v/>
      </c>
      <c r="U1029" t="str">
        <f ca="1">IFERROR(N1029*VLOOKUP(Tab_Calculs[[#This Row],[Colonne1]],Controle_des_données!$B$7:$H$14,7,FALSE),"")</f>
        <v/>
      </c>
      <c r="V1029">
        <f ca="1">IFERROR(Tab_Calculs[[#This Row],[Cout_mois]]/Tab_Calculs[[#This Row],[Conso_mois_kWh]],0)</f>
        <v>0</v>
      </c>
      <c r="W1029" t="str">
        <f>T(VLOOKUP(Tab_Calculs[[#This Row],[Compteur]],Site!$B$33:$G$40,3,FALSE))</f>
        <v/>
      </c>
      <c r="X1029" t="str">
        <f>T(VLOOKUP(Tab_Calculs[[#This Row],[Compteur]],Site!$B$33:$G$40,4,FALSE))</f>
        <v/>
      </c>
      <c r="Y1029" t="str">
        <f>T(VLOOKUP(Tab_Calculs[[#This Row],[Compteur]],Site!$B$33:$G$40,5,FALSE))</f>
        <v/>
      </c>
      <c r="Z1029" t="str">
        <f>T(VLOOKUP(Tab_Calculs[[#This Row],[Compteur]],Site!$B$33:$G$40,6,FALSE))</f>
        <v/>
      </c>
      <c r="AA1029">
        <f>IFERROR(GETPIVOTDATA("DJU(chauffagiste)",BDD_DJU!$P$13,"annee",Tab_Calculs[[#This Row],[ANNEE]],"mois_numero",Tab_Calculs[[#This Row],[MOIS]]),0)</f>
        <v>392.1</v>
      </c>
    </row>
    <row r="1030" spans="1:27" x14ac:dyDescent="0.25">
      <c r="A1030" s="3">
        <f>DATE(Tab_Calculs[[#This Row],[ANNEE]],Tab_Calculs[[#This Row],[MOIS]],1)</f>
        <v>42036</v>
      </c>
      <c r="B1030" s="3">
        <f>EDATE(Tab_Calculs[[#This Row],[Début mois]],1)-1</f>
        <v>42063</v>
      </c>
      <c r="C1030">
        <v>2</v>
      </c>
      <c r="D1030">
        <f t="shared" ref="D1030:D1093" si="35">D1018+1</f>
        <v>2015</v>
      </c>
      <c r="E1030" t="s">
        <v>85</v>
      </c>
      <c r="F1030" t="str">
        <f>SUBSTITUTE(Tab_Calculs[[#This Row],[Compteur]]," ","_")</f>
        <v>Compteur_6</v>
      </c>
      <c r="G1030" t="str">
        <f>T(INDEX(Site!$B$33:$G$40, MATCH(Tab_Calculs[[#This Row],[Compteur]], Site!$B$33:$B$40,0),2))</f>
        <v/>
      </c>
      <c r="H1030" s="3">
        <f t="array" aca="1" ref="H1030" ca="1">MIN(IF(INDIRECT(CONCATENATE(Tab_Calculs[[#This Row],[Colonne1]],"!$B$2:$B$243"))&gt;=Calculs_Consos!$A1030,INDIRECT(CONCATENATE(Tab_Calculs[[#This Row],[Colonne1]],"!$B$2:$B$243"))))</f>
        <v>0</v>
      </c>
      <c r="I1030" s="3">
        <f ca="1">INDEX(INDIRECT(CONCATENATE("Tab_",Tab_Calculs[[#This Row],[Colonne1]])),Tab_Calculs[[#This Row],[index_date_livraison]],1)</f>
        <v>0</v>
      </c>
      <c r="J1030">
        <f ca="1">MATCH(Tab_Calculs[[#This Row],[Date_livraison]],INDIRECT(CONCATENATE("Tab_",Tab_Calculs[[#This Row],[Colonne1]],"[Fin de période]")),0)</f>
        <v>1</v>
      </c>
      <c r="K1030" t="e">
        <f ca="1">INDEX(INDIRECT(CONCATENATE("Tab_",Tab_Calculs[[#This Row],[Colonne1]])),Tab_Calculs[[#This Row],[index_date_livraison]]-1,6)*(MAX(Tab_Calculs[[#This Row],[Début periode livraison]],Tab_Calculs[[#This Row],[Début mois]])-Tab_Calculs[[#This Row],[Début mois]])</f>
        <v>#VALUE!</v>
      </c>
      <c r="L1030" s="94">
        <f ca="1">INDEX(INDIRECT(CONCATENATE("Tab_",Tab_Calculs[[#This Row],[Colonne1]])),Tab_Calculs[[#This Row],[index_date_livraison]],6)*(1+MIN(Tab_Calculs[[#This Row],[Date_livraison]],Tab_Calculs[[#This Row],[fin mois]])-MAX(Tab_Calculs[[#This Row],[Début mois]],Tab_Calculs[[#This Row],[Début periode livraison]]))</f>
        <v>0</v>
      </c>
      <c r="M1030" s="94" t="e">
        <f ca="1">INDEX(INDIRECT(CONCATENATE("Tab_",Tab_Calculs[[#This Row],[Colonne1]])),Tab_Calculs[[#This Row],[index_date_livraison]]+1,6)*(Tab_Calculs[[#This Row],[fin mois]]-MIN(Tab_Calculs[[#This Row],[fin mois]],Tab_Calculs[[#This Row],[Date_livraison]]))</f>
        <v>#VALUE!</v>
      </c>
      <c r="N1030" s="231" t="str">
        <f ca="1">IFERROR(Tab_Calculs[[#This Row],[Ratio_jour_après_livr]]+Tab_Calculs[[#This Row],[Ratio_jour_avant_livr]]+Tab_Calculs[[#This Row],[ratio_avant_debut]],"")</f>
        <v/>
      </c>
      <c r="O1030" t="e">
        <f ca="1">INDEX(INDIRECT(CONCATENATE("Tab_",Tab_Calculs[[#This Row],[Colonne1]])),Tab_Calculs[[#This Row],[index_date_livraison]]-1,7)*(MAX(Tab_Calculs[[#This Row],[Début periode livraison]],Tab_Calculs[[#This Row],[Début mois]])-Tab_Calculs[[#This Row],[Début mois]])</f>
        <v>#VALUE!</v>
      </c>
      <c r="P1030">
        <f ca="1">INDEX(INDIRECT(CONCATENATE("Tab_",Tab_Calculs[[#This Row],[Colonne1]])),Tab_Calculs[[#This Row],[index_date_livraison]],7)*(1+MIN(Tab_Calculs[[#This Row],[Date_livraison]],Tab_Calculs[[#This Row],[fin mois]])-MAX(Tab_Calculs[[#This Row],[Début mois]],Tab_Calculs[[#This Row],[Début periode livraison]]))</f>
        <v>0</v>
      </c>
      <c r="Q1030" t="e">
        <f ca="1">INDEX(INDIRECT(CONCATENATE("Tab_",Tab_Calculs[[#This Row],[Colonne1]])),Tab_Calculs[[#This Row],[index_date_livraison]]+1,7)*(Tab_Calculs[[#This Row],[fin mois]]-MIN(Tab_Calculs[[#This Row],[fin mois]],Tab_Calculs[[#This Row],[Date_livraison]]))</f>
        <v>#VALUE!</v>
      </c>
      <c r="R1030" t="e">
        <f ca="1">Tab_Calculs[[#This Row],[Ratio_Cout_après_livr]]+Tab_Calculs[[#This Row],[Ratio_Cout_avant_livr]]+Tab_Calculs[[#This Row],[Ratio_Cout_avant_debut]]</f>
        <v>#VALUE!</v>
      </c>
      <c r="S1030" t="str">
        <f ca="1">IFERROR(N1030*VLOOKUP(Tab_Calculs[[#This Row],[Colonne1]],Controle_des_données!$B$7:$G$14,6,FALSE),"")</f>
        <v/>
      </c>
      <c r="T1030" t="str">
        <f ca="1">IF(Tab_Calculs[[#This Row],[Combustible ]]="Electricité (kWh)",Tab_Calculs[[#This Row],[Conso_mois_kWh]]*2.3,Tab_Calculs[[#This Row],[Conso_mois_kWh]])</f>
        <v/>
      </c>
      <c r="U1030" t="str">
        <f ca="1">IFERROR(N1030*VLOOKUP(Tab_Calculs[[#This Row],[Colonne1]],Controle_des_données!$B$7:$H$14,7,FALSE),"")</f>
        <v/>
      </c>
      <c r="V1030">
        <f ca="1">IFERROR(Tab_Calculs[[#This Row],[Cout_mois]]/Tab_Calculs[[#This Row],[Conso_mois_kWh]],0)</f>
        <v>0</v>
      </c>
      <c r="W1030" t="str">
        <f>T(VLOOKUP(Tab_Calculs[[#This Row],[Compteur]],Site!$B$33:$G$40,3,FALSE))</f>
        <v/>
      </c>
      <c r="X1030" t="str">
        <f>T(VLOOKUP(Tab_Calculs[[#This Row],[Compteur]],Site!$B$33:$G$40,4,FALSE))</f>
        <v/>
      </c>
      <c r="Y1030" t="str">
        <f>T(VLOOKUP(Tab_Calculs[[#This Row],[Compteur]],Site!$B$33:$G$40,5,FALSE))</f>
        <v/>
      </c>
      <c r="Z1030" t="str">
        <f>T(VLOOKUP(Tab_Calculs[[#This Row],[Compteur]],Site!$B$33:$G$40,6,FALSE))</f>
        <v/>
      </c>
      <c r="AA1030">
        <f>IFERROR(GETPIVOTDATA("DJU(chauffagiste)",BDD_DJU!$P$13,"annee",Tab_Calculs[[#This Row],[ANNEE]],"mois_numero",Tab_Calculs[[#This Row],[MOIS]]),0)</f>
        <v>366.9</v>
      </c>
    </row>
    <row r="1031" spans="1:27" x14ac:dyDescent="0.25">
      <c r="A1031" s="3">
        <f>DATE(Tab_Calculs[[#This Row],[ANNEE]],Tab_Calculs[[#This Row],[MOIS]],1)</f>
        <v>42064</v>
      </c>
      <c r="B1031" s="3">
        <f>EDATE(Tab_Calculs[[#This Row],[Début mois]],1)-1</f>
        <v>42094</v>
      </c>
      <c r="C1031">
        <v>3</v>
      </c>
      <c r="D1031">
        <f t="shared" si="35"/>
        <v>2015</v>
      </c>
      <c r="E1031" t="s">
        <v>85</v>
      </c>
      <c r="F1031" t="str">
        <f>SUBSTITUTE(Tab_Calculs[[#This Row],[Compteur]]," ","_")</f>
        <v>Compteur_6</v>
      </c>
      <c r="G1031" t="str">
        <f>T(INDEX(Site!$B$33:$G$40, MATCH(Tab_Calculs[[#This Row],[Compteur]], Site!$B$33:$B$40,0),2))</f>
        <v/>
      </c>
      <c r="H1031" s="3">
        <f t="array" aca="1" ref="H1031" ca="1">MIN(IF(INDIRECT(CONCATENATE(Tab_Calculs[[#This Row],[Colonne1]],"!$B$2:$B$243"))&gt;=Calculs_Consos!$A1031,INDIRECT(CONCATENATE(Tab_Calculs[[#This Row],[Colonne1]],"!$B$2:$B$243"))))</f>
        <v>0</v>
      </c>
      <c r="I1031" s="3">
        <f ca="1">INDEX(INDIRECT(CONCATENATE("Tab_",Tab_Calculs[[#This Row],[Colonne1]])),Tab_Calculs[[#This Row],[index_date_livraison]],1)</f>
        <v>0</v>
      </c>
      <c r="J1031">
        <f ca="1">MATCH(Tab_Calculs[[#This Row],[Date_livraison]],INDIRECT(CONCATENATE("Tab_",Tab_Calculs[[#This Row],[Colonne1]],"[Fin de période]")),0)</f>
        <v>1</v>
      </c>
      <c r="K1031" t="e">
        <f ca="1">INDEX(INDIRECT(CONCATENATE("Tab_",Tab_Calculs[[#This Row],[Colonne1]])),Tab_Calculs[[#This Row],[index_date_livraison]]-1,6)*(MAX(Tab_Calculs[[#This Row],[Début periode livraison]],Tab_Calculs[[#This Row],[Début mois]])-Tab_Calculs[[#This Row],[Début mois]])</f>
        <v>#VALUE!</v>
      </c>
      <c r="L1031" s="94">
        <f ca="1">INDEX(INDIRECT(CONCATENATE("Tab_",Tab_Calculs[[#This Row],[Colonne1]])),Tab_Calculs[[#This Row],[index_date_livraison]],6)*(1+MIN(Tab_Calculs[[#This Row],[Date_livraison]],Tab_Calculs[[#This Row],[fin mois]])-MAX(Tab_Calculs[[#This Row],[Début mois]],Tab_Calculs[[#This Row],[Début periode livraison]]))</f>
        <v>0</v>
      </c>
      <c r="M1031" s="94" t="e">
        <f ca="1">INDEX(INDIRECT(CONCATENATE("Tab_",Tab_Calculs[[#This Row],[Colonne1]])),Tab_Calculs[[#This Row],[index_date_livraison]]+1,6)*(Tab_Calculs[[#This Row],[fin mois]]-MIN(Tab_Calculs[[#This Row],[fin mois]],Tab_Calculs[[#This Row],[Date_livraison]]))</f>
        <v>#VALUE!</v>
      </c>
      <c r="N1031" s="231" t="str">
        <f ca="1">IFERROR(Tab_Calculs[[#This Row],[Ratio_jour_après_livr]]+Tab_Calculs[[#This Row],[Ratio_jour_avant_livr]]+Tab_Calculs[[#This Row],[ratio_avant_debut]],"")</f>
        <v/>
      </c>
      <c r="O1031" t="e">
        <f ca="1">INDEX(INDIRECT(CONCATENATE("Tab_",Tab_Calculs[[#This Row],[Colonne1]])),Tab_Calculs[[#This Row],[index_date_livraison]]-1,7)*(MAX(Tab_Calculs[[#This Row],[Début periode livraison]],Tab_Calculs[[#This Row],[Début mois]])-Tab_Calculs[[#This Row],[Début mois]])</f>
        <v>#VALUE!</v>
      </c>
      <c r="P1031">
        <f ca="1">INDEX(INDIRECT(CONCATENATE("Tab_",Tab_Calculs[[#This Row],[Colonne1]])),Tab_Calculs[[#This Row],[index_date_livraison]],7)*(1+MIN(Tab_Calculs[[#This Row],[Date_livraison]],Tab_Calculs[[#This Row],[fin mois]])-MAX(Tab_Calculs[[#This Row],[Début mois]],Tab_Calculs[[#This Row],[Début periode livraison]]))</f>
        <v>0</v>
      </c>
      <c r="Q1031" t="e">
        <f ca="1">INDEX(INDIRECT(CONCATENATE("Tab_",Tab_Calculs[[#This Row],[Colonne1]])),Tab_Calculs[[#This Row],[index_date_livraison]]+1,7)*(Tab_Calculs[[#This Row],[fin mois]]-MIN(Tab_Calculs[[#This Row],[fin mois]],Tab_Calculs[[#This Row],[Date_livraison]]))</f>
        <v>#VALUE!</v>
      </c>
      <c r="R1031" t="e">
        <f ca="1">Tab_Calculs[[#This Row],[Ratio_Cout_après_livr]]+Tab_Calculs[[#This Row],[Ratio_Cout_avant_livr]]+Tab_Calculs[[#This Row],[Ratio_Cout_avant_debut]]</f>
        <v>#VALUE!</v>
      </c>
      <c r="S1031" t="str">
        <f ca="1">IFERROR(N1031*VLOOKUP(Tab_Calculs[[#This Row],[Colonne1]],Controle_des_données!$B$7:$G$14,6,FALSE),"")</f>
        <v/>
      </c>
      <c r="T1031" t="str">
        <f ca="1">IF(Tab_Calculs[[#This Row],[Combustible ]]="Electricité (kWh)",Tab_Calculs[[#This Row],[Conso_mois_kWh]]*2.3,Tab_Calculs[[#This Row],[Conso_mois_kWh]])</f>
        <v/>
      </c>
      <c r="U1031" t="str">
        <f ca="1">IFERROR(N1031*VLOOKUP(Tab_Calculs[[#This Row],[Colonne1]],Controle_des_données!$B$7:$H$14,7,FALSE),"")</f>
        <v/>
      </c>
      <c r="V1031">
        <f ca="1">IFERROR(Tab_Calculs[[#This Row],[Cout_mois]]/Tab_Calculs[[#This Row],[Conso_mois_kWh]],0)</f>
        <v>0</v>
      </c>
      <c r="W1031" t="str">
        <f>T(VLOOKUP(Tab_Calculs[[#This Row],[Compteur]],Site!$B$33:$G$40,3,FALSE))</f>
        <v/>
      </c>
      <c r="X1031" t="str">
        <f>T(VLOOKUP(Tab_Calculs[[#This Row],[Compteur]],Site!$B$33:$G$40,4,FALSE))</f>
        <v/>
      </c>
      <c r="Y1031" t="str">
        <f>T(VLOOKUP(Tab_Calculs[[#This Row],[Compteur]],Site!$B$33:$G$40,5,FALSE))</f>
        <v/>
      </c>
      <c r="Z1031" t="str">
        <f>T(VLOOKUP(Tab_Calculs[[#This Row],[Compteur]],Site!$B$33:$G$40,6,FALSE))</f>
        <v/>
      </c>
      <c r="AA1031">
        <f>IFERROR(GETPIVOTDATA("DJU(chauffagiste)",BDD_DJU!$P$13,"annee",Tab_Calculs[[#This Row],[ANNEE]],"mois_numero",Tab_Calculs[[#This Row],[MOIS]]),0)</f>
        <v>303.8</v>
      </c>
    </row>
    <row r="1032" spans="1:27" x14ac:dyDescent="0.25">
      <c r="A1032" s="3">
        <f>DATE(Tab_Calculs[[#This Row],[ANNEE]],Tab_Calculs[[#This Row],[MOIS]],1)</f>
        <v>42095</v>
      </c>
      <c r="B1032" s="3">
        <f>EDATE(Tab_Calculs[[#This Row],[Début mois]],1)-1</f>
        <v>42124</v>
      </c>
      <c r="C1032">
        <v>4</v>
      </c>
      <c r="D1032">
        <f t="shared" si="35"/>
        <v>2015</v>
      </c>
      <c r="E1032" t="s">
        <v>85</v>
      </c>
      <c r="F1032" t="str">
        <f>SUBSTITUTE(Tab_Calculs[[#This Row],[Compteur]]," ","_")</f>
        <v>Compteur_6</v>
      </c>
      <c r="G1032" t="str">
        <f>T(INDEX(Site!$B$33:$G$40, MATCH(Tab_Calculs[[#This Row],[Compteur]], Site!$B$33:$B$40,0),2))</f>
        <v/>
      </c>
      <c r="H1032" s="3">
        <f t="array" aca="1" ref="H1032" ca="1">MIN(IF(INDIRECT(CONCATENATE(Tab_Calculs[[#This Row],[Colonne1]],"!$B$2:$B$243"))&gt;=Calculs_Consos!$A1032,INDIRECT(CONCATENATE(Tab_Calculs[[#This Row],[Colonne1]],"!$B$2:$B$243"))))</f>
        <v>0</v>
      </c>
      <c r="I1032" s="3">
        <f ca="1">INDEX(INDIRECT(CONCATENATE("Tab_",Tab_Calculs[[#This Row],[Colonne1]])),Tab_Calculs[[#This Row],[index_date_livraison]],1)</f>
        <v>0</v>
      </c>
      <c r="J1032">
        <f ca="1">MATCH(Tab_Calculs[[#This Row],[Date_livraison]],INDIRECT(CONCATENATE("Tab_",Tab_Calculs[[#This Row],[Colonne1]],"[Fin de période]")),0)</f>
        <v>1</v>
      </c>
      <c r="K1032" t="e">
        <f ca="1">INDEX(INDIRECT(CONCATENATE("Tab_",Tab_Calculs[[#This Row],[Colonne1]])),Tab_Calculs[[#This Row],[index_date_livraison]]-1,6)*(MAX(Tab_Calculs[[#This Row],[Début periode livraison]],Tab_Calculs[[#This Row],[Début mois]])-Tab_Calculs[[#This Row],[Début mois]])</f>
        <v>#VALUE!</v>
      </c>
      <c r="L1032" s="94">
        <f ca="1">INDEX(INDIRECT(CONCATENATE("Tab_",Tab_Calculs[[#This Row],[Colonne1]])),Tab_Calculs[[#This Row],[index_date_livraison]],6)*(1+MIN(Tab_Calculs[[#This Row],[Date_livraison]],Tab_Calculs[[#This Row],[fin mois]])-MAX(Tab_Calculs[[#This Row],[Début mois]],Tab_Calculs[[#This Row],[Début periode livraison]]))</f>
        <v>0</v>
      </c>
      <c r="M1032" s="94" t="e">
        <f ca="1">INDEX(INDIRECT(CONCATENATE("Tab_",Tab_Calculs[[#This Row],[Colonne1]])),Tab_Calculs[[#This Row],[index_date_livraison]]+1,6)*(Tab_Calculs[[#This Row],[fin mois]]-MIN(Tab_Calculs[[#This Row],[fin mois]],Tab_Calculs[[#This Row],[Date_livraison]]))</f>
        <v>#VALUE!</v>
      </c>
      <c r="N1032" s="231" t="str">
        <f ca="1">IFERROR(Tab_Calculs[[#This Row],[Ratio_jour_après_livr]]+Tab_Calculs[[#This Row],[Ratio_jour_avant_livr]]+Tab_Calculs[[#This Row],[ratio_avant_debut]],"")</f>
        <v/>
      </c>
      <c r="O1032" t="e">
        <f ca="1">INDEX(INDIRECT(CONCATENATE("Tab_",Tab_Calculs[[#This Row],[Colonne1]])),Tab_Calculs[[#This Row],[index_date_livraison]]-1,7)*(MAX(Tab_Calculs[[#This Row],[Début periode livraison]],Tab_Calculs[[#This Row],[Début mois]])-Tab_Calculs[[#This Row],[Début mois]])</f>
        <v>#VALUE!</v>
      </c>
      <c r="P1032">
        <f ca="1">INDEX(INDIRECT(CONCATENATE("Tab_",Tab_Calculs[[#This Row],[Colonne1]])),Tab_Calculs[[#This Row],[index_date_livraison]],7)*(1+MIN(Tab_Calculs[[#This Row],[Date_livraison]],Tab_Calculs[[#This Row],[fin mois]])-MAX(Tab_Calculs[[#This Row],[Début mois]],Tab_Calculs[[#This Row],[Début periode livraison]]))</f>
        <v>0</v>
      </c>
      <c r="Q1032" t="e">
        <f ca="1">INDEX(INDIRECT(CONCATENATE("Tab_",Tab_Calculs[[#This Row],[Colonne1]])),Tab_Calculs[[#This Row],[index_date_livraison]]+1,7)*(Tab_Calculs[[#This Row],[fin mois]]-MIN(Tab_Calculs[[#This Row],[fin mois]],Tab_Calculs[[#This Row],[Date_livraison]]))</f>
        <v>#VALUE!</v>
      </c>
      <c r="R1032" t="e">
        <f ca="1">Tab_Calculs[[#This Row],[Ratio_Cout_après_livr]]+Tab_Calculs[[#This Row],[Ratio_Cout_avant_livr]]+Tab_Calculs[[#This Row],[Ratio_Cout_avant_debut]]</f>
        <v>#VALUE!</v>
      </c>
      <c r="S1032" t="str">
        <f ca="1">IFERROR(N1032*VLOOKUP(Tab_Calculs[[#This Row],[Colonne1]],Controle_des_données!$B$7:$G$14,6,FALSE),"")</f>
        <v/>
      </c>
      <c r="T1032" t="str">
        <f ca="1">IF(Tab_Calculs[[#This Row],[Combustible ]]="Electricité (kWh)",Tab_Calculs[[#This Row],[Conso_mois_kWh]]*2.3,Tab_Calculs[[#This Row],[Conso_mois_kWh]])</f>
        <v/>
      </c>
      <c r="U1032" t="str">
        <f ca="1">IFERROR(N1032*VLOOKUP(Tab_Calculs[[#This Row],[Colonne1]],Controle_des_données!$B$7:$H$14,7,FALSE),"")</f>
        <v/>
      </c>
      <c r="V1032">
        <f ca="1">IFERROR(Tab_Calculs[[#This Row],[Cout_mois]]/Tab_Calculs[[#This Row],[Conso_mois_kWh]],0)</f>
        <v>0</v>
      </c>
      <c r="W1032" t="str">
        <f>T(VLOOKUP(Tab_Calculs[[#This Row],[Compteur]],Site!$B$33:$G$40,3,FALSE))</f>
        <v/>
      </c>
      <c r="X1032" t="str">
        <f>T(VLOOKUP(Tab_Calculs[[#This Row],[Compteur]],Site!$B$33:$G$40,4,FALSE))</f>
        <v/>
      </c>
      <c r="Y1032" t="str">
        <f>T(VLOOKUP(Tab_Calculs[[#This Row],[Compteur]],Site!$B$33:$G$40,5,FALSE))</f>
        <v/>
      </c>
      <c r="Z1032" t="str">
        <f>T(VLOOKUP(Tab_Calculs[[#This Row],[Compteur]],Site!$B$33:$G$40,6,FALSE))</f>
        <v/>
      </c>
      <c r="AA1032">
        <f>IFERROR(GETPIVOTDATA("DJU(chauffagiste)",BDD_DJU!$P$13,"annee",Tab_Calculs[[#This Row],[ANNEE]],"mois_numero",Tab_Calculs[[#This Row],[MOIS]]),0)</f>
        <v>166.6</v>
      </c>
    </row>
    <row r="1033" spans="1:27" x14ac:dyDescent="0.25">
      <c r="A1033" s="3">
        <f>DATE(Tab_Calculs[[#This Row],[ANNEE]],Tab_Calculs[[#This Row],[MOIS]],1)</f>
        <v>42125</v>
      </c>
      <c r="B1033" s="3">
        <f>EDATE(Tab_Calculs[[#This Row],[Début mois]],1)-1</f>
        <v>42155</v>
      </c>
      <c r="C1033">
        <v>5</v>
      </c>
      <c r="D1033">
        <f t="shared" si="35"/>
        <v>2015</v>
      </c>
      <c r="E1033" t="s">
        <v>85</v>
      </c>
      <c r="F1033" t="str">
        <f>SUBSTITUTE(Tab_Calculs[[#This Row],[Compteur]]," ","_")</f>
        <v>Compteur_6</v>
      </c>
      <c r="G1033" t="str">
        <f>T(INDEX(Site!$B$33:$G$40, MATCH(Tab_Calculs[[#This Row],[Compteur]], Site!$B$33:$B$40,0),2))</f>
        <v/>
      </c>
      <c r="H1033" s="3">
        <f t="array" aca="1" ref="H1033" ca="1">MIN(IF(INDIRECT(CONCATENATE(Tab_Calculs[[#This Row],[Colonne1]],"!$B$2:$B$243"))&gt;=Calculs_Consos!$A1033,INDIRECT(CONCATENATE(Tab_Calculs[[#This Row],[Colonne1]],"!$B$2:$B$243"))))</f>
        <v>0</v>
      </c>
      <c r="I1033" s="3">
        <f ca="1">INDEX(INDIRECT(CONCATENATE("Tab_",Tab_Calculs[[#This Row],[Colonne1]])),Tab_Calculs[[#This Row],[index_date_livraison]],1)</f>
        <v>0</v>
      </c>
      <c r="J1033">
        <f ca="1">MATCH(Tab_Calculs[[#This Row],[Date_livraison]],INDIRECT(CONCATENATE("Tab_",Tab_Calculs[[#This Row],[Colonne1]],"[Fin de période]")),0)</f>
        <v>1</v>
      </c>
      <c r="K1033" t="e">
        <f ca="1">INDEX(INDIRECT(CONCATENATE("Tab_",Tab_Calculs[[#This Row],[Colonne1]])),Tab_Calculs[[#This Row],[index_date_livraison]]-1,6)*(MAX(Tab_Calculs[[#This Row],[Début periode livraison]],Tab_Calculs[[#This Row],[Début mois]])-Tab_Calculs[[#This Row],[Début mois]])</f>
        <v>#VALUE!</v>
      </c>
      <c r="L1033" s="94">
        <f ca="1">INDEX(INDIRECT(CONCATENATE("Tab_",Tab_Calculs[[#This Row],[Colonne1]])),Tab_Calculs[[#This Row],[index_date_livraison]],6)*(1+MIN(Tab_Calculs[[#This Row],[Date_livraison]],Tab_Calculs[[#This Row],[fin mois]])-MAX(Tab_Calculs[[#This Row],[Début mois]],Tab_Calculs[[#This Row],[Début periode livraison]]))</f>
        <v>0</v>
      </c>
      <c r="M1033" s="94" t="e">
        <f ca="1">INDEX(INDIRECT(CONCATENATE("Tab_",Tab_Calculs[[#This Row],[Colonne1]])),Tab_Calculs[[#This Row],[index_date_livraison]]+1,6)*(Tab_Calculs[[#This Row],[fin mois]]-MIN(Tab_Calculs[[#This Row],[fin mois]],Tab_Calculs[[#This Row],[Date_livraison]]))</f>
        <v>#VALUE!</v>
      </c>
      <c r="N1033" s="231" t="str">
        <f ca="1">IFERROR(Tab_Calculs[[#This Row],[Ratio_jour_après_livr]]+Tab_Calculs[[#This Row],[Ratio_jour_avant_livr]]+Tab_Calculs[[#This Row],[ratio_avant_debut]],"")</f>
        <v/>
      </c>
      <c r="O1033" t="e">
        <f ca="1">INDEX(INDIRECT(CONCATENATE("Tab_",Tab_Calculs[[#This Row],[Colonne1]])),Tab_Calculs[[#This Row],[index_date_livraison]]-1,7)*(MAX(Tab_Calculs[[#This Row],[Début periode livraison]],Tab_Calculs[[#This Row],[Début mois]])-Tab_Calculs[[#This Row],[Début mois]])</f>
        <v>#VALUE!</v>
      </c>
      <c r="P1033">
        <f ca="1">INDEX(INDIRECT(CONCATENATE("Tab_",Tab_Calculs[[#This Row],[Colonne1]])),Tab_Calculs[[#This Row],[index_date_livraison]],7)*(1+MIN(Tab_Calculs[[#This Row],[Date_livraison]],Tab_Calculs[[#This Row],[fin mois]])-MAX(Tab_Calculs[[#This Row],[Début mois]],Tab_Calculs[[#This Row],[Début periode livraison]]))</f>
        <v>0</v>
      </c>
      <c r="Q1033" t="e">
        <f ca="1">INDEX(INDIRECT(CONCATENATE("Tab_",Tab_Calculs[[#This Row],[Colonne1]])),Tab_Calculs[[#This Row],[index_date_livraison]]+1,7)*(Tab_Calculs[[#This Row],[fin mois]]-MIN(Tab_Calculs[[#This Row],[fin mois]],Tab_Calculs[[#This Row],[Date_livraison]]))</f>
        <v>#VALUE!</v>
      </c>
      <c r="R1033" t="e">
        <f ca="1">Tab_Calculs[[#This Row],[Ratio_Cout_après_livr]]+Tab_Calculs[[#This Row],[Ratio_Cout_avant_livr]]+Tab_Calculs[[#This Row],[Ratio_Cout_avant_debut]]</f>
        <v>#VALUE!</v>
      </c>
      <c r="S1033" t="str">
        <f ca="1">IFERROR(N1033*VLOOKUP(Tab_Calculs[[#This Row],[Colonne1]],Controle_des_données!$B$7:$G$14,6,FALSE),"")</f>
        <v/>
      </c>
      <c r="T1033" t="str">
        <f ca="1">IF(Tab_Calculs[[#This Row],[Combustible ]]="Electricité (kWh)",Tab_Calculs[[#This Row],[Conso_mois_kWh]]*2.3,Tab_Calculs[[#This Row],[Conso_mois_kWh]])</f>
        <v/>
      </c>
      <c r="U1033" t="str">
        <f ca="1">IFERROR(N1033*VLOOKUP(Tab_Calculs[[#This Row],[Colonne1]],Controle_des_données!$B$7:$H$14,7,FALSE),"")</f>
        <v/>
      </c>
      <c r="V1033">
        <f ca="1">IFERROR(Tab_Calculs[[#This Row],[Cout_mois]]/Tab_Calculs[[#This Row],[Conso_mois_kWh]],0)</f>
        <v>0</v>
      </c>
      <c r="W1033" t="str">
        <f>T(VLOOKUP(Tab_Calculs[[#This Row],[Compteur]],Site!$B$33:$G$40,3,FALSE))</f>
        <v/>
      </c>
      <c r="X1033" t="str">
        <f>T(VLOOKUP(Tab_Calculs[[#This Row],[Compteur]],Site!$B$33:$G$40,4,FALSE))</f>
        <v/>
      </c>
      <c r="Y1033" t="str">
        <f>T(VLOOKUP(Tab_Calculs[[#This Row],[Compteur]],Site!$B$33:$G$40,5,FALSE))</f>
        <v/>
      </c>
      <c r="Z1033" t="str">
        <f>T(VLOOKUP(Tab_Calculs[[#This Row],[Compteur]],Site!$B$33:$G$40,6,FALSE))</f>
        <v/>
      </c>
      <c r="AA1033">
        <f>IFERROR(GETPIVOTDATA("DJU(chauffagiste)",BDD_DJU!$P$13,"annee",Tab_Calculs[[#This Row],[ANNEE]],"mois_numero",Tab_Calculs[[#This Row],[MOIS]]),0)</f>
        <v>119.9</v>
      </c>
    </row>
    <row r="1034" spans="1:27" x14ac:dyDescent="0.25">
      <c r="A1034" s="3">
        <f>DATE(Tab_Calculs[[#This Row],[ANNEE]],Tab_Calculs[[#This Row],[MOIS]],1)</f>
        <v>42156</v>
      </c>
      <c r="B1034" s="3">
        <f>EDATE(Tab_Calculs[[#This Row],[Début mois]],1)-1</f>
        <v>42185</v>
      </c>
      <c r="C1034">
        <v>6</v>
      </c>
      <c r="D1034">
        <f t="shared" si="35"/>
        <v>2015</v>
      </c>
      <c r="E1034" t="s">
        <v>85</v>
      </c>
      <c r="F1034" t="str">
        <f>SUBSTITUTE(Tab_Calculs[[#This Row],[Compteur]]," ","_")</f>
        <v>Compteur_6</v>
      </c>
      <c r="G1034" t="str">
        <f>T(INDEX(Site!$B$33:$G$40, MATCH(Tab_Calculs[[#This Row],[Compteur]], Site!$B$33:$B$40,0),2))</f>
        <v/>
      </c>
      <c r="H1034" s="3">
        <f t="array" aca="1" ref="H1034" ca="1">MIN(IF(INDIRECT(CONCATENATE(Tab_Calculs[[#This Row],[Colonne1]],"!$B$2:$B$243"))&gt;=Calculs_Consos!$A1034,INDIRECT(CONCATENATE(Tab_Calculs[[#This Row],[Colonne1]],"!$B$2:$B$243"))))</f>
        <v>0</v>
      </c>
      <c r="I1034" s="3">
        <f ca="1">INDEX(INDIRECT(CONCATENATE("Tab_",Tab_Calculs[[#This Row],[Colonne1]])),Tab_Calculs[[#This Row],[index_date_livraison]],1)</f>
        <v>0</v>
      </c>
      <c r="J1034">
        <f ca="1">MATCH(Tab_Calculs[[#This Row],[Date_livraison]],INDIRECT(CONCATENATE("Tab_",Tab_Calculs[[#This Row],[Colonne1]],"[Fin de période]")),0)</f>
        <v>1</v>
      </c>
      <c r="K1034" t="e">
        <f ca="1">INDEX(INDIRECT(CONCATENATE("Tab_",Tab_Calculs[[#This Row],[Colonne1]])),Tab_Calculs[[#This Row],[index_date_livraison]]-1,6)*(MAX(Tab_Calculs[[#This Row],[Début periode livraison]],Tab_Calculs[[#This Row],[Début mois]])-Tab_Calculs[[#This Row],[Début mois]])</f>
        <v>#VALUE!</v>
      </c>
      <c r="L1034" s="94">
        <f ca="1">INDEX(INDIRECT(CONCATENATE("Tab_",Tab_Calculs[[#This Row],[Colonne1]])),Tab_Calculs[[#This Row],[index_date_livraison]],6)*(1+MIN(Tab_Calculs[[#This Row],[Date_livraison]],Tab_Calculs[[#This Row],[fin mois]])-MAX(Tab_Calculs[[#This Row],[Début mois]],Tab_Calculs[[#This Row],[Début periode livraison]]))</f>
        <v>0</v>
      </c>
      <c r="M1034" s="94" t="e">
        <f ca="1">INDEX(INDIRECT(CONCATENATE("Tab_",Tab_Calculs[[#This Row],[Colonne1]])),Tab_Calculs[[#This Row],[index_date_livraison]]+1,6)*(Tab_Calculs[[#This Row],[fin mois]]-MIN(Tab_Calculs[[#This Row],[fin mois]],Tab_Calculs[[#This Row],[Date_livraison]]))</f>
        <v>#VALUE!</v>
      </c>
      <c r="N1034" s="231" t="str">
        <f ca="1">IFERROR(Tab_Calculs[[#This Row],[Ratio_jour_après_livr]]+Tab_Calculs[[#This Row],[Ratio_jour_avant_livr]]+Tab_Calculs[[#This Row],[ratio_avant_debut]],"")</f>
        <v/>
      </c>
      <c r="O1034" t="e">
        <f ca="1">INDEX(INDIRECT(CONCATENATE("Tab_",Tab_Calculs[[#This Row],[Colonne1]])),Tab_Calculs[[#This Row],[index_date_livraison]]-1,7)*(MAX(Tab_Calculs[[#This Row],[Début periode livraison]],Tab_Calculs[[#This Row],[Début mois]])-Tab_Calculs[[#This Row],[Début mois]])</f>
        <v>#VALUE!</v>
      </c>
      <c r="P1034">
        <f ca="1">INDEX(INDIRECT(CONCATENATE("Tab_",Tab_Calculs[[#This Row],[Colonne1]])),Tab_Calculs[[#This Row],[index_date_livraison]],7)*(1+MIN(Tab_Calculs[[#This Row],[Date_livraison]],Tab_Calculs[[#This Row],[fin mois]])-MAX(Tab_Calculs[[#This Row],[Début mois]],Tab_Calculs[[#This Row],[Début periode livraison]]))</f>
        <v>0</v>
      </c>
      <c r="Q1034" t="e">
        <f ca="1">INDEX(INDIRECT(CONCATENATE("Tab_",Tab_Calculs[[#This Row],[Colonne1]])),Tab_Calculs[[#This Row],[index_date_livraison]]+1,7)*(Tab_Calculs[[#This Row],[fin mois]]-MIN(Tab_Calculs[[#This Row],[fin mois]],Tab_Calculs[[#This Row],[Date_livraison]]))</f>
        <v>#VALUE!</v>
      </c>
      <c r="R1034" t="e">
        <f ca="1">Tab_Calculs[[#This Row],[Ratio_Cout_après_livr]]+Tab_Calculs[[#This Row],[Ratio_Cout_avant_livr]]+Tab_Calculs[[#This Row],[Ratio_Cout_avant_debut]]</f>
        <v>#VALUE!</v>
      </c>
      <c r="S1034" t="str">
        <f ca="1">IFERROR(N1034*VLOOKUP(Tab_Calculs[[#This Row],[Colonne1]],Controle_des_données!$B$7:$G$14,6,FALSE),"")</f>
        <v/>
      </c>
      <c r="T1034" t="str">
        <f ca="1">IF(Tab_Calculs[[#This Row],[Combustible ]]="Electricité (kWh)",Tab_Calculs[[#This Row],[Conso_mois_kWh]]*2.3,Tab_Calculs[[#This Row],[Conso_mois_kWh]])</f>
        <v/>
      </c>
      <c r="U1034" t="str">
        <f ca="1">IFERROR(N1034*VLOOKUP(Tab_Calculs[[#This Row],[Colonne1]],Controle_des_données!$B$7:$H$14,7,FALSE),"")</f>
        <v/>
      </c>
      <c r="V1034">
        <f ca="1">IFERROR(Tab_Calculs[[#This Row],[Cout_mois]]/Tab_Calculs[[#This Row],[Conso_mois_kWh]],0)</f>
        <v>0</v>
      </c>
      <c r="W1034" t="str">
        <f>T(VLOOKUP(Tab_Calculs[[#This Row],[Compteur]],Site!$B$33:$G$40,3,FALSE))</f>
        <v/>
      </c>
      <c r="X1034" t="str">
        <f>T(VLOOKUP(Tab_Calculs[[#This Row],[Compteur]],Site!$B$33:$G$40,4,FALSE))</f>
        <v/>
      </c>
      <c r="Y1034" t="str">
        <f>T(VLOOKUP(Tab_Calculs[[#This Row],[Compteur]],Site!$B$33:$G$40,5,FALSE))</f>
        <v/>
      </c>
      <c r="Z1034" t="str">
        <f>T(VLOOKUP(Tab_Calculs[[#This Row],[Compteur]],Site!$B$33:$G$40,6,FALSE))</f>
        <v/>
      </c>
      <c r="AA1034">
        <f>IFERROR(GETPIVOTDATA("DJU(chauffagiste)",BDD_DJU!$P$13,"annee",Tab_Calculs[[#This Row],[ANNEE]],"mois_numero",Tab_Calculs[[#This Row],[MOIS]]),0)</f>
        <v>51.8</v>
      </c>
    </row>
    <row r="1035" spans="1:27" x14ac:dyDescent="0.25">
      <c r="A1035" s="3">
        <f>DATE(Tab_Calculs[[#This Row],[ANNEE]],Tab_Calculs[[#This Row],[MOIS]],1)</f>
        <v>42186</v>
      </c>
      <c r="B1035" s="3">
        <f>EDATE(Tab_Calculs[[#This Row],[Début mois]],1)-1</f>
        <v>42216</v>
      </c>
      <c r="C1035">
        <v>7</v>
      </c>
      <c r="D1035">
        <f t="shared" si="35"/>
        <v>2015</v>
      </c>
      <c r="E1035" t="s">
        <v>85</v>
      </c>
      <c r="F1035" t="str">
        <f>SUBSTITUTE(Tab_Calculs[[#This Row],[Compteur]]," ","_")</f>
        <v>Compteur_6</v>
      </c>
      <c r="G1035" t="str">
        <f>T(INDEX(Site!$B$33:$G$40, MATCH(Tab_Calculs[[#This Row],[Compteur]], Site!$B$33:$B$40,0),2))</f>
        <v/>
      </c>
      <c r="H1035" s="3">
        <f t="array" aca="1" ref="H1035" ca="1">MIN(IF(INDIRECT(CONCATENATE(Tab_Calculs[[#This Row],[Colonne1]],"!$B$2:$B$243"))&gt;=Calculs_Consos!$A1035,INDIRECT(CONCATENATE(Tab_Calculs[[#This Row],[Colonne1]],"!$B$2:$B$243"))))</f>
        <v>0</v>
      </c>
      <c r="I1035" s="3">
        <f ca="1">INDEX(INDIRECT(CONCATENATE("Tab_",Tab_Calculs[[#This Row],[Colonne1]])),Tab_Calculs[[#This Row],[index_date_livraison]],1)</f>
        <v>0</v>
      </c>
      <c r="J1035">
        <f ca="1">MATCH(Tab_Calculs[[#This Row],[Date_livraison]],INDIRECT(CONCATENATE("Tab_",Tab_Calculs[[#This Row],[Colonne1]],"[Fin de période]")),0)</f>
        <v>1</v>
      </c>
      <c r="K1035" t="e">
        <f ca="1">INDEX(INDIRECT(CONCATENATE("Tab_",Tab_Calculs[[#This Row],[Colonne1]])),Tab_Calculs[[#This Row],[index_date_livraison]]-1,6)*(MAX(Tab_Calculs[[#This Row],[Début periode livraison]],Tab_Calculs[[#This Row],[Début mois]])-Tab_Calculs[[#This Row],[Début mois]])</f>
        <v>#VALUE!</v>
      </c>
      <c r="L1035" s="94">
        <f ca="1">INDEX(INDIRECT(CONCATENATE("Tab_",Tab_Calculs[[#This Row],[Colonne1]])),Tab_Calculs[[#This Row],[index_date_livraison]],6)*(1+MIN(Tab_Calculs[[#This Row],[Date_livraison]],Tab_Calculs[[#This Row],[fin mois]])-MAX(Tab_Calculs[[#This Row],[Début mois]],Tab_Calculs[[#This Row],[Début periode livraison]]))</f>
        <v>0</v>
      </c>
      <c r="M1035" s="94" t="e">
        <f ca="1">INDEX(INDIRECT(CONCATENATE("Tab_",Tab_Calculs[[#This Row],[Colonne1]])),Tab_Calculs[[#This Row],[index_date_livraison]]+1,6)*(Tab_Calculs[[#This Row],[fin mois]]-MIN(Tab_Calculs[[#This Row],[fin mois]],Tab_Calculs[[#This Row],[Date_livraison]]))</f>
        <v>#VALUE!</v>
      </c>
      <c r="N1035" s="231" t="str">
        <f ca="1">IFERROR(Tab_Calculs[[#This Row],[Ratio_jour_après_livr]]+Tab_Calculs[[#This Row],[Ratio_jour_avant_livr]]+Tab_Calculs[[#This Row],[ratio_avant_debut]],"")</f>
        <v/>
      </c>
      <c r="O1035" t="e">
        <f ca="1">INDEX(INDIRECT(CONCATENATE("Tab_",Tab_Calculs[[#This Row],[Colonne1]])),Tab_Calculs[[#This Row],[index_date_livraison]]-1,7)*(MAX(Tab_Calculs[[#This Row],[Début periode livraison]],Tab_Calculs[[#This Row],[Début mois]])-Tab_Calculs[[#This Row],[Début mois]])</f>
        <v>#VALUE!</v>
      </c>
      <c r="P1035">
        <f ca="1">INDEX(INDIRECT(CONCATENATE("Tab_",Tab_Calculs[[#This Row],[Colonne1]])),Tab_Calculs[[#This Row],[index_date_livraison]],7)*(1+MIN(Tab_Calculs[[#This Row],[Date_livraison]],Tab_Calculs[[#This Row],[fin mois]])-MAX(Tab_Calculs[[#This Row],[Début mois]],Tab_Calculs[[#This Row],[Début periode livraison]]))</f>
        <v>0</v>
      </c>
      <c r="Q1035" t="e">
        <f ca="1">INDEX(INDIRECT(CONCATENATE("Tab_",Tab_Calculs[[#This Row],[Colonne1]])),Tab_Calculs[[#This Row],[index_date_livraison]]+1,7)*(Tab_Calculs[[#This Row],[fin mois]]-MIN(Tab_Calculs[[#This Row],[fin mois]],Tab_Calculs[[#This Row],[Date_livraison]]))</f>
        <v>#VALUE!</v>
      </c>
      <c r="R1035" t="e">
        <f ca="1">Tab_Calculs[[#This Row],[Ratio_Cout_après_livr]]+Tab_Calculs[[#This Row],[Ratio_Cout_avant_livr]]+Tab_Calculs[[#This Row],[Ratio_Cout_avant_debut]]</f>
        <v>#VALUE!</v>
      </c>
      <c r="S1035" t="str">
        <f ca="1">IFERROR(N1035*VLOOKUP(Tab_Calculs[[#This Row],[Colonne1]],Controle_des_données!$B$7:$G$14,6,FALSE),"")</f>
        <v/>
      </c>
      <c r="T1035" t="str">
        <f ca="1">IF(Tab_Calculs[[#This Row],[Combustible ]]="Electricité (kWh)",Tab_Calculs[[#This Row],[Conso_mois_kWh]]*2.3,Tab_Calculs[[#This Row],[Conso_mois_kWh]])</f>
        <v/>
      </c>
      <c r="U1035" t="str">
        <f ca="1">IFERROR(N1035*VLOOKUP(Tab_Calculs[[#This Row],[Colonne1]],Controle_des_données!$B$7:$H$14,7,FALSE),"")</f>
        <v/>
      </c>
      <c r="V1035">
        <f ca="1">IFERROR(Tab_Calculs[[#This Row],[Cout_mois]]/Tab_Calculs[[#This Row],[Conso_mois_kWh]],0)</f>
        <v>0</v>
      </c>
      <c r="W1035" t="str">
        <f>T(VLOOKUP(Tab_Calculs[[#This Row],[Compteur]],Site!$B$33:$G$40,3,FALSE))</f>
        <v/>
      </c>
      <c r="X1035" t="str">
        <f>T(VLOOKUP(Tab_Calculs[[#This Row],[Compteur]],Site!$B$33:$G$40,4,FALSE))</f>
        <v/>
      </c>
      <c r="Y1035" t="str">
        <f>T(VLOOKUP(Tab_Calculs[[#This Row],[Compteur]],Site!$B$33:$G$40,5,FALSE))</f>
        <v/>
      </c>
      <c r="Z1035" t="str">
        <f>T(VLOOKUP(Tab_Calculs[[#This Row],[Compteur]],Site!$B$33:$G$40,6,FALSE))</f>
        <v/>
      </c>
      <c r="AA1035">
        <f>IFERROR(GETPIVOTDATA("DJU(chauffagiste)",BDD_DJU!$P$13,"annee",Tab_Calculs[[#This Row],[ANNEE]],"mois_numero",Tab_Calculs[[#This Row],[MOIS]]),0)</f>
        <v>29</v>
      </c>
    </row>
    <row r="1036" spans="1:27" x14ac:dyDescent="0.25">
      <c r="A1036" s="3">
        <f>DATE(Tab_Calculs[[#This Row],[ANNEE]],Tab_Calculs[[#This Row],[MOIS]],1)</f>
        <v>42217</v>
      </c>
      <c r="B1036" s="3">
        <f>EDATE(Tab_Calculs[[#This Row],[Début mois]],1)-1</f>
        <v>42247</v>
      </c>
      <c r="C1036">
        <v>8</v>
      </c>
      <c r="D1036">
        <f t="shared" si="35"/>
        <v>2015</v>
      </c>
      <c r="E1036" t="s">
        <v>85</v>
      </c>
      <c r="F1036" t="str">
        <f>SUBSTITUTE(Tab_Calculs[[#This Row],[Compteur]]," ","_")</f>
        <v>Compteur_6</v>
      </c>
      <c r="G1036" t="str">
        <f>T(INDEX(Site!$B$33:$G$40, MATCH(Tab_Calculs[[#This Row],[Compteur]], Site!$B$33:$B$40,0),2))</f>
        <v/>
      </c>
      <c r="H1036" s="3">
        <f t="array" aca="1" ref="H1036" ca="1">MIN(IF(INDIRECT(CONCATENATE(Tab_Calculs[[#This Row],[Colonne1]],"!$B$2:$B$243"))&gt;=Calculs_Consos!$A1036,INDIRECT(CONCATENATE(Tab_Calculs[[#This Row],[Colonne1]],"!$B$2:$B$243"))))</f>
        <v>0</v>
      </c>
      <c r="I1036" s="3">
        <f ca="1">INDEX(INDIRECT(CONCATENATE("Tab_",Tab_Calculs[[#This Row],[Colonne1]])),Tab_Calculs[[#This Row],[index_date_livraison]],1)</f>
        <v>0</v>
      </c>
      <c r="J1036">
        <f ca="1">MATCH(Tab_Calculs[[#This Row],[Date_livraison]],INDIRECT(CONCATENATE("Tab_",Tab_Calculs[[#This Row],[Colonne1]],"[Fin de période]")),0)</f>
        <v>1</v>
      </c>
      <c r="K1036" t="e">
        <f ca="1">INDEX(INDIRECT(CONCATENATE("Tab_",Tab_Calculs[[#This Row],[Colonne1]])),Tab_Calculs[[#This Row],[index_date_livraison]]-1,6)*(MAX(Tab_Calculs[[#This Row],[Début periode livraison]],Tab_Calculs[[#This Row],[Début mois]])-Tab_Calculs[[#This Row],[Début mois]])</f>
        <v>#VALUE!</v>
      </c>
      <c r="L1036" s="94">
        <f ca="1">INDEX(INDIRECT(CONCATENATE("Tab_",Tab_Calculs[[#This Row],[Colonne1]])),Tab_Calculs[[#This Row],[index_date_livraison]],6)*(1+MIN(Tab_Calculs[[#This Row],[Date_livraison]],Tab_Calculs[[#This Row],[fin mois]])-MAX(Tab_Calculs[[#This Row],[Début mois]],Tab_Calculs[[#This Row],[Début periode livraison]]))</f>
        <v>0</v>
      </c>
      <c r="M1036" s="94" t="e">
        <f ca="1">INDEX(INDIRECT(CONCATENATE("Tab_",Tab_Calculs[[#This Row],[Colonne1]])),Tab_Calculs[[#This Row],[index_date_livraison]]+1,6)*(Tab_Calculs[[#This Row],[fin mois]]-MIN(Tab_Calculs[[#This Row],[fin mois]],Tab_Calculs[[#This Row],[Date_livraison]]))</f>
        <v>#VALUE!</v>
      </c>
      <c r="N1036" s="231" t="str">
        <f ca="1">IFERROR(Tab_Calculs[[#This Row],[Ratio_jour_après_livr]]+Tab_Calculs[[#This Row],[Ratio_jour_avant_livr]]+Tab_Calculs[[#This Row],[ratio_avant_debut]],"")</f>
        <v/>
      </c>
      <c r="O1036" t="e">
        <f ca="1">INDEX(INDIRECT(CONCATENATE("Tab_",Tab_Calculs[[#This Row],[Colonne1]])),Tab_Calculs[[#This Row],[index_date_livraison]]-1,7)*(MAX(Tab_Calculs[[#This Row],[Début periode livraison]],Tab_Calculs[[#This Row],[Début mois]])-Tab_Calculs[[#This Row],[Début mois]])</f>
        <v>#VALUE!</v>
      </c>
      <c r="P1036">
        <f ca="1">INDEX(INDIRECT(CONCATENATE("Tab_",Tab_Calculs[[#This Row],[Colonne1]])),Tab_Calculs[[#This Row],[index_date_livraison]],7)*(1+MIN(Tab_Calculs[[#This Row],[Date_livraison]],Tab_Calculs[[#This Row],[fin mois]])-MAX(Tab_Calculs[[#This Row],[Début mois]],Tab_Calculs[[#This Row],[Début periode livraison]]))</f>
        <v>0</v>
      </c>
      <c r="Q1036" t="e">
        <f ca="1">INDEX(INDIRECT(CONCATENATE("Tab_",Tab_Calculs[[#This Row],[Colonne1]])),Tab_Calculs[[#This Row],[index_date_livraison]]+1,7)*(Tab_Calculs[[#This Row],[fin mois]]-MIN(Tab_Calculs[[#This Row],[fin mois]],Tab_Calculs[[#This Row],[Date_livraison]]))</f>
        <v>#VALUE!</v>
      </c>
      <c r="R1036" t="e">
        <f ca="1">Tab_Calculs[[#This Row],[Ratio_Cout_après_livr]]+Tab_Calculs[[#This Row],[Ratio_Cout_avant_livr]]+Tab_Calculs[[#This Row],[Ratio_Cout_avant_debut]]</f>
        <v>#VALUE!</v>
      </c>
      <c r="S1036" t="str">
        <f ca="1">IFERROR(N1036*VLOOKUP(Tab_Calculs[[#This Row],[Colonne1]],Controle_des_données!$B$7:$G$14,6,FALSE),"")</f>
        <v/>
      </c>
      <c r="T1036" t="str">
        <f ca="1">IF(Tab_Calculs[[#This Row],[Combustible ]]="Electricité (kWh)",Tab_Calculs[[#This Row],[Conso_mois_kWh]]*2.3,Tab_Calculs[[#This Row],[Conso_mois_kWh]])</f>
        <v/>
      </c>
      <c r="U1036" t="str">
        <f ca="1">IFERROR(N1036*VLOOKUP(Tab_Calculs[[#This Row],[Colonne1]],Controle_des_données!$B$7:$H$14,7,FALSE),"")</f>
        <v/>
      </c>
      <c r="V1036">
        <f ca="1">IFERROR(Tab_Calculs[[#This Row],[Cout_mois]]/Tab_Calculs[[#This Row],[Conso_mois_kWh]],0)</f>
        <v>0</v>
      </c>
      <c r="W1036" t="str">
        <f>T(VLOOKUP(Tab_Calculs[[#This Row],[Compteur]],Site!$B$33:$G$40,3,FALSE))</f>
        <v/>
      </c>
      <c r="X1036" t="str">
        <f>T(VLOOKUP(Tab_Calculs[[#This Row],[Compteur]],Site!$B$33:$G$40,4,FALSE))</f>
        <v/>
      </c>
      <c r="Y1036" t="str">
        <f>T(VLOOKUP(Tab_Calculs[[#This Row],[Compteur]],Site!$B$33:$G$40,5,FALSE))</f>
        <v/>
      </c>
      <c r="Z1036" t="str">
        <f>T(VLOOKUP(Tab_Calculs[[#This Row],[Compteur]],Site!$B$33:$G$40,6,FALSE))</f>
        <v/>
      </c>
      <c r="AA1036">
        <f>IFERROR(GETPIVOTDATA("DJU(chauffagiste)",BDD_DJU!$P$13,"annee",Tab_Calculs[[#This Row],[ANNEE]],"mois_numero",Tab_Calculs[[#This Row],[MOIS]]),0)</f>
        <v>32</v>
      </c>
    </row>
    <row r="1037" spans="1:27" x14ac:dyDescent="0.25">
      <c r="A1037" s="3">
        <f>DATE(Tab_Calculs[[#This Row],[ANNEE]],Tab_Calculs[[#This Row],[MOIS]],1)</f>
        <v>42248</v>
      </c>
      <c r="B1037" s="3">
        <f>EDATE(Tab_Calculs[[#This Row],[Début mois]],1)-1</f>
        <v>42277</v>
      </c>
      <c r="C1037">
        <v>9</v>
      </c>
      <c r="D1037">
        <f t="shared" si="35"/>
        <v>2015</v>
      </c>
      <c r="E1037" t="s">
        <v>85</v>
      </c>
      <c r="F1037" t="str">
        <f>SUBSTITUTE(Tab_Calculs[[#This Row],[Compteur]]," ","_")</f>
        <v>Compteur_6</v>
      </c>
      <c r="G1037" t="str">
        <f>T(INDEX(Site!$B$33:$G$40, MATCH(Tab_Calculs[[#This Row],[Compteur]], Site!$B$33:$B$40,0),2))</f>
        <v/>
      </c>
      <c r="H1037" s="3">
        <f t="array" aca="1" ref="H1037" ca="1">MIN(IF(INDIRECT(CONCATENATE(Tab_Calculs[[#This Row],[Colonne1]],"!$B$2:$B$243"))&gt;=Calculs_Consos!$A1037,INDIRECT(CONCATENATE(Tab_Calculs[[#This Row],[Colonne1]],"!$B$2:$B$243"))))</f>
        <v>0</v>
      </c>
      <c r="I1037" s="3">
        <f ca="1">INDEX(INDIRECT(CONCATENATE("Tab_",Tab_Calculs[[#This Row],[Colonne1]])),Tab_Calculs[[#This Row],[index_date_livraison]],1)</f>
        <v>0</v>
      </c>
      <c r="J1037">
        <f ca="1">MATCH(Tab_Calculs[[#This Row],[Date_livraison]],INDIRECT(CONCATENATE("Tab_",Tab_Calculs[[#This Row],[Colonne1]],"[Fin de période]")),0)</f>
        <v>1</v>
      </c>
      <c r="K1037" t="e">
        <f ca="1">INDEX(INDIRECT(CONCATENATE("Tab_",Tab_Calculs[[#This Row],[Colonne1]])),Tab_Calculs[[#This Row],[index_date_livraison]]-1,6)*(MAX(Tab_Calculs[[#This Row],[Début periode livraison]],Tab_Calculs[[#This Row],[Début mois]])-Tab_Calculs[[#This Row],[Début mois]])</f>
        <v>#VALUE!</v>
      </c>
      <c r="L1037" s="94">
        <f ca="1">INDEX(INDIRECT(CONCATENATE("Tab_",Tab_Calculs[[#This Row],[Colonne1]])),Tab_Calculs[[#This Row],[index_date_livraison]],6)*(1+MIN(Tab_Calculs[[#This Row],[Date_livraison]],Tab_Calculs[[#This Row],[fin mois]])-MAX(Tab_Calculs[[#This Row],[Début mois]],Tab_Calculs[[#This Row],[Début periode livraison]]))</f>
        <v>0</v>
      </c>
      <c r="M1037" s="94" t="e">
        <f ca="1">INDEX(INDIRECT(CONCATENATE("Tab_",Tab_Calculs[[#This Row],[Colonne1]])),Tab_Calculs[[#This Row],[index_date_livraison]]+1,6)*(Tab_Calculs[[#This Row],[fin mois]]-MIN(Tab_Calculs[[#This Row],[fin mois]],Tab_Calculs[[#This Row],[Date_livraison]]))</f>
        <v>#VALUE!</v>
      </c>
      <c r="N1037" s="231" t="str">
        <f ca="1">IFERROR(Tab_Calculs[[#This Row],[Ratio_jour_après_livr]]+Tab_Calculs[[#This Row],[Ratio_jour_avant_livr]]+Tab_Calculs[[#This Row],[ratio_avant_debut]],"")</f>
        <v/>
      </c>
      <c r="O1037" t="e">
        <f ca="1">INDEX(INDIRECT(CONCATENATE("Tab_",Tab_Calculs[[#This Row],[Colonne1]])),Tab_Calculs[[#This Row],[index_date_livraison]]-1,7)*(MAX(Tab_Calculs[[#This Row],[Début periode livraison]],Tab_Calculs[[#This Row],[Début mois]])-Tab_Calculs[[#This Row],[Début mois]])</f>
        <v>#VALUE!</v>
      </c>
      <c r="P1037">
        <f ca="1">INDEX(INDIRECT(CONCATENATE("Tab_",Tab_Calculs[[#This Row],[Colonne1]])),Tab_Calculs[[#This Row],[index_date_livraison]],7)*(1+MIN(Tab_Calculs[[#This Row],[Date_livraison]],Tab_Calculs[[#This Row],[fin mois]])-MAX(Tab_Calculs[[#This Row],[Début mois]],Tab_Calculs[[#This Row],[Début periode livraison]]))</f>
        <v>0</v>
      </c>
      <c r="Q1037" t="e">
        <f ca="1">INDEX(INDIRECT(CONCATENATE("Tab_",Tab_Calculs[[#This Row],[Colonne1]])),Tab_Calculs[[#This Row],[index_date_livraison]]+1,7)*(Tab_Calculs[[#This Row],[fin mois]]-MIN(Tab_Calculs[[#This Row],[fin mois]],Tab_Calculs[[#This Row],[Date_livraison]]))</f>
        <v>#VALUE!</v>
      </c>
      <c r="R1037" t="e">
        <f ca="1">Tab_Calculs[[#This Row],[Ratio_Cout_après_livr]]+Tab_Calculs[[#This Row],[Ratio_Cout_avant_livr]]+Tab_Calculs[[#This Row],[Ratio_Cout_avant_debut]]</f>
        <v>#VALUE!</v>
      </c>
      <c r="S1037" t="str">
        <f ca="1">IFERROR(N1037*VLOOKUP(Tab_Calculs[[#This Row],[Colonne1]],Controle_des_données!$B$7:$G$14,6,FALSE),"")</f>
        <v/>
      </c>
      <c r="T1037" t="str">
        <f ca="1">IF(Tab_Calculs[[#This Row],[Combustible ]]="Electricité (kWh)",Tab_Calculs[[#This Row],[Conso_mois_kWh]]*2.3,Tab_Calculs[[#This Row],[Conso_mois_kWh]])</f>
        <v/>
      </c>
      <c r="U1037" t="str">
        <f ca="1">IFERROR(N1037*VLOOKUP(Tab_Calculs[[#This Row],[Colonne1]],Controle_des_données!$B$7:$H$14,7,FALSE),"")</f>
        <v/>
      </c>
      <c r="V1037">
        <f ca="1">IFERROR(Tab_Calculs[[#This Row],[Cout_mois]]/Tab_Calculs[[#This Row],[Conso_mois_kWh]],0)</f>
        <v>0</v>
      </c>
      <c r="W1037" t="str">
        <f>T(VLOOKUP(Tab_Calculs[[#This Row],[Compteur]],Site!$B$33:$G$40,3,FALSE))</f>
        <v/>
      </c>
      <c r="X1037" t="str">
        <f>T(VLOOKUP(Tab_Calculs[[#This Row],[Compteur]],Site!$B$33:$G$40,4,FALSE))</f>
        <v/>
      </c>
      <c r="Y1037" t="str">
        <f>T(VLOOKUP(Tab_Calculs[[#This Row],[Compteur]],Site!$B$33:$G$40,5,FALSE))</f>
        <v/>
      </c>
      <c r="Z1037" t="str">
        <f>T(VLOOKUP(Tab_Calculs[[#This Row],[Compteur]],Site!$B$33:$G$40,6,FALSE))</f>
        <v/>
      </c>
      <c r="AA1037">
        <f>IFERROR(GETPIVOTDATA("DJU(chauffagiste)",BDD_DJU!$P$13,"annee",Tab_Calculs[[#This Row],[ANNEE]],"mois_numero",Tab_Calculs[[#This Row],[MOIS]]),0)</f>
        <v>96.9</v>
      </c>
    </row>
    <row r="1038" spans="1:27" x14ac:dyDescent="0.25">
      <c r="A1038" s="3">
        <f>DATE(Tab_Calculs[[#This Row],[ANNEE]],Tab_Calculs[[#This Row],[MOIS]],1)</f>
        <v>42278</v>
      </c>
      <c r="B1038" s="3">
        <f>EDATE(Tab_Calculs[[#This Row],[Début mois]],1)-1</f>
        <v>42308</v>
      </c>
      <c r="C1038">
        <v>10</v>
      </c>
      <c r="D1038">
        <f t="shared" si="35"/>
        <v>2015</v>
      </c>
      <c r="E1038" t="s">
        <v>85</v>
      </c>
      <c r="F1038" t="str">
        <f>SUBSTITUTE(Tab_Calculs[[#This Row],[Compteur]]," ","_")</f>
        <v>Compteur_6</v>
      </c>
      <c r="G1038" t="str">
        <f>T(INDEX(Site!$B$33:$G$40, MATCH(Tab_Calculs[[#This Row],[Compteur]], Site!$B$33:$B$40,0),2))</f>
        <v/>
      </c>
      <c r="H1038" s="3">
        <f t="array" aca="1" ref="H1038" ca="1">MIN(IF(INDIRECT(CONCATENATE(Tab_Calculs[[#This Row],[Colonne1]],"!$B$2:$B$243"))&gt;=Calculs_Consos!$A1038,INDIRECT(CONCATENATE(Tab_Calculs[[#This Row],[Colonne1]],"!$B$2:$B$243"))))</f>
        <v>0</v>
      </c>
      <c r="I1038" s="3">
        <f ca="1">INDEX(INDIRECT(CONCATENATE("Tab_",Tab_Calculs[[#This Row],[Colonne1]])),Tab_Calculs[[#This Row],[index_date_livraison]],1)</f>
        <v>0</v>
      </c>
      <c r="J1038">
        <f ca="1">MATCH(Tab_Calculs[[#This Row],[Date_livraison]],INDIRECT(CONCATENATE("Tab_",Tab_Calculs[[#This Row],[Colonne1]],"[Fin de période]")),0)</f>
        <v>1</v>
      </c>
      <c r="K1038" t="e">
        <f ca="1">INDEX(INDIRECT(CONCATENATE("Tab_",Tab_Calculs[[#This Row],[Colonne1]])),Tab_Calculs[[#This Row],[index_date_livraison]]-1,6)*(MAX(Tab_Calculs[[#This Row],[Début periode livraison]],Tab_Calculs[[#This Row],[Début mois]])-Tab_Calculs[[#This Row],[Début mois]])</f>
        <v>#VALUE!</v>
      </c>
      <c r="L1038" s="94">
        <f ca="1">INDEX(INDIRECT(CONCATENATE("Tab_",Tab_Calculs[[#This Row],[Colonne1]])),Tab_Calculs[[#This Row],[index_date_livraison]],6)*(1+MIN(Tab_Calculs[[#This Row],[Date_livraison]],Tab_Calculs[[#This Row],[fin mois]])-MAX(Tab_Calculs[[#This Row],[Début mois]],Tab_Calculs[[#This Row],[Début periode livraison]]))</f>
        <v>0</v>
      </c>
      <c r="M1038" s="94" t="e">
        <f ca="1">INDEX(INDIRECT(CONCATENATE("Tab_",Tab_Calculs[[#This Row],[Colonne1]])),Tab_Calculs[[#This Row],[index_date_livraison]]+1,6)*(Tab_Calculs[[#This Row],[fin mois]]-MIN(Tab_Calculs[[#This Row],[fin mois]],Tab_Calculs[[#This Row],[Date_livraison]]))</f>
        <v>#VALUE!</v>
      </c>
      <c r="N1038" s="231" t="str">
        <f ca="1">IFERROR(Tab_Calculs[[#This Row],[Ratio_jour_après_livr]]+Tab_Calculs[[#This Row],[Ratio_jour_avant_livr]]+Tab_Calculs[[#This Row],[ratio_avant_debut]],"")</f>
        <v/>
      </c>
      <c r="O1038" t="e">
        <f ca="1">INDEX(INDIRECT(CONCATENATE("Tab_",Tab_Calculs[[#This Row],[Colonne1]])),Tab_Calculs[[#This Row],[index_date_livraison]]-1,7)*(MAX(Tab_Calculs[[#This Row],[Début periode livraison]],Tab_Calculs[[#This Row],[Début mois]])-Tab_Calculs[[#This Row],[Début mois]])</f>
        <v>#VALUE!</v>
      </c>
      <c r="P1038">
        <f ca="1">INDEX(INDIRECT(CONCATENATE("Tab_",Tab_Calculs[[#This Row],[Colonne1]])),Tab_Calculs[[#This Row],[index_date_livraison]],7)*(1+MIN(Tab_Calculs[[#This Row],[Date_livraison]],Tab_Calculs[[#This Row],[fin mois]])-MAX(Tab_Calculs[[#This Row],[Début mois]],Tab_Calculs[[#This Row],[Début periode livraison]]))</f>
        <v>0</v>
      </c>
      <c r="Q1038" t="e">
        <f ca="1">INDEX(INDIRECT(CONCATENATE("Tab_",Tab_Calculs[[#This Row],[Colonne1]])),Tab_Calculs[[#This Row],[index_date_livraison]]+1,7)*(Tab_Calculs[[#This Row],[fin mois]]-MIN(Tab_Calculs[[#This Row],[fin mois]],Tab_Calculs[[#This Row],[Date_livraison]]))</f>
        <v>#VALUE!</v>
      </c>
      <c r="R1038" t="e">
        <f ca="1">Tab_Calculs[[#This Row],[Ratio_Cout_après_livr]]+Tab_Calculs[[#This Row],[Ratio_Cout_avant_livr]]+Tab_Calculs[[#This Row],[Ratio_Cout_avant_debut]]</f>
        <v>#VALUE!</v>
      </c>
      <c r="S1038" t="str">
        <f ca="1">IFERROR(N1038*VLOOKUP(Tab_Calculs[[#This Row],[Colonne1]],Controle_des_données!$B$7:$G$14,6,FALSE),"")</f>
        <v/>
      </c>
      <c r="T1038" t="str">
        <f ca="1">IF(Tab_Calculs[[#This Row],[Combustible ]]="Electricité (kWh)",Tab_Calculs[[#This Row],[Conso_mois_kWh]]*2.3,Tab_Calculs[[#This Row],[Conso_mois_kWh]])</f>
        <v/>
      </c>
      <c r="U1038" t="str">
        <f ca="1">IFERROR(N1038*VLOOKUP(Tab_Calculs[[#This Row],[Colonne1]],Controle_des_données!$B$7:$H$14,7,FALSE),"")</f>
        <v/>
      </c>
      <c r="V1038">
        <f ca="1">IFERROR(Tab_Calculs[[#This Row],[Cout_mois]]/Tab_Calculs[[#This Row],[Conso_mois_kWh]],0)</f>
        <v>0</v>
      </c>
      <c r="W1038" t="str">
        <f>T(VLOOKUP(Tab_Calculs[[#This Row],[Compteur]],Site!$B$33:$G$40,3,FALSE))</f>
        <v/>
      </c>
      <c r="X1038" t="str">
        <f>T(VLOOKUP(Tab_Calculs[[#This Row],[Compteur]],Site!$B$33:$G$40,4,FALSE))</f>
        <v/>
      </c>
      <c r="Y1038" t="str">
        <f>T(VLOOKUP(Tab_Calculs[[#This Row],[Compteur]],Site!$B$33:$G$40,5,FALSE))</f>
        <v/>
      </c>
      <c r="Z1038" t="str">
        <f>T(VLOOKUP(Tab_Calculs[[#This Row],[Compteur]],Site!$B$33:$G$40,6,FALSE))</f>
        <v/>
      </c>
      <c r="AA1038">
        <f>IFERROR(GETPIVOTDATA("DJU(chauffagiste)",BDD_DJU!$P$13,"annee",Tab_Calculs[[#This Row],[ANNEE]],"mois_numero",Tab_Calculs[[#This Row],[MOIS]]),0)</f>
        <v>181.1</v>
      </c>
    </row>
    <row r="1039" spans="1:27" x14ac:dyDescent="0.25">
      <c r="A1039" s="3">
        <f>DATE(Tab_Calculs[[#This Row],[ANNEE]],Tab_Calculs[[#This Row],[MOIS]],1)</f>
        <v>42309</v>
      </c>
      <c r="B1039" s="3">
        <f>EDATE(Tab_Calculs[[#This Row],[Début mois]],1)-1</f>
        <v>42338</v>
      </c>
      <c r="C1039">
        <v>11</v>
      </c>
      <c r="D1039">
        <f t="shared" si="35"/>
        <v>2015</v>
      </c>
      <c r="E1039" t="s">
        <v>85</v>
      </c>
      <c r="F1039" t="str">
        <f>SUBSTITUTE(Tab_Calculs[[#This Row],[Compteur]]," ","_")</f>
        <v>Compteur_6</v>
      </c>
      <c r="G1039" t="str">
        <f>T(INDEX(Site!$B$33:$G$40, MATCH(Tab_Calculs[[#This Row],[Compteur]], Site!$B$33:$B$40,0),2))</f>
        <v/>
      </c>
      <c r="H1039" s="3">
        <f t="array" aca="1" ref="H1039" ca="1">MIN(IF(INDIRECT(CONCATENATE(Tab_Calculs[[#This Row],[Colonne1]],"!$B$2:$B$243"))&gt;=Calculs_Consos!$A1039,INDIRECT(CONCATENATE(Tab_Calculs[[#This Row],[Colonne1]],"!$B$2:$B$243"))))</f>
        <v>0</v>
      </c>
      <c r="I1039" s="3">
        <f ca="1">INDEX(INDIRECT(CONCATENATE("Tab_",Tab_Calculs[[#This Row],[Colonne1]])),Tab_Calculs[[#This Row],[index_date_livraison]],1)</f>
        <v>0</v>
      </c>
      <c r="J1039">
        <f ca="1">MATCH(Tab_Calculs[[#This Row],[Date_livraison]],INDIRECT(CONCATENATE("Tab_",Tab_Calculs[[#This Row],[Colonne1]],"[Fin de période]")),0)</f>
        <v>1</v>
      </c>
      <c r="K1039" t="e">
        <f ca="1">INDEX(INDIRECT(CONCATENATE("Tab_",Tab_Calculs[[#This Row],[Colonne1]])),Tab_Calculs[[#This Row],[index_date_livraison]]-1,6)*(MAX(Tab_Calculs[[#This Row],[Début periode livraison]],Tab_Calculs[[#This Row],[Début mois]])-Tab_Calculs[[#This Row],[Début mois]])</f>
        <v>#VALUE!</v>
      </c>
      <c r="L1039" s="94">
        <f ca="1">INDEX(INDIRECT(CONCATENATE("Tab_",Tab_Calculs[[#This Row],[Colonne1]])),Tab_Calculs[[#This Row],[index_date_livraison]],6)*(1+MIN(Tab_Calculs[[#This Row],[Date_livraison]],Tab_Calculs[[#This Row],[fin mois]])-MAX(Tab_Calculs[[#This Row],[Début mois]],Tab_Calculs[[#This Row],[Début periode livraison]]))</f>
        <v>0</v>
      </c>
      <c r="M1039" s="94" t="e">
        <f ca="1">INDEX(INDIRECT(CONCATENATE("Tab_",Tab_Calculs[[#This Row],[Colonne1]])),Tab_Calculs[[#This Row],[index_date_livraison]]+1,6)*(Tab_Calculs[[#This Row],[fin mois]]-MIN(Tab_Calculs[[#This Row],[fin mois]],Tab_Calculs[[#This Row],[Date_livraison]]))</f>
        <v>#VALUE!</v>
      </c>
      <c r="N1039" s="231" t="str">
        <f ca="1">IFERROR(Tab_Calculs[[#This Row],[Ratio_jour_après_livr]]+Tab_Calculs[[#This Row],[Ratio_jour_avant_livr]]+Tab_Calculs[[#This Row],[ratio_avant_debut]],"")</f>
        <v/>
      </c>
      <c r="O1039" t="e">
        <f ca="1">INDEX(INDIRECT(CONCATENATE("Tab_",Tab_Calculs[[#This Row],[Colonne1]])),Tab_Calculs[[#This Row],[index_date_livraison]]-1,7)*(MAX(Tab_Calculs[[#This Row],[Début periode livraison]],Tab_Calculs[[#This Row],[Début mois]])-Tab_Calculs[[#This Row],[Début mois]])</f>
        <v>#VALUE!</v>
      </c>
      <c r="P1039">
        <f ca="1">INDEX(INDIRECT(CONCATENATE("Tab_",Tab_Calculs[[#This Row],[Colonne1]])),Tab_Calculs[[#This Row],[index_date_livraison]],7)*(1+MIN(Tab_Calculs[[#This Row],[Date_livraison]],Tab_Calculs[[#This Row],[fin mois]])-MAX(Tab_Calculs[[#This Row],[Début mois]],Tab_Calculs[[#This Row],[Début periode livraison]]))</f>
        <v>0</v>
      </c>
      <c r="Q1039" t="e">
        <f ca="1">INDEX(INDIRECT(CONCATENATE("Tab_",Tab_Calculs[[#This Row],[Colonne1]])),Tab_Calculs[[#This Row],[index_date_livraison]]+1,7)*(Tab_Calculs[[#This Row],[fin mois]]-MIN(Tab_Calculs[[#This Row],[fin mois]],Tab_Calculs[[#This Row],[Date_livraison]]))</f>
        <v>#VALUE!</v>
      </c>
      <c r="R1039" t="e">
        <f ca="1">Tab_Calculs[[#This Row],[Ratio_Cout_après_livr]]+Tab_Calculs[[#This Row],[Ratio_Cout_avant_livr]]+Tab_Calculs[[#This Row],[Ratio_Cout_avant_debut]]</f>
        <v>#VALUE!</v>
      </c>
      <c r="S1039" t="str">
        <f ca="1">IFERROR(N1039*VLOOKUP(Tab_Calculs[[#This Row],[Colonne1]],Controle_des_données!$B$7:$G$14,6,FALSE),"")</f>
        <v/>
      </c>
      <c r="T1039" t="str">
        <f ca="1">IF(Tab_Calculs[[#This Row],[Combustible ]]="Electricité (kWh)",Tab_Calculs[[#This Row],[Conso_mois_kWh]]*2.3,Tab_Calculs[[#This Row],[Conso_mois_kWh]])</f>
        <v/>
      </c>
      <c r="U1039" t="str">
        <f ca="1">IFERROR(N1039*VLOOKUP(Tab_Calculs[[#This Row],[Colonne1]],Controle_des_données!$B$7:$H$14,7,FALSE),"")</f>
        <v/>
      </c>
      <c r="V1039">
        <f ca="1">IFERROR(Tab_Calculs[[#This Row],[Cout_mois]]/Tab_Calculs[[#This Row],[Conso_mois_kWh]],0)</f>
        <v>0</v>
      </c>
      <c r="W1039" t="str">
        <f>T(VLOOKUP(Tab_Calculs[[#This Row],[Compteur]],Site!$B$33:$G$40,3,FALSE))</f>
        <v/>
      </c>
      <c r="X1039" t="str">
        <f>T(VLOOKUP(Tab_Calculs[[#This Row],[Compteur]],Site!$B$33:$G$40,4,FALSE))</f>
        <v/>
      </c>
      <c r="Y1039" t="str">
        <f>T(VLOOKUP(Tab_Calculs[[#This Row],[Compteur]],Site!$B$33:$G$40,5,FALSE))</f>
        <v/>
      </c>
      <c r="Z1039" t="str">
        <f>T(VLOOKUP(Tab_Calculs[[#This Row],[Compteur]],Site!$B$33:$G$40,6,FALSE))</f>
        <v/>
      </c>
      <c r="AA1039">
        <f>IFERROR(GETPIVOTDATA("DJU(chauffagiste)",BDD_DJU!$P$13,"annee",Tab_Calculs[[#This Row],[ANNEE]],"mois_numero",Tab_Calculs[[#This Row],[MOIS]]),0)</f>
        <v>191.1</v>
      </c>
    </row>
    <row r="1040" spans="1:27" x14ac:dyDescent="0.25">
      <c r="A1040" s="3">
        <f>DATE(Tab_Calculs[[#This Row],[ANNEE]],Tab_Calculs[[#This Row],[MOIS]],1)</f>
        <v>42339</v>
      </c>
      <c r="B1040" s="3">
        <f>EDATE(Tab_Calculs[[#This Row],[Début mois]],1)-1</f>
        <v>42369</v>
      </c>
      <c r="C1040">
        <v>12</v>
      </c>
      <c r="D1040">
        <f t="shared" si="35"/>
        <v>2015</v>
      </c>
      <c r="E1040" t="s">
        <v>85</v>
      </c>
      <c r="F1040" t="str">
        <f>SUBSTITUTE(Tab_Calculs[[#This Row],[Compteur]]," ","_")</f>
        <v>Compteur_6</v>
      </c>
      <c r="G1040" t="str">
        <f>T(INDEX(Site!$B$33:$G$40, MATCH(Tab_Calculs[[#This Row],[Compteur]], Site!$B$33:$B$40,0),2))</f>
        <v/>
      </c>
      <c r="H1040" s="3">
        <f t="array" aca="1" ref="H1040" ca="1">MIN(IF(INDIRECT(CONCATENATE(Tab_Calculs[[#This Row],[Colonne1]],"!$B$2:$B$243"))&gt;=Calculs_Consos!$A1040,INDIRECT(CONCATENATE(Tab_Calculs[[#This Row],[Colonne1]],"!$B$2:$B$243"))))</f>
        <v>0</v>
      </c>
      <c r="I1040" s="3">
        <f ca="1">INDEX(INDIRECT(CONCATENATE("Tab_",Tab_Calculs[[#This Row],[Colonne1]])),Tab_Calculs[[#This Row],[index_date_livraison]],1)</f>
        <v>0</v>
      </c>
      <c r="J1040">
        <f ca="1">MATCH(Tab_Calculs[[#This Row],[Date_livraison]],INDIRECT(CONCATENATE("Tab_",Tab_Calculs[[#This Row],[Colonne1]],"[Fin de période]")),0)</f>
        <v>1</v>
      </c>
      <c r="K1040" t="e">
        <f ca="1">INDEX(INDIRECT(CONCATENATE("Tab_",Tab_Calculs[[#This Row],[Colonne1]])),Tab_Calculs[[#This Row],[index_date_livraison]]-1,6)*(MAX(Tab_Calculs[[#This Row],[Début periode livraison]],Tab_Calculs[[#This Row],[Début mois]])-Tab_Calculs[[#This Row],[Début mois]])</f>
        <v>#VALUE!</v>
      </c>
      <c r="L1040" s="94">
        <f ca="1">INDEX(INDIRECT(CONCATENATE("Tab_",Tab_Calculs[[#This Row],[Colonne1]])),Tab_Calculs[[#This Row],[index_date_livraison]],6)*(1+MIN(Tab_Calculs[[#This Row],[Date_livraison]],Tab_Calculs[[#This Row],[fin mois]])-MAX(Tab_Calculs[[#This Row],[Début mois]],Tab_Calculs[[#This Row],[Début periode livraison]]))</f>
        <v>0</v>
      </c>
      <c r="M1040" s="94" t="e">
        <f ca="1">INDEX(INDIRECT(CONCATENATE("Tab_",Tab_Calculs[[#This Row],[Colonne1]])),Tab_Calculs[[#This Row],[index_date_livraison]]+1,6)*(Tab_Calculs[[#This Row],[fin mois]]-MIN(Tab_Calculs[[#This Row],[fin mois]],Tab_Calculs[[#This Row],[Date_livraison]]))</f>
        <v>#VALUE!</v>
      </c>
      <c r="N1040" s="231" t="str">
        <f ca="1">IFERROR(Tab_Calculs[[#This Row],[Ratio_jour_après_livr]]+Tab_Calculs[[#This Row],[Ratio_jour_avant_livr]]+Tab_Calculs[[#This Row],[ratio_avant_debut]],"")</f>
        <v/>
      </c>
      <c r="O1040" t="e">
        <f ca="1">INDEX(INDIRECT(CONCATENATE("Tab_",Tab_Calculs[[#This Row],[Colonne1]])),Tab_Calculs[[#This Row],[index_date_livraison]]-1,7)*(MAX(Tab_Calculs[[#This Row],[Début periode livraison]],Tab_Calculs[[#This Row],[Début mois]])-Tab_Calculs[[#This Row],[Début mois]])</f>
        <v>#VALUE!</v>
      </c>
      <c r="P1040">
        <f ca="1">INDEX(INDIRECT(CONCATENATE("Tab_",Tab_Calculs[[#This Row],[Colonne1]])),Tab_Calculs[[#This Row],[index_date_livraison]],7)*(1+MIN(Tab_Calculs[[#This Row],[Date_livraison]],Tab_Calculs[[#This Row],[fin mois]])-MAX(Tab_Calculs[[#This Row],[Début mois]],Tab_Calculs[[#This Row],[Début periode livraison]]))</f>
        <v>0</v>
      </c>
      <c r="Q1040" t="e">
        <f ca="1">INDEX(INDIRECT(CONCATENATE("Tab_",Tab_Calculs[[#This Row],[Colonne1]])),Tab_Calculs[[#This Row],[index_date_livraison]]+1,7)*(Tab_Calculs[[#This Row],[fin mois]]-MIN(Tab_Calculs[[#This Row],[fin mois]],Tab_Calculs[[#This Row],[Date_livraison]]))</f>
        <v>#VALUE!</v>
      </c>
      <c r="R1040" t="e">
        <f ca="1">Tab_Calculs[[#This Row],[Ratio_Cout_après_livr]]+Tab_Calculs[[#This Row],[Ratio_Cout_avant_livr]]+Tab_Calculs[[#This Row],[Ratio_Cout_avant_debut]]</f>
        <v>#VALUE!</v>
      </c>
      <c r="S1040" t="str">
        <f ca="1">IFERROR(N1040*VLOOKUP(Tab_Calculs[[#This Row],[Colonne1]],Controle_des_données!$B$7:$G$14,6,FALSE),"")</f>
        <v/>
      </c>
      <c r="T1040" t="str">
        <f ca="1">IF(Tab_Calculs[[#This Row],[Combustible ]]="Electricité (kWh)",Tab_Calculs[[#This Row],[Conso_mois_kWh]]*2.3,Tab_Calculs[[#This Row],[Conso_mois_kWh]])</f>
        <v/>
      </c>
      <c r="U1040" t="str">
        <f ca="1">IFERROR(N1040*VLOOKUP(Tab_Calculs[[#This Row],[Colonne1]],Controle_des_données!$B$7:$H$14,7,FALSE),"")</f>
        <v/>
      </c>
      <c r="V1040">
        <f ca="1">IFERROR(Tab_Calculs[[#This Row],[Cout_mois]]/Tab_Calculs[[#This Row],[Conso_mois_kWh]],0)</f>
        <v>0</v>
      </c>
      <c r="W1040" t="str">
        <f>T(VLOOKUP(Tab_Calculs[[#This Row],[Compteur]],Site!$B$33:$G$40,3,FALSE))</f>
        <v/>
      </c>
      <c r="X1040" t="str">
        <f>T(VLOOKUP(Tab_Calculs[[#This Row],[Compteur]],Site!$B$33:$G$40,4,FALSE))</f>
        <v/>
      </c>
      <c r="Y1040" t="str">
        <f>T(VLOOKUP(Tab_Calculs[[#This Row],[Compteur]],Site!$B$33:$G$40,5,FALSE))</f>
        <v/>
      </c>
      <c r="Z1040" t="str">
        <f>T(VLOOKUP(Tab_Calculs[[#This Row],[Compteur]],Site!$B$33:$G$40,6,FALSE))</f>
        <v/>
      </c>
      <c r="AA1040">
        <f>IFERROR(GETPIVOTDATA("DJU(chauffagiste)",BDD_DJU!$P$13,"annee",Tab_Calculs[[#This Row],[ANNEE]],"mois_numero",Tab_Calculs[[#This Row],[MOIS]]),0)</f>
        <v>258.5</v>
      </c>
    </row>
    <row r="1041" spans="1:27" x14ac:dyDescent="0.25">
      <c r="A1041" s="3">
        <f>DATE(Tab_Calculs[[#This Row],[ANNEE]],Tab_Calculs[[#This Row],[MOIS]],1)</f>
        <v>42370</v>
      </c>
      <c r="B1041" s="3">
        <f>EDATE(Tab_Calculs[[#This Row],[Début mois]],1)-1</f>
        <v>42400</v>
      </c>
      <c r="C1041">
        <f>C1029</f>
        <v>1</v>
      </c>
      <c r="D1041">
        <f t="shared" si="35"/>
        <v>2016</v>
      </c>
      <c r="E1041" t="s">
        <v>85</v>
      </c>
      <c r="F1041" t="str">
        <f>SUBSTITUTE(Tab_Calculs[[#This Row],[Compteur]]," ","_")</f>
        <v>Compteur_6</v>
      </c>
      <c r="G1041" t="str">
        <f>T(INDEX(Site!$B$33:$G$40, MATCH(Tab_Calculs[[#This Row],[Compteur]], Site!$B$33:$B$40,0),2))</f>
        <v/>
      </c>
      <c r="H1041" s="3">
        <f t="array" aca="1" ref="H1041" ca="1">MIN(IF(INDIRECT(CONCATENATE(Tab_Calculs[[#This Row],[Colonne1]],"!$B$2:$B$243"))&gt;=Calculs_Consos!$A1041,INDIRECT(CONCATENATE(Tab_Calculs[[#This Row],[Colonne1]],"!$B$2:$B$243"))))</f>
        <v>0</v>
      </c>
      <c r="I1041" s="3">
        <f ca="1">INDEX(INDIRECT(CONCATENATE("Tab_",Tab_Calculs[[#This Row],[Colonne1]])),Tab_Calculs[[#This Row],[index_date_livraison]],1)</f>
        <v>0</v>
      </c>
      <c r="J1041">
        <f ca="1">MATCH(Tab_Calculs[[#This Row],[Date_livraison]],INDIRECT(CONCATENATE("Tab_",Tab_Calculs[[#This Row],[Colonne1]],"[Fin de période]")),0)</f>
        <v>1</v>
      </c>
      <c r="K1041" t="e">
        <f ca="1">INDEX(INDIRECT(CONCATENATE("Tab_",Tab_Calculs[[#This Row],[Colonne1]])),Tab_Calculs[[#This Row],[index_date_livraison]]-1,6)*(MAX(Tab_Calculs[[#This Row],[Début periode livraison]],Tab_Calculs[[#This Row],[Début mois]])-Tab_Calculs[[#This Row],[Début mois]])</f>
        <v>#VALUE!</v>
      </c>
      <c r="L1041" s="94">
        <f ca="1">INDEX(INDIRECT(CONCATENATE("Tab_",Tab_Calculs[[#This Row],[Colonne1]])),Tab_Calculs[[#This Row],[index_date_livraison]],6)*(1+MIN(Tab_Calculs[[#This Row],[Date_livraison]],Tab_Calculs[[#This Row],[fin mois]])-MAX(Tab_Calculs[[#This Row],[Début mois]],Tab_Calculs[[#This Row],[Début periode livraison]]))</f>
        <v>0</v>
      </c>
      <c r="M1041" s="94" t="e">
        <f ca="1">INDEX(INDIRECT(CONCATENATE("Tab_",Tab_Calculs[[#This Row],[Colonne1]])),Tab_Calculs[[#This Row],[index_date_livraison]]+1,6)*(Tab_Calculs[[#This Row],[fin mois]]-MIN(Tab_Calculs[[#This Row],[fin mois]],Tab_Calculs[[#This Row],[Date_livraison]]))</f>
        <v>#VALUE!</v>
      </c>
      <c r="N1041" s="231" t="str">
        <f ca="1">IFERROR(Tab_Calculs[[#This Row],[Ratio_jour_après_livr]]+Tab_Calculs[[#This Row],[Ratio_jour_avant_livr]]+Tab_Calculs[[#This Row],[ratio_avant_debut]],"")</f>
        <v/>
      </c>
      <c r="O1041" t="e">
        <f ca="1">INDEX(INDIRECT(CONCATENATE("Tab_",Tab_Calculs[[#This Row],[Colonne1]])),Tab_Calculs[[#This Row],[index_date_livraison]]-1,7)*(MAX(Tab_Calculs[[#This Row],[Début periode livraison]],Tab_Calculs[[#This Row],[Début mois]])-Tab_Calculs[[#This Row],[Début mois]])</f>
        <v>#VALUE!</v>
      </c>
      <c r="P1041">
        <f ca="1">INDEX(INDIRECT(CONCATENATE("Tab_",Tab_Calculs[[#This Row],[Colonne1]])),Tab_Calculs[[#This Row],[index_date_livraison]],7)*(1+MIN(Tab_Calculs[[#This Row],[Date_livraison]],Tab_Calculs[[#This Row],[fin mois]])-MAX(Tab_Calculs[[#This Row],[Début mois]],Tab_Calculs[[#This Row],[Début periode livraison]]))</f>
        <v>0</v>
      </c>
      <c r="Q1041" t="e">
        <f ca="1">INDEX(INDIRECT(CONCATENATE("Tab_",Tab_Calculs[[#This Row],[Colonne1]])),Tab_Calculs[[#This Row],[index_date_livraison]]+1,7)*(Tab_Calculs[[#This Row],[fin mois]]-MIN(Tab_Calculs[[#This Row],[fin mois]],Tab_Calculs[[#This Row],[Date_livraison]]))</f>
        <v>#VALUE!</v>
      </c>
      <c r="R1041" t="e">
        <f ca="1">Tab_Calculs[[#This Row],[Ratio_Cout_après_livr]]+Tab_Calculs[[#This Row],[Ratio_Cout_avant_livr]]+Tab_Calculs[[#This Row],[Ratio_Cout_avant_debut]]</f>
        <v>#VALUE!</v>
      </c>
      <c r="S1041" t="str">
        <f ca="1">IFERROR(N1041*VLOOKUP(Tab_Calculs[[#This Row],[Colonne1]],Controle_des_données!$B$7:$G$14,6,FALSE),"")</f>
        <v/>
      </c>
      <c r="T1041" t="str">
        <f ca="1">IF(Tab_Calculs[[#This Row],[Combustible ]]="Electricité (kWh)",Tab_Calculs[[#This Row],[Conso_mois_kWh]]*2.3,Tab_Calculs[[#This Row],[Conso_mois_kWh]])</f>
        <v/>
      </c>
      <c r="U1041" t="str">
        <f ca="1">IFERROR(N1041*VLOOKUP(Tab_Calculs[[#This Row],[Colonne1]],Controle_des_données!$B$7:$H$14,7,FALSE),"")</f>
        <v/>
      </c>
      <c r="V1041">
        <f ca="1">IFERROR(Tab_Calculs[[#This Row],[Cout_mois]]/Tab_Calculs[[#This Row],[Conso_mois_kWh]],0)</f>
        <v>0</v>
      </c>
      <c r="W1041" t="str">
        <f>T(VLOOKUP(Tab_Calculs[[#This Row],[Compteur]],Site!$B$33:$G$40,3,FALSE))</f>
        <v/>
      </c>
      <c r="X1041" t="str">
        <f>T(VLOOKUP(Tab_Calculs[[#This Row],[Compteur]],Site!$B$33:$G$40,4,FALSE))</f>
        <v/>
      </c>
      <c r="Y1041" t="str">
        <f>T(VLOOKUP(Tab_Calculs[[#This Row],[Compteur]],Site!$B$33:$G$40,5,FALSE))</f>
        <v/>
      </c>
      <c r="Z1041" t="str">
        <f>T(VLOOKUP(Tab_Calculs[[#This Row],[Compteur]],Site!$B$33:$G$40,6,FALSE))</f>
        <v/>
      </c>
      <c r="AA1041">
        <f>IFERROR(GETPIVOTDATA("DJU(chauffagiste)",BDD_DJU!$P$13,"annee",Tab_Calculs[[#This Row],[ANNEE]],"mois_numero",Tab_Calculs[[#This Row],[MOIS]]),0)</f>
        <v>348.4</v>
      </c>
    </row>
    <row r="1042" spans="1:27" x14ac:dyDescent="0.25">
      <c r="A1042" s="3">
        <f>DATE(Tab_Calculs[[#This Row],[ANNEE]],Tab_Calculs[[#This Row],[MOIS]],1)</f>
        <v>42401</v>
      </c>
      <c r="B1042" s="3">
        <f>EDATE(Tab_Calculs[[#This Row],[Début mois]],1)-1</f>
        <v>42429</v>
      </c>
      <c r="C1042">
        <f t="shared" ref="C1042:C1105" si="36">C1030</f>
        <v>2</v>
      </c>
      <c r="D1042">
        <f t="shared" si="35"/>
        <v>2016</v>
      </c>
      <c r="E1042" t="s">
        <v>85</v>
      </c>
      <c r="F1042" t="str">
        <f>SUBSTITUTE(Tab_Calculs[[#This Row],[Compteur]]," ","_")</f>
        <v>Compteur_6</v>
      </c>
      <c r="G1042" t="str">
        <f>T(INDEX(Site!$B$33:$G$40, MATCH(Tab_Calculs[[#This Row],[Compteur]], Site!$B$33:$B$40,0),2))</f>
        <v/>
      </c>
      <c r="H1042" s="3">
        <f t="array" aca="1" ref="H1042" ca="1">MIN(IF(INDIRECT(CONCATENATE(Tab_Calculs[[#This Row],[Colonne1]],"!$B$2:$B$243"))&gt;=Calculs_Consos!$A1042,INDIRECT(CONCATENATE(Tab_Calculs[[#This Row],[Colonne1]],"!$B$2:$B$243"))))</f>
        <v>0</v>
      </c>
      <c r="I1042" s="3">
        <f ca="1">INDEX(INDIRECT(CONCATENATE("Tab_",Tab_Calculs[[#This Row],[Colonne1]])),Tab_Calculs[[#This Row],[index_date_livraison]],1)</f>
        <v>0</v>
      </c>
      <c r="J1042">
        <f ca="1">MATCH(Tab_Calculs[[#This Row],[Date_livraison]],INDIRECT(CONCATENATE("Tab_",Tab_Calculs[[#This Row],[Colonne1]],"[Fin de période]")),0)</f>
        <v>1</v>
      </c>
      <c r="K1042" t="e">
        <f ca="1">INDEX(INDIRECT(CONCATENATE("Tab_",Tab_Calculs[[#This Row],[Colonne1]])),Tab_Calculs[[#This Row],[index_date_livraison]]-1,6)*(MAX(Tab_Calculs[[#This Row],[Début periode livraison]],Tab_Calculs[[#This Row],[Début mois]])-Tab_Calculs[[#This Row],[Début mois]])</f>
        <v>#VALUE!</v>
      </c>
      <c r="L1042" s="94">
        <f ca="1">INDEX(INDIRECT(CONCATENATE("Tab_",Tab_Calculs[[#This Row],[Colonne1]])),Tab_Calculs[[#This Row],[index_date_livraison]],6)*(1+MIN(Tab_Calculs[[#This Row],[Date_livraison]],Tab_Calculs[[#This Row],[fin mois]])-MAX(Tab_Calculs[[#This Row],[Début mois]],Tab_Calculs[[#This Row],[Début periode livraison]]))</f>
        <v>0</v>
      </c>
      <c r="M1042" s="94" t="e">
        <f ca="1">INDEX(INDIRECT(CONCATENATE("Tab_",Tab_Calculs[[#This Row],[Colonne1]])),Tab_Calculs[[#This Row],[index_date_livraison]]+1,6)*(Tab_Calculs[[#This Row],[fin mois]]-MIN(Tab_Calculs[[#This Row],[fin mois]],Tab_Calculs[[#This Row],[Date_livraison]]))</f>
        <v>#VALUE!</v>
      </c>
      <c r="N1042" s="231" t="str">
        <f ca="1">IFERROR(Tab_Calculs[[#This Row],[Ratio_jour_après_livr]]+Tab_Calculs[[#This Row],[Ratio_jour_avant_livr]]+Tab_Calculs[[#This Row],[ratio_avant_debut]],"")</f>
        <v/>
      </c>
      <c r="O1042" t="e">
        <f ca="1">INDEX(INDIRECT(CONCATENATE("Tab_",Tab_Calculs[[#This Row],[Colonne1]])),Tab_Calculs[[#This Row],[index_date_livraison]]-1,7)*(MAX(Tab_Calculs[[#This Row],[Début periode livraison]],Tab_Calculs[[#This Row],[Début mois]])-Tab_Calculs[[#This Row],[Début mois]])</f>
        <v>#VALUE!</v>
      </c>
      <c r="P1042">
        <f ca="1">INDEX(INDIRECT(CONCATENATE("Tab_",Tab_Calculs[[#This Row],[Colonne1]])),Tab_Calculs[[#This Row],[index_date_livraison]],7)*(1+MIN(Tab_Calculs[[#This Row],[Date_livraison]],Tab_Calculs[[#This Row],[fin mois]])-MAX(Tab_Calculs[[#This Row],[Début mois]],Tab_Calculs[[#This Row],[Début periode livraison]]))</f>
        <v>0</v>
      </c>
      <c r="Q1042" t="e">
        <f ca="1">INDEX(INDIRECT(CONCATENATE("Tab_",Tab_Calculs[[#This Row],[Colonne1]])),Tab_Calculs[[#This Row],[index_date_livraison]]+1,7)*(Tab_Calculs[[#This Row],[fin mois]]-MIN(Tab_Calculs[[#This Row],[fin mois]],Tab_Calculs[[#This Row],[Date_livraison]]))</f>
        <v>#VALUE!</v>
      </c>
      <c r="R1042" t="e">
        <f ca="1">Tab_Calculs[[#This Row],[Ratio_Cout_après_livr]]+Tab_Calculs[[#This Row],[Ratio_Cout_avant_livr]]+Tab_Calculs[[#This Row],[Ratio_Cout_avant_debut]]</f>
        <v>#VALUE!</v>
      </c>
      <c r="S1042" t="str">
        <f ca="1">IFERROR(N1042*VLOOKUP(Tab_Calculs[[#This Row],[Colonne1]],Controle_des_données!$B$7:$G$14,6,FALSE),"")</f>
        <v/>
      </c>
      <c r="T1042" t="str">
        <f ca="1">IF(Tab_Calculs[[#This Row],[Combustible ]]="Electricité (kWh)",Tab_Calculs[[#This Row],[Conso_mois_kWh]]*2.3,Tab_Calculs[[#This Row],[Conso_mois_kWh]])</f>
        <v/>
      </c>
      <c r="U1042" t="str">
        <f ca="1">IFERROR(N1042*VLOOKUP(Tab_Calculs[[#This Row],[Colonne1]],Controle_des_données!$B$7:$H$14,7,FALSE),"")</f>
        <v/>
      </c>
      <c r="V1042">
        <f ca="1">IFERROR(Tab_Calculs[[#This Row],[Cout_mois]]/Tab_Calculs[[#This Row],[Conso_mois_kWh]],0)</f>
        <v>0</v>
      </c>
      <c r="W1042" t="str">
        <f>T(VLOOKUP(Tab_Calculs[[#This Row],[Compteur]],Site!$B$33:$G$40,3,FALSE))</f>
        <v/>
      </c>
      <c r="X1042" t="str">
        <f>T(VLOOKUP(Tab_Calculs[[#This Row],[Compteur]],Site!$B$33:$G$40,4,FALSE))</f>
        <v/>
      </c>
      <c r="Y1042" t="str">
        <f>T(VLOOKUP(Tab_Calculs[[#This Row],[Compteur]],Site!$B$33:$G$40,5,FALSE))</f>
        <v/>
      </c>
      <c r="Z1042" t="str">
        <f>T(VLOOKUP(Tab_Calculs[[#This Row],[Compteur]],Site!$B$33:$G$40,6,FALSE))</f>
        <v/>
      </c>
      <c r="AA1042">
        <f>IFERROR(GETPIVOTDATA("DJU(chauffagiste)",BDD_DJU!$P$13,"annee",Tab_Calculs[[#This Row],[ANNEE]],"mois_numero",Tab_Calculs[[#This Row],[MOIS]]),0)</f>
        <v>321.2</v>
      </c>
    </row>
    <row r="1043" spans="1:27" x14ac:dyDescent="0.25">
      <c r="A1043" s="3">
        <f>DATE(Tab_Calculs[[#This Row],[ANNEE]],Tab_Calculs[[#This Row],[MOIS]],1)</f>
        <v>42430</v>
      </c>
      <c r="B1043" s="3">
        <f>EDATE(Tab_Calculs[[#This Row],[Début mois]],1)-1</f>
        <v>42460</v>
      </c>
      <c r="C1043">
        <f t="shared" si="36"/>
        <v>3</v>
      </c>
      <c r="D1043">
        <f t="shared" si="35"/>
        <v>2016</v>
      </c>
      <c r="E1043" t="s">
        <v>85</v>
      </c>
      <c r="F1043" t="str">
        <f>SUBSTITUTE(Tab_Calculs[[#This Row],[Compteur]]," ","_")</f>
        <v>Compteur_6</v>
      </c>
      <c r="G1043" t="str">
        <f>T(INDEX(Site!$B$33:$G$40, MATCH(Tab_Calculs[[#This Row],[Compteur]], Site!$B$33:$B$40,0),2))</f>
        <v/>
      </c>
      <c r="H1043" s="3">
        <f t="array" aca="1" ref="H1043" ca="1">MIN(IF(INDIRECT(CONCATENATE(Tab_Calculs[[#This Row],[Colonne1]],"!$B$2:$B$243"))&gt;=Calculs_Consos!$A1043,INDIRECT(CONCATENATE(Tab_Calculs[[#This Row],[Colonne1]],"!$B$2:$B$243"))))</f>
        <v>0</v>
      </c>
      <c r="I1043" s="3">
        <f ca="1">INDEX(INDIRECT(CONCATENATE("Tab_",Tab_Calculs[[#This Row],[Colonne1]])),Tab_Calculs[[#This Row],[index_date_livraison]],1)</f>
        <v>0</v>
      </c>
      <c r="J1043">
        <f ca="1">MATCH(Tab_Calculs[[#This Row],[Date_livraison]],INDIRECT(CONCATENATE("Tab_",Tab_Calculs[[#This Row],[Colonne1]],"[Fin de période]")),0)</f>
        <v>1</v>
      </c>
      <c r="K1043" t="e">
        <f ca="1">INDEX(INDIRECT(CONCATENATE("Tab_",Tab_Calculs[[#This Row],[Colonne1]])),Tab_Calculs[[#This Row],[index_date_livraison]]-1,6)*(MAX(Tab_Calculs[[#This Row],[Début periode livraison]],Tab_Calculs[[#This Row],[Début mois]])-Tab_Calculs[[#This Row],[Début mois]])</f>
        <v>#VALUE!</v>
      </c>
      <c r="L1043" s="94">
        <f ca="1">INDEX(INDIRECT(CONCATENATE("Tab_",Tab_Calculs[[#This Row],[Colonne1]])),Tab_Calculs[[#This Row],[index_date_livraison]],6)*(1+MIN(Tab_Calculs[[#This Row],[Date_livraison]],Tab_Calculs[[#This Row],[fin mois]])-MAX(Tab_Calculs[[#This Row],[Début mois]],Tab_Calculs[[#This Row],[Début periode livraison]]))</f>
        <v>0</v>
      </c>
      <c r="M1043" s="94" t="e">
        <f ca="1">INDEX(INDIRECT(CONCATENATE("Tab_",Tab_Calculs[[#This Row],[Colonne1]])),Tab_Calculs[[#This Row],[index_date_livraison]]+1,6)*(Tab_Calculs[[#This Row],[fin mois]]-MIN(Tab_Calculs[[#This Row],[fin mois]],Tab_Calculs[[#This Row],[Date_livraison]]))</f>
        <v>#VALUE!</v>
      </c>
      <c r="N1043" s="231" t="str">
        <f ca="1">IFERROR(Tab_Calculs[[#This Row],[Ratio_jour_après_livr]]+Tab_Calculs[[#This Row],[Ratio_jour_avant_livr]]+Tab_Calculs[[#This Row],[ratio_avant_debut]],"")</f>
        <v/>
      </c>
      <c r="O1043" t="e">
        <f ca="1">INDEX(INDIRECT(CONCATENATE("Tab_",Tab_Calculs[[#This Row],[Colonne1]])),Tab_Calculs[[#This Row],[index_date_livraison]]-1,7)*(MAX(Tab_Calculs[[#This Row],[Début periode livraison]],Tab_Calculs[[#This Row],[Début mois]])-Tab_Calculs[[#This Row],[Début mois]])</f>
        <v>#VALUE!</v>
      </c>
      <c r="P1043">
        <f ca="1">INDEX(INDIRECT(CONCATENATE("Tab_",Tab_Calculs[[#This Row],[Colonne1]])),Tab_Calculs[[#This Row],[index_date_livraison]],7)*(1+MIN(Tab_Calculs[[#This Row],[Date_livraison]],Tab_Calculs[[#This Row],[fin mois]])-MAX(Tab_Calculs[[#This Row],[Début mois]],Tab_Calculs[[#This Row],[Début periode livraison]]))</f>
        <v>0</v>
      </c>
      <c r="Q1043" t="e">
        <f ca="1">INDEX(INDIRECT(CONCATENATE("Tab_",Tab_Calculs[[#This Row],[Colonne1]])),Tab_Calculs[[#This Row],[index_date_livraison]]+1,7)*(Tab_Calculs[[#This Row],[fin mois]]-MIN(Tab_Calculs[[#This Row],[fin mois]],Tab_Calculs[[#This Row],[Date_livraison]]))</f>
        <v>#VALUE!</v>
      </c>
      <c r="R1043" t="e">
        <f ca="1">Tab_Calculs[[#This Row],[Ratio_Cout_après_livr]]+Tab_Calculs[[#This Row],[Ratio_Cout_avant_livr]]+Tab_Calculs[[#This Row],[Ratio_Cout_avant_debut]]</f>
        <v>#VALUE!</v>
      </c>
      <c r="S1043" t="str">
        <f ca="1">IFERROR(N1043*VLOOKUP(Tab_Calculs[[#This Row],[Colonne1]],Controle_des_données!$B$7:$G$14,6,FALSE),"")</f>
        <v/>
      </c>
      <c r="T1043" t="str">
        <f ca="1">IF(Tab_Calculs[[#This Row],[Combustible ]]="Electricité (kWh)",Tab_Calculs[[#This Row],[Conso_mois_kWh]]*2.3,Tab_Calculs[[#This Row],[Conso_mois_kWh]])</f>
        <v/>
      </c>
      <c r="U1043" t="str">
        <f ca="1">IFERROR(N1043*VLOOKUP(Tab_Calculs[[#This Row],[Colonne1]],Controle_des_données!$B$7:$H$14,7,FALSE),"")</f>
        <v/>
      </c>
      <c r="V1043">
        <f ca="1">IFERROR(Tab_Calculs[[#This Row],[Cout_mois]]/Tab_Calculs[[#This Row],[Conso_mois_kWh]],0)</f>
        <v>0</v>
      </c>
      <c r="W1043" t="str">
        <f>T(VLOOKUP(Tab_Calculs[[#This Row],[Compteur]],Site!$B$33:$G$40,3,FALSE))</f>
        <v/>
      </c>
      <c r="X1043" t="str">
        <f>T(VLOOKUP(Tab_Calculs[[#This Row],[Compteur]],Site!$B$33:$G$40,4,FALSE))</f>
        <v/>
      </c>
      <c r="Y1043" t="str">
        <f>T(VLOOKUP(Tab_Calculs[[#This Row],[Compteur]],Site!$B$33:$G$40,5,FALSE))</f>
        <v/>
      </c>
      <c r="Z1043" t="str">
        <f>T(VLOOKUP(Tab_Calculs[[#This Row],[Compteur]],Site!$B$33:$G$40,6,FALSE))</f>
        <v/>
      </c>
      <c r="AA1043">
        <f>IFERROR(GETPIVOTDATA("DJU(chauffagiste)",BDD_DJU!$P$13,"annee",Tab_Calculs[[#This Row],[ANNEE]],"mois_numero",Tab_Calculs[[#This Row],[MOIS]]),0)</f>
        <v>328.3</v>
      </c>
    </row>
    <row r="1044" spans="1:27" x14ac:dyDescent="0.25">
      <c r="A1044" s="3">
        <f>DATE(Tab_Calculs[[#This Row],[ANNEE]],Tab_Calculs[[#This Row],[MOIS]],1)</f>
        <v>42461</v>
      </c>
      <c r="B1044" s="3">
        <f>EDATE(Tab_Calculs[[#This Row],[Début mois]],1)-1</f>
        <v>42490</v>
      </c>
      <c r="C1044">
        <f t="shared" si="36"/>
        <v>4</v>
      </c>
      <c r="D1044">
        <f t="shared" si="35"/>
        <v>2016</v>
      </c>
      <c r="E1044" t="s">
        <v>85</v>
      </c>
      <c r="F1044" t="str">
        <f>SUBSTITUTE(Tab_Calculs[[#This Row],[Compteur]]," ","_")</f>
        <v>Compteur_6</v>
      </c>
      <c r="G1044" t="str">
        <f>T(INDEX(Site!$B$33:$G$40, MATCH(Tab_Calculs[[#This Row],[Compteur]], Site!$B$33:$B$40,0),2))</f>
        <v/>
      </c>
      <c r="H1044" s="3">
        <f t="array" aca="1" ref="H1044" ca="1">MIN(IF(INDIRECT(CONCATENATE(Tab_Calculs[[#This Row],[Colonne1]],"!$B$2:$B$243"))&gt;=Calculs_Consos!$A1044,INDIRECT(CONCATENATE(Tab_Calculs[[#This Row],[Colonne1]],"!$B$2:$B$243"))))</f>
        <v>0</v>
      </c>
      <c r="I1044" s="3">
        <f ca="1">INDEX(INDIRECT(CONCATENATE("Tab_",Tab_Calculs[[#This Row],[Colonne1]])),Tab_Calculs[[#This Row],[index_date_livraison]],1)</f>
        <v>0</v>
      </c>
      <c r="J1044">
        <f ca="1">MATCH(Tab_Calculs[[#This Row],[Date_livraison]],INDIRECT(CONCATENATE("Tab_",Tab_Calculs[[#This Row],[Colonne1]],"[Fin de période]")),0)</f>
        <v>1</v>
      </c>
      <c r="K1044" t="e">
        <f ca="1">INDEX(INDIRECT(CONCATENATE("Tab_",Tab_Calculs[[#This Row],[Colonne1]])),Tab_Calculs[[#This Row],[index_date_livraison]]-1,6)*(MAX(Tab_Calculs[[#This Row],[Début periode livraison]],Tab_Calculs[[#This Row],[Début mois]])-Tab_Calculs[[#This Row],[Début mois]])</f>
        <v>#VALUE!</v>
      </c>
      <c r="L1044" s="94">
        <f ca="1">INDEX(INDIRECT(CONCATENATE("Tab_",Tab_Calculs[[#This Row],[Colonne1]])),Tab_Calculs[[#This Row],[index_date_livraison]],6)*(1+MIN(Tab_Calculs[[#This Row],[Date_livraison]],Tab_Calculs[[#This Row],[fin mois]])-MAX(Tab_Calculs[[#This Row],[Début mois]],Tab_Calculs[[#This Row],[Début periode livraison]]))</f>
        <v>0</v>
      </c>
      <c r="M1044" s="94" t="e">
        <f ca="1">INDEX(INDIRECT(CONCATENATE("Tab_",Tab_Calculs[[#This Row],[Colonne1]])),Tab_Calculs[[#This Row],[index_date_livraison]]+1,6)*(Tab_Calculs[[#This Row],[fin mois]]-MIN(Tab_Calculs[[#This Row],[fin mois]],Tab_Calculs[[#This Row],[Date_livraison]]))</f>
        <v>#VALUE!</v>
      </c>
      <c r="N1044" s="231" t="str">
        <f ca="1">IFERROR(Tab_Calculs[[#This Row],[Ratio_jour_après_livr]]+Tab_Calculs[[#This Row],[Ratio_jour_avant_livr]]+Tab_Calculs[[#This Row],[ratio_avant_debut]],"")</f>
        <v/>
      </c>
      <c r="O1044" t="e">
        <f ca="1">INDEX(INDIRECT(CONCATENATE("Tab_",Tab_Calculs[[#This Row],[Colonne1]])),Tab_Calculs[[#This Row],[index_date_livraison]]-1,7)*(MAX(Tab_Calculs[[#This Row],[Début periode livraison]],Tab_Calculs[[#This Row],[Début mois]])-Tab_Calculs[[#This Row],[Début mois]])</f>
        <v>#VALUE!</v>
      </c>
      <c r="P1044">
        <f ca="1">INDEX(INDIRECT(CONCATENATE("Tab_",Tab_Calculs[[#This Row],[Colonne1]])),Tab_Calculs[[#This Row],[index_date_livraison]],7)*(1+MIN(Tab_Calculs[[#This Row],[Date_livraison]],Tab_Calculs[[#This Row],[fin mois]])-MAX(Tab_Calculs[[#This Row],[Début mois]],Tab_Calculs[[#This Row],[Début periode livraison]]))</f>
        <v>0</v>
      </c>
      <c r="Q1044" t="e">
        <f ca="1">INDEX(INDIRECT(CONCATENATE("Tab_",Tab_Calculs[[#This Row],[Colonne1]])),Tab_Calculs[[#This Row],[index_date_livraison]]+1,7)*(Tab_Calculs[[#This Row],[fin mois]]-MIN(Tab_Calculs[[#This Row],[fin mois]],Tab_Calculs[[#This Row],[Date_livraison]]))</f>
        <v>#VALUE!</v>
      </c>
      <c r="R1044" t="e">
        <f ca="1">Tab_Calculs[[#This Row],[Ratio_Cout_après_livr]]+Tab_Calculs[[#This Row],[Ratio_Cout_avant_livr]]+Tab_Calculs[[#This Row],[Ratio_Cout_avant_debut]]</f>
        <v>#VALUE!</v>
      </c>
      <c r="S1044" t="str">
        <f ca="1">IFERROR(N1044*VLOOKUP(Tab_Calculs[[#This Row],[Colonne1]],Controle_des_données!$B$7:$G$14,6,FALSE),"")</f>
        <v/>
      </c>
      <c r="T1044" t="str">
        <f ca="1">IF(Tab_Calculs[[#This Row],[Combustible ]]="Electricité (kWh)",Tab_Calculs[[#This Row],[Conso_mois_kWh]]*2.3,Tab_Calculs[[#This Row],[Conso_mois_kWh]])</f>
        <v/>
      </c>
      <c r="U1044" t="str">
        <f ca="1">IFERROR(N1044*VLOOKUP(Tab_Calculs[[#This Row],[Colonne1]],Controle_des_données!$B$7:$H$14,7,FALSE),"")</f>
        <v/>
      </c>
      <c r="V1044">
        <f ca="1">IFERROR(Tab_Calculs[[#This Row],[Cout_mois]]/Tab_Calculs[[#This Row],[Conso_mois_kWh]],0)</f>
        <v>0</v>
      </c>
      <c r="W1044" t="str">
        <f>T(VLOOKUP(Tab_Calculs[[#This Row],[Compteur]],Site!$B$33:$G$40,3,FALSE))</f>
        <v/>
      </c>
      <c r="X1044" t="str">
        <f>T(VLOOKUP(Tab_Calculs[[#This Row],[Compteur]],Site!$B$33:$G$40,4,FALSE))</f>
        <v/>
      </c>
      <c r="Y1044" t="str">
        <f>T(VLOOKUP(Tab_Calculs[[#This Row],[Compteur]],Site!$B$33:$G$40,5,FALSE))</f>
        <v/>
      </c>
      <c r="Z1044" t="str">
        <f>T(VLOOKUP(Tab_Calculs[[#This Row],[Compteur]],Site!$B$33:$G$40,6,FALSE))</f>
        <v/>
      </c>
      <c r="AA1044">
        <f>IFERROR(GETPIVOTDATA("DJU(chauffagiste)",BDD_DJU!$P$13,"annee",Tab_Calculs[[#This Row],[ANNEE]],"mois_numero",Tab_Calculs[[#This Row],[MOIS]]),0)</f>
        <v>252.6</v>
      </c>
    </row>
    <row r="1045" spans="1:27" x14ac:dyDescent="0.25">
      <c r="A1045" s="3">
        <f>DATE(Tab_Calculs[[#This Row],[ANNEE]],Tab_Calculs[[#This Row],[MOIS]],1)</f>
        <v>42491</v>
      </c>
      <c r="B1045" s="3">
        <f>EDATE(Tab_Calculs[[#This Row],[Début mois]],1)-1</f>
        <v>42521</v>
      </c>
      <c r="C1045">
        <f t="shared" si="36"/>
        <v>5</v>
      </c>
      <c r="D1045">
        <f t="shared" si="35"/>
        <v>2016</v>
      </c>
      <c r="E1045" t="s">
        <v>85</v>
      </c>
      <c r="F1045" t="str">
        <f>SUBSTITUTE(Tab_Calculs[[#This Row],[Compteur]]," ","_")</f>
        <v>Compteur_6</v>
      </c>
      <c r="G1045" t="str">
        <f>T(INDEX(Site!$B$33:$G$40, MATCH(Tab_Calculs[[#This Row],[Compteur]], Site!$B$33:$B$40,0),2))</f>
        <v/>
      </c>
      <c r="H1045" s="3">
        <f t="array" aca="1" ref="H1045" ca="1">MIN(IF(INDIRECT(CONCATENATE(Tab_Calculs[[#This Row],[Colonne1]],"!$B$2:$B$243"))&gt;=Calculs_Consos!$A1045,INDIRECT(CONCATENATE(Tab_Calculs[[#This Row],[Colonne1]],"!$B$2:$B$243"))))</f>
        <v>0</v>
      </c>
      <c r="I1045" s="3">
        <f ca="1">INDEX(INDIRECT(CONCATENATE("Tab_",Tab_Calculs[[#This Row],[Colonne1]])),Tab_Calculs[[#This Row],[index_date_livraison]],1)</f>
        <v>0</v>
      </c>
      <c r="J1045">
        <f ca="1">MATCH(Tab_Calculs[[#This Row],[Date_livraison]],INDIRECT(CONCATENATE("Tab_",Tab_Calculs[[#This Row],[Colonne1]],"[Fin de période]")),0)</f>
        <v>1</v>
      </c>
      <c r="K1045" t="e">
        <f ca="1">INDEX(INDIRECT(CONCATENATE("Tab_",Tab_Calculs[[#This Row],[Colonne1]])),Tab_Calculs[[#This Row],[index_date_livraison]]-1,6)*(MAX(Tab_Calculs[[#This Row],[Début periode livraison]],Tab_Calculs[[#This Row],[Début mois]])-Tab_Calculs[[#This Row],[Début mois]])</f>
        <v>#VALUE!</v>
      </c>
      <c r="L1045" s="94">
        <f ca="1">INDEX(INDIRECT(CONCATENATE("Tab_",Tab_Calculs[[#This Row],[Colonne1]])),Tab_Calculs[[#This Row],[index_date_livraison]],6)*(1+MIN(Tab_Calculs[[#This Row],[Date_livraison]],Tab_Calculs[[#This Row],[fin mois]])-MAX(Tab_Calculs[[#This Row],[Début mois]],Tab_Calculs[[#This Row],[Début periode livraison]]))</f>
        <v>0</v>
      </c>
      <c r="M1045" s="94" t="e">
        <f ca="1">INDEX(INDIRECT(CONCATENATE("Tab_",Tab_Calculs[[#This Row],[Colonne1]])),Tab_Calculs[[#This Row],[index_date_livraison]]+1,6)*(Tab_Calculs[[#This Row],[fin mois]]-MIN(Tab_Calculs[[#This Row],[fin mois]],Tab_Calculs[[#This Row],[Date_livraison]]))</f>
        <v>#VALUE!</v>
      </c>
      <c r="N1045" s="231" t="str">
        <f ca="1">IFERROR(Tab_Calculs[[#This Row],[Ratio_jour_après_livr]]+Tab_Calculs[[#This Row],[Ratio_jour_avant_livr]]+Tab_Calculs[[#This Row],[ratio_avant_debut]],"")</f>
        <v/>
      </c>
      <c r="O1045" t="e">
        <f ca="1">INDEX(INDIRECT(CONCATENATE("Tab_",Tab_Calculs[[#This Row],[Colonne1]])),Tab_Calculs[[#This Row],[index_date_livraison]]-1,7)*(MAX(Tab_Calculs[[#This Row],[Début periode livraison]],Tab_Calculs[[#This Row],[Début mois]])-Tab_Calculs[[#This Row],[Début mois]])</f>
        <v>#VALUE!</v>
      </c>
      <c r="P1045">
        <f ca="1">INDEX(INDIRECT(CONCATENATE("Tab_",Tab_Calculs[[#This Row],[Colonne1]])),Tab_Calculs[[#This Row],[index_date_livraison]],7)*(1+MIN(Tab_Calculs[[#This Row],[Date_livraison]],Tab_Calculs[[#This Row],[fin mois]])-MAX(Tab_Calculs[[#This Row],[Début mois]],Tab_Calculs[[#This Row],[Début periode livraison]]))</f>
        <v>0</v>
      </c>
      <c r="Q1045" t="e">
        <f ca="1">INDEX(INDIRECT(CONCATENATE("Tab_",Tab_Calculs[[#This Row],[Colonne1]])),Tab_Calculs[[#This Row],[index_date_livraison]]+1,7)*(Tab_Calculs[[#This Row],[fin mois]]-MIN(Tab_Calculs[[#This Row],[fin mois]],Tab_Calculs[[#This Row],[Date_livraison]]))</f>
        <v>#VALUE!</v>
      </c>
      <c r="R1045" t="e">
        <f ca="1">Tab_Calculs[[#This Row],[Ratio_Cout_après_livr]]+Tab_Calculs[[#This Row],[Ratio_Cout_avant_livr]]+Tab_Calculs[[#This Row],[Ratio_Cout_avant_debut]]</f>
        <v>#VALUE!</v>
      </c>
      <c r="S1045" t="str">
        <f ca="1">IFERROR(N1045*VLOOKUP(Tab_Calculs[[#This Row],[Colonne1]],Controle_des_données!$B$7:$G$14,6,FALSE),"")</f>
        <v/>
      </c>
      <c r="T1045" t="str">
        <f ca="1">IF(Tab_Calculs[[#This Row],[Combustible ]]="Electricité (kWh)",Tab_Calculs[[#This Row],[Conso_mois_kWh]]*2.3,Tab_Calculs[[#This Row],[Conso_mois_kWh]])</f>
        <v/>
      </c>
      <c r="U1045" t="str">
        <f ca="1">IFERROR(N1045*VLOOKUP(Tab_Calculs[[#This Row],[Colonne1]],Controle_des_données!$B$7:$H$14,7,FALSE),"")</f>
        <v/>
      </c>
      <c r="V1045">
        <f ca="1">IFERROR(Tab_Calculs[[#This Row],[Cout_mois]]/Tab_Calculs[[#This Row],[Conso_mois_kWh]],0)</f>
        <v>0</v>
      </c>
      <c r="W1045" t="str">
        <f>T(VLOOKUP(Tab_Calculs[[#This Row],[Compteur]],Site!$B$33:$G$40,3,FALSE))</f>
        <v/>
      </c>
      <c r="X1045" t="str">
        <f>T(VLOOKUP(Tab_Calculs[[#This Row],[Compteur]],Site!$B$33:$G$40,4,FALSE))</f>
        <v/>
      </c>
      <c r="Y1045" t="str">
        <f>T(VLOOKUP(Tab_Calculs[[#This Row],[Compteur]],Site!$B$33:$G$40,5,FALSE))</f>
        <v/>
      </c>
      <c r="Z1045" t="str">
        <f>T(VLOOKUP(Tab_Calculs[[#This Row],[Compteur]],Site!$B$33:$G$40,6,FALSE))</f>
        <v/>
      </c>
      <c r="AA1045">
        <f>IFERROR(GETPIVOTDATA("DJU(chauffagiste)",BDD_DJU!$P$13,"annee",Tab_Calculs[[#This Row],[ANNEE]],"mois_numero",Tab_Calculs[[#This Row],[MOIS]]),0)</f>
        <v>124.3</v>
      </c>
    </row>
    <row r="1046" spans="1:27" x14ac:dyDescent="0.25">
      <c r="A1046" s="3">
        <f>DATE(Tab_Calculs[[#This Row],[ANNEE]],Tab_Calculs[[#This Row],[MOIS]],1)</f>
        <v>42522</v>
      </c>
      <c r="B1046" s="3">
        <f>EDATE(Tab_Calculs[[#This Row],[Début mois]],1)-1</f>
        <v>42551</v>
      </c>
      <c r="C1046">
        <f t="shared" si="36"/>
        <v>6</v>
      </c>
      <c r="D1046">
        <f t="shared" si="35"/>
        <v>2016</v>
      </c>
      <c r="E1046" t="s">
        <v>85</v>
      </c>
      <c r="F1046" t="str">
        <f>SUBSTITUTE(Tab_Calculs[[#This Row],[Compteur]]," ","_")</f>
        <v>Compteur_6</v>
      </c>
      <c r="G1046" t="str">
        <f>T(INDEX(Site!$B$33:$G$40, MATCH(Tab_Calculs[[#This Row],[Compteur]], Site!$B$33:$B$40,0),2))</f>
        <v/>
      </c>
      <c r="H1046" s="3">
        <f t="array" aca="1" ref="H1046" ca="1">MIN(IF(INDIRECT(CONCATENATE(Tab_Calculs[[#This Row],[Colonne1]],"!$B$2:$B$243"))&gt;=Calculs_Consos!$A1046,INDIRECT(CONCATENATE(Tab_Calculs[[#This Row],[Colonne1]],"!$B$2:$B$243"))))</f>
        <v>0</v>
      </c>
      <c r="I1046" s="3">
        <f ca="1">INDEX(INDIRECT(CONCATENATE("Tab_",Tab_Calculs[[#This Row],[Colonne1]])),Tab_Calculs[[#This Row],[index_date_livraison]],1)</f>
        <v>0</v>
      </c>
      <c r="J1046">
        <f ca="1">MATCH(Tab_Calculs[[#This Row],[Date_livraison]],INDIRECT(CONCATENATE("Tab_",Tab_Calculs[[#This Row],[Colonne1]],"[Fin de période]")),0)</f>
        <v>1</v>
      </c>
      <c r="K1046" t="e">
        <f ca="1">INDEX(INDIRECT(CONCATENATE("Tab_",Tab_Calculs[[#This Row],[Colonne1]])),Tab_Calculs[[#This Row],[index_date_livraison]]-1,6)*(MAX(Tab_Calculs[[#This Row],[Début periode livraison]],Tab_Calculs[[#This Row],[Début mois]])-Tab_Calculs[[#This Row],[Début mois]])</f>
        <v>#VALUE!</v>
      </c>
      <c r="L1046" s="94">
        <f ca="1">INDEX(INDIRECT(CONCATENATE("Tab_",Tab_Calculs[[#This Row],[Colonne1]])),Tab_Calculs[[#This Row],[index_date_livraison]],6)*(1+MIN(Tab_Calculs[[#This Row],[Date_livraison]],Tab_Calculs[[#This Row],[fin mois]])-MAX(Tab_Calculs[[#This Row],[Début mois]],Tab_Calculs[[#This Row],[Début periode livraison]]))</f>
        <v>0</v>
      </c>
      <c r="M1046" s="94" t="e">
        <f ca="1">INDEX(INDIRECT(CONCATENATE("Tab_",Tab_Calculs[[#This Row],[Colonne1]])),Tab_Calculs[[#This Row],[index_date_livraison]]+1,6)*(Tab_Calculs[[#This Row],[fin mois]]-MIN(Tab_Calculs[[#This Row],[fin mois]],Tab_Calculs[[#This Row],[Date_livraison]]))</f>
        <v>#VALUE!</v>
      </c>
      <c r="N1046" s="231" t="str">
        <f ca="1">IFERROR(Tab_Calculs[[#This Row],[Ratio_jour_après_livr]]+Tab_Calculs[[#This Row],[Ratio_jour_avant_livr]]+Tab_Calculs[[#This Row],[ratio_avant_debut]],"")</f>
        <v/>
      </c>
      <c r="O1046" t="e">
        <f ca="1">INDEX(INDIRECT(CONCATENATE("Tab_",Tab_Calculs[[#This Row],[Colonne1]])),Tab_Calculs[[#This Row],[index_date_livraison]]-1,7)*(MAX(Tab_Calculs[[#This Row],[Début periode livraison]],Tab_Calculs[[#This Row],[Début mois]])-Tab_Calculs[[#This Row],[Début mois]])</f>
        <v>#VALUE!</v>
      </c>
      <c r="P1046">
        <f ca="1">INDEX(INDIRECT(CONCATENATE("Tab_",Tab_Calculs[[#This Row],[Colonne1]])),Tab_Calculs[[#This Row],[index_date_livraison]],7)*(1+MIN(Tab_Calculs[[#This Row],[Date_livraison]],Tab_Calculs[[#This Row],[fin mois]])-MAX(Tab_Calculs[[#This Row],[Début mois]],Tab_Calculs[[#This Row],[Début periode livraison]]))</f>
        <v>0</v>
      </c>
      <c r="Q1046" t="e">
        <f ca="1">INDEX(INDIRECT(CONCATENATE("Tab_",Tab_Calculs[[#This Row],[Colonne1]])),Tab_Calculs[[#This Row],[index_date_livraison]]+1,7)*(Tab_Calculs[[#This Row],[fin mois]]-MIN(Tab_Calculs[[#This Row],[fin mois]],Tab_Calculs[[#This Row],[Date_livraison]]))</f>
        <v>#VALUE!</v>
      </c>
      <c r="R1046" t="e">
        <f ca="1">Tab_Calculs[[#This Row],[Ratio_Cout_après_livr]]+Tab_Calculs[[#This Row],[Ratio_Cout_avant_livr]]+Tab_Calculs[[#This Row],[Ratio_Cout_avant_debut]]</f>
        <v>#VALUE!</v>
      </c>
      <c r="S1046" t="str">
        <f ca="1">IFERROR(N1046*VLOOKUP(Tab_Calculs[[#This Row],[Colonne1]],Controle_des_données!$B$7:$G$14,6,FALSE),"")</f>
        <v/>
      </c>
      <c r="T1046" t="str">
        <f ca="1">IF(Tab_Calculs[[#This Row],[Combustible ]]="Electricité (kWh)",Tab_Calculs[[#This Row],[Conso_mois_kWh]]*2.3,Tab_Calculs[[#This Row],[Conso_mois_kWh]])</f>
        <v/>
      </c>
      <c r="U1046" t="str">
        <f ca="1">IFERROR(N1046*VLOOKUP(Tab_Calculs[[#This Row],[Colonne1]],Controle_des_données!$B$7:$H$14,7,FALSE),"")</f>
        <v/>
      </c>
      <c r="V1046">
        <f ca="1">IFERROR(Tab_Calculs[[#This Row],[Cout_mois]]/Tab_Calculs[[#This Row],[Conso_mois_kWh]],0)</f>
        <v>0</v>
      </c>
      <c r="W1046" t="str">
        <f>T(VLOOKUP(Tab_Calculs[[#This Row],[Compteur]],Site!$B$33:$G$40,3,FALSE))</f>
        <v/>
      </c>
      <c r="X1046" t="str">
        <f>T(VLOOKUP(Tab_Calculs[[#This Row],[Compteur]],Site!$B$33:$G$40,4,FALSE))</f>
        <v/>
      </c>
      <c r="Y1046" t="str">
        <f>T(VLOOKUP(Tab_Calculs[[#This Row],[Compteur]],Site!$B$33:$G$40,5,FALSE))</f>
        <v/>
      </c>
      <c r="Z1046" t="str">
        <f>T(VLOOKUP(Tab_Calculs[[#This Row],[Compteur]],Site!$B$33:$G$40,6,FALSE))</f>
        <v/>
      </c>
      <c r="AA1046">
        <f>IFERROR(GETPIVOTDATA("DJU(chauffagiste)",BDD_DJU!$P$13,"annee",Tab_Calculs[[#This Row],[ANNEE]],"mois_numero",Tab_Calculs[[#This Row],[MOIS]]),0)</f>
        <v>47.7</v>
      </c>
    </row>
    <row r="1047" spans="1:27" x14ac:dyDescent="0.25">
      <c r="A1047" s="3">
        <f>DATE(Tab_Calculs[[#This Row],[ANNEE]],Tab_Calculs[[#This Row],[MOIS]],1)</f>
        <v>42552</v>
      </c>
      <c r="B1047" s="3">
        <f>EDATE(Tab_Calculs[[#This Row],[Début mois]],1)-1</f>
        <v>42582</v>
      </c>
      <c r="C1047">
        <f t="shared" si="36"/>
        <v>7</v>
      </c>
      <c r="D1047">
        <f t="shared" si="35"/>
        <v>2016</v>
      </c>
      <c r="E1047" t="s">
        <v>85</v>
      </c>
      <c r="F1047" t="str">
        <f>SUBSTITUTE(Tab_Calculs[[#This Row],[Compteur]]," ","_")</f>
        <v>Compteur_6</v>
      </c>
      <c r="G1047" t="str">
        <f>T(INDEX(Site!$B$33:$G$40, MATCH(Tab_Calculs[[#This Row],[Compteur]], Site!$B$33:$B$40,0),2))</f>
        <v/>
      </c>
      <c r="H1047" s="3">
        <f t="array" aca="1" ref="H1047" ca="1">MIN(IF(INDIRECT(CONCATENATE(Tab_Calculs[[#This Row],[Colonne1]],"!$B$2:$B$243"))&gt;=Calculs_Consos!$A1047,INDIRECT(CONCATENATE(Tab_Calculs[[#This Row],[Colonne1]],"!$B$2:$B$243"))))</f>
        <v>0</v>
      </c>
      <c r="I1047" s="3">
        <f ca="1">INDEX(INDIRECT(CONCATENATE("Tab_",Tab_Calculs[[#This Row],[Colonne1]])),Tab_Calculs[[#This Row],[index_date_livraison]],1)</f>
        <v>0</v>
      </c>
      <c r="J1047">
        <f ca="1">MATCH(Tab_Calculs[[#This Row],[Date_livraison]],INDIRECT(CONCATENATE("Tab_",Tab_Calculs[[#This Row],[Colonne1]],"[Fin de période]")),0)</f>
        <v>1</v>
      </c>
      <c r="K1047" t="e">
        <f ca="1">INDEX(INDIRECT(CONCATENATE("Tab_",Tab_Calculs[[#This Row],[Colonne1]])),Tab_Calculs[[#This Row],[index_date_livraison]]-1,6)*(MAX(Tab_Calculs[[#This Row],[Début periode livraison]],Tab_Calculs[[#This Row],[Début mois]])-Tab_Calculs[[#This Row],[Début mois]])</f>
        <v>#VALUE!</v>
      </c>
      <c r="L1047" s="94">
        <f ca="1">INDEX(INDIRECT(CONCATENATE("Tab_",Tab_Calculs[[#This Row],[Colonne1]])),Tab_Calculs[[#This Row],[index_date_livraison]],6)*(1+MIN(Tab_Calculs[[#This Row],[Date_livraison]],Tab_Calculs[[#This Row],[fin mois]])-MAX(Tab_Calculs[[#This Row],[Début mois]],Tab_Calculs[[#This Row],[Début periode livraison]]))</f>
        <v>0</v>
      </c>
      <c r="M1047" s="94" t="e">
        <f ca="1">INDEX(INDIRECT(CONCATENATE("Tab_",Tab_Calculs[[#This Row],[Colonne1]])),Tab_Calculs[[#This Row],[index_date_livraison]]+1,6)*(Tab_Calculs[[#This Row],[fin mois]]-MIN(Tab_Calculs[[#This Row],[fin mois]],Tab_Calculs[[#This Row],[Date_livraison]]))</f>
        <v>#VALUE!</v>
      </c>
      <c r="N1047" s="231" t="str">
        <f ca="1">IFERROR(Tab_Calculs[[#This Row],[Ratio_jour_après_livr]]+Tab_Calculs[[#This Row],[Ratio_jour_avant_livr]]+Tab_Calculs[[#This Row],[ratio_avant_debut]],"")</f>
        <v/>
      </c>
      <c r="O1047" t="e">
        <f ca="1">INDEX(INDIRECT(CONCATENATE("Tab_",Tab_Calculs[[#This Row],[Colonne1]])),Tab_Calculs[[#This Row],[index_date_livraison]]-1,7)*(MAX(Tab_Calculs[[#This Row],[Début periode livraison]],Tab_Calculs[[#This Row],[Début mois]])-Tab_Calculs[[#This Row],[Début mois]])</f>
        <v>#VALUE!</v>
      </c>
      <c r="P1047">
        <f ca="1">INDEX(INDIRECT(CONCATENATE("Tab_",Tab_Calculs[[#This Row],[Colonne1]])),Tab_Calculs[[#This Row],[index_date_livraison]],7)*(1+MIN(Tab_Calculs[[#This Row],[Date_livraison]],Tab_Calculs[[#This Row],[fin mois]])-MAX(Tab_Calculs[[#This Row],[Début mois]],Tab_Calculs[[#This Row],[Début periode livraison]]))</f>
        <v>0</v>
      </c>
      <c r="Q1047" t="e">
        <f ca="1">INDEX(INDIRECT(CONCATENATE("Tab_",Tab_Calculs[[#This Row],[Colonne1]])),Tab_Calculs[[#This Row],[index_date_livraison]]+1,7)*(Tab_Calculs[[#This Row],[fin mois]]-MIN(Tab_Calculs[[#This Row],[fin mois]],Tab_Calculs[[#This Row],[Date_livraison]]))</f>
        <v>#VALUE!</v>
      </c>
      <c r="R1047" t="e">
        <f ca="1">Tab_Calculs[[#This Row],[Ratio_Cout_après_livr]]+Tab_Calculs[[#This Row],[Ratio_Cout_avant_livr]]+Tab_Calculs[[#This Row],[Ratio_Cout_avant_debut]]</f>
        <v>#VALUE!</v>
      </c>
      <c r="S1047" t="str">
        <f ca="1">IFERROR(N1047*VLOOKUP(Tab_Calculs[[#This Row],[Colonne1]],Controle_des_données!$B$7:$G$14,6,FALSE),"")</f>
        <v/>
      </c>
      <c r="T1047" t="str">
        <f ca="1">IF(Tab_Calculs[[#This Row],[Combustible ]]="Electricité (kWh)",Tab_Calculs[[#This Row],[Conso_mois_kWh]]*2.3,Tab_Calculs[[#This Row],[Conso_mois_kWh]])</f>
        <v/>
      </c>
      <c r="U1047" t="str">
        <f ca="1">IFERROR(N1047*VLOOKUP(Tab_Calculs[[#This Row],[Colonne1]],Controle_des_données!$B$7:$H$14,7,FALSE),"")</f>
        <v/>
      </c>
      <c r="V1047">
        <f ca="1">IFERROR(Tab_Calculs[[#This Row],[Cout_mois]]/Tab_Calculs[[#This Row],[Conso_mois_kWh]],0)</f>
        <v>0</v>
      </c>
      <c r="W1047" t="str">
        <f>T(VLOOKUP(Tab_Calculs[[#This Row],[Compteur]],Site!$B$33:$G$40,3,FALSE))</f>
        <v/>
      </c>
      <c r="X1047" t="str">
        <f>T(VLOOKUP(Tab_Calculs[[#This Row],[Compteur]],Site!$B$33:$G$40,4,FALSE))</f>
        <v/>
      </c>
      <c r="Y1047" t="str">
        <f>T(VLOOKUP(Tab_Calculs[[#This Row],[Compteur]],Site!$B$33:$G$40,5,FALSE))</f>
        <v/>
      </c>
      <c r="Z1047" t="str">
        <f>T(VLOOKUP(Tab_Calculs[[#This Row],[Compteur]],Site!$B$33:$G$40,6,FALSE))</f>
        <v/>
      </c>
      <c r="AA1047">
        <f>IFERROR(GETPIVOTDATA("DJU(chauffagiste)",BDD_DJU!$P$13,"annee",Tab_Calculs[[#This Row],[ANNEE]],"mois_numero",Tab_Calculs[[#This Row],[MOIS]]),0)</f>
        <v>32.299999999999997</v>
      </c>
    </row>
    <row r="1048" spans="1:27" x14ac:dyDescent="0.25">
      <c r="A1048" s="3">
        <f>DATE(Tab_Calculs[[#This Row],[ANNEE]],Tab_Calculs[[#This Row],[MOIS]],1)</f>
        <v>42583</v>
      </c>
      <c r="B1048" s="3">
        <f>EDATE(Tab_Calculs[[#This Row],[Début mois]],1)-1</f>
        <v>42613</v>
      </c>
      <c r="C1048">
        <f t="shared" si="36"/>
        <v>8</v>
      </c>
      <c r="D1048">
        <f t="shared" si="35"/>
        <v>2016</v>
      </c>
      <c r="E1048" t="s">
        <v>85</v>
      </c>
      <c r="F1048" t="str">
        <f>SUBSTITUTE(Tab_Calculs[[#This Row],[Compteur]]," ","_")</f>
        <v>Compteur_6</v>
      </c>
      <c r="G1048" t="str">
        <f>T(INDEX(Site!$B$33:$G$40, MATCH(Tab_Calculs[[#This Row],[Compteur]], Site!$B$33:$B$40,0),2))</f>
        <v/>
      </c>
      <c r="H1048" s="3">
        <f t="array" aca="1" ref="H1048" ca="1">MIN(IF(INDIRECT(CONCATENATE(Tab_Calculs[[#This Row],[Colonne1]],"!$B$2:$B$243"))&gt;=Calculs_Consos!$A1048,INDIRECT(CONCATENATE(Tab_Calculs[[#This Row],[Colonne1]],"!$B$2:$B$243"))))</f>
        <v>0</v>
      </c>
      <c r="I1048" s="3">
        <f ca="1">INDEX(INDIRECT(CONCATENATE("Tab_",Tab_Calculs[[#This Row],[Colonne1]])),Tab_Calculs[[#This Row],[index_date_livraison]],1)</f>
        <v>0</v>
      </c>
      <c r="J1048">
        <f ca="1">MATCH(Tab_Calculs[[#This Row],[Date_livraison]],INDIRECT(CONCATENATE("Tab_",Tab_Calculs[[#This Row],[Colonne1]],"[Fin de période]")),0)</f>
        <v>1</v>
      </c>
      <c r="K1048" t="e">
        <f ca="1">INDEX(INDIRECT(CONCATENATE("Tab_",Tab_Calculs[[#This Row],[Colonne1]])),Tab_Calculs[[#This Row],[index_date_livraison]]-1,6)*(MAX(Tab_Calculs[[#This Row],[Début periode livraison]],Tab_Calculs[[#This Row],[Début mois]])-Tab_Calculs[[#This Row],[Début mois]])</f>
        <v>#VALUE!</v>
      </c>
      <c r="L1048" s="94">
        <f ca="1">INDEX(INDIRECT(CONCATENATE("Tab_",Tab_Calculs[[#This Row],[Colonne1]])),Tab_Calculs[[#This Row],[index_date_livraison]],6)*(1+MIN(Tab_Calculs[[#This Row],[Date_livraison]],Tab_Calculs[[#This Row],[fin mois]])-MAX(Tab_Calculs[[#This Row],[Début mois]],Tab_Calculs[[#This Row],[Début periode livraison]]))</f>
        <v>0</v>
      </c>
      <c r="M1048" s="94" t="e">
        <f ca="1">INDEX(INDIRECT(CONCATENATE("Tab_",Tab_Calculs[[#This Row],[Colonne1]])),Tab_Calculs[[#This Row],[index_date_livraison]]+1,6)*(Tab_Calculs[[#This Row],[fin mois]]-MIN(Tab_Calculs[[#This Row],[fin mois]],Tab_Calculs[[#This Row],[Date_livraison]]))</f>
        <v>#VALUE!</v>
      </c>
      <c r="N1048" s="231" t="str">
        <f ca="1">IFERROR(Tab_Calculs[[#This Row],[Ratio_jour_après_livr]]+Tab_Calculs[[#This Row],[Ratio_jour_avant_livr]]+Tab_Calculs[[#This Row],[ratio_avant_debut]],"")</f>
        <v/>
      </c>
      <c r="O1048" t="e">
        <f ca="1">INDEX(INDIRECT(CONCATENATE("Tab_",Tab_Calculs[[#This Row],[Colonne1]])),Tab_Calculs[[#This Row],[index_date_livraison]]-1,7)*(MAX(Tab_Calculs[[#This Row],[Début periode livraison]],Tab_Calculs[[#This Row],[Début mois]])-Tab_Calculs[[#This Row],[Début mois]])</f>
        <v>#VALUE!</v>
      </c>
      <c r="P1048">
        <f ca="1">INDEX(INDIRECT(CONCATENATE("Tab_",Tab_Calculs[[#This Row],[Colonne1]])),Tab_Calculs[[#This Row],[index_date_livraison]],7)*(1+MIN(Tab_Calculs[[#This Row],[Date_livraison]],Tab_Calculs[[#This Row],[fin mois]])-MAX(Tab_Calculs[[#This Row],[Début mois]],Tab_Calculs[[#This Row],[Début periode livraison]]))</f>
        <v>0</v>
      </c>
      <c r="Q1048" t="e">
        <f ca="1">INDEX(INDIRECT(CONCATENATE("Tab_",Tab_Calculs[[#This Row],[Colonne1]])),Tab_Calculs[[#This Row],[index_date_livraison]]+1,7)*(Tab_Calculs[[#This Row],[fin mois]]-MIN(Tab_Calculs[[#This Row],[fin mois]],Tab_Calculs[[#This Row],[Date_livraison]]))</f>
        <v>#VALUE!</v>
      </c>
      <c r="R1048" t="e">
        <f ca="1">Tab_Calculs[[#This Row],[Ratio_Cout_après_livr]]+Tab_Calculs[[#This Row],[Ratio_Cout_avant_livr]]+Tab_Calculs[[#This Row],[Ratio_Cout_avant_debut]]</f>
        <v>#VALUE!</v>
      </c>
      <c r="S1048" t="str">
        <f ca="1">IFERROR(N1048*VLOOKUP(Tab_Calculs[[#This Row],[Colonne1]],Controle_des_données!$B$7:$G$14,6,FALSE),"")</f>
        <v/>
      </c>
      <c r="T1048" t="str">
        <f ca="1">IF(Tab_Calculs[[#This Row],[Combustible ]]="Electricité (kWh)",Tab_Calculs[[#This Row],[Conso_mois_kWh]]*2.3,Tab_Calculs[[#This Row],[Conso_mois_kWh]])</f>
        <v/>
      </c>
      <c r="U1048" t="str">
        <f ca="1">IFERROR(N1048*VLOOKUP(Tab_Calculs[[#This Row],[Colonne1]],Controle_des_données!$B$7:$H$14,7,FALSE),"")</f>
        <v/>
      </c>
      <c r="V1048">
        <f ca="1">IFERROR(Tab_Calculs[[#This Row],[Cout_mois]]/Tab_Calculs[[#This Row],[Conso_mois_kWh]],0)</f>
        <v>0</v>
      </c>
      <c r="W1048" t="str">
        <f>T(VLOOKUP(Tab_Calculs[[#This Row],[Compteur]],Site!$B$33:$G$40,3,FALSE))</f>
        <v/>
      </c>
      <c r="X1048" t="str">
        <f>T(VLOOKUP(Tab_Calculs[[#This Row],[Compteur]],Site!$B$33:$G$40,4,FALSE))</f>
        <v/>
      </c>
      <c r="Y1048" t="str">
        <f>T(VLOOKUP(Tab_Calculs[[#This Row],[Compteur]],Site!$B$33:$G$40,5,FALSE))</f>
        <v/>
      </c>
      <c r="Z1048" t="str">
        <f>T(VLOOKUP(Tab_Calculs[[#This Row],[Compteur]],Site!$B$33:$G$40,6,FALSE))</f>
        <v/>
      </c>
      <c r="AA1048">
        <f>IFERROR(GETPIVOTDATA("DJU(chauffagiste)",BDD_DJU!$P$13,"annee",Tab_Calculs[[#This Row],[ANNEE]],"mois_numero",Tab_Calculs[[#This Row],[MOIS]]),0)</f>
        <v>33.799999999999997</v>
      </c>
    </row>
    <row r="1049" spans="1:27" x14ac:dyDescent="0.25">
      <c r="A1049" s="3">
        <f>DATE(Tab_Calculs[[#This Row],[ANNEE]],Tab_Calculs[[#This Row],[MOIS]],1)</f>
        <v>42614</v>
      </c>
      <c r="B1049" s="3">
        <f>EDATE(Tab_Calculs[[#This Row],[Début mois]],1)-1</f>
        <v>42643</v>
      </c>
      <c r="C1049">
        <f t="shared" si="36"/>
        <v>9</v>
      </c>
      <c r="D1049">
        <f t="shared" si="35"/>
        <v>2016</v>
      </c>
      <c r="E1049" t="s">
        <v>85</v>
      </c>
      <c r="F1049" t="str">
        <f>SUBSTITUTE(Tab_Calculs[[#This Row],[Compteur]]," ","_")</f>
        <v>Compteur_6</v>
      </c>
      <c r="G1049" t="str">
        <f>T(INDEX(Site!$B$33:$G$40, MATCH(Tab_Calculs[[#This Row],[Compteur]], Site!$B$33:$B$40,0),2))</f>
        <v/>
      </c>
      <c r="H1049" s="3">
        <f t="array" aca="1" ref="H1049" ca="1">MIN(IF(INDIRECT(CONCATENATE(Tab_Calculs[[#This Row],[Colonne1]],"!$B$2:$B$243"))&gt;=Calculs_Consos!$A1049,INDIRECT(CONCATENATE(Tab_Calculs[[#This Row],[Colonne1]],"!$B$2:$B$243"))))</f>
        <v>0</v>
      </c>
      <c r="I1049" s="3">
        <f ca="1">INDEX(INDIRECT(CONCATENATE("Tab_",Tab_Calculs[[#This Row],[Colonne1]])),Tab_Calculs[[#This Row],[index_date_livraison]],1)</f>
        <v>0</v>
      </c>
      <c r="J1049">
        <f ca="1">MATCH(Tab_Calculs[[#This Row],[Date_livraison]],INDIRECT(CONCATENATE("Tab_",Tab_Calculs[[#This Row],[Colonne1]],"[Fin de période]")),0)</f>
        <v>1</v>
      </c>
      <c r="K1049" t="e">
        <f ca="1">INDEX(INDIRECT(CONCATENATE("Tab_",Tab_Calculs[[#This Row],[Colonne1]])),Tab_Calculs[[#This Row],[index_date_livraison]]-1,6)*(MAX(Tab_Calculs[[#This Row],[Début periode livraison]],Tab_Calculs[[#This Row],[Début mois]])-Tab_Calculs[[#This Row],[Début mois]])</f>
        <v>#VALUE!</v>
      </c>
      <c r="L1049" s="94">
        <f ca="1">INDEX(INDIRECT(CONCATENATE("Tab_",Tab_Calculs[[#This Row],[Colonne1]])),Tab_Calculs[[#This Row],[index_date_livraison]],6)*(1+MIN(Tab_Calculs[[#This Row],[Date_livraison]],Tab_Calculs[[#This Row],[fin mois]])-MAX(Tab_Calculs[[#This Row],[Début mois]],Tab_Calculs[[#This Row],[Début periode livraison]]))</f>
        <v>0</v>
      </c>
      <c r="M1049" s="94" t="e">
        <f ca="1">INDEX(INDIRECT(CONCATENATE("Tab_",Tab_Calculs[[#This Row],[Colonne1]])),Tab_Calculs[[#This Row],[index_date_livraison]]+1,6)*(Tab_Calculs[[#This Row],[fin mois]]-MIN(Tab_Calculs[[#This Row],[fin mois]],Tab_Calculs[[#This Row],[Date_livraison]]))</f>
        <v>#VALUE!</v>
      </c>
      <c r="N1049" s="231" t="str">
        <f ca="1">IFERROR(Tab_Calculs[[#This Row],[Ratio_jour_après_livr]]+Tab_Calculs[[#This Row],[Ratio_jour_avant_livr]]+Tab_Calculs[[#This Row],[ratio_avant_debut]],"")</f>
        <v/>
      </c>
      <c r="O1049" t="e">
        <f ca="1">INDEX(INDIRECT(CONCATENATE("Tab_",Tab_Calculs[[#This Row],[Colonne1]])),Tab_Calculs[[#This Row],[index_date_livraison]]-1,7)*(MAX(Tab_Calculs[[#This Row],[Début periode livraison]],Tab_Calculs[[#This Row],[Début mois]])-Tab_Calculs[[#This Row],[Début mois]])</f>
        <v>#VALUE!</v>
      </c>
      <c r="P1049">
        <f ca="1">INDEX(INDIRECT(CONCATENATE("Tab_",Tab_Calculs[[#This Row],[Colonne1]])),Tab_Calculs[[#This Row],[index_date_livraison]],7)*(1+MIN(Tab_Calculs[[#This Row],[Date_livraison]],Tab_Calculs[[#This Row],[fin mois]])-MAX(Tab_Calculs[[#This Row],[Début mois]],Tab_Calculs[[#This Row],[Début periode livraison]]))</f>
        <v>0</v>
      </c>
      <c r="Q1049" t="e">
        <f ca="1">INDEX(INDIRECT(CONCATENATE("Tab_",Tab_Calculs[[#This Row],[Colonne1]])),Tab_Calculs[[#This Row],[index_date_livraison]]+1,7)*(Tab_Calculs[[#This Row],[fin mois]]-MIN(Tab_Calculs[[#This Row],[fin mois]],Tab_Calculs[[#This Row],[Date_livraison]]))</f>
        <v>#VALUE!</v>
      </c>
      <c r="R1049" t="e">
        <f ca="1">Tab_Calculs[[#This Row],[Ratio_Cout_après_livr]]+Tab_Calculs[[#This Row],[Ratio_Cout_avant_livr]]+Tab_Calculs[[#This Row],[Ratio_Cout_avant_debut]]</f>
        <v>#VALUE!</v>
      </c>
      <c r="S1049" t="str">
        <f ca="1">IFERROR(N1049*VLOOKUP(Tab_Calculs[[#This Row],[Colonne1]],Controle_des_données!$B$7:$G$14,6,FALSE),"")</f>
        <v/>
      </c>
      <c r="T1049" t="str">
        <f ca="1">IF(Tab_Calculs[[#This Row],[Combustible ]]="Electricité (kWh)",Tab_Calculs[[#This Row],[Conso_mois_kWh]]*2.3,Tab_Calculs[[#This Row],[Conso_mois_kWh]])</f>
        <v/>
      </c>
      <c r="U1049" t="str">
        <f ca="1">IFERROR(N1049*VLOOKUP(Tab_Calculs[[#This Row],[Colonne1]],Controle_des_données!$B$7:$H$14,7,FALSE),"")</f>
        <v/>
      </c>
      <c r="V1049">
        <f ca="1">IFERROR(Tab_Calculs[[#This Row],[Cout_mois]]/Tab_Calculs[[#This Row],[Conso_mois_kWh]],0)</f>
        <v>0</v>
      </c>
      <c r="W1049" t="str">
        <f>T(VLOOKUP(Tab_Calculs[[#This Row],[Compteur]],Site!$B$33:$G$40,3,FALSE))</f>
        <v/>
      </c>
      <c r="X1049" t="str">
        <f>T(VLOOKUP(Tab_Calculs[[#This Row],[Compteur]],Site!$B$33:$G$40,4,FALSE))</f>
        <v/>
      </c>
      <c r="Y1049" t="str">
        <f>T(VLOOKUP(Tab_Calculs[[#This Row],[Compteur]],Site!$B$33:$G$40,5,FALSE))</f>
        <v/>
      </c>
      <c r="Z1049" t="str">
        <f>T(VLOOKUP(Tab_Calculs[[#This Row],[Compteur]],Site!$B$33:$G$40,6,FALSE))</f>
        <v/>
      </c>
      <c r="AA1049">
        <f>IFERROR(GETPIVOTDATA("DJU(chauffagiste)",BDD_DJU!$P$13,"annee",Tab_Calculs[[#This Row],[ANNEE]],"mois_numero",Tab_Calculs[[#This Row],[MOIS]]),0)</f>
        <v>43.5</v>
      </c>
    </row>
    <row r="1050" spans="1:27" x14ac:dyDescent="0.25">
      <c r="A1050" s="3">
        <f>DATE(Tab_Calculs[[#This Row],[ANNEE]],Tab_Calculs[[#This Row],[MOIS]],1)</f>
        <v>42644</v>
      </c>
      <c r="B1050" s="3">
        <f>EDATE(Tab_Calculs[[#This Row],[Début mois]],1)-1</f>
        <v>42674</v>
      </c>
      <c r="C1050">
        <f t="shared" si="36"/>
        <v>10</v>
      </c>
      <c r="D1050">
        <f t="shared" si="35"/>
        <v>2016</v>
      </c>
      <c r="E1050" t="s">
        <v>85</v>
      </c>
      <c r="F1050" t="str">
        <f>SUBSTITUTE(Tab_Calculs[[#This Row],[Compteur]]," ","_")</f>
        <v>Compteur_6</v>
      </c>
      <c r="G1050" t="str">
        <f>T(INDEX(Site!$B$33:$G$40, MATCH(Tab_Calculs[[#This Row],[Compteur]], Site!$B$33:$B$40,0),2))</f>
        <v/>
      </c>
      <c r="H1050" s="3">
        <f t="array" aca="1" ref="H1050" ca="1">MIN(IF(INDIRECT(CONCATENATE(Tab_Calculs[[#This Row],[Colonne1]],"!$B$2:$B$243"))&gt;=Calculs_Consos!$A1050,INDIRECT(CONCATENATE(Tab_Calculs[[#This Row],[Colonne1]],"!$B$2:$B$243"))))</f>
        <v>0</v>
      </c>
      <c r="I1050" s="3">
        <f ca="1">INDEX(INDIRECT(CONCATENATE("Tab_",Tab_Calculs[[#This Row],[Colonne1]])),Tab_Calculs[[#This Row],[index_date_livraison]],1)</f>
        <v>0</v>
      </c>
      <c r="J1050">
        <f ca="1">MATCH(Tab_Calculs[[#This Row],[Date_livraison]],INDIRECT(CONCATENATE("Tab_",Tab_Calculs[[#This Row],[Colonne1]],"[Fin de période]")),0)</f>
        <v>1</v>
      </c>
      <c r="K1050" t="e">
        <f ca="1">INDEX(INDIRECT(CONCATENATE("Tab_",Tab_Calculs[[#This Row],[Colonne1]])),Tab_Calculs[[#This Row],[index_date_livraison]]-1,6)*(MAX(Tab_Calculs[[#This Row],[Début periode livraison]],Tab_Calculs[[#This Row],[Début mois]])-Tab_Calculs[[#This Row],[Début mois]])</f>
        <v>#VALUE!</v>
      </c>
      <c r="L1050" s="94">
        <f ca="1">INDEX(INDIRECT(CONCATENATE("Tab_",Tab_Calculs[[#This Row],[Colonne1]])),Tab_Calculs[[#This Row],[index_date_livraison]],6)*(1+MIN(Tab_Calculs[[#This Row],[Date_livraison]],Tab_Calculs[[#This Row],[fin mois]])-MAX(Tab_Calculs[[#This Row],[Début mois]],Tab_Calculs[[#This Row],[Début periode livraison]]))</f>
        <v>0</v>
      </c>
      <c r="M1050" s="94" t="e">
        <f ca="1">INDEX(INDIRECT(CONCATENATE("Tab_",Tab_Calculs[[#This Row],[Colonne1]])),Tab_Calculs[[#This Row],[index_date_livraison]]+1,6)*(Tab_Calculs[[#This Row],[fin mois]]-MIN(Tab_Calculs[[#This Row],[fin mois]],Tab_Calculs[[#This Row],[Date_livraison]]))</f>
        <v>#VALUE!</v>
      </c>
      <c r="N1050" s="231" t="str">
        <f ca="1">IFERROR(Tab_Calculs[[#This Row],[Ratio_jour_après_livr]]+Tab_Calculs[[#This Row],[Ratio_jour_avant_livr]]+Tab_Calculs[[#This Row],[ratio_avant_debut]],"")</f>
        <v/>
      </c>
      <c r="O1050" t="e">
        <f ca="1">INDEX(INDIRECT(CONCATENATE("Tab_",Tab_Calculs[[#This Row],[Colonne1]])),Tab_Calculs[[#This Row],[index_date_livraison]]-1,7)*(MAX(Tab_Calculs[[#This Row],[Début periode livraison]],Tab_Calculs[[#This Row],[Début mois]])-Tab_Calculs[[#This Row],[Début mois]])</f>
        <v>#VALUE!</v>
      </c>
      <c r="P1050">
        <f ca="1">INDEX(INDIRECT(CONCATENATE("Tab_",Tab_Calculs[[#This Row],[Colonne1]])),Tab_Calculs[[#This Row],[index_date_livraison]],7)*(1+MIN(Tab_Calculs[[#This Row],[Date_livraison]],Tab_Calculs[[#This Row],[fin mois]])-MAX(Tab_Calculs[[#This Row],[Début mois]],Tab_Calculs[[#This Row],[Début periode livraison]]))</f>
        <v>0</v>
      </c>
      <c r="Q1050" t="e">
        <f ca="1">INDEX(INDIRECT(CONCATENATE("Tab_",Tab_Calculs[[#This Row],[Colonne1]])),Tab_Calculs[[#This Row],[index_date_livraison]]+1,7)*(Tab_Calculs[[#This Row],[fin mois]]-MIN(Tab_Calculs[[#This Row],[fin mois]],Tab_Calculs[[#This Row],[Date_livraison]]))</f>
        <v>#VALUE!</v>
      </c>
      <c r="R1050" t="e">
        <f ca="1">Tab_Calculs[[#This Row],[Ratio_Cout_après_livr]]+Tab_Calculs[[#This Row],[Ratio_Cout_avant_livr]]+Tab_Calculs[[#This Row],[Ratio_Cout_avant_debut]]</f>
        <v>#VALUE!</v>
      </c>
      <c r="S1050" t="str">
        <f ca="1">IFERROR(N1050*VLOOKUP(Tab_Calculs[[#This Row],[Colonne1]],Controle_des_données!$B$7:$G$14,6,FALSE),"")</f>
        <v/>
      </c>
      <c r="T1050" t="str">
        <f ca="1">IF(Tab_Calculs[[#This Row],[Combustible ]]="Electricité (kWh)",Tab_Calculs[[#This Row],[Conso_mois_kWh]]*2.3,Tab_Calculs[[#This Row],[Conso_mois_kWh]])</f>
        <v/>
      </c>
      <c r="U1050" t="str">
        <f ca="1">IFERROR(N1050*VLOOKUP(Tab_Calculs[[#This Row],[Colonne1]],Controle_des_données!$B$7:$H$14,7,FALSE),"")</f>
        <v/>
      </c>
      <c r="V1050">
        <f ca="1">IFERROR(Tab_Calculs[[#This Row],[Cout_mois]]/Tab_Calculs[[#This Row],[Conso_mois_kWh]],0)</f>
        <v>0</v>
      </c>
      <c r="W1050" t="str">
        <f>T(VLOOKUP(Tab_Calculs[[#This Row],[Compteur]],Site!$B$33:$G$40,3,FALSE))</f>
        <v/>
      </c>
      <c r="X1050" t="str">
        <f>T(VLOOKUP(Tab_Calculs[[#This Row],[Compteur]],Site!$B$33:$G$40,4,FALSE))</f>
        <v/>
      </c>
      <c r="Y1050" t="str">
        <f>T(VLOOKUP(Tab_Calculs[[#This Row],[Compteur]],Site!$B$33:$G$40,5,FALSE))</f>
        <v/>
      </c>
      <c r="Z1050" t="str">
        <f>T(VLOOKUP(Tab_Calculs[[#This Row],[Compteur]],Site!$B$33:$G$40,6,FALSE))</f>
        <v/>
      </c>
      <c r="AA1050">
        <f>IFERROR(GETPIVOTDATA("DJU(chauffagiste)",BDD_DJU!$P$13,"annee",Tab_Calculs[[#This Row],[ANNEE]],"mois_numero",Tab_Calculs[[#This Row],[MOIS]]),0)</f>
        <v>202.6</v>
      </c>
    </row>
    <row r="1051" spans="1:27" x14ac:dyDescent="0.25">
      <c r="A1051" s="3">
        <f>DATE(Tab_Calculs[[#This Row],[ANNEE]],Tab_Calculs[[#This Row],[MOIS]],1)</f>
        <v>42675</v>
      </c>
      <c r="B1051" s="3">
        <f>EDATE(Tab_Calculs[[#This Row],[Début mois]],1)-1</f>
        <v>42704</v>
      </c>
      <c r="C1051">
        <f t="shared" si="36"/>
        <v>11</v>
      </c>
      <c r="D1051">
        <f t="shared" si="35"/>
        <v>2016</v>
      </c>
      <c r="E1051" t="s">
        <v>85</v>
      </c>
      <c r="F1051" t="str">
        <f>SUBSTITUTE(Tab_Calculs[[#This Row],[Compteur]]," ","_")</f>
        <v>Compteur_6</v>
      </c>
      <c r="G1051" t="str">
        <f>T(INDEX(Site!$B$33:$G$40, MATCH(Tab_Calculs[[#This Row],[Compteur]], Site!$B$33:$B$40,0),2))</f>
        <v/>
      </c>
      <c r="H1051" s="3">
        <f t="array" aca="1" ref="H1051" ca="1">MIN(IF(INDIRECT(CONCATENATE(Tab_Calculs[[#This Row],[Colonne1]],"!$B$2:$B$243"))&gt;=Calculs_Consos!$A1051,INDIRECT(CONCATENATE(Tab_Calculs[[#This Row],[Colonne1]],"!$B$2:$B$243"))))</f>
        <v>0</v>
      </c>
      <c r="I1051" s="3">
        <f ca="1">INDEX(INDIRECT(CONCATENATE("Tab_",Tab_Calculs[[#This Row],[Colonne1]])),Tab_Calculs[[#This Row],[index_date_livraison]],1)</f>
        <v>0</v>
      </c>
      <c r="J1051">
        <f ca="1">MATCH(Tab_Calculs[[#This Row],[Date_livraison]],INDIRECT(CONCATENATE("Tab_",Tab_Calculs[[#This Row],[Colonne1]],"[Fin de période]")),0)</f>
        <v>1</v>
      </c>
      <c r="K1051" t="e">
        <f ca="1">INDEX(INDIRECT(CONCATENATE("Tab_",Tab_Calculs[[#This Row],[Colonne1]])),Tab_Calculs[[#This Row],[index_date_livraison]]-1,6)*(MAX(Tab_Calculs[[#This Row],[Début periode livraison]],Tab_Calculs[[#This Row],[Début mois]])-Tab_Calculs[[#This Row],[Début mois]])</f>
        <v>#VALUE!</v>
      </c>
      <c r="L1051" s="94">
        <f ca="1">INDEX(INDIRECT(CONCATENATE("Tab_",Tab_Calculs[[#This Row],[Colonne1]])),Tab_Calculs[[#This Row],[index_date_livraison]],6)*(1+MIN(Tab_Calculs[[#This Row],[Date_livraison]],Tab_Calculs[[#This Row],[fin mois]])-MAX(Tab_Calculs[[#This Row],[Début mois]],Tab_Calculs[[#This Row],[Début periode livraison]]))</f>
        <v>0</v>
      </c>
      <c r="M1051" s="94" t="e">
        <f ca="1">INDEX(INDIRECT(CONCATENATE("Tab_",Tab_Calculs[[#This Row],[Colonne1]])),Tab_Calculs[[#This Row],[index_date_livraison]]+1,6)*(Tab_Calculs[[#This Row],[fin mois]]-MIN(Tab_Calculs[[#This Row],[fin mois]],Tab_Calculs[[#This Row],[Date_livraison]]))</f>
        <v>#VALUE!</v>
      </c>
      <c r="N1051" s="231" t="str">
        <f ca="1">IFERROR(Tab_Calculs[[#This Row],[Ratio_jour_après_livr]]+Tab_Calculs[[#This Row],[Ratio_jour_avant_livr]]+Tab_Calculs[[#This Row],[ratio_avant_debut]],"")</f>
        <v/>
      </c>
      <c r="O1051" t="e">
        <f ca="1">INDEX(INDIRECT(CONCATENATE("Tab_",Tab_Calculs[[#This Row],[Colonne1]])),Tab_Calculs[[#This Row],[index_date_livraison]]-1,7)*(MAX(Tab_Calculs[[#This Row],[Début periode livraison]],Tab_Calculs[[#This Row],[Début mois]])-Tab_Calculs[[#This Row],[Début mois]])</f>
        <v>#VALUE!</v>
      </c>
      <c r="P1051">
        <f ca="1">INDEX(INDIRECT(CONCATENATE("Tab_",Tab_Calculs[[#This Row],[Colonne1]])),Tab_Calculs[[#This Row],[index_date_livraison]],7)*(1+MIN(Tab_Calculs[[#This Row],[Date_livraison]],Tab_Calculs[[#This Row],[fin mois]])-MAX(Tab_Calculs[[#This Row],[Début mois]],Tab_Calculs[[#This Row],[Début periode livraison]]))</f>
        <v>0</v>
      </c>
      <c r="Q1051" t="e">
        <f ca="1">INDEX(INDIRECT(CONCATENATE("Tab_",Tab_Calculs[[#This Row],[Colonne1]])),Tab_Calculs[[#This Row],[index_date_livraison]]+1,7)*(Tab_Calculs[[#This Row],[fin mois]]-MIN(Tab_Calculs[[#This Row],[fin mois]],Tab_Calculs[[#This Row],[Date_livraison]]))</f>
        <v>#VALUE!</v>
      </c>
      <c r="R1051" t="e">
        <f ca="1">Tab_Calculs[[#This Row],[Ratio_Cout_après_livr]]+Tab_Calculs[[#This Row],[Ratio_Cout_avant_livr]]+Tab_Calculs[[#This Row],[Ratio_Cout_avant_debut]]</f>
        <v>#VALUE!</v>
      </c>
      <c r="S1051" t="str">
        <f ca="1">IFERROR(N1051*VLOOKUP(Tab_Calculs[[#This Row],[Colonne1]],Controle_des_données!$B$7:$G$14,6,FALSE),"")</f>
        <v/>
      </c>
      <c r="T1051" t="str">
        <f ca="1">IF(Tab_Calculs[[#This Row],[Combustible ]]="Electricité (kWh)",Tab_Calculs[[#This Row],[Conso_mois_kWh]]*2.3,Tab_Calculs[[#This Row],[Conso_mois_kWh]])</f>
        <v/>
      </c>
      <c r="U1051" t="str">
        <f ca="1">IFERROR(N1051*VLOOKUP(Tab_Calculs[[#This Row],[Colonne1]],Controle_des_données!$B$7:$H$14,7,FALSE),"")</f>
        <v/>
      </c>
      <c r="V1051">
        <f ca="1">IFERROR(Tab_Calculs[[#This Row],[Cout_mois]]/Tab_Calculs[[#This Row],[Conso_mois_kWh]],0)</f>
        <v>0</v>
      </c>
      <c r="W1051" t="str">
        <f>T(VLOOKUP(Tab_Calculs[[#This Row],[Compteur]],Site!$B$33:$G$40,3,FALSE))</f>
        <v/>
      </c>
      <c r="X1051" t="str">
        <f>T(VLOOKUP(Tab_Calculs[[#This Row],[Compteur]],Site!$B$33:$G$40,4,FALSE))</f>
        <v/>
      </c>
      <c r="Y1051" t="str">
        <f>T(VLOOKUP(Tab_Calculs[[#This Row],[Compteur]],Site!$B$33:$G$40,5,FALSE))</f>
        <v/>
      </c>
      <c r="Z1051" t="str">
        <f>T(VLOOKUP(Tab_Calculs[[#This Row],[Compteur]],Site!$B$33:$G$40,6,FALSE))</f>
        <v/>
      </c>
      <c r="AA1051">
        <f>IFERROR(GETPIVOTDATA("DJU(chauffagiste)",BDD_DJU!$P$13,"annee",Tab_Calculs[[#This Row],[ANNEE]],"mois_numero",Tab_Calculs[[#This Row],[MOIS]]),0)</f>
        <v>289.2</v>
      </c>
    </row>
    <row r="1052" spans="1:27" x14ac:dyDescent="0.25">
      <c r="A1052" s="3">
        <f>DATE(Tab_Calculs[[#This Row],[ANNEE]],Tab_Calculs[[#This Row],[MOIS]],1)</f>
        <v>42705</v>
      </c>
      <c r="B1052" s="3">
        <f>EDATE(Tab_Calculs[[#This Row],[Début mois]],1)-1</f>
        <v>42735</v>
      </c>
      <c r="C1052">
        <f t="shared" si="36"/>
        <v>12</v>
      </c>
      <c r="D1052">
        <f t="shared" si="35"/>
        <v>2016</v>
      </c>
      <c r="E1052" t="s">
        <v>85</v>
      </c>
      <c r="F1052" t="str">
        <f>SUBSTITUTE(Tab_Calculs[[#This Row],[Compteur]]," ","_")</f>
        <v>Compteur_6</v>
      </c>
      <c r="G1052" t="str">
        <f>T(INDEX(Site!$B$33:$G$40, MATCH(Tab_Calculs[[#This Row],[Compteur]], Site!$B$33:$B$40,0),2))</f>
        <v/>
      </c>
      <c r="H1052" s="3">
        <f t="array" aca="1" ref="H1052" ca="1">MIN(IF(INDIRECT(CONCATENATE(Tab_Calculs[[#This Row],[Colonne1]],"!$B$2:$B$243"))&gt;=Calculs_Consos!$A1052,INDIRECT(CONCATENATE(Tab_Calculs[[#This Row],[Colonne1]],"!$B$2:$B$243"))))</f>
        <v>0</v>
      </c>
      <c r="I1052" s="3">
        <f ca="1">INDEX(INDIRECT(CONCATENATE("Tab_",Tab_Calculs[[#This Row],[Colonne1]])),Tab_Calculs[[#This Row],[index_date_livraison]],1)</f>
        <v>0</v>
      </c>
      <c r="J1052">
        <f ca="1">MATCH(Tab_Calculs[[#This Row],[Date_livraison]],INDIRECT(CONCATENATE("Tab_",Tab_Calculs[[#This Row],[Colonne1]],"[Fin de période]")),0)</f>
        <v>1</v>
      </c>
      <c r="K1052" t="e">
        <f ca="1">INDEX(INDIRECT(CONCATENATE("Tab_",Tab_Calculs[[#This Row],[Colonne1]])),Tab_Calculs[[#This Row],[index_date_livraison]]-1,6)*(MAX(Tab_Calculs[[#This Row],[Début periode livraison]],Tab_Calculs[[#This Row],[Début mois]])-Tab_Calculs[[#This Row],[Début mois]])</f>
        <v>#VALUE!</v>
      </c>
      <c r="L1052" s="94">
        <f ca="1">INDEX(INDIRECT(CONCATENATE("Tab_",Tab_Calculs[[#This Row],[Colonne1]])),Tab_Calculs[[#This Row],[index_date_livraison]],6)*(1+MIN(Tab_Calculs[[#This Row],[Date_livraison]],Tab_Calculs[[#This Row],[fin mois]])-MAX(Tab_Calculs[[#This Row],[Début mois]],Tab_Calculs[[#This Row],[Début periode livraison]]))</f>
        <v>0</v>
      </c>
      <c r="M1052" s="94" t="e">
        <f ca="1">INDEX(INDIRECT(CONCATENATE("Tab_",Tab_Calculs[[#This Row],[Colonne1]])),Tab_Calculs[[#This Row],[index_date_livraison]]+1,6)*(Tab_Calculs[[#This Row],[fin mois]]-MIN(Tab_Calculs[[#This Row],[fin mois]],Tab_Calculs[[#This Row],[Date_livraison]]))</f>
        <v>#VALUE!</v>
      </c>
      <c r="N1052" s="231" t="str">
        <f ca="1">IFERROR(Tab_Calculs[[#This Row],[Ratio_jour_après_livr]]+Tab_Calculs[[#This Row],[Ratio_jour_avant_livr]]+Tab_Calculs[[#This Row],[ratio_avant_debut]],"")</f>
        <v/>
      </c>
      <c r="O1052" t="e">
        <f ca="1">INDEX(INDIRECT(CONCATENATE("Tab_",Tab_Calculs[[#This Row],[Colonne1]])),Tab_Calculs[[#This Row],[index_date_livraison]]-1,7)*(MAX(Tab_Calculs[[#This Row],[Début periode livraison]],Tab_Calculs[[#This Row],[Début mois]])-Tab_Calculs[[#This Row],[Début mois]])</f>
        <v>#VALUE!</v>
      </c>
      <c r="P1052">
        <f ca="1">INDEX(INDIRECT(CONCATENATE("Tab_",Tab_Calculs[[#This Row],[Colonne1]])),Tab_Calculs[[#This Row],[index_date_livraison]],7)*(1+MIN(Tab_Calculs[[#This Row],[Date_livraison]],Tab_Calculs[[#This Row],[fin mois]])-MAX(Tab_Calculs[[#This Row],[Début mois]],Tab_Calculs[[#This Row],[Début periode livraison]]))</f>
        <v>0</v>
      </c>
      <c r="Q1052" t="e">
        <f ca="1">INDEX(INDIRECT(CONCATENATE("Tab_",Tab_Calculs[[#This Row],[Colonne1]])),Tab_Calculs[[#This Row],[index_date_livraison]]+1,7)*(Tab_Calculs[[#This Row],[fin mois]]-MIN(Tab_Calculs[[#This Row],[fin mois]],Tab_Calculs[[#This Row],[Date_livraison]]))</f>
        <v>#VALUE!</v>
      </c>
      <c r="R1052" t="e">
        <f ca="1">Tab_Calculs[[#This Row],[Ratio_Cout_après_livr]]+Tab_Calculs[[#This Row],[Ratio_Cout_avant_livr]]+Tab_Calculs[[#This Row],[Ratio_Cout_avant_debut]]</f>
        <v>#VALUE!</v>
      </c>
      <c r="S1052" t="str">
        <f ca="1">IFERROR(N1052*VLOOKUP(Tab_Calculs[[#This Row],[Colonne1]],Controle_des_données!$B$7:$G$14,6,FALSE),"")</f>
        <v/>
      </c>
      <c r="T1052" t="str">
        <f ca="1">IF(Tab_Calculs[[#This Row],[Combustible ]]="Electricité (kWh)",Tab_Calculs[[#This Row],[Conso_mois_kWh]]*2.3,Tab_Calculs[[#This Row],[Conso_mois_kWh]])</f>
        <v/>
      </c>
      <c r="U1052" t="str">
        <f ca="1">IFERROR(N1052*VLOOKUP(Tab_Calculs[[#This Row],[Colonne1]],Controle_des_données!$B$7:$H$14,7,FALSE),"")</f>
        <v/>
      </c>
      <c r="V1052">
        <f ca="1">IFERROR(Tab_Calculs[[#This Row],[Cout_mois]]/Tab_Calculs[[#This Row],[Conso_mois_kWh]],0)</f>
        <v>0</v>
      </c>
      <c r="W1052" t="str">
        <f>T(VLOOKUP(Tab_Calculs[[#This Row],[Compteur]],Site!$B$33:$G$40,3,FALSE))</f>
        <v/>
      </c>
      <c r="X1052" t="str">
        <f>T(VLOOKUP(Tab_Calculs[[#This Row],[Compteur]],Site!$B$33:$G$40,4,FALSE))</f>
        <v/>
      </c>
      <c r="Y1052" t="str">
        <f>T(VLOOKUP(Tab_Calculs[[#This Row],[Compteur]],Site!$B$33:$G$40,5,FALSE))</f>
        <v/>
      </c>
      <c r="Z1052" t="str">
        <f>T(VLOOKUP(Tab_Calculs[[#This Row],[Compteur]],Site!$B$33:$G$40,6,FALSE))</f>
        <v/>
      </c>
      <c r="AA1052">
        <f>IFERROR(GETPIVOTDATA("DJU(chauffagiste)",BDD_DJU!$P$13,"annee",Tab_Calculs[[#This Row],[ANNEE]],"mois_numero",Tab_Calculs[[#This Row],[MOIS]]),0)</f>
        <v>370.4</v>
      </c>
    </row>
    <row r="1053" spans="1:27" x14ac:dyDescent="0.25">
      <c r="A1053" s="3">
        <f>DATE(Tab_Calculs[[#This Row],[ANNEE]],Tab_Calculs[[#This Row],[MOIS]],1)</f>
        <v>42736</v>
      </c>
      <c r="B1053" s="3">
        <f>EDATE(Tab_Calculs[[#This Row],[Début mois]],1)-1</f>
        <v>42766</v>
      </c>
      <c r="C1053">
        <f t="shared" si="36"/>
        <v>1</v>
      </c>
      <c r="D1053">
        <f t="shared" si="35"/>
        <v>2017</v>
      </c>
      <c r="E1053" t="s">
        <v>85</v>
      </c>
      <c r="F1053" t="str">
        <f>SUBSTITUTE(Tab_Calculs[[#This Row],[Compteur]]," ","_")</f>
        <v>Compteur_6</v>
      </c>
      <c r="G1053" t="str">
        <f>T(INDEX(Site!$B$33:$G$40, MATCH(Tab_Calculs[[#This Row],[Compteur]], Site!$B$33:$B$40,0),2))</f>
        <v/>
      </c>
      <c r="H1053" s="3">
        <f t="array" aca="1" ref="H1053" ca="1">MIN(IF(INDIRECT(CONCATENATE(Tab_Calculs[[#This Row],[Colonne1]],"!$B$2:$B$243"))&gt;=Calculs_Consos!$A1053,INDIRECT(CONCATENATE(Tab_Calculs[[#This Row],[Colonne1]],"!$B$2:$B$243"))))</f>
        <v>0</v>
      </c>
      <c r="I1053" s="3">
        <f ca="1">INDEX(INDIRECT(CONCATENATE("Tab_",Tab_Calculs[[#This Row],[Colonne1]])),Tab_Calculs[[#This Row],[index_date_livraison]],1)</f>
        <v>0</v>
      </c>
      <c r="J1053">
        <f ca="1">MATCH(Tab_Calculs[[#This Row],[Date_livraison]],INDIRECT(CONCATENATE("Tab_",Tab_Calculs[[#This Row],[Colonne1]],"[Fin de période]")),0)</f>
        <v>1</v>
      </c>
      <c r="K1053" t="e">
        <f ca="1">INDEX(INDIRECT(CONCATENATE("Tab_",Tab_Calculs[[#This Row],[Colonne1]])),Tab_Calculs[[#This Row],[index_date_livraison]]-1,6)*(MAX(Tab_Calculs[[#This Row],[Début periode livraison]],Tab_Calculs[[#This Row],[Début mois]])-Tab_Calculs[[#This Row],[Début mois]])</f>
        <v>#VALUE!</v>
      </c>
      <c r="L1053" s="94">
        <f ca="1">INDEX(INDIRECT(CONCATENATE("Tab_",Tab_Calculs[[#This Row],[Colonne1]])),Tab_Calculs[[#This Row],[index_date_livraison]],6)*(1+MIN(Tab_Calculs[[#This Row],[Date_livraison]],Tab_Calculs[[#This Row],[fin mois]])-MAX(Tab_Calculs[[#This Row],[Début mois]],Tab_Calculs[[#This Row],[Début periode livraison]]))</f>
        <v>0</v>
      </c>
      <c r="M1053" s="94" t="e">
        <f ca="1">INDEX(INDIRECT(CONCATENATE("Tab_",Tab_Calculs[[#This Row],[Colonne1]])),Tab_Calculs[[#This Row],[index_date_livraison]]+1,6)*(Tab_Calculs[[#This Row],[fin mois]]-MIN(Tab_Calculs[[#This Row],[fin mois]],Tab_Calculs[[#This Row],[Date_livraison]]))</f>
        <v>#VALUE!</v>
      </c>
      <c r="N1053" s="231" t="str">
        <f ca="1">IFERROR(Tab_Calculs[[#This Row],[Ratio_jour_après_livr]]+Tab_Calculs[[#This Row],[Ratio_jour_avant_livr]]+Tab_Calculs[[#This Row],[ratio_avant_debut]],"")</f>
        <v/>
      </c>
      <c r="O1053" t="e">
        <f ca="1">INDEX(INDIRECT(CONCATENATE("Tab_",Tab_Calculs[[#This Row],[Colonne1]])),Tab_Calculs[[#This Row],[index_date_livraison]]-1,7)*(MAX(Tab_Calculs[[#This Row],[Début periode livraison]],Tab_Calculs[[#This Row],[Début mois]])-Tab_Calculs[[#This Row],[Début mois]])</f>
        <v>#VALUE!</v>
      </c>
      <c r="P1053">
        <f ca="1">INDEX(INDIRECT(CONCATENATE("Tab_",Tab_Calculs[[#This Row],[Colonne1]])),Tab_Calculs[[#This Row],[index_date_livraison]],7)*(1+MIN(Tab_Calculs[[#This Row],[Date_livraison]],Tab_Calculs[[#This Row],[fin mois]])-MAX(Tab_Calculs[[#This Row],[Début mois]],Tab_Calculs[[#This Row],[Début periode livraison]]))</f>
        <v>0</v>
      </c>
      <c r="Q1053" t="e">
        <f ca="1">INDEX(INDIRECT(CONCATENATE("Tab_",Tab_Calculs[[#This Row],[Colonne1]])),Tab_Calculs[[#This Row],[index_date_livraison]]+1,7)*(Tab_Calculs[[#This Row],[fin mois]]-MIN(Tab_Calculs[[#This Row],[fin mois]],Tab_Calculs[[#This Row],[Date_livraison]]))</f>
        <v>#VALUE!</v>
      </c>
      <c r="R1053" t="e">
        <f ca="1">Tab_Calculs[[#This Row],[Ratio_Cout_après_livr]]+Tab_Calculs[[#This Row],[Ratio_Cout_avant_livr]]+Tab_Calculs[[#This Row],[Ratio_Cout_avant_debut]]</f>
        <v>#VALUE!</v>
      </c>
      <c r="S1053" t="str">
        <f ca="1">IFERROR(N1053*VLOOKUP(Tab_Calculs[[#This Row],[Colonne1]],Controle_des_données!$B$7:$G$14,6,FALSE),"")</f>
        <v/>
      </c>
      <c r="T1053" t="str">
        <f ca="1">IF(Tab_Calculs[[#This Row],[Combustible ]]="Electricité (kWh)",Tab_Calculs[[#This Row],[Conso_mois_kWh]]*2.3,Tab_Calculs[[#This Row],[Conso_mois_kWh]])</f>
        <v/>
      </c>
      <c r="U1053" t="str">
        <f ca="1">IFERROR(N1053*VLOOKUP(Tab_Calculs[[#This Row],[Colonne1]],Controle_des_données!$B$7:$H$14,7,FALSE),"")</f>
        <v/>
      </c>
      <c r="V1053">
        <f ca="1">IFERROR(Tab_Calculs[[#This Row],[Cout_mois]]/Tab_Calculs[[#This Row],[Conso_mois_kWh]],0)</f>
        <v>0</v>
      </c>
      <c r="W1053" t="str">
        <f>T(VLOOKUP(Tab_Calculs[[#This Row],[Compteur]],Site!$B$33:$G$40,3,FALSE))</f>
        <v/>
      </c>
      <c r="X1053" t="str">
        <f>T(VLOOKUP(Tab_Calculs[[#This Row],[Compteur]],Site!$B$33:$G$40,4,FALSE))</f>
        <v/>
      </c>
      <c r="Y1053" t="str">
        <f>T(VLOOKUP(Tab_Calculs[[#This Row],[Compteur]],Site!$B$33:$G$40,5,FALSE))</f>
        <v/>
      </c>
      <c r="Z1053" t="str">
        <f>T(VLOOKUP(Tab_Calculs[[#This Row],[Compteur]],Site!$B$33:$G$40,6,FALSE))</f>
        <v/>
      </c>
      <c r="AA1053">
        <f>IFERROR(GETPIVOTDATA("DJU(chauffagiste)",BDD_DJU!$P$13,"annee",Tab_Calculs[[#This Row],[ANNEE]],"mois_numero",Tab_Calculs[[#This Row],[MOIS]]),0)</f>
        <v>451.9</v>
      </c>
    </row>
    <row r="1054" spans="1:27" x14ac:dyDescent="0.25">
      <c r="A1054" s="3">
        <f>DATE(Tab_Calculs[[#This Row],[ANNEE]],Tab_Calculs[[#This Row],[MOIS]],1)</f>
        <v>42767</v>
      </c>
      <c r="B1054" s="3">
        <f>EDATE(Tab_Calculs[[#This Row],[Début mois]],1)-1</f>
        <v>42794</v>
      </c>
      <c r="C1054">
        <f t="shared" si="36"/>
        <v>2</v>
      </c>
      <c r="D1054">
        <f>D1042+1</f>
        <v>2017</v>
      </c>
      <c r="E1054" t="s">
        <v>85</v>
      </c>
      <c r="F1054" t="str">
        <f>SUBSTITUTE(Tab_Calculs[[#This Row],[Compteur]]," ","_")</f>
        <v>Compteur_6</v>
      </c>
      <c r="G1054" t="str">
        <f>T(INDEX(Site!$B$33:$G$40, MATCH(Tab_Calculs[[#This Row],[Compteur]], Site!$B$33:$B$40,0),2))</f>
        <v/>
      </c>
      <c r="H1054" s="3">
        <f t="array" aca="1" ref="H1054" ca="1">MIN(IF(INDIRECT(CONCATENATE(Tab_Calculs[[#This Row],[Colonne1]],"!$B$2:$B$243"))&gt;=Calculs_Consos!$A1054,INDIRECT(CONCATENATE(Tab_Calculs[[#This Row],[Colonne1]],"!$B$2:$B$243"))))</f>
        <v>0</v>
      </c>
      <c r="I1054" s="3">
        <f ca="1">INDEX(INDIRECT(CONCATENATE("Tab_",Tab_Calculs[[#This Row],[Colonne1]])),Tab_Calculs[[#This Row],[index_date_livraison]],1)</f>
        <v>0</v>
      </c>
      <c r="J1054">
        <f ca="1">MATCH(Tab_Calculs[[#This Row],[Date_livraison]],INDIRECT(CONCATENATE("Tab_",Tab_Calculs[[#This Row],[Colonne1]],"[Fin de période]")),0)</f>
        <v>1</v>
      </c>
      <c r="K1054" t="e">
        <f ca="1">INDEX(INDIRECT(CONCATENATE("Tab_",Tab_Calculs[[#This Row],[Colonne1]])),Tab_Calculs[[#This Row],[index_date_livraison]]-1,6)*(MAX(Tab_Calculs[[#This Row],[Début periode livraison]],Tab_Calculs[[#This Row],[Début mois]])-Tab_Calculs[[#This Row],[Début mois]])</f>
        <v>#VALUE!</v>
      </c>
      <c r="L1054" s="94">
        <f ca="1">INDEX(INDIRECT(CONCATENATE("Tab_",Tab_Calculs[[#This Row],[Colonne1]])),Tab_Calculs[[#This Row],[index_date_livraison]],6)*(1+MIN(Tab_Calculs[[#This Row],[Date_livraison]],Tab_Calculs[[#This Row],[fin mois]])-MAX(Tab_Calculs[[#This Row],[Début mois]],Tab_Calculs[[#This Row],[Début periode livraison]]))</f>
        <v>0</v>
      </c>
      <c r="M1054" s="94" t="e">
        <f ca="1">INDEX(INDIRECT(CONCATENATE("Tab_",Tab_Calculs[[#This Row],[Colonne1]])),Tab_Calculs[[#This Row],[index_date_livraison]]+1,6)*(Tab_Calculs[[#This Row],[fin mois]]-MIN(Tab_Calculs[[#This Row],[fin mois]],Tab_Calculs[[#This Row],[Date_livraison]]))</f>
        <v>#VALUE!</v>
      </c>
      <c r="N1054" s="231" t="str">
        <f ca="1">IFERROR(Tab_Calculs[[#This Row],[Ratio_jour_après_livr]]+Tab_Calculs[[#This Row],[Ratio_jour_avant_livr]]+Tab_Calculs[[#This Row],[ratio_avant_debut]],"")</f>
        <v/>
      </c>
      <c r="O1054" t="e">
        <f ca="1">INDEX(INDIRECT(CONCATENATE("Tab_",Tab_Calculs[[#This Row],[Colonne1]])),Tab_Calculs[[#This Row],[index_date_livraison]]-1,7)*(MAX(Tab_Calculs[[#This Row],[Début periode livraison]],Tab_Calculs[[#This Row],[Début mois]])-Tab_Calculs[[#This Row],[Début mois]])</f>
        <v>#VALUE!</v>
      </c>
      <c r="P1054">
        <f ca="1">INDEX(INDIRECT(CONCATENATE("Tab_",Tab_Calculs[[#This Row],[Colonne1]])),Tab_Calculs[[#This Row],[index_date_livraison]],7)*(1+MIN(Tab_Calculs[[#This Row],[Date_livraison]],Tab_Calculs[[#This Row],[fin mois]])-MAX(Tab_Calculs[[#This Row],[Début mois]],Tab_Calculs[[#This Row],[Début periode livraison]]))</f>
        <v>0</v>
      </c>
      <c r="Q1054" t="e">
        <f ca="1">INDEX(INDIRECT(CONCATENATE("Tab_",Tab_Calculs[[#This Row],[Colonne1]])),Tab_Calculs[[#This Row],[index_date_livraison]]+1,7)*(Tab_Calculs[[#This Row],[fin mois]]-MIN(Tab_Calculs[[#This Row],[fin mois]],Tab_Calculs[[#This Row],[Date_livraison]]))</f>
        <v>#VALUE!</v>
      </c>
      <c r="R1054" t="e">
        <f ca="1">Tab_Calculs[[#This Row],[Ratio_Cout_après_livr]]+Tab_Calculs[[#This Row],[Ratio_Cout_avant_livr]]+Tab_Calculs[[#This Row],[Ratio_Cout_avant_debut]]</f>
        <v>#VALUE!</v>
      </c>
      <c r="S1054" t="str">
        <f ca="1">IFERROR(N1054*VLOOKUP(Tab_Calculs[[#This Row],[Colonne1]],Controle_des_données!$B$7:$G$14,6,FALSE),"")</f>
        <v/>
      </c>
      <c r="T1054" t="str">
        <f ca="1">IF(Tab_Calculs[[#This Row],[Combustible ]]="Electricité (kWh)",Tab_Calculs[[#This Row],[Conso_mois_kWh]]*2.3,Tab_Calculs[[#This Row],[Conso_mois_kWh]])</f>
        <v/>
      </c>
      <c r="U1054" t="str">
        <f ca="1">IFERROR(N1054*VLOOKUP(Tab_Calculs[[#This Row],[Colonne1]],Controle_des_données!$B$7:$H$14,7,FALSE),"")</f>
        <v/>
      </c>
      <c r="V1054">
        <f ca="1">IFERROR(Tab_Calculs[[#This Row],[Cout_mois]]/Tab_Calculs[[#This Row],[Conso_mois_kWh]],0)</f>
        <v>0</v>
      </c>
      <c r="W1054" t="str">
        <f>T(VLOOKUP(Tab_Calculs[[#This Row],[Compteur]],Site!$B$33:$G$40,3,FALSE))</f>
        <v/>
      </c>
      <c r="X1054" t="str">
        <f>T(VLOOKUP(Tab_Calculs[[#This Row],[Compteur]],Site!$B$33:$G$40,4,FALSE))</f>
        <v/>
      </c>
      <c r="Y1054" t="str">
        <f>T(VLOOKUP(Tab_Calculs[[#This Row],[Compteur]],Site!$B$33:$G$40,5,FALSE))</f>
        <v/>
      </c>
      <c r="Z1054" t="str">
        <f>T(VLOOKUP(Tab_Calculs[[#This Row],[Compteur]],Site!$B$33:$G$40,6,FALSE))</f>
        <v/>
      </c>
      <c r="AA1054">
        <f>IFERROR(GETPIVOTDATA("DJU(chauffagiste)",BDD_DJU!$P$13,"annee",Tab_Calculs[[#This Row],[ANNEE]],"mois_numero",Tab_Calculs[[#This Row],[MOIS]]),0)</f>
        <v>287.8</v>
      </c>
    </row>
    <row r="1055" spans="1:27" x14ac:dyDescent="0.25">
      <c r="A1055" s="3">
        <f>DATE(Tab_Calculs[[#This Row],[ANNEE]],Tab_Calculs[[#This Row],[MOIS]],1)</f>
        <v>42795</v>
      </c>
      <c r="B1055" s="3">
        <f>EDATE(Tab_Calculs[[#This Row],[Début mois]],1)-1</f>
        <v>42825</v>
      </c>
      <c r="C1055">
        <f t="shared" si="36"/>
        <v>3</v>
      </c>
      <c r="D1055">
        <f t="shared" si="35"/>
        <v>2017</v>
      </c>
      <c r="E1055" t="s">
        <v>85</v>
      </c>
      <c r="F1055" t="str">
        <f>SUBSTITUTE(Tab_Calculs[[#This Row],[Compteur]]," ","_")</f>
        <v>Compteur_6</v>
      </c>
      <c r="G1055" t="str">
        <f>T(INDEX(Site!$B$33:$G$40, MATCH(Tab_Calculs[[#This Row],[Compteur]], Site!$B$33:$B$40,0),2))</f>
        <v/>
      </c>
      <c r="H1055" s="3">
        <f t="array" aca="1" ref="H1055" ca="1">MIN(IF(INDIRECT(CONCATENATE(Tab_Calculs[[#This Row],[Colonne1]],"!$B$2:$B$243"))&gt;=Calculs_Consos!$A1055,INDIRECT(CONCATENATE(Tab_Calculs[[#This Row],[Colonne1]],"!$B$2:$B$243"))))</f>
        <v>0</v>
      </c>
      <c r="I1055" s="3">
        <f ca="1">INDEX(INDIRECT(CONCATENATE("Tab_",Tab_Calculs[[#This Row],[Colonne1]])),Tab_Calculs[[#This Row],[index_date_livraison]],1)</f>
        <v>0</v>
      </c>
      <c r="J1055">
        <f ca="1">MATCH(Tab_Calculs[[#This Row],[Date_livraison]],INDIRECT(CONCATENATE("Tab_",Tab_Calculs[[#This Row],[Colonne1]],"[Fin de période]")),0)</f>
        <v>1</v>
      </c>
      <c r="K1055" t="e">
        <f ca="1">INDEX(INDIRECT(CONCATENATE("Tab_",Tab_Calculs[[#This Row],[Colonne1]])),Tab_Calculs[[#This Row],[index_date_livraison]]-1,6)*(MAX(Tab_Calculs[[#This Row],[Début periode livraison]],Tab_Calculs[[#This Row],[Début mois]])-Tab_Calculs[[#This Row],[Début mois]])</f>
        <v>#VALUE!</v>
      </c>
      <c r="L1055" s="94">
        <f ca="1">INDEX(INDIRECT(CONCATENATE("Tab_",Tab_Calculs[[#This Row],[Colonne1]])),Tab_Calculs[[#This Row],[index_date_livraison]],6)*(1+MIN(Tab_Calculs[[#This Row],[Date_livraison]],Tab_Calculs[[#This Row],[fin mois]])-MAX(Tab_Calculs[[#This Row],[Début mois]],Tab_Calculs[[#This Row],[Début periode livraison]]))</f>
        <v>0</v>
      </c>
      <c r="M1055" s="94" t="e">
        <f ca="1">INDEX(INDIRECT(CONCATENATE("Tab_",Tab_Calculs[[#This Row],[Colonne1]])),Tab_Calculs[[#This Row],[index_date_livraison]]+1,6)*(Tab_Calculs[[#This Row],[fin mois]]-MIN(Tab_Calculs[[#This Row],[fin mois]],Tab_Calculs[[#This Row],[Date_livraison]]))</f>
        <v>#VALUE!</v>
      </c>
      <c r="N1055" s="231" t="str">
        <f ca="1">IFERROR(Tab_Calculs[[#This Row],[Ratio_jour_après_livr]]+Tab_Calculs[[#This Row],[Ratio_jour_avant_livr]]+Tab_Calculs[[#This Row],[ratio_avant_debut]],"")</f>
        <v/>
      </c>
      <c r="O1055" t="e">
        <f ca="1">INDEX(INDIRECT(CONCATENATE("Tab_",Tab_Calculs[[#This Row],[Colonne1]])),Tab_Calculs[[#This Row],[index_date_livraison]]-1,7)*(MAX(Tab_Calculs[[#This Row],[Début periode livraison]],Tab_Calculs[[#This Row],[Début mois]])-Tab_Calculs[[#This Row],[Début mois]])</f>
        <v>#VALUE!</v>
      </c>
      <c r="P1055">
        <f ca="1">INDEX(INDIRECT(CONCATENATE("Tab_",Tab_Calculs[[#This Row],[Colonne1]])),Tab_Calculs[[#This Row],[index_date_livraison]],7)*(1+MIN(Tab_Calculs[[#This Row],[Date_livraison]],Tab_Calculs[[#This Row],[fin mois]])-MAX(Tab_Calculs[[#This Row],[Début mois]],Tab_Calculs[[#This Row],[Début periode livraison]]))</f>
        <v>0</v>
      </c>
      <c r="Q1055" t="e">
        <f ca="1">INDEX(INDIRECT(CONCATENATE("Tab_",Tab_Calculs[[#This Row],[Colonne1]])),Tab_Calculs[[#This Row],[index_date_livraison]]+1,7)*(Tab_Calculs[[#This Row],[fin mois]]-MIN(Tab_Calculs[[#This Row],[fin mois]],Tab_Calculs[[#This Row],[Date_livraison]]))</f>
        <v>#VALUE!</v>
      </c>
      <c r="R1055" t="e">
        <f ca="1">Tab_Calculs[[#This Row],[Ratio_Cout_après_livr]]+Tab_Calculs[[#This Row],[Ratio_Cout_avant_livr]]+Tab_Calculs[[#This Row],[Ratio_Cout_avant_debut]]</f>
        <v>#VALUE!</v>
      </c>
      <c r="S1055" t="str">
        <f ca="1">IFERROR(N1055*VLOOKUP(Tab_Calculs[[#This Row],[Colonne1]],Controle_des_données!$B$7:$G$14,6,FALSE),"")</f>
        <v/>
      </c>
      <c r="T1055" t="str">
        <f ca="1">IF(Tab_Calculs[[#This Row],[Combustible ]]="Electricité (kWh)",Tab_Calculs[[#This Row],[Conso_mois_kWh]]*2.3,Tab_Calculs[[#This Row],[Conso_mois_kWh]])</f>
        <v/>
      </c>
      <c r="U1055" t="str">
        <f ca="1">IFERROR(N1055*VLOOKUP(Tab_Calculs[[#This Row],[Colonne1]],Controle_des_données!$B$7:$H$14,7,FALSE),"")</f>
        <v/>
      </c>
      <c r="V1055">
        <f ca="1">IFERROR(Tab_Calculs[[#This Row],[Cout_mois]]/Tab_Calculs[[#This Row],[Conso_mois_kWh]],0)</f>
        <v>0</v>
      </c>
      <c r="W1055" t="str">
        <f>T(VLOOKUP(Tab_Calculs[[#This Row],[Compteur]],Site!$B$33:$G$40,3,FALSE))</f>
        <v/>
      </c>
      <c r="X1055" t="str">
        <f>T(VLOOKUP(Tab_Calculs[[#This Row],[Compteur]],Site!$B$33:$G$40,4,FALSE))</f>
        <v/>
      </c>
      <c r="Y1055" t="str">
        <f>T(VLOOKUP(Tab_Calculs[[#This Row],[Compteur]],Site!$B$33:$G$40,5,FALSE))</f>
        <v/>
      </c>
      <c r="Z1055" t="str">
        <f>T(VLOOKUP(Tab_Calculs[[#This Row],[Compteur]],Site!$B$33:$G$40,6,FALSE))</f>
        <v/>
      </c>
      <c r="AA1055">
        <f>IFERROR(GETPIVOTDATA("DJU(chauffagiste)",BDD_DJU!$P$13,"annee",Tab_Calculs[[#This Row],[ANNEE]],"mois_numero",Tab_Calculs[[#This Row],[MOIS]]),0)</f>
        <v>226.3</v>
      </c>
    </row>
    <row r="1056" spans="1:27" x14ac:dyDescent="0.25">
      <c r="A1056" s="3">
        <f>DATE(Tab_Calculs[[#This Row],[ANNEE]],Tab_Calculs[[#This Row],[MOIS]],1)</f>
        <v>42826</v>
      </c>
      <c r="B1056" s="3">
        <f>EDATE(Tab_Calculs[[#This Row],[Début mois]],1)-1</f>
        <v>42855</v>
      </c>
      <c r="C1056">
        <f t="shared" si="36"/>
        <v>4</v>
      </c>
      <c r="D1056">
        <f t="shared" si="35"/>
        <v>2017</v>
      </c>
      <c r="E1056" t="s">
        <v>85</v>
      </c>
      <c r="F1056" t="str">
        <f>SUBSTITUTE(Tab_Calculs[[#This Row],[Compteur]]," ","_")</f>
        <v>Compteur_6</v>
      </c>
      <c r="G1056" t="str">
        <f>T(INDEX(Site!$B$33:$G$40, MATCH(Tab_Calculs[[#This Row],[Compteur]], Site!$B$33:$B$40,0),2))</f>
        <v/>
      </c>
      <c r="H1056" s="3">
        <f t="array" aca="1" ref="H1056" ca="1">MIN(IF(INDIRECT(CONCATENATE(Tab_Calculs[[#This Row],[Colonne1]],"!$B$2:$B$243"))&gt;=Calculs_Consos!$A1056,INDIRECT(CONCATENATE(Tab_Calculs[[#This Row],[Colonne1]],"!$B$2:$B$243"))))</f>
        <v>0</v>
      </c>
      <c r="I1056" s="3">
        <f ca="1">INDEX(INDIRECT(CONCATENATE("Tab_",Tab_Calculs[[#This Row],[Colonne1]])),Tab_Calculs[[#This Row],[index_date_livraison]],1)</f>
        <v>0</v>
      </c>
      <c r="J1056">
        <f ca="1">MATCH(Tab_Calculs[[#This Row],[Date_livraison]],INDIRECT(CONCATENATE("Tab_",Tab_Calculs[[#This Row],[Colonne1]],"[Fin de période]")),0)</f>
        <v>1</v>
      </c>
      <c r="K1056" t="e">
        <f ca="1">INDEX(INDIRECT(CONCATENATE("Tab_",Tab_Calculs[[#This Row],[Colonne1]])),Tab_Calculs[[#This Row],[index_date_livraison]]-1,6)*(MAX(Tab_Calculs[[#This Row],[Début periode livraison]],Tab_Calculs[[#This Row],[Début mois]])-Tab_Calculs[[#This Row],[Début mois]])</f>
        <v>#VALUE!</v>
      </c>
      <c r="L1056" s="94">
        <f ca="1">INDEX(INDIRECT(CONCATENATE("Tab_",Tab_Calculs[[#This Row],[Colonne1]])),Tab_Calculs[[#This Row],[index_date_livraison]],6)*(1+MIN(Tab_Calculs[[#This Row],[Date_livraison]],Tab_Calculs[[#This Row],[fin mois]])-MAX(Tab_Calculs[[#This Row],[Début mois]],Tab_Calculs[[#This Row],[Début periode livraison]]))</f>
        <v>0</v>
      </c>
      <c r="M1056" s="94" t="e">
        <f ca="1">INDEX(INDIRECT(CONCATENATE("Tab_",Tab_Calculs[[#This Row],[Colonne1]])),Tab_Calculs[[#This Row],[index_date_livraison]]+1,6)*(Tab_Calculs[[#This Row],[fin mois]]-MIN(Tab_Calculs[[#This Row],[fin mois]],Tab_Calculs[[#This Row],[Date_livraison]]))</f>
        <v>#VALUE!</v>
      </c>
      <c r="N1056" s="231" t="str">
        <f ca="1">IFERROR(Tab_Calculs[[#This Row],[Ratio_jour_après_livr]]+Tab_Calculs[[#This Row],[Ratio_jour_avant_livr]]+Tab_Calculs[[#This Row],[ratio_avant_debut]],"")</f>
        <v/>
      </c>
      <c r="O1056" t="e">
        <f ca="1">INDEX(INDIRECT(CONCATENATE("Tab_",Tab_Calculs[[#This Row],[Colonne1]])),Tab_Calculs[[#This Row],[index_date_livraison]]-1,7)*(MAX(Tab_Calculs[[#This Row],[Début periode livraison]],Tab_Calculs[[#This Row],[Début mois]])-Tab_Calculs[[#This Row],[Début mois]])</f>
        <v>#VALUE!</v>
      </c>
      <c r="P1056">
        <f ca="1">INDEX(INDIRECT(CONCATENATE("Tab_",Tab_Calculs[[#This Row],[Colonne1]])),Tab_Calculs[[#This Row],[index_date_livraison]],7)*(1+MIN(Tab_Calculs[[#This Row],[Date_livraison]],Tab_Calculs[[#This Row],[fin mois]])-MAX(Tab_Calculs[[#This Row],[Début mois]],Tab_Calculs[[#This Row],[Début periode livraison]]))</f>
        <v>0</v>
      </c>
      <c r="Q1056" t="e">
        <f ca="1">INDEX(INDIRECT(CONCATENATE("Tab_",Tab_Calculs[[#This Row],[Colonne1]])),Tab_Calculs[[#This Row],[index_date_livraison]]+1,7)*(Tab_Calculs[[#This Row],[fin mois]]-MIN(Tab_Calculs[[#This Row],[fin mois]],Tab_Calculs[[#This Row],[Date_livraison]]))</f>
        <v>#VALUE!</v>
      </c>
      <c r="R1056" t="e">
        <f ca="1">Tab_Calculs[[#This Row],[Ratio_Cout_après_livr]]+Tab_Calculs[[#This Row],[Ratio_Cout_avant_livr]]+Tab_Calculs[[#This Row],[Ratio_Cout_avant_debut]]</f>
        <v>#VALUE!</v>
      </c>
      <c r="S1056" t="str">
        <f ca="1">IFERROR(N1056*VLOOKUP(Tab_Calculs[[#This Row],[Colonne1]],Controle_des_données!$B$7:$G$14,6,FALSE),"")</f>
        <v/>
      </c>
      <c r="T1056" t="str">
        <f ca="1">IF(Tab_Calculs[[#This Row],[Combustible ]]="Electricité (kWh)",Tab_Calculs[[#This Row],[Conso_mois_kWh]]*2.3,Tab_Calculs[[#This Row],[Conso_mois_kWh]])</f>
        <v/>
      </c>
      <c r="U1056" t="str">
        <f ca="1">IFERROR(N1056*VLOOKUP(Tab_Calculs[[#This Row],[Colonne1]],Controle_des_données!$B$7:$H$14,7,FALSE),"")</f>
        <v/>
      </c>
      <c r="V1056">
        <f ca="1">IFERROR(Tab_Calculs[[#This Row],[Cout_mois]]/Tab_Calculs[[#This Row],[Conso_mois_kWh]],0)</f>
        <v>0</v>
      </c>
      <c r="W1056" t="str">
        <f>T(VLOOKUP(Tab_Calculs[[#This Row],[Compteur]],Site!$B$33:$G$40,3,FALSE))</f>
        <v/>
      </c>
      <c r="X1056" t="str">
        <f>T(VLOOKUP(Tab_Calculs[[#This Row],[Compteur]],Site!$B$33:$G$40,4,FALSE))</f>
        <v/>
      </c>
      <c r="Y1056" t="str">
        <f>T(VLOOKUP(Tab_Calculs[[#This Row],[Compteur]],Site!$B$33:$G$40,5,FALSE))</f>
        <v/>
      </c>
      <c r="Z1056" t="str">
        <f>T(VLOOKUP(Tab_Calculs[[#This Row],[Compteur]],Site!$B$33:$G$40,6,FALSE))</f>
        <v/>
      </c>
      <c r="AA1056">
        <f>IFERROR(GETPIVOTDATA("DJU(chauffagiste)",BDD_DJU!$P$13,"annee",Tab_Calculs[[#This Row],[ANNEE]],"mois_numero",Tab_Calculs[[#This Row],[MOIS]]),0)</f>
        <v>227.8</v>
      </c>
    </row>
    <row r="1057" spans="1:27" x14ac:dyDescent="0.25">
      <c r="A1057" s="3">
        <f>DATE(Tab_Calculs[[#This Row],[ANNEE]],Tab_Calculs[[#This Row],[MOIS]],1)</f>
        <v>42856</v>
      </c>
      <c r="B1057" s="3">
        <f>EDATE(Tab_Calculs[[#This Row],[Début mois]],1)-1</f>
        <v>42886</v>
      </c>
      <c r="C1057">
        <f t="shared" si="36"/>
        <v>5</v>
      </c>
      <c r="D1057">
        <f t="shared" si="35"/>
        <v>2017</v>
      </c>
      <c r="E1057" t="s">
        <v>85</v>
      </c>
      <c r="F1057" t="str">
        <f>SUBSTITUTE(Tab_Calculs[[#This Row],[Compteur]]," ","_")</f>
        <v>Compteur_6</v>
      </c>
      <c r="G1057" t="str">
        <f>T(INDEX(Site!$B$33:$G$40, MATCH(Tab_Calculs[[#This Row],[Compteur]], Site!$B$33:$B$40,0),2))</f>
        <v/>
      </c>
      <c r="H1057" s="3">
        <f t="array" aca="1" ref="H1057" ca="1">MIN(IF(INDIRECT(CONCATENATE(Tab_Calculs[[#This Row],[Colonne1]],"!$B$2:$B$243"))&gt;=Calculs_Consos!$A1057,INDIRECT(CONCATENATE(Tab_Calculs[[#This Row],[Colonne1]],"!$B$2:$B$243"))))</f>
        <v>0</v>
      </c>
      <c r="I1057" s="3">
        <f ca="1">INDEX(INDIRECT(CONCATENATE("Tab_",Tab_Calculs[[#This Row],[Colonne1]])),Tab_Calculs[[#This Row],[index_date_livraison]],1)</f>
        <v>0</v>
      </c>
      <c r="J1057">
        <f ca="1">MATCH(Tab_Calculs[[#This Row],[Date_livraison]],INDIRECT(CONCATENATE("Tab_",Tab_Calculs[[#This Row],[Colonne1]],"[Fin de période]")),0)</f>
        <v>1</v>
      </c>
      <c r="K1057" t="e">
        <f ca="1">INDEX(INDIRECT(CONCATENATE("Tab_",Tab_Calculs[[#This Row],[Colonne1]])),Tab_Calculs[[#This Row],[index_date_livraison]]-1,6)*(MAX(Tab_Calculs[[#This Row],[Début periode livraison]],Tab_Calculs[[#This Row],[Début mois]])-Tab_Calculs[[#This Row],[Début mois]])</f>
        <v>#VALUE!</v>
      </c>
      <c r="L1057" s="94">
        <f ca="1">INDEX(INDIRECT(CONCATENATE("Tab_",Tab_Calculs[[#This Row],[Colonne1]])),Tab_Calculs[[#This Row],[index_date_livraison]],6)*(1+MIN(Tab_Calculs[[#This Row],[Date_livraison]],Tab_Calculs[[#This Row],[fin mois]])-MAX(Tab_Calculs[[#This Row],[Début mois]],Tab_Calculs[[#This Row],[Début periode livraison]]))</f>
        <v>0</v>
      </c>
      <c r="M1057" s="94" t="e">
        <f ca="1">INDEX(INDIRECT(CONCATENATE("Tab_",Tab_Calculs[[#This Row],[Colonne1]])),Tab_Calculs[[#This Row],[index_date_livraison]]+1,6)*(Tab_Calculs[[#This Row],[fin mois]]-MIN(Tab_Calculs[[#This Row],[fin mois]],Tab_Calculs[[#This Row],[Date_livraison]]))</f>
        <v>#VALUE!</v>
      </c>
      <c r="N1057" s="231" t="str">
        <f ca="1">IFERROR(Tab_Calculs[[#This Row],[Ratio_jour_après_livr]]+Tab_Calculs[[#This Row],[Ratio_jour_avant_livr]]+Tab_Calculs[[#This Row],[ratio_avant_debut]],"")</f>
        <v/>
      </c>
      <c r="O1057" t="e">
        <f ca="1">INDEX(INDIRECT(CONCATENATE("Tab_",Tab_Calculs[[#This Row],[Colonne1]])),Tab_Calculs[[#This Row],[index_date_livraison]]-1,7)*(MAX(Tab_Calculs[[#This Row],[Début periode livraison]],Tab_Calculs[[#This Row],[Début mois]])-Tab_Calculs[[#This Row],[Début mois]])</f>
        <v>#VALUE!</v>
      </c>
      <c r="P1057">
        <f ca="1">INDEX(INDIRECT(CONCATENATE("Tab_",Tab_Calculs[[#This Row],[Colonne1]])),Tab_Calculs[[#This Row],[index_date_livraison]],7)*(1+MIN(Tab_Calculs[[#This Row],[Date_livraison]],Tab_Calculs[[#This Row],[fin mois]])-MAX(Tab_Calculs[[#This Row],[Début mois]],Tab_Calculs[[#This Row],[Début periode livraison]]))</f>
        <v>0</v>
      </c>
      <c r="Q1057" t="e">
        <f ca="1">INDEX(INDIRECT(CONCATENATE("Tab_",Tab_Calculs[[#This Row],[Colonne1]])),Tab_Calculs[[#This Row],[index_date_livraison]]+1,7)*(Tab_Calculs[[#This Row],[fin mois]]-MIN(Tab_Calculs[[#This Row],[fin mois]],Tab_Calculs[[#This Row],[Date_livraison]]))</f>
        <v>#VALUE!</v>
      </c>
      <c r="R1057" t="e">
        <f ca="1">Tab_Calculs[[#This Row],[Ratio_Cout_après_livr]]+Tab_Calculs[[#This Row],[Ratio_Cout_avant_livr]]+Tab_Calculs[[#This Row],[Ratio_Cout_avant_debut]]</f>
        <v>#VALUE!</v>
      </c>
      <c r="S1057" t="str">
        <f ca="1">IFERROR(N1057*VLOOKUP(Tab_Calculs[[#This Row],[Colonne1]],Controle_des_données!$B$7:$G$14,6,FALSE),"")</f>
        <v/>
      </c>
      <c r="T1057" t="str">
        <f ca="1">IF(Tab_Calculs[[#This Row],[Combustible ]]="Electricité (kWh)",Tab_Calculs[[#This Row],[Conso_mois_kWh]]*2.3,Tab_Calculs[[#This Row],[Conso_mois_kWh]])</f>
        <v/>
      </c>
      <c r="U1057" t="str">
        <f ca="1">IFERROR(N1057*VLOOKUP(Tab_Calculs[[#This Row],[Colonne1]],Controle_des_données!$B$7:$H$14,7,FALSE),"")</f>
        <v/>
      </c>
      <c r="V1057">
        <f ca="1">IFERROR(Tab_Calculs[[#This Row],[Cout_mois]]/Tab_Calculs[[#This Row],[Conso_mois_kWh]],0)</f>
        <v>0</v>
      </c>
      <c r="W1057" t="str">
        <f>T(VLOOKUP(Tab_Calculs[[#This Row],[Compteur]],Site!$B$33:$G$40,3,FALSE))</f>
        <v/>
      </c>
      <c r="X1057" t="str">
        <f>T(VLOOKUP(Tab_Calculs[[#This Row],[Compteur]],Site!$B$33:$G$40,4,FALSE))</f>
        <v/>
      </c>
      <c r="Y1057" t="str">
        <f>T(VLOOKUP(Tab_Calculs[[#This Row],[Compteur]],Site!$B$33:$G$40,5,FALSE))</f>
        <v/>
      </c>
      <c r="Z1057" t="str">
        <f>T(VLOOKUP(Tab_Calculs[[#This Row],[Compteur]],Site!$B$33:$G$40,6,FALSE))</f>
        <v/>
      </c>
      <c r="AA1057">
        <f>IFERROR(GETPIVOTDATA("DJU(chauffagiste)",BDD_DJU!$P$13,"annee",Tab_Calculs[[#This Row],[ANNEE]],"mois_numero",Tab_Calculs[[#This Row],[MOIS]]),0)</f>
        <v>98</v>
      </c>
    </row>
    <row r="1058" spans="1:27" x14ac:dyDescent="0.25">
      <c r="A1058" s="3">
        <f>DATE(Tab_Calculs[[#This Row],[ANNEE]],Tab_Calculs[[#This Row],[MOIS]],1)</f>
        <v>42887</v>
      </c>
      <c r="B1058" s="3">
        <f>EDATE(Tab_Calculs[[#This Row],[Début mois]],1)-1</f>
        <v>42916</v>
      </c>
      <c r="C1058">
        <f t="shared" si="36"/>
        <v>6</v>
      </c>
      <c r="D1058">
        <f t="shared" si="35"/>
        <v>2017</v>
      </c>
      <c r="E1058" t="s">
        <v>85</v>
      </c>
      <c r="F1058" t="str">
        <f>SUBSTITUTE(Tab_Calculs[[#This Row],[Compteur]]," ","_")</f>
        <v>Compteur_6</v>
      </c>
      <c r="G1058" t="str">
        <f>T(INDEX(Site!$B$33:$G$40, MATCH(Tab_Calculs[[#This Row],[Compteur]], Site!$B$33:$B$40,0),2))</f>
        <v/>
      </c>
      <c r="H1058" s="3">
        <f t="array" aca="1" ref="H1058" ca="1">MIN(IF(INDIRECT(CONCATENATE(Tab_Calculs[[#This Row],[Colonne1]],"!$B$2:$B$243"))&gt;=Calculs_Consos!$A1058,INDIRECT(CONCATENATE(Tab_Calculs[[#This Row],[Colonne1]],"!$B$2:$B$243"))))</f>
        <v>0</v>
      </c>
      <c r="I1058" s="3">
        <f ca="1">INDEX(INDIRECT(CONCATENATE("Tab_",Tab_Calculs[[#This Row],[Colonne1]])),Tab_Calculs[[#This Row],[index_date_livraison]],1)</f>
        <v>0</v>
      </c>
      <c r="J1058">
        <f ca="1">MATCH(Tab_Calculs[[#This Row],[Date_livraison]],INDIRECT(CONCATENATE("Tab_",Tab_Calculs[[#This Row],[Colonne1]],"[Fin de période]")),0)</f>
        <v>1</v>
      </c>
      <c r="K1058" t="e">
        <f ca="1">INDEX(INDIRECT(CONCATENATE("Tab_",Tab_Calculs[[#This Row],[Colonne1]])),Tab_Calculs[[#This Row],[index_date_livraison]]-1,6)*(MAX(Tab_Calculs[[#This Row],[Début periode livraison]],Tab_Calculs[[#This Row],[Début mois]])-Tab_Calculs[[#This Row],[Début mois]])</f>
        <v>#VALUE!</v>
      </c>
      <c r="L1058" s="94">
        <f ca="1">INDEX(INDIRECT(CONCATENATE("Tab_",Tab_Calculs[[#This Row],[Colonne1]])),Tab_Calculs[[#This Row],[index_date_livraison]],6)*(1+MIN(Tab_Calculs[[#This Row],[Date_livraison]],Tab_Calculs[[#This Row],[fin mois]])-MAX(Tab_Calculs[[#This Row],[Début mois]],Tab_Calculs[[#This Row],[Début periode livraison]]))</f>
        <v>0</v>
      </c>
      <c r="M1058" s="94" t="e">
        <f ca="1">INDEX(INDIRECT(CONCATENATE("Tab_",Tab_Calculs[[#This Row],[Colonne1]])),Tab_Calculs[[#This Row],[index_date_livraison]]+1,6)*(Tab_Calculs[[#This Row],[fin mois]]-MIN(Tab_Calculs[[#This Row],[fin mois]],Tab_Calculs[[#This Row],[Date_livraison]]))</f>
        <v>#VALUE!</v>
      </c>
      <c r="N1058" s="231" t="str">
        <f ca="1">IFERROR(Tab_Calculs[[#This Row],[Ratio_jour_après_livr]]+Tab_Calculs[[#This Row],[Ratio_jour_avant_livr]]+Tab_Calculs[[#This Row],[ratio_avant_debut]],"")</f>
        <v/>
      </c>
      <c r="O1058" t="e">
        <f ca="1">INDEX(INDIRECT(CONCATENATE("Tab_",Tab_Calculs[[#This Row],[Colonne1]])),Tab_Calculs[[#This Row],[index_date_livraison]]-1,7)*(MAX(Tab_Calculs[[#This Row],[Début periode livraison]],Tab_Calculs[[#This Row],[Début mois]])-Tab_Calculs[[#This Row],[Début mois]])</f>
        <v>#VALUE!</v>
      </c>
      <c r="P1058">
        <f ca="1">INDEX(INDIRECT(CONCATENATE("Tab_",Tab_Calculs[[#This Row],[Colonne1]])),Tab_Calculs[[#This Row],[index_date_livraison]],7)*(1+MIN(Tab_Calculs[[#This Row],[Date_livraison]],Tab_Calculs[[#This Row],[fin mois]])-MAX(Tab_Calculs[[#This Row],[Début mois]],Tab_Calculs[[#This Row],[Début periode livraison]]))</f>
        <v>0</v>
      </c>
      <c r="Q1058" t="e">
        <f ca="1">INDEX(INDIRECT(CONCATENATE("Tab_",Tab_Calculs[[#This Row],[Colonne1]])),Tab_Calculs[[#This Row],[index_date_livraison]]+1,7)*(Tab_Calculs[[#This Row],[fin mois]]-MIN(Tab_Calculs[[#This Row],[fin mois]],Tab_Calculs[[#This Row],[Date_livraison]]))</f>
        <v>#VALUE!</v>
      </c>
      <c r="R1058" t="e">
        <f ca="1">Tab_Calculs[[#This Row],[Ratio_Cout_après_livr]]+Tab_Calculs[[#This Row],[Ratio_Cout_avant_livr]]+Tab_Calculs[[#This Row],[Ratio_Cout_avant_debut]]</f>
        <v>#VALUE!</v>
      </c>
      <c r="S1058" t="str">
        <f ca="1">IFERROR(N1058*VLOOKUP(Tab_Calculs[[#This Row],[Colonne1]],Controle_des_données!$B$7:$G$14,6,FALSE),"")</f>
        <v/>
      </c>
      <c r="T1058" t="str">
        <f ca="1">IF(Tab_Calculs[[#This Row],[Combustible ]]="Electricité (kWh)",Tab_Calculs[[#This Row],[Conso_mois_kWh]]*2.3,Tab_Calculs[[#This Row],[Conso_mois_kWh]])</f>
        <v/>
      </c>
      <c r="U1058" t="str">
        <f ca="1">IFERROR(N1058*VLOOKUP(Tab_Calculs[[#This Row],[Colonne1]],Controle_des_données!$B$7:$H$14,7,FALSE),"")</f>
        <v/>
      </c>
      <c r="V1058">
        <f ca="1">IFERROR(Tab_Calculs[[#This Row],[Cout_mois]]/Tab_Calculs[[#This Row],[Conso_mois_kWh]],0)</f>
        <v>0</v>
      </c>
      <c r="W1058" t="str">
        <f>T(VLOOKUP(Tab_Calculs[[#This Row],[Compteur]],Site!$B$33:$G$40,3,FALSE))</f>
        <v/>
      </c>
      <c r="X1058" t="str">
        <f>T(VLOOKUP(Tab_Calculs[[#This Row],[Compteur]],Site!$B$33:$G$40,4,FALSE))</f>
        <v/>
      </c>
      <c r="Y1058" t="str">
        <f>T(VLOOKUP(Tab_Calculs[[#This Row],[Compteur]],Site!$B$33:$G$40,5,FALSE))</f>
        <v/>
      </c>
      <c r="Z1058" t="str">
        <f>T(VLOOKUP(Tab_Calculs[[#This Row],[Compteur]],Site!$B$33:$G$40,6,FALSE))</f>
        <v/>
      </c>
      <c r="AA1058">
        <f>IFERROR(GETPIVOTDATA("DJU(chauffagiste)",BDD_DJU!$P$13,"annee",Tab_Calculs[[#This Row],[ANNEE]],"mois_numero",Tab_Calculs[[#This Row],[MOIS]]),0)</f>
        <v>30.9</v>
      </c>
    </row>
    <row r="1059" spans="1:27" x14ac:dyDescent="0.25">
      <c r="A1059" s="3">
        <f>DATE(Tab_Calculs[[#This Row],[ANNEE]],Tab_Calculs[[#This Row],[MOIS]],1)</f>
        <v>42917</v>
      </c>
      <c r="B1059" s="3">
        <f>EDATE(Tab_Calculs[[#This Row],[Début mois]],1)-1</f>
        <v>42947</v>
      </c>
      <c r="C1059">
        <f t="shared" si="36"/>
        <v>7</v>
      </c>
      <c r="D1059">
        <f t="shared" si="35"/>
        <v>2017</v>
      </c>
      <c r="E1059" t="s">
        <v>85</v>
      </c>
      <c r="F1059" t="str">
        <f>SUBSTITUTE(Tab_Calculs[[#This Row],[Compteur]]," ","_")</f>
        <v>Compteur_6</v>
      </c>
      <c r="G1059" t="str">
        <f>T(INDEX(Site!$B$33:$G$40, MATCH(Tab_Calculs[[#This Row],[Compteur]], Site!$B$33:$B$40,0),2))</f>
        <v/>
      </c>
      <c r="H1059" s="3">
        <f t="array" aca="1" ref="H1059" ca="1">MIN(IF(INDIRECT(CONCATENATE(Tab_Calculs[[#This Row],[Colonne1]],"!$B$2:$B$243"))&gt;=Calculs_Consos!$A1059,INDIRECT(CONCATENATE(Tab_Calculs[[#This Row],[Colonne1]],"!$B$2:$B$243"))))</f>
        <v>0</v>
      </c>
      <c r="I1059" s="3">
        <f ca="1">INDEX(INDIRECT(CONCATENATE("Tab_",Tab_Calculs[[#This Row],[Colonne1]])),Tab_Calculs[[#This Row],[index_date_livraison]],1)</f>
        <v>0</v>
      </c>
      <c r="J1059">
        <f ca="1">MATCH(Tab_Calculs[[#This Row],[Date_livraison]],INDIRECT(CONCATENATE("Tab_",Tab_Calculs[[#This Row],[Colonne1]],"[Fin de période]")),0)</f>
        <v>1</v>
      </c>
      <c r="K1059" t="e">
        <f ca="1">INDEX(INDIRECT(CONCATENATE("Tab_",Tab_Calculs[[#This Row],[Colonne1]])),Tab_Calculs[[#This Row],[index_date_livraison]]-1,6)*(MAX(Tab_Calculs[[#This Row],[Début periode livraison]],Tab_Calculs[[#This Row],[Début mois]])-Tab_Calculs[[#This Row],[Début mois]])</f>
        <v>#VALUE!</v>
      </c>
      <c r="L1059" s="94">
        <f ca="1">INDEX(INDIRECT(CONCATENATE("Tab_",Tab_Calculs[[#This Row],[Colonne1]])),Tab_Calculs[[#This Row],[index_date_livraison]],6)*(1+MIN(Tab_Calculs[[#This Row],[Date_livraison]],Tab_Calculs[[#This Row],[fin mois]])-MAX(Tab_Calculs[[#This Row],[Début mois]],Tab_Calculs[[#This Row],[Début periode livraison]]))</f>
        <v>0</v>
      </c>
      <c r="M1059" s="94" t="e">
        <f ca="1">INDEX(INDIRECT(CONCATENATE("Tab_",Tab_Calculs[[#This Row],[Colonne1]])),Tab_Calculs[[#This Row],[index_date_livraison]]+1,6)*(Tab_Calculs[[#This Row],[fin mois]]-MIN(Tab_Calculs[[#This Row],[fin mois]],Tab_Calculs[[#This Row],[Date_livraison]]))</f>
        <v>#VALUE!</v>
      </c>
      <c r="N1059" s="231" t="str">
        <f ca="1">IFERROR(Tab_Calculs[[#This Row],[Ratio_jour_après_livr]]+Tab_Calculs[[#This Row],[Ratio_jour_avant_livr]]+Tab_Calculs[[#This Row],[ratio_avant_debut]],"")</f>
        <v/>
      </c>
      <c r="O1059" t="e">
        <f ca="1">INDEX(INDIRECT(CONCATENATE("Tab_",Tab_Calculs[[#This Row],[Colonne1]])),Tab_Calculs[[#This Row],[index_date_livraison]]-1,7)*(MAX(Tab_Calculs[[#This Row],[Début periode livraison]],Tab_Calculs[[#This Row],[Début mois]])-Tab_Calculs[[#This Row],[Début mois]])</f>
        <v>#VALUE!</v>
      </c>
      <c r="P1059">
        <f ca="1">INDEX(INDIRECT(CONCATENATE("Tab_",Tab_Calculs[[#This Row],[Colonne1]])),Tab_Calculs[[#This Row],[index_date_livraison]],7)*(1+MIN(Tab_Calculs[[#This Row],[Date_livraison]],Tab_Calculs[[#This Row],[fin mois]])-MAX(Tab_Calculs[[#This Row],[Début mois]],Tab_Calculs[[#This Row],[Début periode livraison]]))</f>
        <v>0</v>
      </c>
      <c r="Q1059" t="e">
        <f ca="1">INDEX(INDIRECT(CONCATENATE("Tab_",Tab_Calculs[[#This Row],[Colonne1]])),Tab_Calculs[[#This Row],[index_date_livraison]]+1,7)*(Tab_Calculs[[#This Row],[fin mois]]-MIN(Tab_Calculs[[#This Row],[fin mois]],Tab_Calculs[[#This Row],[Date_livraison]]))</f>
        <v>#VALUE!</v>
      </c>
      <c r="R1059" t="e">
        <f ca="1">Tab_Calculs[[#This Row],[Ratio_Cout_après_livr]]+Tab_Calculs[[#This Row],[Ratio_Cout_avant_livr]]+Tab_Calculs[[#This Row],[Ratio_Cout_avant_debut]]</f>
        <v>#VALUE!</v>
      </c>
      <c r="S1059" t="str">
        <f ca="1">IFERROR(N1059*VLOOKUP(Tab_Calculs[[#This Row],[Colonne1]],Controle_des_données!$B$7:$G$14,6,FALSE),"")</f>
        <v/>
      </c>
      <c r="T1059" t="str">
        <f ca="1">IF(Tab_Calculs[[#This Row],[Combustible ]]="Electricité (kWh)",Tab_Calculs[[#This Row],[Conso_mois_kWh]]*2.3,Tab_Calculs[[#This Row],[Conso_mois_kWh]])</f>
        <v/>
      </c>
      <c r="U1059" t="str">
        <f ca="1">IFERROR(N1059*VLOOKUP(Tab_Calculs[[#This Row],[Colonne1]],Controle_des_données!$B$7:$H$14,7,FALSE),"")</f>
        <v/>
      </c>
      <c r="V1059">
        <f ca="1">IFERROR(Tab_Calculs[[#This Row],[Cout_mois]]/Tab_Calculs[[#This Row],[Conso_mois_kWh]],0)</f>
        <v>0</v>
      </c>
      <c r="W1059" t="str">
        <f>T(VLOOKUP(Tab_Calculs[[#This Row],[Compteur]],Site!$B$33:$G$40,3,FALSE))</f>
        <v/>
      </c>
      <c r="X1059" t="str">
        <f>T(VLOOKUP(Tab_Calculs[[#This Row],[Compteur]],Site!$B$33:$G$40,4,FALSE))</f>
        <v/>
      </c>
      <c r="Y1059" t="str">
        <f>T(VLOOKUP(Tab_Calculs[[#This Row],[Compteur]],Site!$B$33:$G$40,5,FALSE))</f>
        <v/>
      </c>
      <c r="Z1059" t="str">
        <f>T(VLOOKUP(Tab_Calculs[[#This Row],[Compteur]],Site!$B$33:$G$40,6,FALSE))</f>
        <v/>
      </c>
      <c r="AA1059">
        <f>IFERROR(GETPIVOTDATA("DJU(chauffagiste)",BDD_DJU!$P$13,"annee",Tab_Calculs[[#This Row],[ANNEE]],"mois_numero",Tab_Calculs[[#This Row],[MOIS]]),0)</f>
        <v>23.6</v>
      </c>
    </row>
    <row r="1060" spans="1:27" x14ac:dyDescent="0.25">
      <c r="A1060" s="3">
        <f>DATE(Tab_Calculs[[#This Row],[ANNEE]],Tab_Calculs[[#This Row],[MOIS]],1)</f>
        <v>42948</v>
      </c>
      <c r="B1060" s="3">
        <f>EDATE(Tab_Calculs[[#This Row],[Début mois]],1)-1</f>
        <v>42978</v>
      </c>
      <c r="C1060">
        <f t="shared" si="36"/>
        <v>8</v>
      </c>
      <c r="D1060">
        <f t="shared" si="35"/>
        <v>2017</v>
      </c>
      <c r="E1060" t="s">
        <v>85</v>
      </c>
      <c r="F1060" t="str">
        <f>SUBSTITUTE(Tab_Calculs[[#This Row],[Compteur]]," ","_")</f>
        <v>Compteur_6</v>
      </c>
      <c r="G1060" t="str">
        <f>T(INDEX(Site!$B$33:$G$40, MATCH(Tab_Calculs[[#This Row],[Compteur]], Site!$B$33:$B$40,0),2))</f>
        <v/>
      </c>
      <c r="H1060" s="3">
        <f t="array" aca="1" ref="H1060" ca="1">MIN(IF(INDIRECT(CONCATENATE(Tab_Calculs[[#This Row],[Colonne1]],"!$B$2:$B$243"))&gt;=Calculs_Consos!$A1060,INDIRECT(CONCATENATE(Tab_Calculs[[#This Row],[Colonne1]],"!$B$2:$B$243"))))</f>
        <v>0</v>
      </c>
      <c r="I1060" s="3">
        <f ca="1">INDEX(INDIRECT(CONCATENATE("Tab_",Tab_Calculs[[#This Row],[Colonne1]])),Tab_Calculs[[#This Row],[index_date_livraison]],1)</f>
        <v>0</v>
      </c>
      <c r="J1060">
        <f ca="1">MATCH(Tab_Calculs[[#This Row],[Date_livraison]],INDIRECT(CONCATENATE("Tab_",Tab_Calculs[[#This Row],[Colonne1]],"[Fin de période]")),0)</f>
        <v>1</v>
      </c>
      <c r="K1060" t="e">
        <f ca="1">INDEX(INDIRECT(CONCATENATE("Tab_",Tab_Calculs[[#This Row],[Colonne1]])),Tab_Calculs[[#This Row],[index_date_livraison]]-1,6)*(MAX(Tab_Calculs[[#This Row],[Début periode livraison]],Tab_Calculs[[#This Row],[Début mois]])-Tab_Calculs[[#This Row],[Début mois]])</f>
        <v>#VALUE!</v>
      </c>
      <c r="L1060" s="94">
        <f ca="1">INDEX(INDIRECT(CONCATENATE("Tab_",Tab_Calculs[[#This Row],[Colonne1]])),Tab_Calculs[[#This Row],[index_date_livraison]],6)*(1+MIN(Tab_Calculs[[#This Row],[Date_livraison]],Tab_Calculs[[#This Row],[fin mois]])-MAX(Tab_Calculs[[#This Row],[Début mois]],Tab_Calculs[[#This Row],[Début periode livraison]]))</f>
        <v>0</v>
      </c>
      <c r="M1060" s="94" t="e">
        <f ca="1">INDEX(INDIRECT(CONCATENATE("Tab_",Tab_Calculs[[#This Row],[Colonne1]])),Tab_Calculs[[#This Row],[index_date_livraison]]+1,6)*(Tab_Calculs[[#This Row],[fin mois]]-MIN(Tab_Calculs[[#This Row],[fin mois]],Tab_Calculs[[#This Row],[Date_livraison]]))</f>
        <v>#VALUE!</v>
      </c>
      <c r="N1060" s="231" t="str">
        <f ca="1">IFERROR(Tab_Calculs[[#This Row],[Ratio_jour_après_livr]]+Tab_Calculs[[#This Row],[Ratio_jour_avant_livr]]+Tab_Calculs[[#This Row],[ratio_avant_debut]],"")</f>
        <v/>
      </c>
      <c r="O1060" t="e">
        <f ca="1">INDEX(INDIRECT(CONCATENATE("Tab_",Tab_Calculs[[#This Row],[Colonne1]])),Tab_Calculs[[#This Row],[index_date_livraison]]-1,7)*(MAX(Tab_Calculs[[#This Row],[Début periode livraison]],Tab_Calculs[[#This Row],[Début mois]])-Tab_Calculs[[#This Row],[Début mois]])</f>
        <v>#VALUE!</v>
      </c>
      <c r="P1060">
        <f ca="1">INDEX(INDIRECT(CONCATENATE("Tab_",Tab_Calculs[[#This Row],[Colonne1]])),Tab_Calculs[[#This Row],[index_date_livraison]],7)*(1+MIN(Tab_Calculs[[#This Row],[Date_livraison]],Tab_Calculs[[#This Row],[fin mois]])-MAX(Tab_Calculs[[#This Row],[Début mois]],Tab_Calculs[[#This Row],[Début periode livraison]]))</f>
        <v>0</v>
      </c>
      <c r="Q1060" t="e">
        <f ca="1">INDEX(INDIRECT(CONCATENATE("Tab_",Tab_Calculs[[#This Row],[Colonne1]])),Tab_Calculs[[#This Row],[index_date_livraison]]+1,7)*(Tab_Calculs[[#This Row],[fin mois]]-MIN(Tab_Calculs[[#This Row],[fin mois]],Tab_Calculs[[#This Row],[Date_livraison]]))</f>
        <v>#VALUE!</v>
      </c>
      <c r="R1060" t="e">
        <f ca="1">Tab_Calculs[[#This Row],[Ratio_Cout_après_livr]]+Tab_Calculs[[#This Row],[Ratio_Cout_avant_livr]]+Tab_Calculs[[#This Row],[Ratio_Cout_avant_debut]]</f>
        <v>#VALUE!</v>
      </c>
      <c r="S1060" t="str">
        <f ca="1">IFERROR(N1060*VLOOKUP(Tab_Calculs[[#This Row],[Colonne1]],Controle_des_données!$B$7:$G$14,6,FALSE),"")</f>
        <v/>
      </c>
      <c r="T1060" t="str">
        <f ca="1">IF(Tab_Calculs[[#This Row],[Combustible ]]="Electricité (kWh)",Tab_Calculs[[#This Row],[Conso_mois_kWh]]*2.3,Tab_Calculs[[#This Row],[Conso_mois_kWh]])</f>
        <v/>
      </c>
      <c r="U1060" t="str">
        <f ca="1">IFERROR(N1060*VLOOKUP(Tab_Calculs[[#This Row],[Colonne1]],Controle_des_données!$B$7:$H$14,7,FALSE),"")</f>
        <v/>
      </c>
      <c r="V1060">
        <f ca="1">IFERROR(Tab_Calculs[[#This Row],[Cout_mois]]/Tab_Calculs[[#This Row],[Conso_mois_kWh]],0)</f>
        <v>0</v>
      </c>
      <c r="W1060" t="str">
        <f>T(VLOOKUP(Tab_Calculs[[#This Row],[Compteur]],Site!$B$33:$G$40,3,FALSE))</f>
        <v/>
      </c>
      <c r="X1060" t="str">
        <f>T(VLOOKUP(Tab_Calculs[[#This Row],[Compteur]],Site!$B$33:$G$40,4,FALSE))</f>
        <v/>
      </c>
      <c r="Y1060" t="str">
        <f>T(VLOOKUP(Tab_Calculs[[#This Row],[Compteur]],Site!$B$33:$G$40,5,FALSE))</f>
        <v/>
      </c>
      <c r="Z1060" t="str">
        <f>T(VLOOKUP(Tab_Calculs[[#This Row],[Compteur]],Site!$B$33:$G$40,6,FALSE))</f>
        <v/>
      </c>
      <c r="AA1060">
        <f>IFERROR(GETPIVOTDATA("DJU(chauffagiste)",BDD_DJU!$P$13,"annee",Tab_Calculs[[#This Row],[ANNEE]],"mois_numero",Tab_Calculs[[#This Row],[MOIS]]),0)</f>
        <v>32.200000000000003</v>
      </c>
    </row>
    <row r="1061" spans="1:27" x14ac:dyDescent="0.25">
      <c r="A1061" s="3">
        <f>DATE(Tab_Calculs[[#This Row],[ANNEE]],Tab_Calculs[[#This Row],[MOIS]],1)</f>
        <v>42979</v>
      </c>
      <c r="B1061" s="3">
        <f>EDATE(Tab_Calculs[[#This Row],[Début mois]],1)-1</f>
        <v>43008</v>
      </c>
      <c r="C1061">
        <f t="shared" si="36"/>
        <v>9</v>
      </c>
      <c r="D1061">
        <f t="shared" si="35"/>
        <v>2017</v>
      </c>
      <c r="E1061" t="s">
        <v>85</v>
      </c>
      <c r="F1061" t="str">
        <f>SUBSTITUTE(Tab_Calculs[[#This Row],[Compteur]]," ","_")</f>
        <v>Compteur_6</v>
      </c>
      <c r="G1061" t="str">
        <f>T(INDEX(Site!$B$33:$G$40, MATCH(Tab_Calculs[[#This Row],[Compteur]], Site!$B$33:$B$40,0),2))</f>
        <v/>
      </c>
      <c r="H1061" s="3">
        <f t="array" aca="1" ref="H1061" ca="1">MIN(IF(INDIRECT(CONCATENATE(Tab_Calculs[[#This Row],[Colonne1]],"!$B$2:$B$243"))&gt;=Calculs_Consos!$A1061,INDIRECT(CONCATENATE(Tab_Calculs[[#This Row],[Colonne1]],"!$B$2:$B$243"))))</f>
        <v>0</v>
      </c>
      <c r="I1061" s="3">
        <f ca="1">INDEX(INDIRECT(CONCATENATE("Tab_",Tab_Calculs[[#This Row],[Colonne1]])),Tab_Calculs[[#This Row],[index_date_livraison]],1)</f>
        <v>0</v>
      </c>
      <c r="J1061">
        <f ca="1">MATCH(Tab_Calculs[[#This Row],[Date_livraison]],INDIRECT(CONCATENATE("Tab_",Tab_Calculs[[#This Row],[Colonne1]],"[Fin de période]")),0)</f>
        <v>1</v>
      </c>
      <c r="K1061" t="e">
        <f ca="1">INDEX(INDIRECT(CONCATENATE("Tab_",Tab_Calculs[[#This Row],[Colonne1]])),Tab_Calculs[[#This Row],[index_date_livraison]]-1,6)*(MAX(Tab_Calculs[[#This Row],[Début periode livraison]],Tab_Calculs[[#This Row],[Début mois]])-Tab_Calculs[[#This Row],[Début mois]])</f>
        <v>#VALUE!</v>
      </c>
      <c r="L1061" s="94">
        <f ca="1">INDEX(INDIRECT(CONCATENATE("Tab_",Tab_Calculs[[#This Row],[Colonne1]])),Tab_Calculs[[#This Row],[index_date_livraison]],6)*(1+MIN(Tab_Calculs[[#This Row],[Date_livraison]],Tab_Calculs[[#This Row],[fin mois]])-MAX(Tab_Calculs[[#This Row],[Début mois]],Tab_Calculs[[#This Row],[Début periode livraison]]))</f>
        <v>0</v>
      </c>
      <c r="M1061" s="94" t="e">
        <f ca="1">INDEX(INDIRECT(CONCATENATE("Tab_",Tab_Calculs[[#This Row],[Colonne1]])),Tab_Calculs[[#This Row],[index_date_livraison]]+1,6)*(Tab_Calculs[[#This Row],[fin mois]]-MIN(Tab_Calculs[[#This Row],[fin mois]],Tab_Calculs[[#This Row],[Date_livraison]]))</f>
        <v>#VALUE!</v>
      </c>
      <c r="N1061" s="231" t="str">
        <f ca="1">IFERROR(Tab_Calculs[[#This Row],[Ratio_jour_après_livr]]+Tab_Calculs[[#This Row],[Ratio_jour_avant_livr]]+Tab_Calculs[[#This Row],[ratio_avant_debut]],"")</f>
        <v/>
      </c>
      <c r="O1061" t="e">
        <f ca="1">INDEX(INDIRECT(CONCATENATE("Tab_",Tab_Calculs[[#This Row],[Colonne1]])),Tab_Calculs[[#This Row],[index_date_livraison]]-1,7)*(MAX(Tab_Calculs[[#This Row],[Début periode livraison]],Tab_Calculs[[#This Row],[Début mois]])-Tab_Calculs[[#This Row],[Début mois]])</f>
        <v>#VALUE!</v>
      </c>
      <c r="P1061">
        <f ca="1">INDEX(INDIRECT(CONCATENATE("Tab_",Tab_Calculs[[#This Row],[Colonne1]])),Tab_Calculs[[#This Row],[index_date_livraison]],7)*(1+MIN(Tab_Calculs[[#This Row],[Date_livraison]],Tab_Calculs[[#This Row],[fin mois]])-MAX(Tab_Calculs[[#This Row],[Début mois]],Tab_Calculs[[#This Row],[Début periode livraison]]))</f>
        <v>0</v>
      </c>
      <c r="Q1061" t="e">
        <f ca="1">INDEX(INDIRECT(CONCATENATE("Tab_",Tab_Calculs[[#This Row],[Colonne1]])),Tab_Calculs[[#This Row],[index_date_livraison]]+1,7)*(Tab_Calculs[[#This Row],[fin mois]]-MIN(Tab_Calculs[[#This Row],[fin mois]],Tab_Calculs[[#This Row],[Date_livraison]]))</f>
        <v>#VALUE!</v>
      </c>
      <c r="R1061" t="e">
        <f ca="1">Tab_Calculs[[#This Row],[Ratio_Cout_après_livr]]+Tab_Calculs[[#This Row],[Ratio_Cout_avant_livr]]+Tab_Calculs[[#This Row],[Ratio_Cout_avant_debut]]</f>
        <v>#VALUE!</v>
      </c>
      <c r="S1061" t="str">
        <f ca="1">IFERROR(N1061*VLOOKUP(Tab_Calculs[[#This Row],[Colonne1]],Controle_des_données!$B$7:$G$14,6,FALSE),"")</f>
        <v/>
      </c>
      <c r="T1061" t="str">
        <f ca="1">IF(Tab_Calculs[[#This Row],[Combustible ]]="Electricité (kWh)",Tab_Calculs[[#This Row],[Conso_mois_kWh]]*2.3,Tab_Calculs[[#This Row],[Conso_mois_kWh]])</f>
        <v/>
      </c>
      <c r="U1061" t="str">
        <f ca="1">IFERROR(N1061*VLOOKUP(Tab_Calculs[[#This Row],[Colonne1]],Controle_des_données!$B$7:$H$14,7,FALSE),"")</f>
        <v/>
      </c>
      <c r="V1061">
        <f ca="1">IFERROR(Tab_Calculs[[#This Row],[Cout_mois]]/Tab_Calculs[[#This Row],[Conso_mois_kWh]],0)</f>
        <v>0</v>
      </c>
      <c r="W1061" t="str">
        <f>T(VLOOKUP(Tab_Calculs[[#This Row],[Compteur]],Site!$B$33:$G$40,3,FALSE))</f>
        <v/>
      </c>
      <c r="X1061" t="str">
        <f>T(VLOOKUP(Tab_Calculs[[#This Row],[Compteur]],Site!$B$33:$G$40,4,FALSE))</f>
        <v/>
      </c>
      <c r="Y1061" t="str">
        <f>T(VLOOKUP(Tab_Calculs[[#This Row],[Compteur]],Site!$B$33:$G$40,5,FALSE))</f>
        <v/>
      </c>
      <c r="Z1061" t="str">
        <f>T(VLOOKUP(Tab_Calculs[[#This Row],[Compteur]],Site!$B$33:$G$40,6,FALSE))</f>
        <v/>
      </c>
      <c r="AA1061">
        <f>IFERROR(GETPIVOTDATA("DJU(chauffagiste)",BDD_DJU!$P$13,"annee",Tab_Calculs[[#This Row],[ANNEE]],"mois_numero",Tab_Calculs[[#This Row],[MOIS]]),0)</f>
        <v>82.3</v>
      </c>
    </row>
    <row r="1062" spans="1:27" x14ac:dyDescent="0.25">
      <c r="A1062" s="3">
        <f>DATE(Tab_Calculs[[#This Row],[ANNEE]],Tab_Calculs[[#This Row],[MOIS]],1)</f>
        <v>43009</v>
      </c>
      <c r="B1062" s="3">
        <f>EDATE(Tab_Calculs[[#This Row],[Début mois]],1)-1</f>
        <v>43039</v>
      </c>
      <c r="C1062">
        <f t="shared" si="36"/>
        <v>10</v>
      </c>
      <c r="D1062">
        <f t="shared" si="35"/>
        <v>2017</v>
      </c>
      <c r="E1062" t="s">
        <v>85</v>
      </c>
      <c r="F1062" t="str">
        <f>SUBSTITUTE(Tab_Calculs[[#This Row],[Compteur]]," ","_")</f>
        <v>Compteur_6</v>
      </c>
      <c r="G1062" t="str">
        <f>T(INDEX(Site!$B$33:$G$40, MATCH(Tab_Calculs[[#This Row],[Compteur]], Site!$B$33:$B$40,0),2))</f>
        <v/>
      </c>
      <c r="H1062" s="3">
        <f t="array" aca="1" ref="H1062" ca="1">MIN(IF(INDIRECT(CONCATENATE(Tab_Calculs[[#This Row],[Colonne1]],"!$B$2:$B$243"))&gt;=Calculs_Consos!$A1062,INDIRECT(CONCATENATE(Tab_Calculs[[#This Row],[Colonne1]],"!$B$2:$B$243"))))</f>
        <v>0</v>
      </c>
      <c r="I1062" s="3">
        <f ca="1">INDEX(INDIRECT(CONCATENATE("Tab_",Tab_Calculs[[#This Row],[Colonne1]])),Tab_Calculs[[#This Row],[index_date_livraison]],1)</f>
        <v>0</v>
      </c>
      <c r="J1062">
        <f ca="1">MATCH(Tab_Calculs[[#This Row],[Date_livraison]],INDIRECT(CONCATENATE("Tab_",Tab_Calculs[[#This Row],[Colonne1]],"[Fin de période]")),0)</f>
        <v>1</v>
      </c>
      <c r="K1062" t="e">
        <f ca="1">INDEX(INDIRECT(CONCATENATE("Tab_",Tab_Calculs[[#This Row],[Colonne1]])),Tab_Calculs[[#This Row],[index_date_livraison]]-1,6)*(MAX(Tab_Calculs[[#This Row],[Début periode livraison]],Tab_Calculs[[#This Row],[Début mois]])-Tab_Calculs[[#This Row],[Début mois]])</f>
        <v>#VALUE!</v>
      </c>
      <c r="L1062" s="94">
        <f ca="1">INDEX(INDIRECT(CONCATENATE("Tab_",Tab_Calculs[[#This Row],[Colonne1]])),Tab_Calculs[[#This Row],[index_date_livraison]],6)*(1+MIN(Tab_Calculs[[#This Row],[Date_livraison]],Tab_Calculs[[#This Row],[fin mois]])-MAX(Tab_Calculs[[#This Row],[Début mois]],Tab_Calculs[[#This Row],[Début periode livraison]]))</f>
        <v>0</v>
      </c>
      <c r="M1062" s="94" t="e">
        <f ca="1">INDEX(INDIRECT(CONCATENATE("Tab_",Tab_Calculs[[#This Row],[Colonne1]])),Tab_Calculs[[#This Row],[index_date_livraison]]+1,6)*(Tab_Calculs[[#This Row],[fin mois]]-MIN(Tab_Calculs[[#This Row],[fin mois]],Tab_Calculs[[#This Row],[Date_livraison]]))</f>
        <v>#VALUE!</v>
      </c>
      <c r="N1062" s="231" t="str">
        <f ca="1">IFERROR(Tab_Calculs[[#This Row],[Ratio_jour_après_livr]]+Tab_Calculs[[#This Row],[Ratio_jour_avant_livr]]+Tab_Calculs[[#This Row],[ratio_avant_debut]],"")</f>
        <v/>
      </c>
      <c r="O1062" t="e">
        <f ca="1">INDEX(INDIRECT(CONCATENATE("Tab_",Tab_Calculs[[#This Row],[Colonne1]])),Tab_Calculs[[#This Row],[index_date_livraison]]-1,7)*(MAX(Tab_Calculs[[#This Row],[Début periode livraison]],Tab_Calculs[[#This Row],[Début mois]])-Tab_Calculs[[#This Row],[Début mois]])</f>
        <v>#VALUE!</v>
      </c>
      <c r="P1062">
        <f ca="1">INDEX(INDIRECT(CONCATENATE("Tab_",Tab_Calculs[[#This Row],[Colonne1]])),Tab_Calculs[[#This Row],[index_date_livraison]],7)*(1+MIN(Tab_Calculs[[#This Row],[Date_livraison]],Tab_Calculs[[#This Row],[fin mois]])-MAX(Tab_Calculs[[#This Row],[Début mois]],Tab_Calculs[[#This Row],[Début periode livraison]]))</f>
        <v>0</v>
      </c>
      <c r="Q1062" t="e">
        <f ca="1">INDEX(INDIRECT(CONCATENATE("Tab_",Tab_Calculs[[#This Row],[Colonne1]])),Tab_Calculs[[#This Row],[index_date_livraison]]+1,7)*(Tab_Calculs[[#This Row],[fin mois]]-MIN(Tab_Calculs[[#This Row],[fin mois]],Tab_Calculs[[#This Row],[Date_livraison]]))</f>
        <v>#VALUE!</v>
      </c>
      <c r="R1062" t="e">
        <f ca="1">Tab_Calculs[[#This Row],[Ratio_Cout_après_livr]]+Tab_Calculs[[#This Row],[Ratio_Cout_avant_livr]]+Tab_Calculs[[#This Row],[Ratio_Cout_avant_debut]]</f>
        <v>#VALUE!</v>
      </c>
      <c r="S1062" t="str">
        <f ca="1">IFERROR(N1062*VLOOKUP(Tab_Calculs[[#This Row],[Colonne1]],Controle_des_données!$B$7:$G$14,6,FALSE),"")</f>
        <v/>
      </c>
      <c r="T1062" t="str">
        <f ca="1">IF(Tab_Calculs[[#This Row],[Combustible ]]="Electricité (kWh)",Tab_Calculs[[#This Row],[Conso_mois_kWh]]*2.3,Tab_Calculs[[#This Row],[Conso_mois_kWh]])</f>
        <v/>
      </c>
      <c r="U1062" t="str">
        <f ca="1">IFERROR(N1062*VLOOKUP(Tab_Calculs[[#This Row],[Colonne1]],Controle_des_données!$B$7:$H$14,7,FALSE),"")</f>
        <v/>
      </c>
      <c r="V1062">
        <f ca="1">IFERROR(Tab_Calculs[[#This Row],[Cout_mois]]/Tab_Calculs[[#This Row],[Conso_mois_kWh]],0)</f>
        <v>0</v>
      </c>
      <c r="W1062" t="str">
        <f>T(VLOOKUP(Tab_Calculs[[#This Row],[Compteur]],Site!$B$33:$G$40,3,FALSE))</f>
        <v/>
      </c>
      <c r="X1062" t="str">
        <f>T(VLOOKUP(Tab_Calculs[[#This Row],[Compteur]],Site!$B$33:$G$40,4,FALSE))</f>
        <v/>
      </c>
      <c r="Y1062" t="str">
        <f>T(VLOOKUP(Tab_Calculs[[#This Row],[Compteur]],Site!$B$33:$G$40,5,FALSE))</f>
        <v/>
      </c>
      <c r="Z1062" t="str">
        <f>T(VLOOKUP(Tab_Calculs[[#This Row],[Compteur]],Site!$B$33:$G$40,6,FALSE))</f>
        <v/>
      </c>
      <c r="AA1062">
        <f>IFERROR(GETPIVOTDATA("DJU(chauffagiste)",BDD_DJU!$P$13,"annee",Tab_Calculs[[#This Row],[ANNEE]],"mois_numero",Tab_Calculs[[#This Row],[MOIS]]),0)</f>
        <v>126.4</v>
      </c>
    </row>
    <row r="1063" spans="1:27" x14ac:dyDescent="0.25">
      <c r="A1063" s="3">
        <f>DATE(Tab_Calculs[[#This Row],[ANNEE]],Tab_Calculs[[#This Row],[MOIS]],1)</f>
        <v>43040</v>
      </c>
      <c r="B1063" s="3">
        <f>EDATE(Tab_Calculs[[#This Row],[Début mois]],1)-1</f>
        <v>43069</v>
      </c>
      <c r="C1063">
        <f t="shared" si="36"/>
        <v>11</v>
      </c>
      <c r="D1063">
        <f t="shared" si="35"/>
        <v>2017</v>
      </c>
      <c r="E1063" t="s">
        <v>85</v>
      </c>
      <c r="F1063" t="str">
        <f>SUBSTITUTE(Tab_Calculs[[#This Row],[Compteur]]," ","_")</f>
        <v>Compteur_6</v>
      </c>
      <c r="G1063" t="str">
        <f>T(INDEX(Site!$B$33:$G$40, MATCH(Tab_Calculs[[#This Row],[Compteur]], Site!$B$33:$B$40,0),2))</f>
        <v/>
      </c>
      <c r="H1063" s="3">
        <f t="array" aca="1" ref="H1063" ca="1">MIN(IF(INDIRECT(CONCATENATE(Tab_Calculs[[#This Row],[Colonne1]],"!$B$2:$B$243"))&gt;=Calculs_Consos!$A1063,INDIRECT(CONCATENATE(Tab_Calculs[[#This Row],[Colonne1]],"!$B$2:$B$243"))))</f>
        <v>0</v>
      </c>
      <c r="I1063" s="3">
        <f ca="1">INDEX(INDIRECT(CONCATENATE("Tab_",Tab_Calculs[[#This Row],[Colonne1]])),Tab_Calculs[[#This Row],[index_date_livraison]],1)</f>
        <v>0</v>
      </c>
      <c r="J1063">
        <f ca="1">MATCH(Tab_Calculs[[#This Row],[Date_livraison]],INDIRECT(CONCATENATE("Tab_",Tab_Calculs[[#This Row],[Colonne1]],"[Fin de période]")),0)</f>
        <v>1</v>
      </c>
      <c r="K1063" t="e">
        <f ca="1">INDEX(INDIRECT(CONCATENATE("Tab_",Tab_Calculs[[#This Row],[Colonne1]])),Tab_Calculs[[#This Row],[index_date_livraison]]-1,6)*(MAX(Tab_Calculs[[#This Row],[Début periode livraison]],Tab_Calculs[[#This Row],[Début mois]])-Tab_Calculs[[#This Row],[Début mois]])</f>
        <v>#VALUE!</v>
      </c>
      <c r="L1063" s="94">
        <f ca="1">INDEX(INDIRECT(CONCATENATE("Tab_",Tab_Calculs[[#This Row],[Colonne1]])),Tab_Calculs[[#This Row],[index_date_livraison]],6)*(1+MIN(Tab_Calculs[[#This Row],[Date_livraison]],Tab_Calculs[[#This Row],[fin mois]])-MAX(Tab_Calculs[[#This Row],[Début mois]],Tab_Calculs[[#This Row],[Début periode livraison]]))</f>
        <v>0</v>
      </c>
      <c r="M1063" s="94" t="e">
        <f ca="1">INDEX(INDIRECT(CONCATENATE("Tab_",Tab_Calculs[[#This Row],[Colonne1]])),Tab_Calculs[[#This Row],[index_date_livraison]]+1,6)*(Tab_Calculs[[#This Row],[fin mois]]-MIN(Tab_Calculs[[#This Row],[fin mois]],Tab_Calculs[[#This Row],[Date_livraison]]))</f>
        <v>#VALUE!</v>
      </c>
      <c r="N1063" s="231" t="str">
        <f ca="1">IFERROR(Tab_Calculs[[#This Row],[Ratio_jour_après_livr]]+Tab_Calculs[[#This Row],[Ratio_jour_avant_livr]]+Tab_Calculs[[#This Row],[ratio_avant_debut]],"")</f>
        <v/>
      </c>
      <c r="O1063" t="e">
        <f ca="1">INDEX(INDIRECT(CONCATENATE("Tab_",Tab_Calculs[[#This Row],[Colonne1]])),Tab_Calculs[[#This Row],[index_date_livraison]]-1,7)*(MAX(Tab_Calculs[[#This Row],[Début periode livraison]],Tab_Calculs[[#This Row],[Début mois]])-Tab_Calculs[[#This Row],[Début mois]])</f>
        <v>#VALUE!</v>
      </c>
      <c r="P1063">
        <f ca="1">INDEX(INDIRECT(CONCATENATE("Tab_",Tab_Calculs[[#This Row],[Colonne1]])),Tab_Calculs[[#This Row],[index_date_livraison]],7)*(1+MIN(Tab_Calculs[[#This Row],[Date_livraison]],Tab_Calculs[[#This Row],[fin mois]])-MAX(Tab_Calculs[[#This Row],[Début mois]],Tab_Calculs[[#This Row],[Début periode livraison]]))</f>
        <v>0</v>
      </c>
      <c r="Q1063" t="e">
        <f ca="1">INDEX(INDIRECT(CONCATENATE("Tab_",Tab_Calculs[[#This Row],[Colonne1]])),Tab_Calculs[[#This Row],[index_date_livraison]]+1,7)*(Tab_Calculs[[#This Row],[fin mois]]-MIN(Tab_Calculs[[#This Row],[fin mois]],Tab_Calculs[[#This Row],[Date_livraison]]))</f>
        <v>#VALUE!</v>
      </c>
      <c r="R1063" t="e">
        <f ca="1">Tab_Calculs[[#This Row],[Ratio_Cout_après_livr]]+Tab_Calculs[[#This Row],[Ratio_Cout_avant_livr]]+Tab_Calculs[[#This Row],[Ratio_Cout_avant_debut]]</f>
        <v>#VALUE!</v>
      </c>
      <c r="S1063" t="str">
        <f ca="1">IFERROR(N1063*VLOOKUP(Tab_Calculs[[#This Row],[Colonne1]],Controle_des_données!$B$7:$G$14,6,FALSE),"")</f>
        <v/>
      </c>
      <c r="T1063" t="str">
        <f ca="1">IF(Tab_Calculs[[#This Row],[Combustible ]]="Electricité (kWh)",Tab_Calculs[[#This Row],[Conso_mois_kWh]]*2.3,Tab_Calculs[[#This Row],[Conso_mois_kWh]])</f>
        <v/>
      </c>
      <c r="U1063" t="str">
        <f ca="1">IFERROR(N1063*VLOOKUP(Tab_Calculs[[#This Row],[Colonne1]],Controle_des_données!$B$7:$H$14,7,FALSE),"")</f>
        <v/>
      </c>
      <c r="V1063">
        <f ca="1">IFERROR(Tab_Calculs[[#This Row],[Cout_mois]]/Tab_Calculs[[#This Row],[Conso_mois_kWh]],0)</f>
        <v>0</v>
      </c>
      <c r="W1063" t="str">
        <f>T(VLOOKUP(Tab_Calculs[[#This Row],[Compteur]],Site!$B$33:$G$40,3,FALSE))</f>
        <v/>
      </c>
      <c r="X1063" t="str">
        <f>T(VLOOKUP(Tab_Calculs[[#This Row],[Compteur]],Site!$B$33:$G$40,4,FALSE))</f>
        <v/>
      </c>
      <c r="Y1063" t="str">
        <f>T(VLOOKUP(Tab_Calculs[[#This Row],[Compteur]],Site!$B$33:$G$40,5,FALSE))</f>
        <v/>
      </c>
      <c r="Z1063" t="str">
        <f>T(VLOOKUP(Tab_Calculs[[#This Row],[Compteur]],Site!$B$33:$G$40,6,FALSE))</f>
        <v/>
      </c>
      <c r="AA1063">
        <f>IFERROR(GETPIVOTDATA("DJU(chauffagiste)",BDD_DJU!$P$13,"annee",Tab_Calculs[[#This Row],[ANNEE]],"mois_numero",Tab_Calculs[[#This Row],[MOIS]]),0)</f>
        <v>289.89999999999998</v>
      </c>
    </row>
    <row r="1064" spans="1:27" x14ac:dyDescent="0.25">
      <c r="A1064" s="3">
        <f>DATE(Tab_Calculs[[#This Row],[ANNEE]],Tab_Calculs[[#This Row],[MOIS]],1)</f>
        <v>43070</v>
      </c>
      <c r="B1064" s="3">
        <f>EDATE(Tab_Calculs[[#This Row],[Début mois]],1)-1</f>
        <v>43100</v>
      </c>
      <c r="C1064">
        <f t="shared" si="36"/>
        <v>12</v>
      </c>
      <c r="D1064">
        <f t="shared" si="35"/>
        <v>2017</v>
      </c>
      <c r="E1064" t="s">
        <v>85</v>
      </c>
      <c r="F1064" t="str">
        <f>SUBSTITUTE(Tab_Calculs[[#This Row],[Compteur]]," ","_")</f>
        <v>Compteur_6</v>
      </c>
      <c r="G1064" t="str">
        <f>T(INDEX(Site!$B$33:$G$40, MATCH(Tab_Calculs[[#This Row],[Compteur]], Site!$B$33:$B$40,0),2))</f>
        <v/>
      </c>
      <c r="H1064" s="3">
        <f t="array" aca="1" ref="H1064" ca="1">MIN(IF(INDIRECT(CONCATENATE(Tab_Calculs[[#This Row],[Colonne1]],"!$B$2:$B$243"))&gt;=Calculs_Consos!$A1064,INDIRECT(CONCATENATE(Tab_Calculs[[#This Row],[Colonne1]],"!$B$2:$B$243"))))</f>
        <v>0</v>
      </c>
      <c r="I1064" s="3">
        <f ca="1">INDEX(INDIRECT(CONCATENATE("Tab_",Tab_Calculs[[#This Row],[Colonne1]])),Tab_Calculs[[#This Row],[index_date_livraison]],1)</f>
        <v>0</v>
      </c>
      <c r="J1064">
        <f ca="1">MATCH(Tab_Calculs[[#This Row],[Date_livraison]],INDIRECT(CONCATENATE("Tab_",Tab_Calculs[[#This Row],[Colonne1]],"[Fin de période]")),0)</f>
        <v>1</v>
      </c>
      <c r="K1064" t="e">
        <f ca="1">INDEX(INDIRECT(CONCATENATE("Tab_",Tab_Calculs[[#This Row],[Colonne1]])),Tab_Calculs[[#This Row],[index_date_livraison]]-1,6)*(MAX(Tab_Calculs[[#This Row],[Début periode livraison]],Tab_Calculs[[#This Row],[Début mois]])-Tab_Calculs[[#This Row],[Début mois]])</f>
        <v>#VALUE!</v>
      </c>
      <c r="L1064" s="94">
        <f ca="1">INDEX(INDIRECT(CONCATENATE("Tab_",Tab_Calculs[[#This Row],[Colonne1]])),Tab_Calculs[[#This Row],[index_date_livraison]],6)*(1+MIN(Tab_Calculs[[#This Row],[Date_livraison]],Tab_Calculs[[#This Row],[fin mois]])-MAX(Tab_Calculs[[#This Row],[Début mois]],Tab_Calculs[[#This Row],[Début periode livraison]]))</f>
        <v>0</v>
      </c>
      <c r="M1064" s="94" t="e">
        <f ca="1">INDEX(INDIRECT(CONCATENATE("Tab_",Tab_Calculs[[#This Row],[Colonne1]])),Tab_Calculs[[#This Row],[index_date_livraison]]+1,6)*(Tab_Calculs[[#This Row],[fin mois]]-MIN(Tab_Calculs[[#This Row],[fin mois]],Tab_Calculs[[#This Row],[Date_livraison]]))</f>
        <v>#VALUE!</v>
      </c>
      <c r="N1064" s="231" t="str">
        <f ca="1">IFERROR(Tab_Calculs[[#This Row],[Ratio_jour_après_livr]]+Tab_Calculs[[#This Row],[Ratio_jour_avant_livr]]+Tab_Calculs[[#This Row],[ratio_avant_debut]],"")</f>
        <v/>
      </c>
      <c r="O1064" t="e">
        <f ca="1">INDEX(INDIRECT(CONCATENATE("Tab_",Tab_Calculs[[#This Row],[Colonne1]])),Tab_Calculs[[#This Row],[index_date_livraison]]-1,7)*(MAX(Tab_Calculs[[#This Row],[Début periode livraison]],Tab_Calculs[[#This Row],[Début mois]])-Tab_Calculs[[#This Row],[Début mois]])</f>
        <v>#VALUE!</v>
      </c>
      <c r="P1064">
        <f ca="1">INDEX(INDIRECT(CONCATENATE("Tab_",Tab_Calculs[[#This Row],[Colonne1]])),Tab_Calculs[[#This Row],[index_date_livraison]],7)*(1+MIN(Tab_Calculs[[#This Row],[Date_livraison]],Tab_Calculs[[#This Row],[fin mois]])-MAX(Tab_Calculs[[#This Row],[Début mois]],Tab_Calculs[[#This Row],[Début periode livraison]]))</f>
        <v>0</v>
      </c>
      <c r="Q1064" t="e">
        <f ca="1">INDEX(INDIRECT(CONCATENATE("Tab_",Tab_Calculs[[#This Row],[Colonne1]])),Tab_Calculs[[#This Row],[index_date_livraison]]+1,7)*(Tab_Calculs[[#This Row],[fin mois]]-MIN(Tab_Calculs[[#This Row],[fin mois]],Tab_Calculs[[#This Row],[Date_livraison]]))</f>
        <v>#VALUE!</v>
      </c>
      <c r="R1064" t="e">
        <f ca="1">Tab_Calculs[[#This Row],[Ratio_Cout_après_livr]]+Tab_Calculs[[#This Row],[Ratio_Cout_avant_livr]]+Tab_Calculs[[#This Row],[Ratio_Cout_avant_debut]]</f>
        <v>#VALUE!</v>
      </c>
      <c r="S1064" t="str">
        <f ca="1">IFERROR(N1064*VLOOKUP(Tab_Calculs[[#This Row],[Colonne1]],Controle_des_données!$B$7:$G$14,6,FALSE),"")</f>
        <v/>
      </c>
      <c r="T1064" t="str">
        <f ca="1">IF(Tab_Calculs[[#This Row],[Combustible ]]="Electricité (kWh)",Tab_Calculs[[#This Row],[Conso_mois_kWh]]*2.3,Tab_Calculs[[#This Row],[Conso_mois_kWh]])</f>
        <v/>
      </c>
      <c r="U1064" t="str">
        <f ca="1">IFERROR(N1064*VLOOKUP(Tab_Calculs[[#This Row],[Colonne1]],Controle_des_données!$B$7:$H$14,7,FALSE),"")</f>
        <v/>
      </c>
      <c r="V1064">
        <f ca="1">IFERROR(Tab_Calculs[[#This Row],[Cout_mois]]/Tab_Calculs[[#This Row],[Conso_mois_kWh]],0)</f>
        <v>0</v>
      </c>
      <c r="W1064" t="str">
        <f>T(VLOOKUP(Tab_Calculs[[#This Row],[Compteur]],Site!$B$33:$G$40,3,FALSE))</f>
        <v/>
      </c>
      <c r="X1064" t="str">
        <f>T(VLOOKUP(Tab_Calculs[[#This Row],[Compteur]],Site!$B$33:$G$40,4,FALSE))</f>
        <v/>
      </c>
      <c r="Y1064" t="str">
        <f>T(VLOOKUP(Tab_Calculs[[#This Row],[Compteur]],Site!$B$33:$G$40,5,FALSE))</f>
        <v/>
      </c>
      <c r="Z1064" t="str">
        <f>T(VLOOKUP(Tab_Calculs[[#This Row],[Compteur]],Site!$B$33:$G$40,6,FALSE))</f>
        <v/>
      </c>
      <c r="AA1064">
        <f>IFERROR(GETPIVOTDATA("DJU(chauffagiste)",BDD_DJU!$P$13,"annee",Tab_Calculs[[#This Row],[ANNEE]],"mois_numero",Tab_Calculs[[#This Row],[MOIS]]),0)</f>
        <v>366.2</v>
      </c>
    </row>
    <row r="1065" spans="1:27" x14ac:dyDescent="0.25">
      <c r="A1065" s="3">
        <f>DATE(Tab_Calculs[[#This Row],[ANNEE]],Tab_Calculs[[#This Row],[MOIS]],1)</f>
        <v>43101</v>
      </c>
      <c r="B1065" s="3">
        <f>EDATE(Tab_Calculs[[#This Row],[Début mois]],1)-1</f>
        <v>43131</v>
      </c>
      <c r="C1065">
        <f t="shared" si="36"/>
        <v>1</v>
      </c>
      <c r="D1065">
        <f t="shared" si="35"/>
        <v>2018</v>
      </c>
      <c r="E1065" t="s">
        <v>85</v>
      </c>
      <c r="F1065" t="str">
        <f>SUBSTITUTE(Tab_Calculs[[#This Row],[Compteur]]," ","_")</f>
        <v>Compteur_6</v>
      </c>
      <c r="G1065" t="str">
        <f>T(INDEX(Site!$B$33:$G$40, MATCH(Tab_Calculs[[#This Row],[Compteur]], Site!$B$33:$B$40,0),2))</f>
        <v/>
      </c>
      <c r="H1065" s="3">
        <f t="array" aca="1" ref="H1065" ca="1">MIN(IF(INDIRECT(CONCATENATE(Tab_Calculs[[#This Row],[Colonne1]],"!$B$2:$B$243"))&gt;=Calculs_Consos!$A1065,INDIRECT(CONCATENATE(Tab_Calculs[[#This Row],[Colonne1]],"!$B$2:$B$243"))))</f>
        <v>0</v>
      </c>
      <c r="I1065" s="3">
        <f ca="1">INDEX(INDIRECT(CONCATENATE("Tab_",Tab_Calculs[[#This Row],[Colonne1]])),Tab_Calculs[[#This Row],[index_date_livraison]],1)</f>
        <v>0</v>
      </c>
      <c r="J1065">
        <f ca="1">MATCH(Tab_Calculs[[#This Row],[Date_livraison]],INDIRECT(CONCATENATE("Tab_",Tab_Calculs[[#This Row],[Colonne1]],"[Fin de période]")),0)</f>
        <v>1</v>
      </c>
      <c r="K1065" t="e">
        <f ca="1">INDEX(INDIRECT(CONCATENATE("Tab_",Tab_Calculs[[#This Row],[Colonne1]])),Tab_Calculs[[#This Row],[index_date_livraison]]-1,6)*(MAX(Tab_Calculs[[#This Row],[Début periode livraison]],Tab_Calculs[[#This Row],[Début mois]])-Tab_Calculs[[#This Row],[Début mois]])</f>
        <v>#VALUE!</v>
      </c>
      <c r="L1065" s="94">
        <f ca="1">INDEX(INDIRECT(CONCATENATE("Tab_",Tab_Calculs[[#This Row],[Colonne1]])),Tab_Calculs[[#This Row],[index_date_livraison]],6)*(1+MIN(Tab_Calculs[[#This Row],[Date_livraison]],Tab_Calculs[[#This Row],[fin mois]])-MAX(Tab_Calculs[[#This Row],[Début mois]],Tab_Calculs[[#This Row],[Début periode livraison]]))</f>
        <v>0</v>
      </c>
      <c r="M1065" s="94" t="e">
        <f ca="1">INDEX(INDIRECT(CONCATENATE("Tab_",Tab_Calculs[[#This Row],[Colonne1]])),Tab_Calculs[[#This Row],[index_date_livraison]]+1,6)*(Tab_Calculs[[#This Row],[fin mois]]-MIN(Tab_Calculs[[#This Row],[fin mois]],Tab_Calculs[[#This Row],[Date_livraison]]))</f>
        <v>#VALUE!</v>
      </c>
      <c r="N1065" s="231" t="str">
        <f ca="1">IFERROR(Tab_Calculs[[#This Row],[Ratio_jour_après_livr]]+Tab_Calculs[[#This Row],[Ratio_jour_avant_livr]]+Tab_Calculs[[#This Row],[ratio_avant_debut]],"")</f>
        <v/>
      </c>
      <c r="O1065" t="e">
        <f ca="1">INDEX(INDIRECT(CONCATENATE("Tab_",Tab_Calculs[[#This Row],[Colonne1]])),Tab_Calculs[[#This Row],[index_date_livraison]]-1,7)*(MAX(Tab_Calculs[[#This Row],[Début periode livraison]],Tab_Calculs[[#This Row],[Début mois]])-Tab_Calculs[[#This Row],[Début mois]])</f>
        <v>#VALUE!</v>
      </c>
      <c r="P1065">
        <f ca="1">INDEX(INDIRECT(CONCATENATE("Tab_",Tab_Calculs[[#This Row],[Colonne1]])),Tab_Calculs[[#This Row],[index_date_livraison]],7)*(1+MIN(Tab_Calculs[[#This Row],[Date_livraison]],Tab_Calculs[[#This Row],[fin mois]])-MAX(Tab_Calculs[[#This Row],[Début mois]],Tab_Calculs[[#This Row],[Début periode livraison]]))</f>
        <v>0</v>
      </c>
      <c r="Q1065" t="e">
        <f ca="1">INDEX(INDIRECT(CONCATENATE("Tab_",Tab_Calculs[[#This Row],[Colonne1]])),Tab_Calculs[[#This Row],[index_date_livraison]]+1,7)*(Tab_Calculs[[#This Row],[fin mois]]-MIN(Tab_Calculs[[#This Row],[fin mois]],Tab_Calculs[[#This Row],[Date_livraison]]))</f>
        <v>#VALUE!</v>
      </c>
      <c r="R1065" t="e">
        <f ca="1">Tab_Calculs[[#This Row],[Ratio_Cout_après_livr]]+Tab_Calculs[[#This Row],[Ratio_Cout_avant_livr]]+Tab_Calculs[[#This Row],[Ratio_Cout_avant_debut]]</f>
        <v>#VALUE!</v>
      </c>
      <c r="S1065" t="str">
        <f ca="1">IFERROR(N1065*VLOOKUP(Tab_Calculs[[#This Row],[Colonne1]],Controle_des_données!$B$7:$G$14,6,FALSE),"")</f>
        <v/>
      </c>
      <c r="T1065" t="str">
        <f ca="1">IF(Tab_Calculs[[#This Row],[Combustible ]]="Electricité (kWh)",Tab_Calculs[[#This Row],[Conso_mois_kWh]]*2.3,Tab_Calculs[[#This Row],[Conso_mois_kWh]])</f>
        <v/>
      </c>
      <c r="U1065" t="str">
        <f ca="1">IFERROR(N1065*VLOOKUP(Tab_Calculs[[#This Row],[Colonne1]],Controle_des_données!$B$7:$H$14,7,FALSE),"")</f>
        <v/>
      </c>
      <c r="V1065">
        <f ca="1">IFERROR(Tab_Calculs[[#This Row],[Cout_mois]]/Tab_Calculs[[#This Row],[Conso_mois_kWh]],0)</f>
        <v>0</v>
      </c>
      <c r="W1065" t="str">
        <f>T(VLOOKUP(Tab_Calculs[[#This Row],[Compteur]],Site!$B$33:$G$40,3,FALSE))</f>
        <v/>
      </c>
      <c r="X1065" t="str">
        <f>T(VLOOKUP(Tab_Calculs[[#This Row],[Compteur]],Site!$B$33:$G$40,4,FALSE))</f>
        <v/>
      </c>
      <c r="Y1065" t="str">
        <f>T(VLOOKUP(Tab_Calculs[[#This Row],[Compteur]],Site!$B$33:$G$40,5,FALSE))</f>
        <v/>
      </c>
      <c r="Z1065" t="str">
        <f>T(VLOOKUP(Tab_Calculs[[#This Row],[Compteur]],Site!$B$33:$G$40,6,FALSE))</f>
        <v/>
      </c>
      <c r="AA1065">
        <f>IFERROR(GETPIVOTDATA("DJU(chauffagiste)",BDD_DJU!$P$13,"annee",Tab_Calculs[[#This Row],[ANNEE]],"mois_numero",Tab_Calculs[[#This Row],[MOIS]]),0)</f>
        <v>298.60000000000002</v>
      </c>
    </row>
    <row r="1066" spans="1:27" x14ac:dyDescent="0.25">
      <c r="A1066" s="3">
        <f>DATE(Tab_Calculs[[#This Row],[ANNEE]],Tab_Calculs[[#This Row],[MOIS]],1)</f>
        <v>43132</v>
      </c>
      <c r="B1066" s="3">
        <f>EDATE(Tab_Calculs[[#This Row],[Début mois]],1)-1</f>
        <v>43159</v>
      </c>
      <c r="C1066">
        <f t="shared" si="36"/>
        <v>2</v>
      </c>
      <c r="D1066">
        <f t="shared" si="35"/>
        <v>2018</v>
      </c>
      <c r="E1066" t="s">
        <v>85</v>
      </c>
      <c r="F1066" t="str">
        <f>SUBSTITUTE(Tab_Calculs[[#This Row],[Compteur]]," ","_")</f>
        <v>Compteur_6</v>
      </c>
      <c r="G1066" t="str">
        <f>T(INDEX(Site!$B$33:$G$40, MATCH(Tab_Calculs[[#This Row],[Compteur]], Site!$B$33:$B$40,0),2))</f>
        <v/>
      </c>
      <c r="H1066" s="3">
        <f t="array" aca="1" ref="H1066" ca="1">MIN(IF(INDIRECT(CONCATENATE(Tab_Calculs[[#This Row],[Colonne1]],"!$B$2:$B$243"))&gt;=Calculs_Consos!$A1066,INDIRECT(CONCATENATE(Tab_Calculs[[#This Row],[Colonne1]],"!$B$2:$B$243"))))</f>
        <v>0</v>
      </c>
      <c r="I1066" s="3">
        <f ca="1">INDEX(INDIRECT(CONCATENATE("Tab_",Tab_Calculs[[#This Row],[Colonne1]])),Tab_Calculs[[#This Row],[index_date_livraison]],1)</f>
        <v>0</v>
      </c>
      <c r="J1066">
        <f ca="1">MATCH(Tab_Calculs[[#This Row],[Date_livraison]],INDIRECT(CONCATENATE("Tab_",Tab_Calculs[[#This Row],[Colonne1]],"[Fin de période]")),0)</f>
        <v>1</v>
      </c>
      <c r="K1066" t="e">
        <f ca="1">INDEX(INDIRECT(CONCATENATE("Tab_",Tab_Calculs[[#This Row],[Colonne1]])),Tab_Calculs[[#This Row],[index_date_livraison]]-1,6)*(MAX(Tab_Calculs[[#This Row],[Début periode livraison]],Tab_Calculs[[#This Row],[Début mois]])-Tab_Calculs[[#This Row],[Début mois]])</f>
        <v>#VALUE!</v>
      </c>
      <c r="L1066" s="94">
        <f ca="1">INDEX(INDIRECT(CONCATENATE("Tab_",Tab_Calculs[[#This Row],[Colonne1]])),Tab_Calculs[[#This Row],[index_date_livraison]],6)*(1+MIN(Tab_Calculs[[#This Row],[Date_livraison]],Tab_Calculs[[#This Row],[fin mois]])-MAX(Tab_Calculs[[#This Row],[Début mois]],Tab_Calculs[[#This Row],[Début periode livraison]]))</f>
        <v>0</v>
      </c>
      <c r="M1066" s="94" t="e">
        <f ca="1">INDEX(INDIRECT(CONCATENATE("Tab_",Tab_Calculs[[#This Row],[Colonne1]])),Tab_Calculs[[#This Row],[index_date_livraison]]+1,6)*(Tab_Calculs[[#This Row],[fin mois]]-MIN(Tab_Calculs[[#This Row],[fin mois]],Tab_Calculs[[#This Row],[Date_livraison]]))</f>
        <v>#VALUE!</v>
      </c>
      <c r="N1066" s="231" t="str">
        <f ca="1">IFERROR(Tab_Calculs[[#This Row],[Ratio_jour_après_livr]]+Tab_Calculs[[#This Row],[Ratio_jour_avant_livr]]+Tab_Calculs[[#This Row],[ratio_avant_debut]],"")</f>
        <v/>
      </c>
      <c r="O1066" t="e">
        <f ca="1">INDEX(INDIRECT(CONCATENATE("Tab_",Tab_Calculs[[#This Row],[Colonne1]])),Tab_Calculs[[#This Row],[index_date_livraison]]-1,7)*(MAX(Tab_Calculs[[#This Row],[Début periode livraison]],Tab_Calculs[[#This Row],[Début mois]])-Tab_Calculs[[#This Row],[Début mois]])</f>
        <v>#VALUE!</v>
      </c>
      <c r="P1066">
        <f ca="1">INDEX(INDIRECT(CONCATENATE("Tab_",Tab_Calculs[[#This Row],[Colonne1]])),Tab_Calculs[[#This Row],[index_date_livraison]],7)*(1+MIN(Tab_Calculs[[#This Row],[Date_livraison]],Tab_Calculs[[#This Row],[fin mois]])-MAX(Tab_Calculs[[#This Row],[Début mois]],Tab_Calculs[[#This Row],[Début periode livraison]]))</f>
        <v>0</v>
      </c>
      <c r="Q1066" t="e">
        <f ca="1">INDEX(INDIRECT(CONCATENATE("Tab_",Tab_Calculs[[#This Row],[Colonne1]])),Tab_Calculs[[#This Row],[index_date_livraison]]+1,7)*(Tab_Calculs[[#This Row],[fin mois]]-MIN(Tab_Calculs[[#This Row],[fin mois]],Tab_Calculs[[#This Row],[Date_livraison]]))</f>
        <v>#VALUE!</v>
      </c>
      <c r="R1066" t="e">
        <f ca="1">Tab_Calculs[[#This Row],[Ratio_Cout_après_livr]]+Tab_Calculs[[#This Row],[Ratio_Cout_avant_livr]]+Tab_Calculs[[#This Row],[Ratio_Cout_avant_debut]]</f>
        <v>#VALUE!</v>
      </c>
      <c r="S1066" t="str">
        <f ca="1">IFERROR(N1066*VLOOKUP(Tab_Calculs[[#This Row],[Colonne1]],Controle_des_données!$B$7:$G$14,6,FALSE),"")</f>
        <v/>
      </c>
      <c r="T1066" t="str">
        <f ca="1">IF(Tab_Calculs[[#This Row],[Combustible ]]="Electricité (kWh)",Tab_Calculs[[#This Row],[Conso_mois_kWh]]*2.3,Tab_Calculs[[#This Row],[Conso_mois_kWh]])</f>
        <v/>
      </c>
      <c r="U1066" t="str">
        <f ca="1">IFERROR(N1066*VLOOKUP(Tab_Calculs[[#This Row],[Colonne1]],Controle_des_données!$B$7:$H$14,7,FALSE),"")</f>
        <v/>
      </c>
      <c r="V1066">
        <f ca="1">IFERROR(Tab_Calculs[[#This Row],[Cout_mois]]/Tab_Calculs[[#This Row],[Conso_mois_kWh]],0)</f>
        <v>0</v>
      </c>
      <c r="W1066" t="str">
        <f>T(VLOOKUP(Tab_Calculs[[#This Row],[Compteur]],Site!$B$33:$G$40,3,FALSE))</f>
        <v/>
      </c>
      <c r="X1066" t="str">
        <f>T(VLOOKUP(Tab_Calculs[[#This Row],[Compteur]],Site!$B$33:$G$40,4,FALSE))</f>
        <v/>
      </c>
      <c r="Y1066" t="str">
        <f>T(VLOOKUP(Tab_Calculs[[#This Row],[Compteur]],Site!$B$33:$G$40,5,FALSE))</f>
        <v/>
      </c>
      <c r="Z1066" t="str">
        <f>T(VLOOKUP(Tab_Calculs[[#This Row],[Compteur]],Site!$B$33:$G$40,6,FALSE))</f>
        <v/>
      </c>
      <c r="AA1066">
        <f>IFERROR(GETPIVOTDATA("DJU(chauffagiste)",BDD_DJU!$P$13,"annee",Tab_Calculs[[#This Row],[ANNEE]],"mois_numero",Tab_Calculs[[#This Row],[MOIS]]),0)</f>
        <v>415.2</v>
      </c>
    </row>
    <row r="1067" spans="1:27" x14ac:dyDescent="0.25">
      <c r="A1067" s="3">
        <f>DATE(Tab_Calculs[[#This Row],[ANNEE]],Tab_Calculs[[#This Row],[MOIS]],1)</f>
        <v>43160</v>
      </c>
      <c r="B1067" s="3">
        <f>EDATE(Tab_Calculs[[#This Row],[Début mois]],1)-1</f>
        <v>43190</v>
      </c>
      <c r="C1067">
        <f t="shared" si="36"/>
        <v>3</v>
      </c>
      <c r="D1067">
        <f t="shared" si="35"/>
        <v>2018</v>
      </c>
      <c r="E1067" t="s">
        <v>85</v>
      </c>
      <c r="F1067" t="str">
        <f>SUBSTITUTE(Tab_Calculs[[#This Row],[Compteur]]," ","_")</f>
        <v>Compteur_6</v>
      </c>
      <c r="G1067" t="str">
        <f>T(INDEX(Site!$B$33:$G$40, MATCH(Tab_Calculs[[#This Row],[Compteur]], Site!$B$33:$B$40,0),2))</f>
        <v/>
      </c>
      <c r="H1067" s="3">
        <f t="array" aca="1" ref="H1067" ca="1">MIN(IF(INDIRECT(CONCATENATE(Tab_Calculs[[#This Row],[Colonne1]],"!$B$2:$B$243"))&gt;=Calculs_Consos!$A1067,INDIRECT(CONCATENATE(Tab_Calculs[[#This Row],[Colonne1]],"!$B$2:$B$243"))))</f>
        <v>0</v>
      </c>
      <c r="I1067" s="3">
        <f ca="1">INDEX(INDIRECT(CONCATENATE("Tab_",Tab_Calculs[[#This Row],[Colonne1]])),Tab_Calculs[[#This Row],[index_date_livraison]],1)</f>
        <v>0</v>
      </c>
      <c r="J1067">
        <f ca="1">MATCH(Tab_Calculs[[#This Row],[Date_livraison]],INDIRECT(CONCATENATE("Tab_",Tab_Calculs[[#This Row],[Colonne1]],"[Fin de période]")),0)</f>
        <v>1</v>
      </c>
      <c r="K1067" t="e">
        <f ca="1">INDEX(INDIRECT(CONCATENATE("Tab_",Tab_Calculs[[#This Row],[Colonne1]])),Tab_Calculs[[#This Row],[index_date_livraison]]-1,6)*(MAX(Tab_Calculs[[#This Row],[Début periode livraison]],Tab_Calculs[[#This Row],[Début mois]])-Tab_Calculs[[#This Row],[Début mois]])</f>
        <v>#VALUE!</v>
      </c>
      <c r="L1067" s="94">
        <f ca="1">INDEX(INDIRECT(CONCATENATE("Tab_",Tab_Calculs[[#This Row],[Colonne1]])),Tab_Calculs[[#This Row],[index_date_livraison]],6)*(1+MIN(Tab_Calculs[[#This Row],[Date_livraison]],Tab_Calculs[[#This Row],[fin mois]])-MAX(Tab_Calculs[[#This Row],[Début mois]],Tab_Calculs[[#This Row],[Début periode livraison]]))</f>
        <v>0</v>
      </c>
      <c r="M1067" s="94" t="e">
        <f ca="1">INDEX(INDIRECT(CONCATENATE("Tab_",Tab_Calculs[[#This Row],[Colonne1]])),Tab_Calculs[[#This Row],[index_date_livraison]]+1,6)*(Tab_Calculs[[#This Row],[fin mois]]-MIN(Tab_Calculs[[#This Row],[fin mois]],Tab_Calculs[[#This Row],[Date_livraison]]))</f>
        <v>#VALUE!</v>
      </c>
      <c r="N1067" s="231" t="str">
        <f ca="1">IFERROR(Tab_Calculs[[#This Row],[Ratio_jour_après_livr]]+Tab_Calculs[[#This Row],[Ratio_jour_avant_livr]]+Tab_Calculs[[#This Row],[ratio_avant_debut]],"")</f>
        <v/>
      </c>
      <c r="O1067" t="e">
        <f ca="1">INDEX(INDIRECT(CONCATENATE("Tab_",Tab_Calculs[[#This Row],[Colonne1]])),Tab_Calculs[[#This Row],[index_date_livraison]]-1,7)*(MAX(Tab_Calculs[[#This Row],[Début periode livraison]],Tab_Calculs[[#This Row],[Début mois]])-Tab_Calculs[[#This Row],[Début mois]])</f>
        <v>#VALUE!</v>
      </c>
      <c r="P1067">
        <f ca="1">INDEX(INDIRECT(CONCATENATE("Tab_",Tab_Calculs[[#This Row],[Colonne1]])),Tab_Calculs[[#This Row],[index_date_livraison]],7)*(1+MIN(Tab_Calculs[[#This Row],[Date_livraison]],Tab_Calculs[[#This Row],[fin mois]])-MAX(Tab_Calculs[[#This Row],[Début mois]],Tab_Calculs[[#This Row],[Début periode livraison]]))</f>
        <v>0</v>
      </c>
      <c r="Q1067" t="e">
        <f ca="1">INDEX(INDIRECT(CONCATENATE("Tab_",Tab_Calculs[[#This Row],[Colonne1]])),Tab_Calculs[[#This Row],[index_date_livraison]]+1,7)*(Tab_Calculs[[#This Row],[fin mois]]-MIN(Tab_Calculs[[#This Row],[fin mois]],Tab_Calculs[[#This Row],[Date_livraison]]))</f>
        <v>#VALUE!</v>
      </c>
      <c r="R1067" t="e">
        <f ca="1">Tab_Calculs[[#This Row],[Ratio_Cout_après_livr]]+Tab_Calculs[[#This Row],[Ratio_Cout_avant_livr]]+Tab_Calculs[[#This Row],[Ratio_Cout_avant_debut]]</f>
        <v>#VALUE!</v>
      </c>
      <c r="S1067" t="str">
        <f ca="1">IFERROR(N1067*VLOOKUP(Tab_Calculs[[#This Row],[Colonne1]],Controle_des_données!$B$7:$G$14,6,FALSE),"")</f>
        <v/>
      </c>
      <c r="T1067" t="str">
        <f ca="1">IF(Tab_Calculs[[#This Row],[Combustible ]]="Electricité (kWh)",Tab_Calculs[[#This Row],[Conso_mois_kWh]]*2.3,Tab_Calculs[[#This Row],[Conso_mois_kWh]])</f>
        <v/>
      </c>
      <c r="U1067" t="str">
        <f ca="1">IFERROR(N1067*VLOOKUP(Tab_Calculs[[#This Row],[Colonne1]],Controle_des_données!$B$7:$H$14,7,FALSE),"")</f>
        <v/>
      </c>
      <c r="V1067">
        <f ca="1">IFERROR(Tab_Calculs[[#This Row],[Cout_mois]]/Tab_Calculs[[#This Row],[Conso_mois_kWh]],0)</f>
        <v>0</v>
      </c>
      <c r="W1067" t="str">
        <f>T(VLOOKUP(Tab_Calculs[[#This Row],[Compteur]],Site!$B$33:$G$40,3,FALSE))</f>
        <v/>
      </c>
      <c r="X1067" t="str">
        <f>T(VLOOKUP(Tab_Calculs[[#This Row],[Compteur]],Site!$B$33:$G$40,4,FALSE))</f>
        <v/>
      </c>
      <c r="Y1067" t="str">
        <f>T(VLOOKUP(Tab_Calculs[[#This Row],[Compteur]],Site!$B$33:$G$40,5,FALSE))</f>
        <v/>
      </c>
      <c r="Z1067" t="str">
        <f>T(VLOOKUP(Tab_Calculs[[#This Row],[Compteur]],Site!$B$33:$G$40,6,FALSE))</f>
        <v/>
      </c>
      <c r="AA1067">
        <f>IFERROR(GETPIVOTDATA("DJU(chauffagiste)",BDD_DJU!$P$13,"annee",Tab_Calculs[[#This Row],[ANNEE]],"mois_numero",Tab_Calculs[[#This Row],[MOIS]]),0)</f>
        <v>305.39999999999998</v>
      </c>
    </row>
    <row r="1068" spans="1:27" x14ac:dyDescent="0.25">
      <c r="A1068" s="3">
        <f>DATE(Tab_Calculs[[#This Row],[ANNEE]],Tab_Calculs[[#This Row],[MOIS]],1)</f>
        <v>43191</v>
      </c>
      <c r="B1068" s="3">
        <f>EDATE(Tab_Calculs[[#This Row],[Début mois]],1)-1</f>
        <v>43220</v>
      </c>
      <c r="C1068">
        <f t="shared" si="36"/>
        <v>4</v>
      </c>
      <c r="D1068">
        <f t="shared" si="35"/>
        <v>2018</v>
      </c>
      <c r="E1068" t="s">
        <v>85</v>
      </c>
      <c r="F1068" t="str">
        <f>SUBSTITUTE(Tab_Calculs[[#This Row],[Compteur]]," ","_")</f>
        <v>Compteur_6</v>
      </c>
      <c r="G1068" t="str">
        <f>T(INDEX(Site!$B$33:$G$40, MATCH(Tab_Calculs[[#This Row],[Compteur]], Site!$B$33:$B$40,0),2))</f>
        <v/>
      </c>
      <c r="H1068" s="3">
        <f t="array" aca="1" ref="H1068" ca="1">MIN(IF(INDIRECT(CONCATENATE(Tab_Calculs[[#This Row],[Colonne1]],"!$B$2:$B$243"))&gt;=Calculs_Consos!$A1068,INDIRECT(CONCATENATE(Tab_Calculs[[#This Row],[Colonne1]],"!$B$2:$B$243"))))</f>
        <v>0</v>
      </c>
      <c r="I1068" s="3">
        <f ca="1">INDEX(INDIRECT(CONCATENATE("Tab_",Tab_Calculs[[#This Row],[Colonne1]])),Tab_Calculs[[#This Row],[index_date_livraison]],1)</f>
        <v>0</v>
      </c>
      <c r="J1068">
        <f ca="1">MATCH(Tab_Calculs[[#This Row],[Date_livraison]],INDIRECT(CONCATENATE("Tab_",Tab_Calculs[[#This Row],[Colonne1]],"[Fin de période]")),0)</f>
        <v>1</v>
      </c>
      <c r="K1068" t="e">
        <f ca="1">INDEX(INDIRECT(CONCATENATE("Tab_",Tab_Calculs[[#This Row],[Colonne1]])),Tab_Calculs[[#This Row],[index_date_livraison]]-1,6)*(MAX(Tab_Calculs[[#This Row],[Début periode livraison]],Tab_Calculs[[#This Row],[Début mois]])-Tab_Calculs[[#This Row],[Début mois]])</f>
        <v>#VALUE!</v>
      </c>
      <c r="L1068" s="94">
        <f ca="1">INDEX(INDIRECT(CONCATENATE("Tab_",Tab_Calculs[[#This Row],[Colonne1]])),Tab_Calculs[[#This Row],[index_date_livraison]],6)*(1+MIN(Tab_Calculs[[#This Row],[Date_livraison]],Tab_Calculs[[#This Row],[fin mois]])-MAX(Tab_Calculs[[#This Row],[Début mois]],Tab_Calculs[[#This Row],[Début periode livraison]]))</f>
        <v>0</v>
      </c>
      <c r="M1068" s="94" t="e">
        <f ca="1">INDEX(INDIRECT(CONCATENATE("Tab_",Tab_Calculs[[#This Row],[Colonne1]])),Tab_Calculs[[#This Row],[index_date_livraison]]+1,6)*(Tab_Calculs[[#This Row],[fin mois]]-MIN(Tab_Calculs[[#This Row],[fin mois]],Tab_Calculs[[#This Row],[Date_livraison]]))</f>
        <v>#VALUE!</v>
      </c>
      <c r="N1068" s="231" t="str">
        <f ca="1">IFERROR(Tab_Calculs[[#This Row],[Ratio_jour_après_livr]]+Tab_Calculs[[#This Row],[Ratio_jour_avant_livr]]+Tab_Calculs[[#This Row],[ratio_avant_debut]],"")</f>
        <v/>
      </c>
      <c r="O1068" t="e">
        <f ca="1">INDEX(INDIRECT(CONCATENATE("Tab_",Tab_Calculs[[#This Row],[Colonne1]])),Tab_Calculs[[#This Row],[index_date_livraison]]-1,7)*(MAX(Tab_Calculs[[#This Row],[Début periode livraison]],Tab_Calculs[[#This Row],[Début mois]])-Tab_Calculs[[#This Row],[Début mois]])</f>
        <v>#VALUE!</v>
      </c>
      <c r="P1068">
        <f ca="1">INDEX(INDIRECT(CONCATENATE("Tab_",Tab_Calculs[[#This Row],[Colonne1]])),Tab_Calculs[[#This Row],[index_date_livraison]],7)*(1+MIN(Tab_Calculs[[#This Row],[Date_livraison]],Tab_Calculs[[#This Row],[fin mois]])-MAX(Tab_Calculs[[#This Row],[Début mois]],Tab_Calculs[[#This Row],[Début periode livraison]]))</f>
        <v>0</v>
      </c>
      <c r="Q1068" t="e">
        <f ca="1">INDEX(INDIRECT(CONCATENATE("Tab_",Tab_Calculs[[#This Row],[Colonne1]])),Tab_Calculs[[#This Row],[index_date_livraison]]+1,7)*(Tab_Calculs[[#This Row],[fin mois]]-MIN(Tab_Calculs[[#This Row],[fin mois]],Tab_Calculs[[#This Row],[Date_livraison]]))</f>
        <v>#VALUE!</v>
      </c>
      <c r="R1068" t="e">
        <f ca="1">Tab_Calculs[[#This Row],[Ratio_Cout_après_livr]]+Tab_Calculs[[#This Row],[Ratio_Cout_avant_livr]]+Tab_Calculs[[#This Row],[Ratio_Cout_avant_debut]]</f>
        <v>#VALUE!</v>
      </c>
      <c r="S1068" t="str">
        <f ca="1">IFERROR(N1068*VLOOKUP(Tab_Calculs[[#This Row],[Colonne1]],Controle_des_données!$B$7:$G$14,6,FALSE),"")</f>
        <v/>
      </c>
      <c r="T1068" t="str">
        <f ca="1">IF(Tab_Calculs[[#This Row],[Combustible ]]="Electricité (kWh)",Tab_Calculs[[#This Row],[Conso_mois_kWh]]*2.3,Tab_Calculs[[#This Row],[Conso_mois_kWh]])</f>
        <v/>
      </c>
      <c r="U1068" t="str">
        <f ca="1">IFERROR(N1068*VLOOKUP(Tab_Calculs[[#This Row],[Colonne1]],Controle_des_données!$B$7:$H$14,7,FALSE),"")</f>
        <v/>
      </c>
      <c r="V1068">
        <f ca="1">IFERROR(Tab_Calculs[[#This Row],[Cout_mois]]/Tab_Calculs[[#This Row],[Conso_mois_kWh]],0)</f>
        <v>0</v>
      </c>
      <c r="W1068" t="str">
        <f>T(VLOOKUP(Tab_Calculs[[#This Row],[Compteur]],Site!$B$33:$G$40,3,FALSE))</f>
        <v/>
      </c>
      <c r="X1068" t="str">
        <f>T(VLOOKUP(Tab_Calculs[[#This Row],[Compteur]],Site!$B$33:$G$40,4,FALSE))</f>
        <v/>
      </c>
      <c r="Y1068" t="str">
        <f>T(VLOOKUP(Tab_Calculs[[#This Row],[Compteur]],Site!$B$33:$G$40,5,FALSE))</f>
        <v/>
      </c>
      <c r="Z1068" t="str">
        <f>T(VLOOKUP(Tab_Calculs[[#This Row],[Compteur]],Site!$B$33:$G$40,6,FALSE))</f>
        <v/>
      </c>
      <c r="AA1068">
        <f>IFERROR(GETPIVOTDATA("DJU(chauffagiste)",BDD_DJU!$P$13,"annee",Tab_Calculs[[#This Row],[ANNEE]],"mois_numero",Tab_Calculs[[#This Row],[MOIS]]),0)</f>
        <v>152.19999999999999</v>
      </c>
    </row>
    <row r="1069" spans="1:27" x14ac:dyDescent="0.25">
      <c r="A1069" s="3">
        <f>DATE(Tab_Calculs[[#This Row],[ANNEE]],Tab_Calculs[[#This Row],[MOIS]],1)</f>
        <v>43221</v>
      </c>
      <c r="B1069" s="3">
        <f>EDATE(Tab_Calculs[[#This Row],[Début mois]],1)-1</f>
        <v>43251</v>
      </c>
      <c r="C1069">
        <f t="shared" si="36"/>
        <v>5</v>
      </c>
      <c r="D1069">
        <f t="shared" si="35"/>
        <v>2018</v>
      </c>
      <c r="E1069" t="s">
        <v>85</v>
      </c>
      <c r="F1069" t="str">
        <f>SUBSTITUTE(Tab_Calculs[[#This Row],[Compteur]]," ","_")</f>
        <v>Compteur_6</v>
      </c>
      <c r="G1069" t="str">
        <f>T(INDEX(Site!$B$33:$G$40, MATCH(Tab_Calculs[[#This Row],[Compteur]], Site!$B$33:$B$40,0),2))</f>
        <v/>
      </c>
      <c r="H1069" s="3">
        <f t="array" aca="1" ref="H1069" ca="1">MIN(IF(INDIRECT(CONCATENATE(Tab_Calculs[[#This Row],[Colonne1]],"!$B$2:$B$243"))&gt;=Calculs_Consos!$A1069,INDIRECT(CONCATENATE(Tab_Calculs[[#This Row],[Colonne1]],"!$B$2:$B$243"))))</f>
        <v>0</v>
      </c>
      <c r="I1069" s="3">
        <f ca="1">INDEX(INDIRECT(CONCATENATE("Tab_",Tab_Calculs[[#This Row],[Colonne1]])),Tab_Calculs[[#This Row],[index_date_livraison]],1)</f>
        <v>0</v>
      </c>
      <c r="J1069">
        <f ca="1">MATCH(Tab_Calculs[[#This Row],[Date_livraison]],INDIRECT(CONCATENATE("Tab_",Tab_Calculs[[#This Row],[Colonne1]],"[Fin de période]")),0)</f>
        <v>1</v>
      </c>
      <c r="K1069" t="e">
        <f ca="1">INDEX(INDIRECT(CONCATENATE("Tab_",Tab_Calculs[[#This Row],[Colonne1]])),Tab_Calculs[[#This Row],[index_date_livraison]]-1,6)*(MAX(Tab_Calculs[[#This Row],[Début periode livraison]],Tab_Calculs[[#This Row],[Début mois]])-Tab_Calculs[[#This Row],[Début mois]])</f>
        <v>#VALUE!</v>
      </c>
      <c r="L1069" s="94">
        <f ca="1">INDEX(INDIRECT(CONCATENATE("Tab_",Tab_Calculs[[#This Row],[Colonne1]])),Tab_Calculs[[#This Row],[index_date_livraison]],6)*(1+MIN(Tab_Calculs[[#This Row],[Date_livraison]],Tab_Calculs[[#This Row],[fin mois]])-MAX(Tab_Calculs[[#This Row],[Début mois]],Tab_Calculs[[#This Row],[Début periode livraison]]))</f>
        <v>0</v>
      </c>
      <c r="M1069" s="94" t="e">
        <f ca="1">INDEX(INDIRECT(CONCATENATE("Tab_",Tab_Calculs[[#This Row],[Colonne1]])),Tab_Calculs[[#This Row],[index_date_livraison]]+1,6)*(Tab_Calculs[[#This Row],[fin mois]]-MIN(Tab_Calculs[[#This Row],[fin mois]],Tab_Calculs[[#This Row],[Date_livraison]]))</f>
        <v>#VALUE!</v>
      </c>
      <c r="N1069" s="231" t="str">
        <f ca="1">IFERROR(Tab_Calculs[[#This Row],[Ratio_jour_après_livr]]+Tab_Calculs[[#This Row],[Ratio_jour_avant_livr]]+Tab_Calculs[[#This Row],[ratio_avant_debut]],"")</f>
        <v/>
      </c>
      <c r="O1069" t="e">
        <f ca="1">INDEX(INDIRECT(CONCATENATE("Tab_",Tab_Calculs[[#This Row],[Colonne1]])),Tab_Calculs[[#This Row],[index_date_livraison]]-1,7)*(MAX(Tab_Calculs[[#This Row],[Début periode livraison]],Tab_Calculs[[#This Row],[Début mois]])-Tab_Calculs[[#This Row],[Début mois]])</f>
        <v>#VALUE!</v>
      </c>
      <c r="P1069">
        <f ca="1">INDEX(INDIRECT(CONCATENATE("Tab_",Tab_Calculs[[#This Row],[Colonne1]])),Tab_Calculs[[#This Row],[index_date_livraison]],7)*(1+MIN(Tab_Calculs[[#This Row],[Date_livraison]],Tab_Calculs[[#This Row],[fin mois]])-MAX(Tab_Calculs[[#This Row],[Début mois]],Tab_Calculs[[#This Row],[Début periode livraison]]))</f>
        <v>0</v>
      </c>
      <c r="Q1069" t="e">
        <f ca="1">INDEX(INDIRECT(CONCATENATE("Tab_",Tab_Calculs[[#This Row],[Colonne1]])),Tab_Calculs[[#This Row],[index_date_livraison]]+1,7)*(Tab_Calculs[[#This Row],[fin mois]]-MIN(Tab_Calculs[[#This Row],[fin mois]],Tab_Calculs[[#This Row],[Date_livraison]]))</f>
        <v>#VALUE!</v>
      </c>
      <c r="R1069" t="e">
        <f ca="1">Tab_Calculs[[#This Row],[Ratio_Cout_après_livr]]+Tab_Calculs[[#This Row],[Ratio_Cout_avant_livr]]+Tab_Calculs[[#This Row],[Ratio_Cout_avant_debut]]</f>
        <v>#VALUE!</v>
      </c>
      <c r="S1069" t="str">
        <f ca="1">IFERROR(N1069*VLOOKUP(Tab_Calculs[[#This Row],[Colonne1]],Controle_des_données!$B$7:$G$14,6,FALSE),"")</f>
        <v/>
      </c>
      <c r="T1069" t="str">
        <f ca="1">IF(Tab_Calculs[[#This Row],[Combustible ]]="Electricité (kWh)",Tab_Calculs[[#This Row],[Conso_mois_kWh]]*2.3,Tab_Calculs[[#This Row],[Conso_mois_kWh]])</f>
        <v/>
      </c>
      <c r="U1069" t="str">
        <f ca="1">IFERROR(N1069*VLOOKUP(Tab_Calculs[[#This Row],[Colonne1]],Controle_des_données!$B$7:$H$14,7,FALSE),"")</f>
        <v/>
      </c>
      <c r="V1069">
        <f ca="1">IFERROR(Tab_Calculs[[#This Row],[Cout_mois]]/Tab_Calculs[[#This Row],[Conso_mois_kWh]],0)</f>
        <v>0</v>
      </c>
      <c r="W1069" t="str">
        <f>T(VLOOKUP(Tab_Calculs[[#This Row],[Compteur]],Site!$B$33:$G$40,3,FALSE))</f>
        <v/>
      </c>
      <c r="X1069" t="str">
        <f>T(VLOOKUP(Tab_Calculs[[#This Row],[Compteur]],Site!$B$33:$G$40,4,FALSE))</f>
        <v/>
      </c>
      <c r="Y1069" t="str">
        <f>T(VLOOKUP(Tab_Calculs[[#This Row],[Compteur]],Site!$B$33:$G$40,5,FALSE))</f>
        <v/>
      </c>
      <c r="Z1069" t="str">
        <f>T(VLOOKUP(Tab_Calculs[[#This Row],[Compteur]],Site!$B$33:$G$40,6,FALSE))</f>
        <v/>
      </c>
      <c r="AA1069">
        <f>IFERROR(GETPIVOTDATA("DJU(chauffagiste)",BDD_DJU!$P$13,"annee",Tab_Calculs[[#This Row],[ANNEE]],"mois_numero",Tab_Calculs[[#This Row],[MOIS]]),0)</f>
        <v>95.8</v>
      </c>
    </row>
    <row r="1070" spans="1:27" x14ac:dyDescent="0.25">
      <c r="A1070" s="3">
        <f>DATE(Tab_Calculs[[#This Row],[ANNEE]],Tab_Calculs[[#This Row],[MOIS]],1)</f>
        <v>43252</v>
      </c>
      <c r="B1070" s="3">
        <f>EDATE(Tab_Calculs[[#This Row],[Début mois]],1)-1</f>
        <v>43281</v>
      </c>
      <c r="C1070">
        <f t="shared" si="36"/>
        <v>6</v>
      </c>
      <c r="D1070">
        <f t="shared" si="35"/>
        <v>2018</v>
      </c>
      <c r="E1070" t="s">
        <v>85</v>
      </c>
      <c r="F1070" t="str">
        <f>SUBSTITUTE(Tab_Calculs[[#This Row],[Compteur]]," ","_")</f>
        <v>Compteur_6</v>
      </c>
      <c r="G1070" t="str">
        <f>T(INDEX(Site!$B$33:$G$40, MATCH(Tab_Calculs[[#This Row],[Compteur]], Site!$B$33:$B$40,0),2))</f>
        <v/>
      </c>
      <c r="H1070" s="3">
        <f t="array" aca="1" ref="H1070" ca="1">MIN(IF(INDIRECT(CONCATENATE(Tab_Calculs[[#This Row],[Colonne1]],"!$B$2:$B$243"))&gt;=Calculs_Consos!$A1070,INDIRECT(CONCATENATE(Tab_Calculs[[#This Row],[Colonne1]],"!$B$2:$B$243"))))</f>
        <v>0</v>
      </c>
      <c r="I1070" s="3">
        <f ca="1">INDEX(INDIRECT(CONCATENATE("Tab_",Tab_Calculs[[#This Row],[Colonne1]])),Tab_Calculs[[#This Row],[index_date_livraison]],1)</f>
        <v>0</v>
      </c>
      <c r="J1070">
        <f ca="1">MATCH(Tab_Calculs[[#This Row],[Date_livraison]],INDIRECT(CONCATENATE("Tab_",Tab_Calculs[[#This Row],[Colonne1]],"[Fin de période]")),0)</f>
        <v>1</v>
      </c>
      <c r="K1070" t="e">
        <f ca="1">INDEX(INDIRECT(CONCATENATE("Tab_",Tab_Calculs[[#This Row],[Colonne1]])),Tab_Calculs[[#This Row],[index_date_livraison]]-1,6)*(MAX(Tab_Calculs[[#This Row],[Début periode livraison]],Tab_Calculs[[#This Row],[Début mois]])-Tab_Calculs[[#This Row],[Début mois]])</f>
        <v>#VALUE!</v>
      </c>
      <c r="L1070" s="94">
        <f ca="1">INDEX(INDIRECT(CONCATENATE("Tab_",Tab_Calculs[[#This Row],[Colonne1]])),Tab_Calculs[[#This Row],[index_date_livraison]],6)*(1+MIN(Tab_Calculs[[#This Row],[Date_livraison]],Tab_Calculs[[#This Row],[fin mois]])-MAX(Tab_Calculs[[#This Row],[Début mois]],Tab_Calculs[[#This Row],[Début periode livraison]]))</f>
        <v>0</v>
      </c>
      <c r="M1070" s="94" t="e">
        <f ca="1">INDEX(INDIRECT(CONCATENATE("Tab_",Tab_Calculs[[#This Row],[Colonne1]])),Tab_Calculs[[#This Row],[index_date_livraison]]+1,6)*(Tab_Calculs[[#This Row],[fin mois]]-MIN(Tab_Calculs[[#This Row],[fin mois]],Tab_Calculs[[#This Row],[Date_livraison]]))</f>
        <v>#VALUE!</v>
      </c>
      <c r="N1070" s="231" t="str">
        <f ca="1">IFERROR(Tab_Calculs[[#This Row],[Ratio_jour_après_livr]]+Tab_Calculs[[#This Row],[Ratio_jour_avant_livr]]+Tab_Calculs[[#This Row],[ratio_avant_debut]],"")</f>
        <v/>
      </c>
      <c r="O1070" t="e">
        <f ca="1">INDEX(INDIRECT(CONCATENATE("Tab_",Tab_Calculs[[#This Row],[Colonne1]])),Tab_Calculs[[#This Row],[index_date_livraison]]-1,7)*(MAX(Tab_Calculs[[#This Row],[Début periode livraison]],Tab_Calculs[[#This Row],[Début mois]])-Tab_Calculs[[#This Row],[Début mois]])</f>
        <v>#VALUE!</v>
      </c>
      <c r="P1070">
        <f ca="1">INDEX(INDIRECT(CONCATENATE("Tab_",Tab_Calculs[[#This Row],[Colonne1]])),Tab_Calculs[[#This Row],[index_date_livraison]],7)*(1+MIN(Tab_Calculs[[#This Row],[Date_livraison]],Tab_Calculs[[#This Row],[fin mois]])-MAX(Tab_Calculs[[#This Row],[Début mois]],Tab_Calculs[[#This Row],[Début periode livraison]]))</f>
        <v>0</v>
      </c>
      <c r="Q1070" t="e">
        <f ca="1">INDEX(INDIRECT(CONCATENATE("Tab_",Tab_Calculs[[#This Row],[Colonne1]])),Tab_Calculs[[#This Row],[index_date_livraison]]+1,7)*(Tab_Calculs[[#This Row],[fin mois]]-MIN(Tab_Calculs[[#This Row],[fin mois]],Tab_Calculs[[#This Row],[Date_livraison]]))</f>
        <v>#VALUE!</v>
      </c>
      <c r="R1070" t="e">
        <f ca="1">Tab_Calculs[[#This Row],[Ratio_Cout_après_livr]]+Tab_Calculs[[#This Row],[Ratio_Cout_avant_livr]]+Tab_Calculs[[#This Row],[Ratio_Cout_avant_debut]]</f>
        <v>#VALUE!</v>
      </c>
      <c r="S1070" t="str">
        <f ca="1">IFERROR(N1070*VLOOKUP(Tab_Calculs[[#This Row],[Colonne1]],Controle_des_données!$B$7:$G$14,6,FALSE),"")</f>
        <v/>
      </c>
      <c r="T1070" t="str">
        <f ca="1">IF(Tab_Calculs[[#This Row],[Combustible ]]="Electricité (kWh)",Tab_Calculs[[#This Row],[Conso_mois_kWh]]*2.3,Tab_Calculs[[#This Row],[Conso_mois_kWh]])</f>
        <v/>
      </c>
      <c r="U1070" t="str">
        <f ca="1">IFERROR(N1070*VLOOKUP(Tab_Calculs[[#This Row],[Colonne1]],Controle_des_données!$B$7:$H$14,7,FALSE),"")</f>
        <v/>
      </c>
      <c r="V1070">
        <f ca="1">IFERROR(Tab_Calculs[[#This Row],[Cout_mois]]/Tab_Calculs[[#This Row],[Conso_mois_kWh]],0)</f>
        <v>0</v>
      </c>
      <c r="W1070" t="str">
        <f>T(VLOOKUP(Tab_Calculs[[#This Row],[Compteur]],Site!$B$33:$G$40,3,FALSE))</f>
        <v/>
      </c>
      <c r="X1070" t="str">
        <f>T(VLOOKUP(Tab_Calculs[[#This Row],[Compteur]],Site!$B$33:$G$40,4,FALSE))</f>
        <v/>
      </c>
      <c r="Y1070" t="str">
        <f>T(VLOOKUP(Tab_Calculs[[#This Row],[Compteur]],Site!$B$33:$G$40,5,FALSE))</f>
        <v/>
      </c>
      <c r="Z1070" t="str">
        <f>T(VLOOKUP(Tab_Calculs[[#This Row],[Compteur]],Site!$B$33:$G$40,6,FALSE))</f>
        <v/>
      </c>
      <c r="AA1070">
        <f>IFERROR(GETPIVOTDATA("DJU(chauffagiste)",BDD_DJU!$P$13,"annee",Tab_Calculs[[#This Row],[ANNEE]],"mois_numero",Tab_Calculs[[#This Row],[MOIS]]),0)</f>
        <v>25.4</v>
      </c>
    </row>
    <row r="1071" spans="1:27" x14ac:dyDescent="0.25">
      <c r="A1071" s="3">
        <f>DATE(Tab_Calculs[[#This Row],[ANNEE]],Tab_Calculs[[#This Row],[MOIS]],1)</f>
        <v>43282</v>
      </c>
      <c r="B1071" s="3">
        <f>EDATE(Tab_Calculs[[#This Row],[Début mois]],1)-1</f>
        <v>43312</v>
      </c>
      <c r="C1071">
        <f t="shared" si="36"/>
        <v>7</v>
      </c>
      <c r="D1071">
        <f t="shared" si="35"/>
        <v>2018</v>
      </c>
      <c r="E1071" t="s">
        <v>85</v>
      </c>
      <c r="F1071" t="str">
        <f>SUBSTITUTE(Tab_Calculs[[#This Row],[Compteur]]," ","_")</f>
        <v>Compteur_6</v>
      </c>
      <c r="G1071" t="str">
        <f>T(INDEX(Site!$B$33:$G$40, MATCH(Tab_Calculs[[#This Row],[Compteur]], Site!$B$33:$B$40,0),2))</f>
        <v/>
      </c>
      <c r="H1071" s="3">
        <f t="array" aca="1" ref="H1071" ca="1">MIN(IF(INDIRECT(CONCATENATE(Tab_Calculs[[#This Row],[Colonne1]],"!$B$2:$B$243"))&gt;=Calculs_Consos!$A1071,INDIRECT(CONCATENATE(Tab_Calculs[[#This Row],[Colonne1]],"!$B$2:$B$243"))))</f>
        <v>0</v>
      </c>
      <c r="I1071" s="3">
        <f ca="1">INDEX(INDIRECT(CONCATENATE("Tab_",Tab_Calculs[[#This Row],[Colonne1]])),Tab_Calculs[[#This Row],[index_date_livraison]],1)</f>
        <v>0</v>
      </c>
      <c r="J1071">
        <f ca="1">MATCH(Tab_Calculs[[#This Row],[Date_livraison]],INDIRECT(CONCATENATE("Tab_",Tab_Calculs[[#This Row],[Colonne1]],"[Fin de période]")),0)</f>
        <v>1</v>
      </c>
      <c r="K1071" t="e">
        <f ca="1">INDEX(INDIRECT(CONCATENATE("Tab_",Tab_Calculs[[#This Row],[Colonne1]])),Tab_Calculs[[#This Row],[index_date_livraison]]-1,6)*(MAX(Tab_Calculs[[#This Row],[Début periode livraison]],Tab_Calculs[[#This Row],[Début mois]])-Tab_Calculs[[#This Row],[Début mois]])</f>
        <v>#VALUE!</v>
      </c>
      <c r="L1071" s="94">
        <f ca="1">INDEX(INDIRECT(CONCATENATE("Tab_",Tab_Calculs[[#This Row],[Colonne1]])),Tab_Calculs[[#This Row],[index_date_livraison]],6)*(1+MIN(Tab_Calculs[[#This Row],[Date_livraison]],Tab_Calculs[[#This Row],[fin mois]])-MAX(Tab_Calculs[[#This Row],[Début mois]],Tab_Calculs[[#This Row],[Début periode livraison]]))</f>
        <v>0</v>
      </c>
      <c r="M1071" s="94" t="e">
        <f ca="1">INDEX(INDIRECT(CONCATENATE("Tab_",Tab_Calculs[[#This Row],[Colonne1]])),Tab_Calculs[[#This Row],[index_date_livraison]]+1,6)*(Tab_Calculs[[#This Row],[fin mois]]-MIN(Tab_Calculs[[#This Row],[fin mois]],Tab_Calculs[[#This Row],[Date_livraison]]))</f>
        <v>#VALUE!</v>
      </c>
      <c r="N1071" s="231" t="str">
        <f ca="1">IFERROR(Tab_Calculs[[#This Row],[Ratio_jour_après_livr]]+Tab_Calculs[[#This Row],[Ratio_jour_avant_livr]]+Tab_Calculs[[#This Row],[ratio_avant_debut]],"")</f>
        <v/>
      </c>
      <c r="O1071" t="e">
        <f ca="1">INDEX(INDIRECT(CONCATENATE("Tab_",Tab_Calculs[[#This Row],[Colonne1]])),Tab_Calculs[[#This Row],[index_date_livraison]]-1,7)*(MAX(Tab_Calculs[[#This Row],[Début periode livraison]],Tab_Calculs[[#This Row],[Début mois]])-Tab_Calculs[[#This Row],[Début mois]])</f>
        <v>#VALUE!</v>
      </c>
      <c r="P1071">
        <f ca="1">INDEX(INDIRECT(CONCATENATE("Tab_",Tab_Calculs[[#This Row],[Colonne1]])),Tab_Calculs[[#This Row],[index_date_livraison]],7)*(1+MIN(Tab_Calculs[[#This Row],[Date_livraison]],Tab_Calculs[[#This Row],[fin mois]])-MAX(Tab_Calculs[[#This Row],[Début mois]],Tab_Calculs[[#This Row],[Début periode livraison]]))</f>
        <v>0</v>
      </c>
      <c r="Q1071" t="e">
        <f ca="1">INDEX(INDIRECT(CONCATENATE("Tab_",Tab_Calculs[[#This Row],[Colonne1]])),Tab_Calculs[[#This Row],[index_date_livraison]]+1,7)*(Tab_Calculs[[#This Row],[fin mois]]-MIN(Tab_Calculs[[#This Row],[fin mois]],Tab_Calculs[[#This Row],[Date_livraison]]))</f>
        <v>#VALUE!</v>
      </c>
      <c r="R1071" t="e">
        <f ca="1">Tab_Calculs[[#This Row],[Ratio_Cout_après_livr]]+Tab_Calculs[[#This Row],[Ratio_Cout_avant_livr]]+Tab_Calculs[[#This Row],[Ratio_Cout_avant_debut]]</f>
        <v>#VALUE!</v>
      </c>
      <c r="S1071" t="str">
        <f ca="1">IFERROR(N1071*VLOOKUP(Tab_Calculs[[#This Row],[Colonne1]],Controle_des_données!$B$7:$G$14,6,FALSE),"")</f>
        <v/>
      </c>
      <c r="T1071" t="str">
        <f ca="1">IF(Tab_Calculs[[#This Row],[Combustible ]]="Electricité (kWh)",Tab_Calculs[[#This Row],[Conso_mois_kWh]]*2.3,Tab_Calculs[[#This Row],[Conso_mois_kWh]])</f>
        <v/>
      </c>
      <c r="U1071" t="str">
        <f ca="1">IFERROR(N1071*VLOOKUP(Tab_Calculs[[#This Row],[Colonne1]],Controle_des_données!$B$7:$H$14,7,FALSE),"")</f>
        <v/>
      </c>
      <c r="V1071">
        <f ca="1">IFERROR(Tab_Calculs[[#This Row],[Cout_mois]]/Tab_Calculs[[#This Row],[Conso_mois_kWh]],0)</f>
        <v>0</v>
      </c>
      <c r="W1071" t="str">
        <f>T(VLOOKUP(Tab_Calculs[[#This Row],[Compteur]],Site!$B$33:$G$40,3,FALSE))</f>
        <v/>
      </c>
      <c r="X1071" t="str">
        <f>T(VLOOKUP(Tab_Calculs[[#This Row],[Compteur]],Site!$B$33:$G$40,4,FALSE))</f>
        <v/>
      </c>
      <c r="Y1071" t="str">
        <f>T(VLOOKUP(Tab_Calculs[[#This Row],[Compteur]],Site!$B$33:$G$40,5,FALSE))</f>
        <v/>
      </c>
      <c r="Z1071" t="str">
        <f>T(VLOOKUP(Tab_Calculs[[#This Row],[Compteur]],Site!$B$33:$G$40,6,FALSE))</f>
        <v/>
      </c>
      <c r="AA1071">
        <f>IFERROR(GETPIVOTDATA("DJU(chauffagiste)",BDD_DJU!$P$13,"annee",Tab_Calculs[[#This Row],[ANNEE]],"mois_numero",Tab_Calculs[[#This Row],[MOIS]]),0)</f>
        <v>5.9</v>
      </c>
    </row>
    <row r="1072" spans="1:27" x14ac:dyDescent="0.25">
      <c r="A1072" s="3">
        <f>DATE(Tab_Calculs[[#This Row],[ANNEE]],Tab_Calculs[[#This Row],[MOIS]],1)</f>
        <v>43313</v>
      </c>
      <c r="B1072" s="3">
        <f>EDATE(Tab_Calculs[[#This Row],[Début mois]],1)-1</f>
        <v>43343</v>
      </c>
      <c r="C1072">
        <f t="shared" si="36"/>
        <v>8</v>
      </c>
      <c r="D1072">
        <f t="shared" si="35"/>
        <v>2018</v>
      </c>
      <c r="E1072" t="s">
        <v>85</v>
      </c>
      <c r="F1072" t="str">
        <f>SUBSTITUTE(Tab_Calculs[[#This Row],[Compteur]]," ","_")</f>
        <v>Compteur_6</v>
      </c>
      <c r="G1072" t="str">
        <f>T(INDEX(Site!$B$33:$G$40, MATCH(Tab_Calculs[[#This Row],[Compteur]], Site!$B$33:$B$40,0),2))</f>
        <v/>
      </c>
      <c r="H1072" s="3">
        <f t="array" aca="1" ref="H1072" ca="1">MIN(IF(INDIRECT(CONCATENATE(Tab_Calculs[[#This Row],[Colonne1]],"!$B$2:$B$243"))&gt;=Calculs_Consos!$A1072,INDIRECT(CONCATENATE(Tab_Calculs[[#This Row],[Colonne1]],"!$B$2:$B$243"))))</f>
        <v>0</v>
      </c>
      <c r="I1072" s="3">
        <f ca="1">INDEX(INDIRECT(CONCATENATE("Tab_",Tab_Calculs[[#This Row],[Colonne1]])),Tab_Calculs[[#This Row],[index_date_livraison]],1)</f>
        <v>0</v>
      </c>
      <c r="J1072">
        <f ca="1">MATCH(Tab_Calculs[[#This Row],[Date_livraison]],INDIRECT(CONCATENATE("Tab_",Tab_Calculs[[#This Row],[Colonne1]],"[Fin de période]")),0)</f>
        <v>1</v>
      </c>
      <c r="K1072" t="e">
        <f ca="1">INDEX(INDIRECT(CONCATENATE("Tab_",Tab_Calculs[[#This Row],[Colonne1]])),Tab_Calculs[[#This Row],[index_date_livraison]]-1,6)*(MAX(Tab_Calculs[[#This Row],[Début periode livraison]],Tab_Calculs[[#This Row],[Début mois]])-Tab_Calculs[[#This Row],[Début mois]])</f>
        <v>#VALUE!</v>
      </c>
      <c r="L1072" s="94">
        <f ca="1">INDEX(INDIRECT(CONCATENATE("Tab_",Tab_Calculs[[#This Row],[Colonne1]])),Tab_Calculs[[#This Row],[index_date_livraison]],6)*(1+MIN(Tab_Calculs[[#This Row],[Date_livraison]],Tab_Calculs[[#This Row],[fin mois]])-MAX(Tab_Calculs[[#This Row],[Début mois]],Tab_Calculs[[#This Row],[Début periode livraison]]))</f>
        <v>0</v>
      </c>
      <c r="M1072" s="94" t="e">
        <f ca="1">INDEX(INDIRECT(CONCATENATE("Tab_",Tab_Calculs[[#This Row],[Colonne1]])),Tab_Calculs[[#This Row],[index_date_livraison]]+1,6)*(Tab_Calculs[[#This Row],[fin mois]]-MIN(Tab_Calculs[[#This Row],[fin mois]],Tab_Calculs[[#This Row],[Date_livraison]]))</f>
        <v>#VALUE!</v>
      </c>
      <c r="N1072" s="231" t="str">
        <f ca="1">IFERROR(Tab_Calculs[[#This Row],[Ratio_jour_après_livr]]+Tab_Calculs[[#This Row],[Ratio_jour_avant_livr]]+Tab_Calculs[[#This Row],[ratio_avant_debut]],"")</f>
        <v/>
      </c>
      <c r="O1072" t="e">
        <f ca="1">INDEX(INDIRECT(CONCATENATE("Tab_",Tab_Calculs[[#This Row],[Colonne1]])),Tab_Calculs[[#This Row],[index_date_livraison]]-1,7)*(MAX(Tab_Calculs[[#This Row],[Début periode livraison]],Tab_Calculs[[#This Row],[Début mois]])-Tab_Calculs[[#This Row],[Début mois]])</f>
        <v>#VALUE!</v>
      </c>
      <c r="P1072">
        <f ca="1">INDEX(INDIRECT(CONCATENATE("Tab_",Tab_Calculs[[#This Row],[Colonne1]])),Tab_Calculs[[#This Row],[index_date_livraison]],7)*(1+MIN(Tab_Calculs[[#This Row],[Date_livraison]],Tab_Calculs[[#This Row],[fin mois]])-MAX(Tab_Calculs[[#This Row],[Début mois]],Tab_Calculs[[#This Row],[Début periode livraison]]))</f>
        <v>0</v>
      </c>
      <c r="Q1072" t="e">
        <f ca="1">INDEX(INDIRECT(CONCATENATE("Tab_",Tab_Calculs[[#This Row],[Colonne1]])),Tab_Calculs[[#This Row],[index_date_livraison]]+1,7)*(Tab_Calculs[[#This Row],[fin mois]]-MIN(Tab_Calculs[[#This Row],[fin mois]],Tab_Calculs[[#This Row],[Date_livraison]]))</f>
        <v>#VALUE!</v>
      </c>
      <c r="R1072" t="e">
        <f ca="1">Tab_Calculs[[#This Row],[Ratio_Cout_après_livr]]+Tab_Calculs[[#This Row],[Ratio_Cout_avant_livr]]+Tab_Calculs[[#This Row],[Ratio_Cout_avant_debut]]</f>
        <v>#VALUE!</v>
      </c>
      <c r="S1072" t="str">
        <f ca="1">IFERROR(N1072*VLOOKUP(Tab_Calculs[[#This Row],[Colonne1]],Controle_des_données!$B$7:$G$14,6,FALSE),"")</f>
        <v/>
      </c>
      <c r="T1072" t="str">
        <f ca="1">IF(Tab_Calculs[[#This Row],[Combustible ]]="Electricité (kWh)",Tab_Calculs[[#This Row],[Conso_mois_kWh]]*2.3,Tab_Calculs[[#This Row],[Conso_mois_kWh]])</f>
        <v/>
      </c>
      <c r="U1072" t="str">
        <f ca="1">IFERROR(N1072*VLOOKUP(Tab_Calculs[[#This Row],[Colonne1]],Controle_des_données!$B$7:$H$14,7,FALSE),"")</f>
        <v/>
      </c>
      <c r="V1072">
        <f ca="1">IFERROR(Tab_Calculs[[#This Row],[Cout_mois]]/Tab_Calculs[[#This Row],[Conso_mois_kWh]],0)</f>
        <v>0</v>
      </c>
      <c r="W1072" t="str">
        <f>T(VLOOKUP(Tab_Calculs[[#This Row],[Compteur]],Site!$B$33:$G$40,3,FALSE))</f>
        <v/>
      </c>
      <c r="X1072" t="str">
        <f>T(VLOOKUP(Tab_Calculs[[#This Row],[Compteur]],Site!$B$33:$G$40,4,FALSE))</f>
        <v/>
      </c>
      <c r="Y1072" t="str">
        <f>T(VLOOKUP(Tab_Calculs[[#This Row],[Compteur]],Site!$B$33:$G$40,5,FALSE))</f>
        <v/>
      </c>
      <c r="Z1072" t="str">
        <f>T(VLOOKUP(Tab_Calculs[[#This Row],[Compteur]],Site!$B$33:$G$40,6,FALSE))</f>
        <v/>
      </c>
      <c r="AA1072">
        <f>IFERROR(GETPIVOTDATA("DJU(chauffagiste)",BDD_DJU!$P$13,"annee",Tab_Calculs[[#This Row],[ANNEE]],"mois_numero",Tab_Calculs[[#This Row],[MOIS]]),0)</f>
        <v>26</v>
      </c>
    </row>
    <row r="1073" spans="1:27" x14ac:dyDescent="0.25">
      <c r="A1073" s="3">
        <f>DATE(Tab_Calculs[[#This Row],[ANNEE]],Tab_Calculs[[#This Row],[MOIS]],1)</f>
        <v>43344</v>
      </c>
      <c r="B1073" s="3">
        <f>EDATE(Tab_Calculs[[#This Row],[Début mois]],1)-1</f>
        <v>43373</v>
      </c>
      <c r="C1073">
        <f t="shared" si="36"/>
        <v>9</v>
      </c>
      <c r="D1073">
        <f>D1061+1</f>
        <v>2018</v>
      </c>
      <c r="E1073" t="s">
        <v>85</v>
      </c>
      <c r="F1073" t="str">
        <f>SUBSTITUTE(Tab_Calculs[[#This Row],[Compteur]]," ","_")</f>
        <v>Compteur_6</v>
      </c>
      <c r="G1073" t="str">
        <f>T(INDEX(Site!$B$33:$G$40, MATCH(Tab_Calculs[[#This Row],[Compteur]], Site!$B$33:$B$40,0),2))</f>
        <v/>
      </c>
      <c r="H1073" s="3">
        <f t="array" aca="1" ref="H1073" ca="1">MIN(IF(INDIRECT(CONCATENATE(Tab_Calculs[[#This Row],[Colonne1]],"!$B$2:$B$243"))&gt;=Calculs_Consos!$A1073,INDIRECT(CONCATENATE(Tab_Calculs[[#This Row],[Colonne1]],"!$B$2:$B$243"))))</f>
        <v>0</v>
      </c>
      <c r="I1073" s="3">
        <f ca="1">INDEX(INDIRECT(CONCATENATE("Tab_",Tab_Calculs[[#This Row],[Colonne1]])),Tab_Calculs[[#This Row],[index_date_livraison]],1)</f>
        <v>0</v>
      </c>
      <c r="J1073">
        <f ca="1">MATCH(Tab_Calculs[[#This Row],[Date_livraison]],INDIRECT(CONCATENATE("Tab_",Tab_Calculs[[#This Row],[Colonne1]],"[Fin de période]")),0)</f>
        <v>1</v>
      </c>
      <c r="K1073" t="e">
        <f ca="1">INDEX(INDIRECT(CONCATENATE("Tab_",Tab_Calculs[[#This Row],[Colonne1]])),Tab_Calculs[[#This Row],[index_date_livraison]]-1,6)*(MAX(Tab_Calculs[[#This Row],[Début periode livraison]],Tab_Calculs[[#This Row],[Début mois]])-Tab_Calculs[[#This Row],[Début mois]])</f>
        <v>#VALUE!</v>
      </c>
      <c r="L1073" s="94">
        <f ca="1">INDEX(INDIRECT(CONCATENATE("Tab_",Tab_Calculs[[#This Row],[Colonne1]])),Tab_Calculs[[#This Row],[index_date_livraison]],6)*(1+MIN(Tab_Calculs[[#This Row],[Date_livraison]],Tab_Calculs[[#This Row],[fin mois]])-MAX(Tab_Calculs[[#This Row],[Début mois]],Tab_Calculs[[#This Row],[Début periode livraison]]))</f>
        <v>0</v>
      </c>
      <c r="M1073" s="94" t="e">
        <f ca="1">INDEX(INDIRECT(CONCATENATE("Tab_",Tab_Calculs[[#This Row],[Colonne1]])),Tab_Calculs[[#This Row],[index_date_livraison]]+1,6)*(Tab_Calculs[[#This Row],[fin mois]]-MIN(Tab_Calculs[[#This Row],[fin mois]],Tab_Calculs[[#This Row],[Date_livraison]]))</f>
        <v>#VALUE!</v>
      </c>
      <c r="N1073" s="231" t="str">
        <f ca="1">IFERROR(Tab_Calculs[[#This Row],[Ratio_jour_après_livr]]+Tab_Calculs[[#This Row],[Ratio_jour_avant_livr]]+Tab_Calculs[[#This Row],[ratio_avant_debut]],"")</f>
        <v/>
      </c>
      <c r="O1073" t="e">
        <f ca="1">INDEX(INDIRECT(CONCATENATE("Tab_",Tab_Calculs[[#This Row],[Colonne1]])),Tab_Calculs[[#This Row],[index_date_livraison]]-1,7)*(MAX(Tab_Calculs[[#This Row],[Début periode livraison]],Tab_Calculs[[#This Row],[Début mois]])-Tab_Calculs[[#This Row],[Début mois]])</f>
        <v>#VALUE!</v>
      </c>
      <c r="P1073">
        <f ca="1">INDEX(INDIRECT(CONCATENATE("Tab_",Tab_Calculs[[#This Row],[Colonne1]])),Tab_Calculs[[#This Row],[index_date_livraison]],7)*(1+MIN(Tab_Calculs[[#This Row],[Date_livraison]],Tab_Calculs[[#This Row],[fin mois]])-MAX(Tab_Calculs[[#This Row],[Début mois]],Tab_Calculs[[#This Row],[Début periode livraison]]))</f>
        <v>0</v>
      </c>
      <c r="Q1073" t="e">
        <f ca="1">INDEX(INDIRECT(CONCATENATE("Tab_",Tab_Calculs[[#This Row],[Colonne1]])),Tab_Calculs[[#This Row],[index_date_livraison]]+1,7)*(Tab_Calculs[[#This Row],[fin mois]]-MIN(Tab_Calculs[[#This Row],[fin mois]],Tab_Calculs[[#This Row],[Date_livraison]]))</f>
        <v>#VALUE!</v>
      </c>
      <c r="R1073" t="e">
        <f ca="1">Tab_Calculs[[#This Row],[Ratio_Cout_après_livr]]+Tab_Calculs[[#This Row],[Ratio_Cout_avant_livr]]+Tab_Calculs[[#This Row],[Ratio_Cout_avant_debut]]</f>
        <v>#VALUE!</v>
      </c>
      <c r="S1073" t="str">
        <f ca="1">IFERROR(N1073*VLOOKUP(Tab_Calculs[[#This Row],[Colonne1]],Controle_des_données!$B$7:$G$14,6,FALSE),"")</f>
        <v/>
      </c>
      <c r="T1073" t="str">
        <f ca="1">IF(Tab_Calculs[[#This Row],[Combustible ]]="Electricité (kWh)",Tab_Calculs[[#This Row],[Conso_mois_kWh]]*2.3,Tab_Calculs[[#This Row],[Conso_mois_kWh]])</f>
        <v/>
      </c>
      <c r="U1073" t="str">
        <f ca="1">IFERROR(N1073*VLOOKUP(Tab_Calculs[[#This Row],[Colonne1]],Controle_des_données!$B$7:$H$14,7,FALSE),"")</f>
        <v/>
      </c>
      <c r="V1073">
        <f ca="1">IFERROR(Tab_Calculs[[#This Row],[Cout_mois]]/Tab_Calculs[[#This Row],[Conso_mois_kWh]],0)</f>
        <v>0</v>
      </c>
      <c r="W1073" t="str">
        <f>T(VLOOKUP(Tab_Calculs[[#This Row],[Compteur]],Site!$B$33:$G$40,3,FALSE))</f>
        <v/>
      </c>
      <c r="X1073" t="str">
        <f>T(VLOOKUP(Tab_Calculs[[#This Row],[Compteur]],Site!$B$33:$G$40,4,FALSE))</f>
        <v/>
      </c>
      <c r="Y1073" t="str">
        <f>T(VLOOKUP(Tab_Calculs[[#This Row],[Compteur]],Site!$B$33:$G$40,5,FALSE))</f>
        <v/>
      </c>
      <c r="Z1073" t="str">
        <f>T(VLOOKUP(Tab_Calculs[[#This Row],[Compteur]],Site!$B$33:$G$40,6,FALSE))</f>
        <v/>
      </c>
      <c r="AA1073">
        <f>IFERROR(GETPIVOTDATA("DJU(chauffagiste)",BDD_DJU!$P$13,"annee",Tab_Calculs[[#This Row],[ANNEE]],"mois_numero",Tab_Calculs[[#This Row],[MOIS]]),0)</f>
        <v>73.599999999999994</v>
      </c>
    </row>
    <row r="1074" spans="1:27" x14ac:dyDescent="0.25">
      <c r="A1074" s="3">
        <f>DATE(Tab_Calculs[[#This Row],[ANNEE]],Tab_Calculs[[#This Row],[MOIS]],1)</f>
        <v>43374</v>
      </c>
      <c r="B1074" s="3">
        <f>EDATE(Tab_Calculs[[#This Row],[Début mois]],1)-1</f>
        <v>43404</v>
      </c>
      <c r="C1074">
        <f t="shared" si="36"/>
        <v>10</v>
      </c>
      <c r="D1074">
        <f t="shared" si="35"/>
        <v>2018</v>
      </c>
      <c r="E1074" t="s">
        <v>85</v>
      </c>
      <c r="F1074" t="str">
        <f>SUBSTITUTE(Tab_Calculs[[#This Row],[Compteur]]," ","_")</f>
        <v>Compteur_6</v>
      </c>
      <c r="G1074" t="str">
        <f>T(INDEX(Site!$B$33:$G$40, MATCH(Tab_Calculs[[#This Row],[Compteur]], Site!$B$33:$B$40,0),2))</f>
        <v/>
      </c>
      <c r="H1074" s="3">
        <f t="array" aca="1" ref="H1074" ca="1">MIN(IF(INDIRECT(CONCATENATE(Tab_Calculs[[#This Row],[Colonne1]],"!$B$2:$B$243"))&gt;=Calculs_Consos!$A1074,INDIRECT(CONCATENATE(Tab_Calculs[[#This Row],[Colonne1]],"!$B$2:$B$243"))))</f>
        <v>0</v>
      </c>
      <c r="I1074" s="3">
        <f ca="1">INDEX(INDIRECT(CONCATENATE("Tab_",Tab_Calculs[[#This Row],[Colonne1]])),Tab_Calculs[[#This Row],[index_date_livraison]],1)</f>
        <v>0</v>
      </c>
      <c r="J1074">
        <f ca="1">MATCH(Tab_Calculs[[#This Row],[Date_livraison]],INDIRECT(CONCATENATE("Tab_",Tab_Calculs[[#This Row],[Colonne1]],"[Fin de période]")),0)</f>
        <v>1</v>
      </c>
      <c r="K1074" t="e">
        <f ca="1">INDEX(INDIRECT(CONCATENATE("Tab_",Tab_Calculs[[#This Row],[Colonne1]])),Tab_Calculs[[#This Row],[index_date_livraison]]-1,6)*(MAX(Tab_Calculs[[#This Row],[Début periode livraison]],Tab_Calculs[[#This Row],[Début mois]])-Tab_Calculs[[#This Row],[Début mois]])</f>
        <v>#VALUE!</v>
      </c>
      <c r="L1074" s="94">
        <f ca="1">INDEX(INDIRECT(CONCATENATE("Tab_",Tab_Calculs[[#This Row],[Colonne1]])),Tab_Calculs[[#This Row],[index_date_livraison]],6)*(1+MIN(Tab_Calculs[[#This Row],[Date_livraison]],Tab_Calculs[[#This Row],[fin mois]])-MAX(Tab_Calculs[[#This Row],[Début mois]],Tab_Calculs[[#This Row],[Début periode livraison]]))</f>
        <v>0</v>
      </c>
      <c r="M1074" s="94" t="e">
        <f ca="1">INDEX(INDIRECT(CONCATENATE("Tab_",Tab_Calculs[[#This Row],[Colonne1]])),Tab_Calculs[[#This Row],[index_date_livraison]]+1,6)*(Tab_Calculs[[#This Row],[fin mois]]-MIN(Tab_Calculs[[#This Row],[fin mois]],Tab_Calculs[[#This Row],[Date_livraison]]))</f>
        <v>#VALUE!</v>
      </c>
      <c r="N1074" s="231" t="str">
        <f ca="1">IFERROR(Tab_Calculs[[#This Row],[Ratio_jour_après_livr]]+Tab_Calculs[[#This Row],[Ratio_jour_avant_livr]]+Tab_Calculs[[#This Row],[ratio_avant_debut]],"")</f>
        <v/>
      </c>
      <c r="O1074" t="e">
        <f ca="1">INDEX(INDIRECT(CONCATENATE("Tab_",Tab_Calculs[[#This Row],[Colonne1]])),Tab_Calculs[[#This Row],[index_date_livraison]]-1,7)*(MAX(Tab_Calculs[[#This Row],[Début periode livraison]],Tab_Calculs[[#This Row],[Début mois]])-Tab_Calculs[[#This Row],[Début mois]])</f>
        <v>#VALUE!</v>
      </c>
      <c r="P1074">
        <f ca="1">INDEX(INDIRECT(CONCATENATE("Tab_",Tab_Calculs[[#This Row],[Colonne1]])),Tab_Calculs[[#This Row],[index_date_livraison]],7)*(1+MIN(Tab_Calculs[[#This Row],[Date_livraison]],Tab_Calculs[[#This Row],[fin mois]])-MAX(Tab_Calculs[[#This Row],[Début mois]],Tab_Calculs[[#This Row],[Début periode livraison]]))</f>
        <v>0</v>
      </c>
      <c r="Q1074" t="e">
        <f ca="1">INDEX(INDIRECT(CONCATENATE("Tab_",Tab_Calculs[[#This Row],[Colonne1]])),Tab_Calculs[[#This Row],[index_date_livraison]]+1,7)*(Tab_Calculs[[#This Row],[fin mois]]-MIN(Tab_Calculs[[#This Row],[fin mois]],Tab_Calculs[[#This Row],[Date_livraison]]))</f>
        <v>#VALUE!</v>
      </c>
      <c r="R1074" t="e">
        <f ca="1">Tab_Calculs[[#This Row],[Ratio_Cout_après_livr]]+Tab_Calculs[[#This Row],[Ratio_Cout_avant_livr]]+Tab_Calculs[[#This Row],[Ratio_Cout_avant_debut]]</f>
        <v>#VALUE!</v>
      </c>
      <c r="S1074" t="str">
        <f ca="1">IFERROR(N1074*VLOOKUP(Tab_Calculs[[#This Row],[Colonne1]],Controle_des_données!$B$7:$G$14,6,FALSE),"")</f>
        <v/>
      </c>
      <c r="T1074" t="str">
        <f ca="1">IF(Tab_Calculs[[#This Row],[Combustible ]]="Electricité (kWh)",Tab_Calculs[[#This Row],[Conso_mois_kWh]]*2.3,Tab_Calculs[[#This Row],[Conso_mois_kWh]])</f>
        <v/>
      </c>
      <c r="U1074" t="str">
        <f ca="1">IFERROR(N1074*VLOOKUP(Tab_Calculs[[#This Row],[Colonne1]],Controle_des_données!$B$7:$H$14,7,FALSE),"")</f>
        <v/>
      </c>
      <c r="V1074">
        <f ca="1">IFERROR(Tab_Calculs[[#This Row],[Cout_mois]]/Tab_Calculs[[#This Row],[Conso_mois_kWh]],0)</f>
        <v>0</v>
      </c>
      <c r="W1074" t="str">
        <f>T(VLOOKUP(Tab_Calculs[[#This Row],[Compteur]],Site!$B$33:$G$40,3,FALSE))</f>
        <v/>
      </c>
      <c r="X1074" t="str">
        <f>T(VLOOKUP(Tab_Calculs[[#This Row],[Compteur]],Site!$B$33:$G$40,4,FALSE))</f>
        <v/>
      </c>
      <c r="Y1074" t="str">
        <f>T(VLOOKUP(Tab_Calculs[[#This Row],[Compteur]],Site!$B$33:$G$40,5,FALSE))</f>
        <v/>
      </c>
      <c r="Z1074" t="str">
        <f>T(VLOOKUP(Tab_Calculs[[#This Row],[Compteur]],Site!$B$33:$G$40,6,FALSE))</f>
        <v/>
      </c>
      <c r="AA1074">
        <f>IFERROR(GETPIVOTDATA("DJU(chauffagiste)",BDD_DJU!$P$13,"annee",Tab_Calculs[[#This Row],[ANNEE]],"mois_numero",Tab_Calculs[[#This Row],[MOIS]]),0)</f>
        <v>157.5</v>
      </c>
    </row>
    <row r="1075" spans="1:27" x14ac:dyDescent="0.25">
      <c r="A1075" s="3">
        <f>DATE(Tab_Calculs[[#This Row],[ANNEE]],Tab_Calculs[[#This Row],[MOIS]],1)</f>
        <v>43405</v>
      </c>
      <c r="B1075" s="3">
        <f>EDATE(Tab_Calculs[[#This Row],[Début mois]],1)-1</f>
        <v>43434</v>
      </c>
      <c r="C1075">
        <f t="shared" si="36"/>
        <v>11</v>
      </c>
      <c r="D1075">
        <f t="shared" si="35"/>
        <v>2018</v>
      </c>
      <c r="E1075" t="s">
        <v>85</v>
      </c>
      <c r="F1075" t="str">
        <f>SUBSTITUTE(Tab_Calculs[[#This Row],[Compteur]]," ","_")</f>
        <v>Compteur_6</v>
      </c>
      <c r="G1075" t="str">
        <f>T(INDEX(Site!$B$33:$G$40, MATCH(Tab_Calculs[[#This Row],[Compteur]], Site!$B$33:$B$40,0),2))</f>
        <v/>
      </c>
      <c r="H1075" s="3">
        <f t="array" aca="1" ref="H1075" ca="1">MIN(IF(INDIRECT(CONCATENATE(Tab_Calculs[[#This Row],[Colonne1]],"!$B$2:$B$243"))&gt;=Calculs_Consos!$A1075,INDIRECT(CONCATENATE(Tab_Calculs[[#This Row],[Colonne1]],"!$B$2:$B$243"))))</f>
        <v>0</v>
      </c>
      <c r="I1075" s="3">
        <f ca="1">INDEX(INDIRECT(CONCATENATE("Tab_",Tab_Calculs[[#This Row],[Colonne1]])),Tab_Calculs[[#This Row],[index_date_livraison]],1)</f>
        <v>0</v>
      </c>
      <c r="J1075">
        <f ca="1">MATCH(Tab_Calculs[[#This Row],[Date_livraison]],INDIRECT(CONCATENATE("Tab_",Tab_Calculs[[#This Row],[Colonne1]],"[Fin de période]")),0)</f>
        <v>1</v>
      </c>
      <c r="K1075" t="e">
        <f ca="1">INDEX(INDIRECT(CONCATENATE("Tab_",Tab_Calculs[[#This Row],[Colonne1]])),Tab_Calculs[[#This Row],[index_date_livraison]]-1,6)*(MAX(Tab_Calculs[[#This Row],[Début periode livraison]],Tab_Calculs[[#This Row],[Début mois]])-Tab_Calculs[[#This Row],[Début mois]])</f>
        <v>#VALUE!</v>
      </c>
      <c r="L1075" s="94">
        <f ca="1">INDEX(INDIRECT(CONCATENATE("Tab_",Tab_Calculs[[#This Row],[Colonne1]])),Tab_Calculs[[#This Row],[index_date_livraison]],6)*(1+MIN(Tab_Calculs[[#This Row],[Date_livraison]],Tab_Calculs[[#This Row],[fin mois]])-MAX(Tab_Calculs[[#This Row],[Début mois]],Tab_Calculs[[#This Row],[Début periode livraison]]))</f>
        <v>0</v>
      </c>
      <c r="M1075" s="94" t="e">
        <f ca="1">INDEX(INDIRECT(CONCATENATE("Tab_",Tab_Calculs[[#This Row],[Colonne1]])),Tab_Calculs[[#This Row],[index_date_livraison]]+1,6)*(Tab_Calculs[[#This Row],[fin mois]]-MIN(Tab_Calculs[[#This Row],[fin mois]],Tab_Calculs[[#This Row],[Date_livraison]]))</f>
        <v>#VALUE!</v>
      </c>
      <c r="N1075" s="231" t="str">
        <f ca="1">IFERROR(Tab_Calculs[[#This Row],[Ratio_jour_après_livr]]+Tab_Calculs[[#This Row],[Ratio_jour_avant_livr]]+Tab_Calculs[[#This Row],[ratio_avant_debut]],"")</f>
        <v/>
      </c>
      <c r="O1075" t="e">
        <f ca="1">INDEX(INDIRECT(CONCATENATE("Tab_",Tab_Calculs[[#This Row],[Colonne1]])),Tab_Calculs[[#This Row],[index_date_livraison]]-1,7)*(MAX(Tab_Calculs[[#This Row],[Début periode livraison]],Tab_Calculs[[#This Row],[Début mois]])-Tab_Calculs[[#This Row],[Début mois]])</f>
        <v>#VALUE!</v>
      </c>
      <c r="P1075">
        <f ca="1">INDEX(INDIRECT(CONCATENATE("Tab_",Tab_Calculs[[#This Row],[Colonne1]])),Tab_Calculs[[#This Row],[index_date_livraison]],7)*(1+MIN(Tab_Calculs[[#This Row],[Date_livraison]],Tab_Calculs[[#This Row],[fin mois]])-MAX(Tab_Calculs[[#This Row],[Début mois]],Tab_Calculs[[#This Row],[Début periode livraison]]))</f>
        <v>0</v>
      </c>
      <c r="Q1075" t="e">
        <f ca="1">INDEX(INDIRECT(CONCATENATE("Tab_",Tab_Calculs[[#This Row],[Colonne1]])),Tab_Calculs[[#This Row],[index_date_livraison]]+1,7)*(Tab_Calculs[[#This Row],[fin mois]]-MIN(Tab_Calculs[[#This Row],[fin mois]],Tab_Calculs[[#This Row],[Date_livraison]]))</f>
        <v>#VALUE!</v>
      </c>
      <c r="R1075" t="e">
        <f ca="1">Tab_Calculs[[#This Row],[Ratio_Cout_après_livr]]+Tab_Calculs[[#This Row],[Ratio_Cout_avant_livr]]+Tab_Calculs[[#This Row],[Ratio_Cout_avant_debut]]</f>
        <v>#VALUE!</v>
      </c>
      <c r="S1075" t="str">
        <f ca="1">IFERROR(N1075*VLOOKUP(Tab_Calculs[[#This Row],[Colonne1]],Controle_des_données!$B$7:$G$14,6,FALSE),"")</f>
        <v/>
      </c>
      <c r="T1075" t="str">
        <f ca="1">IF(Tab_Calculs[[#This Row],[Combustible ]]="Electricité (kWh)",Tab_Calculs[[#This Row],[Conso_mois_kWh]]*2.3,Tab_Calculs[[#This Row],[Conso_mois_kWh]])</f>
        <v/>
      </c>
      <c r="U1075" t="str">
        <f ca="1">IFERROR(N1075*VLOOKUP(Tab_Calculs[[#This Row],[Colonne1]],Controle_des_données!$B$7:$H$14,7,FALSE),"")</f>
        <v/>
      </c>
      <c r="V1075">
        <f ca="1">IFERROR(Tab_Calculs[[#This Row],[Cout_mois]]/Tab_Calculs[[#This Row],[Conso_mois_kWh]],0)</f>
        <v>0</v>
      </c>
      <c r="W1075" t="str">
        <f>T(VLOOKUP(Tab_Calculs[[#This Row],[Compteur]],Site!$B$33:$G$40,3,FALSE))</f>
        <v/>
      </c>
      <c r="X1075" t="str">
        <f>T(VLOOKUP(Tab_Calculs[[#This Row],[Compteur]],Site!$B$33:$G$40,4,FALSE))</f>
        <v/>
      </c>
      <c r="Y1075" t="str">
        <f>T(VLOOKUP(Tab_Calculs[[#This Row],[Compteur]],Site!$B$33:$G$40,5,FALSE))</f>
        <v/>
      </c>
      <c r="Z1075" t="str">
        <f>T(VLOOKUP(Tab_Calculs[[#This Row],[Compteur]],Site!$B$33:$G$40,6,FALSE))</f>
        <v/>
      </c>
      <c r="AA1075">
        <f>IFERROR(GETPIVOTDATA("DJU(chauffagiste)",BDD_DJU!$P$13,"annee",Tab_Calculs[[#This Row],[ANNEE]],"mois_numero",Tab_Calculs[[#This Row],[MOIS]]),0)</f>
        <v>278</v>
      </c>
    </row>
    <row r="1076" spans="1:27" x14ac:dyDescent="0.25">
      <c r="A1076" s="3">
        <f>DATE(Tab_Calculs[[#This Row],[ANNEE]],Tab_Calculs[[#This Row],[MOIS]],1)</f>
        <v>43435</v>
      </c>
      <c r="B1076" s="3">
        <f>EDATE(Tab_Calculs[[#This Row],[Début mois]],1)-1</f>
        <v>43465</v>
      </c>
      <c r="C1076">
        <f t="shared" si="36"/>
        <v>12</v>
      </c>
      <c r="D1076">
        <f t="shared" si="35"/>
        <v>2018</v>
      </c>
      <c r="E1076" t="s">
        <v>85</v>
      </c>
      <c r="F1076" t="str">
        <f>SUBSTITUTE(Tab_Calculs[[#This Row],[Compteur]]," ","_")</f>
        <v>Compteur_6</v>
      </c>
      <c r="G1076" t="str">
        <f>T(INDEX(Site!$B$33:$G$40, MATCH(Tab_Calculs[[#This Row],[Compteur]], Site!$B$33:$B$40,0),2))</f>
        <v/>
      </c>
      <c r="H1076" s="3">
        <f t="array" aca="1" ref="H1076" ca="1">MIN(IF(INDIRECT(CONCATENATE(Tab_Calculs[[#This Row],[Colonne1]],"!$B$2:$B$243"))&gt;=Calculs_Consos!$A1076,INDIRECT(CONCATENATE(Tab_Calculs[[#This Row],[Colonne1]],"!$B$2:$B$243"))))</f>
        <v>0</v>
      </c>
      <c r="I1076" s="3">
        <f ca="1">INDEX(INDIRECT(CONCATENATE("Tab_",Tab_Calculs[[#This Row],[Colonne1]])),Tab_Calculs[[#This Row],[index_date_livraison]],1)</f>
        <v>0</v>
      </c>
      <c r="J1076">
        <f ca="1">MATCH(Tab_Calculs[[#This Row],[Date_livraison]],INDIRECT(CONCATENATE("Tab_",Tab_Calculs[[#This Row],[Colonne1]],"[Fin de période]")),0)</f>
        <v>1</v>
      </c>
      <c r="K1076" t="e">
        <f ca="1">INDEX(INDIRECT(CONCATENATE("Tab_",Tab_Calculs[[#This Row],[Colonne1]])),Tab_Calculs[[#This Row],[index_date_livraison]]-1,6)*(MAX(Tab_Calculs[[#This Row],[Début periode livraison]],Tab_Calculs[[#This Row],[Début mois]])-Tab_Calculs[[#This Row],[Début mois]])</f>
        <v>#VALUE!</v>
      </c>
      <c r="L1076" s="94">
        <f ca="1">INDEX(INDIRECT(CONCATENATE("Tab_",Tab_Calculs[[#This Row],[Colonne1]])),Tab_Calculs[[#This Row],[index_date_livraison]],6)*(1+MIN(Tab_Calculs[[#This Row],[Date_livraison]],Tab_Calculs[[#This Row],[fin mois]])-MAX(Tab_Calculs[[#This Row],[Début mois]],Tab_Calculs[[#This Row],[Début periode livraison]]))</f>
        <v>0</v>
      </c>
      <c r="M1076" s="94" t="e">
        <f ca="1">INDEX(INDIRECT(CONCATENATE("Tab_",Tab_Calculs[[#This Row],[Colonne1]])),Tab_Calculs[[#This Row],[index_date_livraison]]+1,6)*(Tab_Calculs[[#This Row],[fin mois]]-MIN(Tab_Calculs[[#This Row],[fin mois]],Tab_Calculs[[#This Row],[Date_livraison]]))</f>
        <v>#VALUE!</v>
      </c>
      <c r="N1076" s="231" t="str">
        <f ca="1">IFERROR(Tab_Calculs[[#This Row],[Ratio_jour_après_livr]]+Tab_Calculs[[#This Row],[Ratio_jour_avant_livr]]+Tab_Calculs[[#This Row],[ratio_avant_debut]],"")</f>
        <v/>
      </c>
      <c r="O1076" t="e">
        <f ca="1">INDEX(INDIRECT(CONCATENATE("Tab_",Tab_Calculs[[#This Row],[Colonne1]])),Tab_Calculs[[#This Row],[index_date_livraison]]-1,7)*(MAX(Tab_Calculs[[#This Row],[Début periode livraison]],Tab_Calculs[[#This Row],[Début mois]])-Tab_Calculs[[#This Row],[Début mois]])</f>
        <v>#VALUE!</v>
      </c>
      <c r="P1076">
        <f ca="1">INDEX(INDIRECT(CONCATENATE("Tab_",Tab_Calculs[[#This Row],[Colonne1]])),Tab_Calculs[[#This Row],[index_date_livraison]],7)*(1+MIN(Tab_Calculs[[#This Row],[Date_livraison]],Tab_Calculs[[#This Row],[fin mois]])-MAX(Tab_Calculs[[#This Row],[Début mois]],Tab_Calculs[[#This Row],[Début periode livraison]]))</f>
        <v>0</v>
      </c>
      <c r="Q1076" t="e">
        <f ca="1">INDEX(INDIRECT(CONCATENATE("Tab_",Tab_Calculs[[#This Row],[Colonne1]])),Tab_Calculs[[#This Row],[index_date_livraison]]+1,7)*(Tab_Calculs[[#This Row],[fin mois]]-MIN(Tab_Calculs[[#This Row],[fin mois]],Tab_Calculs[[#This Row],[Date_livraison]]))</f>
        <v>#VALUE!</v>
      </c>
      <c r="R1076" t="e">
        <f ca="1">Tab_Calculs[[#This Row],[Ratio_Cout_après_livr]]+Tab_Calculs[[#This Row],[Ratio_Cout_avant_livr]]+Tab_Calculs[[#This Row],[Ratio_Cout_avant_debut]]</f>
        <v>#VALUE!</v>
      </c>
      <c r="S1076" t="str">
        <f ca="1">IFERROR(N1076*VLOOKUP(Tab_Calculs[[#This Row],[Colonne1]],Controle_des_données!$B$7:$G$14,6,FALSE),"")</f>
        <v/>
      </c>
      <c r="T1076" t="str">
        <f ca="1">IF(Tab_Calculs[[#This Row],[Combustible ]]="Electricité (kWh)",Tab_Calculs[[#This Row],[Conso_mois_kWh]]*2.3,Tab_Calculs[[#This Row],[Conso_mois_kWh]])</f>
        <v/>
      </c>
      <c r="U1076" t="str">
        <f ca="1">IFERROR(N1076*VLOOKUP(Tab_Calculs[[#This Row],[Colonne1]],Controle_des_données!$B$7:$H$14,7,FALSE),"")</f>
        <v/>
      </c>
      <c r="V1076">
        <f ca="1">IFERROR(Tab_Calculs[[#This Row],[Cout_mois]]/Tab_Calculs[[#This Row],[Conso_mois_kWh]],0)</f>
        <v>0</v>
      </c>
      <c r="W1076" t="str">
        <f>T(VLOOKUP(Tab_Calculs[[#This Row],[Compteur]],Site!$B$33:$G$40,3,FALSE))</f>
        <v/>
      </c>
      <c r="X1076" t="str">
        <f>T(VLOOKUP(Tab_Calculs[[#This Row],[Compteur]],Site!$B$33:$G$40,4,FALSE))</f>
        <v/>
      </c>
      <c r="Y1076" t="str">
        <f>T(VLOOKUP(Tab_Calculs[[#This Row],[Compteur]],Site!$B$33:$G$40,5,FALSE))</f>
        <v/>
      </c>
      <c r="Z1076" t="str">
        <f>T(VLOOKUP(Tab_Calculs[[#This Row],[Compteur]],Site!$B$33:$G$40,6,FALSE))</f>
        <v/>
      </c>
      <c r="AA1076">
        <f>IFERROR(GETPIVOTDATA("DJU(chauffagiste)",BDD_DJU!$P$13,"annee",Tab_Calculs[[#This Row],[ANNEE]],"mois_numero",Tab_Calculs[[#This Row],[MOIS]]),0)</f>
        <v>319.2</v>
      </c>
    </row>
    <row r="1077" spans="1:27" x14ac:dyDescent="0.25">
      <c r="A1077" s="3">
        <f>DATE(Tab_Calculs[[#This Row],[ANNEE]],Tab_Calculs[[#This Row],[MOIS]],1)</f>
        <v>43466</v>
      </c>
      <c r="B1077" s="3">
        <f>EDATE(Tab_Calculs[[#This Row],[Début mois]],1)-1</f>
        <v>43496</v>
      </c>
      <c r="C1077">
        <f t="shared" si="36"/>
        <v>1</v>
      </c>
      <c r="D1077">
        <f t="shared" si="35"/>
        <v>2019</v>
      </c>
      <c r="E1077" t="s">
        <v>85</v>
      </c>
      <c r="F1077" t="str">
        <f>SUBSTITUTE(Tab_Calculs[[#This Row],[Compteur]]," ","_")</f>
        <v>Compteur_6</v>
      </c>
      <c r="G1077" t="str">
        <f>T(INDEX(Site!$B$33:$G$40, MATCH(Tab_Calculs[[#This Row],[Compteur]], Site!$B$33:$B$40,0),2))</f>
        <v/>
      </c>
      <c r="H1077" s="3">
        <f t="array" aca="1" ref="H1077" ca="1">MIN(IF(INDIRECT(CONCATENATE(Tab_Calculs[[#This Row],[Colonne1]],"!$B$2:$B$243"))&gt;=Calculs_Consos!$A1077,INDIRECT(CONCATENATE(Tab_Calculs[[#This Row],[Colonne1]],"!$B$2:$B$243"))))</f>
        <v>0</v>
      </c>
      <c r="I1077" s="3">
        <f ca="1">INDEX(INDIRECT(CONCATENATE("Tab_",Tab_Calculs[[#This Row],[Colonne1]])),Tab_Calculs[[#This Row],[index_date_livraison]],1)</f>
        <v>0</v>
      </c>
      <c r="J1077">
        <f ca="1">MATCH(Tab_Calculs[[#This Row],[Date_livraison]],INDIRECT(CONCATENATE("Tab_",Tab_Calculs[[#This Row],[Colonne1]],"[Fin de période]")),0)</f>
        <v>1</v>
      </c>
      <c r="K1077" t="e">
        <f ca="1">INDEX(INDIRECT(CONCATENATE("Tab_",Tab_Calculs[[#This Row],[Colonne1]])),Tab_Calculs[[#This Row],[index_date_livraison]]-1,6)*(MAX(Tab_Calculs[[#This Row],[Début periode livraison]],Tab_Calculs[[#This Row],[Début mois]])-Tab_Calculs[[#This Row],[Début mois]])</f>
        <v>#VALUE!</v>
      </c>
      <c r="L1077" s="94">
        <f ca="1">INDEX(INDIRECT(CONCATENATE("Tab_",Tab_Calculs[[#This Row],[Colonne1]])),Tab_Calculs[[#This Row],[index_date_livraison]],6)*(1+MIN(Tab_Calculs[[#This Row],[Date_livraison]],Tab_Calculs[[#This Row],[fin mois]])-MAX(Tab_Calculs[[#This Row],[Début mois]],Tab_Calculs[[#This Row],[Début periode livraison]]))</f>
        <v>0</v>
      </c>
      <c r="M1077" s="94" t="e">
        <f ca="1">INDEX(INDIRECT(CONCATENATE("Tab_",Tab_Calculs[[#This Row],[Colonne1]])),Tab_Calculs[[#This Row],[index_date_livraison]]+1,6)*(Tab_Calculs[[#This Row],[fin mois]]-MIN(Tab_Calculs[[#This Row],[fin mois]],Tab_Calculs[[#This Row],[Date_livraison]]))</f>
        <v>#VALUE!</v>
      </c>
      <c r="N1077" s="231" t="str">
        <f ca="1">IFERROR(Tab_Calculs[[#This Row],[Ratio_jour_après_livr]]+Tab_Calculs[[#This Row],[Ratio_jour_avant_livr]]+Tab_Calculs[[#This Row],[ratio_avant_debut]],"")</f>
        <v/>
      </c>
      <c r="O1077" t="e">
        <f ca="1">INDEX(INDIRECT(CONCATENATE("Tab_",Tab_Calculs[[#This Row],[Colonne1]])),Tab_Calculs[[#This Row],[index_date_livraison]]-1,7)*(MAX(Tab_Calculs[[#This Row],[Début periode livraison]],Tab_Calculs[[#This Row],[Début mois]])-Tab_Calculs[[#This Row],[Début mois]])</f>
        <v>#VALUE!</v>
      </c>
      <c r="P1077">
        <f ca="1">INDEX(INDIRECT(CONCATENATE("Tab_",Tab_Calculs[[#This Row],[Colonne1]])),Tab_Calculs[[#This Row],[index_date_livraison]],7)*(1+MIN(Tab_Calculs[[#This Row],[Date_livraison]],Tab_Calculs[[#This Row],[fin mois]])-MAX(Tab_Calculs[[#This Row],[Début mois]],Tab_Calculs[[#This Row],[Début periode livraison]]))</f>
        <v>0</v>
      </c>
      <c r="Q1077" t="e">
        <f ca="1">INDEX(INDIRECT(CONCATENATE("Tab_",Tab_Calculs[[#This Row],[Colonne1]])),Tab_Calculs[[#This Row],[index_date_livraison]]+1,7)*(Tab_Calculs[[#This Row],[fin mois]]-MIN(Tab_Calculs[[#This Row],[fin mois]],Tab_Calculs[[#This Row],[Date_livraison]]))</f>
        <v>#VALUE!</v>
      </c>
      <c r="R1077" t="e">
        <f ca="1">Tab_Calculs[[#This Row],[Ratio_Cout_après_livr]]+Tab_Calculs[[#This Row],[Ratio_Cout_avant_livr]]+Tab_Calculs[[#This Row],[Ratio_Cout_avant_debut]]</f>
        <v>#VALUE!</v>
      </c>
      <c r="S1077" t="str">
        <f ca="1">IFERROR(N1077*VLOOKUP(Tab_Calculs[[#This Row],[Colonne1]],Controle_des_données!$B$7:$G$14,6,FALSE),"")</f>
        <v/>
      </c>
      <c r="T1077" t="str">
        <f ca="1">IF(Tab_Calculs[[#This Row],[Combustible ]]="Electricité (kWh)",Tab_Calculs[[#This Row],[Conso_mois_kWh]]*2.3,Tab_Calculs[[#This Row],[Conso_mois_kWh]])</f>
        <v/>
      </c>
      <c r="U1077" t="str">
        <f ca="1">IFERROR(N1077*VLOOKUP(Tab_Calculs[[#This Row],[Colonne1]],Controle_des_données!$B$7:$H$14,7,FALSE),"")</f>
        <v/>
      </c>
      <c r="V1077">
        <f ca="1">IFERROR(Tab_Calculs[[#This Row],[Cout_mois]]/Tab_Calculs[[#This Row],[Conso_mois_kWh]],0)</f>
        <v>0</v>
      </c>
      <c r="W1077" t="str">
        <f>T(VLOOKUP(Tab_Calculs[[#This Row],[Compteur]],Site!$B$33:$G$40,3,FALSE))</f>
        <v/>
      </c>
      <c r="X1077" t="str">
        <f>T(VLOOKUP(Tab_Calculs[[#This Row],[Compteur]],Site!$B$33:$G$40,4,FALSE))</f>
        <v/>
      </c>
      <c r="Y1077" t="str">
        <f>T(VLOOKUP(Tab_Calculs[[#This Row],[Compteur]],Site!$B$33:$G$40,5,FALSE))</f>
        <v/>
      </c>
      <c r="Z1077" t="str">
        <f>T(VLOOKUP(Tab_Calculs[[#This Row],[Compteur]],Site!$B$33:$G$40,6,FALSE))</f>
        <v/>
      </c>
      <c r="AA1077">
        <f>IFERROR(GETPIVOTDATA("DJU(chauffagiste)",BDD_DJU!$P$13,"annee",Tab_Calculs[[#This Row],[ANNEE]],"mois_numero",Tab_Calculs[[#This Row],[MOIS]]),0)</f>
        <v>402.2</v>
      </c>
    </row>
    <row r="1078" spans="1:27" x14ac:dyDescent="0.25">
      <c r="A1078" s="3">
        <f>DATE(Tab_Calculs[[#This Row],[ANNEE]],Tab_Calculs[[#This Row],[MOIS]],1)</f>
        <v>43497</v>
      </c>
      <c r="B1078" s="3">
        <f>EDATE(Tab_Calculs[[#This Row],[Début mois]],1)-1</f>
        <v>43524</v>
      </c>
      <c r="C1078">
        <f t="shared" si="36"/>
        <v>2</v>
      </c>
      <c r="D1078">
        <f t="shared" si="35"/>
        <v>2019</v>
      </c>
      <c r="E1078" t="s">
        <v>85</v>
      </c>
      <c r="F1078" t="str">
        <f>SUBSTITUTE(Tab_Calculs[[#This Row],[Compteur]]," ","_")</f>
        <v>Compteur_6</v>
      </c>
      <c r="G1078" t="str">
        <f>T(INDEX(Site!$B$33:$G$40, MATCH(Tab_Calculs[[#This Row],[Compteur]], Site!$B$33:$B$40,0),2))</f>
        <v/>
      </c>
      <c r="H1078" s="3">
        <f t="array" aca="1" ref="H1078" ca="1">MIN(IF(INDIRECT(CONCATENATE(Tab_Calculs[[#This Row],[Colonne1]],"!$B$2:$B$243"))&gt;=Calculs_Consos!$A1078,INDIRECT(CONCATENATE(Tab_Calculs[[#This Row],[Colonne1]],"!$B$2:$B$243"))))</f>
        <v>0</v>
      </c>
      <c r="I1078" s="3">
        <f ca="1">INDEX(INDIRECT(CONCATENATE("Tab_",Tab_Calculs[[#This Row],[Colonne1]])),Tab_Calculs[[#This Row],[index_date_livraison]],1)</f>
        <v>0</v>
      </c>
      <c r="J1078">
        <f ca="1">MATCH(Tab_Calculs[[#This Row],[Date_livraison]],INDIRECT(CONCATENATE("Tab_",Tab_Calculs[[#This Row],[Colonne1]],"[Fin de période]")),0)</f>
        <v>1</v>
      </c>
      <c r="K1078" t="e">
        <f ca="1">INDEX(INDIRECT(CONCATENATE("Tab_",Tab_Calculs[[#This Row],[Colonne1]])),Tab_Calculs[[#This Row],[index_date_livraison]]-1,6)*(MAX(Tab_Calculs[[#This Row],[Début periode livraison]],Tab_Calculs[[#This Row],[Début mois]])-Tab_Calculs[[#This Row],[Début mois]])</f>
        <v>#VALUE!</v>
      </c>
      <c r="L1078" s="94">
        <f ca="1">INDEX(INDIRECT(CONCATENATE("Tab_",Tab_Calculs[[#This Row],[Colonne1]])),Tab_Calculs[[#This Row],[index_date_livraison]],6)*(1+MIN(Tab_Calculs[[#This Row],[Date_livraison]],Tab_Calculs[[#This Row],[fin mois]])-MAX(Tab_Calculs[[#This Row],[Début mois]],Tab_Calculs[[#This Row],[Début periode livraison]]))</f>
        <v>0</v>
      </c>
      <c r="M1078" s="94" t="e">
        <f ca="1">INDEX(INDIRECT(CONCATENATE("Tab_",Tab_Calculs[[#This Row],[Colonne1]])),Tab_Calculs[[#This Row],[index_date_livraison]]+1,6)*(Tab_Calculs[[#This Row],[fin mois]]-MIN(Tab_Calculs[[#This Row],[fin mois]],Tab_Calculs[[#This Row],[Date_livraison]]))</f>
        <v>#VALUE!</v>
      </c>
      <c r="N1078" s="231" t="str">
        <f ca="1">IFERROR(Tab_Calculs[[#This Row],[Ratio_jour_après_livr]]+Tab_Calculs[[#This Row],[Ratio_jour_avant_livr]]+Tab_Calculs[[#This Row],[ratio_avant_debut]],"")</f>
        <v/>
      </c>
      <c r="O1078" t="e">
        <f ca="1">INDEX(INDIRECT(CONCATENATE("Tab_",Tab_Calculs[[#This Row],[Colonne1]])),Tab_Calculs[[#This Row],[index_date_livraison]]-1,7)*(MAX(Tab_Calculs[[#This Row],[Début periode livraison]],Tab_Calculs[[#This Row],[Début mois]])-Tab_Calculs[[#This Row],[Début mois]])</f>
        <v>#VALUE!</v>
      </c>
      <c r="P1078">
        <f ca="1">INDEX(INDIRECT(CONCATENATE("Tab_",Tab_Calculs[[#This Row],[Colonne1]])),Tab_Calculs[[#This Row],[index_date_livraison]],7)*(1+MIN(Tab_Calculs[[#This Row],[Date_livraison]],Tab_Calculs[[#This Row],[fin mois]])-MAX(Tab_Calculs[[#This Row],[Début mois]],Tab_Calculs[[#This Row],[Début periode livraison]]))</f>
        <v>0</v>
      </c>
      <c r="Q1078" t="e">
        <f ca="1">INDEX(INDIRECT(CONCATENATE("Tab_",Tab_Calculs[[#This Row],[Colonne1]])),Tab_Calculs[[#This Row],[index_date_livraison]]+1,7)*(Tab_Calculs[[#This Row],[fin mois]]-MIN(Tab_Calculs[[#This Row],[fin mois]],Tab_Calculs[[#This Row],[Date_livraison]]))</f>
        <v>#VALUE!</v>
      </c>
      <c r="R1078" t="e">
        <f ca="1">Tab_Calculs[[#This Row],[Ratio_Cout_après_livr]]+Tab_Calculs[[#This Row],[Ratio_Cout_avant_livr]]+Tab_Calculs[[#This Row],[Ratio_Cout_avant_debut]]</f>
        <v>#VALUE!</v>
      </c>
      <c r="S1078" t="str">
        <f ca="1">IFERROR(N1078*VLOOKUP(Tab_Calculs[[#This Row],[Colonne1]],Controle_des_données!$B$7:$G$14,6,FALSE),"")</f>
        <v/>
      </c>
      <c r="T1078" t="str">
        <f ca="1">IF(Tab_Calculs[[#This Row],[Combustible ]]="Electricité (kWh)",Tab_Calculs[[#This Row],[Conso_mois_kWh]]*2.3,Tab_Calculs[[#This Row],[Conso_mois_kWh]])</f>
        <v/>
      </c>
      <c r="U1078" t="str">
        <f ca="1">IFERROR(N1078*VLOOKUP(Tab_Calculs[[#This Row],[Colonne1]],Controle_des_données!$B$7:$H$14,7,FALSE),"")</f>
        <v/>
      </c>
      <c r="V1078">
        <f ca="1">IFERROR(Tab_Calculs[[#This Row],[Cout_mois]]/Tab_Calculs[[#This Row],[Conso_mois_kWh]],0)</f>
        <v>0</v>
      </c>
      <c r="W1078" t="str">
        <f>T(VLOOKUP(Tab_Calculs[[#This Row],[Compteur]],Site!$B$33:$G$40,3,FALSE))</f>
        <v/>
      </c>
      <c r="X1078" t="str">
        <f>T(VLOOKUP(Tab_Calculs[[#This Row],[Compteur]],Site!$B$33:$G$40,4,FALSE))</f>
        <v/>
      </c>
      <c r="Y1078" t="str">
        <f>T(VLOOKUP(Tab_Calculs[[#This Row],[Compteur]],Site!$B$33:$G$40,5,FALSE))</f>
        <v/>
      </c>
      <c r="Z1078" t="str">
        <f>T(VLOOKUP(Tab_Calculs[[#This Row],[Compteur]],Site!$B$33:$G$40,6,FALSE))</f>
        <v/>
      </c>
      <c r="AA1078">
        <f>IFERROR(GETPIVOTDATA("DJU(chauffagiste)",BDD_DJU!$P$13,"annee",Tab_Calculs[[#This Row],[ANNEE]],"mois_numero",Tab_Calculs[[#This Row],[MOIS]]),0)</f>
        <v>297.3</v>
      </c>
    </row>
    <row r="1079" spans="1:27" x14ac:dyDescent="0.25">
      <c r="A1079" s="3">
        <f>DATE(Tab_Calculs[[#This Row],[ANNEE]],Tab_Calculs[[#This Row],[MOIS]],1)</f>
        <v>43525</v>
      </c>
      <c r="B1079" s="3">
        <f>EDATE(Tab_Calculs[[#This Row],[Début mois]],1)-1</f>
        <v>43555</v>
      </c>
      <c r="C1079">
        <f t="shared" si="36"/>
        <v>3</v>
      </c>
      <c r="D1079">
        <f t="shared" si="35"/>
        <v>2019</v>
      </c>
      <c r="E1079" t="s">
        <v>85</v>
      </c>
      <c r="F1079" t="str">
        <f>SUBSTITUTE(Tab_Calculs[[#This Row],[Compteur]]," ","_")</f>
        <v>Compteur_6</v>
      </c>
      <c r="G1079" t="str">
        <f>T(INDEX(Site!$B$33:$G$40, MATCH(Tab_Calculs[[#This Row],[Compteur]], Site!$B$33:$B$40,0),2))</f>
        <v/>
      </c>
      <c r="H1079" s="3">
        <f t="array" aca="1" ref="H1079" ca="1">MIN(IF(INDIRECT(CONCATENATE(Tab_Calculs[[#This Row],[Colonne1]],"!$B$2:$B$243"))&gt;=Calculs_Consos!$A1079,INDIRECT(CONCATENATE(Tab_Calculs[[#This Row],[Colonne1]],"!$B$2:$B$243"))))</f>
        <v>0</v>
      </c>
      <c r="I1079" s="3">
        <f ca="1">INDEX(INDIRECT(CONCATENATE("Tab_",Tab_Calculs[[#This Row],[Colonne1]])),Tab_Calculs[[#This Row],[index_date_livraison]],1)</f>
        <v>0</v>
      </c>
      <c r="J1079">
        <f ca="1">MATCH(Tab_Calculs[[#This Row],[Date_livraison]],INDIRECT(CONCATENATE("Tab_",Tab_Calculs[[#This Row],[Colonne1]],"[Fin de période]")),0)</f>
        <v>1</v>
      </c>
      <c r="K1079" t="e">
        <f ca="1">INDEX(INDIRECT(CONCATENATE("Tab_",Tab_Calculs[[#This Row],[Colonne1]])),Tab_Calculs[[#This Row],[index_date_livraison]]-1,6)*(MAX(Tab_Calculs[[#This Row],[Début periode livraison]],Tab_Calculs[[#This Row],[Début mois]])-Tab_Calculs[[#This Row],[Début mois]])</f>
        <v>#VALUE!</v>
      </c>
      <c r="L1079" s="94">
        <f ca="1">INDEX(INDIRECT(CONCATENATE("Tab_",Tab_Calculs[[#This Row],[Colonne1]])),Tab_Calculs[[#This Row],[index_date_livraison]],6)*(1+MIN(Tab_Calculs[[#This Row],[Date_livraison]],Tab_Calculs[[#This Row],[fin mois]])-MAX(Tab_Calculs[[#This Row],[Début mois]],Tab_Calculs[[#This Row],[Début periode livraison]]))</f>
        <v>0</v>
      </c>
      <c r="M1079" s="94" t="e">
        <f ca="1">INDEX(INDIRECT(CONCATENATE("Tab_",Tab_Calculs[[#This Row],[Colonne1]])),Tab_Calculs[[#This Row],[index_date_livraison]]+1,6)*(Tab_Calculs[[#This Row],[fin mois]]-MIN(Tab_Calculs[[#This Row],[fin mois]],Tab_Calculs[[#This Row],[Date_livraison]]))</f>
        <v>#VALUE!</v>
      </c>
      <c r="N1079" s="231" t="str">
        <f ca="1">IFERROR(Tab_Calculs[[#This Row],[Ratio_jour_après_livr]]+Tab_Calculs[[#This Row],[Ratio_jour_avant_livr]]+Tab_Calculs[[#This Row],[ratio_avant_debut]],"")</f>
        <v/>
      </c>
      <c r="O1079" t="e">
        <f ca="1">INDEX(INDIRECT(CONCATENATE("Tab_",Tab_Calculs[[#This Row],[Colonne1]])),Tab_Calculs[[#This Row],[index_date_livraison]]-1,7)*(MAX(Tab_Calculs[[#This Row],[Début periode livraison]],Tab_Calculs[[#This Row],[Début mois]])-Tab_Calculs[[#This Row],[Début mois]])</f>
        <v>#VALUE!</v>
      </c>
      <c r="P1079">
        <f ca="1">INDEX(INDIRECT(CONCATENATE("Tab_",Tab_Calculs[[#This Row],[Colonne1]])),Tab_Calculs[[#This Row],[index_date_livraison]],7)*(1+MIN(Tab_Calculs[[#This Row],[Date_livraison]],Tab_Calculs[[#This Row],[fin mois]])-MAX(Tab_Calculs[[#This Row],[Début mois]],Tab_Calculs[[#This Row],[Début periode livraison]]))</f>
        <v>0</v>
      </c>
      <c r="Q1079" t="e">
        <f ca="1">INDEX(INDIRECT(CONCATENATE("Tab_",Tab_Calculs[[#This Row],[Colonne1]])),Tab_Calculs[[#This Row],[index_date_livraison]]+1,7)*(Tab_Calculs[[#This Row],[fin mois]]-MIN(Tab_Calculs[[#This Row],[fin mois]],Tab_Calculs[[#This Row],[Date_livraison]]))</f>
        <v>#VALUE!</v>
      </c>
      <c r="R1079" t="e">
        <f ca="1">Tab_Calculs[[#This Row],[Ratio_Cout_après_livr]]+Tab_Calculs[[#This Row],[Ratio_Cout_avant_livr]]+Tab_Calculs[[#This Row],[Ratio_Cout_avant_debut]]</f>
        <v>#VALUE!</v>
      </c>
      <c r="S1079" t="str">
        <f ca="1">IFERROR(N1079*VLOOKUP(Tab_Calculs[[#This Row],[Colonne1]],Controle_des_données!$B$7:$G$14,6,FALSE),"")</f>
        <v/>
      </c>
      <c r="T1079" t="str">
        <f ca="1">IF(Tab_Calculs[[#This Row],[Combustible ]]="Electricité (kWh)",Tab_Calculs[[#This Row],[Conso_mois_kWh]]*2.3,Tab_Calculs[[#This Row],[Conso_mois_kWh]])</f>
        <v/>
      </c>
      <c r="U1079" t="str">
        <f ca="1">IFERROR(N1079*VLOOKUP(Tab_Calculs[[#This Row],[Colonne1]],Controle_des_données!$B$7:$H$14,7,FALSE),"")</f>
        <v/>
      </c>
      <c r="V1079">
        <f ca="1">IFERROR(Tab_Calculs[[#This Row],[Cout_mois]]/Tab_Calculs[[#This Row],[Conso_mois_kWh]],0)</f>
        <v>0</v>
      </c>
      <c r="W1079" t="str">
        <f>T(VLOOKUP(Tab_Calculs[[#This Row],[Compteur]],Site!$B$33:$G$40,3,FALSE))</f>
        <v/>
      </c>
      <c r="X1079" t="str">
        <f>T(VLOOKUP(Tab_Calculs[[#This Row],[Compteur]],Site!$B$33:$G$40,4,FALSE))</f>
        <v/>
      </c>
      <c r="Y1079" t="str">
        <f>T(VLOOKUP(Tab_Calculs[[#This Row],[Compteur]],Site!$B$33:$G$40,5,FALSE))</f>
        <v/>
      </c>
      <c r="Z1079" t="str">
        <f>T(VLOOKUP(Tab_Calculs[[#This Row],[Compteur]],Site!$B$33:$G$40,6,FALSE))</f>
        <v/>
      </c>
      <c r="AA1079">
        <f>IFERROR(GETPIVOTDATA("DJU(chauffagiste)",BDD_DJU!$P$13,"annee",Tab_Calculs[[#This Row],[ANNEE]],"mois_numero",Tab_Calculs[[#This Row],[MOIS]]),0)</f>
        <v>260.39999999999998</v>
      </c>
    </row>
    <row r="1080" spans="1:27" x14ac:dyDescent="0.25">
      <c r="A1080" s="3">
        <f>DATE(Tab_Calculs[[#This Row],[ANNEE]],Tab_Calculs[[#This Row],[MOIS]],1)</f>
        <v>43556</v>
      </c>
      <c r="B1080" s="3">
        <f>EDATE(Tab_Calculs[[#This Row],[Début mois]],1)-1</f>
        <v>43585</v>
      </c>
      <c r="C1080">
        <f t="shared" si="36"/>
        <v>4</v>
      </c>
      <c r="D1080">
        <f t="shared" si="35"/>
        <v>2019</v>
      </c>
      <c r="E1080" t="s">
        <v>85</v>
      </c>
      <c r="F1080" t="str">
        <f>SUBSTITUTE(Tab_Calculs[[#This Row],[Compteur]]," ","_")</f>
        <v>Compteur_6</v>
      </c>
      <c r="G1080" t="str">
        <f>T(INDEX(Site!$B$33:$G$40, MATCH(Tab_Calculs[[#This Row],[Compteur]], Site!$B$33:$B$40,0),2))</f>
        <v/>
      </c>
      <c r="H1080" s="3">
        <f t="array" aca="1" ref="H1080" ca="1">MIN(IF(INDIRECT(CONCATENATE(Tab_Calculs[[#This Row],[Colonne1]],"!$B$2:$B$243"))&gt;=Calculs_Consos!$A1080,INDIRECT(CONCATENATE(Tab_Calculs[[#This Row],[Colonne1]],"!$B$2:$B$243"))))</f>
        <v>0</v>
      </c>
      <c r="I1080" s="3">
        <f ca="1">INDEX(INDIRECT(CONCATENATE("Tab_",Tab_Calculs[[#This Row],[Colonne1]])),Tab_Calculs[[#This Row],[index_date_livraison]],1)</f>
        <v>0</v>
      </c>
      <c r="J1080">
        <f ca="1">MATCH(Tab_Calculs[[#This Row],[Date_livraison]],INDIRECT(CONCATENATE("Tab_",Tab_Calculs[[#This Row],[Colonne1]],"[Fin de période]")),0)</f>
        <v>1</v>
      </c>
      <c r="K1080" t="e">
        <f ca="1">INDEX(INDIRECT(CONCATENATE("Tab_",Tab_Calculs[[#This Row],[Colonne1]])),Tab_Calculs[[#This Row],[index_date_livraison]]-1,6)*(MAX(Tab_Calculs[[#This Row],[Début periode livraison]],Tab_Calculs[[#This Row],[Début mois]])-Tab_Calculs[[#This Row],[Début mois]])</f>
        <v>#VALUE!</v>
      </c>
      <c r="L1080" s="94">
        <f ca="1">INDEX(INDIRECT(CONCATENATE("Tab_",Tab_Calculs[[#This Row],[Colonne1]])),Tab_Calculs[[#This Row],[index_date_livraison]],6)*(1+MIN(Tab_Calculs[[#This Row],[Date_livraison]],Tab_Calculs[[#This Row],[fin mois]])-MAX(Tab_Calculs[[#This Row],[Début mois]],Tab_Calculs[[#This Row],[Début periode livraison]]))</f>
        <v>0</v>
      </c>
      <c r="M1080" s="94" t="e">
        <f ca="1">INDEX(INDIRECT(CONCATENATE("Tab_",Tab_Calculs[[#This Row],[Colonne1]])),Tab_Calculs[[#This Row],[index_date_livraison]]+1,6)*(Tab_Calculs[[#This Row],[fin mois]]-MIN(Tab_Calculs[[#This Row],[fin mois]],Tab_Calculs[[#This Row],[Date_livraison]]))</f>
        <v>#VALUE!</v>
      </c>
      <c r="N1080" s="231" t="str">
        <f ca="1">IFERROR(Tab_Calculs[[#This Row],[Ratio_jour_après_livr]]+Tab_Calculs[[#This Row],[Ratio_jour_avant_livr]]+Tab_Calculs[[#This Row],[ratio_avant_debut]],"")</f>
        <v/>
      </c>
      <c r="O1080" t="e">
        <f ca="1">INDEX(INDIRECT(CONCATENATE("Tab_",Tab_Calculs[[#This Row],[Colonne1]])),Tab_Calculs[[#This Row],[index_date_livraison]]-1,7)*(MAX(Tab_Calculs[[#This Row],[Début periode livraison]],Tab_Calculs[[#This Row],[Début mois]])-Tab_Calculs[[#This Row],[Début mois]])</f>
        <v>#VALUE!</v>
      </c>
      <c r="P1080">
        <f ca="1">INDEX(INDIRECT(CONCATENATE("Tab_",Tab_Calculs[[#This Row],[Colonne1]])),Tab_Calculs[[#This Row],[index_date_livraison]],7)*(1+MIN(Tab_Calculs[[#This Row],[Date_livraison]],Tab_Calculs[[#This Row],[fin mois]])-MAX(Tab_Calculs[[#This Row],[Début mois]],Tab_Calculs[[#This Row],[Début periode livraison]]))</f>
        <v>0</v>
      </c>
      <c r="Q1080" t="e">
        <f ca="1">INDEX(INDIRECT(CONCATENATE("Tab_",Tab_Calculs[[#This Row],[Colonne1]])),Tab_Calculs[[#This Row],[index_date_livraison]]+1,7)*(Tab_Calculs[[#This Row],[fin mois]]-MIN(Tab_Calculs[[#This Row],[fin mois]],Tab_Calculs[[#This Row],[Date_livraison]]))</f>
        <v>#VALUE!</v>
      </c>
      <c r="R1080" t="e">
        <f ca="1">Tab_Calculs[[#This Row],[Ratio_Cout_après_livr]]+Tab_Calculs[[#This Row],[Ratio_Cout_avant_livr]]+Tab_Calculs[[#This Row],[Ratio_Cout_avant_debut]]</f>
        <v>#VALUE!</v>
      </c>
      <c r="S1080" t="str">
        <f ca="1">IFERROR(N1080*VLOOKUP(Tab_Calculs[[#This Row],[Colonne1]],Controle_des_données!$B$7:$G$14,6,FALSE),"")</f>
        <v/>
      </c>
      <c r="T1080" t="str">
        <f ca="1">IF(Tab_Calculs[[#This Row],[Combustible ]]="Electricité (kWh)",Tab_Calculs[[#This Row],[Conso_mois_kWh]]*2.3,Tab_Calculs[[#This Row],[Conso_mois_kWh]])</f>
        <v/>
      </c>
      <c r="U1080" t="str">
        <f ca="1">IFERROR(N1080*VLOOKUP(Tab_Calculs[[#This Row],[Colonne1]],Controle_des_données!$B$7:$H$14,7,FALSE),"")</f>
        <v/>
      </c>
      <c r="V1080">
        <f ca="1">IFERROR(Tab_Calculs[[#This Row],[Cout_mois]]/Tab_Calculs[[#This Row],[Conso_mois_kWh]],0)</f>
        <v>0</v>
      </c>
      <c r="W1080" t="str">
        <f>T(VLOOKUP(Tab_Calculs[[#This Row],[Compteur]],Site!$B$33:$G$40,3,FALSE))</f>
        <v/>
      </c>
      <c r="X1080" t="str">
        <f>T(VLOOKUP(Tab_Calculs[[#This Row],[Compteur]],Site!$B$33:$G$40,4,FALSE))</f>
        <v/>
      </c>
      <c r="Y1080" t="str">
        <f>T(VLOOKUP(Tab_Calculs[[#This Row],[Compteur]],Site!$B$33:$G$40,5,FALSE))</f>
        <v/>
      </c>
      <c r="Z1080" t="str">
        <f>T(VLOOKUP(Tab_Calculs[[#This Row],[Compteur]],Site!$B$33:$G$40,6,FALSE))</f>
        <v/>
      </c>
      <c r="AA1080">
        <f>IFERROR(GETPIVOTDATA("DJU(chauffagiste)",BDD_DJU!$P$13,"annee",Tab_Calculs[[#This Row],[ANNEE]],"mois_numero",Tab_Calculs[[#This Row],[MOIS]]),0)</f>
        <v>201.4</v>
      </c>
    </row>
    <row r="1081" spans="1:27" x14ac:dyDescent="0.25">
      <c r="A1081" s="3">
        <f>DATE(Tab_Calculs[[#This Row],[ANNEE]],Tab_Calculs[[#This Row],[MOIS]],1)</f>
        <v>43586</v>
      </c>
      <c r="B1081" s="3">
        <f>EDATE(Tab_Calculs[[#This Row],[Début mois]],1)-1</f>
        <v>43616</v>
      </c>
      <c r="C1081">
        <f t="shared" si="36"/>
        <v>5</v>
      </c>
      <c r="D1081">
        <f t="shared" si="35"/>
        <v>2019</v>
      </c>
      <c r="E1081" t="s">
        <v>85</v>
      </c>
      <c r="F1081" t="str">
        <f>SUBSTITUTE(Tab_Calculs[[#This Row],[Compteur]]," ","_")</f>
        <v>Compteur_6</v>
      </c>
      <c r="G1081" t="str">
        <f>T(INDEX(Site!$B$33:$G$40, MATCH(Tab_Calculs[[#This Row],[Compteur]], Site!$B$33:$B$40,0),2))</f>
        <v/>
      </c>
      <c r="H1081" s="3">
        <f t="array" aca="1" ref="H1081" ca="1">MIN(IF(INDIRECT(CONCATENATE(Tab_Calculs[[#This Row],[Colonne1]],"!$B$2:$B$243"))&gt;=Calculs_Consos!$A1081,INDIRECT(CONCATENATE(Tab_Calculs[[#This Row],[Colonne1]],"!$B$2:$B$243"))))</f>
        <v>0</v>
      </c>
      <c r="I1081" s="3">
        <f ca="1">INDEX(INDIRECT(CONCATENATE("Tab_",Tab_Calculs[[#This Row],[Colonne1]])),Tab_Calculs[[#This Row],[index_date_livraison]],1)</f>
        <v>0</v>
      </c>
      <c r="J1081">
        <f ca="1">MATCH(Tab_Calculs[[#This Row],[Date_livraison]],INDIRECT(CONCATENATE("Tab_",Tab_Calculs[[#This Row],[Colonne1]],"[Fin de période]")),0)</f>
        <v>1</v>
      </c>
      <c r="K1081" t="e">
        <f ca="1">INDEX(INDIRECT(CONCATENATE("Tab_",Tab_Calculs[[#This Row],[Colonne1]])),Tab_Calculs[[#This Row],[index_date_livraison]]-1,6)*(MAX(Tab_Calculs[[#This Row],[Début periode livraison]],Tab_Calculs[[#This Row],[Début mois]])-Tab_Calculs[[#This Row],[Début mois]])</f>
        <v>#VALUE!</v>
      </c>
      <c r="L1081" s="94">
        <f ca="1">INDEX(INDIRECT(CONCATENATE("Tab_",Tab_Calculs[[#This Row],[Colonne1]])),Tab_Calculs[[#This Row],[index_date_livraison]],6)*(1+MIN(Tab_Calculs[[#This Row],[Date_livraison]],Tab_Calculs[[#This Row],[fin mois]])-MAX(Tab_Calculs[[#This Row],[Début mois]],Tab_Calculs[[#This Row],[Début periode livraison]]))</f>
        <v>0</v>
      </c>
      <c r="M1081" s="94" t="e">
        <f ca="1">INDEX(INDIRECT(CONCATENATE("Tab_",Tab_Calculs[[#This Row],[Colonne1]])),Tab_Calculs[[#This Row],[index_date_livraison]]+1,6)*(Tab_Calculs[[#This Row],[fin mois]]-MIN(Tab_Calculs[[#This Row],[fin mois]],Tab_Calculs[[#This Row],[Date_livraison]]))</f>
        <v>#VALUE!</v>
      </c>
      <c r="N1081" s="231" t="str">
        <f ca="1">IFERROR(Tab_Calculs[[#This Row],[Ratio_jour_après_livr]]+Tab_Calculs[[#This Row],[Ratio_jour_avant_livr]]+Tab_Calculs[[#This Row],[ratio_avant_debut]],"")</f>
        <v/>
      </c>
      <c r="O1081" t="e">
        <f ca="1">INDEX(INDIRECT(CONCATENATE("Tab_",Tab_Calculs[[#This Row],[Colonne1]])),Tab_Calculs[[#This Row],[index_date_livraison]]-1,7)*(MAX(Tab_Calculs[[#This Row],[Début periode livraison]],Tab_Calculs[[#This Row],[Début mois]])-Tab_Calculs[[#This Row],[Début mois]])</f>
        <v>#VALUE!</v>
      </c>
      <c r="P1081">
        <f ca="1">INDEX(INDIRECT(CONCATENATE("Tab_",Tab_Calculs[[#This Row],[Colonne1]])),Tab_Calculs[[#This Row],[index_date_livraison]],7)*(1+MIN(Tab_Calculs[[#This Row],[Date_livraison]],Tab_Calculs[[#This Row],[fin mois]])-MAX(Tab_Calculs[[#This Row],[Début mois]],Tab_Calculs[[#This Row],[Début periode livraison]]))</f>
        <v>0</v>
      </c>
      <c r="Q1081" t="e">
        <f ca="1">INDEX(INDIRECT(CONCATENATE("Tab_",Tab_Calculs[[#This Row],[Colonne1]])),Tab_Calculs[[#This Row],[index_date_livraison]]+1,7)*(Tab_Calculs[[#This Row],[fin mois]]-MIN(Tab_Calculs[[#This Row],[fin mois]],Tab_Calculs[[#This Row],[Date_livraison]]))</f>
        <v>#VALUE!</v>
      </c>
      <c r="R1081" t="e">
        <f ca="1">Tab_Calculs[[#This Row],[Ratio_Cout_après_livr]]+Tab_Calculs[[#This Row],[Ratio_Cout_avant_livr]]+Tab_Calculs[[#This Row],[Ratio_Cout_avant_debut]]</f>
        <v>#VALUE!</v>
      </c>
      <c r="S1081" t="str">
        <f ca="1">IFERROR(N1081*VLOOKUP(Tab_Calculs[[#This Row],[Colonne1]],Controle_des_données!$B$7:$G$14,6,FALSE),"")</f>
        <v/>
      </c>
      <c r="T1081" t="str">
        <f ca="1">IF(Tab_Calculs[[#This Row],[Combustible ]]="Electricité (kWh)",Tab_Calculs[[#This Row],[Conso_mois_kWh]]*2.3,Tab_Calculs[[#This Row],[Conso_mois_kWh]])</f>
        <v/>
      </c>
      <c r="U1081" t="str">
        <f ca="1">IFERROR(N1081*VLOOKUP(Tab_Calculs[[#This Row],[Colonne1]],Controle_des_données!$B$7:$H$14,7,FALSE),"")</f>
        <v/>
      </c>
      <c r="V1081">
        <f ca="1">IFERROR(Tab_Calculs[[#This Row],[Cout_mois]]/Tab_Calculs[[#This Row],[Conso_mois_kWh]],0)</f>
        <v>0</v>
      </c>
      <c r="W1081" t="str">
        <f>T(VLOOKUP(Tab_Calculs[[#This Row],[Compteur]],Site!$B$33:$G$40,3,FALSE))</f>
        <v/>
      </c>
      <c r="X1081" t="str">
        <f>T(VLOOKUP(Tab_Calculs[[#This Row],[Compteur]],Site!$B$33:$G$40,4,FALSE))</f>
        <v/>
      </c>
      <c r="Y1081" t="str">
        <f>T(VLOOKUP(Tab_Calculs[[#This Row],[Compteur]],Site!$B$33:$G$40,5,FALSE))</f>
        <v/>
      </c>
      <c r="Z1081" t="str">
        <f>T(VLOOKUP(Tab_Calculs[[#This Row],[Compteur]],Site!$B$33:$G$40,6,FALSE))</f>
        <v/>
      </c>
      <c r="AA1081">
        <f>IFERROR(GETPIVOTDATA("DJU(chauffagiste)",BDD_DJU!$P$13,"annee",Tab_Calculs[[#This Row],[ANNEE]],"mois_numero",Tab_Calculs[[#This Row],[MOIS]]),0)</f>
        <v>147.9</v>
      </c>
    </row>
    <row r="1082" spans="1:27" x14ac:dyDescent="0.25">
      <c r="A1082" s="3">
        <f>DATE(Tab_Calculs[[#This Row],[ANNEE]],Tab_Calculs[[#This Row],[MOIS]],1)</f>
        <v>43617</v>
      </c>
      <c r="B1082" s="3">
        <f>EDATE(Tab_Calculs[[#This Row],[Début mois]],1)-1</f>
        <v>43646</v>
      </c>
      <c r="C1082">
        <f t="shared" si="36"/>
        <v>6</v>
      </c>
      <c r="D1082">
        <f t="shared" si="35"/>
        <v>2019</v>
      </c>
      <c r="E1082" t="s">
        <v>85</v>
      </c>
      <c r="F1082" t="str">
        <f>SUBSTITUTE(Tab_Calculs[[#This Row],[Compteur]]," ","_")</f>
        <v>Compteur_6</v>
      </c>
      <c r="G1082" t="str">
        <f>T(INDEX(Site!$B$33:$G$40, MATCH(Tab_Calculs[[#This Row],[Compteur]], Site!$B$33:$B$40,0),2))</f>
        <v/>
      </c>
      <c r="H1082" s="3">
        <f t="array" aca="1" ref="H1082" ca="1">MIN(IF(INDIRECT(CONCATENATE(Tab_Calculs[[#This Row],[Colonne1]],"!$B$2:$B$243"))&gt;=Calculs_Consos!$A1082,INDIRECT(CONCATENATE(Tab_Calculs[[#This Row],[Colonne1]],"!$B$2:$B$243"))))</f>
        <v>0</v>
      </c>
      <c r="I1082" s="3">
        <f ca="1">INDEX(INDIRECT(CONCATENATE("Tab_",Tab_Calculs[[#This Row],[Colonne1]])),Tab_Calculs[[#This Row],[index_date_livraison]],1)</f>
        <v>0</v>
      </c>
      <c r="J1082">
        <f ca="1">MATCH(Tab_Calculs[[#This Row],[Date_livraison]],INDIRECT(CONCATENATE("Tab_",Tab_Calculs[[#This Row],[Colonne1]],"[Fin de période]")),0)</f>
        <v>1</v>
      </c>
      <c r="K1082" t="e">
        <f ca="1">INDEX(INDIRECT(CONCATENATE("Tab_",Tab_Calculs[[#This Row],[Colonne1]])),Tab_Calculs[[#This Row],[index_date_livraison]]-1,6)*(MAX(Tab_Calculs[[#This Row],[Début periode livraison]],Tab_Calculs[[#This Row],[Début mois]])-Tab_Calculs[[#This Row],[Début mois]])</f>
        <v>#VALUE!</v>
      </c>
      <c r="L1082" s="94">
        <f ca="1">INDEX(INDIRECT(CONCATENATE("Tab_",Tab_Calculs[[#This Row],[Colonne1]])),Tab_Calculs[[#This Row],[index_date_livraison]],6)*(1+MIN(Tab_Calculs[[#This Row],[Date_livraison]],Tab_Calculs[[#This Row],[fin mois]])-MAX(Tab_Calculs[[#This Row],[Début mois]],Tab_Calculs[[#This Row],[Début periode livraison]]))</f>
        <v>0</v>
      </c>
      <c r="M1082" s="94" t="e">
        <f ca="1">INDEX(INDIRECT(CONCATENATE("Tab_",Tab_Calculs[[#This Row],[Colonne1]])),Tab_Calculs[[#This Row],[index_date_livraison]]+1,6)*(Tab_Calculs[[#This Row],[fin mois]]-MIN(Tab_Calculs[[#This Row],[fin mois]],Tab_Calculs[[#This Row],[Date_livraison]]))</f>
        <v>#VALUE!</v>
      </c>
      <c r="N1082" s="231" t="str">
        <f ca="1">IFERROR(Tab_Calculs[[#This Row],[Ratio_jour_après_livr]]+Tab_Calculs[[#This Row],[Ratio_jour_avant_livr]]+Tab_Calculs[[#This Row],[ratio_avant_debut]],"")</f>
        <v/>
      </c>
      <c r="O1082" t="e">
        <f ca="1">INDEX(INDIRECT(CONCATENATE("Tab_",Tab_Calculs[[#This Row],[Colonne1]])),Tab_Calculs[[#This Row],[index_date_livraison]]-1,7)*(MAX(Tab_Calculs[[#This Row],[Début periode livraison]],Tab_Calculs[[#This Row],[Début mois]])-Tab_Calculs[[#This Row],[Début mois]])</f>
        <v>#VALUE!</v>
      </c>
      <c r="P1082">
        <f ca="1">INDEX(INDIRECT(CONCATENATE("Tab_",Tab_Calculs[[#This Row],[Colonne1]])),Tab_Calculs[[#This Row],[index_date_livraison]],7)*(1+MIN(Tab_Calculs[[#This Row],[Date_livraison]],Tab_Calculs[[#This Row],[fin mois]])-MAX(Tab_Calculs[[#This Row],[Début mois]],Tab_Calculs[[#This Row],[Début periode livraison]]))</f>
        <v>0</v>
      </c>
      <c r="Q1082" t="e">
        <f ca="1">INDEX(INDIRECT(CONCATENATE("Tab_",Tab_Calculs[[#This Row],[Colonne1]])),Tab_Calculs[[#This Row],[index_date_livraison]]+1,7)*(Tab_Calculs[[#This Row],[fin mois]]-MIN(Tab_Calculs[[#This Row],[fin mois]],Tab_Calculs[[#This Row],[Date_livraison]]))</f>
        <v>#VALUE!</v>
      </c>
      <c r="R1082" t="e">
        <f ca="1">Tab_Calculs[[#This Row],[Ratio_Cout_après_livr]]+Tab_Calculs[[#This Row],[Ratio_Cout_avant_livr]]+Tab_Calculs[[#This Row],[Ratio_Cout_avant_debut]]</f>
        <v>#VALUE!</v>
      </c>
      <c r="S1082" t="str">
        <f ca="1">IFERROR(N1082*VLOOKUP(Tab_Calculs[[#This Row],[Colonne1]],Controle_des_données!$B$7:$G$14,6,FALSE),"")</f>
        <v/>
      </c>
      <c r="T1082" t="str">
        <f ca="1">IF(Tab_Calculs[[#This Row],[Combustible ]]="Electricité (kWh)",Tab_Calculs[[#This Row],[Conso_mois_kWh]]*2.3,Tab_Calculs[[#This Row],[Conso_mois_kWh]])</f>
        <v/>
      </c>
      <c r="U1082" t="str">
        <f ca="1">IFERROR(N1082*VLOOKUP(Tab_Calculs[[#This Row],[Colonne1]],Controle_des_données!$B$7:$H$14,7,FALSE),"")</f>
        <v/>
      </c>
      <c r="V1082">
        <f ca="1">IFERROR(Tab_Calculs[[#This Row],[Cout_mois]]/Tab_Calculs[[#This Row],[Conso_mois_kWh]],0)</f>
        <v>0</v>
      </c>
      <c r="W1082" t="str">
        <f>T(VLOOKUP(Tab_Calculs[[#This Row],[Compteur]],Site!$B$33:$G$40,3,FALSE))</f>
        <v/>
      </c>
      <c r="X1082" t="str">
        <f>T(VLOOKUP(Tab_Calculs[[#This Row],[Compteur]],Site!$B$33:$G$40,4,FALSE))</f>
        <v/>
      </c>
      <c r="Y1082" t="str">
        <f>T(VLOOKUP(Tab_Calculs[[#This Row],[Compteur]],Site!$B$33:$G$40,5,FALSE))</f>
        <v/>
      </c>
      <c r="Z1082" t="str">
        <f>T(VLOOKUP(Tab_Calculs[[#This Row],[Compteur]],Site!$B$33:$G$40,6,FALSE))</f>
        <v/>
      </c>
      <c r="AA1082">
        <f>IFERROR(GETPIVOTDATA("DJU(chauffagiste)",BDD_DJU!$P$13,"annee",Tab_Calculs[[#This Row],[ANNEE]],"mois_numero",Tab_Calculs[[#This Row],[MOIS]]),0)</f>
        <v>54.1</v>
      </c>
    </row>
    <row r="1083" spans="1:27" x14ac:dyDescent="0.25">
      <c r="A1083" s="3">
        <f>DATE(Tab_Calculs[[#This Row],[ANNEE]],Tab_Calculs[[#This Row],[MOIS]],1)</f>
        <v>43647</v>
      </c>
      <c r="B1083" s="3">
        <f>EDATE(Tab_Calculs[[#This Row],[Début mois]],1)-1</f>
        <v>43677</v>
      </c>
      <c r="C1083">
        <f t="shared" si="36"/>
        <v>7</v>
      </c>
      <c r="D1083">
        <f t="shared" si="35"/>
        <v>2019</v>
      </c>
      <c r="E1083" t="s">
        <v>85</v>
      </c>
      <c r="F1083" t="str">
        <f>SUBSTITUTE(Tab_Calculs[[#This Row],[Compteur]]," ","_")</f>
        <v>Compteur_6</v>
      </c>
      <c r="G1083" t="str">
        <f>T(INDEX(Site!$B$33:$G$40, MATCH(Tab_Calculs[[#This Row],[Compteur]], Site!$B$33:$B$40,0),2))</f>
        <v/>
      </c>
      <c r="H1083" s="3">
        <f t="array" aca="1" ref="H1083" ca="1">MIN(IF(INDIRECT(CONCATENATE(Tab_Calculs[[#This Row],[Colonne1]],"!$B$2:$B$243"))&gt;=Calculs_Consos!$A1083,INDIRECT(CONCATENATE(Tab_Calculs[[#This Row],[Colonne1]],"!$B$2:$B$243"))))</f>
        <v>0</v>
      </c>
      <c r="I1083" s="3">
        <f ca="1">INDEX(INDIRECT(CONCATENATE("Tab_",Tab_Calculs[[#This Row],[Colonne1]])),Tab_Calculs[[#This Row],[index_date_livraison]],1)</f>
        <v>0</v>
      </c>
      <c r="J1083">
        <f ca="1">MATCH(Tab_Calculs[[#This Row],[Date_livraison]],INDIRECT(CONCATENATE("Tab_",Tab_Calculs[[#This Row],[Colonne1]],"[Fin de période]")),0)</f>
        <v>1</v>
      </c>
      <c r="K1083" t="e">
        <f ca="1">INDEX(INDIRECT(CONCATENATE("Tab_",Tab_Calculs[[#This Row],[Colonne1]])),Tab_Calculs[[#This Row],[index_date_livraison]]-1,6)*(MAX(Tab_Calculs[[#This Row],[Début periode livraison]],Tab_Calculs[[#This Row],[Début mois]])-Tab_Calculs[[#This Row],[Début mois]])</f>
        <v>#VALUE!</v>
      </c>
      <c r="L1083" s="94">
        <f ca="1">INDEX(INDIRECT(CONCATENATE("Tab_",Tab_Calculs[[#This Row],[Colonne1]])),Tab_Calculs[[#This Row],[index_date_livraison]],6)*(1+MIN(Tab_Calculs[[#This Row],[Date_livraison]],Tab_Calculs[[#This Row],[fin mois]])-MAX(Tab_Calculs[[#This Row],[Début mois]],Tab_Calculs[[#This Row],[Début periode livraison]]))</f>
        <v>0</v>
      </c>
      <c r="M1083" s="94" t="e">
        <f ca="1">INDEX(INDIRECT(CONCATENATE("Tab_",Tab_Calculs[[#This Row],[Colonne1]])),Tab_Calculs[[#This Row],[index_date_livraison]]+1,6)*(Tab_Calculs[[#This Row],[fin mois]]-MIN(Tab_Calculs[[#This Row],[fin mois]],Tab_Calculs[[#This Row],[Date_livraison]]))</f>
        <v>#VALUE!</v>
      </c>
      <c r="N1083" s="231" t="str">
        <f ca="1">IFERROR(Tab_Calculs[[#This Row],[Ratio_jour_après_livr]]+Tab_Calculs[[#This Row],[Ratio_jour_avant_livr]]+Tab_Calculs[[#This Row],[ratio_avant_debut]],"")</f>
        <v/>
      </c>
      <c r="O1083" t="e">
        <f ca="1">INDEX(INDIRECT(CONCATENATE("Tab_",Tab_Calculs[[#This Row],[Colonne1]])),Tab_Calculs[[#This Row],[index_date_livraison]]-1,7)*(MAX(Tab_Calculs[[#This Row],[Début periode livraison]],Tab_Calculs[[#This Row],[Début mois]])-Tab_Calculs[[#This Row],[Début mois]])</f>
        <v>#VALUE!</v>
      </c>
      <c r="P1083">
        <f ca="1">INDEX(INDIRECT(CONCATENATE("Tab_",Tab_Calculs[[#This Row],[Colonne1]])),Tab_Calculs[[#This Row],[index_date_livraison]],7)*(1+MIN(Tab_Calculs[[#This Row],[Date_livraison]],Tab_Calculs[[#This Row],[fin mois]])-MAX(Tab_Calculs[[#This Row],[Début mois]],Tab_Calculs[[#This Row],[Début periode livraison]]))</f>
        <v>0</v>
      </c>
      <c r="Q1083" t="e">
        <f ca="1">INDEX(INDIRECT(CONCATENATE("Tab_",Tab_Calculs[[#This Row],[Colonne1]])),Tab_Calculs[[#This Row],[index_date_livraison]]+1,7)*(Tab_Calculs[[#This Row],[fin mois]]-MIN(Tab_Calculs[[#This Row],[fin mois]],Tab_Calculs[[#This Row],[Date_livraison]]))</f>
        <v>#VALUE!</v>
      </c>
      <c r="R1083" t="e">
        <f ca="1">Tab_Calculs[[#This Row],[Ratio_Cout_après_livr]]+Tab_Calculs[[#This Row],[Ratio_Cout_avant_livr]]+Tab_Calculs[[#This Row],[Ratio_Cout_avant_debut]]</f>
        <v>#VALUE!</v>
      </c>
      <c r="S1083" t="str">
        <f ca="1">IFERROR(N1083*VLOOKUP(Tab_Calculs[[#This Row],[Colonne1]],Controle_des_données!$B$7:$G$14,6,FALSE),"")</f>
        <v/>
      </c>
      <c r="T1083" t="str">
        <f ca="1">IF(Tab_Calculs[[#This Row],[Combustible ]]="Electricité (kWh)",Tab_Calculs[[#This Row],[Conso_mois_kWh]]*2.3,Tab_Calculs[[#This Row],[Conso_mois_kWh]])</f>
        <v/>
      </c>
      <c r="U1083" t="str">
        <f ca="1">IFERROR(N1083*VLOOKUP(Tab_Calculs[[#This Row],[Colonne1]],Controle_des_données!$B$7:$H$14,7,FALSE),"")</f>
        <v/>
      </c>
      <c r="V1083">
        <f ca="1">IFERROR(Tab_Calculs[[#This Row],[Cout_mois]]/Tab_Calculs[[#This Row],[Conso_mois_kWh]],0)</f>
        <v>0</v>
      </c>
      <c r="W1083" t="str">
        <f>T(VLOOKUP(Tab_Calculs[[#This Row],[Compteur]],Site!$B$33:$G$40,3,FALSE))</f>
        <v/>
      </c>
      <c r="X1083" t="str">
        <f>T(VLOOKUP(Tab_Calculs[[#This Row],[Compteur]],Site!$B$33:$G$40,4,FALSE))</f>
        <v/>
      </c>
      <c r="Y1083" t="str">
        <f>T(VLOOKUP(Tab_Calculs[[#This Row],[Compteur]],Site!$B$33:$G$40,5,FALSE))</f>
        <v/>
      </c>
      <c r="Z1083" t="str">
        <f>T(VLOOKUP(Tab_Calculs[[#This Row],[Compteur]],Site!$B$33:$G$40,6,FALSE))</f>
        <v/>
      </c>
      <c r="AA1083">
        <f>IFERROR(GETPIVOTDATA("DJU(chauffagiste)",BDD_DJU!$P$13,"annee",Tab_Calculs[[#This Row],[ANNEE]],"mois_numero",Tab_Calculs[[#This Row],[MOIS]]),0)</f>
        <v>15.5</v>
      </c>
    </row>
    <row r="1084" spans="1:27" x14ac:dyDescent="0.25">
      <c r="A1084" s="3">
        <f>DATE(Tab_Calculs[[#This Row],[ANNEE]],Tab_Calculs[[#This Row],[MOIS]],1)</f>
        <v>43678</v>
      </c>
      <c r="B1084" s="3">
        <f>EDATE(Tab_Calculs[[#This Row],[Début mois]],1)-1</f>
        <v>43708</v>
      </c>
      <c r="C1084">
        <f t="shared" si="36"/>
        <v>8</v>
      </c>
      <c r="D1084">
        <f t="shared" si="35"/>
        <v>2019</v>
      </c>
      <c r="E1084" t="s">
        <v>85</v>
      </c>
      <c r="F1084" t="str">
        <f>SUBSTITUTE(Tab_Calculs[[#This Row],[Compteur]]," ","_")</f>
        <v>Compteur_6</v>
      </c>
      <c r="G1084" t="str">
        <f>T(INDEX(Site!$B$33:$G$40, MATCH(Tab_Calculs[[#This Row],[Compteur]], Site!$B$33:$B$40,0),2))</f>
        <v/>
      </c>
      <c r="H1084" s="3">
        <f t="array" aca="1" ref="H1084" ca="1">MIN(IF(INDIRECT(CONCATENATE(Tab_Calculs[[#This Row],[Colonne1]],"!$B$2:$B$243"))&gt;=Calculs_Consos!$A1084,INDIRECT(CONCATENATE(Tab_Calculs[[#This Row],[Colonne1]],"!$B$2:$B$243"))))</f>
        <v>0</v>
      </c>
      <c r="I1084" s="3">
        <f ca="1">INDEX(INDIRECT(CONCATENATE("Tab_",Tab_Calculs[[#This Row],[Colonne1]])),Tab_Calculs[[#This Row],[index_date_livraison]],1)</f>
        <v>0</v>
      </c>
      <c r="J1084">
        <f ca="1">MATCH(Tab_Calculs[[#This Row],[Date_livraison]],INDIRECT(CONCATENATE("Tab_",Tab_Calculs[[#This Row],[Colonne1]],"[Fin de période]")),0)</f>
        <v>1</v>
      </c>
      <c r="K1084" t="e">
        <f ca="1">INDEX(INDIRECT(CONCATENATE("Tab_",Tab_Calculs[[#This Row],[Colonne1]])),Tab_Calculs[[#This Row],[index_date_livraison]]-1,6)*(MAX(Tab_Calculs[[#This Row],[Début periode livraison]],Tab_Calculs[[#This Row],[Début mois]])-Tab_Calculs[[#This Row],[Début mois]])</f>
        <v>#VALUE!</v>
      </c>
      <c r="L1084" s="94">
        <f ca="1">INDEX(INDIRECT(CONCATENATE("Tab_",Tab_Calculs[[#This Row],[Colonne1]])),Tab_Calculs[[#This Row],[index_date_livraison]],6)*(1+MIN(Tab_Calculs[[#This Row],[Date_livraison]],Tab_Calculs[[#This Row],[fin mois]])-MAX(Tab_Calculs[[#This Row],[Début mois]],Tab_Calculs[[#This Row],[Début periode livraison]]))</f>
        <v>0</v>
      </c>
      <c r="M1084" s="94" t="e">
        <f ca="1">INDEX(INDIRECT(CONCATENATE("Tab_",Tab_Calculs[[#This Row],[Colonne1]])),Tab_Calculs[[#This Row],[index_date_livraison]]+1,6)*(Tab_Calculs[[#This Row],[fin mois]]-MIN(Tab_Calculs[[#This Row],[fin mois]],Tab_Calculs[[#This Row],[Date_livraison]]))</f>
        <v>#VALUE!</v>
      </c>
      <c r="N1084" s="231" t="str">
        <f ca="1">IFERROR(Tab_Calculs[[#This Row],[Ratio_jour_après_livr]]+Tab_Calculs[[#This Row],[Ratio_jour_avant_livr]]+Tab_Calculs[[#This Row],[ratio_avant_debut]],"")</f>
        <v/>
      </c>
      <c r="O1084" t="e">
        <f ca="1">INDEX(INDIRECT(CONCATENATE("Tab_",Tab_Calculs[[#This Row],[Colonne1]])),Tab_Calculs[[#This Row],[index_date_livraison]]-1,7)*(MAX(Tab_Calculs[[#This Row],[Début periode livraison]],Tab_Calculs[[#This Row],[Début mois]])-Tab_Calculs[[#This Row],[Début mois]])</f>
        <v>#VALUE!</v>
      </c>
      <c r="P1084">
        <f ca="1">INDEX(INDIRECT(CONCATENATE("Tab_",Tab_Calculs[[#This Row],[Colonne1]])),Tab_Calculs[[#This Row],[index_date_livraison]],7)*(1+MIN(Tab_Calculs[[#This Row],[Date_livraison]],Tab_Calculs[[#This Row],[fin mois]])-MAX(Tab_Calculs[[#This Row],[Début mois]],Tab_Calculs[[#This Row],[Début periode livraison]]))</f>
        <v>0</v>
      </c>
      <c r="Q1084" t="e">
        <f ca="1">INDEX(INDIRECT(CONCATENATE("Tab_",Tab_Calculs[[#This Row],[Colonne1]])),Tab_Calculs[[#This Row],[index_date_livraison]]+1,7)*(Tab_Calculs[[#This Row],[fin mois]]-MIN(Tab_Calculs[[#This Row],[fin mois]],Tab_Calculs[[#This Row],[Date_livraison]]))</f>
        <v>#VALUE!</v>
      </c>
      <c r="R1084" t="e">
        <f ca="1">Tab_Calculs[[#This Row],[Ratio_Cout_après_livr]]+Tab_Calculs[[#This Row],[Ratio_Cout_avant_livr]]+Tab_Calculs[[#This Row],[Ratio_Cout_avant_debut]]</f>
        <v>#VALUE!</v>
      </c>
      <c r="S1084" t="str">
        <f ca="1">IFERROR(N1084*VLOOKUP(Tab_Calculs[[#This Row],[Colonne1]],Controle_des_données!$B$7:$G$14,6,FALSE),"")</f>
        <v/>
      </c>
      <c r="T1084" t="str">
        <f ca="1">IF(Tab_Calculs[[#This Row],[Combustible ]]="Electricité (kWh)",Tab_Calculs[[#This Row],[Conso_mois_kWh]]*2.3,Tab_Calculs[[#This Row],[Conso_mois_kWh]])</f>
        <v/>
      </c>
      <c r="U1084" t="str">
        <f ca="1">IFERROR(N1084*VLOOKUP(Tab_Calculs[[#This Row],[Colonne1]],Controle_des_données!$B$7:$H$14,7,FALSE),"")</f>
        <v/>
      </c>
      <c r="V1084">
        <f ca="1">IFERROR(Tab_Calculs[[#This Row],[Cout_mois]]/Tab_Calculs[[#This Row],[Conso_mois_kWh]],0)</f>
        <v>0</v>
      </c>
      <c r="W1084" t="str">
        <f>T(VLOOKUP(Tab_Calculs[[#This Row],[Compteur]],Site!$B$33:$G$40,3,FALSE))</f>
        <v/>
      </c>
      <c r="X1084" t="str">
        <f>T(VLOOKUP(Tab_Calculs[[#This Row],[Compteur]],Site!$B$33:$G$40,4,FALSE))</f>
        <v/>
      </c>
      <c r="Y1084" t="str">
        <f>T(VLOOKUP(Tab_Calculs[[#This Row],[Compteur]],Site!$B$33:$G$40,5,FALSE))</f>
        <v/>
      </c>
      <c r="Z1084" t="str">
        <f>T(VLOOKUP(Tab_Calculs[[#This Row],[Compteur]],Site!$B$33:$G$40,6,FALSE))</f>
        <v/>
      </c>
      <c r="AA1084">
        <f>IFERROR(GETPIVOTDATA("DJU(chauffagiste)",BDD_DJU!$P$13,"annee",Tab_Calculs[[#This Row],[ANNEE]],"mois_numero",Tab_Calculs[[#This Row],[MOIS]]),0)</f>
        <v>30.2</v>
      </c>
    </row>
    <row r="1085" spans="1:27" x14ac:dyDescent="0.25">
      <c r="A1085" s="3">
        <f>DATE(Tab_Calculs[[#This Row],[ANNEE]],Tab_Calculs[[#This Row],[MOIS]],1)</f>
        <v>43709</v>
      </c>
      <c r="B1085" s="3">
        <f>EDATE(Tab_Calculs[[#This Row],[Début mois]],1)-1</f>
        <v>43738</v>
      </c>
      <c r="C1085">
        <f t="shared" si="36"/>
        <v>9</v>
      </c>
      <c r="D1085">
        <f t="shared" si="35"/>
        <v>2019</v>
      </c>
      <c r="E1085" t="s">
        <v>85</v>
      </c>
      <c r="F1085" t="str">
        <f>SUBSTITUTE(Tab_Calculs[[#This Row],[Compteur]]," ","_")</f>
        <v>Compteur_6</v>
      </c>
      <c r="G1085" t="str">
        <f>T(INDEX(Site!$B$33:$G$40, MATCH(Tab_Calculs[[#This Row],[Compteur]], Site!$B$33:$B$40,0),2))</f>
        <v/>
      </c>
      <c r="H1085" s="3">
        <f t="array" aca="1" ref="H1085" ca="1">MIN(IF(INDIRECT(CONCATENATE(Tab_Calculs[[#This Row],[Colonne1]],"!$B$2:$B$243"))&gt;=Calculs_Consos!$A1085,INDIRECT(CONCATENATE(Tab_Calculs[[#This Row],[Colonne1]],"!$B$2:$B$243"))))</f>
        <v>0</v>
      </c>
      <c r="I1085" s="3">
        <f ca="1">INDEX(INDIRECT(CONCATENATE("Tab_",Tab_Calculs[[#This Row],[Colonne1]])),Tab_Calculs[[#This Row],[index_date_livraison]],1)</f>
        <v>0</v>
      </c>
      <c r="J1085">
        <f ca="1">MATCH(Tab_Calculs[[#This Row],[Date_livraison]],INDIRECT(CONCATENATE("Tab_",Tab_Calculs[[#This Row],[Colonne1]],"[Fin de période]")),0)</f>
        <v>1</v>
      </c>
      <c r="K1085" t="e">
        <f ca="1">INDEX(INDIRECT(CONCATENATE("Tab_",Tab_Calculs[[#This Row],[Colonne1]])),Tab_Calculs[[#This Row],[index_date_livraison]]-1,6)*(MAX(Tab_Calculs[[#This Row],[Début periode livraison]],Tab_Calculs[[#This Row],[Début mois]])-Tab_Calculs[[#This Row],[Début mois]])</f>
        <v>#VALUE!</v>
      </c>
      <c r="L1085" s="94">
        <f ca="1">INDEX(INDIRECT(CONCATENATE("Tab_",Tab_Calculs[[#This Row],[Colonne1]])),Tab_Calculs[[#This Row],[index_date_livraison]],6)*(1+MIN(Tab_Calculs[[#This Row],[Date_livraison]],Tab_Calculs[[#This Row],[fin mois]])-MAX(Tab_Calculs[[#This Row],[Début mois]],Tab_Calculs[[#This Row],[Début periode livraison]]))</f>
        <v>0</v>
      </c>
      <c r="M1085" s="94" t="e">
        <f ca="1">INDEX(INDIRECT(CONCATENATE("Tab_",Tab_Calculs[[#This Row],[Colonne1]])),Tab_Calculs[[#This Row],[index_date_livraison]]+1,6)*(Tab_Calculs[[#This Row],[fin mois]]-MIN(Tab_Calculs[[#This Row],[fin mois]],Tab_Calculs[[#This Row],[Date_livraison]]))</f>
        <v>#VALUE!</v>
      </c>
      <c r="N1085" s="231" t="str">
        <f ca="1">IFERROR(Tab_Calculs[[#This Row],[Ratio_jour_après_livr]]+Tab_Calculs[[#This Row],[Ratio_jour_avant_livr]]+Tab_Calculs[[#This Row],[ratio_avant_debut]],"")</f>
        <v/>
      </c>
      <c r="O1085" t="e">
        <f ca="1">INDEX(INDIRECT(CONCATENATE("Tab_",Tab_Calculs[[#This Row],[Colonne1]])),Tab_Calculs[[#This Row],[index_date_livraison]]-1,7)*(MAX(Tab_Calculs[[#This Row],[Début periode livraison]],Tab_Calculs[[#This Row],[Début mois]])-Tab_Calculs[[#This Row],[Début mois]])</f>
        <v>#VALUE!</v>
      </c>
      <c r="P1085">
        <f ca="1">INDEX(INDIRECT(CONCATENATE("Tab_",Tab_Calculs[[#This Row],[Colonne1]])),Tab_Calculs[[#This Row],[index_date_livraison]],7)*(1+MIN(Tab_Calculs[[#This Row],[Date_livraison]],Tab_Calculs[[#This Row],[fin mois]])-MAX(Tab_Calculs[[#This Row],[Début mois]],Tab_Calculs[[#This Row],[Début periode livraison]]))</f>
        <v>0</v>
      </c>
      <c r="Q1085" t="e">
        <f ca="1">INDEX(INDIRECT(CONCATENATE("Tab_",Tab_Calculs[[#This Row],[Colonne1]])),Tab_Calculs[[#This Row],[index_date_livraison]]+1,7)*(Tab_Calculs[[#This Row],[fin mois]]-MIN(Tab_Calculs[[#This Row],[fin mois]],Tab_Calculs[[#This Row],[Date_livraison]]))</f>
        <v>#VALUE!</v>
      </c>
      <c r="R1085" t="e">
        <f ca="1">Tab_Calculs[[#This Row],[Ratio_Cout_après_livr]]+Tab_Calculs[[#This Row],[Ratio_Cout_avant_livr]]+Tab_Calculs[[#This Row],[Ratio_Cout_avant_debut]]</f>
        <v>#VALUE!</v>
      </c>
      <c r="S1085" t="str">
        <f ca="1">IFERROR(N1085*VLOOKUP(Tab_Calculs[[#This Row],[Colonne1]],Controle_des_données!$B$7:$G$14,6,FALSE),"")</f>
        <v/>
      </c>
      <c r="T1085" t="str">
        <f ca="1">IF(Tab_Calculs[[#This Row],[Combustible ]]="Electricité (kWh)",Tab_Calculs[[#This Row],[Conso_mois_kWh]]*2.3,Tab_Calculs[[#This Row],[Conso_mois_kWh]])</f>
        <v/>
      </c>
      <c r="U1085" t="str">
        <f ca="1">IFERROR(N1085*VLOOKUP(Tab_Calculs[[#This Row],[Colonne1]],Controle_des_données!$B$7:$H$14,7,FALSE),"")</f>
        <v/>
      </c>
      <c r="V1085">
        <f ca="1">IFERROR(Tab_Calculs[[#This Row],[Cout_mois]]/Tab_Calculs[[#This Row],[Conso_mois_kWh]],0)</f>
        <v>0</v>
      </c>
      <c r="W1085" t="str">
        <f>T(VLOOKUP(Tab_Calculs[[#This Row],[Compteur]],Site!$B$33:$G$40,3,FALSE))</f>
        <v/>
      </c>
      <c r="X1085" t="str">
        <f>T(VLOOKUP(Tab_Calculs[[#This Row],[Compteur]],Site!$B$33:$G$40,4,FALSE))</f>
        <v/>
      </c>
      <c r="Y1085" t="str">
        <f>T(VLOOKUP(Tab_Calculs[[#This Row],[Compteur]],Site!$B$33:$G$40,5,FALSE))</f>
        <v/>
      </c>
      <c r="Z1085" t="str">
        <f>T(VLOOKUP(Tab_Calculs[[#This Row],[Compteur]],Site!$B$33:$G$40,6,FALSE))</f>
        <v/>
      </c>
      <c r="AA1085">
        <f>IFERROR(GETPIVOTDATA("DJU(chauffagiste)",BDD_DJU!$P$13,"annee",Tab_Calculs[[#This Row],[ANNEE]],"mois_numero",Tab_Calculs[[#This Row],[MOIS]]),0)</f>
        <v>64.7</v>
      </c>
    </row>
    <row r="1086" spans="1:27" x14ac:dyDescent="0.25">
      <c r="A1086" s="3">
        <f>DATE(Tab_Calculs[[#This Row],[ANNEE]],Tab_Calculs[[#This Row],[MOIS]],1)</f>
        <v>43739</v>
      </c>
      <c r="B1086" s="3">
        <f>EDATE(Tab_Calculs[[#This Row],[Début mois]],1)-1</f>
        <v>43769</v>
      </c>
      <c r="C1086">
        <f t="shared" si="36"/>
        <v>10</v>
      </c>
      <c r="D1086">
        <f t="shared" si="35"/>
        <v>2019</v>
      </c>
      <c r="E1086" t="s">
        <v>85</v>
      </c>
      <c r="F1086" t="str">
        <f>SUBSTITUTE(Tab_Calculs[[#This Row],[Compteur]]," ","_")</f>
        <v>Compteur_6</v>
      </c>
      <c r="G1086" t="str">
        <f>T(INDEX(Site!$B$33:$G$40, MATCH(Tab_Calculs[[#This Row],[Compteur]], Site!$B$33:$B$40,0),2))</f>
        <v/>
      </c>
      <c r="H1086" s="3">
        <f t="array" aca="1" ref="H1086" ca="1">MIN(IF(INDIRECT(CONCATENATE(Tab_Calculs[[#This Row],[Colonne1]],"!$B$2:$B$243"))&gt;=Calculs_Consos!$A1086,INDIRECT(CONCATENATE(Tab_Calculs[[#This Row],[Colonne1]],"!$B$2:$B$243"))))</f>
        <v>0</v>
      </c>
      <c r="I1086" s="3">
        <f ca="1">INDEX(INDIRECT(CONCATENATE("Tab_",Tab_Calculs[[#This Row],[Colonne1]])),Tab_Calculs[[#This Row],[index_date_livraison]],1)</f>
        <v>0</v>
      </c>
      <c r="J1086">
        <f ca="1">MATCH(Tab_Calculs[[#This Row],[Date_livraison]],INDIRECT(CONCATENATE("Tab_",Tab_Calculs[[#This Row],[Colonne1]],"[Fin de période]")),0)</f>
        <v>1</v>
      </c>
      <c r="K1086" t="e">
        <f ca="1">INDEX(INDIRECT(CONCATENATE("Tab_",Tab_Calculs[[#This Row],[Colonne1]])),Tab_Calculs[[#This Row],[index_date_livraison]]-1,6)*(MAX(Tab_Calculs[[#This Row],[Début periode livraison]],Tab_Calculs[[#This Row],[Début mois]])-Tab_Calculs[[#This Row],[Début mois]])</f>
        <v>#VALUE!</v>
      </c>
      <c r="L1086" s="94">
        <f ca="1">INDEX(INDIRECT(CONCATENATE("Tab_",Tab_Calculs[[#This Row],[Colonne1]])),Tab_Calculs[[#This Row],[index_date_livraison]],6)*(1+MIN(Tab_Calculs[[#This Row],[Date_livraison]],Tab_Calculs[[#This Row],[fin mois]])-MAX(Tab_Calculs[[#This Row],[Début mois]],Tab_Calculs[[#This Row],[Début periode livraison]]))</f>
        <v>0</v>
      </c>
      <c r="M1086" s="94" t="e">
        <f ca="1">INDEX(INDIRECT(CONCATENATE("Tab_",Tab_Calculs[[#This Row],[Colonne1]])),Tab_Calculs[[#This Row],[index_date_livraison]]+1,6)*(Tab_Calculs[[#This Row],[fin mois]]-MIN(Tab_Calculs[[#This Row],[fin mois]],Tab_Calculs[[#This Row],[Date_livraison]]))</f>
        <v>#VALUE!</v>
      </c>
      <c r="N1086" s="231" t="str">
        <f ca="1">IFERROR(Tab_Calculs[[#This Row],[Ratio_jour_après_livr]]+Tab_Calculs[[#This Row],[Ratio_jour_avant_livr]]+Tab_Calculs[[#This Row],[ratio_avant_debut]],"")</f>
        <v/>
      </c>
      <c r="O1086" t="e">
        <f ca="1">INDEX(INDIRECT(CONCATENATE("Tab_",Tab_Calculs[[#This Row],[Colonne1]])),Tab_Calculs[[#This Row],[index_date_livraison]]-1,7)*(MAX(Tab_Calculs[[#This Row],[Début periode livraison]],Tab_Calculs[[#This Row],[Début mois]])-Tab_Calculs[[#This Row],[Début mois]])</f>
        <v>#VALUE!</v>
      </c>
      <c r="P1086">
        <f ca="1">INDEX(INDIRECT(CONCATENATE("Tab_",Tab_Calculs[[#This Row],[Colonne1]])),Tab_Calculs[[#This Row],[index_date_livraison]],7)*(1+MIN(Tab_Calculs[[#This Row],[Date_livraison]],Tab_Calculs[[#This Row],[fin mois]])-MAX(Tab_Calculs[[#This Row],[Début mois]],Tab_Calculs[[#This Row],[Début periode livraison]]))</f>
        <v>0</v>
      </c>
      <c r="Q1086" t="e">
        <f ca="1">INDEX(INDIRECT(CONCATENATE("Tab_",Tab_Calculs[[#This Row],[Colonne1]])),Tab_Calculs[[#This Row],[index_date_livraison]]+1,7)*(Tab_Calculs[[#This Row],[fin mois]]-MIN(Tab_Calculs[[#This Row],[fin mois]],Tab_Calculs[[#This Row],[Date_livraison]]))</f>
        <v>#VALUE!</v>
      </c>
      <c r="R1086" t="e">
        <f ca="1">Tab_Calculs[[#This Row],[Ratio_Cout_après_livr]]+Tab_Calculs[[#This Row],[Ratio_Cout_avant_livr]]+Tab_Calculs[[#This Row],[Ratio_Cout_avant_debut]]</f>
        <v>#VALUE!</v>
      </c>
      <c r="S1086" t="str">
        <f ca="1">IFERROR(N1086*VLOOKUP(Tab_Calculs[[#This Row],[Colonne1]],Controle_des_données!$B$7:$G$14,6,FALSE),"")</f>
        <v/>
      </c>
      <c r="T1086" t="str">
        <f ca="1">IF(Tab_Calculs[[#This Row],[Combustible ]]="Electricité (kWh)",Tab_Calculs[[#This Row],[Conso_mois_kWh]]*2.3,Tab_Calculs[[#This Row],[Conso_mois_kWh]])</f>
        <v/>
      </c>
      <c r="U1086" t="str">
        <f ca="1">IFERROR(N1086*VLOOKUP(Tab_Calculs[[#This Row],[Colonne1]],Controle_des_données!$B$7:$H$14,7,FALSE),"")</f>
        <v/>
      </c>
      <c r="V1086">
        <f ca="1">IFERROR(Tab_Calculs[[#This Row],[Cout_mois]]/Tab_Calculs[[#This Row],[Conso_mois_kWh]],0)</f>
        <v>0</v>
      </c>
      <c r="W1086" t="str">
        <f>T(VLOOKUP(Tab_Calculs[[#This Row],[Compteur]],Site!$B$33:$G$40,3,FALSE))</f>
        <v/>
      </c>
      <c r="X1086" t="str">
        <f>T(VLOOKUP(Tab_Calculs[[#This Row],[Compteur]],Site!$B$33:$G$40,4,FALSE))</f>
        <v/>
      </c>
      <c r="Y1086" t="str">
        <f>T(VLOOKUP(Tab_Calculs[[#This Row],[Compteur]],Site!$B$33:$G$40,5,FALSE))</f>
        <v/>
      </c>
      <c r="Z1086" t="str">
        <f>T(VLOOKUP(Tab_Calculs[[#This Row],[Compteur]],Site!$B$33:$G$40,6,FALSE))</f>
        <v/>
      </c>
      <c r="AA1086">
        <f>IFERROR(GETPIVOTDATA("DJU(chauffagiste)",BDD_DJU!$P$13,"annee",Tab_Calculs[[#This Row],[ANNEE]],"mois_numero",Tab_Calculs[[#This Row],[MOIS]]),0)</f>
        <v>128.80000000000001</v>
      </c>
    </row>
    <row r="1087" spans="1:27" x14ac:dyDescent="0.25">
      <c r="A1087" s="3">
        <f>DATE(Tab_Calculs[[#This Row],[ANNEE]],Tab_Calculs[[#This Row],[MOIS]],1)</f>
        <v>43770</v>
      </c>
      <c r="B1087" s="3">
        <f>EDATE(Tab_Calculs[[#This Row],[Début mois]],1)-1</f>
        <v>43799</v>
      </c>
      <c r="C1087">
        <f t="shared" si="36"/>
        <v>11</v>
      </c>
      <c r="D1087">
        <f t="shared" si="35"/>
        <v>2019</v>
      </c>
      <c r="E1087" t="s">
        <v>85</v>
      </c>
      <c r="F1087" t="str">
        <f>SUBSTITUTE(Tab_Calculs[[#This Row],[Compteur]]," ","_")</f>
        <v>Compteur_6</v>
      </c>
      <c r="G1087" t="str">
        <f>T(INDEX(Site!$B$33:$G$40, MATCH(Tab_Calculs[[#This Row],[Compteur]], Site!$B$33:$B$40,0),2))</f>
        <v/>
      </c>
      <c r="H1087" s="3">
        <f t="array" aca="1" ref="H1087" ca="1">MIN(IF(INDIRECT(CONCATENATE(Tab_Calculs[[#This Row],[Colonne1]],"!$B$2:$B$243"))&gt;=Calculs_Consos!$A1087,INDIRECT(CONCATENATE(Tab_Calculs[[#This Row],[Colonne1]],"!$B$2:$B$243"))))</f>
        <v>0</v>
      </c>
      <c r="I1087" s="3">
        <f ca="1">INDEX(INDIRECT(CONCATENATE("Tab_",Tab_Calculs[[#This Row],[Colonne1]])),Tab_Calculs[[#This Row],[index_date_livraison]],1)</f>
        <v>0</v>
      </c>
      <c r="J1087">
        <f ca="1">MATCH(Tab_Calculs[[#This Row],[Date_livraison]],INDIRECT(CONCATENATE("Tab_",Tab_Calculs[[#This Row],[Colonne1]],"[Fin de période]")),0)</f>
        <v>1</v>
      </c>
      <c r="K1087" t="e">
        <f ca="1">INDEX(INDIRECT(CONCATENATE("Tab_",Tab_Calculs[[#This Row],[Colonne1]])),Tab_Calculs[[#This Row],[index_date_livraison]]-1,6)*(MAX(Tab_Calculs[[#This Row],[Début periode livraison]],Tab_Calculs[[#This Row],[Début mois]])-Tab_Calculs[[#This Row],[Début mois]])</f>
        <v>#VALUE!</v>
      </c>
      <c r="L1087" s="94">
        <f ca="1">INDEX(INDIRECT(CONCATENATE("Tab_",Tab_Calculs[[#This Row],[Colonne1]])),Tab_Calculs[[#This Row],[index_date_livraison]],6)*(1+MIN(Tab_Calculs[[#This Row],[Date_livraison]],Tab_Calculs[[#This Row],[fin mois]])-MAX(Tab_Calculs[[#This Row],[Début mois]],Tab_Calculs[[#This Row],[Début periode livraison]]))</f>
        <v>0</v>
      </c>
      <c r="M1087" s="94" t="e">
        <f ca="1">INDEX(INDIRECT(CONCATENATE("Tab_",Tab_Calculs[[#This Row],[Colonne1]])),Tab_Calculs[[#This Row],[index_date_livraison]]+1,6)*(Tab_Calculs[[#This Row],[fin mois]]-MIN(Tab_Calculs[[#This Row],[fin mois]],Tab_Calculs[[#This Row],[Date_livraison]]))</f>
        <v>#VALUE!</v>
      </c>
      <c r="N1087" s="231" t="str">
        <f ca="1">IFERROR(Tab_Calculs[[#This Row],[Ratio_jour_après_livr]]+Tab_Calculs[[#This Row],[Ratio_jour_avant_livr]]+Tab_Calculs[[#This Row],[ratio_avant_debut]],"")</f>
        <v/>
      </c>
      <c r="O1087" t="e">
        <f ca="1">INDEX(INDIRECT(CONCATENATE("Tab_",Tab_Calculs[[#This Row],[Colonne1]])),Tab_Calculs[[#This Row],[index_date_livraison]]-1,7)*(MAX(Tab_Calculs[[#This Row],[Début periode livraison]],Tab_Calculs[[#This Row],[Début mois]])-Tab_Calculs[[#This Row],[Début mois]])</f>
        <v>#VALUE!</v>
      </c>
      <c r="P1087">
        <f ca="1">INDEX(INDIRECT(CONCATENATE("Tab_",Tab_Calculs[[#This Row],[Colonne1]])),Tab_Calculs[[#This Row],[index_date_livraison]],7)*(1+MIN(Tab_Calculs[[#This Row],[Date_livraison]],Tab_Calculs[[#This Row],[fin mois]])-MAX(Tab_Calculs[[#This Row],[Début mois]],Tab_Calculs[[#This Row],[Début periode livraison]]))</f>
        <v>0</v>
      </c>
      <c r="Q1087" t="e">
        <f ca="1">INDEX(INDIRECT(CONCATENATE("Tab_",Tab_Calculs[[#This Row],[Colonne1]])),Tab_Calculs[[#This Row],[index_date_livraison]]+1,7)*(Tab_Calculs[[#This Row],[fin mois]]-MIN(Tab_Calculs[[#This Row],[fin mois]],Tab_Calculs[[#This Row],[Date_livraison]]))</f>
        <v>#VALUE!</v>
      </c>
      <c r="R1087" t="e">
        <f ca="1">Tab_Calculs[[#This Row],[Ratio_Cout_après_livr]]+Tab_Calculs[[#This Row],[Ratio_Cout_avant_livr]]+Tab_Calculs[[#This Row],[Ratio_Cout_avant_debut]]</f>
        <v>#VALUE!</v>
      </c>
      <c r="S1087" t="str">
        <f ca="1">IFERROR(N1087*VLOOKUP(Tab_Calculs[[#This Row],[Colonne1]],Controle_des_données!$B$7:$G$14,6,FALSE),"")</f>
        <v/>
      </c>
      <c r="T1087" t="str">
        <f ca="1">IF(Tab_Calculs[[#This Row],[Combustible ]]="Electricité (kWh)",Tab_Calculs[[#This Row],[Conso_mois_kWh]]*2.3,Tab_Calculs[[#This Row],[Conso_mois_kWh]])</f>
        <v/>
      </c>
      <c r="U1087" t="str">
        <f ca="1">IFERROR(N1087*VLOOKUP(Tab_Calculs[[#This Row],[Colonne1]],Controle_des_données!$B$7:$H$14,7,FALSE),"")</f>
        <v/>
      </c>
      <c r="V1087">
        <f ca="1">IFERROR(Tab_Calculs[[#This Row],[Cout_mois]]/Tab_Calculs[[#This Row],[Conso_mois_kWh]],0)</f>
        <v>0</v>
      </c>
      <c r="W1087" t="str">
        <f>T(VLOOKUP(Tab_Calculs[[#This Row],[Compteur]],Site!$B$33:$G$40,3,FALSE))</f>
        <v/>
      </c>
      <c r="X1087" t="str">
        <f>T(VLOOKUP(Tab_Calculs[[#This Row],[Compteur]],Site!$B$33:$G$40,4,FALSE))</f>
        <v/>
      </c>
      <c r="Y1087" t="str">
        <f>T(VLOOKUP(Tab_Calculs[[#This Row],[Compteur]],Site!$B$33:$G$40,5,FALSE))</f>
        <v/>
      </c>
      <c r="Z1087" t="str">
        <f>T(VLOOKUP(Tab_Calculs[[#This Row],[Compteur]],Site!$B$33:$G$40,6,FALSE))</f>
        <v/>
      </c>
      <c r="AA1087">
        <f>IFERROR(GETPIVOTDATA("DJU(chauffagiste)",BDD_DJU!$P$13,"annee",Tab_Calculs[[#This Row],[ANNEE]],"mois_numero",Tab_Calculs[[#This Row],[MOIS]]),0)</f>
        <v>293.10000000000002</v>
      </c>
    </row>
    <row r="1088" spans="1:27" x14ac:dyDescent="0.25">
      <c r="A1088" s="3">
        <f>DATE(Tab_Calculs[[#This Row],[ANNEE]],Tab_Calculs[[#This Row],[MOIS]],1)</f>
        <v>43800</v>
      </c>
      <c r="B1088" s="3">
        <f>EDATE(Tab_Calculs[[#This Row],[Début mois]],1)-1</f>
        <v>43830</v>
      </c>
      <c r="C1088">
        <f t="shared" si="36"/>
        <v>12</v>
      </c>
      <c r="D1088">
        <f t="shared" si="35"/>
        <v>2019</v>
      </c>
      <c r="E1088" t="s">
        <v>85</v>
      </c>
      <c r="F1088" t="str">
        <f>SUBSTITUTE(Tab_Calculs[[#This Row],[Compteur]]," ","_")</f>
        <v>Compteur_6</v>
      </c>
      <c r="G1088" t="str">
        <f>T(INDEX(Site!$B$33:$G$40, MATCH(Tab_Calculs[[#This Row],[Compteur]], Site!$B$33:$B$40,0),2))</f>
        <v/>
      </c>
      <c r="H1088" s="3">
        <f t="array" aca="1" ref="H1088" ca="1">MIN(IF(INDIRECT(CONCATENATE(Tab_Calculs[[#This Row],[Colonne1]],"!$B$2:$B$243"))&gt;=Calculs_Consos!$A1088,INDIRECT(CONCATENATE(Tab_Calculs[[#This Row],[Colonne1]],"!$B$2:$B$243"))))</f>
        <v>0</v>
      </c>
      <c r="I1088" s="3">
        <f ca="1">INDEX(INDIRECT(CONCATENATE("Tab_",Tab_Calculs[[#This Row],[Colonne1]])),Tab_Calculs[[#This Row],[index_date_livraison]],1)</f>
        <v>0</v>
      </c>
      <c r="J1088">
        <f ca="1">MATCH(Tab_Calculs[[#This Row],[Date_livraison]],INDIRECT(CONCATENATE("Tab_",Tab_Calculs[[#This Row],[Colonne1]],"[Fin de période]")),0)</f>
        <v>1</v>
      </c>
      <c r="K1088" t="e">
        <f ca="1">INDEX(INDIRECT(CONCATENATE("Tab_",Tab_Calculs[[#This Row],[Colonne1]])),Tab_Calculs[[#This Row],[index_date_livraison]]-1,6)*(MAX(Tab_Calculs[[#This Row],[Début periode livraison]],Tab_Calculs[[#This Row],[Début mois]])-Tab_Calculs[[#This Row],[Début mois]])</f>
        <v>#VALUE!</v>
      </c>
      <c r="L1088" s="94">
        <f ca="1">INDEX(INDIRECT(CONCATENATE("Tab_",Tab_Calculs[[#This Row],[Colonne1]])),Tab_Calculs[[#This Row],[index_date_livraison]],6)*(1+MIN(Tab_Calculs[[#This Row],[Date_livraison]],Tab_Calculs[[#This Row],[fin mois]])-MAX(Tab_Calculs[[#This Row],[Début mois]],Tab_Calculs[[#This Row],[Début periode livraison]]))</f>
        <v>0</v>
      </c>
      <c r="M1088" s="94" t="e">
        <f ca="1">INDEX(INDIRECT(CONCATENATE("Tab_",Tab_Calculs[[#This Row],[Colonne1]])),Tab_Calculs[[#This Row],[index_date_livraison]]+1,6)*(Tab_Calculs[[#This Row],[fin mois]]-MIN(Tab_Calculs[[#This Row],[fin mois]],Tab_Calculs[[#This Row],[Date_livraison]]))</f>
        <v>#VALUE!</v>
      </c>
      <c r="N1088" s="231" t="str">
        <f ca="1">IFERROR(Tab_Calculs[[#This Row],[Ratio_jour_après_livr]]+Tab_Calculs[[#This Row],[Ratio_jour_avant_livr]]+Tab_Calculs[[#This Row],[ratio_avant_debut]],"")</f>
        <v/>
      </c>
      <c r="O1088" t="e">
        <f ca="1">INDEX(INDIRECT(CONCATENATE("Tab_",Tab_Calculs[[#This Row],[Colonne1]])),Tab_Calculs[[#This Row],[index_date_livraison]]-1,7)*(MAX(Tab_Calculs[[#This Row],[Début periode livraison]],Tab_Calculs[[#This Row],[Début mois]])-Tab_Calculs[[#This Row],[Début mois]])</f>
        <v>#VALUE!</v>
      </c>
      <c r="P1088">
        <f ca="1">INDEX(INDIRECT(CONCATENATE("Tab_",Tab_Calculs[[#This Row],[Colonne1]])),Tab_Calculs[[#This Row],[index_date_livraison]],7)*(1+MIN(Tab_Calculs[[#This Row],[Date_livraison]],Tab_Calculs[[#This Row],[fin mois]])-MAX(Tab_Calculs[[#This Row],[Début mois]],Tab_Calculs[[#This Row],[Début periode livraison]]))</f>
        <v>0</v>
      </c>
      <c r="Q1088" t="e">
        <f ca="1">INDEX(INDIRECT(CONCATENATE("Tab_",Tab_Calculs[[#This Row],[Colonne1]])),Tab_Calculs[[#This Row],[index_date_livraison]]+1,7)*(Tab_Calculs[[#This Row],[fin mois]]-MIN(Tab_Calculs[[#This Row],[fin mois]],Tab_Calculs[[#This Row],[Date_livraison]]))</f>
        <v>#VALUE!</v>
      </c>
      <c r="R1088" t="e">
        <f ca="1">Tab_Calculs[[#This Row],[Ratio_Cout_après_livr]]+Tab_Calculs[[#This Row],[Ratio_Cout_avant_livr]]+Tab_Calculs[[#This Row],[Ratio_Cout_avant_debut]]</f>
        <v>#VALUE!</v>
      </c>
      <c r="S1088" t="str">
        <f ca="1">IFERROR(N1088*VLOOKUP(Tab_Calculs[[#This Row],[Colonne1]],Controle_des_données!$B$7:$G$14,6,FALSE),"")</f>
        <v/>
      </c>
      <c r="T1088" t="str">
        <f ca="1">IF(Tab_Calculs[[#This Row],[Combustible ]]="Electricité (kWh)",Tab_Calculs[[#This Row],[Conso_mois_kWh]]*2.3,Tab_Calculs[[#This Row],[Conso_mois_kWh]])</f>
        <v/>
      </c>
      <c r="U1088" t="str">
        <f ca="1">IFERROR(N1088*VLOOKUP(Tab_Calculs[[#This Row],[Colonne1]],Controle_des_données!$B$7:$H$14,7,FALSE),"")</f>
        <v/>
      </c>
      <c r="V1088">
        <f ca="1">IFERROR(Tab_Calculs[[#This Row],[Cout_mois]]/Tab_Calculs[[#This Row],[Conso_mois_kWh]],0)</f>
        <v>0</v>
      </c>
      <c r="W1088" t="str">
        <f>T(VLOOKUP(Tab_Calculs[[#This Row],[Compteur]],Site!$B$33:$G$40,3,FALSE))</f>
        <v/>
      </c>
      <c r="X1088" t="str">
        <f>T(VLOOKUP(Tab_Calculs[[#This Row],[Compteur]],Site!$B$33:$G$40,4,FALSE))</f>
        <v/>
      </c>
      <c r="Y1088" t="str">
        <f>T(VLOOKUP(Tab_Calculs[[#This Row],[Compteur]],Site!$B$33:$G$40,5,FALSE))</f>
        <v/>
      </c>
      <c r="Z1088" t="str">
        <f>T(VLOOKUP(Tab_Calculs[[#This Row],[Compteur]],Site!$B$33:$G$40,6,FALSE))</f>
        <v/>
      </c>
      <c r="AA1088">
        <f>IFERROR(GETPIVOTDATA("DJU(chauffagiste)",BDD_DJU!$P$13,"annee",Tab_Calculs[[#This Row],[ANNEE]],"mois_numero",Tab_Calculs[[#This Row],[MOIS]]),0)</f>
        <v>323</v>
      </c>
    </row>
    <row r="1089" spans="1:27" x14ac:dyDescent="0.25">
      <c r="A1089" s="3">
        <f>DATE(Tab_Calculs[[#This Row],[ANNEE]],Tab_Calculs[[#This Row],[MOIS]],1)</f>
        <v>43831</v>
      </c>
      <c r="B1089" s="3">
        <f>EDATE(Tab_Calculs[[#This Row],[Début mois]],1)-1</f>
        <v>43861</v>
      </c>
      <c r="C1089">
        <f t="shared" si="36"/>
        <v>1</v>
      </c>
      <c r="D1089">
        <f t="shared" si="35"/>
        <v>2020</v>
      </c>
      <c r="E1089" t="s">
        <v>85</v>
      </c>
      <c r="F1089" t="str">
        <f>SUBSTITUTE(Tab_Calculs[[#This Row],[Compteur]]," ","_")</f>
        <v>Compteur_6</v>
      </c>
      <c r="G1089" t="str">
        <f>T(INDEX(Site!$B$33:$G$40, MATCH(Tab_Calculs[[#This Row],[Compteur]], Site!$B$33:$B$40,0),2))</f>
        <v/>
      </c>
      <c r="H1089" s="3">
        <f t="array" aca="1" ref="H1089" ca="1">MIN(IF(INDIRECT(CONCATENATE(Tab_Calculs[[#This Row],[Colonne1]],"!$B$2:$B$243"))&gt;=Calculs_Consos!$A1089,INDIRECT(CONCATENATE(Tab_Calculs[[#This Row],[Colonne1]],"!$B$2:$B$243"))))</f>
        <v>0</v>
      </c>
      <c r="I1089" s="3">
        <f ca="1">INDEX(INDIRECT(CONCATENATE("Tab_",Tab_Calculs[[#This Row],[Colonne1]])),Tab_Calculs[[#This Row],[index_date_livraison]],1)</f>
        <v>0</v>
      </c>
      <c r="J1089">
        <f ca="1">MATCH(Tab_Calculs[[#This Row],[Date_livraison]],INDIRECT(CONCATENATE("Tab_",Tab_Calculs[[#This Row],[Colonne1]],"[Fin de période]")),0)</f>
        <v>1</v>
      </c>
      <c r="K1089" t="e">
        <f ca="1">INDEX(INDIRECT(CONCATENATE("Tab_",Tab_Calculs[[#This Row],[Colonne1]])),Tab_Calculs[[#This Row],[index_date_livraison]]-1,6)*(MAX(Tab_Calculs[[#This Row],[Début periode livraison]],Tab_Calculs[[#This Row],[Début mois]])-Tab_Calculs[[#This Row],[Début mois]])</f>
        <v>#VALUE!</v>
      </c>
      <c r="L1089" s="94">
        <f ca="1">INDEX(INDIRECT(CONCATENATE("Tab_",Tab_Calculs[[#This Row],[Colonne1]])),Tab_Calculs[[#This Row],[index_date_livraison]],6)*(1+MIN(Tab_Calculs[[#This Row],[Date_livraison]],Tab_Calculs[[#This Row],[fin mois]])-MAX(Tab_Calculs[[#This Row],[Début mois]],Tab_Calculs[[#This Row],[Début periode livraison]]))</f>
        <v>0</v>
      </c>
      <c r="M1089" s="94" t="e">
        <f ca="1">INDEX(INDIRECT(CONCATENATE("Tab_",Tab_Calculs[[#This Row],[Colonne1]])),Tab_Calculs[[#This Row],[index_date_livraison]]+1,6)*(Tab_Calculs[[#This Row],[fin mois]]-MIN(Tab_Calculs[[#This Row],[fin mois]],Tab_Calculs[[#This Row],[Date_livraison]]))</f>
        <v>#VALUE!</v>
      </c>
      <c r="N1089" s="231" t="str">
        <f ca="1">IFERROR(Tab_Calculs[[#This Row],[Ratio_jour_après_livr]]+Tab_Calculs[[#This Row],[Ratio_jour_avant_livr]]+Tab_Calculs[[#This Row],[ratio_avant_debut]],"")</f>
        <v/>
      </c>
      <c r="O1089" t="e">
        <f ca="1">INDEX(INDIRECT(CONCATENATE("Tab_",Tab_Calculs[[#This Row],[Colonne1]])),Tab_Calculs[[#This Row],[index_date_livraison]]-1,7)*(MAX(Tab_Calculs[[#This Row],[Début periode livraison]],Tab_Calculs[[#This Row],[Début mois]])-Tab_Calculs[[#This Row],[Début mois]])</f>
        <v>#VALUE!</v>
      </c>
      <c r="P1089">
        <f ca="1">INDEX(INDIRECT(CONCATENATE("Tab_",Tab_Calculs[[#This Row],[Colonne1]])),Tab_Calculs[[#This Row],[index_date_livraison]],7)*(1+MIN(Tab_Calculs[[#This Row],[Date_livraison]],Tab_Calculs[[#This Row],[fin mois]])-MAX(Tab_Calculs[[#This Row],[Début mois]],Tab_Calculs[[#This Row],[Début periode livraison]]))</f>
        <v>0</v>
      </c>
      <c r="Q1089" t="e">
        <f ca="1">INDEX(INDIRECT(CONCATENATE("Tab_",Tab_Calculs[[#This Row],[Colonne1]])),Tab_Calculs[[#This Row],[index_date_livraison]]+1,7)*(Tab_Calculs[[#This Row],[fin mois]]-MIN(Tab_Calculs[[#This Row],[fin mois]],Tab_Calculs[[#This Row],[Date_livraison]]))</f>
        <v>#VALUE!</v>
      </c>
      <c r="R1089" t="e">
        <f ca="1">Tab_Calculs[[#This Row],[Ratio_Cout_après_livr]]+Tab_Calculs[[#This Row],[Ratio_Cout_avant_livr]]+Tab_Calculs[[#This Row],[Ratio_Cout_avant_debut]]</f>
        <v>#VALUE!</v>
      </c>
      <c r="S1089" t="str">
        <f ca="1">IFERROR(N1089*VLOOKUP(Tab_Calculs[[#This Row],[Colonne1]],Controle_des_données!$B$7:$G$14,6,FALSE),"")</f>
        <v/>
      </c>
      <c r="T1089" t="str">
        <f ca="1">IF(Tab_Calculs[[#This Row],[Combustible ]]="Electricité (kWh)",Tab_Calculs[[#This Row],[Conso_mois_kWh]]*2.3,Tab_Calculs[[#This Row],[Conso_mois_kWh]])</f>
        <v/>
      </c>
      <c r="U1089" t="str">
        <f ca="1">IFERROR(N1089*VLOOKUP(Tab_Calculs[[#This Row],[Colonne1]],Controle_des_données!$B$7:$H$14,7,FALSE),"")</f>
        <v/>
      </c>
      <c r="V1089">
        <f ca="1">IFERROR(Tab_Calculs[[#This Row],[Cout_mois]]/Tab_Calculs[[#This Row],[Conso_mois_kWh]],0)</f>
        <v>0</v>
      </c>
      <c r="W1089" t="str">
        <f>T(VLOOKUP(Tab_Calculs[[#This Row],[Compteur]],Site!$B$33:$G$40,3,FALSE))</f>
        <v/>
      </c>
      <c r="X1089" t="str">
        <f>T(VLOOKUP(Tab_Calculs[[#This Row],[Compteur]],Site!$B$33:$G$40,4,FALSE))</f>
        <v/>
      </c>
      <c r="Y1089" t="str">
        <f>T(VLOOKUP(Tab_Calculs[[#This Row],[Compteur]],Site!$B$33:$G$40,5,FALSE))</f>
        <v/>
      </c>
      <c r="Z1089" t="str">
        <f>T(VLOOKUP(Tab_Calculs[[#This Row],[Compteur]],Site!$B$33:$G$40,6,FALSE))</f>
        <v/>
      </c>
      <c r="AA1089">
        <f>IFERROR(GETPIVOTDATA("DJU(chauffagiste)",BDD_DJU!$P$13,"annee",Tab_Calculs[[#This Row],[ANNEE]],"mois_numero",Tab_Calculs[[#This Row],[MOIS]]),0)</f>
        <v>331.5</v>
      </c>
    </row>
    <row r="1090" spans="1:27" x14ac:dyDescent="0.25">
      <c r="A1090" s="3">
        <f>DATE(Tab_Calculs[[#This Row],[ANNEE]],Tab_Calculs[[#This Row],[MOIS]],1)</f>
        <v>43862</v>
      </c>
      <c r="B1090" s="3">
        <f>EDATE(Tab_Calculs[[#This Row],[Début mois]],1)-1</f>
        <v>43890</v>
      </c>
      <c r="C1090">
        <f t="shared" si="36"/>
        <v>2</v>
      </c>
      <c r="D1090">
        <f t="shared" si="35"/>
        <v>2020</v>
      </c>
      <c r="E1090" t="s">
        <v>85</v>
      </c>
      <c r="F1090" t="str">
        <f>SUBSTITUTE(Tab_Calculs[[#This Row],[Compteur]]," ","_")</f>
        <v>Compteur_6</v>
      </c>
      <c r="G1090" t="str">
        <f>T(INDEX(Site!$B$33:$G$40, MATCH(Tab_Calculs[[#This Row],[Compteur]], Site!$B$33:$B$40,0),2))</f>
        <v/>
      </c>
      <c r="H1090" s="3">
        <f t="array" aca="1" ref="H1090" ca="1">MIN(IF(INDIRECT(CONCATENATE(Tab_Calculs[[#This Row],[Colonne1]],"!$B$2:$B$243"))&gt;=Calculs_Consos!$A1090,INDIRECT(CONCATENATE(Tab_Calculs[[#This Row],[Colonne1]],"!$B$2:$B$243"))))</f>
        <v>0</v>
      </c>
      <c r="I1090" s="3">
        <f ca="1">INDEX(INDIRECT(CONCATENATE("Tab_",Tab_Calculs[[#This Row],[Colonne1]])),Tab_Calculs[[#This Row],[index_date_livraison]],1)</f>
        <v>0</v>
      </c>
      <c r="J1090">
        <f ca="1">MATCH(Tab_Calculs[[#This Row],[Date_livraison]],INDIRECT(CONCATENATE("Tab_",Tab_Calculs[[#This Row],[Colonne1]],"[Fin de période]")),0)</f>
        <v>1</v>
      </c>
      <c r="K1090" t="e">
        <f ca="1">INDEX(INDIRECT(CONCATENATE("Tab_",Tab_Calculs[[#This Row],[Colonne1]])),Tab_Calculs[[#This Row],[index_date_livraison]]-1,6)*(MAX(Tab_Calculs[[#This Row],[Début periode livraison]],Tab_Calculs[[#This Row],[Début mois]])-Tab_Calculs[[#This Row],[Début mois]])</f>
        <v>#VALUE!</v>
      </c>
      <c r="L1090" s="94">
        <f ca="1">INDEX(INDIRECT(CONCATENATE("Tab_",Tab_Calculs[[#This Row],[Colonne1]])),Tab_Calculs[[#This Row],[index_date_livraison]],6)*(1+MIN(Tab_Calculs[[#This Row],[Date_livraison]],Tab_Calculs[[#This Row],[fin mois]])-MAX(Tab_Calculs[[#This Row],[Début mois]],Tab_Calculs[[#This Row],[Début periode livraison]]))</f>
        <v>0</v>
      </c>
      <c r="M1090" s="94" t="e">
        <f ca="1">INDEX(INDIRECT(CONCATENATE("Tab_",Tab_Calculs[[#This Row],[Colonne1]])),Tab_Calculs[[#This Row],[index_date_livraison]]+1,6)*(Tab_Calculs[[#This Row],[fin mois]]-MIN(Tab_Calculs[[#This Row],[fin mois]],Tab_Calculs[[#This Row],[Date_livraison]]))</f>
        <v>#VALUE!</v>
      </c>
      <c r="N1090" s="231" t="str">
        <f ca="1">IFERROR(Tab_Calculs[[#This Row],[Ratio_jour_après_livr]]+Tab_Calculs[[#This Row],[Ratio_jour_avant_livr]]+Tab_Calculs[[#This Row],[ratio_avant_debut]],"")</f>
        <v/>
      </c>
      <c r="O1090" t="e">
        <f ca="1">INDEX(INDIRECT(CONCATENATE("Tab_",Tab_Calculs[[#This Row],[Colonne1]])),Tab_Calculs[[#This Row],[index_date_livraison]]-1,7)*(MAX(Tab_Calculs[[#This Row],[Début periode livraison]],Tab_Calculs[[#This Row],[Début mois]])-Tab_Calculs[[#This Row],[Début mois]])</f>
        <v>#VALUE!</v>
      </c>
      <c r="P1090">
        <f ca="1">INDEX(INDIRECT(CONCATENATE("Tab_",Tab_Calculs[[#This Row],[Colonne1]])),Tab_Calculs[[#This Row],[index_date_livraison]],7)*(1+MIN(Tab_Calculs[[#This Row],[Date_livraison]],Tab_Calculs[[#This Row],[fin mois]])-MAX(Tab_Calculs[[#This Row],[Début mois]],Tab_Calculs[[#This Row],[Début periode livraison]]))</f>
        <v>0</v>
      </c>
      <c r="Q1090" t="e">
        <f ca="1">INDEX(INDIRECT(CONCATENATE("Tab_",Tab_Calculs[[#This Row],[Colonne1]])),Tab_Calculs[[#This Row],[index_date_livraison]]+1,7)*(Tab_Calculs[[#This Row],[fin mois]]-MIN(Tab_Calculs[[#This Row],[fin mois]],Tab_Calculs[[#This Row],[Date_livraison]]))</f>
        <v>#VALUE!</v>
      </c>
      <c r="R1090" t="e">
        <f ca="1">Tab_Calculs[[#This Row],[Ratio_Cout_après_livr]]+Tab_Calculs[[#This Row],[Ratio_Cout_avant_livr]]+Tab_Calculs[[#This Row],[Ratio_Cout_avant_debut]]</f>
        <v>#VALUE!</v>
      </c>
      <c r="S1090" t="str">
        <f ca="1">IFERROR(N1090*VLOOKUP(Tab_Calculs[[#This Row],[Colonne1]],Controle_des_données!$B$7:$G$14,6,FALSE),"")</f>
        <v/>
      </c>
      <c r="T1090" t="str">
        <f ca="1">IF(Tab_Calculs[[#This Row],[Combustible ]]="Electricité (kWh)",Tab_Calculs[[#This Row],[Conso_mois_kWh]]*2.3,Tab_Calculs[[#This Row],[Conso_mois_kWh]])</f>
        <v/>
      </c>
      <c r="U1090" t="str">
        <f ca="1">IFERROR(N1090*VLOOKUP(Tab_Calculs[[#This Row],[Colonne1]],Controle_des_données!$B$7:$H$14,7,FALSE),"")</f>
        <v/>
      </c>
      <c r="V1090">
        <f ca="1">IFERROR(Tab_Calculs[[#This Row],[Cout_mois]]/Tab_Calculs[[#This Row],[Conso_mois_kWh]],0)</f>
        <v>0</v>
      </c>
      <c r="W1090" t="str">
        <f>T(VLOOKUP(Tab_Calculs[[#This Row],[Compteur]],Site!$B$33:$G$40,3,FALSE))</f>
        <v/>
      </c>
      <c r="X1090" t="str">
        <f>T(VLOOKUP(Tab_Calculs[[#This Row],[Compteur]],Site!$B$33:$G$40,4,FALSE))</f>
        <v/>
      </c>
      <c r="Y1090" t="str">
        <f>T(VLOOKUP(Tab_Calculs[[#This Row],[Compteur]],Site!$B$33:$G$40,5,FALSE))</f>
        <v/>
      </c>
      <c r="Z1090" t="str">
        <f>T(VLOOKUP(Tab_Calculs[[#This Row],[Compteur]],Site!$B$33:$G$40,6,FALSE))</f>
        <v/>
      </c>
      <c r="AA1090">
        <f>IFERROR(GETPIVOTDATA("DJU(chauffagiste)",BDD_DJU!$P$13,"annee",Tab_Calculs[[#This Row],[ANNEE]],"mois_numero",Tab_Calculs[[#This Row],[MOIS]]),0)</f>
        <v>251.6</v>
      </c>
    </row>
    <row r="1091" spans="1:27" x14ac:dyDescent="0.25">
      <c r="A1091" s="3">
        <f>DATE(Tab_Calculs[[#This Row],[ANNEE]],Tab_Calculs[[#This Row],[MOIS]],1)</f>
        <v>43891</v>
      </c>
      <c r="B1091" s="3">
        <f>EDATE(Tab_Calculs[[#This Row],[Début mois]],1)-1</f>
        <v>43921</v>
      </c>
      <c r="C1091">
        <f t="shared" si="36"/>
        <v>3</v>
      </c>
      <c r="D1091">
        <f>D1079+1</f>
        <v>2020</v>
      </c>
      <c r="E1091" t="s">
        <v>85</v>
      </c>
      <c r="F1091" t="str">
        <f>SUBSTITUTE(Tab_Calculs[[#This Row],[Compteur]]," ","_")</f>
        <v>Compteur_6</v>
      </c>
      <c r="G1091" t="str">
        <f>T(INDEX(Site!$B$33:$G$40, MATCH(Tab_Calculs[[#This Row],[Compteur]], Site!$B$33:$B$40,0),2))</f>
        <v/>
      </c>
      <c r="H1091" s="3">
        <f t="array" aca="1" ref="H1091" ca="1">MIN(IF(INDIRECT(CONCATENATE(Tab_Calculs[[#This Row],[Colonne1]],"!$B$2:$B$243"))&gt;=Calculs_Consos!$A1091,INDIRECT(CONCATENATE(Tab_Calculs[[#This Row],[Colonne1]],"!$B$2:$B$243"))))</f>
        <v>0</v>
      </c>
      <c r="I1091" s="3">
        <f ca="1">INDEX(INDIRECT(CONCATENATE("Tab_",Tab_Calculs[[#This Row],[Colonne1]])),Tab_Calculs[[#This Row],[index_date_livraison]],1)</f>
        <v>0</v>
      </c>
      <c r="J1091">
        <f ca="1">MATCH(Tab_Calculs[[#This Row],[Date_livraison]],INDIRECT(CONCATENATE("Tab_",Tab_Calculs[[#This Row],[Colonne1]],"[Fin de période]")),0)</f>
        <v>1</v>
      </c>
      <c r="K1091" t="e">
        <f ca="1">INDEX(INDIRECT(CONCATENATE("Tab_",Tab_Calculs[[#This Row],[Colonne1]])),Tab_Calculs[[#This Row],[index_date_livraison]]-1,6)*(MAX(Tab_Calculs[[#This Row],[Début periode livraison]],Tab_Calculs[[#This Row],[Début mois]])-Tab_Calculs[[#This Row],[Début mois]])</f>
        <v>#VALUE!</v>
      </c>
      <c r="L1091" s="94">
        <f ca="1">INDEX(INDIRECT(CONCATENATE("Tab_",Tab_Calculs[[#This Row],[Colonne1]])),Tab_Calculs[[#This Row],[index_date_livraison]],6)*(1+MIN(Tab_Calculs[[#This Row],[Date_livraison]],Tab_Calculs[[#This Row],[fin mois]])-MAX(Tab_Calculs[[#This Row],[Début mois]],Tab_Calculs[[#This Row],[Début periode livraison]]))</f>
        <v>0</v>
      </c>
      <c r="M1091" s="94" t="e">
        <f ca="1">INDEX(INDIRECT(CONCATENATE("Tab_",Tab_Calculs[[#This Row],[Colonne1]])),Tab_Calculs[[#This Row],[index_date_livraison]]+1,6)*(Tab_Calculs[[#This Row],[fin mois]]-MIN(Tab_Calculs[[#This Row],[fin mois]],Tab_Calculs[[#This Row],[Date_livraison]]))</f>
        <v>#VALUE!</v>
      </c>
      <c r="N1091" s="231" t="str">
        <f ca="1">IFERROR(Tab_Calculs[[#This Row],[Ratio_jour_après_livr]]+Tab_Calculs[[#This Row],[Ratio_jour_avant_livr]]+Tab_Calculs[[#This Row],[ratio_avant_debut]],"")</f>
        <v/>
      </c>
      <c r="O1091" t="e">
        <f ca="1">INDEX(INDIRECT(CONCATENATE("Tab_",Tab_Calculs[[#This Row],[Colonne1]])),Tab_Calculs[[#This Row],[index_date_livraison]]-1,7)*(MAX(Tab_Calculs[[#This Row],[Début periode livraison]],Tab_Calculs[[#This Row],[Début mois]])-Tab_Calculs[[#This Row],[Début mois]])</f>
        <v>#VALUE!</v>
      </c>
      <c r="P1091">
        <f ca="1">INDEX(INDIRECT(CONCATENATE("Tab_",Tab_Calculs[[#This Row],[Colonne1]])),Tab_Calculs[[#This Row],[index_date_livraison]],7)*(1+MIN(Tab_Calculs[[#This Row],[Date_livraison]],Tab_Calculs[[#This Row],[fin mois]])-MAX(Tab_Calculs[[#This Row],[Début mois]],Tab_Calculs[[#This Row],[Début periode livraison]]))</f>
        <v>0</v>
      </c>
      <c r="Q1091" t="e">
        <f ca="1">INDEX(INDIRECT(CONCATENATE("Tab_",Tab_Calculs[[#This Row],[Colonne1]])),Tab_Calculs[[#This Row],[index_date_livraison]]+1,7)*(Tab_Calculs[[#This Row],[fin mois]]-MIN(Tab_Calculs[[#This Row],[fin mois]],Tab_Calculs[[#This Row],[Date_livraison]]))</f>
        <v>#VALUE!</v>
      </c>
      <c r="R1091" t="e">
        <f ca="1">Tab_Calculs[[#This Row],[Ratio_Cout_après_livr]]+Tab_Calculs[[#This Row],[Ratio_Cout_avant_livr]]+Tab_Calculs[[#This Row],[Ratio_Cout_avant_debut]]</f>
        <v>#VALUE!</v>
      </c>
      <c r="S1091" t="str">
        <f ca="1">IFERROR(N1091*VLOOKUP(Tab_Calculs[[#This Row],[Colonne1]],Controle_des_données!$B$7:$G$14,6,FALSE),"")</f>
        <v/>
      </c>
      <c r="T1091" t="str">
        <f ca="1">IF(Tab_Calculs[[#This Row],[Combustible ]]="Electricité (kWh)",Tab_Calculs[[#This Row],[Conso_mois_kWh]]*2.3,Tab_Calculs[[#This Row],[Conso_mois_kWh]])</f>
        <v/>
      </c>
      <c r="U1091" t="str">
        <f ca="1">IFERROR(N1091*VLOOKUP(Tab_Calculs[[#This Row],[Colonne1]],Controle_des_données!$B$7:$H$14,7,FALSE),"")</f>
        <v/>
      </c>
      <c r="V1091">
        <f ca="1">IFERROR(Tab_Calculs[[#This Row],[Cout_mois]]/Tab_Calculs[[#This Row],[Conso_mois_kWh]],0)</f>
        <v>0</v>
      </c>
      <c r="W1091" t="str">
        <f>T(VLOOKUP(Tab_Calculs[[#This Row],[Compteur]],Site!$B$33:$G$40,3,FALSE))</f>
        <v/>
      </c>
      <c r="X1091" t="str">
        <f>T(VLOOKUP(Tab_Calculs[[#This Row],[Compteur]],Site!$B$33:$G$40,4,FALSE))</f>
        <v/>
      </c>
      <c r="Y1091" t="str">
        <f>T(VLOOKUP(Tab_Calculs[[#This Row],[Compteur]],Site!$B$33:$G$40,5,FALSE))</f>
        <v/>
      </c>
      <c r="Z1091" t="str">
        <f>T(VLOOKUP(Tab_Calculs[[#This Row],[Compteur]],Site!$B$33:$G$40,6,FALSE))</f>
        <v/>
      </c>
      <c r="AA1091">
        <f>IFERROR(GETPIVOTDATA("DJU(chauffagiste)",BDD_DJU!$P$13,"annee",Tab_Calculs[[#This Row],[ANNEE]],"mois_numero",Tab_Calculs[[#This Row],[MOIS]]),0)</f>
        <v>272.60000000000002</v>
      </c>
    </row>
    <row r="1092" spans="1:27" x14ac:dyDescent="0.25">
      <c r="A1092" s="3">
        <f>DATE(Tab_Calculs[[#This Row],[ANNEE]],Tab_Calculs[[#This Row],[MOIS]],1)</f>
        <v>43922</v>
      </c>
      <c r="B1092" s="3">
        <f>EDATE(Tab_Calculs[[#This Row],[Début mois]],1)-1</f>
        <v>43951</v>
      </c>
      <c r="C1092">
        <f t="shared" si="36"/>
        <v>4</v>
      </c>
      <c r="D1092">
        <f t="shared" si="35"/>
        <v>2020</v>
      </c>
      <c r="E1092" t="s">
        <v>85</v>
      </c>
      <c r="F1092" t="str">
        <f>SUBSTITUTE(Tab_Calculs[[#This Row],[Compteur]]," ","_")</f>
        <v>Compteur_6</v>
      </c>
      <c r="G1092" t="str">
        <f>T(INDEX(Site!$B$33:$G$40, MATCH(Tab_Calculs[[#This Row],[Compteur]], Site!$B$33:$B$40,0),2))</f>
        <v/>
      </c>
      <c r="H1092" s="3">
        <f t="array" aca="1" ref="H1092" ca="1">MIN(IF(INDIRECT(CONCATENATE(Tab_Calculs[[#This Row],[Colonne1]],"!$B$2:$B$243"))&gt;=Calculs_Consos!$A1092,INDIRECT(CONCATENATE(Tab_Calculs[[#This Row],[Colonne1]],"!$B$2:$B$243"))))</f>
        <v>0</v>
      </c>
      <c r="I1092" s="3">
        <f ca="1">INDEX(INDIRECT(CONCATENATE("Tab_",Tab_Calculs[[#This Row],[Colonne1]])),Tab_Calculs[[#This Row],[index_date_livraison]],1)</f>
        <v>0</v>
      </c>
      <c r="J1092">
        <f ca="1">MATCH(Tab_Calculs[[#This Row],[Date_livraison]],INDIRECT(CONCATENATE("Tab_",Tab_Calculs[[#This Row],[Colonne1]],"[Fin de période]")),0)</f>
        <v>1</v>
      </c>
      <c r="K1092" t="e">
        <f ca="1">INDEX(INDIRECT(CONCATENATE("Tab_",Tab_Calculs[[#This Row],[Colonne1]])),Tab_Calculs[[#This Row],[index_date_livraison]]-1,6)*(MAX(Tab_Calculs[[#This Row],[Début periode livraison]],Tab_Calculs[[#This Row],[Début mois]])-Tab_Calculs[[#This Row],[Début mois]])</f>
        <v>#VALUE!</v>
      </c>
      <c r="L1092" s="94">
        <f ca="1">INDEX(INDIRECT(CONCATENATE("Tab_",Tab_Calculs[[#This Row],[Colonne1]])),Tab_Calculs[[#This Row],[index_date_livraison]],6)*(1+MIN(Tab_Calculs[[#This Row],[Date_livraison]],Tab_Calculs[[#This Row],[fin mois]])-MAX(Tab_Calculs[[#This Row],[Début mois]],Tab_Calculs[[#This Row],[Début periode livraison]]))</f>
        <v>0</v>
      </c>
      <c r="M1092" s="94" t="e">
        <f ca="1">INDEX(INDIRECT(CONCATENATE("Tab_",Tab_Calculs[[#This Row],[Colonne1]])),Tab_Calculs[[#This Row],[index_date_livraison]]+1,6)*(Tab_Calculs[[#This Row],[fin mois]]-MIN(Tab_Calculs[[#This Row],[fin mois]],Tab_Calculs[[#This Row],[Date_livraison]]))</f>
        <v>#VALUE!</v>
      </c>
      <c r="N1092" s="231" t="str">
        <f ca="1">IFERROR(Tab_Calculs[[#This Row],[Ratio_jour_après_livr]]+Tab_Calculs[[#This Row],[Ratio_jour_avant_livr]]+Tab_Calculs[[#This Row],[ratio_avant_debut]],"")</f>
        <v/>
      </c>
      <c r="O1092" t="e">
        <f ca="1">INDEX(INDIRECT(CONCATENATE("Tab_",Tab_Calculs[[#This Row],[Colonne1]])),Tab_Calculs[[#This Row],[index_date_livraison]]-1,7)*(MAX(Tab_Calculs[[#This Row],[Début periode livraison]],Tab_Calculs[[#This Row],[Début mois]])-Tab_Calculs[[#This Row],[Début mois]])</f>
        <v>#VALUE!</v>
      </c>
      <c r="P1092">
        <f ca="1">INDEX(INDIRECT(CONCATENATE("Tab_",Tab_Calculs[[#This Row],[Colonne1]])),Tab_Calculs[[#This Row],[index_date_livraison]],7)*(1+MIN(Tab_Calculs[[#This Row],[Date_livraison]],Tab_Calculs[[#This Row],[fin mois]])-MAX(Tab_Calculs[[#This Row],[Début mois]],Tab_Calculs[[#This Row],[Début periode livraison]]))</f>
        <v>0</v>
      </c>
      <c r="Q1092" t="e">
        <f ca="1">INDEX(INDIRECT(CONCATENATE("Tab_",Tab_Calculs[[#This Row],[Colonne1]])),Tab_Calculs[[#This Row],[index_date_livraison]]+1,7)*(Tab_Calculs[[#This Row],[fin mois]]-MIN(Tab_Calculs[[#This Row],[fin mois]],Tab_Calculs[[#This Row],[Date_livraison]]))</f>
        <v>#VALUE!</v>
      </c>
      <c r="R1092" t="e">
        <f ca="1">Tab_Calculs[[#This Row],[Ratio_Cout_après_livr]]+Tab_Calculs[[#This Row],[Ratio_Cout_avant_livr]]+Tab_Calculs[[#This Row],[Ratio_Cout_avant_debut]]</f>
        <v>#VALUE!</v>
      </c>
      <c r="S1092" t="str">
        <f ca="1">IFERROR(N1092*VLOOKUP(Tab_Calculs[[#This Row],[Colonne1]],Controle_des_données!$B$7:$G$14,6,FALSE),"")</f>
        <v/>
      </c>
      <c r="T1092" t="str">
        <f ca="1">IF(Tab_Calculs[[#This Row],[Combustible ]]="Electricité (kWh)",Tab_Calculs[[#This Row],[Conso_mois_kWh]]*2.3,Tab_Calculs[[#This Row],[Conso_mois_kWh]])</f>
        <v/>
      </c>
      <c r="U1092" t="str">
        <f ca="1">IFERROR(N1092*VLOOKUP(Tab_Calculs[[#This Row],[Colonne1]],Controle_des_données!$B$7:$H$14,7,FALSE),"")</f>
        <v/>
      </c>
      <c r="V1092">
        <f ca="1">IFERROR(Tab_Calculs[[#This Row],[Cout_mois]]/Tab_Calculs[[#This Row],[Conso_mois_kWh]],0)</f>
        <v>0</v>
      </c>
      <c r="W1092" t="str">
        <f>T(VLOOKUP(Tab_Calculs[[#This Row],[Compteur]],Site!$B$33:$G$40,3,FALSE))</f>
        <v/>
      </c>
      <c r="X1092" t="str">
        <f>T(VLOOKUP(Tab_Calculs[[#This Row],[Compteur]],Site!$B$33:$G$40,4,FALSE))</f>
        <v/>
      </c>
      <c r="Y1092" t="str">
        <f>T(VLOOKUP(Tab_Calculs[[#This Row],[Compteur]],Site!$B$33:$G$40,5,FALSE))</f>
        <v/>
      </c>
      <c r="Z1092" t="str">
        <f>T(VLOOKUP(Tab_Calculs[[#This Row],[Compteur]],Site!$B$33:$G$40,6,FALSE))</f>
        <v/>
      </c>
      <c r="AA1092">
        <f>IFERROR(GETPIVOTDATA("DJU(chauffagiste)",BDD_DJU!$P$13,"annee",Tab_Calculs[[#This Row],[ANNEE]],"mois_numero",Tab_Calculs[[#This Row],[MOIS]]),0)</f>
        <v>126.3</v>
      </c>
    </row>
    <row r="1093" spans="1:27" x14ac:dyDescent="0.25">
      <c r="A1093" s="3">
        <f>DATE(Tab_Calculs[[#This Row],[ANNEE]],Tab_Calculs[[#This Row],[MOIS]],1)</f>
        <v>43952</v>
      </c>
      <c r="B1093" s="3">
        <f>EDATE(Tab_Calculs[[#This Row],[Début mois]],1)-1</f>
        <v>43982</v>
      </c>
      <c r="C1093">
        <f t="shared" si="36"/>
        <v>5</v>
      </c>
      <c r="D1093">
        <f t="shared" si="35"/>
        <v>2020</v>
      </c>
      <c r="E1093" t="s">
        <v>85</v>
      </c>
      <c r="F1093" t="str">
        <f>SUBSTITUTE(Tab_Calculs[[#This Row],[Compteur]]," ","_")</f>
        <v>Compteur_6</v>
      </c>
      <c r="G1093" t="str">
        <f>T(INDEX(Site!$B$33:$G$40, MATCH(Tab_Calculs[[#This Row],[Compteur]], Site!$B$33:$B$40,0),2))</f>
        <v/>
      </c>
      <c r="H1093" s="3">
        <f t="array" aca="1" ref="H1093" ca="1">MIN(IF(INDIRECT(CONCATENATE(Tab_Calculs[[#This Row],[Colonne1]],"!$B$2:$B$243"))&gt;=Calculs_Consos!$A1093,INDIRECT(CONCATENATE(Tab_Calculs[[#This Row],[Colonne1]],"!$B$2:$B$243"))))</f>
        <v>0</v>
      </c>
      <c r="I1093" s="3">
        <f ca="1">INDEX(INDIRECT(CONCATENATE("Tab_",Tab_Calculs[[#This Row],[Colonne1]])),Tab_Calculs[[#This Row],[index_date_livraison]],1)</f>
        <v>0</v>
      </c>
      <c r="J1093">
        <f ca="1">MATCH(Tab_Calculs[[#This Row],[Date_livraison]],INDIRECT(CONCATENATE("Tab_",Tab_Calculs[[#This Row],[Colonne1]],"[Fin de période]")),0)</f>
        <v>1</v>
      </c>
      <c r="K1093" t="e">
        <f ca="1">INDEX(INDIRECT(CONCATENATE("Tab_",Tab_Calculs[[#This Row],[Colonne1]])),Tab_Calculs[[#This Row],[index_date_livraison]]-1,6)*(MAX(Tab_Calculs[[#This Row],[Début periode livraison]],Tab_Calculs[[#This Row],[Début mois]])-Tab_Calculs[[#This Row],[Début mois]])</f>
        <v>#VALUE!</v>
      </c>
      <c r="L1093" s="94">
        <f ca="1">INDEX(INDIRECT(CONCATENATE("Tab_",Tab_Calculs[[#This Row],[Colonne1]])),Tab_Calculs[[#This Row],[index_date_livraison]],6)*(1+MIN(Tab_Calculs[[#This Row],[Date_livraison]],Tab_Calculs[[#This Row],[fin mois]])-MAX(Tab_Calculs[[#This Row],[Début mois]],Tab_Calculs[[#This Row],[Début periode livraison]]))</f>
        <v>0</v>
      </c>
      <c r="M1093" s="94" t="e">
        <f ca="1">INDEX(INDIRECT(CONCATENATE("Tab_",Tab_Calculs[[#This Row],[Colonne1]])),Tab_Calculs[[#This Row],[index_date_livraison]]+1,6)*(Tab_Calculs[[#This Row],[fin mois]]-MIN(Tab_Calculs[[#This Row],[fin mois]],Tab_Calculs[[#This Row],[Date_livraison]]))</f>
        <v>#VALUE!</v>
      </c>
      <c r="N1093" s="231" t="str">
        <f ca="1">IFERROR(Tab_Calculs[[#This Row],[Ratio_jour_après_livr]]+Tab_Calculs[[#This Row],[Ratio_jour_avant_livr]]+Tab_Calculs[[#This Row],[ratio_avant_debut]],"")</f>
        <v/>
      </c>
      <c r="O1093" t="e">
        <f ca="1">INDEX(INDIRECT(CONCATENATE("Tab_",Tab_Calculs[[#This Row],[Colonne1]])),Tab_Calculs[[#This Row],[index_date_livraison]]-1,7)*(MAX(Tab_Calculs[[#This Row],[Début periode livraison]],Tab_Calculs[[#This Row],[Début mois]])-Tab_Calculs[[#This Row],[Début mois]])</f>
        <v>#VALUE!</v>
      </c>
      <c r="P1093">
        <f ca="1">INDEX(INDIRECT(CONCATENATE("Tab_",Tab_Calculs[[#This Row],[Colonne1]])),Tab_Calculs[[#This Row],[index_date_livraison]],7)*(1+MIN(Tab_Calculs[[#This Row],[Date_livraison]],Tab_Calculs[[#This Row],[fin mois]])-MAX(Tab_Calculs[[#This Row],[Début mois]],Tab_Calculs[[#This Row],[Début periode livraison]]))</f>
        <v>0</v>
      </c>
      <c r="Q1093" t="e">
        <f ca="1">INDEX(INDIRECT(CONCATENATE("Tab_",Tab_Calculs[[#This Row],[Colonne1]])),Tab_Calculs[[#This Row],[index_date_livraison]]+1,7)*(Tab_Calculs[[#This Row],[fin mois]]-MIN(Tab_Calculs[[#This Row],[fin mois]],Tab_Calculs[[#This Row],[Date_livraison]]))</f>
        <v>#VALUE!</v>
      </c>
      <c r="R1093" t="e">
        <f ca="1">Tab_Calculs[[#This Row],[Ratio_Cout_après_livr]]+Tab_Calculs[[#This Row],[Ratio_Cout_avant_livr]]+Tab_Calculs[[#This Row],[Ratio_Cout_avant_debut]]</f>
        <v>#VALUE!</v>
      </c>
      <c r="S1093" t="str">
        <f ca="1">IFERROR(N1093*VLOOKUP(Tab_Calculs[[#This Row],[Colonne1]],Controle_des_données!$B$7:$G$14,6,FALSE),"")</f>
        <v/>
      </c>
      <c r="T1093" t="str">
        <f ca="1">IF(Tab_Calculs[[#This Row],[Combustible ]]="Electricité (kWh)",Tab_Calculs[[#This Row],[Conso_mois_kWh]]*2.3,Tab_Calculs[[#This Row],[Conso_mois_kWh]])</f>
        <v/>
      </c>
      <c r="U1093" t="str">
        <f ca="1">IFERROR(N1093*VLOOKUP(Tab_Calculs[[#This Row],[Colonne1]],Controle_des_données!$B$7:$H$14,7,FALSE),"")</f>
        <v/>
      </c>
      <c r="V1093">
        <f ca="1">IFERROR(Tab_Calculs[[#This Row],[Cout_mois]]/Tab_Calculs[[#This Row],[Conso_mois_kWh]],0)</f>
        <v>0</v>
      </c>
      <c r="W1093" t="str">
        <f>T(VLOOKUP(Tab_Calculs[[#This Row],[Compteur]],Site!$B$33:$G$40,3,FALSE))</f>
        <v/>
      </c>
      <c r="X1093" t="str">
        <f>T(VLOOKUP(Tab_Calculs[[#This Row],[Compteur]],Site!$B$33:$G$40,4,FALSE))</f>
        <v/>
      </c>
      <c r="Y1093" t="str">
        <f>T(VLOOKUP(Tab_Calculs[[#This Row],[Compteur]],Site!$B$33:$G$40,5,FALSE))</f>
        <v/>
      </c>
      <c r="Z1093" t="str">
        <f>T(VLOOKUP(Tab_Calculs[[#This Row],[Compteur]],Site!$B$33:$G$40,6,FALSE))</f>
        <v/>
      </c>
      <c r="AA1093">
        <f>IFERROR(GETPIVOTDATA("DJU(chauffagiste)",BDD_DJU!$P$13,"annee",Tab_Calculs[[#This Row],[ANNEE]],"mois_numero",Tab_Calculs[[#This Row],[MOIS]]),0)</f>
        <v>91.8</v>
      </c>
    </row>
    <row r="1094" spans="1:27" x14ac:dyDescent="0.25">
      <c r="A1094" s="3">
        <f>DATE(Tab_Calculs[[#This Row],[ANNEE]],Tab_Calculs[[#This Row],[MOIS]],1)</f>
        <v>43983</v>
      </c>
      <c r="B1094" s="3">
        <f>EDATE(Tab_Calculs[[#This Row],[Début mois]],1)-1</f>
        <v>44012</v>
      </c>
      <c r="C1094">
        <f t="shared" si="36"/>
        <v>6</v>
      </c>
      <c r="D1094">
        <f t="shared" ref="D1094:D1111" si="37">D1082+1</f>
        <v>2020</v>
      </c>
      <c r="E1094" t="s">
        <v>85</v>
      </c>
      <c r="F1094" t="str">
        <f>SUBSTITUTE(Tab_Calculs[[#This Row],[Compteur]]," ","_")</f>
        <v>Compteur_6</v>
      </c>
      <c r="G1094" t="str">
        <f>T(INDEX(Site!$B$33:$G$40, MATCH(Tab_Calculs[[#This Row],[Compteur]], Site!$B$33:$B$40,0),2))</f>
        <v/>
      </c>
      <c r="H1094" s="3">
        <f t="array" aca="1" ref="H1094" ca="1">MIN(IF(INDIRECT(CONCATENATE(Tab_Calculs[[#This Row],[Colonne1]],"!$B$2:$B$243"))&gt;=Calculs_Consos!$A1094,INDIRECT(CONCATENATE(Tab_Calculs[[#This Row],[Colonne1]],"!$B$2:$B$243"))))</f>
        <v>0</v>
      </c>
      <c r="I1094" s="3">
        <f ca="1">INDEX(INDIRECT(CONCATENATE("Tab_",Tab_Calculs[[#This Row],[Colonne1]])),Tab_Calculs[[#This Row],[index_date_livraison]],1)</f>
        <v>0</v>
      </c>
      <c r="J1094">
        <f ca="1">MATCH(Tab_Calculs[[#This Row],[Date_livraison]],INDIRECT(CONCATENATE("Tab_",Tab_Calculs[[#This Row],[Colonne1]],"[Fin de période]")),0)</f>
        <v>1</v>
      </c>
      <c r="K1094" t="e">
        <f ca="1">INDEX(INDIRECT(CONCATENATE("Tab_",Tab_Calculs[[#This Row],[Colonne1]])),Tab_Calculs[[#This Row],[index_date_livraison]]-1,6)*(MAX(Tab_Calculs[[#This Row],[Début periode livraison]],Tab_Calculs[[#This Row],[Début mois]])-Tab_Calculs[[#This Row],[Début mois]])</f>
        <v>#VALUE!</v>
      </c>
      <c r="L1094" s="94">
        <f ca="1">INDEX(INDIRECT(CONCATENATE("Tab_",Tab_Calculs[[#This Row],[Colonne1]])),Tab_Calculs[[#This Row],[index_date_livraison]],6)*(1+MIN(Tab_Calculs[[#This Row],[Date_livraison]],Tab_Calculs[[#This Row],[fin mois]])-MAX(Tab_Calculs[[#This Row],[Début mois]],Tab_Calculs[[#This Row],[Début periode livraison]]))</f>
        <v>0</v>
      </c>
      <c r="M1094" s="94" t="e">
        <f ca="1">INDEX(INDIRECT(CONCATENATE("Tab_",Tab_Calculs[[#This Row],[Colonne1]])),Tab_Calculs[[#This Row],[index_date_livraison]]+1,6)*(Tab_Calculs[[#This Row],[fin mois]]-MIN(Tab_Calculs[[#This Row],[fin mois]],Tab_Calculs[[#This Row],[Date_livraison]]))</f>
        <v>#VALUE!</v>
      </c>
      <c r="N1094" s="231" t="str">
        <f ca="1">IFERROR(Tab_Calculs[[#This Row],[Ratio_jour_après_livr]]+Tab_Calculs[[#This Row],[Ratio_jour_avant_livr]]+Tab_Calculs[[#This Row],[ratio_avant_debut]],"")</f>
        <v/>
      </c>
      <c r="O1094" t="e">
        <f ca="1">INDEX(INDIRECT(CONCATENATE("Tab_",Tab_Calculs[[#This Row],[Colonne1]])),Tab_Calculs[[#This Row],[index_date_livraison]]-1,7)*(MAX(Tab_Calculs[[#This Row],[Début periode livraison]],Tab_Calculs[[#This Row],[Début mois]])-Tab_Calculs[[#This Row],[Début mois]])</f>
        <v>#VALUE!</v>
      </c>
      <c r="P1094">
        <f ca="1">INDEX(INDIRECT(CONCATENATE("Tab_",Tab_Calculs[[#This Row],[Colonne1]])),Tab_Calculs[[#This Row],[index_date_livraison]],7)*(1+MIN(Tab_Calculs[[#This Row],[Date_livraison]],Tab_Calculs[[#This Row],[fin mois]])-MAX(Tab_Calculs[[#This Row],[Début mois]],Tab_Calculs[[#This Row],[Début periode livraison]]))</f>
        <v>0</v>
      </c>
      <c r="Q1094" t="e">
        <f ca="1">INDEX(INDIRECT(CONCATENATE("Tab_",Tab_Calculs[[#This Row],[Colonne1]])),Tab_Calculs[[#This Row],[index_date_livraison]]+1,7)*(Tab_Calculs[[#This Row],[fin mois]]-MIN(Tab_Calculs[[#This Row],[fin mois]],Tab_Calculs[[#This Row],[Date_livraison]]))</f>
        <v>#VALUE!</v>
      </c>
      <c r="R1094" t="e">
        <f ca="1">Tab_Calculs[[#This Row],[Ratio_Cout_après_livr]]+Tab_Calculs[[#This Row],[Ratio_Cout_avant_livr]]+Tab_Calculs[[#This Row],[Ratio_Cout_avant_debut]]</f>
        <v>#VALUE!</v>
      </c>
      <c r="S1094" t="str">
        <f ca="1">IFERROR(N1094*VLOOKUP(Tab_Calculs[[#This Row],[Colonne1]],Controle_des_données!$B$7:$G$14,6,FALSE),"")</f>
        <v/>
      </c>
      <c r="T1094" t="str">
        <f ca="1">IF(Tab_Calculs[[#This Row],[Combustible ]]="Electricité (kWh)",Tab_Calculs[[#This Row],[Conso_mois_kWh]]*2.3,Tab_Calculs[[#This Row],[Conso_mois_kWh]])</f>
        <v/>
      </c>
      <c r="U1094" t="str">
        <f ca="1">IFERROR(N1094*VLOOKUP(Tab_Calculs[[#This Row],[Colonne1]],Controle_des_données!$B$7:$H$14,7,FALSE),"")</f>
        <v/>
      </c>
      <c r="V1094">
        <f ca="1">IFERROR(Tab_Calculs[[#This Row],[Cout_mois]]/Tab_Calculs[[#This Row],[Conso_mois_kWh]],0)</f>
        <v>0</v>
      </c>
      <c r="W1094" t="str">
        <f>T(VLOOKUP(Tab_Calculs[[#This Row],[Compteur]],Site!$B$33:$G$40,3,FALSE))</f>
        <v/>
      </c>
      <c r="X1094" t="str">
        <f>T(VLOOKUP(Tab_Calculs[[#This Row],[Compteur]],Site!$B$33:$G$40,4,FALSE))</f>
        <v/>
      </c>
      <c r="Y1094" t="str">
        <f>T(VLOOKUP(Tab_Calculs[[#This Row],[Compteur]],Site!$B$33:$G$40,5,FALSE))</f>
        <v/>
      </c>
      <c r="Z1094" t="str">
        <f>T(VLOOKUP(Tab_Calculs[[#This Row],[Compteur]],Site!$B$33:$G$40,6,FALSE))</f>
        <v/>
      </c>
      <c r="AA1094">
        <f>IFERROR(GETPIVOTDATA("DJU(chauffagiste)",BDD_DJU!$P$13,"annee",Tab_Calculs[[#This Row],[ANNEE]],"mois_numero",Tab_Calculs[[#This Row],[MOIS]]),0)</f>
        <v>55.6</v>
      </c>
    </row>
    <row r="1095" spans="1:27" x14ac:dyDescent="0.25">
      <c r="A1095" s="3">
        <f>DATE(Tab_Calculs[[#This Row],[ANNEE]],Tab_Calculs[[#This Row],[MOIS]],1)</f>
        <v>44013</v>
      </c>
      <c r="B1095" s="3">
        <f>EDATE(Tab_Calculs[[#This Row],[Début mois]],1)-1</f>
        <v>44043</v>
      </c>
      <c r="C1095">
        <f t="shared" si="36"/>
        <v>7</v>
      </c>
      <c r="D1095">
        <f t="shared" si="37"/>
        <v>2020</v>
      </c>
      <c r="E1095" t="s">
        <v>85</v>
      </c>
      <c r="F1095" t="str">
        <f>SUBSTITUTE(Tab_Calculs[[#This Row],[Compteur]]," ","_")</f>
        <v>Compteur_6</v>
      </c>
      <c r="G1095" t="str">
        <f>T(INDEX(Site!$B$33:$G$40, MATCH(Tab_Calculs[[#This Row],[Compteur]], Site!$B$33:$B$40,0),2))</f>
        <v/>
      </c>
      <c r="H1095" s="3">
        <f t="array" aca="1" ref="H1095" ca="1">MIN(IF(INDIRECT(CONCATENATE(Tab_Calculs[[#This Row],[Colonne1]],"!$B$2:$B$243"))&gt;=Calculs_Consos!$A1095,INDIRECT(CONCATENATE(Tab_Calculs[[#This Row],[Colonne1]],"!$B$2:$B$243"))))</f>
        <v>0</v>
      </c>
      <c r="I1095" s="3">
        <f ca="1">INDEX(INDIRECT(CONCATENATE("Tab_",Tab_Calculs[[#This Row],[Colonne1]])),Tab_Calculs[[#This Row],[index_date_livraison]],1)</f>
        <v>0</v>
      </c>
      <c r="J1095">
        <f ca="1">MATCH(Tab_Calculs[[#This Row],[Date_livraison]],INDIRECT(CONCATENATE("Tab_",Tab_Calculs[[#This Row],[Colonne1]],"[Fin de période]")),0)</f>
        <v>1</v>
      </c>
      <c r="K1095" t="e">
        <f ca="1">INDEX(INDIRECT(CONCATENATE("Tab_",Tab_Calculs[[#This Row],[Colonne1]])),Tab_Calculs[[#This Row],[index_date_livraison]]-1,6)*(MAX(Tab_Calculs[[#This Row],[Début periode livraison]],Tab_Calculs[[#This Row],[Début mois]])-Tab_Calculs[[#This Row],[Début mois]])</f>
        <v>#VALUE!</v>
      </c>
      <c r="L1095" s="94">
        <f ca="1">INDEX(INDIRECT(CONCATENATE("Tab_",Tab_Calculs[[#This Row],[Colonne1]])),Tab_Calculs[[#This Row],[index_date_livraison]],6)*(1+MIN(Tab_Calculs[[#This Row],[Date_livraison]],Tab_Calculs[[#This Row],[fin mois]])-MAX(Tab_Calculs[[#This Row],[Début mois]],Tab_Calculs[[#This Row],[Début periode livraison]]))</f>
        <v>0</v>
      </c>
      <c r="M1095" s="94" t="e">
        <f ca="1">INDEX(INDIRECT(CONCATENATE("Tab_",Tab_Calculs[[#This Row],[Colonne1]])),Tab_Calculs[[#This Row],[index_date_livraison]]+1,6)*(Tab_Calculs[[#This Row],[fin mois]]-MIN(Tab_Calculs[[#This Row],[fin mois]],Tab_Calculs[[#This Row],[Date_livraison]]))</f>
        <v>#VALUE!</v>
      </c>
      <c r="N1095" s="231" t="str">
        <f ca="1">IFERROR(Tab_Calculs[[#This Row],[Ratio_jour_après_livr]]+Tab_Calculs[[#This Row],[Ratio_jour_avant_livr]]+Tab_Calculs[[#This Row],[ratio_avant_debut]],"")</f>
        <v/>
      </c>
      <c r="O1095" t="e">
        <f ca="1">INDEX(INDIRECT(CONCATENATE("Tab_",Tab_Calculs[[#This Row],[Colonne1]])),Tab_Calculs[[#This Row],[index_date_livraison]]-1,7)*(MAX(Tab_Calculs[[#This Row],[Début periode livraison]],Tab_Calculs[[#This Row],[Début mois]])-Tab_Calculs[[#This Row],[Début mois]])</f>
        <v>#VALUE!</v>
      </c>
      <c r="P1095">
        <f ca="1">INDEX(INDIRECT(CONCATENATE("Tab_",Tab_Calculs[[#This Row],[Colonne1]])),Tab_Calculs[[#This Row],[index_date_livraison]],7)*(1+MIN(Tab_Calculs[[#This Row],[Date_livraison]],Tab_Calculs[[#This Row],[fin mois]])-MAX(Tab_Calculs[[#This Row],[Début mois]],Tab_Calculs[[#This Row],[Début periode livraison]]))</f>
        <v>0</v>
      </c>
      <c r="Q1095" t="e">
        <f ca="1">INDEX(INDIRECT(CONCATENATE("Tab_",Tab_Calculs[[#This Row],[Colonne1]])),Tab_Calculs[[#This Row],[index_date_livraison]]+1,7)*(Tab_Calculs[[#This Row],[fin mois]]-MIN(Tab_Calculs[[#This Row],[fin mois]],Tab_Calculs[[#This Row],[Date_livraison]]))</f>
        <v>#VALUE!</v>
      </c>
      <c r="R1095" t="e">
        <f ca="1">Tab_Calculs[[#This Row],[Ratio_Cout_après_livr]]+Tab_Calculs[[#This Row],[Ratio_Cout_avant_livr]]+Tab_Calculs[[#This Row],[Ratio_Cout_avant_debut]]</f>
        <v>#VALUE!</v>
      </c>
      <c r="S1095" t="str">
        <f ca="1">IFERROR(N1095*VLOOKUP(Tab_Calculs[[#This Row],[Colonne1]],Controle_des_données!$B$7:$G$14,6,FALSE),"")</f>
        <v/>
      </c>
      <c r="T1095" t="str">
        <f ca="1">IF(Tab_Calculs[[#This Row],[Combustible ]]="Electricité (kWh)",Tab_Calculs[[#This Row],[Conso_mois_kWh]]*2.3,Tab_Calculs[[#This Row],[Conso_mois_kWh]])</f>
        <v/>
      </c>
      <c r="U1095" t="str">
        <f ca="1">IFERROR(N1095*VLOOKUP(Tab_Calculs[[#This Row],[Colonne1]],Controle_des_données!$B$7:$H$14,7,FALSE),"")</f>
        <v/>
      </c>
      <c r="V1095">
        <f ca="1">IFERROR(Tab_Calculs[[#This Row],[Cout_mois]]/Tab_Calculs[[#This Row],[Conso_mois_kWh]],0)</f>
        <v>0</v>
      </c>
      <c r="W1095" t="str">
        <f>T(VLOOKUP(Tab_Calculs[[#This Row],[Compteur]],Site!$B$33:$G$40,3,FALSE))</f>
        <v/>
      </c>
      <c r="X1095" t="str">
        <f>T(VLOOKUP(Tab_Calculs[[#This Row],[Compteur]],Site!$B$33:$G$40,4,FALSE))</f>
        <v/>
      </c>
      <c r="Y1095" t="str">
        <f>T(VLOOKUP(Tab_Calculs[[#This Row],[Compteur]],Site!$B$33:$G$40,5,FALSE))</f>
        <v/>
      </c>
      <c r="Z1095" t="str">
        <f>T(VLOOKUP(Tab_Calculs[[#This Row],[Compteur]],Site!$B$33:$G$40,6,FALSE))</f>
        <v/>
      </c>
      <c r="AA1095">
        <f>IFERROR(GETPIVOTDATA("DJU(chauffagiste)",BDD_DJU!$P$13,"annee",Tab_Calculs[[#This Row],[ANNEE]],"mois_numero",Tab_Calculs[[#This Row],[MOIS]]),0)</f>
        <v>32.299999999999997</v>
      </c>
    </row>
    <row r="1096" spans="1:27" x14ac:dyDescent="0.25">
      <c r="A1096" s="3">
        <f>DATE(Tab_Calculs[[#This Row],[ANNEE]],Tab_Calculs[[#This Row],[MOIS]],1)</f>
        <v>44044</v>
      </c>
      <c r="B1096" s="3">
        <f>EDATE(Tab_Calculs[[#This Row],[Début mois]],1)-1</f>
        <v>44074</v>
      </c>
      <c r="C1096">
        <f t="shared" si="36"/>
        <v>8</v>
      </c>
      <c r="D1096">
        <f t="shared" si="37"/>
        <v>2020</v>
      </c>
      <c r="E1096" t="s">
        <v>85</v>
      </c>
      <c r="F1096" t="str">
        <f>SUBSTITUTE(Tab_Calculs[[#This Row],[Compteur]]," ","_")</f>
        <v>Compteur_6</v>
      </c>
      <c r="G1096" t="str">
        <f>T(INDEX(Site!$B$33:$G$40, MATCH(Tab_Calculs[[#This Row],[Compteur]], Site!$B$33:$B$40,0),2))</f>
        <v/>
      </c>
      <c r="H1096" s="3">
        <f t="array" aca="1" ref="H1096" ca="1">MIN(IF(INDIRECT(CONCATENATE(Tab_Calculs[[#This Row],[Colonne1]],"!$B$2:$B$243"))&gt;=Calculs_Consos!$A1096,INDIRECT(CONCATENATE(Tab_Calculs[[#This Row],[Colonne1]],"!$B$2:$B$243"))))</f>
        <v>0</v>
      </c>
      <c r="I1096" s="3">
        <f ca="1">INDEX(INDIRECT(CONCATENATE("Tab_",Tab_Calculs[[#This Row],[Colonne1]])),Tab_Calculs[[#This Row],[index_date_livraison]],1)</f>
        <v>0</v>
      </c>
      <c r="J1096">
        <f ca="1">MATCH(Tab_Calculs[[#This Row],[Date_livraison]],INDIRECT(CONCATENATE("Tab_",Tab_Calculs[[#This Row],[Colonne1]],"[Fin de période]")),0)</f>
        <v>1</v>
      </c>
      <c r="K1096" t="e">
        <f ca="1">INDEX(INDIRECT(CONCATENATE("Tab_",Tab_Calculs[[#This Row],[Colonne1]])),Tab_Calculs[[#This Row],[index_date_livraison]]-1,6)*(MAX(Tab_Calculs[[#This Row],[Début periode livraison]],Tab_Calculs[[#This Row],[Début mois]])-Tab_Calculs[[#This Row],[Début mois]])</f>
        <v>#VALUE!</v>
      </c>
      <c r="L1096" s="94">
        <f ca="1">INDEX(INDIRECT(CONCATENATE("Tab_",Tab_Calculs[[#This Row],[Colonne1]])),Tab_Calculs[[#This Row],[index_date_livraison]],6)*(1+MIN(Tab_Calculs[[#This Row],[Date_livraison]],Tab_Calculs[[#This Row],[fin mois]])-MAX(Tab_Calculs[[#This Row],[Début mois]],Tab_Calculs[[#This Row],[Début periode livraison]]))</f>
        <v>0</v>
      </c>
      <c r="M1096" s="94" t="e">
        <f ca="1">INDEX(INDIRECT(CONCATENATE("Tab_",Tab_Calculs[[#This Row],[Colonne1]])),Tab_Calculs[[#This Row],[index_date_livraison]]+1,6)*(Tab_Calculs[[#This Row],[fin mois]]-MIN(Tab_Calculs[[#This Row],[fin mois]],Tab_Calculs[[#This Row],[Date_livraison]]))</f>
        <v>#VALUE!</v>
      </c>
      <c r="N1096" s="231" t="str">
        <f ca="1">IFERROR(Tab_Calculs[[#This Row],[Ratio_jour_après_livr]]+Tab_Calculs[[#This Row],[Ratio_jour_avant_livr]]+Tab_Calculs[[#This Row],[ratio_avant_debut]],"")</f>
        <v/>
      </c>
      <c r="O1096" t="e">
        <f ca="1">INDEX(INDIRECT(CONCATENATE("Tab_",Tab_Calculs[[#This Row],[Colonne1]])),Tab_Calculs[[#This Row],[index_date_livraison]]-1,7)*(MAX(Tab_Calculs[[#This Row],[Début periode livraison]],Tab_Calculs[[#This Row],[Début mois]])-Tab_Calculs[[#This Row],[Début mois]])</f>
        <v>#VALUE!</v>
      </c>
      <c r="P1096">
        <f ca="1">INDEX(INDIRECT(CONCATENATE("Tab_",Tab_Calculs[[#This Row],[Colonne1]])),Tab_Calculs[[#This Row],[index_date_livraison]],7)*(1+MIN(Tab_Calculs[[#This Row],[Date_livraison]],Tab_Calculs[[#This Row],[fin mois]])-MAX(Tab_Calculs[[#This Row],[Début mois]],Tab_Calculs[[#This Row],[Début periode livraison]]))</f>
        <v>0</v>
      </c>
      <c r="Q1096" t="e">
        <f ca="1">INDEX(INDIRECT(CONCATENATE("Tab_",Tab_Calculs[[#This Row],[Colonne1]])),Tab_Calculs[[#This Row],[index_date_livraison]]+1,7)*(Tab_Calculs[[#This Row],[fin mois]]-MIN(Tab_Calculs[[#This Row],[fin mois]],Tab_Calculs[[#This Row],[Date_livraison]]))</f>
        <v>#VALUE!</v>
      </c>
      <c r="R1096" t="e">
        <f ca="1">Tab_Calculs[[#This Row],[Ratio_Cout_après_livr]]+Tab_Calculs[[#This Row],[Ratio_Cout_avant_livr]]+Tab_Calculs[[#This Row],[Ratio_Cout_avant_debut]]</f>
        <v>#VALUE!</v>
      </c>
      <c r="S1096" t="str">
        <f ca="1">IFERROR(N1096*VLOOKUP(Tab_Calculs[[#This Row],[Colonne1]],Controle_des_données!$B$7:$G$14,6,FALSE),"")</f>
        <v/>
      </c>
      <c r="T1096" t="str">
        <f ca="1">IF(Tab_Calculs[[#This Row],[Combustible ]]="Electricité (kWh)",Tab_Calculs[[#This Row],[Conso_mois_kWh]]*2.3,Tab_Calculs[[#This Row],[Conso_mois_kWh]])</f>
        <v/>
      </c>
      <c r="U1096" t="str">
        <f ca="1">IFERROR(N1096*VLOOKUP(Tab_Calculs[[#This Row],[Colonne1]],Controle_des_données!$B$7:$H$14,7,FALSE),"")</f>
        <v/>
      </c>
      <c r="V1096">
        <f ca="1">IFERROR(Tab_Calculs[[#This Row],[Cout_mois]]/Tab_Calculs[[#This Row],[Conso_mois_kWh]],0)</f>
        <v>0</v>
      </c>
      <c r="W1096" t="str">
        <f>T(VLOOKUP(Tab_Calculs[[#This Row],[Compteur]],Site!$B$33:$G$40,3,FALSE))</f>
        <v/>
      </c>
      <c r="X1096" t="str">
        <f>T(VLOOKUP(Tab_Calculs[[#This Row],[Compteur]],Site!$B$33:$G$40,4,FALSE))</f>
        <v/>
      </c>
      <c r="Y1096" t="str">
        <f>T(VLOOKUP(Tab_Calculs[[#This Row],[Compteur]],Site!$B$33:$G$40,5,FALSE))</f>
        <v/>
      </c>
      <c r="Z1096" t="str">
        <f>T(VLOOKUP(Tab_Calculs[[#This Row],[Compteur]],Site!$B$33:$G$40,6,FALSE))</f>
        <v/>
      </c>
      <c r="AA1096">
        <f>IFERROR(GETPIVOTDATA("DJU(chauffagiste)",BDD_DJU!$P$13,"annee",Tab_Calculs[[#This Row],[ANNEE]],"mois_numero",Tab_Calculs[[#This Row],[MOIS]]),0)</f>
        <v>27.8</v>
      </c>
    </row>
    <row r="1097" spans="1:27" x14ac:dyDescent="0.25">
      <c r="A1097" s="3">
        <f>DATE(Tab_Calculs[[#This Row],[ANNEE]],Tab_Calculs[[#This Row],[MOIS]],1)</f>
        <v>44075</v>
      </c>
      <c r="B1097" s="3">
        <f>EDATE(Tab_Calculs[[#This Row],[Début mois]],1)-1</f>
        <v>44104</v>
      </c>
      <c r="C1097">
        <f t="shared" si="36"/>
        <v>9</v>
      </c>
      <c r="D1097">
        <f t="shared" si="37"/>
        <v>2020</v>
      </c>
      <c r="E1097" t="s">
        <v>85</v>
      </c>
      <c r="F1097" t="str">
        <f>SUBSTITUTE(Tab_Calculs[[#This Row],[Compteur]]," ","_")</f>
        <v>Compteur_6</v>
      </c>
      <c r="G1097" t="str">
        <f>T(INDEX(Site!$B$33:$G$40, MATCH(Tab_Calculs[[#This Row],[Compteur]], Site!$B$33:$B$40,0),2))</f>
        <v/>
      </c>
      <c r="H1097" s="3">
        <f t="array" aca="1" ref="H1097" ca="1">MIN(IF(INDIRECT(CONCATENATE(Tab_Calculs[[#This Row],[Colonne1]],"!$B$2:$B$243"))&gt;=Calculs_Consos!$A1097,INDIRECT(CONCATENATE(Tab_Calculs[[#This Row],[Colonne1]],"!$B$2:$B$243"))))</f>
        <v>0</v>
      </c>
      <c r="I1097" s="3">
        <f ca="1">INDEX(INDIRECT(CONCATENATE("Tab_",Tab_Calculs[[#This Row],[Colonne1]])),Tab_Calculs[[#This Row],[index_date_livraison]],1)</f>
        <v>0</v>
      </c>
      <c r="J1097">
        <f ca="1">MATCH(Tab_Calculs[[#This Row],[Date_livraison]],INDIRECT(CONCATENATE("Tab_",Tab_Calculs[[#This Row],[Colonne1]],"[Fin de période]")),0)</f>
        <v>1</v>
      </c>
      <c r="K1097" t="e">
        <f ca="1">INDEX(INDIRECT(CONCATENATE("Tab_",Tab_Calculs[[#This Row],[Colonne1]])),Tab_Calculs[[#This Row],[index_date_livraison]]-1,6)*(MAX(Tab_Calculs[[#This Row],[Début periode livraison]],Tab_Calculs[[#This Row],[Début mois]])-Tab_Calculs[[#This Row],[Début mois]])</f>
        <v>#VALUE!</v>
      </c>
      <c r="L1097" s="94">
        <f ca="1">INDEX(INDIRECT(CONCATENATE("Tab_",Tab_Calculs[[#This Row],[Colonne1]])),Tab_Calculs[[#This Row],[index_date_livraison]],6)*(1+MIN(Tab_Calculs[[#This Row],[Date_livraison]],Tab_Calculs[[#This Row],[fin mois]])-MAX(Tab_Calculs[[#This Row],[Début mois]],Tab_Calculs[[#This Row],[Début periode livraison]]))</f>
        <v>0</v>
      </c>
      <c r="M1097" s="94" t="e">
        <f ca="1">INDEX(INDIRECT(CONCATENATE("Tab_",Tab_Calculs[[#This Row],[Colonne1]])),Tab_Calculs[[#This Row],[index_date_livraison]]+1,6)*(Tab_Calculs[[#This Row],[fin mois]]-MIN(Tab_Calculs[[#This Row],[fin mois]],Tab_Calculs[[#This Row],[Date_livraison]]))</f>
        <v>#VALUE!</v>
      </c>
      <c r="N1097" s="231" t="str">
        <f ca="1">IFERROR(Tab_Calculs[[#This Row],[Ratio_jour_après_livr]]+Tab_Calculs[[#This Row],[Ratio_jour_avant_livr]]+Tab_Calculs[[#This Row],[ratio_avant_debut]],"")</f>
        <v/>
      </c>
      <c r="O1097" t="e">
        <f ca="1">INDEX(INDIRECT(CONCATENATE("Tab_",Tab_Calculs[[#This Row],[Colonne1]])),Tab_Calculs[[#This Row],[index_date_livraison]]-1,7)*(MAX(Tab_Calculs[[#This Row],[Début periode livraison]],Tab_Calculs[[#This Row],[Début mois]])-Tab_Calculs[[#This Row],[Début mois]])</f>
        <v>#VALUE!</v>
      </c>
      <c r="P1097">
        <f ca="1">INDEX(INDIRECT(CONCATENATE("Tab_",Tab_Calculs[[#This Row],[Colonne1]])),Tab_Calculs[[#This Row],[index_date_livraison]],7)*(1+MIN(Tab_Calculs[[#This Row],[Date_livraison]],Tab_Calculs[[#This Row],[fin mois]])-MAX(Tab_Calculs[[#This Row],[Début mois]],Tab_Calculs[[#This Row],[Début periode livraison]]))</f>
        <v>0</v>
      </c>
      <c r="Q1097" t="e">
        <f ca="1">INDEX(INDIRECT(CONCATENATE("Tab_",Tab_Calculs[[#This Row],[Colonne1]])),Tab_Calculs[[#This Row],[index_date_livraison]]+1,7)*(Tab_Calculs[[#This Row],[fin mois]]-MIN(Tab_Calculs[[#This Row],[fin mois]],Tab_Calculs[[#This Row],[Date_livraison]]))</f>
        <v>#VALUE!</v>
      </c>
      <c r="R1097" t="e">
        <f ca="1">Tab_Calculs[[#This Row],[Ratio_Cout_après_livr]]+Tab_Calculs[[#This Row],[Ratio_Cout_avant_livr]]+Tab_Calculs[[#This Row],[Ratio_Cout_avant_debut]]</f>
        <v>#VALUE!</v>
      </c>
      <c r="S1097" t="str">
        <f ca="1">IFERROR(N1097*VLOOKUP(Tab_Calculs[[#This Row],[Colonne1]],Controle_des_données!$B$7:$G$14,6,FALSE),"")</f>
        <v/>
      </c>
      <c r="T1097" t="str">
        <f ca="1">IF(Tab_Calculs[[#This Row],[Combustible ]]="Electricité (kWh)",Tab_Calculs[[#This Row],[Conso_mois_kWh]]*2.3,Tab_Calculs[[#This Row],[Conso_mois_kWh]])</f>
        <v/>
      </c>
      <c r="U1097" t="str">
        <f ca="1">IFERROR(N1097*VLOOKUP(Tab_Calculs[[#This Row],[Colonne1]],Controle_des_données!$B$7:$H$14,7,FALSE),"")</f>
        <v/>
      </c>
      <c r="V1097">
        <f ca="1">IFERROR(Tab_Calculs[[#This Row],[Cout_mois]]/Tab_Calculs[[#This Row],[Conso_mois_kWh]],0)</f>
        <v>0</v>
      </c>
      <c r="W1097" t="str">
        <f>T(VLOOKUP(Tab_Calculs[[#This Row],[Compteur]],Site!$B$33:$G$40,3,FALSE))</f>
        <v/>
      </c>
      <c r="X1097" t="str">
        <f>T(VLOOKUP(Tab_Calculs[[#This Row],[Compteur]],Site!$B$33:$G$40,4,FALSE))</f>
        <v/>
      </c>
      <c r="Y1097" t="str">
        <f>T(VLOOKUP(Tab_Calculs[[#This Row],[Compteur]],Site!$B$33:$G$40,5,FALSE))</f>
        <v/>
      </c>
      <c r="Z1097" t="str">
        <f>T(VLOOKUP(Tab_Calculs[[#This Row],[Compteur]],Site!$B$33:$G$40,6,FALSE))</f>
        <v/>
      </c>
      <c r="AA1097">
        <f>IFERROR(GETPIVOTDATA("DJU(chauffagiste)",BDD_DJU!$P$13,"annee",Tab_Calculs[[#This Row],[ANNEE]],"mois_numero",Tab_Calculs[[#This Row],[MOIS]]),0)</f>
        <v>56.6</v>
      </c>
    </row>
    <row r="1098" spans="1:27" x14ac:dyDescent="0.25">
      <c r="A1098" s="3">
        <f>DATE(Tab_Calculs[[#This Row],[ANNEE]],Tab_Calculs[[#This Row],[MOIS]],1)</f>
        <v>44105</v>
      </c>
      <c r="B1098" s="3">
        <f>EDATE(Tab_Calculs[[#This Row],[Début mois]],1)-1</f>
        <v>44135</v>
      </c>
      <c r="C1098">
        <f t="shared" si="36"/>
        <v>10</v>
      </c>
      <c r="D1098">
        <f t="shared" si="37"/>
        <v>2020</v>
      </c>
      <c r="E1098" t="s">
        <v>85</v>
      </c>
      <c r="F1098" t="str">
        <f>SUBSTITUTE(Tab_Calculs[[#This Row],[Compteur]]," ","_")</f>
        <v>Compteur_6</v>
      </c>
      <c r="G1098" t="str">
        <f>T(INDEX(Site!$B$33:$G$40, MATCH(Tab_Calculs[[#This Row],[Compteur]], Site!$B$33:$B$40,0),2))</f>
        <v/>
      </c>
      <c r="H1098" s="3">
        <f t="array" aca="1" ref="H1098" ca="1">MIN(IF(INDIRECT(CONCATENATE(Tab_Calculs[[#This Row],[Colonne1]],"!$B$2:$B$243"))&gt;=Calculs_Consos!$A1098,INDIRECT(CONCATENATE(Tab_Calculs[[#This Row],[Colonne1]],"!$B$2:$B$243"))))</f>
        <v>0</v>
      </c>
      <c r="I1098" s="3">
        <f ca="1">INDEX(INDIRECT(CONCATENATE("Tab_",Tab_Calculs[[#This Row],[Colonne1]])),Tab_Calculs[[#This Row],[index_date_livraison]],1)</f>
        <v>0</v>
      </c>
      <c r="J1098">
        <f ca="1">MATCH(Tab_Calculs[[#This Row],[Date_livraison]],INDIRECT(CONCATENATE("Tab_",Tab_Calculs[[#This Row],[Colonne1]],"[Fin de période]")),0)</f>
        <v>1</v>
      </c>
      <c r="K1098" t="e">
        <f ca="1">INDEX(INDIRECT(CONCATENATE("Tab_",Tab_Calculs[[#This Row],[Colonne1]])),Tab_Calculs[[#This Row],[index_date_livraison]]-1,6)*(MAX(Tab_Calculs[[#This Row],[Début periode livraison]],Tab_Calculs[[#This Row],[Début mois]])-Tab_Calculs[[#This Row],[Début mois]])</f>
        <v>#VALUE!</v>
      </c>
      <c r="L1098" s="94">
        <f ca="1">INDEX(INDIRECT(CONCATENATE("Tab_",Tab_Calculs[[#This Row],[Colonne1]])),Tab_Calculs[[#This Row],[index_date_livraison]],6)*(1+MIN(Tab_Calculs[[#This Row],[Date_livraison]],Tab_Calculs[[#This Row],[fin mois]])-MAX(Tab_Calculs[[#This Row],[Début mois]],Tab_Calculs[[#This Row],[Début periode livraison]]))</f>
        <v>0</v>
      </c>
      <c r="M1098" s="94" t="e">
        <f ca="1">INDEX(INDIRECT(CONCATENATE("Tab_",Tab_Calculs[[#This Row],[Colonne1]])),Tab_Calculs[[#This Row],[index_date_livraison]]+1,6)*(Tab_Calculs[[#This Row],[fin mois]]-MIN(Tab_Calculs[[#This Row],[fin mois]],Tab_Calculs[[#This Row],[Date_livraison]]))</f>
        <v>#VALUE!</v>
      </c>
      <c r="N1098" s="231" t="str">
        <f ca="1">IFERROR(Tab_Calculs[[#This Row],[Ratio_jour_après_livr]]+Tab_Calculs[[#This Row],[Ratio_jour_avant_livr]]+Tab_Calculs[[#This Row],[ratio_avant_debut]],"")</f>
        <v/>
      </c>
      <c r="O1098" t="e">
        <f ca="1">INDEX(INDIRECT(CONCATENATE("Tab_",Tab_Calculs[[#This Row],[Colonne1]])),Tab_Calculs[[#This Row],[index_date_livraison]]-1,7)*(MAX(Tab_Calculs[[#This Row],[Début periode livraison]],Tab_Calculs[[#This Row],[Début mois]])-Tab_Calculs[[#This Row],[Début mois]])</f>
        <v>#VALUE!</v>
      </c>
      <c r="P1098">
        <f ca="1">INDEX(INDIRECT(CONCATENATE("Tab_",Tab_Calculs[[#This Row],[Colonne1]])),Tab_Calculs[[#This Row],[index_date_livraison]],7)*(1+MIN(Tab_Calculs[[#This Row],[Date_livraison]],Tab_Calculs[[#This Row],[fin mois]])-MAX(Tab_Calculs[[#This Row],[Début mois]],Tab_Calculs[[#This Row],[Début periode livraison]]))</f>
        <v>0</v>
      </c>
      <c r="Q1098" t="e">
        <f ca="1">INDEX(INDIRECT(CONCATENATE("Tab_",Tab_Calculs[[#This Row],[Colonne1]])),Tab_Calculs[[#This Row],[index_date_livraison]]+1,7)*(Tab_Calculs[[#This Row],[fin mois]]-MIN(Tab_Calculs[[#This Row],[fin mois]],Tab_Calculs[[#This Row],[Date_livraison]]))</f>
        <v>#VALUE!</v>
      </c>
      <c r="R1098" t="e">
        <f ca="1">Tab_Calculs[[#This Row],[Ratio_Cout_après_livr]]+Tab_Calculs[[#This Row],[Ratio_Cout_avant_livr]]+Tab_Calculs[[#This Row],[Ratio_Cout_avant_debut]]</f>
        <v>#VALUE!</v>
      </c>
      <c r="S1098" t="str">
        <f ca="1">IFERROR(N1098*VLOOKUP(Tab_Calculs[[#This Row],[Colonne1]],Controle_des_données!$B$7:$G$14,6,FALSE),"")</f>
        <v/>
      </c>
      <c r="T1098" t="str">
        <f ca="1">IF(Tab_Calculs[[#This Row],[Combustible ]]="Electricité (kWh)",Tab_Calculs[[#This Row],[Conso_mois_kWh]]*2.3,Tab_Calculs[[#This Row],[Conso_mois_kWh]])</f>
        <v/>
      </c>
      <c r="U1098" t="str">
        <f ca="1">IFERROR(N1098*VLOOKUP(Tab_Calculs[[#This Row],[Colonne1]],Controle_des_données!$B$7:$H$14,7,FALSE),"")</f>
        <v/>
      </c>
      <c r="V1098">
        <f ca="1">IFERROR(Tab_Calculs[[#This Row],[Cout_mois]]/Tab_Calculs[[#This Row],[Conso_mois_kWh]],0)</f>
        <v>0</v>
      </c>
      <c r="W1098" t="str">
        <f>T(VLOOKUP(Tab_Calculs[[#This Row],[Compteur]],Site!$B$33:$G$40,3,FALSE))</f>
        <v/>
      </c>
      <c r="X1098" t="str">
        <f>T(VLOOKUP(Tab_Calculs[[#This Row],[Compteur]],Site!$B$33:$G$40,4,FALSE))</f>
        <v/>
      </c>
      <c r="Y1098" t="str">
        <f>T(VLOOKUP(Tab_Calculs[[#This Row],[Compteur]],Site!$B$33:$G$40,5,FALSE))</f>
        <v/>
      </c>
      <c r="Z1098" t="str">
        <f>T(VLOOKUP(Tab_Calculs[[#This Row],[Compteur]],Site!$B$33:$G$40,6,FALSE))</f>
        <v/>
      </c>
      <c r="AA1098">
        <f>IFERROR(GETPIVOTDATA("DJU(chauffagiste)",BDD_DJU!$P$13,"annee",Tab_Calculs[[#This Row],[ANNEE]],"mois_numero",Tab_Calculs[[#This Row],[MOIS]]),0)</f>
        <v>159.30000000000001</v>
      </c>
    </row>
    <row r="1099" spans="1:27" x14ac:dyDescent="0.25">
      <c r="A1099" s="3">
        <f>DATE(Tab_Calculs[[#This Row],[ANNEE]],Tab_Calculs[[#This Row],[MOIS]],1)</f>
        <v>44136</v>
      </c>
      <c r="B1099" s="3">
        <f>EDATE(Tab_Calculs[[#This Row],[Début mois]],1)-1</f>
        <v>44165</v>
      </c>
      <c r="C1099">
        <f t="shared" si="36"/>
        <v>11</v>
      </c>
      <c r="D1099">
        <f t="shared" si="37"/>
        <v>2020</v>
      </c>
      <c r="E1099" t="s">
        <v>85</v>
      </c>
      <c r="F1099" t="str">
        <f>SUBSTITUTE(Tab_Calculs[[#This Row],[Compteur]]," ","_")</f>
        <v>Compteur_6</v>
      </c>
      <c r="G1099" t="str">
        <f>T(INDEX(Site!$B$33:$G$40, MATCH(Tab_Calculs[[#This Row],[Compteur]], Site!$B$33:$B$40,0),2))</f>
        <v/>
      </c>
      <c r="H1099" s="3">
        <f t="array" aca="1" ref="H1099" ca="1">MIN(IF(INDIRECT(CONCATENATE(Tab_Calculs[[#This Row],[Colonne1]],"!$B$2:$B$243"))&gt;=Calculs_Consos!$A1099,INDIRECT(CONCATENATE(Tab_Calculs[[#This Row],[Colonne1]],"!$B$2:$B$243"))))</f>
        <v>0</v>
      </c>
      <c r="I1099" s="3">
        <f ca="1">INDEX(INDIRECT(CONCATENATE("Tab_",Tab_Calculs[[#This Row],[Colonne1]])),Tab_Calculs[[#This Row],[index_date_livraison]],1)</f>
        <v>0</v>
      </c>
      <c r="J1099">
        <f ca="1">MATCH(Tab_Calculs[[#This Row],[Date_livraison]],INDIRECT(CONCATENATE("Tab_",Tab_Calculs[[#This Row],[Colonne1]],"[Fin de période]")),0)</f>
        <v>1</v>
      </c>
      <c r="K1099" t="e">
        <f ca="1">INDEX(INDIRECT(CONCATENATE("Tab_",Tab_Calculs[[#This Row],[Colonne1]])),Tab_Calculs[[#This Row],[index_date_livraison]]-1,6)*(MAX(Tab_Calculs[[#This Row],[Début periode livraison]],Tab_Calculs[[#This Row],[Début mois]])-Tab_Calculs[[#This Row],[Début mois]])</f>
        <v>#VALUE!</v>
      </c>
      <c r="L1099" s="94">
        <f ca="1">INDEX(INDIRECT(CONCATENATE("Tab_",Tab_Calculs[[#This Row],[Colonne1]])),Tab_Calculs[[#This Row],[index_date_livraison]],6)*(1+MIN(Tab_Calculs[[#This Row],[Date_livraison]],Tab_Calculs[[#This Row],[fin mois]])-MAX(Tab_Calculs[[#This Row],[Début mois]],Tab_Calculs[[#This Row],[Début periode livraison]]))</f>
        <v>0</v>
      </c>
      <c r="M1099" s="94" t="e">
        <f ca="1">INDEX(INDIRECT(CONCATENATE("Tab_",Tab_Calculs[[#This Row],[Colonne1]])),Tab_Calculs[[#This Row],[index_date_livraison]]+1,6)*(Tab_Calculs[[#This Row],[fin mois]]-MIN(Tab_Calculs[[#This Row],[fin mois]],Tab_Calculs[[#This Row],[Date_livraison]]))</f>
        <v>#VALUE!</v>
      </c>
      <c r="N1099" s="231" t="str">
        <f ca="1">IFERROR(Tab_Calculs[[#This Row],[Ratio_jour_après_livr]]+Tab_Calculs[[#This Row],[Ratio_jour_avant_livr]]+Tab_Calculs[[#This Row],[ratio_avant_debut]],"")</f>
        <v/>
      </c>
      <c r="O1099" t="e">
        <f ca="1">INDEX(INDIRECT(CONCATENATE("Tab_",Tab_Calculs[[#This Row],[Colonne1]])),Tab_Calculs[[#This Row],[index_date_livraison]]-1,7)*(MAX(Tab_Calculs[[#This Row],[Début periode livraison]],Tab_Calculs[[#This Row],[Début mois]])-Tab_Calculs[[#This Row],[Début mois]])</f>
        <v>#VALUE!</v>
      </c>
      <c r="P1099">
        <f ca="1">INDEX(INDIRECT(CONCATENATE("Tab_",Tab_Calculs[[#This Row],[Colonne1]])),Tab_Calculs[[#This Row],[index_date_livraison]],7)*(1+MIN(Tab_Calculs[[#This Row],[Date_livraison]],Tab_Calculs[[#This Row],[fin mois]])-MAX(Tab_Calculs[[#This Row],[Début mois]],Tab_Calculs[[#This Row],[Début periode livraison]]))</f>
        <v>0</v>
      </c>
      <c r="Q1099" t="e">
        <f ca="1">INDEX(INDIRECT(CONCATENATE("Tab_",Tab_Calculs[[#This Row],[Colonne1]])),Tab_Calculs[[#This Row],[index_date_livraison]]+1,7)*(Tab_Calculs[[#This Row],[fin mois]]-MIN(Tab_Calculs[[#This Row],[fin mois]],Tab_Calculs[[#This Row],[Date_livraison]]))</f>
        <v>#VALUE!</v>
      </c>
      <c r="R1099" t="e">
        <f ca="1">Tab_Calculs[[#This Row],[Ratio_Cout_après_livr]]+Tab_Calculs[[#This Row],[Ratio_Cout_avant_livr]]+Tab_Calculs[[#This Row],[Ratio_Cout_avant_debut]]</f>
        <v>#VALUE!</v>
      </c>
      <c r="S1099" t="str">
        <f ca="1">IFERROR(N1099*VLOOKUP(Tab_Calculs[[#This Row],[Colonne1]],Controle_des_données!$B$7:$G$14,6,FALSE),"")</f>
        <v/>
      </c>
      <c r="T1099" t="str">
        <f ca="1">IF(Tab_Calculs[[#This Row],[Combustible ]]="Electricité (kWh)",Tab_Calculs[[#This Row],[Conso_mois_kWh]]*2.3,Tab_Calculs[[#This Row],[Conso_mois_kWh]])</f>
        <v/>
      </c>
      <c r="U1099" t="str">
        <f ca="1">IFERROR(N1099*VLOOKUP(Tab_Calculs[[#This Row],[Colonne1]],Controle_des_données!$B$7:$H$14,7,FALSE),"")</f>
        <v/>
      </c>
      <c r="V1099">
        <f ca="1">IFERROR(Tab_Calculs[[#This Row],[Cout_mois]]/Tab_Calculs[[#This Row],[Conso_mois_kWh]],0)</f>
        <v>0</v>
      </c>
      <c r="W1099" t="str">
        <f>T(VLOOKUP(Tab_Calculs[[#This Row],[Compteur]],Site!$B$33:$G$40,3,FALSE))</f>
        <v/>
      </c>
      <c r="X1099" t="str">
        <f>T(VLOOKUP(Tab_Calculs[[#This Row],[Compteur]],Site!$B$33:$G$40,4,FALSE))</f>
        <v/>
      </c>
      <c r="Y1099" t="str">
        <f>T(VLOOKUP(Tab_Calculs[[#This Row],[Compteur]],Site!$B$33:$G$40,5,FALSE))</f>
        <v/>
      </c>
      <c r="Z1099" t="str">
        <f>T(VLOOKUP(Tab_Calculs[[#This Row],[Compteur]],Site!$B$33:$G$40,6,FALSE))</f>
        <v/>
      </c>
      <c r="AA1099">
        <f>IFERROR(GETPIVOTDATA("DJU(chauffagiste)",BDD_DJU!$P$13,"annee",Tab_Calculs[[#This Row],[ANNEE]],"mois_numero",Tab_Calculs[[#This Row],[MOIS]]),0)</f>
        <v>237.3</v>
      </c>
    </row>
    <row r="1100" spans="1:27" x14ac:dyDescent="0.25">
      <c r="A1100" s="3">
        <f>DATE(Tab_Calculs[[#This Row],[ANNEE]],Tab_Calculs[[#This Row],[MOIS]],1)</f>
        <v>44166</v>
      </c>
      <c r="B1100" s="3">
        <f>EDATE(Tab_Calculs[[#This Row],[Début mois]],1)-1</f>
        <v>44196</v>
      </c>
      <c r="C1100">
        <f t="shared" si="36"/>
        <v>12</v>
      </c>
      <c r="D1100">
        <f t="shared" si="37"/>
        <v>2020</v>
      </c>
      <c r="E1100" t="s">
        <v>85</v>
      </c>
      <c r="F1100" t="str">
        <f>SUBSTITUTE(Tab_Calculs[[#This Row],[Compteur]]," ","_")</f>
        <v>Compteur_6</v>
      </c>
      <c r="G1100" t="str">
        <f>T(INDEX(Site!$B$33:$G$40, MATCH(Tab_Calculs[[#This Row],[Compteur]], Site!$B$33:$B$40,0),2))</f>
        <v/>
      </c>
      <c r="H1100" s="3">
        <f t="array" aca="1" ref="H1100" ca="1">MIN(IF(INDIRECT(CONCATENATE(Tab_Calculs[[#This Row],[Colonne1]],"!$B$2:$B$243"))&gt;=Calculs_Consos!$A1100,INDIRECT(CONCATENATE(Tab_Calculs[[#This Row],[Colonne1]],"!$B$2:$B$243"))))</f>
        <v>0</v>
      </c>
      <c r="I1100" s="3">
        <f ca="1">INDEX(INDIRECT(CONCATENATE("Tab_",Tab_Calculs[[#This Row],[Colonne1]])),Tab_Calculs[[#This Row],[index_date_livraison]],1)</f>
        <v>0</v>
      </c>
      <c r="J1100">
        <f ca="1">MATCH(Tab_Calculs[[#This Row],[Date_livraison]],INDIRECT(CONCATENATE("Tab_",Tab_Calculs[[#This Row],[Colonne1]],"[Fin de période]")),0)</f>
        <v>1</v>
      </c>
      <c r="K1100" t="e">
        <f ca="1">INDEX(INDIRECT(CONCATENATE("Tab_",Tab_Calculs[[#This Row],[Colonne1]])),Tab_Calculs[[#This Row],[index_date_livraison]]-1,6)*(MAX(Tab_Calculs[[#This Row],[Début periode livraison]],Tab_Calculs[[#This Row],[Début mois]])-Tab_Calculs[[#This Row],[Début mois]])</f>
        <v>#VALUE!</v>
      </c>
      <c r="L1100" s="94">
        <f ca="1">INDEX(INDIRECT(CONCATENATE("Tab_",Tab_Calculs[[#This Row],[Colonne1]])),Tab_Calculs[[#This Row],[index_date_livraison]],6)*(1+MIN(Tab_Calculs[[#This Row],[Date_livraison]],Tab_Calculs[[#This Row],[fin mois]])-MAX(Tab_Calculs[[#This Row],[Début mois]],Tab_Calculs[[#This Row],[Début periode livraison]]))</f>
        <v>0</v>
      </c>
      <c r="M1100" s="94" t="e">
        <f ca="1">INDEX(INDIRECT(CONCATENATE("Tab_",Tab_Calculs[[#This Row],[Colonne1]])),Tab_Calculs[[#This Row],[index_date_livraison]]+1,6)*(Tab_Calculs[[#This Row],[fin mois]]-MIN(Tab_Calculs[[#This Row],[fin mois]],Tab_Calculs[[#This Row],[Date_livraison]]))</f>
        <v>#VALUE!</v>
      </c>
      <c r="N1100" s="231" t="str">
        <f ca="1">IFERROR(Tab_Calculs[[#This Row],[Ratio_jour_après_livr]]+Tab_Calculs[[#This Row],[Ratio_jour_avant_livr]]+Tab_Calculs[[#This Row],[ratio_avant_debut]],"")</f>
        <v/>
      </c>
      <c r="O1100" t="e">
        <f ca="1">INDEX(INDIRECT(CONCATENATE("Tab_",Tab_Calculs[[#This Row],[Colonne1]])),Tab_Calculs[[#This Row],[index_date_livraison]]-1,7)*(MAX(Tab_Calculs[[#This Row],[Début periode livraison]],Tab_Calculs[[#This Row],[Début mois]])-Tab_Calculs[[#This Row],[Début mois]])</f>
        <v>#VALUE!</v>
      </c>
      <c r="P1100">
        <f ca="1">INDEX(INDIRECT(CONCATENATE("Tab_",Tab_Calculs[[#This Row],[Colonne1]])),Tab_Calculs[[#This Row],[index_date_livraison]],7)*(1+MIN(Tab_Calculs[[#This Row],[Date_livraison]],Tab_Calculs[[#This Row],[fin mois]])-MAX(Tab_Calculs[[#This Row],[Début mois]],Tab_Calculs[[#This Row],[Début periode livraison]]))</f>
        <v>0</v>
      </c>
      <c r="Q1100" t="e">
        <f ca="1">INDEX(INDIRECT(CONCATENATE("Tab_",Tab_Calculs[[#This Row],[Colonne1]])),Tab_Calculs[[#This Row],[index_date_livraison]]+1,7)*(Tab_Calculs[[#This Row],[fin mois]]-MIN(Tab_Calculs[[#This Row],[fin mois]],Tab_Calculs[[#This Row],[Date_livraison]]))</f>
        <v>#VALUE!</v>
      </c>
      <c r="R1100" t="e">
        <f ca="1">Tab_Calculs[[#This Row],[Ratio_Cout_après_livr]]+Tab_Calculs[[#This Row],[Ratio_Cout_avant_livr]]+Tab_Calculs[[#This Row],[Ratio_Cout_avant_debut]]</f>
        <v>#VALUE!</v>
      </c>
      <c r="S1100" t="str">
        <f ca="1">IFERROR(N1100*VLOOKUP(Tab_Calculs[[#This Row],[Colonne1]],Controle_des_données!$B$7:$G$14,6,FALSE),"")</f>
        <v/>
      </c>
      <c r="T1100" t="str">
        <f ca="1">IF(Tab_Calculs[[#This Row],[Combustible ]]="Electricité (kWh)",Tab_Calculs[[#This Row],[Conso_mois_kWh]]*2.3,Tab_Calculs[[#This Row],[Conso_mois_kWh]])</f>
        <v/>
      </c>
      <c r="U1100" t="str">
        <f ca="1">IFERROR(N1100*VLOOKUP(Tab_Calculs[[#This Row],[Colonne1]],Controle_des_données!$B$7:$H$14,7,FALSE),"")</f>
        <v/>
      </c>
      <c r="V1100">
        <f ca="1">IFERROR(Tab_Calculs[[#This Row],[Cout_mois]]/Tab_Calculs[[#This Row],[Conso_mois_kWh]],0)</f>
        <v>0</v>
      </c>
      <c r="W1100" t="str">
        <f>T(VLOOKUP(Tab_Calculs[[#This Row],[Compteur]],Site!$B$33:$G$40,3,FALSE))</f>
        <v/>
      </c>
      <c r="X1100" t="str">
        <f>T(VLOOKUP(Tab_Calculs[[#This Row],[Compteur]],Site!$B$33:$G$40,4,FALSE))</f>
        <v/>
      </c>
      <c r="Y1100" t="str">
        <f>T(VLOOKUP(Tab_Calculs[[#This Row],[Compteur]],Site!$B$33:$G$40,5,FALSE))</f>
        <v/>
      </c>
      <c r="Z1100" t="str">
        <f>T(VLOOKUP(Tab_Calculs[[#This Row],[Compteur]],Site!$B$33:$G$40,6,FALSE))</f>
        <v/>
      </c>
      <c r="AA1100">
        <f>IFERROR(GETPIVOTDATA("DJU(chauffagiste)",BDD_DJU!$P$13,"annee",Tab_Calculs[[#This Row],[ANNEE]],"mois_numero",Tab_Calculs[[#This Row],[MOIS]]),0)</f>
        <v>334.4</v>
      </c>
    </row>
    <row r="1101" spans="1:27" x14ac:dyDescent="0.25">
      <c r="A1101" s="3">
        <f>DATE(Tab_Calculs[[#This Row],[ANNEE]],Tab_Calculs[[#This Row],[MOIS]],1)</f>
        <v>44197</v>
      </c>
      <c r="B1101" s="3">
        <f>EDATE(Tab_Calculs[[#This Row],[Début mois]],1)-1</f>
        <v>44227</v>
      </c>
      <c r="C1101">
        <f t="shared" si="36"/>
        <v>1</v>
      </c>
      <c r="D1101">
        <f t="shared" si="37"/>
        <v>2021</v>
      </c>
      <c r="E1101" t="s">
        <v>85</v>
      </c>
      <c r="F1101" t="str">
        <f>SUBSTITUTE(Tab_Calculs[[#This Row],[Compteur]]," ","_")</f>
        <v>Compteur_6</v>
      </c>
      <c r="G1101" t="str">
        <f>T(INDEX(Site!$B$33:$G$40, MATCH(Tab_Calculs[[#This Row],[Compteur]], Site!$B$33:$B$40,0),2))</f>
        <v/>
      </c>
      <c r="H1101" s="3">
        <f t="array" aca="1" ref="H1101" ca="1">MIN(IF(INDIRECT(CONCATENATE(Tab_Calculs[[#This Row],[Colonne1]],"!$B$2:$B$243"))&gt;=Calculs_Consos!$A1101,INDIRECT(CONCATENATE(Tab_Calculs[[#This Row],[Colonne1]],"!$B$2:$B$243"))))</f>
        <v>0</v>
      </c>
      <c r="I1101" s="3">
        <f ca="1">INDEX(INDIRECT(CONCATENATE("Tab_",Tab_Calculs[[#This Row],[Colonne1]])),Tab_Calculs[[#This Row],[index_date_livraison]],1)</f>
        <v>0</v>
      </c>
      <c r="J1101">
        <f ca="1">MATCH(Tab_Calculs[[#This Row],[Date_livraison]],INDIRECT(CONCATENATE("Tab_",Tab_Calculs[[#This Row],[Colonne1]],"[Fin de période]")),0)</f>
        <v>1</v>
      </c>
      <c r="K1101" t="e">
        <f ca="1">INDEX(INDIRECT(CONCATENATE("Tab_",Tab_Calculs[[#This Row],[Colonne1]])),Tab_Calculs[[#This Row],[index_date_livraison]]-1,6)*(MAX(Tab_Calculs[[#This Row],[Début periode livraison]],Tab_Calculs[[#This Row],[Début mois]])-Tab_Calculs[[#This Row],[Début mois]])</f>
        <v>#VALUE!</v>
      </c>
      <c r="L1101" s="94">
        <f ca="1">INDEX(INDIRECT(CONCATENATE("Tab_",Tab_Calculs[[#This Row],[Colonne1]])),Tab_Calculs[[#This Row],[index_date_livraison]],6)*(1+MIN(Tab_Calculs[[#This Row],[Date_livraison]],Tab_Calculs[[#This Row],[fin mois]])-MAX(Tab_Calculs[[#This Row],[Début mois]],Tab_Calculs[[#This Row],[Début periode livraison]]))</f>
        <v>0</v>
      </c>
      <c r="M1101" s="94" t="e">
        <f ca="1">INDEX(INDIRECT(CONCATENATE("Tab_",Tab_Calculs[[#This Row],[Colonne1]])),Tab_Calculs[[#This Row],[index_date_livraison]]+1,6)*(Tab_Calculs[[#This Row],[fin mois]]-MIN(Tab_Calculs[[#This Row],[fin mois]],Tab_Calculs[[#This Row],[Date_livraison]]))</f>
        <v>#VALUE!</v>
      </c>
      <c r="N1101" s="231" t="str">
        <f ca="1">IFERROR(Tab_Calculs[[#This Row],[Ratio_jour_après_livr]]+Tab_Calculs[[#This Row],[Ratio_jour_avant_livr]]+Tab_Calculs[[#This Row],[ratio_avant_debut]],"")</f>
        <v/>
      </c>
      <c r="O1101" t="e">
        <f ca="1">INDEX(INDIRECT(CONCATENATE("Tab_",Tab_Calculs[[#This Row],[Colonne1]])),Tab_Calculs[[#This Row],[index_date_livraison]]-1,7)*(MAX(Tab_Calculs[[#This Row],[Début periode livraison]],Tab_Calculs[[#This Row],[Début mois]])-Tab_Calculs[[#This Row],[Début mois]])</f>
        <v>#VALUE!</v>
      </c>
      <c r="P1101">
        <f ca="1">INDEX(INDIRECT(CONCATENATE("Tab_",Tab_Calculs[[#This Row],[Colonne1]])),Tab_Calculs[[#This Row],[index_date_livraison]],7)*(1+MIN(Tab_Calculs[[#This Row],[Date_livraison]],Tab_Calculs[[#This Row],[fin mois]])-MAX(Tab_Calculs[[#This Row],[Début mois]],Tab_Calculs[[#This Row],[Début periode livraison]]))</f>
        <v>0</v>
      </c>
      <c r="Q1101" t="e">
        <f ca="1">INDEX(INDIRECT(CONCATENATE("Tab_",Tab_Calculs[[#This Row],[Colonne1]])),Tab_Calculs[[#This Row],[index_date_livraison]]+1,7)*(Tab_Calculs[[#This Row],[fin mois]]-MIN(Tab_Calculs[[#This Row],[fin mois]],Tab_Calculs[[#This Row],[Date_livraison]]))</f>
        <v>#VALUE!</v>
      </c>
      <c r="R1101" t="e">
        <f ca="1">Tab_Calculs[[#This Row],[Ratio_Cout_après_livr]]+Tab_Calculs[[#This Row],[Ratio_Cout_avant_livr]]+Tab_Calculs[[#This Row],[Ratio_Cout_avant_debut]]</f>
        <v>#VALUE!</v>
      </c>
      <c r="S1101" t="str">
        <f ca="1">IFERROR(N1101*VLOOKUP(Tab_Calculs[[#This Row],[Colonne1]],Controle_des_données!$B$7:$G$14,6,FALSE),"")</f>
        <v/>
      </c>
      <c r="T1101" t="str">
        <f ca="1">IF(Tab_Calculs[[#This Row],[Combustible ]]="Electricité (kWh)",Tab_Calculs[[#This Row],[Conso_mois_kWh]]*2.3,Tab_Calculs[[#This Row],[Conso_mois_kWh]])</f>
        <v/>
      </c>
      <c r="U1101" t="str">
        <f ca="1">IFERROR(N1101*VLOOKUP(Tab_Calculs[[#This Row],[Colonne1]],Controle_des_données!$B$7:$H$14,7,FALSE),"")</f>
        <v/>
      </c>
      <c r="V1101">
        <f ca="1">IFERROR(Tab_Calculs[[#This Row],[Cout_mois]]/Tab_Calculs[[#This Row],[Conso_mois_kWh]],0)</f>
        <v>0</v>
      </c>
      <c r="W1101" t="str">
        <f>T(VLOOKUP(Tab_Calculs[[#This Row],[Compteur]],Site!$B$33:$G$40,3,FALSE))</f>
        <v/>
      </c>
      <c r="X1101" t="str">
        <f>T(VLOOKUP(Tab_Calculs[[#This Row],[Compteur]],Site!$B$33:$G$40,4,FALSE))</f>
        <v/>
      </c>
      <c r="Y1101" t="str">
        <f>T(VLOOKUP(Tab_Calculs[[#This Row],[Compteur]],Site!$B$33:$G$40,5,FALSE))</f>
        <v/>
      </c>
      <c r="Z1101" t="str">
        <f>T(VLOOKUP(Tab_Calculs[[#This Row],[Compteur]],Site!$B$33:$G$40,6,FALSE))</f>
        <v/>
      </c>
      <c r="AA1101">
        <f>IFERROR(GETPIVOTDATA("DJU(chauffagiste)",BDD_DJU!$P$13,"annee",Tab_Calculs[[#This Row],[ANNEE]],"mois_numero",Tab_Calculs[[#This Row],[MOIS]]),0)</f>
        <v>380.1</v>
      </c>
    </row>
    <row r="1102" spans="1:27" x14ac:dyDescent="0.25">
      <c r="A1102" s="3">
        <f>DATE(Tab_Calculs[[#This Row],[ANNEE]],Tab_Calculs[[#This Row],[MOIS]],1)</f>
        <v>44228</v>
      </c>
      <c r="B1102" s="3">
        <f>EDATE(Tab_Calculs[[#This Row],[Début mois]],1)-1</f>
        <v>44255</v>
      </c>
      <c r="C1102">
        <f t="shared" si="36"/>
        <v>2</v>
      </c>
      <c r="D1102">
        <f t="shared" si="37"/>
        <v>2021</v>
      </c>
      <c r="E1102" t="s">
        <v>85</v>
      </c>
      <c r="F1102" t="str">
        <f>SUBSTITUTE(Tab_Calculs[[#This Row],[Compteur]]," ","_")</f>
        <v>Compteur_6</v>
      </c>
      <c r="G1102" t="str">
        <f>T(INDEX(Site!$B$33:$G$40, MATCH(Tab_Calculs[[#This Row],[Compteur]], Site!$B$33:$B$40,0),2))</f>
        <v/>
      </c>
      <c r="H1102" s="3">
        <f t="array" aca="1" ref="H1102" ca="1">MIN(IF(INDIRECT(CONCATENATE(Tab_Calculs[[#This Row],[Colonne1]],"!$B$2:$B$243"))&gt;=Calculs_Consos!$A1102,INDIRECT(CONCATENATE(Tab_Calculs[[#This Row],[Colonne1]],"!$B$2:$B$243"))))</f>
        <v>0</v>
      </c>
      <c r="I1102" s="3">
        <f ca="1">INDEX(INDIRECT(CONCATENATE("Tab_",Tab_Calculs[[#This Row],[Colonne1]])),Tab_Calculs[[#This Row],[index_date_livraison]],1)</f>
        <v>0</v>
      </c>
      <c r="J1102">
        <f ca="1">MATCH(Tab_Calculs[[#This Row],[Date_livraison]],INDIRECT(CONCATENATE("Tab_",Tab_Calculs[[#This Row],[Colonne1]],"[Fin de période]")),0)</f>
        <v>1</v>
      </c>
      <c r="K1102" t="e">
        <f ca="1">INDEX(INDIRECT(CONCATENATE("Tab_",Tab_Calculs[[#This Row],[Colonne1]])),Tab_Calculs[[#This Row],[index_date_livraison]]-1,6)*(MAX(Tab_Calculs[[#This Row],[Début periode livraison]],Tab_Calculs[[#This Row],[Début mois]])-Tab_Calculs[[#This Row],[Début mois]])</f>
        <v>#VALUE!</v>
      </c>
      <c r="L1102" s="94">
        <f ca="1">INDEX(INDIRECT(CONCATENATE("Tab_",Tab_Calculs[[#This Row],[Colonne1]])),Tab_Calculs[[#This Row],[index_date_livraison]],6)*(1+MIN(Tab_Calculs[[#This Row],[Date_livraison]],Tab_Calculs[[#This Row],[fin mois]])-MAX(Tab_Calculs[[#This Row],[Début mois]],Tab_Calculs[[#This Row],[Début periode livraison]]))</f>
        <v>0</v>
      </c>
      <c r="M1102" s="94" t="e">
        <f ca="1">INDEX(INDIRECT(CONCATENATE("Tab_",Tab_Calculs[[#This Row],[Colonne1]])),Tab_Calculs[[#This Row],[index_date_livraison]]+1,6)*(Tab_Calculs[[#This Row],[fin mois]]-MIN(Tab_Calculs[[#This Row],[fin mois]],Tab_Calculs[[#This Row],[Date_livraison]]))</f>
        <v>#VALUE!</v>
      </c>
      <c r="N1102" s="231" t="str">
        <f ca="1">IFERROR(Tab_Calculs[[#This Row],[Ratio_jour_après_livr]]+Tab_Calculs[[#This Row],[Ratio_jour_avant_livr]]+Tab_Calculs[[#This Row],[ratio_avant_debut]],"")</f>
        <v/>
      </c>
      <c r="O1102" t="e">
        <f ca="1">INDEX(INDIRECT(CONCATENATE("Tab_",Tab_Calculs[[#This Row],[Colonne1]])),Tab_Calculs[[#This Row],[index_date_livraison]]-1,7)*(MAX(Tab_Calculs[[#This Row],[Début periode livraison]],Tab_Calculs[[#This Row],[Début mois]])-Tab_Calculs[[#This Row],[Début mois]])</f>
        <v>#VALUE!</v>
      </c>
      <c r="P1102">
        <f ca="1">INDEX(INDIRECT(CONCATENATE("Tab_",Tab_Calculs[[#This Row],[Colonne1]])),Tab_Calculs[[#This Row],[index_date_livraison]],7)*(1+MIN(Tab_Calculs[[#This Row],[Date_livraison]],Tab_Calculs[[#This Row],[fin mois]])-MAX(Tab_Calculs[[#This Row],[Début mois]],Tab_Calculs[[#This Row],[Début periode livraison]]))</f>
        <v>0</v>
      </c>
      <c r="Q1102" t="e">
        <f ca="1">INDEX(INDIRECT(CONCATENATE("Tab_",Tab_Calculs[[#This Row],[Colonne1]])),Tab_Calculs[[#This Row],[index_date_livraison]]+1,7)*(Tab_Calculs[[#This Row],[fin mois]]-MIN(Tab_Calculs[[#This Row],[fin mois]],Tab_Calculs[[#This Row],[Date_livraison]]))</f>
        <v>#VALUE!</v>
      </c>
      <c r="R1102" t="e">
        <f ca="1">Tab_Calculs[[#This Row],[Ratio_Cout_après_livr]]+Tab_Calculs[[#This Row],[Ratio_Cout_avant_livr]]+Tab_Calculs[[#This Row],[Ratio_Cout_avant_debut]]</f>
        <v>#VALUE!</v>
      </c>
      <c r="S1102" t="str">
        <f ca="1">IFERROR(N1102*VLOOKUP(Tab_Calculs[[#This Row],[Colonne1]],Controle_des_données!$B$7:$G$14,6,FALSE),"")</f>
        <v/>
      </c>
      <c r="T1102" t="str">
        <f ca="1">IF(Tab_Calculs[[#This Row],[Combustible ]]="Electricité (kWh)",Tab_Calculs[[#This Row],[Conso_mois_kWh]]*2.3,Tab_Calculs[[#This Row],[Conso_mois_kWh]])</f>
        <v/>
      </c>
      <c r="U1102" t="str">
        <f ca="1">IFERROR(N1102*VLOOKUP(Tab_Calculs[[#This Row],[Colonne1]],Controle_des_données!$B$7:$H$14,7,FALSE),"")</f>
        <v/>
      </c>
      <c r="V1102">
        <f ca="1">IFERROR(Tab_Calculs[[#This Row],[Cout_mois]]/Tab_Calculs[[#This Row],[Conso_mois_kWh]],0)</f>
        <v>0</v>
      </c>
      <c r="W1102" t="str">
        <f>T(VLOOKUP(Tab_Calculs[[#This Row],[Compteur]],Site!$B$33:$G$40,3,FALSE))</f>
        <v/>
      </c>
      <c r="X1102" t="str">
        <f>T(VLOOKUP(Tab_Calculs[[#This Row],[Compteur]],Site!$B$33:$G$40,4,FALSE))</f>
        <v/>
      </c>
      <c r="Y1102" t="str">
        <f>T(VLOOKUP(Tab_Calculs[[#This Row],[Compteur]],Site!$B$33:$G$40,5,FALSE))</f>
        <v/>
      </c>
      <c r="Z1102" t="str">
        <f>T(VLOOKUP(Tab_Calculs[[#This Row],[Compteur]],Site!$B$33:$G$40,6,FALSE))</f>
        <v/>
      </c>
      <c r="AA1102">
        <f>IFERROR(GETPIVOTDATA("DJU(chauffagiste)",BDD_DJU!$P$13,"annee",Tab_Calculs[[#This Row],[ANNEE]],"mois_numero",Tab_Calculs[[#This Row],[MOIS]]),0)</f>
        <v>299.5</v>
      </c>
    </row>
    <row r="1103" spans="1:27" x14ac:dyDescent="0.25">
      <c r="A1103" s="3">
        <f>DATE(Tab_Calculs[[#This Row],[ANNEE]],Tab_Calculs[[#This Row],[MOIS]],1)</f>
        <v>44256</v>
      </c>
      <c r="B1103" s="3">
        <f>EDATE(Tab_Calculs[[#This Row],[Début mois]],1)-1</f>
        <v>44286</v>
      </c>
      <c r="C1103">
        <f t="shared" si="36"/>
        <v>3</v>
      </c>
      <c r="D1103">
        <f t="shared" si="37"/>
        <v>2021</v>
      </c>
      <c r="E1103" t="s">
        <v>85</v>
      </c>
      <c r="F1103" t="str">
        <f>SUBSTITUTE(Tab_Calculs[[#This Row],[Compteur]]," ","_")</f>
        <v>Compteur_6</v>
      </c>
      <c r="G1103" t="str">
        <f>T(INDEX(Site!$B$33:$G$40, MATCH(Tab_Calculs[[#This Row],[Compteur]], Site!$B$33:$B$40,0),2))</f>
        <v/>
      </c>
      <c r="H1103" s="3">
        <f t="array" aca="1" ref="H1103" ca="1">MIN(IF(INDIRECT(CONCATENATE(Tab_Calculs[[#This Row],[Colonne1]],"!$B$2:$B$243"))&gt;=Calculs_Consos!$A1103,INDIRECT(CONCATENATE(Tab_Calculs[[#This Row],[Colonne1]],"!$B$2:$B$243"))))</f>
        <v>0</v>
      </c>
      <c r="I1103" s="3">
        <f ca="1">INDEX(INDIRECT(CONCATENATE("Tab_",Tab_Calculs[[#This Row],[Colonne1]])),Tab_Calculs[[#This Row],[index_date_livraison]],1)</f>
        <v>0</v>
      </c>
      <c r="J1103">
        <f ca="1">MATCH(Tab_Calculs[[#This Row],[Date_livraison]],INDIRECT(CONCATENATE("Tab_",Tab_Calculs[[#This Row],[Colonne1]],"[Fin de période]")),0)</f>
        <v>1</v>
      </c>
      <c r="K1103" t="e">
        <f ca="1">INDEX(INDIRECT(CONCATENATE("Tab_",Tab_Calculs[[#This Row],[Colonne1]])),Tab_Calculs[[#This Row],[index_date_livraison]]-1,6)*(MAX(Tab_Calculs[[#This Row],[Début periode livraison]],Tab_Calculs[[#This Row],[Début mois]])-Tab_Calculs[[#This Row],[Début mois]])</f>
        <v>#VALUE!</v>
      </c>
      <c r="L1103" s="94">
        <f ca="1">INDEX(INDIRECT(CONCATENATE("Tab_",Tab_Calculs[[#This Row],[Colonne1]])),Tab_Calculs[[#This Row],[index_date_livraison]],6)*(1+MIN(Tab_Calculs[[#This Row],[Date_livraison]],Tab_Calculs[[#This Row],[fin mois]])-MAX(Tab_Calculs[[#This Row],[Début mois]],Tab_Calculs[[#This Row],[Début periode livraison]]))</f>
        <v>0</v>
      </c>
      <c r="M1103" s="94" t="e">
        <f ca="1">INDEX(INDIRECT(CONCATENATE("Tab_",Tab_Calculs[[#This Row],[Colonne1]])),Tab_Calculs[[#This Row],[index_date_livraison]]+1,6)*(Tab_Calculs[[#This Row],[fin mois]]-MIN(Tab_Calculs[[#This Row],[fin mois]],Tab_Calculs[[#This Row],[Date_livraison]]))</f>
        <v>#VALUE!</v>
      </c>
      <c r="N1103" s="231" t="str">
        <f ca="1">IFERROR(Tab_Calculs[[#This Row],[Ratio_jour_après_livr]]+Tab_Calculs[[#This Row],[Ratio_jour_avant_livr]]+Tab_Calculs[[#This Row],[ratio_avant_debut]],"")</f>
        <v/>
      </c>
      <c r="O1103" t="e">
        <f ca="1">INDEX(INDIRECT(CONCATENATE("Tab_",Tab_Calculs[[#This Row],[Colonne1]])),Tab_Calculs[[#This Row],[index_date_livraison]]-1,7)*(MAX(Tab_Calculs[[#This Row],[Début periode livraison]],Tab_Calculs[[#This Row],[Début mois]])-Tab_Calculs[[#This Row],[Début mois]])</f>
        <v>#VALUE!</v>
      </c>
      <c r="P1103">
        <f ca="1">INDEX(INDIRECT(CONCATENATE("Tab_",Tab_Calculs[[#This Row],[Colonne1]])),Tab_Calculs[[#This Row],[index_date_livraison]],7)*(1+MIN(Tab_Calculs[[#This Row],[Date_livraison]],Tab_Calculs[[#This Row],[fin mois]])-MAX(Tab_Calculs[[#This Row],[Début mois]],Tab_Calculs[[#This Row],[Début periode livraison]]))</f>
        <v>0</v>
      </c>
      <c r="Q1103" t="e">
        <f ca="1">INDEX(INDIRECT(CONCATENATE("Tab_",Tab_Calculs[[#This Row],[Colonne1]])),Tab_Calculs[[#This Row],[index_date_livraison]]+1,7)*(Tab_Calculs[[#This Row],[fin mois]]-MIN(Tab_Calculs[[#This Row],[fin mois]],Tab_Calculs[[#This Row],[Date_livraison]]))</f>
        <v>#VALUE!</v>
      </c>
      <c r="R1103" t="e">
        <f ca="1">Tab_Calculs[[#This Row],[Ratio_Cout_après_livr]]+Tab_Calculs[[#This Row],[Ratio_Cout_avant_livr]]+Tab_Calculs[[#This Row],[Ratio_Cout_avant_debut]]</f>
        <v>#VALUE!</v>
      </c>
      <c r="S1103" t="str">
        <f ca="1">IFERROR(N1103*VLOOKUP(Tab_Calculs[[#This Row],[Colonne1]],Controle_des_données!$B$7:$G$14,6,FALSE),"")</f>
        <v/>
      </c>
      <c r="T1103" t="str">
        <f ca="1">IF(Tab_Calculs[[#This Row],[Combustible ]]="Electricité (kWh)",Tab_Calculs[[#This Row],[Conso_mois_kWh]]*2.3,Tab_Calculs[[#This Row],[Conso_mois_kWh]])</f>
        <v/>
      </c>
      <c r="U1103" t="str">
        <f ca="1">IFERROR(N1103*VLOOKUP(Tab_Calculs[[#This Row],[Colonne1]],Controle_des_données!$B$7:$H$14,7,FALSE),"")</f>
        <v/>
      </c>
      <c r="V1103">
        <f ca="1">IFERROR(Tab_Calculs[[#This Row],[Cout_mois]]/Tab_Calculs[[#This Row],[Conso_mois_kWh]],0)</f>
        <v>0</v>
      </c>
      <c r="W1103" t="str">
        <f>T(VLOOKUP(Tab_Calculs[[#This Row],[Compteur]],Site!$B$33:$G$40,3,FALSE))</f>
        <v/>
      </c>
      <c r="X1103" t="str">
        <f>T(VLOOKUP(Tab_Calculs[[#This Row],[Compteur]],Site!$B$33:$G$40,4,FALSE))</f>
        <v/>
      </c>
      <c r="Y1103" t="str">
        <f>T(VLOOKUP(Tab_Calculs[[#This Row],[Compteur]],Site!$B$33:$G$40,5,FALSE))</f>
        <v/>
      </c>
      <c r="Z1103" t="str">
        <f>T(VLOOKUP(Tab_Calculs[[#This Row],[Compteur]],Site!$B$33:$G$40,6,FALSE))</f>
        <v/>
      </c>
      <c r="AA1103">
        <f>IFERROR(GETPIVOTDATA("DJU(chauffagiste)",BDD_DJU!$P$13,"annee",Tab_Calculs[[#This Row],[ANNEE]],"mois_numero",Tab_Calculs[[#This Row],[MOIS]]),0)</f>
        <v>303.89999999999998</v>
      </c>
    </row>
    <row r="1104" spans="1:27" x14ac:dyDescent="0.25">
      <c r="A1104" s="3">
        <f>DATE(Tab_Calculs[[#This Row],[ANNEE]],Tab_Calculs[[#This Row],[MOIS]],1)</f>
        <v>44287</v>
      </c>
      <c r="B1104" s="3">
        <f>EDATE(Tab_Calculs[[#This Row],[Début mois]],1)-1</f>
        <v>44316</v>
      </c>
      <c r="C1104">
        <f t="shared" si="36"/>
        <v>4</v>
      </c>
      <c r="D1104">
        <f t="shared" si="37"/>
        <v>2021</v>
      </c>
      <c r="E1104" t="s">
        <v>85</v>
      </c>
      <c r="F1104" t="str">
        <f>SUBSTITUTE(Tab_Calculs[[#This Row],[Compteur]]," ","_")</f>
        <v>Compteur_6</v>
      </c>
      <c r="G1104" t="str">
        <f>T(INDEX(Site!$B$33:$G$40, MATCH(Tab_Calculs[[#This Row],[Compteur]], Site!$B$33:$B$40,0),2))</f>
        <v/>
      </c>
      <c r="H1104" s="3">
        <f t="array" aca="1" ref="H1104" ca="1">MIN(IF(INDIRECT(CONCATENATE(Tab_Calculs[[#This Row],[Colonne1]],"!$B$2:$B$243"))&gt;=Calculs_Consos!$A1104,INDIRECT(CONCATENATE(Tab_Calculs[[#This Row],[Colonne1]],"!$B$2:$B$243"))))</f>
        <v>0</v>
      </c>
      <c r="I1104" s="3">
        <f ca="1">INDEX(INDIRECT(CONCATENATE("Tab_",Tab_Calculs[[#This Row],[Colonne1]])),Tab_Calculs[[#This Row],[index_date_livraison]],1)</f>
        <v>0</v>
      </c>
      <c r="J1104">
        <f ca="1">MATCH(Tab_Calculs[[#This Row],[Date_livraison]],INDIRECT(CONCATENATE("Tab_",Tab_Calculs[[#This Row],[Colonne1]],"[Fin de période]")),0)</f>
        <v>1</v>
      </c>
      <c r="K1104" t="e">
        <f ca="1">INDEX(INDIRECT(CONCATENATE("Tab_",Tab_Calculs[[#This Row],[Colonne1]])),Tab_Calculs[[#This Row],[index_date_livraison]]-1,6)*(MAX(Tab_Calculs[[#This Row],[Début periode livraison]],Tab_Calculs[[#This Row],[Début mois]])-Tab_Calculs[[#This Row],[Début mois]])</f>
        <v>#VALUE!</v>
      </c>
      <c r="L1104" s="94">
        <f ca="1">INDEX(INDIRECT(CONCATENATE("Tab_",Tab_Calculs[[#This Row],[Colonne1]])),Tab_Calculs[[#This Row],[index_date_livraison]],6)*(1+MIN(Tab_Calculs[[#This Row],[Date_livraison]],Tab_Calculs[[#This Row],[fin mois]])-MAX(Tab_Calculs[[#This Row],[Début mois]],Tab_Calculs[[#This Row],[Début periode livraison]]))</f>
        <v>0</v>
      </c>
      <c r="M1104" s="94" t="e">
        <f ca="1">INDEX(INDIRECT(CONCATENATE("Tab_",Tab_Calculs[[#This Row],[Colonne1]])),Tab_Calculs[[#This Row],[index_date_livraison]]+1,6)*(Tab_Calculs[[#This Row],[fin mois]]-MIN(Tab_Calculs[[#This Row],[fin mois]],Tab_Calculs[[#This Row],[Date_livraison]]))</f>
        <v>#VALUE!</v>
      </c>
      <c r="N1104" s="231" t="str">
        <f ca="1">IFERROR(Tab_Calculs[[#This Row],[Ratio_jour_après_livr]]+Tab_Calculs[[#This Row],[Ratio_jour_avant_livr]]+Tab_Calculs[[#This Row],[ratio_avant_debut]],"")</f>
        <v/>
      </c>
      <c r="O1104" t="e">
        <f ca="1">INDEX(INDIRECT(CONCATENATE("Tab_",Tab_Calculs[[#This Row],[Colonne1]])),Tab_Calculs[[#This Row],[index_date_livraison]]-1,7)*(MAX(Tab_Calculs[[#This Row],[Début periode livraison]],Tab_Calculs[[#This Row],[Début mois]])-Tab_Calculs[[#This Row],[Début mois]])</f>
        <v>#VALUE!</v>
      </c>
      <c r="P1104">
        <f ca="1">INDEX(INDIRECT(CONCATENATE("Tab_",Tab_Calculs[[#This Row],[Colonne1]])),Tab_Calculs[[#This Row],[index_date_livraison]],7)*(1+MIN(Tab_Calculs[[#This Row],[Date_livraison]],Tab_Calculs[[#This Row],[fin mois]])-MAX(Tab_Calculs[[#This Row],[Début mois]],Tab_Calculs[[#This Row],[Début periode livraison]]))</f>
        <v>0</v>
      </c>
      <c r="Q1104" t="e">
        <f ca="1">INDEX(INDIRECT(CONCATENATE("Tab_",Tab_Calculs[[#This Row],[Colonne1]])),Tab_Calculs[[#This Row],[index_date_livraison]]+1,7)*(Tab_Calculs[[#This Row],[fin mois]]-MIN(Tab_Calculs[[#This Row],[fin mois]],Tab_Calculs[[#This Row],[Date_livraison]]))</f>
        <v>#VALUE!</v>
      </c>
      <c r="R1104" t="e">
        <f ca="1">Tab_Calculs[[#This Row],[Ratio_Cout_après_livr]]+Tab_Calculs[[#This Row],[Ratio_Cout_avant_livr]]+Tab_Calculs[[#This Row],[Ratio_Cout_avant_debut]]</f>
        <v>#VALUE!</v>
      </c>
      <c r="S1104" t="str">
        <f ca="1">IFERROR(N1104*VLOOKUP(Tab_Calculs[[#This Row],[Colonne1]],Controle_des_données!$B$7:$G$14,6,FALSE),"")</f>
        <v/>
      </c>
      <c r="T1104" t="str">
        <f ca="1">IF(Tab_Calculs[[#This Row],[Combustible ]]="Electricité (kWh)",Tab_Calculs[[#This Row],[Conso_mois_kWh]]*2.3,Tab_Calculs[[#This Row],[Conso_mois_kWh]])</f>
        <v/>
      </c>
      <c r="U1104" t="str">
        <f ca="1">IFERROR(N1104*VLOOKUP(Tab_Calculs[[#This Row],[Colonne1]],Controle_des_données!$B$7:$H$14,7,FALSE),"")</f>
        <v/>
      </c>
      <c r="V1104">
        <f ca="1">IFERROR(Tab_Calculs[[#This Row],[Cout_mois]]/Tab_Calculs[[#This Row],[Conso_mois_kWh]],0)</f>
        <v>0</v>
      </c>
      <c r="W1104" t="str">
        <f>T(VLOOKUP(Tab_Calculs[[#This Row],[Compteur]],Site!$B$33:$G$40,3,FALSE))</f>
        <v/>
      </c>
      <c r="X1104" t="str">
        <f>T(VLOOKUP(Tab_Calculs[[#This Row],[Compteur]],Site!$B$33:$G$40,4,FALSE))</f>
        <v/>
      </c>
      <c r="Y1104" t="str">
        <f>T(VLOOKUP(Tab_Calculs[[#This Row],[Compteur]],Site!$B$33:$G$40,5,FALSE))</f>
        <v/>
      </c>
      <c r="Z1104" t="str">
        <f>T(VLOOKUP(Tab_Calculs[[#This Row],[Compteur]],Site!$B$33:$G$40,6,FALSE))</f>
        <v/>
      </c>
      <c r="AA1104">
        <f>IFERROR(GETPIVOTDATA("DJU(chauffagiste)",BDD_DJU!$P$13,"annee",Tab_Calculs[[#This Row],[ANNEE]],"mois_numero",Tab_Calculs[[#This Row],[MOIS]]),0)</f>
        <v>242.8</v>
      </c>
    </row>
    <row r="1105" spans="1:27" x14ac:dyDescent="0.25">
      <c r="A1105" s="3">
        <f>DATE(Tab_Calculs[[#This Row],[ANNEE]],Tab_Calculs[[#This Row],[MOIS]],1)</f>
        <v>44317</v>
      </c>
      <c r="B1105" s="3">
        <f>EDATE(Tab_Calculs[[#This Row],[Début mois]],1)-1</f>
        <v>44347</v>
      </c>
      <c r="C1105">
        <f t="shared" si="36"/>
        <v>5</v>
      </c>
      <c r="D1105">
        <f t="shared" si="37"/>
        <v>2021</v>
      </c>
      <c r="E1105" t="s">
        <v>85</v>
      </c>
      <c r="F1105" t="str">
        <f>SUBSTITUTE(Tab_Calculs[[#This Row],[Compteur]]," ","_")</f>
        <v>Compteur_6</v>
      </c>
      <c r="G1105" t="str">
        <f>T(INDEX(Site!$B$33:$G$40, MATCH(Tab_Calculs[[#This Row],[Compteur]], Site!$B$33:$B$40,0),2))</f>
        <v/>
      </c>
      <c r="H1105" s="3">
        <f t="array" aca="1" ref="H1105" ca="1">MIN(IF(INDIRECT(CONCATENATE(Tab_Calculs[[#This Row],[Colonne1]],"!$B$2:$B$243"))&gt;=Calculs_Consos!$A1105,INDIRECT(CONCATENATE(Tab_Calculs[[#This Row],[Colonne1]],"!$B$2:$B$243"))))</f>
        <v>0</v>
      </c>
      <c r="I1105" s="3">
        <f ca="1">INDEX(INDIRECT(CONCATENATE("Tab_",Tab_Calculs[[#This Row],[Colonne1]])),Tab_Calculs[[#This Row],[index_date_livraison]],1)</f>
        <v>0</v>
      </c>
      <c r="J1105">
        <f ca="1">MATCH(Tab_Calculs[[#This Row],[Date_livraison]],INDIRECT(CONCATENATE("Tab_",Tab_Calculs[[#This Row],[Colonne1]],"[Fin de période]")),0)</f>
        <v>1</v>
      </c>
      <c r="K1105" t="e">
        <f ca="1">INDEX(INDIRECT(CONCATENATE("Tab_",Tab_Calculs[[#This Row],[Colonne1]])),Tab_Calculs[[#This Row],[index_date_livraison]]-1,6)*(MAX(Tab_Calculs[[#This Row],[Début periode livraison]],Tab_Calculs[[#This Row],[Début mois]])-Tab_Calculs[[#This Row],[Début mois]])</f>
        <v>#VALUE!</v>
      </c>
      <c r="L1105" s="94">
        <f ca="1">INDEX(INDIRECT(CONCATENATE("Tab_",Tab_Calculs[[#This Row],[Colonne1]])),Tab_Calculs[[#This Row],[index_date_livraison]],6)*(1+MIN(Tab_Calculs[[#This Row],[Date_livraison]],Tab_Calculs[[#This Row],[fin mois]])-MAX(Tab_Calculs[[#This Row],[Début mois]],Tab_Calculs[[#This Row],[Début periode livraison]]))</f>
        <v>0</v>
      </c>
      <c r="M1105" s="94" t="e">
        <f ca="1">INDEX(INDIRECT(CONCATENATE("Tab_",Tab_Calculs[[#This Row],[Colonne1]])),Tab_Calculs[[#This Row],[index_date_livraison]]+1,6)*(Tab_Calculs[[#This Row],[fin mois]]-MIN(Tab_Calculs[[#This Row],[fin mois]],Tab_Calculs[[#This Row],[Date_livraison]]))</f>
        <v>#VALUE!</v>
      </c>
      <c r="N1105" s="231" t="str">
        <f ca="1">IFERROR(Tab_Calculs[[#This Row],[Ratio_jour_après_livr]]+Tab_Calculs[[#This Row],[Ratio_jour_avant_livr]]+Tab_Calculs[[#This Row],[ratio_avant_debut]],"")</f>
        <v/>
      </c>
      <c r="O1105" t="e">
        <f ca="1">INDEX(INDIRECT(CONCATENATE("Tab_",Tab_Calculs[[#This Row],[Colonne1]])),Tab_Calculs[[#This Row],[index_date_livraison]]-1,7)*(MAX(Tab_Calculs[[#This Row],[Début periode livraison]],Tab_Calculs[[#This Row],[Début mois]])-Tab_Calculs[[#This Row],[Début mois]])</f>
        <v>#VALUE!</v>
      </c>
      <c r="P1105">
        <f ca="1">INDEX(INDIRECT(CONCATENATE("Tab_",Tab_Calculs[[#This Row],[Colonne1]])),Tab_Calculs[[#This Row],[index_date_livraison]],7)*(1+MIN(Tab_Calculs[[#This Row],[Date_livraison]],Tab_Calculs[[#This Row],[fin mois]])-MAX(Tab_Calculs[[#This Row],[Début mois]],Tab_Calculs[[#This Row],[Début periode livraison]]))</f>
        <v>0</v>
      </c>
      <c r="Q1105" t="e">
        <f ca="1">INDEX(INDIRECT(CONCATENATE("Tab_",Tab_Calculs[[#This Row],[Colonne1]])),Tab_Calculs[[#This Row],[index_date_livraison]]+1,7)*(Tab_Calculs[[#This Row],[fin mois]]-MIN(Tab_Calculs[[#This Row],[fin mois]],Tab_Calculs[[#This Row],[Date_livraison]]))</f>
        <v>#VALUE!</v>
      </c>
      <c r="R1105" t="e">
        <f ca="1">Tab_Calculs[[#This Row],[Ratio_Cout_après_livr]]+Tab_Calculs[[#This Row],[Ratio_Cout_avant_livr]]+Tab_Calculs[[#This Row],[Ratio_Cout_avant_debut]]</f>
        <v>#VALUE!</v>
      </c>
      <c r="S1105" t="str">
        <f ca="1">IFERROR(N1105*VLOOKUP(Tab_Calculs[[#This Row],[Colonne1]],Controle_des_données!$B$7:$G$14,6,FALSE),"")</f>
        <v/>
      </c>
      <c r="T1105" t="str">
        <f ca="1">IF(Tab_Calculs[[#This Row],[Combustible ]]="Electricité (kWh)",Tab_Calculs[[#This Row],[Conso_mois_kWh]]*2.3,Tab_Calculs[[#This Row],[Conso_mois_kWh]])</f>
        <v/>
      </c>
      <c r="U1105" t="str">
        <f ca="1">IFERROR(N1105*VLOOKUP(Tab_Calculs[[#This Row],[Colonne1]],Controle_des_données!$B$7:$H$14,7,FALSE),"")</f>
        <v/>
      </c>
      <c r="V1105">
        <f ca="1">IFERROR(Tab_Calculs[[#This Row],[Cout_mois]]/Tab_Calculs[[#This Row],[Conso_mois_kWh]],0)</f>
        <v>0</v>
      </c>
      <c r="W1105" t="str">
        <f>T(VLOOKUP(Tab_Calculs[[#This Row],[Compteur]],Site!$B$33:$G$40,3,FALSE))</f>
        <v/>
      </c>
      <c r="X1105" t="str">
        <f>T(VLOOKUP(Tab_Calculs[[#This Row],[Compteur]],Site!$B$33:$G$40,4,FALSE))</f>
        <v/>
      </c>
      <c r="Y1105" t="str">
        <f>T(VLOOKUP(Tab_Calculs[[#This Row],[Compteur]],Site!$B$33:$G$40,5,FALSE))</f>
        <v/>
      </c>
      <c r="Z1105" t="str">
        <f>T(VLOOKUP(Tab_Calculs[[#This Row],[Compteur]],Site!$B$33:$G$40,6,FALSE))</f>
        <v/>
      </c>
      <c r="AA1105">
        <f>IFERROR(GETPIVOTDATA("DJU(chauffagiste)",BDD_DJU!$P$13,"annee",Tab_Calculs[[#This Row],[ANNEE]],"mois_numero",Tab_Calculs[[#This Row],[MOIS]]),0)</f>
        <v>159.4</v>
      </c>
    </row>
    <row r="1106" spans="1:27" x14ac:dyDescent="0.25">
      <c r="A1106" s="3">
        <f>DATE(Tab_Calculs[[#This Row],[ANNEE]],Tab_Calculs[[#This Row],[MOIS]],1)</f>
        <v>44348</v>
      </c>
      <c r="B1106" s="3">
        <f>EDATE(Tab_Calculs[[#This Row],[Début mois]],1)-1</f>
        <v>44377</v>
      </c>
      <c r="C1106">
        <f t="shared" ref="C1106:C1160" si="38">C1094</f>
        <v>6</v>
      </c>
      <c r="D1106">
        <f t="shared" si="37"/>
        <v>2021</v>
      </c>
      <c r="E1106" t="s">
        <v>85</v>
      </c>
      <c r="F1106" t="str">
        <f>SUBSTITUTE(Tab_Calculs[[#This Row],[Compteur]]," ","_")</f>
        <v>Compteur_6</v>
      </c>
      <c r="G1106" t="str">
        <f>T(INDEX(Site!$B$33:$G$40, MATCH(Tab_Calculs[[#This Row],[Compteur]], Site!$B$33:$B$40,0),2))</f>
        <v/>
      </c>
      <c r="H1106" s="3">
        <f t="array" aca="1" ref="H1106" ca="1">MIN(IF(INDIRECT(CONCATENATE(Tab_Calculs[[#This Row],[Colonne1]],"!$B$2:$B$243"))&gt;=Calculs_Consos!$A1106,INDIRECT(CONCATENATE(Tab_Calculs[[#This Row],[Colonne1]],"!$B$2:$B$243"))))</f>
        <v>0</v>
      </c>
      <c r="I1106" s="3">
        <f ca="1">INDEX(INDIRECT(CONCATENATE("Tab_",Tab_Calculs[[#This Row],[Colonne1]])),Tab_Calculs[[#This Row],[index_date_livraison]],1)</f>
        <v>0</v>
      </c>
      <c r="J1106">
        <f ca="1">MATCH(Tab_Calculs[[#This Row],[Date_livraison]],INDIRECT(CONCATENATE("Tab_",Tab_Calculs[[#This Row],[Colonne1]],"[Fin de période]")),0)</f>
        <v>1</v>
      </c>
      <c r="K1106" t="e">
        <f ca="1">INDEX(INDIRECT(CONCATENATE("Tab_",Tab_Calculs[[#This Row],[Colonne1]])),Tab_Calculs[[#This Row],[index_date_livraison]]-1,6)*(MAX(Tab_Calculs[[#This Row],[Début periode livraison]],Tab_Calculs[[#This Row],[Début mois]])-Tab_Calculs[[#This Row],[Début mois]])</f>
        <v>#VALUE!</v>
      </c>
      <c r="L1106" s="94">
        <f ca="1">INDEX(INDIRECT(CONCATENATE("Tab_",Tab_Calculs[[#This Row],[Colonne1]])),Tab_Calculs[[#This Row],[index_date_livraison]],6)*(1+MIN(Tab_Calculs[[#This Row],[Date_livraison]],Tab_Calculs[[#This Row],[fin mois]])-MAX(Tab_Calculs[[#This Row],[Début mois]],Tab_Calculs[[#This Row],[Début periode livraison]]))</f>
        <v>0</v>
      </c>
      <c r="M1106" s="94" t="e">
        <f ca="1">INDEX(INDIRECT(CONCATENATE("Tab_",Tab_Calculs[[#This Row],[Colonne1]])),Tab_Calculs[[#This Row],[index_date_livraison]]+1,6)*(Tab_Calculs[[#This Row],[fin mois]]-MIN(Tab_Calculs[[#This Row],[fin mois]],Tab_Calculs[[#This Row],[Date_livraison]]))</f>
        <v>#VALUE!</v>
      </c>
      <c r="N1106" s="231" t="str">
        <f ca="1">IFERROR(Tab_Calculs[[#This Row],[Ratio_jour_après_livr]]+Tab_Calculs[[#This Row],[Ratio_jour_avant_livr]]+Tab_Calculs[[#This Row],[ratio_avant_debut]],"")</f>
        <v/>
      </c>
      <c r="O1106" t="e">
        <f ca="1">INDEX(INDIRECT(CONCATENATE("Tab_",Tab_Calculs[[#This Row],[Colonne1]])),Tab_Calculs[[#This Row],[index_date_livraison]]-1,7)*(MAX(Tab_Calculs[[#This Row],[Début periode livraison]],Tab_Calculs[[#This Row],[Début mois]])-Tab_Calculs[[#This Row],[Début mois]])</f>
        <v>#VALUE!</v>
      </c>
      <c r="P1106">
        <f ca="1">INDEX(INDIRECT(CONCATENATE("Tab_",Tab_Calculs[[#This Row],[Colonne1]])),Tab_Calculs[[#This Row],[index_date_livraison]],7)*(1+MIN(Tab_Calculs[[#This Row],[Date_livraison]],Tab_Calculs[[#This Row],[fin mois]])-MAX(Tab_Calculs[[#This Row],[Début mois]],Tab_Calculs[[#This Row],[Début periode livraison]]))</f>
        <v>0</v>
      </c>
      <c r="Q1106" t="e">
        <f ca="1">INDEX(INDIRECT(CONCATENATE("Tab_",Tab_Calculs[[#This Row],[Colonne1]])),Tab_Calculs[[#This Row],[index_date_livraison]]+1,7)*(Tab_Calculs[[#This Row],[fin mois]]-MIN(Tab_Calculs[[#This Row],[fin mois]],Tab_Calculs[[#This Row],[Date_livraison]]))</f>
        <v>#VALUE!</v>
      </c>
      <c r="R1106" t="e">
        <f ca="1">Tab_Calculs[[#This Row],[Ratio_Cout_après_livr]]+Tab_Calculs[[#This Row],[Ratio_Cout_avant_livr]]+Tab_Calculs[[#This Row],[Ratio_Cout_avant_debut]]</f>
        <v>#VALUE!</v>
      </c>
      <c r="S1106" t="str">
        <f ca="1">IFERROR(N1106*VLOOKUP(Tab_Calculs[[#This Row],[Colonne1]],Controle_des_données!$B$7:$G$14,6,FALSE),"")</f>
        <v/>
      </c>
      <c r="T1106" t="str">
        <f ca="1">IF(Tab_Calculs[[#This Row],[Combustible ]]="Electricité (kWh)",Tab_Calculs[[#This Row],[Conso_mois_kWh]]*2.3,Tab_Calculs[[#This Row],[Conso_mois_kWh]])</f>
        <v/>
      </c>
      <c r="U1106" t="str">
        <f ca="1">IFERROR(N1106*VLOOKUP(Tab_Calculs[[#This Row],[Colonne1]],Controle_des_données!$B$7:$H$14,7,FALSE),"")</f>
        <v/>
      </c>
      <c r="V1106">
        <f ca="1">IFERROR(Tab_Calculs[[#This Row],[Cout_mois]]/Tab_Calculs[[#This Row],[Conso_mois_kWh]],0)</f>
        <v>0</v>
      </c>
      <c r="W1106" t="str">
        <f>T(VLOOKUP(Tab_Calculs[[#This Row],[Compteur]],Site!$B$33:$G$40,3,FALSE))</f>
        <v/>
      </c>
      <c r="X1106" t="str">
        <f>T(VLOOKUP(Tab_Calculs[[#This Row],[Compteur]],Site!$B$33:$G$40,4,FALSE))</f>
        <v/>
      </c>
      <c r="Y1106" t="str">
        <f>T(VLOOKUP(Tab_Calculs[[#This Row],[Compteur]],Site!$B$33:$G$40,5,FALSE))</f>
        <v/>
      </c>
      <c r="Z1106" t="str">
        <f>T(VLOOKUP(Tab_Calculs[[#This Row],[Compteur]],Site!$B$33:$G$40,6,FALSE))</f>
        <v/>
      </c>
      <c r="AA1106">
        <f>IFERROR(GETPIVOTDATA("DJU(chauffagiste)",BDD_DJU!$P$13,"annee",Tab_Calculs[[#This Row],[ANNEE]],"mois_numero",Tab_Calculs[[#This Row],[MOIS]]),0)</f>
        <v>29.9</v>
      </c>
    </row>
    <row r="1107" spans="1:27" x14ac:dyDescent="0.25">
      <c r="A1107" s="3">
        <f>DATE(Tab_Calculs[[#This Row],[ANNEE]],Tab_Calculs[[#This Row],[MOIS]],1)</f>
        <v>44378</v>
      </c>
      <c r="B1107" s="3">
        <f>EDATE(Tab_Calculs[[#This Row],[Début mois]],1)-1</f>
        <v>44408</v>
      </c>
      <c r="C1107">
        <f t="shared" si="38"/>
        <v>7</v>
      </c>
      <c r="D1107">
        <f t="shared" si="37"/>
        <v>2021</v>
      </c>
      <c r="E1107" t="s">
        <v>85</v>
      </c>
      <c r="F1107" t="str">
        <f>SUBSTITUTE(Tab_Calculs[[#This Row],[Compteur]]," ","_")</f>
        <v>Compteur_6</v>
      </c>
      <c r="G1107" t="str">
        <f>T(INDEX(Site!$B$33:$G$40, MATCH(Tab_Calculs[[#This Row],[Compteur]], Site!$B$33:$B$40,0),2))</f>
        <v/>
      </c>
      <c r="H1107" s="3">
        <f t="array" aca="1" ref="H1107" ca="1">MIN(IF(INDIRECT(CONCATENATE(Tab_Calculs[[#This Row],[Colonne1]],"!$B$2:$B$243"))&gt;=Calculs_Consos!$A1107,INDIRECT(CONCATENATE(Tab_Calculs[[#This Row],[Colonne1]],"!$B$2:$B$243"))))</f>
        <v>0</v>
      </c>
      <c r="I1107" s="3">
        <f ca="1">INDEX(INDIRECT(CONCATENATE("Tab_",Tab_Calculs[[#This Row],[Colonne1]])),Tab_Calculs[[#This Row],[index_date_livraison]],1)</f>
        <v>0</v>
      </c>
      <c r="J1107">
        <f ca="1">MATCH(Tab_Calculs[[#This Row],[Date_livraison]],INDIRECT(CONCATENATE("Tab_",Tab_Calculs[[#This Row],[Colonne1]],"[Fin de période]")),0)</f>
        <v>1</v>
      </c>
      <c r="K1107" t="e">
        <f ca="1">INDEX(INDIRECT(CONCATENATE("Tab_",Tab_Calculs[[#This Row],[Colonne1]])),Tab_Calculs[[#This Row],[index_date_livraison]]-1,6)*(MAX(Tab_Calculs[[#This Row],[Début periode livraison]],Tab_Calculs[[#This Row],[Début mois]])-Tab_Calculs[[#This Row],[Début mois]])</f>
        <v>#VALUE!</v>
      </c>
      <c r="L1107" s="94">
        <f ca="1">INDEX(INDIRECT(CONCATENATE("Tab_",Tab_Calculs[[#This Row],[Colonne1]])),Tab_Calculs[[#This Row],[index_date_livraison]],6)*(1+MIN(Tab_Calculs[[#This Row],[Date_livraison]],Tab_Calculs[[#This Row],[fin mois]])-MAX(Tab_Calculs[[#This Row],[Début mois]],Tab_Calculs[[#This Row],[Début periode livraison]]))</f>
        <v>0</v>
      </c>
      <c r="M1107" s="94" t="e">
        <f ca="1">INDEX(INDIRECT(CONCATENATE("Tab_",Tab_Calculs[[#This Row],[Colonne1]])),Tab_Calculs[[#This Row],[index_date_livraison]]+1,6)*(Tab_Calculs[[#This Row],[fin mois]]-MIN(Tab_Calculs[[#This Row],[fin mois]],Tab_Calculs[[#This Row],[Date_livraison]]))</f>
        <v>#VALUE!</v>
      </c>
      <c r="N1107" s="231" t="str">
        <f ca="1">IFERROR(Tab_Calculs[[#This Row],[Ratio_jour_après_livr]]+Tab_Calculs[[#This Row],[Ratio_jour_avant_livr]]+Tab_Calculs[[#This Row],[ratio_avant_debut]],"")</f>
        <v/>
      </c>
      <c r="O1107" t="e">
        <f ca="1">INDEX(INDIRECT(CONCATENATE("Tab_",Tab_Calculs[[#This Row],[Colonne1]])),Tab_Calculs[[#This Row],[index_date_livraison]]-1,7)*(MAX(Tab_Calculs[[#This Row],[Début periode livraison]],Tab_Calculs[[#This Row],[Début mois]])-Tab_Calculs[[#This Row],[Début mois]])</f>
        <v>#VALUE!</v>
      </c>
      <c r="P1107">
        <f ca="1">INDEX(INDIRECT(CONCATENATE("Tab_",Tab_Calculs[[#This Row],[Colonne1]])),Tab_Calculs[[#This Row],[index_date_livraison]],7)*(1+MIN(Tab_Calculs[[#This Row],[Date_livraison]],Tab_Calculs[[#This Row],[fin mois]])-MAX(Tab_Calculs[[#This Row],[Début mois]],Tab_Calculs[[#This Row],[Début periode livraison]]))</f>
        <v>0</v>
      </c>
      <c r="Q1107" t="e">
        <f ca="1">INDEX(INDIRECT(CONCATENATE("Tab_",Tab_Calculs[[#This Row],[Colonne1]])),Tab_Calculs[[#This Row],[index_date_livraison]]+1,7)*(Tab_Calculs[[#This Row],[fin mois]]-MIN(Tab_Calculs[[#This Row],[fin mois]],Tab_Calculs[[#This Row],[Date_livraison]]))</f>
        <v>#VALUE!</v>
      </c>
      <c r="R1107" t="e">
        <f ca="1">Tab_Calculs[[#This Row],[Ratio_Cout_après_livr]]+Tab_Calculs[[#This Row],[Ratio_Cout_avant_livr]]+Tab_Calculs[[#This Row],[Ratio_Cout_avant_debut]]</f>
        <v>#VALUE!</v>
      </c>
      <c r="S1107" t="str">
        <f ca="1">IFERROR(N1107*VLOOKUP(Tab_Calculs[[#This Row],[Colonne1]],Controle_des_données!$B$7:$G$14,6,FALSE),"")</f>
        <v/>
      </c>
      <c r="T1107" t="str">
        <f ca="1">IF(Tab_Calculs[[#This Row],[Combustible ]]="Electricité (kWh)",Tab_Calculs[[#This Row],[Conso_mois_kWh]]*2.3,Tab_Calculs[[#This Row],[Conso_mois_kWh]])</f>
        <v/>
      </c>
      <c r="U1107" t="str">
        <f ca="1">IFERROR(N1107*VLOOKUP(Tab_Calculs[[#This Row],[Colonne1]],Controle_des_données!$B$7:$H$14,7,FALSE),"")</f>
        <v/>
      </c>
      <c r="V1107">
        <f ca="1">IFERROR(Tab_Calculs[[#This Row],[Cout_mois]]/Tab_Calculs[[#This Row],[Conso_mois_kWh]],0)</f>
        <v>0</v>
      </c>
      <c r="W1107" t="str">
        <f>T(VLOOKUP(Tab_Calculs[[#This Row],[Compteur]],Site!$B$33:$G$40,3,FALSE))</f>
        <v/>
      </c>
      <c r="X1107" t="str">
        <f>T(VLOOKUP(Tab_Calculs[[#This Row],[Compteur]],Site!$B$33:$G$40,4,FALSE))</f>
        <v/>
      </c>
      <c r="Y1107" t="str">
        <f>T(VLOOKUP(Tab_Calculs[[#This Row],[Compteur]],Site!$B$33:$G$40,5,FALSE))</f>
        <v/>
      </c>
      <c r="Z1107" t="str">
        <f>T(VLOOKUP(Tab_Calculs[[#This Row],[Compteur]],Site!$B$33:$G$40,6,FALSE))</f>
        <v/>
      </c>
      <c r="AA1107">
        <f>IFERROR(GETPIVOTDATA("DJU(chauffagiste)",BDD_DJU!$P$13,"annee",Tab_Calculs[[#This Row],[ANNEE]],"mois_numero",Tab_Calculs[[#This Row],[MOIS]]),0)</f>
        <v>22.4</v>
      </c>
    </row>
    <row r="1108" spans="1:27" x14ac:dyDescent="0.25">
      <c r="A1108" s="3">
        <f>DATE(Tab_Calculs[[#This Row],[ANNEE]],Tab_Calculs[[#This Row],[MOIS]],1)</f>
        <v>44409</v>
      </c>
      <c r="B1108" s="3">
        <f>EDATE(Tab_Calculs[[#This Row],[Début mois]],1)-1</f>
        <v>44439</v>
      </c>
      <c r="C1108">
        <f t="shared" si="38"/>
        <v>8</v>
      </c>
      <c r="D1108">
        <f t="shared" si="37"/>
        <v>2021</v>
      </c>
      <c r="E1108" t="s">
        <v>85</v>
      </c>
      <c r="F1108" t="str">
        <f>SUBSTITUTE(Tab_Calculs[[#This Row],[Compteur]]," ","_")</f>
        <v>Compteur_6</v>
      </c>
      <c r="G1108" t="str">
        <f>T(INDEX(Site!$B$33:$G$40, MATCH(Tab_Calculs[[#This Row],[Compteur]], Site!$B$33:$B$40,0),2))</f>
        <v/>
      </c>
      <c r="H1108" s="3">
        <f t="array" aca="1" ref="H1108" ca="1">MIN(IF(INDIRECT(CONCATENATE(Tab_Calculs[[#This Row],[Colonne1]],"!$B$2:$B$243"))&gt;=Calculs_Consos!$A1108,INDIRECT(CONCATENATE(Tab_Calculs[[#This Row],[Colonne1]],"!$B$2:$B$243"))))</f>
        <v>0</v>
      </c>
      <c r="I1108" s="3">
        <f ca="1">INDEX(INDIRECT(CONCATENATE("Tab_",Tab_Calculs[[#This Row],[Colonne1]])),Tab_Calculs[[#This Row],[index_date_livraison]],1)</f>
        <v>0</v>
      </c>
      <c r="J1108">
        <f ca="1">MATCH(Tab_Calculs[[#This Row],[Date_livraison]],INDIRECT(CONCATENATE("Tab_",Tab_Calculs[[#This Row],[Colonne1]],"[Fin de période]")),0)</f>
        <v>1</v>
      </c>
      <c r="K1108" t="e">
        <f ca="1">INDEX(INDIRECT(CONCATENATE("Tab_",Tab_Calculs[[#This Row],[Colonne1]])),Tab_Calculs[[#This Row],[index_date_livraison]]-1,6)*(MAX(Tab_Calculs[[#This Row],[Début periode livraison]],Tab_Calculs[[#This Row],[Début mois]])-Tab_Calculs[[#This Row],[Début mois]])</f>
        <v>#VALUE!</v>
      </c>
      <c r="L1108" s="94">
        <f ca="1">INDEX(INDIRECT(CONCATENATE("Tab_",Tab_Calculs[[#This Row],[Colonne1]])),Tab_Calculs[[#This Row],[index_date_livraison]],6)*(1+MIN(Tab_Calculs[[#This Row],[Date_livraison]],Tab_Calculs[[#This Row],[fin mois]])-MAX(Tab_Calculs[[#This Row],[Début mois]],Tab_Calculs[[#This Row],[Début periode livraison]]))</f>
        <v>0</v>
      </c>
      <c r="M1108" s="94" t="e">
        <f ca="1">INDEX(INDIRECT(CONCATENATE("Tab_",Tab_Calculs[[#This Row],[Colonne1]])),Tab_Calculs[[#This Row],[index_date_livraison]]+1,6)*(Tab_Calculs[[#This Row],[fin mois]]-MIN(Tab_Calculs[[#This Row],[fin mois]],Tab_Calculs[[#This Row],[Date_livraison]]))</f>
        <v>#VALUE!</v>
      </c>
      <c r="N1108" s="231" t="str">
        <f ca="1">IFERROR(Tab_Calculs[[#This Row],[Ratio_jour_après_livr]]+Tab_Calculs[[#This Row],[Ratio_jour_avant_livr]]+Tab_Calculs[[#This Row],[ratio_avant_debut]],"")</f>
        <v/>
      </c>
      <c r="O1108" t="e">
        <f ca="1">INDEX(INDIRECT(CONCATENATE("Tab_",Tab_Calculs[[#This Row],[Colonne1]])),Tab_Calculs[[#This Row],[index_date_livraison]]-1,7)*(MAX(Tab_Calculs[[#This Row],[Début periode livraison]],Tab_Calculs[[#This Row],[Début mois]])-Tab_Calculs[[#This Row],[Début mois]])</f>
        <v>#VALUE!</v>
      </c>
      <c r="P1108">
        <f ca="1">INDEX(INDIRECT(CONCATENATE("Tab_",Tab_Calculs[[#This Row],[Colonne1]])),Tab_Calculs[[#This Row],[index_date_livraison]],7)*(1+MIN(Tab_Calculs[[#This Row],[Date_livraison]],Tab_Calculs[[#This Row],[fin mois]])-MAX(Tab_Calculs[[#This Row],[Début mois]],Tab_Calculs[[#This Row],[Début periode livraison]]))</f>
        <v>0</v>
      </c>
      <c r="Q1108" t="e">
        <f ca="1">INDEX(INDIRECT(CONCATENATE("Tab_",Tab_Calculs[[#This Row],[Colonne1]])),Tab_Calculs[[#This Row],[index_date_livraison]]+1,7)*(Tab_Calculs[[#This Row],[fin mois]]-MIN(Tab_Calculs[[#This Row],[fin mois]],Tab_Calculs[[#This Row],[Date_livraison]]))</f>
        <v>#VALUE!</v>
      </c>
      <c r="R1108" t="e">
        <f ca="1">Tab_Calculs[[#This Row],[Ratio_Cout_après_livr]]+Tab_Calculs[[#This Row],[Ratio_Cout_avant_livr]]+Tab_Calculs[[#This Row],[Ratio_Cout_avant_debut]]</f>
        <v>#VALUE!</v>
      </c>
      <c r="S1108" t="str">
        <f ca="1">IFERROR(N1108*VLOOKUP(Tab_Calculs[[#This Row],[Colonne1]],Controle_des_données!$B$7:$G$14,6,FALSE),"")</f>
        <v/>
      </c>
      <c r="T1108" t="str">
        <f ca="1">IF(Tab_Calculs[[#This Row],[Combustible ]]="Electricité (kWh)",Tab_Calculs[[#This Row],[Conso_mois_kWh]]*2.3,Tab_Calculs[[#This Row],[Conso_mois_kWh]])</f>
        <v/>
      </c>
      <c r="U1108" t="str">
        <f ca="1">IFERROR(N1108*VLOOKUP(Tab_Calculs[[#This Row],[Colonne1]],Controle_des_données!$B$7:$H$14,7,FALSE),"")</f>
        <v/>
      </c>
      <c r="V1108">
        <f ca="1">IFERROR(Tab_Calculs[[#This Row],[Cout_mois]]/Tab_Calculs[[#This Row],[Conso_mois_kWh]],0)</f>
        <v>0</v>
      </c>
      <c r="W1108" t="str">
        <f>T(VLOOKUP(Tab_Calculs[[#This Row],[Compteur]],Site!$B$33:$G$40,3,FALSE))</f>
        <v/>
      </c>
      <c r="X1108" t="str">
        <f>T(VLOOKUP(Tab_Calculs[[#This Row],[Compteur]],Site!$B$33:$G$40,4,FALSE))</f>
        <v/>
      </c>
      <c r="Y1108" t="str">
        <f>T(VLOOKUP(Tab_Calculs[[#This Row],[Compteur]],Site!$B$33:$G$40,5,FALSE))</f>
        <v/>
      </c>
      <c r="Z1108" t="str">
        <f>T(VLOOKUP(Tab_Calculs[[#This Row],[Compteur]],Site!$B$33:$G$40,6,FALSE))</f>
        <v/>
      </c>
      <c r="AA1108">
        <f>IFERROR(GETPIVOTDATA("DJU(chauffagiste)",BDD_DJU!$P$13,"annee",Tab_Calculs[[#This Row],[ANNEE]],"mois_numero",Tab_Calculs[[#This Row],[MOIS]]),0)</f>
        <v>35.9</v>
      </c>
    </row>
    <row r="1109" spans="1:27" x14ac:dyDescent="0.25">
      <c r="A1109" s="3">
        <f>DATE(Tab_Calculs[[#This Row],[ANNEE]],Tab_Calculs[[#This Row],[MOIS]],1)</f>
        <v>44440</v>
      </c>
      <c r="B1109" s="3">
        <f>EDATE(Tab_Calculs[[#This Row],[Début mois]],1)-1</f>
        <v>44469</v>
      </c>
      <c r="C1109">
        <f t="shared" si="38"/>
        <v>9</v>
      </c>
      <c r="D1109">
        <f t="shared" si="37"/>
        <v>2021</v>
      </c>
      <c r="E1109" t="s">
        <v>85</v>
      </c>
      <c r="F1109" t="str">
        <f>SUBSTITUTE(Tab_Calculs[[#This Row],[Compteur]]," ","_")</f>
        <v>Compteur_6</v>
      </c>
      <c r="G1109" t="str">
        <f>T(INDEX(Site!$B$33:$G$40, MATCH(Tab_Calculs[[#This Row],[Compteur]], Site!$B$33:$B$40,0),2))</f>
        <v/>
      </c>
      <c r="H1109" s="3">
        <f t="array" aca="1" ref="H1109" ca="1">MIN(IF(INDIRECT(CONCATENATE(Tab_Calculs[[#This Row],[Colonne1]],"!$B$2:$B$243"))&gt;=Calculs_Consos!$A1109,INDIRECT(CONCATENATE(Tab_Calculs[[#This Row],[Colonne1]],"!$B$2:$B$243"))))</f>
        <v>0</v>
      </c>
      <c r="I1109" s="3">
        <f ca="1">INDEX(INDIRECT(CONCATENATE("Tab_",Tab_Calculs[[#This Row],[Colonne1]])),Tab_Calculs[[#This Row],[index_date_livraison]],1)</f>
        <v>0</v>
      </c>
      <c r="J1109">
        <f ca="1">MATCH(Tab_Calculs[[#This Row],[Date_livraison]],INDIRECT(CONCATENATE("Tab_",Tab_Calculs[[#This Row],[Colonne1]],"[Fin de période]")),0)</f>
        <v>1</v>
      </c>
      <c r="K1109" t="e">
        <f ca="1">INDEX(INDIRECT(CONCATENATE("Tab_",Tab_Calculs[[#This Row],[Colonne1]])),Tab_Calculs[[#This Row],[index_date_livraison]]-1,6)*(MAX(Tab_Calculs[[#This Row],[Début periode livraison]],Tab_Calculs[[#This Row],[Début mois]])-Tab_Calculs[[#This Row],[Début mois]])</f>
        <v>#VALUE!</v>
      </c>
      <c r="L1109" s="94">
        <f ca="1">INDEX(INDIRECT(CONCATENATE("Tab_",Tab_Calculs[[#This Row],[Colonne1]])),Tab_Calculs[[#This Row],[index_date_livraison]],6)*(1+MIN(Tab_Calculs[[#This Row],[Date_livraison]],Tab_Calculs[[#This Row],[fin mois]])-MAX(Tab_Calculs[[#This Row],[Début mois]],Tab_Calculs[[#This Row],[Début periode livraison]]))</f>
        <v>0</v>
      </c>
      <c r="M1109" s="94" t="e">
        <f ca="1">INDEX(INDIRECT(CONCATENATE("Tab_",Tab_Calculs[[#This Row],[Colonne1]])),Tab_Calculs[[#This Row],[index_date_livraison]]+1,6)*(Tab_Calculs[[#This Row],[fin mois]]-MIN(Tab_Calculs[[#This Row],[fin mois]],Tab_Calculs[[#This Row],[Date_livraison]]))</f>
        <v>#VALUE!</v>
      </c>
      <c r="N1109" s="231" t="str">
        <f ca="1">IFERROR(Tab_Calculs[[#This Row],[Ratio_jour_après_livr]]+Tab_Calculs[[#This Row],[Ratio_jour_avant_livr]]+Tab_Calculs[[#This Row],[ratio_avant_debut]],"")</f>
        <v/>
      </c>
      <c r="O1109" t="e">
        <f ca="1">INDEX(INDIRECT(CONCATENATE("Tab_",Tab_Calculs[[#This Row],[Colonne1]])),Tab_Calculs[[#This Row],[index_date_livraison]]-1,7)*(MAX(Tab_Calculs[[#This Row],[Début periode livraison]],Tab_Calculs[[#This Row],[Début mois]])-Tab_Calculs[[#This Row],[Début mois]])</f>
        <v>#VALUE!</v>
      </c>
      <c r="P1109">
        <f ca="1">INDEX(INDIRECT(CONCATENATE("Tab_",Tab_Calculs[[#This Row],[Colonne1]])),Tab_Calculs[[#This Row],[index_date_livraison]],7)*(1+MIN(Tab_Calculs[[#This Row],[Date_livraison]],Tab_Calculs[[#This Row],[fin mois]])-MAX(Tab_Calculs[[#This Row],[Début mois]],Tab_Calculs[[#This Row],[Début periode livraison]]))</f>
        <v>0</v>
      </c>
      <c r="Q1109" t="e">
        <f ca="1">INDEX(INDIRECT(CONCATENATE("Tab_",Tab_Calculs[[#This Row],[Colonne1]])),Tab_Calculs[[#This Row],[index_date_livraison]]+1,7)*(Tab_Calculs[[#This Row],[fin mois]]-MIN(Tab_Calculs[[#This Row],[fin mois]],Tab_Calculs[[#This Row],[Date_livraison]]))</f>
        <v>#VALUE!</v>
      </c>
      <c r="R1109" t="e">
        <f ca="1">Tab_Calculs[[#This Row],[Ratio_Cout_après_livr]]+Tab_Calculs[[#This Row],[Ratio_Cout_avant_livr]]+Tab_Calculs[[#This Row],[Ratio_Cout_avant_debut]]</f>
        <v>#VALUE!</v>
      </c>
      <c r="S1109" t="str">
        <f ca="1">IFERROR(N1109*VLOOKUP(Tab_Calculs[[#This Row],[Colonne1]],Controle_des_données!$B$7:$G$14,6,FALSE),"")</f>
        <v/>
      </c>
      <c r="T1109" t="str">
        <f ca="1">IF(Tab_Calculs[[#This Row],[Combustible ]]="Electricité (kWh)",Tab_Calculs[[#This Row],[Conso_mois_kWh]]*2.3,Tab_Calculs[[#This Row],[Conso_mois_kWh]])</f>
        <v/>
      </c>
      <c r="U1109" t="str">
        <f ca="1">IFERROR(N1109*VLOOKUP(Tab_Calculs[[#This Row],[Colonne1]],Controle_des_données!$B$7:$H$14,7,FALSE),"")</f>
        <v/>
      </c>
      <c r="V1109">
        <f ca="1">IFERROR(Tab_Calculs[[#This Row],[Cout_mois]]/Tab_Calculs[[#This Row],[Conso_mois_kWh]],0)</f>
        <v>0</v>
      </c>
      <c r="W1109" t="str">
        <f>T(VLOOKUP(Tab_Calculs[[#This Row],[Compteur]],Site!$B$33:$G$40,3,FALSE))</f>
        <v/>
      </c>
      <c r="X1109" t="str">
        <f>T(VLOOKUP(Tab_Calculs[[#This Row],[Compteur]],Site!$B$33:$G$40,4,FALSE))</f>
        <v/>
      </c>
      <c r="Y1109" t="str">
        <f>T(VLOOKUP(Tab_Calculs[[#This Row],[Compteur]],Site!$B$33:$G$40,5,FALSE))</f>
        <v/>
      </c>
      <c r="Z1109" t="str">
        <f>T(VLOOKUP(Tab_Calculs[[#This Row],[Compteur]],Site!$B$33:$G$40,6,FALSE))</f>
        <v/>
      </c>
      <c r="AA1109">
        <f>IFERROR(GETPIVOTDATA("DJU(chauffagiste)",BDD_DJU!$P$13,"annee",Tab_Calculs[[#This Row],[ANNEE]],"mois_numero",Tab_Calculs[[#This Row],[MOIS]]),0)</f>
        <v>47.8</v>
      </c>
    </row>
    <row r="1110" spans="1:27" x14ac:dyDescent="0.25">
      <c r="A1110" s="3">
        <f>DATE(Tab_Calculs[[#This Row],[ANNEE]],Tab_Calculs[[#This Row],[MOIS]],1)</f>
        <v>44470</v>
      </c>
      <c r="B1110" s="3">
        <f>EDATE(Tab_Calculs[[#This Row],[Début mois]],1)-1</f>
        <v>44500</v>
      </c>
      <c r="C1110">
        <f t="shared" si="38"/>
        <v>10</v>
      </c>
      <c r="D1110">
        <f t="shared" si="37"/>
        <v>2021</v>
      </c>
      <c r="E1110" t="s">
        <v>85</v>
      </c>
      <c r="F1110" t="str">
        <f>SUBSTITUTE(Tab_Calculs[[#This Row],[Compteur]]," ","_")</f>
        <v>Compteur_6</v>
      </c>
      <c r="G1110" t="str">
        <f>T(INDEX(Site!$B$33:$G$40, MATCH(Tab_Calculs[[#This Row],[Compteur]], Site!$B$33:$B$40,0),2))</f>
        <v/>
      </c>
      <c r="H1110" s="3">
        <f t="array" aca="1" ref="H1110" ca="1">MIN(IF(INDIRECT(CONCATENATE(Tab_Calculs[[#This Row],[Colonne1]],"!$B$2:$B$243"))&gt;=Calculs_Consos!$A1110,INDIRECT(CONCATENATE(Tab_Calculs[[#This Row],[Colonne1]],"!$B$2:$B$243"))))</f>
        <v>0</v>
      </c>
      <c r="I1110" s="3">
        <f ca="1">INDEX(INDIRECT(CONCATENATE("Tab_",Tab_Calculs[[#This Row],[Colonne1]])),Tab_Calculs[[#This Row],[index_date_livraison]],1)</f>
        <v>0</v>
      </c>
      <c r="J1110">
        <f ca="1">MATCH(Tab_Calculs[[#This Row],[Date_livraison]],INDIRECT(CONCATENATE("Tab_",Tab_Calculs[[#This Row],[Colonne1]],"[Fin de période]")),0)</f>
        <v>1</v>
      </c>
      <c r="K1110" t="e">
        <f ca="1">INDEX(INDIRECT(CONCATENATE("Tab_",Tab_Calculs[[#This Row],[Colonne1]])),Tab_Calculs[[#This Row],[index_date_livraison]]-1,6)*(MAX(Tab_Calculs[[#This Row],[Début periode livraison]],Tab_Calculs[[#This Row],[Début mois]])-Tab_Calculs[[#This Row],[Début mois]])</f>
        <v>#VALUE!</v>
      </c>
      <c r="L1110" s="94">
        <f ca="1">INDEX(INDIRECT(CONCATENATE("Tab_",Tab_Calculs[[#This Row],[Colonne1]])),Tab_Calculs[[#This Row],[index_date_livraison]],6)*(1+MIN(Tab_Calculs[[#This Row],[Date_livraison]],Tab_Calculs[[#This Row],[fin mois]])-MAX(Tab_Calculs[[#This Row],[Début mois]],Tab_Calculs[[#This Row],[Début periode livraison]]))</f>
        <v>0</v>
      </c>
      <c r="M1110" s="94" t="e">
        <f ca="1">INDEX(INDIRECT(CONCATENATE("Tab_",Tab_Calculs[[#This Row],[Colonne1]])),Tab_Calculs[[#This Row],[index_date_livraison]]+1,6)*(Tab_Calculs[[#This Row],[fin mois]]-MIN(Tab_Calculs[[#This Row],[fin mois]],Tab_Calculs[[#This Row],[Date_livraison]]))</f>
        <v>#VALUE!</v>
      </c>
      <c r="N1110" s="231" t="str">
        <f ca="1">IFERROR(Tab_Calculs[[#This Row],[Ratio_jour_après_livr]]+Tab_Calculs[[#This Row],[Ratio_jour_avant_livr]]+Tab_Calculs[[#This Row],[ratio_avant_debut]],"")</f>
        <v/>
      </c>
      <c r="O1110" t="e">
        <f ca="1">INDEX(INDIRECT(CONCATENATE("Tab_",Tab_Calculs[[#This Row],[Colonne1]])),Tab_Calculs[[#This Row],[index_date_livraison]]-1,7)*(MAX(Tab_Calculs[[#This Row],[Début periode livraison]],Tab_Calculs[[#This Row],[Début mois]])-Tab_Calculs[[#This Row],[Début mois]])</f>
        <v>#VALUE!</v>
      </c>
      <c r="P1110">
        <f ca="1">INDEX(INDIRECT(CONCATENATE("Tab_",Tab_Calculs[[#This Row],[Colonne1]])),Tab_Calculs[[#This Row],[index_date_livraison]],7)*(1+MIN(Tab_Calculs[[#This Row],[Date_livraison]],Tab_Calculs[[#This Row],[fin mois]])-MAX(Tab_Calculs[[#This Row],[Début mois]],Tab_Calculs[[#This Row],[Début periode livraison]]))</f>
        <v>0</v>
      </c>
      <c r="Q1110" t="e">
        <f ca="1">INDEX(INDIRECT(CONCATENATE("Tab_",Tab_Calculs[[#This Row],[Colonne1]])),Tab_Calculs[[#This Row],[index_date_livraison]]+1,7)*(Tab_Calculs[[#This Row],[fin mois]]-MIN(Tab_Calculs[[#This Row],[fin mois]],Tab_Calculs[[#This Row],[Date_livraison]]))</f>
        <v>#VALUE!</v>
      </c>
      <c r="R1110" t="e">
        <f ca="1">Tab_Calculs[[#This Row],[Ratio_Cout_après_livr]]+Tab_Calculs[[#This Row],[Ratio_Cout_avant_livr]]+Tab_Calculs[[#This Row],[Ratio_Cout_avant_debut]]</f>
        <v>#VALUE!</v>
      </c>
      <c r="S1110" t="str">
        <f ca="1">IFERROR(N1110*VLOOKUP(Tab_Calculs[[#This Row],[Colonne1]],Controle_des_données!$B$7:$G$14,6,FALSE),"")</f>
        <v/>
      </c>
      <c r="T1110" t="str">
        <f ca="1">IF(Tab_Calculs[[#This Row],[Combustible ]]="Electricité (kWh)",Tab_Calculs[[#This Row],[Conso_mois_kWh]]*2.3,Tab_Calculs[[#This Row],[Conso_mois_kWh]])</f>
        <v/>
      </c>
      <c r="U1110" t="str">
        <f ca="1">IFERROR(N1110*VLOOKUP(Tab_Calculs[[#This Row],[Colonne1]],Controle_des_données!$B$7:$H$14,7,FALSE),"")</f>
        <v/>
      </c>
      <c r="V1110">
        <f ca="1">IFERROR(Tab_Calculs[[#This Row],[Cout_mois]]/Tab_Calculs[[#This Row],[Conso_mois_kWh]],0)</f>
        <v>0</v>
      </c>
      <c r="W1110" t="str">
        <f>T(VLOOKUP(Tab_Calculs[[#This Row],[Compteur]],Site!$B$33:$G$40,3,FALSE))</f>
        <v/>
      </c>
      <c r="X1110" t="str">
        <f>T(VLOOKUP(Tab_Calculs[[#This Row],[Compteur]],Site!$B$33:$G$40,4,FALSE))</f>
        <v/>
      </c>
      <c r="Y1110" t="str">
        <f>T(VLOOKUP(Tab_Calculs[[#This Row],[Compteur]],Site!$B$33:$G$40,5,FALSE))</f>
        <v/>
      </c>
      <c r="Z1110" t="str">
        <f>T(VLOOKUP(Tab_Calculs[[#This Row],[Compteur]],Site!$B$33:$G$40,6,FALSE))</f>
        <v/>
      </c>
      <c r="AA1110">
        <f>IFERROR(GETPIVOTDATA("DJU(chauffagiste)",BDD_DJU!$P$13,"annee",Tab_Calculs[[#This Row],[ANNEE]],"mois_numero",Tab_Calculs[[#This Row],[MOIS]]),0)</f>
        <v>170.5</v>
      </c>
    </row>
    <row r="1111" spans="1:27" x14ac:dyDescent="0.25">
      <c r="A1111" s="3">
        <f>DATE(Tab_Calculs[[#This Row],[ANNEE]],Tab_Calculs[[#This Row],[MOIS]],1)</f>
        <v>44501</v>
      </c>
      <c r="B1111" s="3">
        <f>EDATE(Tab_Calculs[[#This Row],[Début mois]],1)-1</f>
        <v>44530</v>
      </c>
      <c r="C1111">
        <f t="shared" si="38"/>
        <v>11</v>
      </c>
      <c r="D1111">
        <f t="shared" si="37"/>
        <v>2021</v>
      </c>
      <c r="E1111" t="s">
        <v>85</v>
      </c>
      <c r="F1111" t="str">
        <f>SUBSTITUTE(Tab_Calculs[[#This Row],[Compteur]]," ","_")</f>
        <v>Compteur_6</v>
      </c>
      <c r="G1111" t="str">
        <f>T(INDEX(Site!$B$33:$G$40, MATCH(Tab_Calculs[[#This Row],[Compteur]], Site!$B$33:$B$40,0),2))</f>
        <v/>
      </c>
      <c r="H1111" s="3">
        <f t="array" aca="1" ref="H1111" ca="1">MIN(IF(INDIRECT(CONCATENATE(Tab_Calculs[[#This Row],[Colonne1]],"!$B$2:$B$243"))&gt;=Calculs_Consos!$A1111,INDIRECT(CONCATENATE(Tab_Calculs[[#This Row],[Colonne1]],"!$B$2:$B$243"))))</f>
        <v>0</v>
      </c>
      <c r="I1111" s="3">
        <f ca="1">INDEX(INDIRECT(CONCATENATE("Tab_",Tab_Calculs[[#This Row],[Colonne1]])),Tab_Calculs[[#This Row],[index_date_livraison]],1)</f>
        <v>0</v>
      </c>
      <c r="J1111">
        <f ca="1">MATCH(Tab_Calculs[[#This Row],[Date_livraison]],INDIRECT(CONCATENATE("Tab_",Tab_Calculs[[#This Row],[Colonne1]],"[Fin de période]")),0)</f>
        <v>1</v>
      </c>
      <c r="K1111" t="e">
        <f ca="1">INDEX(INDIRECT(CONCATENATE("Tab_",Tab_Calculs[[#This Row],[Colonne1]])),Tab_Calculs[[#This Row],[index_date_livraison]]-1,6)*(MAX(Tab_Calculs[[#This Row],[Début periode livraison]],Tab_Calculs[[#This Row],[Début mois]])-Tab_Calculs[[#This Row],[Début mois]])</f>
        <v>#VALUE!</v>
      </c>
      <c r="L1111" s="94">
        <f ca="1">INDEX(INDIRECT(CONCATENATE("Tab_",Tab_Calculs[[#This Row],[Colonne1]])),Tab_Calculs[[#This Row],[index_date_livraison]],6)*(1+MIN(Tab_Calculs[[#This Row],[Date_livraison]],Tab_Calculs[[#This Row],[fin mois]])-MAX(Tab_Calculs[[#This Row],[Début mois]],Tab_Calculs[[#This Row],[Début periode livraison]]))</f>
        <v>0</v>
      </c>
      <c r="M1111" s="94" t="e">
        <f ca="1">INDEX(INDIRECT(CONCATENATE("Tab_",Tab_Calculs[[#This Row],[Colonne1]])),Tab_Calculs[[#This Row],[index_date_livraison]]+1,6)*(Tab_Calculs[[#This Row],[fin mois]]-MIN(Tab_Calculs[[#This Row],[fin mois]],Tab_Calculs[[#This Row],[Date_livraison]]))</f>
        <v>#VALUE!</v>
      </c>
      <c r="N1111" s="231" t="str">
        <f ca="1">IFERROR(Tab_Calculs[[#This Row],[Ratio_jour_après_livr]]+Tab_Calculs[[#This Row],[Ratio_jour_avant_livr]]+Tab_Calculs[[#This Row],[ratio_avant_debut]],"")</f>
        <v/>
      </c>
      <c r="O1111" t="e">
        <f ca="1">INDEX(INDIRECT(CONCATENATE("Tab_",Tab_Calculs[[#This Row],[Colonne1]])),Tab_Calculs[[#This Row],[index_date_livraison]]-1,7)*(MAX(Tab_Calculs[[#This Row],[Début periode livraison]],Tab_Calculs[[#This Row],[Début mois]])-Tab_Calculs[[#This Row],[Début mois]])</f>
        <v>#VALUE!</v>
      </c>
      <c r="P1111">
        <f ca="1">INDEX(INDIRECT(CONCATENATE("Tab_",Tab_Calculs[[#This Row],[Colonne1]])),Tab_Calculs[[#This Row],[index_date_livraison]],7)*(1+MIN(Tab_Calculs[[#This Row],[Date_livraison]],Tab_Calculs[[#This Row],[fin mois]])-MAX(Tab_Calculs[[#This Row],[Début mois]],Tab_Calculs[[#This Row],[Début periode livraison]]))</f>
        <v>0</v>
      </c>
      <c r="Q1111" t="e">
        <f ca="1">INDEX(INDIRECT(CONCATENATE("Tab_",Tab_Calculs[[#This Row],[Colonne1]])),Tab_Calculs[[#This Row],[index_date_livraison]]+1,7)*(Tab_Calculs[[#This Row],[fin mois]]-MIN(Tab_Calculs[[#This Row],[fin mois]],Tab_Calculs[[#This Row],[Date_livraison]]))</f>
        <v>#VALUE!</v>
      </c>
      <c r="R1111" t="e">
        <f ca="1">Tab_Calculs[[#This Row],[Ratio_Cout_après_livr]]+Tab_Calculs[[#This Row],[Ratio_Cout_avant_livr]]+Tab_Calculs[[#This Row],[Ratio_Cout_avant_debut]]</f>
        <v>#VALUE!</v>
      </c>
      <c r="S1111" t="str">
        <f ca="1">IFERROR(N1111*VLOOKUP(Tab_Calculs[[#This Row],[Colonne1]],Controle_des_données!$B$7:$G$14,6,FALSE),"")</f>
        <v/>
      </c>
      <c r="T1111" t="str">
        <f ca="1">IF(Tab_Calculs[[#This Row],[Combustible ]]="Electricité (kWh)",Tab_Calculs[[#This Row],[Conso_mois_kWh]]*2.3,Tab_Calculs[[#This Row],[Conso_mois_kWh]])</f>
        <v/>
      </c>
      <c r="U1111" t="str">
        <f ca="1">IFERROR(N1111*VLOOKUP(Tab_Calculs[[#This Row],[Colonne1]],Controle_des_données!$B$7:$H$14,7,FALSE),"")</f>
        <v/>
      </c>
      <c r="V1111">
        <f ca="1">IFERROR(Tab_Calculs[[#This Row],[Cout_mois]]/Tab_Calculs[[#This Row],[Conso_mois_kWh]],0)</f>
        <v>0</v>
      </c>
      <c r="W1111" t="str">
        <f>T(VLOOKUP(Tab_Calculs[[#This Row],[Compteur]],Site!$B$33:$G$40,3,FALSE))</f>
        <v/>
      </c>
      <c r="X1111" t="str">
        <f>T(VLOOKUP(Tab_Calculs[[#This Row],[Compteur]],Site!$B$33:$G$40,4,FALSE))</f>
        <v/>
      </c>
      <c r="Y1111" t="str">
        <f>T(VLOOKUP(Tab_Calculs[[#This Row],[Compteur]],Site!$B$33:$G$40,5,FALSE))</f>
        <v/>
      </c>
      <c r="Z1111" t="str">
        <f>T(VLOOKUP(Tab_Calculs[[#This Row],[Compteur]],Site!$B$33:$G$40,6,FALSE))</f>
        <v/>
      </c>
      <c r="AA1111">
        <f>IFERROR(GETPIVOTDATA("DJU(chauffagiste)",BDD_DJU!$P$13,"annee",Tab_Calculs[[#This Row],[ANNEE]],"mois_numero",Tab_Calculs[[#This Row],[MOIS]]),0)</f>
        <v>326.8</v>
      </c>
    </row>
    <row r="1112" spans="1:27" x14ac:dyDescent="0.25">
      <c r="A1112" s="3">
        <f>DATE(Tab_Calculs[[#This Row],[ANNEE]],Tab_Calculs[[#This Row],[MOIS]],1)</f>
        <v>44531</v>
      </c>
      <c r="B1112" s="3">
        <f>EDATE(Tab_Calculs[[#This Row],[Début mois]],1)-1</f>
        <v>44561</v>
      </c>
      <c r="C1112">
        <f t="shared" si="38"/>
        <v>12</v>
      </c>
      <c r="D1112">
        <f>D1100+1</f>
        <v>2021</v>
      </c>
      <c r="E1112" t="s">
        <v>85</v>
      </c>
      <c r="F1112" t="str">
        <f>SUBSTITUTE(Tab_Calculs[[#This Row],[Compteur]]," ","_")</f>
        <v>Compteur_6</v>
      </c>
      <c r="G1112" t="str">
        <f>T(INDEX(Site!$B$33:$G$40, MATCH(Tab_Calculs[[#This Row],[Compteur]], Site!$B$33:$B$40,0),2))</f>
        <v/>
      </c>
      <c r="H1112" s="3">
        <f t="array" aca="1" ref="H1112" ca="1">MIN(IF(INDIRECT(CONCATENATE(Tab_Calculs[[#This Row],[Colonne1]],"!$B$2:$B$243"))&gt;=Calculs_Consos!$A1112,INDIRECT(CONCATENATE(Tab_Calculs[[#This Row],[Colonne1]],"!$B$2:$B$243"))))</f>
        <v>0</v>
      </c>
      <c r="I1112" s="3">
        <f ca="1">INDEX(INDIRECT(CONCATENATE("Tab_",Tab_Calculs[[#This Row],[Colonne1]])),Tab_Calculs[[#This Row],[index_date_livraison]],1)</f>
        <v>0</v>
      </c>
      <c r="J1112">
        <f ca="1">MATCH(Tab_Calculs[[#This Row],[Date_livraison]],INDIRECT(CONCATENATE("Tab_",Tab_Calculs[[#This Row],[Colonne1]],"[Fin de période]")),0)</f>
        <v>1</v>
      </c>
      <c r="K1112" t="e">
        <f ca="1">INDEX(INDIRECT(CONCATENATE("Tab_",Tab_Calculs[[#This Row],[Colonne1]])),Tab_Calculs[[#This Row],[index_date_livraison]]-1,6)*(MAX(Tab_Calculs[[#This Row],[Début periode livraison]],Tab_Calculs[[#This Row],[Début mois]])-Tab_Calculs[[#This Row],[Début mois]])</f>
        <v>#VALUE!</v>
      </c>
      <c r="L1112" s="94">
        <f ca="1">INDEX(INDIRECT(CONCATENATE("Tab_",Tab_Calculs[[#This Row],[Colonne1]])),Tab_Calculs[[#This Row],[index_date_livraison]],6)*(1+MIN(Tab_Calculs[[#This Row],[Date_livraison]],Tab_Calculs[[#This Row],[fin mois]])-MAX(Tab_Calculs[[#This Row],[Début mois]],Tab_Calculs[[#This Row],[Début periode livraison]]))</f>
        <v>0</v>
      </c>
      <c r="M1112" s="94" t="e">
        <f ca="1">INDEX(INDIRECT(CONCATENATE("Tab_",Tab_Calculs[[#This Row],[Colonne1]])),Tab_Calculs[[#This Row],[index_date_livraison]]+1,6)*(Tab_Calculs[[#This Row],[fin mois]]-MIN(Tab_Calculs[[#This Row],[fin mois]],Tab_Calculs[[#This Row],[Date_livraison]]))</f>
        <v>#VALUE!</v>
      </c>
      <c r="N1112" s="231" t="str">
        <f ca="1">IFERROR(Tab_Calculs[[#This Row],[Ratio_jour_après_livr]]+Tab_Calculs[[#This Row],[Ratio_jour_avant_livr]]+Tab_Calculs[[#This Row],[ratio_avant_debut]],"")</f>
        <v/>
      </c>
      <c r="O1112" t="e">
        <f ca="1">INDEX(INDIRECT(CONCATENATE("Tab_",Tab_Calculs[[#This Row],[Colonne1]])),Tab_Calculs[[#This Row],[index_date_livraison]]-1,7)*(MAX(Tab_Calculs[[#This Row],[Début periode livraison]],Tab_Calculs[[#This Row],[Début mois]])-Tab_Calculs[[#This Row],[Début mois]])</f>
        <v>#VALUE!</v>
      </c>
      <c r="P1112">
        <f ca="1">INDEX(INDIRECT(CONCATENATE("Tab_",Tab_Calculs[[#This Row],[Colonne1]])),Tab_Calculs[[#This Row],[index_date_livraison]],7)*(1+MIN(Tab_Calculs[[#This Row],[Date_livraison]],Tab_Calculs[[#This Row],[fin mois]])-MAX(Tab_Calculs[[#This Row],[Début mois]],Tab_Calculs[[#This Row],[Début periode livraison]]))</f>
        <v>0</v>
      </c>
      <c r="Q1112" t="e">
        <f ca="1">INDEX(INDIRECT(CONCATENATE("Tab_",Tab_Calculs[[#This Row],[Colonne1]])),Tab_Calculs[[#This Row],[index_date_livraison]]+1,7)*(Tab_Calculs[[#This Row],[fin mois]]-MIN(Tab_Calculs[[#This Row],[fin mois]],Tab_Calculs[[#This Row],[Date_livraison]]))</f>
        <v>#VALUE!</v>
      </c>
      <c r="R1112" t="e">
        <f ca="1">Tab_Calculs[[#This Row],[Ratio_Cout_après_livr]]+Tab_Calculs[[#This Row],[Ratio_Cout_avant_livr]]+Tab_Calculs[[#This Row],[Ratio_Cout_avant_debut]]</f>
        <v>#VALUE!</v>
      </c>
      <c r="S1112" t="str">
        <f ca="1">IFERROR(N1112*VLOOKUP(Tab_Calculs[[#This Row],[Colonne1]],Controle_des_données!$B$7:$G$14,6,FALSE),"")</f>
        <v/>
      </c>
      <c r="T1112" t="str">
        <f ca="1">IF(Tab_Calculs[[#This Row],[Combustible ]]="Electricité (kWh)",Tab_Calculs[[#This Row],[Conso_mois_kWh]]*2.3,Tab_Calculs[[#This Row],[Conso_mois_kWh]])</f>
        <v/>
      </c>
      <c r="U1112" t="str">
        <f ca="1">IFERROR(N1112*VLOOKUP(Tab_Calculs[[#This Row],[Colonne1]],Controle_des_données!$B$7:$H$14,7,FALSE),"")</f>
        <v/>
      </c>
      <c r="V1112">
        <f ca="1">IFERROR(Tab_Calculs[[#This Row],[Cout_mois]]/Tab_Calculs[[#This Row],[Conso_mois_kWh]],0)</f>
        <v>0</v>
      </c>
      <c r="W1112" t="str">
        <f>T(VLOOKUP(Tab_Calculs[[#This Row],[Compteur]],Site!$B$33:$G$40,3,FALSE))</f>
        <v/>
      </c>
      <c r="X1112" t="str">
        <f>T(VLOOKUP(Tab_Calculs[[#This Row],[Compteur]],Site!$B$33:$G$40,4,FALSE))</f>
        <v/>
      </c>
      <c r="Y1112" t="str">
        <f>T(VLOOKUP(Tab_Calculs[[#This Row],[Compteur]],Site!$B$33:$G$40,5,FALSE))</f>
        <v/>
      </c>
      <c r="Z1112" t="str">
        <f>T(VLOOKUP(Tab_Calculs[[#This Row],[Compteur]],Site!$B$33:$G$40,6,FALSE))</f>
        <v/>
      </c>
      <c r="AA1112">
        <f>IFERROR(GETPIVOTDATA("DJU(chauffagiste)",BDD_DJU!$P$13,"annee",Tab_Calculs[[#This Row],[ANNEE]],"mois_numero",Tab_Calculs[[#This Row],[MOIS]]),0)</f>
        <v>336.7</v>
      </c>
    </row>
    <row r="1113" spans="1:27" x14ac:dyDescent="0.25">
      <c r="A1113" s="3">
        <f>DATE(Tab_Calculs[[#This Row],[ANNEE]],Tab_Calculs[[#This Row],[MOIS]],1)</f>
        <v>44562</v>
      </c>
      <c r="B1113" s="3">
        <f>EDATE(Tab_Calculs[[#This Row],[Début mois]],1)-1</f>
        <v>44592</v>
      </c>
      <c r="C1113">
        <f t="shared" si="38"/>
        <v>1</v>
      </c>
      <c r="D1113">
        <f t="shared" ref="D1113:D1125" si="39">D1101+1</f>
        <v>2022</v>
      </c>
      <c r="E1113" t="s">
        <v>85</v>
      </c>
      <c r="F1113" t="str">
        <f>SUBSTITUTE(Tab_Calculs[[#This Row],[Compteur]]," ","_")</f>
        <v>Compteur_6</v>
      </c>
      <c r="G1113" t="str">
        <f>T(INDEX(Site!$B$33:$G$40, MATCH(Tab_Calculs[[#This Row],[Compteur]], Site!$B$33:$B$40,0),2))</f>
        <v/>
      </c>
      <c r="H1113" s="3">
        <f t="array" aca="1" ref="H1113" ca="1">MIN(IF(INDIRECT(CONCATENATE(Tab_Calculs[[#This Row],[Colonne1]],"!$B$2:$B$243"))&gt;=Calculs_Consos!$A1113,INDIRECT(CONCATENATE(Tab_Calculs[[#This Row],[Colonne1]],"!$B$2:$B$243"))))</f>
        <v>0</v>
      </c>
      <c r="I1113" s="3">
        <f ca="1">INDEX(INDIRECT(CONCATENATE("Tab_",Tab_Calculs[[#This Row],[Colonne1]])),Tab_Calculs[[#This Row],[index_date_livraison]],1)</f>
        <v>0</v>
      </c>
      <c r="J1113">
        <f ca="1">MATCH(Tab_Calculs[[#This Row],[Date_livraison]],INDIRECT(CONCATENATE("Tab_",Tab_Calculs[[#This Row],[Colonne1]],"[Fin de période]")),0)</f>
        <v>1</v>
      </c>
      <c r="K1113" t="e">
        <f ca="1">INDEX(INDIRECT(CONCATENATE("Tab_",Tab_Calculs[[#This Row],[Colonne1]])),Tab_Calculs[[#This Row],[index_date_livraison]]-1,6)*(MAX(Tab_Calculs[[#This Row],[Début periode livraison]],Tab_Calculs[[#This Row],[Début mois]])-Tab_Calculs[[#This Row],[Début mois]])</f>
        <v>#VALUE!</v>
      </c>
      <c r="L1113" s="94">
        <f ca="1">INDEX(INDIRECT(CONCATENATE("Tab_",Tab_Calculs[[#This Row],[Colonne1]])),Tab_Calculs[[#This Row],[index_date_livraison]],6)*(1+MIN(Tab_Calculs[[#This Row],[Date_livraison]],Tab_Calculs[[#This Row],[fin mois]])-MAX(Tab_Calculs[[#This Row],[Début mois]],Tab_Calculs[[#This Row],[Début periode livraison]]))</f>
        <v>0</v>
      </c>
      <c r="M1113" s="94" t="e">
        <f ca="1">INDEX(INDIRECT(CONCATENATE("Tab_",Tab_Calculs[[#This Row],[Colonne1]])),Tab_Calculs[[#This Row],[index_date_livraison]]+1,6)*(Tab_Calculs[[#This Row],[fin mois]]-MIN(Tab_Calculs[[#This Row],[fin mois]],Tab_Calculs[[#This Row],[Date_livraison]]))</f>
        <v>#VALUE!</v>
      </c>
      <c r="N1113" s="231" t="str">
        <f ca="1">IFERROR(Tab_Calculs[[#This Row],[Ratio_jour_après_livr]]+Tab_Calculs[[#This Row],[Ratio_jour_avant_livr]]+Tab_Calculs[[#This Row],[ratio_avant_debut]],"")</f>
        <v/>
      </c>
      <c r="O1113" t="e">
        <f ca="1">INDEX(INDIRECT(CONCATENATE("Tab_",Tab_Calculs[[#This Row],[Colonne1]])),Tab_Calculs[[#This Row],[index_date_livraison]]-1,7)*(MAX(Tab_Calculs[[#This Row],[Début periode livraison]],Tab_Calculs[[#This Row],[Début mois]])-Tab_Calculs[[#This Row],[Début mois]])</f>
        <v>#VALUE!</v>
      </c>
      <c r="P1113">
        <f ca="1">INDEX(INDIRECT(CONCATENATE("Tab_",Tab_Calculs[[#This Row],[Colonne1]])),Tab_Calculs[[#This Row],[index_date_livraison]],7)*(1+MIN(Tab_Calculs[[#This Row],[Date_livraison]],Tab_Calculs[[#This Row],[fin mois]])-MAX(Tab_Calculs[[#This Row],[Début mois]],Tab_Calculs[[#This Row],[Début periode livraison]]))</f>
        <v>0</v>
      </c>
      <c r="Q1113" t="e">
        <f ca="1">INDEX(INDIRECT(CONCATENATE("Tab_",Tab_Calculs[[#This Row],[Colonne1]])),Tab_Calculs[[#This Row],[index_date_livraison]]+1,7)*(Tab_Calculs[[#This Row],[fin mois]]-MIN(Tab_Calculs[[#This Row],[fin mois]],Tab_Calculs[[#This Row],[Date_livraison]]))</f>
        <v>#VALUE!</v>
      </c>
      <c r="R1113" t="e">
        <f ca="1">Tab_Calculs[[#This Row],[Ratio_Cout_après_livr]]+Tab_Calculs[[#This Row],[Ratio_Cout_avant_livr]]+Tab_Calculs[[#This Row],[Ratio_Cout_avant_debut]]</f>
        <v>#VALUE!</v>
      </c>
      <c r="S1113" t="str">
        <f ca="1">IFERROR(N1113*VLOOKUP(Tab_Calculs[[#This Row],[Colonne1]],Controle_des_données!$B$7:$G$14,6,FALSE),"")</f>
        <v/>
      </c>
      <c r="T1113" t="str">
        <f ca="1">IF(Tab_Calculs[[#This Row],[Combustible ]]="Electricité (kWh)",Tab_Calculs[[#This Row],[Conso_mois_kWh]]*2.3,Tab_Calculs[[#This Row],[Conso_mois_kWh]])</f>
        <v/>
      </c>
      <c r="U1113" t="str">
        <f ca="1">IFERROR(N1113*VLOOKUP(Tab_Calculs[[#This Row],[Colonne1]],Controle_des_données!$B$7:$H$14,7,FALSE),"")</f>
        <v/>
      </c>
      <c r="V1113">
        <f ca="1">IFERROR(Tab_Calculs[[#This Row],[Cout_mois]]/Tab_Calculs[[#This Row],[Conso_mois_kWh]],0)</f>
        <v>0</v>
      </c>
      <c r="W1113" t="str">
        <f>T(VLOOKUP(Tab_Calculs[[#This Row],[Compteur]],Site!$B$33:$G$40,3,FALSE))</f>
        <v/>
      </c>
      <c r="X1113" t="str">
        <f>T(VLOOKUP(Tab_Calculs[[#This Row],[Compteur]],Site!$B$33:$G$40,4,FALSE))</f>
        <v/>
      </c>
      <c r="Y1113" t="str">
        <f>T(VLOOKUP(Tab_Calculs[[#This Row],[Compteur]],Site!$B$33:$G$40,5,FALSE))</f>
        <v/>
      </c>
      <c r="Z1113" t="str">
        <f>T(VLOOKUP(Tab_Calculs[[#This Row],[Compteur]],Site!$B$33:$G$40,6,FALSE))</f>
        <v/>
      </c>
      <c r="AA1113">
        <f>IFERROR(GETPIVOTDATA("DJU(chauffagiste)",BDD_DJU!$P$13,"annee",Tab_Calculs[[#This Row],[ANNEE]],"mois_numero",Tab_Calculs[[#This Row],[MOIS]]),0)</f>
        <v>396.3</v>
      </c>
    </row>
    <row r="1114" spans="1:27" x14ac:dyDescent="0.25">
      <c r="A1114" s="3">
        <f>DATE(Tab_Calculs[[#This Row],[ANNEE]],Tab_Calculs[[#This Row],[MOIS]],1)</f>
        <v>44593</v>
      </c>
      <c r="B1114" s="3">
        <f>EDATE(Tab_Calculs[[#This Row],[Début mois]],1)-1</f>
        <v>44620</v>
      </c>
      <c r="C1114">
        <f t="shared" si="38"/>
        <v>2</v>
      </c>
      <c r="D1114">
        <f t="shared" si="39"/>
        <v>2022</v>
      </c>
      <c r="E1114" t="s">
        <v>85</v>
      </c>
      <c r="F1114" t="str">
        <f>SUBSTITUTE(Tab_Calculs[[#This Row],[Compteur]]," ","_")</f>
        <v>Compteur_6</v>
      </c>
      <c r="G1114" t="str">
        <f>T(INDEX(Site!$B$33:$G$40, MATCH(Tab_Calculs[[#This Row],[Compteur]], Site!$B$33:$B$40,0),2))</f>
        <v/>
      </c>
      <c r="H1114" s="3">
        <f t="array" aca="1" ref="H1114" ca="1">MIN(IF(INDIRECT(CONCATENATE(Tab_Calculs[[#This Row],[Colonne1]],"!$B$2:$B$243"))&gt;=Calculs_Consos!$A1114,INDIRECT(CONCATENATE(Tab_Calculs[[#This Row],[Colonne1]],"!$B$2:$B$243"))))</f>
        <v>0</v>
      </c>
      <c r="I1114" s="3">
        <f ca="1">INDEX(INDIRECT(CONCATENATE("Tab_",Tab_Calculs[[#This Row],[Colonne1]])),Tab_Calculs[[#This Row],[index_date_livraison]],1)</f>
        <v>0</v>
      </c>
      <c r="J1114">
        <f ca="1">MATCH(Tab_Calculs[[#This Row],[Date_livraison]],INDIRECT(CONCATENATE("Tab_",Tab_Calculs[[#This Row],[Colonne1]],"[Fin de période]")),0)</f>
        <v>1</v>
      </c>
      <c r="K1114" t="e">
        <f ca="1">INDEX(INDIRECT(CONCATENATE("Tab_",Tab_Calculs[[#This Row],[Colonne1]])),Tab_Calculs[[#This Row],[index_date_livraison]]-1,6)*(MAX(Tab_Calculs[[#This Row],[Début periode livraison]],Tab_Calculs[[#This Row],[Début mois]])-Tab_Calculs[[#This Row],[Début mois]])</f>
        <v>#VALUE!</v>
      </c>
      <c r="L1114" s="94">
        <f ca="1">INDEX(INDIRECT(CONCATENATE("Tab_",Tab_Calculs[[#This Row],[Colonne1]])),Tab_Calculs[[#This Row],[index_date_livraison]],6)*(1+MIN(Tab_Calculs[[#This Row],[Date_livraison]],Tab_Calculs[[#This Row],[fin mois]])-MAX(Tab_Calculs[[#This Row],[Début mois]],Tab_Calculs[[#This Row],[Début periode livraison]]))</f>
        <v>0</v>
      </c>
      <c r="M1114" s="94" t="e">
        <f ca="1">INDEX(INDIRECT(CONCATENATE("Tab_",Tab_Calculs[[#This Row],[Colonne1]])),Tab_Calculs[[#This Row],[index_date_livraison]]+1,6)*(Tab_Calculs[[#This Row],[fin mois]]-MIN(Tab_Calculs[[#This Row],[fin mois]],Tab_Calculs[[#This Row],[Date_livraison]]))</f>
        <v>#VALUE!</v>
      </c>
      <c r="N1114" s="231" t="str">
        <f ca="1">IFERROR(Tab_Calculs[[#This Row],[Ratio_jour_après_livr]]+Tab_Calculs[[#This Row],[Ratio_jour_avant_livr]]+Tab_Calculs[[#This Row],[ratio_avant_debut]],"")</f>
        <v/>
      </c>
      <c r="O1114" t="e">
        <f ca="1">INDEX(INDIRECT(CONCATENATE("Tab_",Tab_Calculs[[#This Row],[Colonne1]])),Tab_Calculs[[#This Row],[index_date_livraison]]-1,7)*(MAX(Tab_Calculs[[#This Row],[Début periode livraison]],Tab_Calculs[[#This Row],[Début mois]])-Tab_Calculs[[#This Row],[Début mois]])</f>
        <v>#VALUE!</v>
      </c>
      <c r="P1114">
        <f ca="1">INDEX(INDIRECT(CONCATENATE("Tab_",Tab_Calculs[[#This Row],[Colonne1]])),Tab_Calculs[[#This Row],[index_date_livraison]],7)*(1+MIN(Tab_Calculs[[#This Row],[Date_livraison]],Tab_Calculs[[#This Row],[fin mois]])-MAX(Tab_Calculs[[#This Row],[Début mois]],Tab_Calculs[[#This Row],[Début periode livraison]]))</f>
        <v>0</v>
      </c>
      <c r="Q1114" t="e">
        <f ca="1">INDEX(INDIRECT(CONCATENATE("Tab_",Tab_Calculs[[#This Row],[Colonne1]])),Tab_Calculs[[#This Row],[index_date_livraison]]+1,7)*(Tab_Calculs[[#This Row],[fin mois]]-MIN(Tab_Calculs[[#This Row],[fin mois]],Tab_Calculs[[#This Row],[Date_livraison]]))</f>
        <v>#VALUE!</v>
      </c>
      <c r="R1114" t="e">
        <f ca="1">Tab_Calculs[[#This Row],[Ratio_Cout_après_livr]]+Tab_Calculs[[#This Row],[Ratio_Cout_avant_livr]]+Tab_Calculs[[#This Row],[Ratio_Cout_avant_debut]]</f>
        <v>#VALUE!</v>
      </c>
      <c r="S1114" t="str">
        <f ca="1">IFERROR(N1114*VLOOKUP(Tab_Calculs[[#This Row],[Colonne1]],Controle_des_données!$B$7:$G$14,6,FALSE),"")</f>
        <v/>
      </c>
      <c r="T1114" t="str">
        <f ca="1">IF(Tab_Calculs[[#This Row],[Combustible ]]="Electricité (kWh)",Tab_Calculs[[#This Row],[Conso_mois_kWh]]*2.3,Tab_Calculs[[#This Row],[Conso_mois_kWh]])</f>
        <v/>
      </c>
      <c r="U1114" t="str">
        <f ca="1">IFERROR(N1114*VLOOKUP(Tab_Calculs[[#This Row],[Colonne1]],Controle_des_données!$B$7:$H$14,7,FALSE),"")</f>
        <v/>
      </c>
      <c r="V1114">
        <f ca="1">IFERROR(Tab_Calculs[[#This Row],[Cout_mois]]/Tab_Calculs[[#This Row],[Conso_mois_kWh]],0)</f>
        <v>0</v>
      </c>
      <c r="W1114" t="str">
        <f>T(VLOOKUP(Tab_Calculs[[#This Row],[Compteur]],Site!$B$33:$G$40,3,FALSE))</f>
        <v/>
      </c>
      <c r="X1114" t="str">
        <f>T(VLOOKUP(Tab_Calculs[[#This Row],[Compteur]],Site!$B$33:$G$40,4,FALSE))</f>
        <v/>
      </c>
      <c r="Y1114" t="str">
        <f>T(VLOOKUP(Tab_Calculs[[#This Row],[Compteur]],Site!$B$33:$G$40,5,FALSE))</f>
        <v/>
      </c>
      <c r="Z1114" t="str">
        <f>T(VLOOKUP(Tab_Calculs[[#This Row],[Compteur]],Site!$B$33:$G$40,6,FALSE))</f>
        <v/>
      </c>
      <c r="AA1114">
        <f>IFERROR(GETPIVOTDATA("DJU(chauffagiste)",BDD_DJU!$P$13,"annee",Tab_Calculs[[#This Row],[ANNEE]],"mois_numero",Tab_Calculs[[#This Row],[MOIS]]),0)</f>
        <v>286.10000000000002</v>
      </c>
    </row>
    <row r="1115" spans="1:27" x14ac:dyDescent="0.25">
      <c r="A1115" s="3">
        <f>DATE(Tab_Calculs[[#This Row],[ANNEE]],Tab_Calculs[[#This Row],[MOIS]],1)</f>
        <v>44621</v>
      </c>
      <c r="B1115" s="3">
        <f>EDATE(Tab_Calculs[[#This Row],[Début mois]],1)-1</f>
        <v>44651</v>
      </c>
      <c r="C1115">
        <f t="shared" si="38"/>
        <v>3</v>
      </c>
      <c r="D1115">
        <f t="shared" si="39"/>
        <v>2022</v>
      </c>
      <c r="E1115" t="s">
        <v>85</v>
      </c>
      <c r="F1115" t="str">
        <f>SUBSTITUTE(Tab_Calculs[[#This Row],[Compteur]]," ","_")</f>
        <v>Compteur_6</v>
      </c>
      <c r="G1115" t="str">
        <f>T(INDEX(Site!$B$33:$G$40, MATCH(Tab_Calculs[[#This Row],[Compteur]], Site!$B$33:$B$40,0),2))</f>
        <v/>
      </c>
      <c r="H1115" s="3">
        <f t="array" aca="1" ref="H1115" ca="1">MIN(IF(INDIRECT(CONCATENATE(Tab_Calculs[[#This Row],[Colonne1]],"!$B$2:$B$243"))&gt;=Calculs_Consos!$A1115,INDIRECT(CONCATENATE(Tab_Calculs[[#This Row],[Colonne1]],"!$B$2:$B$243"))))</f>
        <v>0</v>
      </c>
      <c r="I1115" s="3">
        <f ca="1">INDEX(INDIRECT(CONCATENATE("Tab_",Tab_Calculs[[#This Row],[Colonne1]])),Tab_Calculs[[#This Row],[index_date_livraison]],1)</f>
        <v>0</v>
      </c>
      <c r="J1115">
        <f ca="1">MATCH(Tab_Calculs[[#This Row],[Date_livraison]],INDIRECT(CONCATENATE("Tab_",Tab_Calculs[[#This Row],[Colonne1]],"[Fin de période]")),0)</f>
        <v>1</v>
      </c>
      <c r="K1115" t="e">
        <f ca="1">INDEX(INDIRECT(CONCATENATE("Tab_",Tab_Calculs[[#This Row],[Colonne1]])),Tab_Calculs[[#This Row],[index_date_livraison]]-1,6)*(MAX(Tab_Calculs[[#This Row],[Début periode livraison]],Tab_Calculs[[#This Row],[Début mois]])-Tab_Calculs[[#This Row],[Début mois]])</f>
        <v>#VALUE!</v>
      </c>
      <c r="L1115" s="94">
        <f ca="1">INDEX(INDIRECT(CONCATENATE("Tab_",Tab_Calculs[[#This Row],[Colonne1]])),Tab_Calculs[[#This Row],[index_date_livraison]],6)*(1+MIN(Tab_Calculs[[#This Row],[Date_livraison]],Tab_Calculs[[#This Row],[fin mois]])-MAX(Tab_Calculs[[#This Row],[Début mois]],Tab_Calculs[[#This Row],[Début periode livraison]]))</f>
        <v>0</v>
      </c>
      <c r="M1115" s="94" t="e">
        <f ca="1">INDEX(INDIRECT(CONCATENATE("Tab_",Tab_Calculs[[#This Row],[Colonne1]])),Tab_Calculs[[#This Row],[index_date_livraison]]+1,6)*(Tab_Calculs[[#This Row],[fin mois]]-MIN(Tab_Calculs[[#This Row],[fin mois]],Tab_Calculs[[#This Row],[Date_livraison]]))</f>
        <v>#VALUE!</v>
      </c>
      <c r="N1115" s="231" t="str">
        <f ca="1">IFERROR(Tab_Calculs[[#This Row],[Ratio_jour_après_livr]]+Tab_Calculs[[#This Row],[Ratio_jour_avant_livr]]+Tab_Calculs[[#This Row],[ratio_avant_debut]],"")</f>
        <v/>
      </c>
      <c r="O1115" t="e">
        <f ca="1">INDEX(INDIRECT(CONCATENATE("Tab_",Tab_Calculs[[#This Row],[Colonne1]])),Tab_Calculs[[#This Row],[index_date_livraison]]-1,7)*(MAX(Tab_Calculs[[#This Row],[Début periode livraison]],Tab_Calculs[[#This Row],[Début mois]])-Tab_Calculs[[#This Row],[Début mois]])</f>
        <v>#VALUE!</v>
      </c>
      <c r="P1115">
        <f ca="1">INDEX(INDIRECT(CONCATENATE("Tab_",Tab_Calculs[[#This Row],[Colonne1]])),Tab_Calculs[[#This Row],[index_date_livraison]],7)*(1+MIN(Tab_Calculs[[#This Row],[Date_livraison]],Tab_Calculs[[#This Row],[fin mois]])-MAX(Tab_Calculs[[#This Row],[Début mois]],Tab_Calculs[[#This Row],[Début periode livraison]]))</f>
        <v>0</v>
      </c>
      <c r="Q1115" t="e">
        <f ca="1">INDEX(INDIRECT(CONCATENATE("Tab_",Tab_Calculs[[#This Row],[Colonne1]])),Tab_Calculs[[#This Row],[index_date_livraison]]+1,7)*(Tab_Calculs[[#This Row],[fin mois]]-MIN(Tab_Calculs[[#This Row],[fin mois]],Tab_Calculs[[#This Row],[Date_livraison]]))</f>
        <v>#VALUE!</v>
      </c>
      <c r="R1115" t="e">
        <f ca="1">Tab_Calculs[[#This Row],[Ratio_Cout_après_livr]]+Tab_Calculs[[#This Row],[Ratio_Cout_avant_livr]]+Tab_Calculs[[#This Row],[Ratio_Cout_avant_debut]]</f>
        <v>#VALUE!</v>
      </c>
      <c r="S1115" t="str">
        <f ca="1">IFERROR(N1115*VLOOKUP(Tab_Calculs[[#This Row],[Colonne1]],Controle_des_données!$B$7:$G$14,6,FALSE),"")</f>
        <v/>
      </c>
      <c r="T1115" t="str">
        <f ca="1">IF(Tab_Calculs[[#This Row],[Combustible ]]="Electricité (kWh)",Tab_Calculs[[#This Row],[Conso_mois_kWh]]*2.3,Tab_Calculs[[#This Row],[Conso_mois_kWh]])</f>
        <v/>
      </c>
      <c r="U1115" t="str">
        <f ca="1">IFERROR(N1115*VLOOKUP(Tab_Calculs[[#This Row],[Colonne1]],Controle_des_données!$B$7:$H$14,7,FALSE),"")</f>
        <v/>
      </c>
      <c r="V1115">
        <f ca="1">IFERROR(Tab_Calculs[[#This Row],[Cout_mois]]/Tab_Calculs[[#This Row],[Conso_mois_kWh]],0)</f>
        <v>0</v>
      </c>
      <c r="W1115" t="str">
        <f>T(VLOOKUP(Tab_Calculs[[#This Row],[Compteur]],Site!$B$33:$G$40,3,FALSE))</f>
        <v/>
      </c>
      <c r="X1115" t="str">
        <f>T(VLOOKUP(Tab_Calculs[[#This Row],[Compteur]],Site!$B$33:$G$40,4,FALSE))</f>
        <v/>
      </c>
      <c r="Y1115" t="str">
        <f>T(VLOOKUP(Tab_Calculs[[#This Row],[Compteur]],Site!$B$33:$G$40,5,FALSE))</f>
        <v/>
      </c>
      <c r="Z1115" t="str">
        <f>T(VLOOKUP(Tab_Calculs[[#This Row],[Compteur]],Site!$B$33:$G$40,6,FALSE))</f>
        <v/>
      </c>
      <c r="AA1115">
        <f>IFERROR(GETPIVOTDATA("DJU(chauffagiste)",BDD_DJU!$P$13,"annee",Tab_Calculs[[#This Row],[ANNEE]],"mois_numero",Tab_Calculs[[#This Row],[MOIS]]),0)</f>
        <v>239.8</v>
      </c>
    </row>
    <row r="1116" spans="1:27" x14ac:dyDescent="0.25">
      <c r="A1116" s="3">
        <f>DATE(Tab_Calculs[[#This Row],[ANNEE]],Tab_Calculs[[#This Row],[MOIS]],1)</f>
        <v>44652</v>
      </c>
      <c r="B1116" s="3">
        <f>EDATE(Tab_Calculs[[#This Row],[Début mois]],1)-1</f>
        <v>44681</v>
      </c>
      <c r="C1116">
        <f t="shared" si="38"/>
        <v>4</v>
      </c>
      <c r="D1116">
        <f t="shared" si="39"/>
        <v>2022</v>
      </c>
      <c r="E1116" t="s">
        <v>85</v>
      </c>
      <c r="F1116" t="str">
        <f>SUBSTITUTE(Tab_Calculs[[#This Row],[Compteur]]," ","_")</f>
        <v>Compteur_6</v>
      </c>
      <c r="G1116" t="str">
        <f>T(INDEX(Site!$B$33:$G$40, MATCH(Tab_Calculs[[#This Row],[Compteur]], Site!$B$33:$B$40,0),2))</f>
        <v/>
      </c>
      <c r="H1116" s="3">
        <f t="array" aca="1" ref="H1116" ca="1">MIN(IF(INDIRECT(CONCATENATE(Tab_Calculs[[#This Row],[Colonne1]],"!$B$2:$B$243"))&gt;=Calculs_Consos!$A1116,INDIRECT(CONCATENATE(Tab_Calculs[[#This Row],[Colonne1]],"!$B$2:$B$243"))))</f>
        <v>0</v>
      </c>
      <c r="I1116" s="3">
        <f ca="1">INDEX(INDIRECT(CONCATENATE("Tab_",Tab_Calculs[[#This Row],[Colonne1]])),Tab_Calculs[[#This Row],[index_date_livraison]],1)</f>
        <v>0</v>
      </c>
      <c r="J1116">
        <f ca="1">MATCH(Tab_Calculs[[#This Row],[Date_livraison]],INDIRECT(CONCATENATE("Tab_",Tab_Calculs[[#This Row],[Colonne1]],"[Fin de période]")),0)</f>
        <v>1</v>
      </c>
      <c r="K1116" t="e">
        <f ca="1">INDEX(INDIRECT(CONCATENATE("Tab_",Tab_Calculs[[#This Row],[Colonne1]])),Tab_Calculs[[#This Row],[index_date_livraison]]-1,6)*(MAX(Tab_Calculs[[#This Row],[Début periode livraison]],Tab_Calculs[[#This Row],[Début mois]])-Tab_Calculs[[#This Row],[Début mois]])</f>
        <v>#VALUE!</v>
      </c>
      <c r="L1116" s="94">
        <f ca="1">INDEX(INDIRECT(CONCATENATE("Tab_",Tab_Calculs[[#This Row],[Colonne1]])),Tab_Calculs[[#This Row],[index_date_livraison]],6)*(1+MIN(Tab_Calculs[[#This Row],[Date_livraison]],Tab_Calculs[[#This Row],[fin mois]])-MAX(Tab_Calculs[[#This Row],[Début mois]],Tab_Calculs[[#This Row],[Début periode livraison]]))</f>
        <v>0</v>
      </c>
      <c r="M1116" s="94" t="e">
        <f ca="1">INDEX(INDIRECT(CONCATENATE("Tab_",Tab_Calculs[[#This Row],[Colonne1]])),Tab_Calculs[[#This Row],[index_date_livraison]]+1,6)*(Tab_Calculs[[#This Row],[fin mois]]-MIN(Tab_Calculs[[#This Row],[fin mois]],Tab_Calculs[[#This Row],[Date_livraison]]))</f>
        <v>#VALUE!</v>
      </c>
      <c r="N1116" s="231" t="str">
        <f ca="1">IFERROR(Tab_Calculs[[#This Row],[Ratio_jour_après_livr]]+Tab_Calculs[[#This Row],[Ratio_jour_avant_livr]]+Tab_Calculs[[#This Row],[ratio_avant_debut]],"")</f>
        <v/>
      </c>
      <c r="O1116" t="e">
        <f ca="1">INDEX(INDIRECT(CONCATENATE("Tab_",Tab_Calculs[[#This Row],[Colonne1]])),Tab_Calculs[[#This Row],[index_date_livraison]]-1,7)*(MAX(Tab_Calculs[[#This Row],[Début periode livraison]],Tab_Calculs[[#This Row],[Début mois]])-Tab_Calculs[[#This Row],[Début mois]])</f>
        <v>#VALUE!</v>
      </c>
      <c r="P1116">
        <f ca="1">INDEX(INDIRECT(CONCATENATE("Tab_",Tab_Calculs[[#This Row],[Colonne1]])),Tab_Calculs[[#This Row],[index_date_livraison]],7)*(1+MIN(Tab_Calculs[[#This Row],[Date_livraison]],Tab_Calculs[[#This Row],[fin mois]])-MAX(Tab_Calculs[[#This Row],[Début mois]],Tab_Calculs[[#This Row],[Début periode livraison]]))</f>
        <v>0</v>
      </c>
      <c r="Q1116" t="e">
        <f ca="1">INDEX(INDIRECT(CONCATENATE("Tab_",Tab_Calculs[[#This Row],[Colonne1]])),Tab_Calculs[[#This Row],[index_date_livraison]]+1,7)*(Tab_Calculs[[#This Row],[fin mois]]-MIN(Tab_Calculs[[#This Row],[fin mois]],Tab_Calculs[[#This Row],[Date_livraison]]))</f>
        <v>#VALUE!</v>
      </c>
      <c r="R1116" t="e">
        <f ca="1">Tab_Calculs[[#This Row],[Ratio_Cout_après_livr]]+Tab_Calculs[[#This Row],[Ratio_Cout_avant_livr]]+Tab_Calculs[[#This Row],[Ratio_Cout_avant_debut]]</f>
        <v>#VALUE!</v>
      </c>
      <c r="S1116" t="str">
        <f ca="1">IFERROR(N1116*VLOOKUP(Tab_Calculs[[#This Row],[Colonne1]],Controle_des_données!$B$7:$G$14,6,FALSE),"")</f>
        <v/>
      </c>
      <c r="T1116" t="str">
        <f ca="1">IF(Tab_Calculs[[#This Row],[Combustible ]]="Electricité (kWh)",Tab_Calculs[[#This Row],[Conso_mois_kWh]]*2.3,Tab_Calculs[[#This Row],[Conso_mois_kWh]])</f>
        <v/>
      </c>
      <c r="U1116" t="str">
        <f ca="1">IFERROR(N1116*VLOOKUP(Tab_Calculs[[#This Row],[Colonne1]],Controle_des_données!$B$7:$H$14,7,FALSE),"")</f>
        <v/>
      </c>
      <c r="V1116">
        <f ca="1">IFERROR(Tab_Calculs[[#This Row],[Cout_mois]]/Tab_Calculs[[#This Row],[Conso_mois_kWh]],0)</f>
        <v>0</v>
      </c>
      <c r="W1116" t="str">
        <f>T(VLOOKUP(Tab_Calculs[[#This Row],[Compteur]],Site!$B$33:$G$40,3,FALSE))</f>
        <v/>
      </c>
      <c r="X1116" t="str">
        <f>T(VLOOKUP(Tab_Calculs[[#This Row],[Compteur]],Site!$B$33:$G$40,4,FALSE))</f>
        <v/>
      </c>
      <c r="Y1116" t="str">
        <f>T(VLOOKUP(Tab_Calculs[[#This Row],[Compteur]],Site!$B$33:$G$40,5,FALSE))</f>
        <v/>
      </c>
      <c r="Z1116" t="str">
        <f>T(VLOOKUP(Tab_Calculs[[#This Row],[Compteur]],Site!$B$33:$G$40,6,FALSE))</f>
        <v/>
      </c>
      <c r="AA1116">
        <f>IFERROR(GETPIVOTDATA("DJU(chauffagiste)",BDD_DJU!$P$13,"annee",Tab_Calculs[[#This Row],[ANNEE]],"mois_numero",Tab_Calculs[[#This Row],[MOIS]]),0)</f>
        <v>192.3</v>
      </c>
    </row>
    <row r="1117" spans="1:27" x14ac:dyDescent="0.25">
      <c r="A1117" s="3">
        <f>DATE(Tab_Calculs[[#This Row],[ANNEE]],Tab_Calculs[[#This Row],[MOIS]],1)</f>
        <v>44682</v>
      </c>
      <c r="B1117" s="3">
        <f>EDATE(Tab_Calculs[[#This Row],[Début mois]],1)-1</f>
        <v>44712</v>
      </c>
      <c r="C1117">
        <f t="shared" si="38"/>
        <v>5</v>
      </c>
      <c r="D1117">
        <f t="shared" si="39"/>
        <v>2022</v>
      </c>
      <c r="E1117" t="s">
        <v>85</v>
      </c>
      <c r="F1117" t="str">
        <f>SUBSTITUTE(Tab_Calculs[[#This Row],[Compteur]]," ","_")</f>
        <v>Compteur_6</v>
      </c>
      <c r="G1117" t="str">
        <f>T(INDEX(Site!$B$33:$G$40, MATCH(Tab_Calculs[[#This Row],[Compteur]], Site!$B$33:$B$40,0),2))</f>
        <v/>
      </c>
      <c r="H1117" s="3">
        <f t="array" aca="1" ref="H1117" ca="1">MIN(IF(INDIRECT(CONCATENATE(Tab_Calculs[[#This Row],[Colonne1]],"!$B$2:$B$243"))&gt;=Calculs_Consos!$A1117,INDIRECT(CONCATENATE(Tab_Calculs[[#This Row],[Colonne1]],"!$B$2:$B$243"))))</f>
        <v>0</v>
      </c>
      <c r="I1117" s="3">
        <f ca="1">INDEX(INDIRECT(CONCATENATE("Tab_",Tab_Calculs[[#This Row],[Colonne1]])),Tab_Calculs[[#This Row],[index_date_livraison]],1)</f>
        <v>0</v>
      </c>
      <c r="J1117">
        <f ca="1">MATCH(Tab_Calculs[[#This Row],[Date_livraison]],INDIRECT(CONCATENATE("Tab_",Tab_Calculs[[#This Row],[Colonne1]],"[Fin de période]")),0)</f>
        <v>1</v>
      </c>
      <c r="K1117" t="e">
        <f ca="1">INDEX(INDIRECT(CONCATENATE("Tab_",Tab_Calculs[[#This Row],[Colonne1]])),Tab_Calculs[[#This Row],[index_date_livraison]]-1,6)*(MAX(Tab_Calculs[[#This Row],[Début periode livraison]],Tab_Calculs[[#This Row],[Début mois]])-Tab_Calculs[[#This Row],[Début mois]])</f>
        <v>#VALUE!</v>
      </c>
      <c r="L1117" s="94">
        <f ca="1">INDEX(INDIRECT(CONCATENATE("Tab_",Tab_Calculs[[#This Row],[Colonne1]])),Tab_Calculs[[#This Row],[index_date_livraison]],6)*(1+MIN(Tab_Calculs[[#This Row],[Date_livraison]],Tab_Calculs[[#This Row],[fin mois]])-MAX(Tab_Calculs[[#This Row],[Début mois]],Tab_Calculs[[#This Row],[Début periode livraison]]))</f>
        <v>0</v>
      </c>
      <c r="M1117" s="94" t="e">
        <f ca="1">INDEX(INDIRECT(CONCATENATE("Tab_",Tab_Calculs[[#This Row],[Colonne1]])),Tab_Calculs[[#This Row],[index_date_livraison]]+1,6)*(Tab_Calculs[[#This Row],[fin mois]]-MIN(Tab_Calculs[[#This Row],[fin mois]],Tab_Calculs[[#This Row],[Date_livraison]]))</f>
        <v>#VALUE!</v>
      </c>
      <c r="N1117" s="231" t="str">
        <f ca="1">IFERROR(Tab_Calculs[[#This Row],[Ratio_jour_après_livr]]+Tab_Calculs[[#This Row],[Ratio_jour_avant_livr]]+Tab_Calculs[[#This Row],[ratio_avant_debut]],"")</f>
        <v/>
      </c>
      <c r="O1117" t="e">
        <f ca="1">INDEX(INDIRECT(CONCATENATE("Tab_",Tab_Calculs[[#This Row],[Colonne1]])),Tab_Calculs[[#This Row],[index_date_livraison]]-1,7)*(MAX(Tab_Calculs[[#This Row],[Début periode livraison]],Tab_Calculs[[#This Row],[Début mois]])-Tab_Calculs[[#This Row],[Début mois]])</f>
        <v>#VALUE!</v>
      </c>
      <c r="P1117">
        <f ca="1">INDEX(INDIRECT(CONCATENATE("Tab_",Tab_Calculs[[#This Row],[Colonne1]])),Tab_Calculs[[#This Row],[index_date_livraison]],7)*(1+MIN(Tab_Calculs[[#This Row],[Date_livraison]],Tab_Calculs[[#This Row],[fin mois]])-MAX(Tab_Calculs[[#This Row],[Début mois]],Tab_Calculs[[#This Row],[Début periode livraison]]))</f>
        <v>0</v>
      </c>
      <c r="Q1117" t="e">
        <f ca="1">INDEX(INDIRECT(CONCATENATE("Tab_",Tab_Calculs[[#This Row],[Colonne1]])),Tab_Calculs[[#This Row],[index_date_livraison]]+1,7)*(Tab_Calculs[[#This Row],[fin mois]]-MIN(Tab_Calculs[[#This Row],[fin mois]],Tab_Calculs[[#This Row],[Date_livraison]]))</f>
        <v>#VALUE!</v>
      </c>
      <c r="R1117" t="e">
        <f ca="1">Tab_Calculs[[#This Row],[Ratio_Cout_après_livr]]+Tab_Calculs[[#This Row],[Ratio_Cout_avant_livr]]+Tab_Calculs[[#This Row],[Ratio_Cout_avant_debut]]</f>
        <v>#VALUE!</v>
      </c>
      <c r="S1117" t="str">
        <f ca="1">IFERROR(N1117*VLOOKUP(Tab_Calculs[[#This Row],[Colonne1]],Controle_des_données!$B$7:$G$14,6,FALSE),"")</f>
        <v/>
      </c>
      <c r="T1117" t="str">
        <f ca="1">IF(Tab_Calculs[[#This Row],[Combustible ]]="Electricité (kWh)",Tab_Calculs[[#This Row],[Conso_mois_kWh]]*2.3,Tab_Calculs[[#This Row],[Conso_mois_kWh]])</f>
        <v/>
      </c>
      <c r="U1117" t="str">
        <f ca="1">IFERROR(N1117*VLOOKUP(Tab_Calculs[[#This Row],[Colonne1]],Controle_des_données!$B$7:$H$14,7,FALSE),"")</f>
        <v/>
      </c>
      <c r="V1117">
        <f ca="1">IFERROR(Tab_Calculs[[#This Row],[Cout_mois]]/Tab_Calculs[[#This Row],[Conso_mois_kWh]],0)</f>
        <v>0</v>
      </c>
      <c r="W1117" t="str">
        <f>T(VLOOKUP(Tab_Calculs[[#This Row],[Compteur]],Site!$B$33:$G$40,3,FALSE))</f>
        <v/>
      </c>
      <c r="X1117" t="str">
        <f>T(VLOOKUP(Tab_Calculs[[#This Row],[Compteur]],Site!$B$33:$G$40,4,FALSE))</f>
        <v/>
      </c>
      <c r="Y1117" t="str">
        <f>T(VLOOKUP(Tab_Calculs[[#This Row],[Compteur]],Site!$B$33:$G$40,5,FALSE))</f>
        <v/>
      </c>
      <c r="Z1117" t="str">
        <f>T(VLOOKUP(Tab_Calculs[[#This Row],[Compteur]],Site!$B$33:$G$40,6,FALSE))</f>
        <v/>
      </c>
      <c r="AA1117">
        <f>IFERROR(GETPIVOTDATA("DJU(chauffagiste)",BDD_DJU!$P$13,"annee",Tab_Calculs[[#This Row],[ANNEE]],"mois_numero",Tab_Calculs[[#This Row],[MOIS]]),0)</f>
        <v>81.8</v>
      </c>
    </row>
    <row r="1118" spans="1:27" x14ac:dyDescent="0.25">
      <c r="A1118" s="3">
        <f>DATE(Tab_Calculs[[#This Row],[ANNEE]],Tab_Calculs[[#This Row],[MOIS]],1)</f>
        <v>44713</v>
      </c>
      <c r="B1118" s="3">
        <f>EDATE(Tab_Calculs[[#This Row],[Début mois]],1)-1</f>
        <v>44742</v>
      </c>
      <c r="C1118">
        <f t="shared" si="38"/>
        <v>6</v>
      </c>
      <c r="D1118">
        <f t="shared" si="39"/>
        <v>2022</v>
      </c>
      <c r="E1118" t="s">
        <v>85</v>
      </c>
      <c r="F1118" t="str">
        <f>SUBSTITUTE(Tab_Calculs[[#This Row],[Compteur]]," ","_")</f>
        <v>Compteur_6</v>
      </c>
      <c r="G1118" t="str">
        <f>T(INDEX(Site!$B$33:$G$40, MATCH(Tab_Calculs[[#This Row],[Compteur]], Site!$B$33:$B$40,0),2))</f>
        <v/>
      </c>
      <c r="H1118" s="3">
        <f t="array" aca="1" ref="H1118" ca="1">MIN(IF(INDIRECT(CONCATENATE(Tab_Calculs[[#This Row],[Colonne1]],"!$B$2:$B$243"))&gt;=Calculs_Consos!$A1118,INDIRECT(CONCATENATE(Tab_Calculs[[#This Row],[Colonne1]],"!$B$2:$B$243"))))</f>
        <v>0</v>
      </c>
      <c r="I1118" s="3">
        <f ca="1">INDEX(INDIRECT(CONCATENATE("Tab_",Tab_Calculs[[#This Row],[Colonne1]])),Tab_Calculs[[#This Row],[index_date_livraison]],1)</f>
        <v>0</v>
      </c>
      <c r="J1118">
        <f ca="1">MATCH(Tab_Calculs[[#This Row],[Date_livraison]],INDIRECT(CONCATENATE("Tab_",Tab_Calculs[[#This Row],[Colonne1]],"[Fin de période]")),0)</f>
        <v>1</v>
      </c>
      <c r="K1118" t="e">
        <f ca="1">INDEX(INDIRECT(CONCATENATE("Tab_",Tab_Calculs[[#This Row],[Colonne1]])),Tab_Calculs[[#This Row],[index_date_livraison]]-1,6)*(MAX(Tab_Calculs[[#This Row],[Début periode livraison]],Tab_Calculs[[#This Row],[Début mois]])-Tab_Calculs[[#This Row],[Début mois]])</f>
        <v>#VALUE!</v>
      </c>
      <c r="L1118" s="94">
        <f ca="1">INDEX(INDIRECT(CONCATENATE("Tab_",Tab_Calculs[[#This Row],[Colonne1]])),Tab_Calculs[[#This Row],[index_date_livraison]],6)*(1+MIN(Tab_Calculs[[#This Row],[Date_livraison]],Tab_Calculs[[#This Row],[fin mois]])-MAX(Tab_Calculs[[#This Row],[Début mois]],Tab_Calculs[[#This Row],[Début periode livraison]]))</f>
        <v>0</v>
      </c>
      <c r="M1118" s="94" t="e">
        <f ca="1">INDEX(INDIRECT(CONCATENATE("Tab_",Tab_Calculs[[#This Row],[Colonne1]])),Tab_Calculs[[#This Row],[index_date_livraison]]+1,6)*(Tab_Calculs[[#This Row],[fin mois]]-MIN(Tab_Calculs[[#This Row],[fin mois]],Tab_Calculs[[#This Row],[Date_livraison]]))</f>
        <v>#VALUE!</v>
      </c>
      <c r="N1118" s="231" t="str">
        <f ca="1">IFERROR(Tab_Calculs[[#This Row],[Ratio_jour_après_livr]]+Tab_Calculs[[#This Row],[Ratio_jour_avant_livr]]+Tab_Calculs[[#This Row],[ratio_avant_debut]],"")</f>
        <v/>
      </c>
      <c r="O1118" t="e">
        <f ca="1">INDEX(INDIRECT(CONCATENATE("Tab_",Tab_Calculs[[#This Row],[Colonne1]])),Tab_Calculs[[#This Row],[index_date_livraison]]-1,7)*(MAX(Tab_Calculs[[#This Row],[Début periode livraison]],Tab_Calculs[[#This Row],[Début mois]])-Tab_Calculs[[#This Row],[Début mois]])</f>
        <v>#VALUE!</v>
      </c>
      <c r="P1118">
        <f ca="1">INDEX(INDIRECT(CONCATENATE("Tab_",Tab_Calculs[[#This Row],[Colonne1]])),Tab_Calculs[[#This Row],[index_date_livraison]],7)*(1+MIN(Tab_Calculs[[#This Row],[Date_livraison]],Tab_Calculs[[#This Row],[fin mois]])-MAX(Tab_Calculs[[#This Row],[Début mois]],Tab_Calculs[[#This Row],[Début periode livraison]]))</f>
        <v>0</v>
      </c>
      <c r="Q1118" t="e">
        <f ca="1">INDEX(INDIRECT(CONCATENATE("Tab_",Tab_Calculs[[#This Row],[Colonne1]])),Tab_Calculs[[#This Row],[index_date_livraison]]+1,7)*(Tab_Calculs[[#This Row],[fin mois]]-MIN(Tab_Calculs[[#This Row],[fin mois]],Tab_Calculs[[#This Row],[Date_livraison]]))</f>
        <v>#VALUE!</v>
      </c>
      <c r="R1118" t="e">
        <f ca="1">Tab_Calculs[[#This Row],[Ratio_Cout_après_livr]]+Tab_Calculs[[#This Row],[Ratio_Cout_avant_livr]]+Tab_Calculs[[#This Row],[Ratio_Cout_avant_debut]]</f>
        <v>#VALUE!</v>
      </c>
      <c r="S1118" t="str">
        <f ca="1">IFERROR(N1118*VLOOKUP(Tab_Calculs[[#This Row],[Colonne1]],Controle_des_données!$B$7:$G$14,6,FALSE),"")</f>
        <v/>
      </c>
      <c r="T1118" t="str">
        <f ca="1">IF(Tab_Calculs[[#This Row],[Combustible ]]="Electricité (kWh)",Tab_Calculs[[#This Row],[Conso_mois_kWh]]*2.3,Tab_Calculs[[#This Row],[Conso_mois_kWh]])</f>
        <v/>
      </c>
      <c r="U1118" t="str">
        <f ca="1">IFERROR(N1118*VLOOKUP(Tab_Calculs[[#This Row],[Colonne1]],Controle_des_données!$B$7:$H$14,7,FALSE),"")</f>
        <v/>
      </c>
      <c r="V1118">
        <f ca="1">IFERROR(Tab_Calculs[[#This Row],[Cout_mois]]/Tab_Calculs[[#This Row],[Conso_mois_kWh]],0)</f>
        <v>0</v>
      </c>
      <c r="W1118" t="str">
        <f>T(VLOOKUP(Tab_Calculs[[#This Row],[Compteur]],Site!$B$33:$G$40,3,FALSE))</f>
        <v/>
      </c>
      <c r="X1118" t="str">
        <f>T(VLOOKUP(Tab_Calculs[[#This Row],[Compteur]],Site!$B$33:$G$40,4,FALSE))</f>
        <v/>
      </c>
      <c r="Y1118" t="str">
        <f>T(VLOOKUP(Tab_Calculs[[#This Row],[Compteur]],Site!$B$33:$G$40,5,FALSE))</f>
        <v/>
      </c>
      <c r="Z1118" t="str">
        <f>T(VLOOKUP(Tab_Calculs[[#This Row],[Compteur]],Site!$B$33:$G$40,6,FALSE))</f>
        <v/>
      </c>
      <c r="AA1118">
        <f>IFERROR(GETPIVOTDATA("DJU(chauffagiste)",BDD_DJU!$P$13,"annee",Tab_Calculs[[#This Row],[ANNEE]],"mois_numero",Tab_Calculs[[#This Row],[MOIS]]),0)</f>
        <v>35.5</v>
      </c>
    </row>
    <row r="1119" spans="1:27" x14ac:dyDescent="0.25">
      <c r="A1119" s="3">
        <f>DATE(Tab_Calculs[[#This Row],[ANNEE]],Tab_Calculs[[#This Row],[MOIS]],1)</f>
        <v>44743</v>
      </c>
      <c r="B1119" s="3">
        <f>EDATE(Tab_Calculs[[#This Row],[Début mois]],1)-1</f>
        <v>44773</v>
      </c>
      <c r="C1119">
        <f t="shared" si="38"/>
        <v>7</v>
      </c>
      <c r="D1119">
        <f t="shared" si="39"/>
        <v>2022</v>
      </c>
      <c r="E1119" t="s">
        <v>85</v>
      </c>
      <c r="F1119" t="str">
        <f>SUBSTITUTE(Tab_Calculs[[#This Row],[Compteur]]," ","_")</f>
        <v>Compteur_6</v>
      </c>
      <c r="G1119" t="str">
        <f>T(INDEX(Site!$B$33:$G$40, MATCH(Tab_Calculs[[#This Row],[Compteur]], Site!$B$33:$B$40,0),2))</f>
        <v/>
      </c>
      <c r="H1119" s="3">
        <f t="array" aca="1" ref="H1119" ca="1">MIN(IF(INDIRECT(CONCATENATE(Tab_Calculs[[#This Row],[Colonne1]],"!$B$2:$B$243"))&gt;=Calculs_Consos!$A1119,INDIRECT(CONCATENATE(Tab_Calculs[[#This Row],[Colonne1]],"!$B$2:$B$243"))))</f>
        <v>0</v>
      </c>
      <c r="I1119" s="3">
        <f ca="1">INDEX(INDIRECT(CONCATENATE("Tab_",Tab_Calculs[[#This Row],[Colonne1]])),Tab_Calculs[[#This Row],[index_date_livraison]],1)</f>
        <v>0</v>
      </c>
      <c r="J1119">
        <f ca="1">MATCH(Tab_Calculs[[#This Row],[Date_livraison]],INDIRECT(CONCATENATE("Tab_",Tab_Calculs[[#This Row],[Colonne1]],"[Fin de période]")),0)</f>
        <v>1</v>
      </c>
      <c r="K1119" t="e">
        <f ca="1">INDEX(INDIRECT(CONCATENATE("Tab_",Tab_Calculs[[#This Row],[Colonne1]])),Tab_Calculs[[#This Row],[index_date_livraison]]-1,6)*(MAX(Tab_Calculs[[#This Row],[Début periode livraison]],Tab_Calculs[[#This Row],[Début mois]])-Tab_Calculs[[#This Row],[Début mois]])</f>
        <v>#VALUE!</v>
      </c>
      <c r="L1119" s="94">
        <f ca="1">INDEX(INDIRECT(CONCATENATE("Tab_",Tab_Calculs[[#This Row],[Colonne1]])),Tab_Calculs[[#This Row],[index_date_livraison]],6)*(1+MIN(Tab_Calculs[[#This Row],[Date_livraison]],Tab_Calculs[[#This Row],[fin mois]])-MAX(Tab_Calculs[[#This Row],[Début mois]],Tab_Calculs[[#This Row],[Début periode livraison]]))</f>
        <v>0</v>
      </c>
      <c r="M1119" s="94" t="e">
        <f ca="1">INDEX(INDIRECT(CONCATENATE("Tab_",Tab_Calculs[[#This Row],[Colonne1]])),Tab_Calculs[[#This Row],[index_date_livraison]]+1,6)*(Tab_Calculs[[#This Row],[fin mois]]-MIN(Tab_Calculs[[#This Row],[fin mois]],Tab_Calculs[[#This Row],[Date_livraison]]))</f>
        <v>#VALUE!</v>
      </c>
      <c r="N1119" s="231" t="str">
        <f ca="1">IFERROR(Tab_Calculs[[#This Row],[Ratio_jour_après_livr]]+Tab_Calculs[[#This Row],[Ratio_jour_avant_livr]]+Tab_Calculs[[#This Row],[ratio_avant_debut]],"")</f>
        <v/>
      </c>
      <c r="O1119" t="e">
        <f ca="1">INDEX(INDIRECT(CONCATENATE("Tab_",Tab_Calculs[[#This Row],[Colonne1]])),Tab_Calculs[[#This Row],[index_date_livraison]]-1,7)*(MAX(Tab_Calculs[[#This Row],[Début periode livraison]],Tab_Calculs[[#This Row],[Début mois]])-Tab_Calculs[[#This Row],[Début mois]])</f>
        <v>#VALUE!</v>
      </c>
      <c r="P1119">
        <f ca="1">INDEX(INDIRECT(CONCATENATE("Tab_",Tab_Calculs[[#This Row],[Colonne1]])),Tab_Calculs[[#This Row],[index_date_livraison]],7)*(1+MIN(Tab_Calculs[[#This Row],[Date_livraison]],Tab_Calculs[[#This Row],[fin mois]])-MAX(Tab_Calculs[[#This Row],[Début mois]],Tab_Calculs[[#This Row],[Début periode livraison]]))</f>
        <v>0</v>
      </c>
      <c r="Q1119" t="e">
        <f ca="1">INDEX(INDIRECT(CONCATENATE("Tab_",Tab_Calculs[[#This Row],[Colonne1]])),Tab_Calculs[[#This Row],[index_date_livraison]]+1,7)*(Tab_Calculs[[#This Row],[fin mois]]-MIN(Tab_Calculs[[#This Row],[fin mois]],Tab_Calculs[[#This Row],[Date_livraison]]))</f>
        <v>#VALUE!</v>
      </c>
      <c r="R1119" t="e">
        <f ca="1">Tab_Calculs[[#This Row],[Ratio_Cout_après_livr]]+Tab_Calculs[[#This Row],[Ratio_Cout_avant_livr]]+Tab_Calculs[[#This Row],[Ratio_Cout_avant_debut]]</f>
        <v>#VALUE!</v>
      </c>
      <c r="S1119" t="str">
        <f ca="1">IFERROR(N1119*VLOOKUP(Tab_Calculs[[#This Row],[Colonne1]],Controle_des_données!$B$7:$G$14,6,FALSE),"")</f>
        <v/>
      </c>
      <c r="T1119" t="str">
        <f ca="1">IF(Tab_Calculs[[#This Row],[Combustible ]]="Electricité (kWh)",Tab_Calculs[[#This Row],[Conso_mois_kWh]]*2.3,Tab_Calculs[[#This Row],[Conso_mois_kWh]])</f>
        <v/>
      </c>
      <c r="U1119" t="str">
        <f ca="1">IFERROR(N1119*VLOOKUP(Tab_Calculs[[#This Row],[Colonne1]],Controle_des_données!$B$7:$H$14,7,FALSE),"")</f>
        <v/>
      </c>
      <c r="V1119">
        <f ca="1">IFERROR(Tab_Calculs[[#This Row],[Cout_mois]]/Tab_Calculs[[#This Row],[Conso_mois_kWh]],0)</f>
        <v>0</v>
      </c>
      <c r="W1119" t="str">
        <f>T(VLOOKUP(Tab_Calculs[[#This Row],[Compteur]],Site!$B$33:$G$40,3,FALSE))</f>
        <v/>
      </c>
      <c r="X1119" t="str">
        <f>T(VLOOKUP(Tab_Calculs[[#This Row],[Compteur]],Site!$B$33:$G$40,4,FALSE))</f>
        <v/>
      </c>
      <c r="Y1119" t="str">
        <f>T(VLOOKUP(Tab_Calculs[[#This Row],[Compteur]],Site!$B$33:$G$40,5,FALSE))</f>
        <v/>
      </c>
      <c r="Z1119" t="str">
        <f>T(VLOOKUP(Tab_Calculs[[#This Row],[Compteur]],Site!$B$33:$G$40,6,FALSE))</f>
        <v/>
      </c>
      <c r="AA1119">
        <f>IFERROR(GETPIVOTDATA("DJU(chauffagiste)",BDD_DJU!$P$13,"annee",Tab_Calculs[[#This Row],[ANNEE]],"mois_numero",Tab_Calculs[[#This Row],[MOIS]]),0)</f>
        <v>18.8</v>
      </c>
    </row>
    <row r="1120" spans="1:27" x14ac:dyDescent="0.25">
      <c r="A1120" s="3">
        <f>DATE(Tab_Calculs[[#This Row],[ANNEE]],Tab_Calculs[[#This Row],[MOIS]],1)</f>
        <v>44774</v>
      </c>
      <c r="B1120" s="3">
        <f>EDATE(Tab_Calculs[[#This Row],[Début mois]],1)-1</f>
        <v>44804</v>
      </c>
      <c r="C1120">
        <f t="shared" si="38"/>
        <v>8</v>
      </c>
      <c r="D1120">
        <f t="shared" si="39"/>
        <v>2022</v>
      </c>
      <c r="E1120" t="s">
        <v>85</v>
      </c>
      <c r="F1120" t="str">
        <f>SUBSTITUTE(Tab_Calculs[[#This Row],[Compteur]]," ","_")</f>
        <v>Compteur_6</v>
      </c>
      <c r="G1120" t="str">
        <f>T(INDEX(Site!$B$33:$G$40, MATCH(Tab_Calculs[[#This Row],[Compteur]], Site!$B$33:$B$40,0),2))</f>
        <v/>
      </c>
      <c r="H1120" s="3">
        <f t="array" aca="1" ref="H1120" ca="1">MIN(IF(INDIRECT(CONCATENATE(Tab_Calculs[[#This Row],[Colonne1]],"!$B$2:$B$243"))&gt;=Calculs_Consos!$A1120,INDIRECT(CONCATENATE(Tab_Calculs[[#This Row],[Colonne1]],"!$B$2:$B$243"))))</f>
        <v>0</v>
      </c>
      <c r="I1120" s="3">
        <f ca="1">INDEX(INDIRECT(CONCATENATE("Tab_",Tab_Calculs[[#This Row],[Colonne1]])),Tab_Calculs[[#This Row],[index_date_livraison]],1)</f>
        <v>0</v>
      </c>
      <c r="J1120">
        <f ca="1">MATCH(Tab_Calculs[[#This Row],[Date_livraison]],INDIRECT(CONCATENATE("Tab_",Tab_Calculs[[#This Row],[Colonne1]],"[Fin de période]")),0)</f>
        <v>1</v>
      </c>
      <c r="K1120" t="e">
        <f ca="1">INDEX(INDIRECT(CONCATENATE("Tab_",Tab_Calculs[[#This Row],[Colonne1]])),Tab_Calculs[[#This Row],[index_date_livraison]]-1,6)*(MAX(Tab_Calculs[[#This Row],[Début periode livraison]],Tab_Calculs[[#This Row],[Début mois]])-Tab_Calculs[[#This Row],[Début mois]])</f>
        <v>#VALUE!</v>
      </c>
      <c r="L1120" s="94">
        <f ca="1">INDEX(INDIRECT(CONCATENATE("Tab_",Tab_Calculs[[#This Row],[Colonne1]])),Tab_Calculs[[#This Row],[index_date_livraison]],6)*(1+MIN(Tab_Calculs[[#This Row],[Date_livraison]],Tab_Calculs[[#This Row],[fin mois]])-MAX(Tab_Calculs[[#This Row],[Début mois]],Tab_Calculs[[#This Row],[Début periode livraison]]))</f>
        <v>0</v>
      </c>
      <c r="M1120" s="94" t="e">
        <f ca="1">INDEX(INDIRECT(CONCATENATE("Tab_",Tab_Calculs[[#This Row],[Colonne1]])),Tab_Calculs[[#This Row],[index_date_livraison]]+1,6)*(Tab_Calculs[[#This Row],[fin mois]]-MIN(Tab_Calculs[[#This Row],[fin mois]],Tab_Calculs[[#This Row],[Date_livraison]]))</f>
        <v>#VALUE!</v>
      </c>
      <c r="N1120" s="231" t="str">
        <f ca="1">IFERROR(Tab_Calculs[[#This Row],[Ratio_jour_après_livr]]+Tab_Calculs[[#This Row],[Ratio_jour_avant_livr]]+Tab_Calculs[[#This Row],[ratio_avant_debut]],"")</f>
        <v/>
      </c>
      <c r="O1120" t="e">
        <f ca="1">INDEX(INDIRECT(CONCATENATE("Tab_",Tab_Calculs[[#This Row],[Colonne1]])),Tab_Calculs[[#This Row],[index_date_livraison]]-1,7)*(MAX(Tab_Calculs[[#This Row],[Début periode livraison]],Tab_Calculs[[#This Row],[Début mois]])-Tab_Calculs[[#This Row],[Début mois]])</f>
        <v>#VALUE!</v>
      </c>
      <c r="P1120">
        <f ca="1">INDEX(INDIRECT(CONCATENATE("Tab_",Tab_Calculs[[#This Row],[Colonne1]])),Tab_Calculs[[#This Row],[index_date_livraison]],7)*(1+MIN(Tab_Calculs[[#This Row],[Date_livraison]],Tab_Calculs[[#This Row],[fin mois]])-MAX(Tab_Calculs[[#This Row],[Début mois]],Tab_Calculs[[#This Row],[Début periode livraison]]))</f>
        <v>0</v>
      </c>
      <c r="Q1120" t="e">
        <f ca="1">INDEX(INDIRECT(CONCATENATE("Tab_",Tab_Calculs[[#This Row],[Colonne1]])),Tab_Calculs[[#This Row],[index_date_livraison]]+1,7)*(Tab_Calculs[[#This Row],[fin mois]]-MIN(Tab_Calculs[[#This Row],[fin mois]],Tab_Calculs[[#This Row],[Date_livraison]]))</f>
        <v>#VALUE!</v>
      </c>
      <c r="R1120" t="e">
        <f ca="1">Tab_Calculs[[#This Row],[Ratio_Cout_après_livr]]+Tab_Calculs[[#This Row],[Ratio_Cout_avant_livr]]+Tab_Calculs[[#This Row],[Ratio_Cout_avant_debut]]</f>
        <v>#VALUE!</v>
      </c>
      <c r="S1120" t="str">
        <f ca="1">IFERROR(N1120*VLOOKUP(Tab_Calculs[[#This Row],[Colonne1]],Controle_des_données!$B$7:$G$14,6,FALSE),"")</f>
        <v/>
      </c>
      <c r="T1120" t="str">
        <f ca="1">IF(Tab_Calculs[[#This Row],[Combustible ]]="Electricité (kWh)",Tab_Calculs[[#This Row],[Conso_mois_kWh]]*2.3,Tab_Calculs[[#This Row],[Conso_mois_kWh]])</f>
        <v/>
      </c>
      <c r="U1120" t="str">
        <f ca="1">IFERROR(N1120*VLOOKUP(Tab_Calculs[[#This Row],[Colonne1]],Controle_des_données!$B$7:$H$14,7,FALSE),"")</f>
        <v/>
      </c>
      <c r="V1120">
        <f ca="1">IFERROR(Tab_Calculs[[#This Row],[Cout_mois]]/Tab_Calculs[[#This Row],[Conso_mois_kWh]],0)</f>
        <v>0</v>
      </c>
      <c r="W1120" t="str">
        <f>T(VLOOKUP(Tab_Calculs[[#This Row],[Compteur]],Site!$B$33:$G$40,3,FALSE))</f>
        <v/>
      </c>
      <c r="X1120" t="str">
        <f>T(VLOOKUP(Tab_Calculs[[#This Row],[Compteur]],Site!$B$33:$G$40,4,FALSE))</f>
        <v/>
      </c>
      <c r="Y1120" t="str">
        <f>T(VLOOKUP(Tab_Calculs[[#This Row],[Compteur]],Site!$B$33:$G$40,5,FALSE))</f>
        <v/>
      </c>
      <c r="Z1120" t="str">
        <f>T(VLOOKUP(Tab_Calculs[[#This Row],[Compteur]],Site!$B$33:$G$40,6,FALSE))</f>
        <v/>
      </c>
      <c r="AA1120">
        <f>IFERROR(GETPIVOTDATA("DJU(chauffagiste)",BDD_DJU!$P$13,"annee",Tab_Calculs[[#This Row],[ANNEE]],"mois_numero",Tab_Calculs[[#This Row],[MOIS]]),0)</f>
        <v>10.7</v>
      </c>
    </row>
    <row r="1121" spans="1:27" x14ac:dyDescent="0.25">
      <c r="A1121" s="3">
        <f>DATE(Tab_Calculs[[#This Row],[ANNEE]],Tab_Calculs[[#This Row],[MOIS]],1)</f>
        <v>44805</v>
      </c>
      <c r="B1121" s="3">
        <f>EDATE(Tab_Calculs[[#This Row],[Début mois]],1)-1</f>
        <v>44834</v>
      </c>
      <c r="C1121">
        <f t="shared" si="38"/>
        <v>9</v>
      </c>
      <c r="D1121">
        <f t="shared" si="39"/>
        <v>2022</v>
      </c>
      <c r="E1121" t="s">
        <v>85</v>
      </c>
      <c r="F1121" t="str">
        <f>SUBSTITUTE(Tab_Calculs[[#This Row],[Compteur]]," ","_")</f>
        <v>Compteur_6</v>
      </c>
      <c r="G1121" t="str">
        <f>T(INDEX(Site!$B$33:$G$40, MATCH(Tab_Calculs[[#This Row],[Compteur]], Site!$B$33:$B$40,0),2))</f>
        <v/>
      </c>
      <c r="H1121" s="3">
        <f t="array" aca="1" ref="H1121" ca="1">MIN(IF(INDIRECT(CONCATENATE(Tab_Calculs[[#This Row],[Colonne1]],"!$B$2:$B$243"))&gt;=Calculs_Consos!$A1121,INDIRECT(CONCATENATE(Tab_Calculs[[#This Row],[Colonne1]],"!$B$2:$B$243"))))</f>
        <v>0</v>
      </c>
      <c r="I1121" s="3">
        <f ca="1">INDEX(INDIRECT(CONCATENATE("Tab_",Tab_Calculs[[#This Row],[Colonne1]])),Tab_Calculs[[#This Row],[index_date_livraison]],1)</f>
        <v>0</v>
      </c>
      <c r="J1121">
        <f ca="1">MATCH(Tab_Calculs[[#This Row],[Date_livraison]],INDIRECT(CONCATENATE("Tab_",Tab_Calculs[[#This Row],[Colonne1]],"[Fin de période]")),0)</f>
        <v>1</v>
      </c>
      <c r="K1121" t="e">
        <f ca="1">INDEX(INDIRECT(CONCATENATE("Tab_",Tab_Calculs[[#This Row],[Colonne1]])),Tab_Calculs[[#This Row],[index_date_livraison]]-1,6)*(MAX(Tab_Calculs[[#This Row],[Début periode livraison]],Tab_Calculs[[#This Row],[Début mois]])-Tab_Calculs[[#This Row],[Début mois]])</f>
        <v>#VALUE!</v>
      </c>
      <c r="L1121" s="94">
        <f ca="1">INDEX(INDIRECT(CONCATENATE("Tab_",Tab_Calculs[[#This Row],[Colonne1]])),Tab_Calculs[[#This Row],[index_date_livraison]],6)*(1+MIN(Tab_Calculs[[#This Row],[Date_livraison]],Tab_Calculs[[#This Row],[fin mois]])-MAX(Tab_Calculs[[#This Row],[Début mois]],Tab_Calculs[[#This Row],[Début periode livraison]]))</f>
        <v>0</v>
      </c>
      <c r="M1121" s="94" t="e">
        <f ca="1">INDEX(INDIRECT(CONCATENATE("Tab_",Tab_Calculs[[#This Row],[Colonne1]])),Tab_Calculs[[#This Row],[index_date_livraison]]+1,6)*(Tab_Calculs[[#This Row],[fin mois]]-MIN(Tab_Calculs[[#This Row],[fin mois]],Tab_Calculs[[#This Row],[Date_livraison]]))</f>
        <v>#VALUE!</v>
      </c>
      <c r="N1121" s="231" t="str">
        <f ca="1">IFERROR(Tab_Calculs[[#This Row],[Ratio_jour_après_livr]]+Tab_Calculs[[#This Row],[Ratio_jour_avant_livr]]+Tab_Calculs[[#This Row],[ratio_avant_debut]],"")</f>
        <v/>
      </c>
      <c r="O1121" t="e">
        <f ca="1">INDEX(INDIRECT(CONCATENATE("Tab_",Tab_Calculs[[#This Row],[Colonne1]])),Tab_Calculs[[#This Row],[index_date_livraison]]-1,7)*(MAX(Tab_Calculs[[#This Row],[Début periode livraison]],Tab_Calculs[[#This Row],[Début mois]])-Tab_Calculs[[#This Row],[Début mois]])</f>
        <v>#VALUE!</v>
      </c>
      <c r="P1121">
        <f ca="1">INDEX(INDIRECT(CONCATENATE("Tab_",Tab_Calculs[[#This Row],[Colonne1]])),Tab_Calculs[[#This Row],[index_date_livraison]],7)*(1+MIN(Tab_Calculs[[#This Row],[Date_livraison]],Tab_Calculs[[#This Row],[fin mois]])-MAX(Tab_Calculs[[#This Row],[Début mois]],Tab_Calculs[[#This Row],[Début periode livraison]]))</f>
        <v>0</v>
      </c>
      <c r="Q1121" t="e">
        <f ca="1">INDEX(INDIRECT(CONCATENATE("Tab_",Tab_Calculs[[#This Row],[Colonne1]])),Tab_Calculs[[#This Row],[index_date_livraison]]+1,7)*(Tab_Calculs[[#This Row],[fin mois]]-MIN(Tab_Calculs[[#This Row],[fin mois]],Tab_Calculs[[#This Row],[Date_livraison]]))</f>
        <v>#VALUE!</v>
      </c>
      <c r="R1121" t="e">
        <f ca="1">Tab_Calculs[[#This Row],[Ratio_Cout_après_livr]]+Tab_Calculs[[#This Row],[Ratio_Cout_avant_livr]]+Tab_Calculs[[#This Row],[Ratio_Cout_avant_debut]]</f>
        <v>#VALUE!</v>
      </c>
      <c r="S1121" t="str">
        <f ca="1">IFERROR(N1121*VLOOKUP(Tab_Calculs[[#This Row],[Colonne1]],Controle_des_données!$B$7:$G$14,6,FALSE),"")</f>
        <v/>
      </c>
      <c r="T1121" t="str">
        <f ca="1">IF(Tab_Calculs[[#This Row],[Combustible ]]="Electricité (kWh)",Tab_Calculs[[#This Row],[Conso_mois_kWh]]*2.3,Tab_Calculs[[#This Row],[Conso_mois_kWh]])</f>
        <v/>
      </c>
      <c r="U1121" t="str">
        <f ca="1">IFERROR(N1121*VLOOKUP(Tab_Calculs[[#This Row],[Colonne1]],Controle_des_données!$B$7:$H$14,7,FALSE),"")</f>
        <v/>
      </c>
      <c r="V1121">
        <f ca="1">IFERROR(Tab_Calculs[[#This Row],[Cout_mois]]/Tab_Calculs[[#This Row],[Conso_mois_kWh]],0)</f>
        <v>0</v>
      </c>
      <c r="W1121" t="str">
        <f>T(VLOOKUP(Tab_Calculs[[#This Row],[Compteur]],Site!$B$33:$G$40,3,FALSE))</f>
        <v/>
      </c>
      <c r="X1121" t="str">
        <f>T(VLOOKUP(Tab_Calculs[[#This Row],[Compteur]],Site!$B$33:$G$40,4,FALSE))</f>
        <v/>
      </c>
      <c r="Y1121" t="str">
        <f>T(VLOOKUP(Tab_Calculs[[#This Row],[Compteur]],Site!$B$33:$G$40,5,FALSE))</f>
        <v/>
      </c>
      <c r="Z1121" t="str">
        <f>T(VLOOKUP(Tab_Calculs[[#This Row],[Compteur]],Site!$B$33:$G$40,6,FALSE))</f>
        <v/>
      </c>
      <c r="AA1121">
        <f>IFERROR(GETPIVOTDATA("DJU(chauffagiste)",BDD_DJU!$P$13,"annee",Tab_Calculs[[#This Row],[ANNEE]],"mois_numero",Tab_Calculs[[#This Row],[MOIS]]),0)</f>
        <v>74.7</v>
      </c>
    </row>
    <row r="1122" spans="1:27" x14ac:dyDescent="0.25">
      <c r="A1122" s="3">
        <f>DATE(Tab_Calculs[[#This Row],[ANNEE]],Tab_Calculs[[#This Row],[MOIS]],1)</f>
        <v>44835</v>
      </c>
      <c r="B1122" s="3">
        <f>EDATE(Tab_Calculs[[#This Row],[Début mois]],1)-1</f>
        <v>44865</v>
      </c>
      <c r="C1122">
        <f t="shared" si="38"/>
        <v>10</v>
      </c>
      <c r="D1122">
        <f t="shared" si="39"/>
        <v>2022</v>
      </c>
      <c r="E1122" t="s">
        <v>85</v>
      </c>
      <c r="F1122" t="str">
        <f>SUBSTITUTE(Tab_Calculs[[#This Row],[Compteur]]," ","_")</f>
        <v>Compteur_6</v>
      </c>
      <c r="G1122" t="str">
        <f>T(INDEX(Site!$B$33:$G$40, MATCH(Tab_Calculs[[#This Row],[Compteur]], Site!$B$33:$B$40,0),2))</f>
        <v/>
      </c>
      <c r="H1122" s="3">
        <f t="array" aca="1" ref="H1122" ca="1">MIN(IF(INDIRECT(CONCATENATE(Tab_Calculs[[#This Row],[Colonne1]],"!$B$2:$B$243"))&gt;=Calculs_Consos!$A1122,INDIRECT(CONCATENATE(Tab_Calculs[[#This Row],[Colonne1]],"!$B$2:$B$243"))))</f>
        <v>0</v>
      </c>
      <c r="I1122" s="3">
        <f ca="1">INDEX(INDIRECT(CONCATENATE("Tab_",Tab_Calculs[[#This Row],[Colonne1]])),Tab_Calculs[[#This Row],[index_date_livraison]],1)</f>
        <v>0</v>
      </c>
      <c r="J1122">
        <f ca="1">MATCH(Tab_Calculs[[#This Row],[Date_livraison]],INDIRECT(CONCATENATE("Tab_",Tab_Calculs[[#This Row],[Colonne1]],"[Fin de période]")),0)</f>
        <v>1</v>
      </c>
      <c r="K1122" t="e">
        <f ca="1">INDEX(INDIRECT(CONCATENATE("Tab_",Tab_Calculs[[#This Row],[Colonne1]])),Tab_Calculs[[#This Row],[index_date_livraison]]-1,6)*(MAX(Tab_Calculs[[#This Row],[Début periode livraison]],Tab_Calculs[[#This Row],[Début mois]])-Tab_Calculs[[#This Row],[Début mois]])</f>
        <v>#VALUE!</v>
      </c>
      <c r="L1122" s="94">
        <f ca="1">INDEX(INDIRECT(CONCATENATE("Tab_",Tab_Calculs[[#This Row],[Colonne1]])),Tab_Calculs[[#This Row],[index_date_livraison]],6)*(1+MIN(Tab_Calculs[[#This Row],[Date_livraison]],Tab_Calculs[[#This Row],[fin mois]])-MAX(Tab_Calculs[[#This Row],[Début mois]],Tab_Calculs[[#This Row],[Début periode livraison]]))</f>
        <v>0</v>
      </c>
      <c r="M1122" s="94" t="e">
        <f ca="1">INDEX(INDIRECT(CONCATENATE("Tab_",Tab_Calculs[[#This Row],[Colonne1]])),Tab_Calculs[[#This Row],[index_date_livraison]]+1,6)*(Tab_Calculs[[#This Row],[fin mois]]-MIN(Tab_Calculs[[#This Row],[fin mois]],Tab_Calculs[[#This Row],[Date_livraison]]))</f>
        <v>#VALUE!</v>
      </c>
      <c r="N1122" s="231" t="str">
        <f ca="1">IFERROR(Tab_Calculs[[#This Row],[Ratio_jour_après_livr]]+Tab_Calculs[[#This Row],[Ratio_jour_avant_livr]]+Tab_Calculs[[#This Row],[ratio_avant_debut]],"")</f>
        <v/>
      </c>
      <c r="O1122" t="e">
        <f ca="1">INDEX(INDIRECT(CONCATENATE("Tab_",Tab_Calculs[[#This Row],[Colonne1]])),Tab_Calculs[[#This Row],[index_date_livraison]]-1,7)*(MAX(Tab_Calculs[[#This Row],[Début periode livraison]],Tab_Calculs[[#This Row],[Début mois]])-Tab_Calculs[[#This Row],[Début mois]])</f>
        <v>#VALUE!</v>
      </c>
      <c r="P1122">
        <f ca="1">INDEX(INDIRECT(CONCATENATE("Tab_",Tab_Calculs[[#This Row],[Colonne1]])),Tab_Calculs[[#This Row],[index_date_livraison]],7)*(1+MIN(Tab_Calculs[[#This Row],[Date_livraison]],Tab_Calculs[[#This Row],[fin mois]])-MAX(Tab_Calculs[[#This Row],[Début mois]],Tab_Calculs[[#This Row],[Début periode livraison]]))</f>
        <v>0</v>
      </c>
      <c r="Q1122" t="e">
        <f ca="1">INDEX(INDIRECT(CONCATENATE("Tab_",Tab_Calculs[[#This Row],[Colonne1]])),Tab_Calculs[[#This Row],[index_date_livraison]]+1,7)*(Tab_Calculs[[#This Row],[fin mois]]-MIN(Tab_Calculs[[#This Row],[fin mois]],Tab_Calculs[[#This Row],[Date_livraison]]))</f>
        <v>#VALUE!</v>
      </c>
      <c r="R1122" t="e">
        <f ca="1">Tab_Calculs[[#This Row],[Ratio_Cout_après_livr]]+Tab_Calculs[[#This Row],[Ratio_Cout_avant_livr]]+Tab_Calculs[[#This Row],[Ratio_Cout_avant_debut]]</f>
        <v>#VALUE!</v>
      </c>
      <c r="S1122" t="str">
        <f ca="1">IFERROR(N1122*VLOOKUP(Tab_Calculs[[#This Row],[Colonne1]],Controle_des_données!$B$7:$G$14,6,FALSE),"")</f>
        <v/>
      </c>
      <c r="T1122" t="str">
        <f ca="1">IF(Tab_Calculs[[#This Row],[Combustible ]]="Electricité (kWh)",Tab_Calculs[[#This Row],[Conso_mois_kWh]]*2.3,Tab_Calculs[[#This Row],[Conso_mois_kWh]])</f>
        <v/>
      </c>
      <c r="U1122" t="str">
        <f ca="1">IFERROR(N1122*VLOOKUP(Tab_Calculs[[#This Row],[Colonne1]],Controle_des_données!$B$7:$H$14,7,FALSE),"")</f>
        <v/>
      </c>
      <c r="V1122">
        <f ca="1">IFERROR(Tab_Calculs[[#This Row],[Cout_mois]]/Tab_Calculs[[#This Row],[Conso_mois_kWh]],0)</f>
        <v>0</v>
      </c>
      <c r="W1122" t="str">
        <f>T(VLOOKUP(Tab_Calculs[[#This Row],[Compteur]],Site!$B$33:$G$40,3,FALSE))</f>
        <v/>
      </c>
      <c r="X1122" t="str">
        <f>T(VLOOKUP(Tab_Calculs[[#This Row],[Compteur]],Site!$B$33:$G$40,4,FALSE))</f>
        <v/>
      </c>
      <c r="Y1122" t="str">
        <f>T(VLOOKUP(Tab_Calculs[[#This Row],[Compteur]],Site!$B$33:$G$40,5,FALSE))</f>
        <v/>
      </c>
      <c r="Z1122" t="str">
        <f>T(VLOOKUP(Tab_Calculs[[#This Row],[Compteur]],Site!$B$33:$G$40,6,FALSE))</f>
        <v/>
      </c>
      <c r="AA1122">
        <f>IFERROR(GETPIVOTDATA("DJU(chauffagiste)",BDD_DJU!$P$13,"annee",Tab_Calculs[[#This Row],[ANNEE]],"mois_numero",Tab_Calculs[[#This Row],[MOIS]]),0)</f>
        <v>73</v>
      </c>
    </row>
    <row r="1123" spans="1:27" x14ac:dyDescent="0.25">
      <c r="A1123" s="3">
        <f>DATE(Tab_Calculs[[#This Row],[ANNEE]],Tab_Calculs[[#This Row],[MOIS]],1)</f>
        <v>44866</v>
      </c>
      <c r="B1123" s="3">
        <f>EDATE(Tab_Calculs[[#This Row],[Début mois]],1)-1</f>
        <v>44895</v>
      </c>
      <c r="C1123">
        <f t="shared" si="38"/>
        <v>11</v>
      </c>
      <c r="D1123">
        <f t="shared" si="39"/>
        <v>2022</v>
      </c>
      <c r="E1123" t="s">
        <v>85</v>
      </c>
      <c r="F1123" t="str">
        <f>SUBSTITUTE(Tab_Calculs[[#This Row],[Compteur]]," ","_")</f>
        <v>Compteur_6</v>
      </c>
      <c r="G1123" t="str">
        <f>T(INDEX(Site!$B$33:$G$40, MATCH(Tab_Calculs[[#This Row],[Compteur]], Site!$B$33:$B$40,0),2))</f>
        <v/>
      </c>
      <c r="H1123" s="3">
        <f t="array" aca="1" ref="H1123" ca="1">MIN(IF(INDIRECT(CONCATENATE(Tab_Calculs[[#This Row],[Colonne1]],"!$B$2:$B$243"))&gt;=Calculs_Consos!$A1123,INDIRECT(CONCATENATE(Tab_Calculs[[#This Row],[Colonne1]],"!$B$2:$B$243"))))</f>
        <v>0</v>
      </c>
      <c r="I1123" s="3">
        <f ca="1">INDEX(INDIRECT(CONCATENATE("Tab_",Tab_Calculs[[#This Row],[Colonne1]])),Tab_Calculs[[#This Row],[index_date_livraison]],1)</f>
        <v>0</v>
      </c>
      <c r="J1123">
        <f ca="1">MATCH(Tab_Calculs[[#This Row],[Date_livraison]],INDIRECT(CONCATENATE("Tab_",Tab_Calculs[[#This Row],[Colonne1]],"[Fin de période]")),0)</f>
        <v>1</v>
      </c>
      <c r="K1123" t="e">
        <f ca="1">INDEX(INDIRECT(CONCATENATE("Tab_",Tab_Calculs[[#This Row],[Colonne1]])),Tab_Calculs[[#This Row],[index_date_livraison]]-1,6)*(MAX(Tab_Calculs[[#This Row],[Début periode livraison]],Tab_Calculs[[#This Row],[Début mois]])-Tab_Calculs[[#This Row],[Début mois]])</f>
        <v>#VALUE!</v>
      </c>
      <c r="L1123" s="94">
        <f ca="1">INDEX(INDIRECT(CONCATENATE("Tab_",Tab_Calculs[[#This Row],[Colonne1]])),Tab_Calculs[[#This Row],[index_date_livraison]],6)*(1+MIN(Tab_Calculs[[#This Row],[Date_livraison]],Tab_Calculs[[#This Row],[fin mois]])-MAX(Tab_Calculs[[#This Row],[Début mois]],Tab_Calculs[[#This Row],[Début periode livraison]]))</f>
        <v>0</v>
      </c>
      <c r="M1123" s="94" t="e">
        <f ca="1">INDEX(INDIRECT(CONCATENATE("Tab_",Tab_Calculs[[#This Row],[Colonne1]])),Tab_Calculs[[#This Row],[index_date_livraison]]+1,6)*(Tab_Calculs[[#This Row],[fin mois]]-MIN(Tab_Calculs[[#This Row],[fin mois]],Tab_Calculs[[#This Row],[Date_livraison]]))</f>
        <v>#VALUE!</v>
      </c>
      <c r="N1123" s="231" t="str">
        <f ca="1">IFERROR(Tab_Calculs[[#This Row],[Ratio_jour_après_livr]]+Tab_Calculs[[#This Row],[Ratio_jour_avant_livr]]+Tab_Calculs[[#This Row],[ratio_avant_debut]],"")</f>
        <v/>
      </c>
      <c r="O1123" t="e">
        <f ca="1">INDEX(INDIRECT(CONCATENATE("Tab_",Tab_Calculs[[#This Row],[Colonne1]])),Tab_Calculs[[#This Row],[index_date_livraison]]-1,7)*(MAX(Tab_Calculs[[#This Row],[Début periode livraison]],Tab_Calculs[[#This Row],[Début mois]])-Tab_Calculs[[#This Row],[Début mois]])</f>
        <v>#VALUE!</v>
      </c>
      <c r="P1123">
        <f ca="1">INDEX(INDIRECT(CONCATENATE("Tab_",Tab_Calculs[[#This Row],[Colonne1]])),Tab_Calculs[[#This Row],[index_date_livraison]],7)*(1+MIN(Tab_Calculs[[#This Row],[Date_livraison]],Tab_Calculs[[#This Row],[fin mois]])-MAX(Tab_Calculs[[#This Row],[Début mois]],Tab_Calculs[[#This Row],[Début periode livraison]]))</f>
        <v>0</v>
      </c>
      <c r="Q1123" t="e">
        <f ca="1">INDEX(INDIRECT(CONCATENATE("Tab_",Tab_Calculs[[#This Row],[Colonne1]])),Tab_Calculs[[#This Row],[index_date_livraison]]+1,7)*(Tab_Calculs[[#This Row],[fin mois]]-MIN(Tab_Calculs[[#This Row],[fin mois]],Tab_Calculs[[#This Row],[Date_livraison]]))</f>
        <v>#VALUE!</v>
      </c>
      <c r="R1123" t="e">
        <f ca="1">Tab_Calculs[[#This Row],[Ratio_Cout_après_livr]]+Tab_Calculs[[#This Row],[Ratio_Cout_avant_livr]]+Tab_Calculs[[#This Row],[Ratio_Cout_avant_debut]]</f>
        <v>#VALUE!</v>
      </c>
      <c r="S1123" t="str">
        <f ca="1">IFERROR(N1123*VLOOKUP(Tab_Calculs[[#This Row],[Colonne1]],Controle_des_données!$B$7:$G$14,6,FALSE),"")</f>
        <v/>
      </c>
      <c r="T1123" t="str">
        <f ca="1">IF(Tab_Calculs[[#This Row],[Combustible ]]="Electricité (kWh)",Tab_Calculs[[#This Row],[Conso_mois_kWh]]*2.3,Tab_Calculs[[#This Row],[Conso_mois_kWh]])</f>
        <v/>
      </c>
      <c r="U1123" t="str">
        <f ca="1">IFERROR(N1123*VLOOKUP(Tab_Calculs[[#This Row],[Colonne1]],Controle_des_données!$B$7:$H$14,7,FALSE),"")</f>
        <v/>
      </c>
      <c r="V1123">
        <f ca="1">IFERROR(Tab_Calculs[[#This Row],[Cout_mois]]/Tab_Calculs[[#This Row],[Conso_mois_kWh]],0)</f>
        <v>0</v>
      </c>
      <c r="W1123" t="str">
        <f>T(VLOOKUP(Tab_Calculs[[#This Row],[Compteur]],Site!$B$33:$G$40,3,FALSE))</f>
        <v/>
      </c>
      <c r="X1123" t="str">
        <f>T(VLOOKUP(Tab_Calculs[[#This Row],[Compteur]],Site!$B$33:$G$40,4,FALSE))</f>
        <v/>
      </c>
      <c r="Y1123" t="str">
        <f>T(VLOOKUP(Tab_Calculs[[#This Row],[Compteur]],Site!$B$33:$G$40,5,FALSE))</f>
        <v/>
      </c>
      <c r="Z1123" t="str">
        <f>T(VLOOKUP(Tab_Calculs[[#This Row],[Compteur]],Site!$B$33:$G$40,6,FALSE))</f>
        <v/>
      </c>
      <c r="AA1123">
        <f>IFERROR(GETPIVOTDATA("DJU(chauffagiste)",BDD_DJU!$P$13,"annee",Tab_Calculs[[#This Row],[ANNEE]],"mois_numero",Tab_Calculs[[#This Row],[MOIS]]),0)</f>
        <v>227.5</v>
      </c>
    </row>
    <row r="1124" spans="1:27" x14ac:dyDescent="0.25">
      <c r="A1124" s="3">
        <f>DATE(Tab_Calculs[[#This Row],[ANNEE]],Tab_Calculs[[#This Row],[MOIS]],1)</f>
        <v>44896</v>
      </c>
      <c r="B1124" s="3">
        <f>EDATE(Tab_Calculs[[#This Row],[Début mois]],1)-1</f>
        <v>44926</v>
      </c>
      <c r="C1124">
        <f t="shared" si="38"/>
        <v>12</v>
      </c>
      <c r="D1124">
        <f t="shared" si="39"/>
        <v>2022</v>
      </c>
      <c r="E1124" t="s">
        <v>85</v>
      </c>
      <c r="F1124" t="str">
        <f>SUBSTITUTE(Tab_Calculs[[#This Row],[Compteur]]," ","_")</f>
        <v>Compteur_6</v>
      </c>
      <c r="G1124" t="str">
        <f>T(INDEX(Site!$B$33:$G$40, MATCH(Tab_Calculs[[#This Row],[Compteur]], Site!$B$33:$B$40,0),2))</f>
        <v/>
      </c>
      <c r="H1124" s="3">
        <f t="array" aca="1" ref="H1124" ca="1">MIN(IF(INDIRECT(CONCATENATE(Tab_Calculs[[#This Row],[Colonne1]],"!$B$2:$B$243"))&gt;=Calculs_Consos!$A1124,INDIRECT(CONCATENATE(Tab_Calculs[[#This Row],[Colonne1]],"!$B$2:$B$243"))))</f>
        <v>0</v>
      </c>
      <c r="I1124" s="3">
        <f ca="1">INDEX(INDIRECT(CONCATENATE("Tab_",Tab_Calculs[[#This Row],[Colonne1]])),Tab_Calculs[[#This Row],[index_date_livraison]],1)</f>
        <v>0</v>
      </c>
      <c r="J1124">
        <f ca="1">MATCH(Tab_Calculs[[#This Row],[Date_livraison]],INDIRECT(CONCATENATE("Tab_",Tab_Calculs[[#This Row],[Colonne1]],"[Fin de période]")),0)</f>
        <v>1</v>
      </c>
      <c r="K1124" t="e">
        <f ca="1">INDEX(INDIRECT(CONCATENATE("Tab_",Tab_Calculs[[#This Row],[Colonne1]])),Tab_Calculs[[#This Row],[index_date_livraison]]-1,6)*(MAX(Tab_Calculs[[#This Row],[Début periode livraison]],Tab_Calculs[[#This Row],[Début mois]])-Tab_Calculs[[#This Row],[Début mois]])</f>
        <v>#VALUE!</v>
      </c>
      <c r="L1124" s="94">
        <f ca="1">INDEX(INDIRECT(CONCATENATE("Tab_",Tab_Calculs[[#This Row],[Colonne1]])),Tab_Calculs[[#This Row],[index_date_livraison]],6)*(1+MIN(Tab_Calculs[[#This Row],[Date_livraison]],Tab_Calculs[[#This Row],[fin mois]])-MAX(Tab_Calculs[[#This Row],[Début mois]],Tab_Calculs[[#This Row],[Début periode livraison]]))</f>
        <v>0</v>
      </c>
      <c r="M1124" s="94" t="e">
        <f ca="1">INDEX(INDIRECT(CONCATENATE("Tab_",Tab_Calculs[[#This Row],[Colonne1]])),Tab_Calculs[[#This Row],[index_date_livraison]]+1,6)*(Tab_Calculs[[#This Row],[fin mois]]-MIN(Tab_Calculs[[#This Row],[fin mois]],Tab_Calculs[[#This Row],[Date_livraison]]))</f>
        <v>#VALUE!</v>
      </c>
      <c r="N1124" s="231" t="str">
        <f ca="1">IFERROR(Tab_Calculs[[#This Row],[Ratio_jour_après_livr]]+Tab_Calculs[[#This Row],[Ratio_jour_avant_livr]]+Tab_Calculs[[#This Row],[ratio_avant_debut]],"")</f>
        <v/>
      </c>
      <c r="O1124" t="e">
        <f ca="1">INDEX(INDIRECT(CONCATENATE("Tab_",Tab_Calculs[[#This Row],[Colonne1]])),Tab_Calculs[[#This Row],[index_date_livraison]]-1,7)*(MAX(Tab_Calculs[[#This Row],[Début periode livraison]],Tab_Calculs[[#This Row],[Début mois]])-Tab_Calculs[[#This Row],[Début mois]])</f>
        <v>#VALUE!</v>
      </c>
      <c r="P1124">
        <f ca="1">INDEX(INDIRECT(CONCATENATE("Tab_",Tab_Calculs[[#This Row],[Colonne1]])),Tab_Calculs[[#This Row],[index_date_livraison]],7)*(1+MIN(Tab_Calculs[[#This Row],[Date_livraison]],Tab_Calculs[[#This Row],[fin mois]])-MAX(Tab_Calculs[[#This Row],[Début mois]],Tab_Calculs[[#This Row],[Début periode livraison]]))</f>
        <v>0</v>
      </c>
      <c r="Q1124" t="e">
        <f ca="1">INDEX(INDIRECT(CONCATENATE("Tab_",Tab_Calculs[[#This Row],[Colonne1]])),Tab_Calculs[[#This Row],[index_date_livraison]]+1,7)*(Tab_Calculs[[#This Row],[fin mois]]-MIN(Tab_Calculs[[#This Row],[fin mois]],Tab_Calculs[[#This Row],[Date_livraison]]))</f>
        <v>#VALUE!</v>
      </c>
      <c r="R1124" t="e">
        <f ca="1">Tab_Calculs[[#This Row],[Ratio_Cout_après_livr]]+Tab_Calculs[[#This Row],[Ratio_Cout_avant_livr]]+Tab_Calculs[[#This Row],[Ratio_Cout_avant_debut]]</f>
        <v>#VALUE!</v>
      </c>
      <c r="S1124" t="str">
        <f ca="1">IFERROR(N1124*VLOOKUP(Tab_Calculs[[#This Row],[Colonne1]],Controle_des_données!$B$7:$G$14,6,FALSE),"")</f>
        <v/>
      </c>
      <c r="T1124" t="str">
        <f ca="1">IF(Tab_Calculs[[#This Row],[Combustible ]]="Electricité (kWh)",Tab_Calculs[[#This Row],[Conso_mois_kWh]]*2.3,Tab_Calculs[[#This Row],[Conso_mois_kWh]])</f>
        <v/>
      </c>
      <c r="U1124" t="str">
        <f ca="1">IFERROR(N1124*VLOOKUP(Tab_Calculs[[#This Row],[Colonne1]],Controle_des_données!$B$7:$H$14,7,FALSE),"")</f>
        <v/>
      </c>
      <c r="V1124">
        <f ca="1">IFERROR(Tab_Calculs[[#This Row],[Cout_mois]]/Tab_Calculs[[#This Row],[Conso_mois_kWh]],0)</f>
        <v>0</v>
      </c>
      <c r="W1124" t="str">
        <f>T(VLOOKUP(Tab_Calculs[[#This Row],[Compteur]],Site!$B$33:$G$40,3,FALSE))</f>
        <v/>
      </c>
      <c r="X1124" t="str">
        <f>T(VLOOKUP(Tab_Calculs[[#This Row],[Compteur]],Site!$B$33:$G$40,4,FALSE))</f>
        <v/>
      </c>
      <c r="Y1124" t="str">
        <f>T(VLOOKUP(Tab_Calculs[[#This Row],[Compteur]],Site!$B$33:$G$40,5,FALSE))</f>
        <v/>
      </c>
      <c r="Z1124" t="str">
        <f>T(VLOOKUP(Tab_Calculs[[#This Row],[Compteur]],Site!$B$33:$G$40,6,FALSE))</f>
        <v/>
      </c>
      <c r="AA1124">
        <f>IFERROR(GETPIVOTDATA("DJU(chauffagiste)",BDD_DJU!$P$13,"annee",Tab_Calculs[[#This Row],[ANNEE]],"mois_numero",Tab_Calculs[[#This Row],[MOIS]]),0)</f>
        <v>380.8</v>
      </c>
    </row>
    <row r="1125" spans="1:27" x14ac:dyDescent="0.25">
      <c r="A1125" s="3">
        <f>DATE(Tab_Calculs[[#This Row],[ANNEE]],Tab_Calculs[[#This Row],[MOIS]],1)</f>
        <v>44927</v>
      </c>
      <c r="B1125" s="3">
        <f>EDATE(Tab_Calculs[[#This Row],[Début mois]],1)-1</f>
        <v>44957</v>
      </c>
      <c r="C1125">
        <f t="shared" si="38"/>
        <v>1</v>
      </c>
      <c r="D1125">
        <f t="shared" si="39"/>
        <v>2023</v>
      </c>
      <c r="E1125" t="s">
        <v>85</v>
      </c>
      <c r="F1125" t="str">
        <f>SUBSTITUTE(Tab_Calculs[[#This Row],[Compteur]]," ","_")</f>
        <v>Compteur_6</v>
      </c>
      <c r="G1125" t="str">
        <f>T(INDEX(Site!$B$33:$G$40, MATCH(Tab_Calculs[[#This Row],[Compteur]], Site!$B$33:$B$40,0),2))</f>
        <v/>
      </c>
      <c r="H1125" s="3">
        <f t="array" aca="1" ref="H1125" ca="1">MIN(IF(INDIRECT(CONCATENATE(Tab_Calculs[[#This Row],[Colonne1]],"!$B$2:$B$243"))&gt;=Calculs_Consos!$A1125,INDIRECT(CONCATENATE(Tab_Calculs[[#This Row],[Colonne1]],"!$B$2:$B$243"))))</f>
        <v>0</v>
      </c>
      <c r="I1125" s="3">
        <f ca="1">INDEX(INDIRECT(CONCATENATE("Tab_",Tab_Calculs[[#This Row],[Colonne1]])),Tab_Calculs[[#This Row],[index_date_livraison]],1)</f>
        <v>0</v>
      </c>
      <c r="J1125">
        <f ca="1">MATCH(Tab_Calculs[[#This Row],[Date_livraison]],INDIRECT(CONCATENATE("Tab_",Tab_Calculs[[#This Row],[Colonne1]],"[Fin de période]")),0)</f>
        <v>1</v>
      </c>
      <c r="K1125" t="e">
        <f ca="1">INDEX(INDIRECT(CONCATENATE("Tab_",Tab_Calculs[[#This Row],[Colonne1]])),Tab_Calculs[[#This Row],[index_date_livraison]]-1,6)*(MAX(Tab_Calculs[[#This Row],[Début periode livraison]],Tab_Calculs[[#This Row],[Début mois]])-Tab_Calculs[[#This Row],[Début mois]])</f>
        <v>#VALUE!</v>
      </c>
      <c r="L1125" s="94">
        <f ca="1">INDEX(INDIRECT(CONCATENATE("Tab_",Tab_Calculs[[#This Row],[Colonne1]])),Tab_Calculs[[#This Row],[index_date_livraison]],6)*(1+MIN(Tab_Calculs[[#This Row],[Date_livraison]],Tab_Calculs[[#This Row],[fin mois]])-MAX(Tab_Calculs[[#This Row],[Début mois]],Tab_Calculs[[#This Row],[Début periode livraison]]))</f>
        <v>0</v>
      </c>
      <c r="M1125" s="94" t="e">
        <f ca="1">INDEX(INDIRECT(CONCATENATE("Tab_",Tab_Calculs[[#This Row],[Colonne1]])),Tab_Calculs[[#This Row],[index_date_livraison]]+1,6)*(Tab_Calculs[[#This Row],[fin mois]]-MIN(Tab_Calculs[[#This Row],[fin mois]],Tab_Calculs[[#This Row],[Date_livraison]]))</f>
        <v>#VALUE!</v>
      </c>
      <c r="N1125" s="231" t="str">
        <f ca="1">IFERROR(Tab_Calculs[[#This Row],[Ratio_jour_après_livr]]+Tab_Calculs[[#This Row],[Ratio_jour_avant_livr]]+Tab_Calculs[[#This Row],[ratio_avant_debut]],"")</f>
        <v/>
      </c>
      <c r="O1125" t="e">
        <f ca="1">INDEX(INDIRECT(CONCATENATE("Tab_",Tab_Calculs[[#This Row],[Colonne1]])),Tab_Calculs[[#This Row],[index_date_livraison]]-1,7)*(MAX(Tab_Calculs[[#This Row],[Début periode livraison]],Tab_Calculs[[#This Row],[Début mois]])-Tab_Calculs[[#This Row],[Début mois]])</f>
        <v>#VALUE!</v>
      </c>
      <c r="P1125">
        <f ca="1">INDEX(INDIRECT(CONCATENATE("Tab_",Tab_Calculs[[#This Row],[Colonne1]])),Tab_Calculs[[#This Row],[index_date_livraison]],7)*(1+MIN(Tab_Calculs[[#This Row],[Date_livraison]],Tab_Calculs[[#This Row],[fin mois]])-MAX(Tab_Calculs[[#This Row],[Début mois]],Tab_Calculs[[#This Row],[Début periode livraison]]))</f>
        <v>0</v>
      </c>
      <c r="Q1125" t="e">
        <f ca="1">INDEX(INDIRECT(CONCATENATE("Tab_",Tab_Calculs[[#This Row],[Colonne1]])),Tab_Calculs[[#This Row],[index_date_livraison]]+1,7)*(Tab_Calculs[[#This Row],[fin mois]]-MIN(Tab_Calculs[[#This Row],[fin mois]],Tab_Calculs[[#This Row],[Date_livraison]]))</f>
        <v>#VALUE!</v>
      </c>
      <c r="R1125" t="e">
        <f ca="1">Tab_Calculs[[#This Row],[Ratio_Cout_après_livr]]+Tab_Calculs[[#This Row],[Ratio_Cout_avant_livr]]+Tab_Calculs[[#This Row],[Ratio_Cout_avant_debut]]</f>
        <v>#VALUE!</v>
      </c>
      <c r="S1125" t="str">
        <f ca="1">IFERROR(N1125*VLOOKUP(Tab_Calculs[[#This Row],[Colonne1]],Controle_des_données!$B$7:$G$14,6,FALSE),"")</f>
        <v/>
      </c>
      <c r="T1125" t="str">
        <f ca="1">IF(Tab_Calculs[[#This Row],[Combustible ]]="Electricité (kWh)",Tab_Calculs[[#This Row],[Conso_mois_kWh]]*2.3,Tab_Calculs[[#This Row],[Conso_mois_kWh]])</f>
        <v/>
      </c>
      <c r="U1125" t="str">
        <f ca="1">IFERROR(N1125*VLOOKUP(Tab_Calculs[[#This Row],[Colonne1]],Controle_des_données!$B$7:$H$14,7,FALSE),"")</f>
        <v/>
      </c>
      <c r="V1125">
        <f ca="1">IFERROR(Tab_Calculs[[#This Row],[Cout_mois]]/Tab_Calculs[[#This Row],[Conso_mois_kWh]],0)</f>
        <v>0</v>
      </c>
      <c r="W1125" t="str">
        <f>T(VLOOKUP(Tab_Calculs[[#This Row],[Compteur]],Site!$B$33:$G$40,3,FALSE))</f>
        <v/>
      </c>
      <c r="X1125" t="str">
        <f>T(VLOOKUP(Tab_Calculs[[#This Row],[Compteur]],Site!$B$33:$G$40,4,FALSE))</f>
        <v/>
      </c>
      <c r="Y1125" t="str">
        <f>T(VLOOKUP(Tab_Calculs[[#This Row],[Compteur]],Site!$B$33:$G$40,5,FALSE))</f>
        <v/>
      </c>
      <c r="Z1125" t="str">
        <f>T(VLOOKUP(Tab_Calculs[[#This Row],[Compteur]],Site!$B$33:$G$40,6,FALSE))</f>
        <v/>
      </c>
      <c r="AA1125">
        <f>IFERROR(GETPIVOTDATA("DJU(chauffagiste)",BDD_DJU!$P$13,"annee",Tab_Calculs[[#This Row],[ANNEE]],"mois_numero",Tab_Calculs[[#This Row],[MOIS]]),0)</f>
        <v>356.1</v>
      </c>
    </row>
    <row r="1126" spans="1:27" x14ac:dyDescent="0.25">
      <c r="A1126" s="3">
        <f>DATE(Tab_Calculs[[#This Row],[ANNEE]],Tab_Calculs[[#This Row],[MOIS]],1)</f>
        <v>44958</v>
      </c>
      <c r="B1126" s="3">
        <f>EDATE(Tab_Calculs[[#This Row],[Début mois]],1)-1</f>
        <v>44985</v>
      </c>
      <c r="C1126">
        <f t="shared" si="38"/>
        <v>2</v>
      </c>
      <c r="D1126">
        <f>D1114+1</f>
        <v>2023</v>
      </c>
      <c r="E1126" t="s">
        <v>85</v>
      </c>
      <c r="F1126" t="str">
        <f>SUBSTITUTE(Tab_Calculs[[#This Row],[Compteur]]," ","_")</f>
        <v>Compteur_6</v>
      </c>
      <c r="G1126" t="str">
        <f>T(INDEX(Site!$B$33:$G$40, MATCH(Tab_Calculs[[#This Row],[Compteur]], Site!$B$33:$B$40,0),2))</f>
        <v/>
      </c>
      <c r="H1126" s="3">
        <f t="array" aca="1" ref="H1126" ca="1">MIN(IF(INDIRECT(CONCATENATE(Tab_Calculs[[#This Row],[Colonne1]],"!$B$2:$B$243"))&gt;=Calculs_Consos!$A1126,INDIRECT(CONCATENATE(Tab_Calculs[[#This Row],[Colonne1]],"!$B$2:$B$243"))))</f>
        <v>0</v>
      </c>
      <c r="I1126" s="3">
        <f ca="1">INDEX(INDIRECT(CONCATENATE("Tab_",Tab_Calculs[[#This Row],[Colonne1]])),Tab_Calculs[[#This Row],[index_date_livraison]],1)</f>
        <v>0</v>
      </c>
      <c r="J1126">
        <f ca="1">MATCH(Tab_Calculs[[#This Row],[Date_livraison]],INDIRECT(CONCATENATE("Tab_",Tab_Calculs[[#This Row],[Colonne1]],"[Fin de période]")),0)</f>
        <v>1</v>
      </c>
      <c r="K1126" t="e">
        <f ca="1">INDEX(INDIRECT(CONCATENATE("Tab_",Tab_Calculs[[#This Row],[Colonne1]])),Tab_Calculs[[#This Row],[index_date_livraison]]-1,6)*(MAX(Tab_Calculs[[#This Row],[Début periode livraison]],Tab_Calculs[[#This Row],[Début mois]])-Tab_Calculs[[#This Row],[Début mois]])</f>
        <v>#VALUE!</v>
      </c>
      <c r="L1126" s="94">
        <f ca="1">INDEX(INDIRECT(CONCATENATE("Tab_",Tab_Calculs[[#This Row],[Colonne1]])),Tab_Calculs[[#This Row],[index_date_livraison]],6)*(1+MIN(Tab_Calculs[[#This Row],[Date_livraison]],Tab_Calculs[[#This Row],[fin mois]])-MAX(Tab_Calculs[[#This Row],[Début mois]],Tab_Calculs[[#This Row],[Début periode livraison]]))</f>
        <v>0</v>
      </c>
      <c r="M1126" s="94" t="e">
        <f ca="1">INDEX(INDIRECT(CONCATENATE("Tab_",Tab_Calculs[[#This Row],[Colonne1]])),Tab_Calculs[[#This Row],[index_date_livraison]]+1,6)*(Tab_Calculs[[#This Row],[fin mois]]-MIN(Tab_Calculs[[#This Row],[fin mois]],Tab_Calculs[[#This Row],[Date_livraison]]))</f>
        <v>#VALUE!</v>
      </c>
      <c r="N1126" s="231" t="str">
        <f ca="1">IFERROR(Tab_Calculs[[#This Row],[Ratio_jour_après_livr]]+Tab_Calculs[[#This Row],[Ratio_jour_avant_livr]]+Tab_Calculs[[#This Row],[ratio_avant_debut]],"")</f>
        <v/>
      </c>
      <c r="O1126" t="e">
        <f ca="1">INDEX(INDIRECT(CONCATENATE("Tab_",Tab_Calculs[[#This Row],[Colonne1]])),Tab_Calculs[[#This Row],[index_date_livraison]]-1,7)*(MAX(Tab_Calculs[[#This Row],[Début periode livraison]],Tab_Calculs[[#This Row],[Début mois]])-Tab_Calculs[[#This Row],[Début mois]])</f>
        <v>#VALUE!</v>
      </c>
      <c r="P1126">
        <f ca="1">INDEX(INDIRECT(CONCATENATE("Tab_",Tab_Calculs[[#This Row],[Colonne1]])),Tab_Calculs[[#This Row],[index_date_livraison]],7)*(1+MIN(Tab_Calculs[[#This Row],[Date_livraison]],Tab_Calculs[[#This Row],[fin mois]])-MAX(Tab_Calculs[[#This Row],[Début mois]],Tab_Calculs[[#This Row],[Début periode livraison]]))</f>
        <v>0</v>
      </c>
      <c r="Q1126" t="e">
        <f ca="1">INDEX(INDIRECT(CONCATENATE("Tab_",Tab_Calculs[[#This Row],[Colonne1]])),Tab_Calculs[[#This Row],[index_date_livraison]]+1,7)*(Tab_Calculs[[#This Row],[fin mois]]-MIN(Tab_Calculs[[#This Row],[fin mois]],Tab_Calculs[[#This Row],[Date_livraison]]))</f>
        <v>#VALUE!</v>
      </c>
      <c r="R1126" t="e">
        <f ca="1">Tab_Calculs[[#This Row],[Ratio_Cout_après_livr]]+Tab_Calculs[[#This Row],[Ratio_Cout_avant_livr]]+Tab_Calculs[[#This Row],[Ratio_Cout_avant_debut]]</f>
        <v>#VALUE!</v>
      </c>
      <c r="S1126" t="str">
        <f ca="1">IFERROR(N1126*VLOOKUP(Tab_Calculs[[#This Row],[Colonne1]],Controle_des_données!$B$7:$G$14,6,FALSE),"")</f>
        <v/>
      </c>
      <c r="T1126" t="str">
        <f ca="1">IF(Tab_Calculs[[#This Row],[Combustible ]]="Electricité (kWh)",Tab_Calculs[[#This Row],[Conso_mois_kWh]]*2.3,Tab_Calculs[[#This Row],[Conso_mois_kWh]])</f>
        <v/>
      </c>
      <c r="U1126" t="str">
        <f ca="1">IFERROR(N1126*VLOOKUP(Tab_Calculs[[#This Row],[Colonne1]],Controle_des_données!$B$7:$H$14,7,FALSE),"")</f>
        <v/>
      </c>
      <c r="V1126">
        <f ca="1">IFERROR(Tab_Calculs[[#This Row],[Cout_mois]]/Tab_Calculs[[#This Row],[Conso_mois_kWh]],0)</f>
        <v>0</v>
      </c>
      <c r="W1126" t="str">
        <f>T(VLOOKUP(Tab_Calculs[[#This Row],[Compteur]],Site!$B$33:$G$40,3,FALSE))</f>
        <v/>
      </c>
      <c r="X1126" t="str">
        <f>T(VLOOKUP(Tab_Calculs[[#This Row],[Compteur]],Site!$B$33:$G$40,4,FALSE))</f>
        <v/>
      </c>
      <c r="Y1126" t="str">
        <f>T(VLOOKUP(Tab_Calculs[[#This Row],[Compteur]],Site!$B$33:$G$40,5,FALSE))</f>
        <v/>
      </c>
      <c r="Z1126" t="str">
        <f>T(VLOOKUP(Tab_Calculs[[#This Row],[Compteur]],Site!$B$33:$G$40,6,FALSE))</f>
        <v/>
      </c>
      <c r="AA1126">
        <f>IFERROR(GETPIVOTDATA("DJU(chauffagiste)",BDD_DJU!$P$13,"annee",Tab_Calculs[[#This Row],[ANNEE]],"mois_numero",Tab_Calculs[[#This Row],[MOIS]]),0)</f>
        <v>314.10000000000002</v>
      </c>
    </row>
    <row r="1127" spans="1:27" x14ac:dyDescent="0.25">
      <c r="A1127" s="3">
        <f>DATE(Tab_Calculs[[#This Row],[ANNEE]],Tab_Calculs[[#This Row],[MOIS]],1)</f>
        <v>44986</v>
      </c>
      <c r="B1127" s="3">
        <f>EDATE(Tab_Calculs[[#This Row],[Début mois]],1)-1</f>
        <v>45016</v>
      </c>
      <c r="C1127">
        <f t="shared" si="38"/>
        <v>3</v>
      </c>
      <c r="D1127">
        <f t="shared" ref="D1127:D1147" si="40">D1115+1</f>
        <v>2023</v>
      </c>
      <c r="E1127" t="s">
        <v>85</v>
      </c>
      <c r="F1127" t="str">
        <f>SUBSTITUTE(Tab_Calculs[[#This Row],[Compteur]]," ","_")</f>
        <v>Compteur_6</v>
      </c>
      <c r="G1127" t="str">
        <f>T(INDEX(Site!$B$33:$G$40, MATCH(Tab_Calculs[[#This Row],[Compteur]], Site!$B$33:$B$40,0),2))</f>
        <v/>
      </c>
      <c r="H1127" s="3">
        <f t="array" aca="1" ref="H1127" ca="1">MIN(IF(INDIRECT(CONCATENATE(Tab_Calculs[[#This Row],[Colonne1]],"!$B$2:$B$243"))&gt;=Calculs_Consos!$A1127,INDIRECT(CONCATENATE(Tab_Calculs[[#This Row],[Colonne1]],"!$B$2:$B$243"))))</f>
        <v>0</v>
      </c>
      <c r="I1127" s="3">
        <f ca="1">INDEX(INDIRECT(CONCATENATE("Tab_",Tab_Calculs[[#This Row],[Colonne1]])),Tab_Calculs[[#This Row],[index_date_livraison]],1)</f>
        <v>0</v>
      </c>
      <c r="J1127">
        <f ca="1">MATCH(Tab_Calculs[[#This Row],[Date_livraison]],INDIRECT(CONCATENATE("Tab_",Tab_Calculs[[#This Row],[Colonne1]],"[Fin de période]")),0)</f>
        <v>1</v>
      </c>
      <c r="K1127" t="e">
        <f ca="1">INDEX(INDIRECT(CONCATENATE("Tab_",Tab_Calculs[[#This Row],[Colonne1]])),Tab_Calculs[[#This Row],[index_date_livraison]]-1,6)*(MAX(Tab_Calculs[[#This Row],[Début periode livraison]],Tab_Calculs[[#This Row],[Début mois]])-Tab_Calculs[[#This Row],[Début mois]])</f>
        <v>#VALUE!</v>
      </c>
      <c r="L1127" s="94">
        <f ca="1">INDEX(INDIRECT(CONCATENATE("Tab_",Tab_Calculs[[#This Row],[Colonne1]])),Tab_Calculs[[#This Row],[index_date_livraison]],6)*(1+MIN(Tab_Calculs[[#This Row],[Date_livraison]],Tab_Calculs[[#This Row],[fin mois]])-MAX(Tab_Calculs[[#This Row],[Début mois]],Tab_Calculs[[#This Row],[Début periode livraison]]))</f>
        <v>0</v>
      </c>
      <c r="M1127" s="94" t="e">
        <f ca="1">INDEX(INDIRECT(CONCATENATE("Tab_",Tab_Calculs[[#This Row],[Colonne1]])),Tab_Calculs[[#This Row],[index_date_livraison]]+1,6)*(Tab_Calculs[[#This Row],[fin mois]]-MIN(Tab_Calculs[[#This Row],[fin mois]],Tab_Calculs[[#This Row],[Date_livraison]]))</f>
        <v>#VALUE!</v>
      </c>
      <c r="N1127" s="231" t="str">
        <f ca="1">IFERROR(Tab_Calculs[[#This Row],[Ratio_jour_après_livr]]+Tab_Calculs[[#This Row],[Ratio_jour_avant_livr]]+Tab_Calculs[[#This Row],[ratio_avant_debut]],"")</f>
        <v/>
      </c>
      <c r="O1127" t="e">
        <f ca="1">INDEX(INDIRECT(CONCATENATE("Tab_",Tab_Calculs[[#This Row],[Colonne1]])),Tab_Calculs[[#This Row],[index_date_livraison]]-1,7)*(MAX(Tab_Calculs[[#This Row],[Début periode livraison]],Tab_Calculs[[#This Row],[Début mois]])-Tab_Calculs[[#This Row],[Début mois]])</f>
        <v>#VALUE!</v>
      </c>
      <c r="P1127">
        <f ca="1">INDEX(INDIRECT(CONCATENATE("Tab_",Tab_Calculs[[#This Row],[Colonne1]])),Tab_Calculs[[#This Row],[index_date_livraison]],7)*(1+MIN(Tab_Calculs[[#This Row],[Date_livraison]],Tab_Calculs[[#This Row],[fin mois]])-MAX(Tab_Calculs[[#This Row],[Début mois]],Tab_Calculs[[#This Row],[Début periode livraison]]))</f>
        <v>0</v>
      </c>
      <c r="Q1127" t="e">
        <f ca="1">INDEX(INDIRECT(CONCATENATE("Tab_",Tab_Calculs[[#This Row],[Colonne1]])),Tab_Calculs[[#This Row],[index_date_livraison]]+1,7)*(Tab_Calculs[[#This Row],[fin mois]]-MIN(Tab_Calculs[[#This Row],[fin mois]],Tab_Calculs[[#This Row],[Date_livraison]]))</f>
        <v>#VALUE!</v>
      </c>
      <c r="R1127" t="e">
        <f ca="1">Tab_Calculs[[#This Row],[Ratio_Cout_après_livr]]+Tab_Calculs[[#This Row],[Ratio_Cout_avant_livr]]+Tab_Calculs[[#This Row],[Ratio_Cout_avant_debut]]</f>
        <v>#VALUE!</v>
      </c>
      <c r="S1127" t="str">
        <f ca="1">IFERROR(N1127*VLOOKUP(Tab_Calculs[[#This Row],[Colonne1]],Controle_des_données!$B$7:$G$14,6,FALSE),"")</f>
        <v/>
      </c>
      <c r="T1127" t="str">
        <f ca="1">IF(Tab_Calculs[[#This Row],[Combustible ]]="Electricité (kWh)",Tab_Calculs[[#This Row],[Conso_mois_kWh]]*2.3,Tab_Calculs[[#This Row],[Conso_mois_kWh]])</f>
        <v/>
      </c>
      <c r="U1127" t="str">
        <f ca="1">IFERROR(N1127*VLOOKUP(Tab_Calculs[[#This Row],[Colonne1]],Controle_des_données!$B$7:$H$14,7,FALSE),"")</f>
        <v/>
      </c>
      <c r="V1127">
        <f ca="1">IFERROR(Tab_Calculs[[#This Row],[Cout_mois]]/Tab_Calculs[[#This Row],[Conso_mois_kWh]],0)</f>
        <v>0</v>
      </c>
      <c r="W1127" t="str">
        <f>T(VLOOKUP(Tab_Calculs[[#This Row],[Compteur]],Site!$B$33:$G$40,3,FALSE))</f>
        <v/>
      </c>
      <c r="X1127" t="str">
        <f>T(VLOOKUP(Tab_Calculs[[#This Row],[Compteur]],Site!$B$33:$G$40,4,FALSE))</f>
        <v/>
      </c>
      <c r="Y1127" t="str">
        <f>T(VLOOKUP(Tab_Calculs[[#This Row],[Compteur]],Site!$B$33:$G$40,5,FALSE))</f>
        <v/>
      </c>
      <c r="Z1127" t="str">
        <f>T(VLOOKUP(Tab_Calculs[[#This Row],[Compteur]],Site!$B$33:$G$40,6,FALSE))</f>
        <v/>
      </c>
      <c r="AA1127">
        <f>IFERROR(GETPIVOTDATA("DJU(chauffagiste)",BDD_DJU!$P$13,"annee",Tab_Calculs[[#This Row],[ANNEE]],"mois_numero",Tab_Calculs[[#This Row],[MOIS]]),0)</f>
        <v>251.3</v>
      </c>
    </row>
    <row r="1128" spans="1:27" x14ac:dyDescent="0.25">
      <c r="A1128" s="3">
        <f>DATE(Tab_Calculs[[#This Row],[ANNEE]],Tab_Calculs[[#This Row],[MOIS]],1)</f>
        <v>45017</v>
      </c>
      <c r="B1128" s="3">
        <f>EDATE(Tab_Calculs[[#This Row],[Début mois]],1)-1</f>
        <v>45046</v>
      </c>
      <c r="C1128">
        <f t="shared" si="38"/>
        <v>4</v>
      </c>
      <c r="D1128">
        <f t="shared" si="40"/>
        <v>2023</v>
      </c>
      <c r="E1128" t="s">
        <v>85</v>
      </c>
      <c r="F1128" t="str">
        <f>SUBSTITUTE(Tab_Calculs[[#This Row],[Compteur]]," ","_")</f>
        <v>Compteur_6</v>
      </c>
      <c r="G1128" t="str">
        <f>T(INDEX(Site!$B$33:$G$40, MATCH(Tab_Calculs[[#This Row],[Compteur]], Site!$B$33:$B$40,0),2))</f>
        <v/>
      </c>
      <c r="H1128" s="3">
        <f t="array" aca="1" ref="H1128" ca="1">MIN(IF(INDIRECT(CONCATENATE(Tab_Calculs[[#This Row],[Colonne1]],"!$B$2:$B$243"))&gt;=Calculs_Consos!$A1128,INDIRECT(CONCATENATE(Tab_Calculs[[#This Row],[Colonne1]],"!$B$2:$B$243"))))</f>
        <v>0</v>
      </c>
      <c r="I1128" s="3">
        <f ca="1">INDEX(INDIRECT(CONCATENATE("Tab_",Tab_Calculs[[#This Row],[Colonne1]])),Tab_Calculs[[#This Row],[index_date_livraison]],1)</f>
        <v>0</v>
      </c>
      <c r="J1128">
        <f ca="1">MATCH(Tab_Calculs[[#This Row],[Date_livraison]],INDIRECT(CONCATENATE("Tab_",Tab_Calculs[[#This Row],[Colonne1]],"[Fin de période]")),0)</f>
        <v>1</v>
      </c>
      <c r="K1128" t="e">
        <f ca="1">INDEX(INDIRECT(CONCATENATE("Tab_",Tab_Calculs[[#This Row],[Colonne1]])),Tab_Calculs[[#This Row],[index_date_livraison]]-1,6)*(MAX(Tab_Calculs[[#This Row],[Début periode livraison]],Tab_Calculs[[#This Row],[Début mois]])-Tab_Calculs[[#This Row],[Début mois]])</f>
        <v>#VALUE!</v>
      </c>
      <c r="L1128" s="94">
        <f ca="1">INDEX(INDIRECT(CONCATENATE("Tab_",Tab_Calculs[[#This Row],[Colonne1]])),Tab_Calculs[[#This Row],[index_date_livraison]],6)*(1+MIN(Tab_Calculs[[#This Row],[Date_livraison]],Tab_Calculs[[#This Row],[fin mois]])-MAX(Tab_Calculs[[#This Row],[Début mois]],Tab_Calculs[[#This Row],[Début periode livraison]]))</f>
        <v>0</v>
      </c>
      <c r="M1128" s="94" t="e">
        <f ca="1">INDEX(INDIRECT(CONCATENATE("Tab_",Tab_Calculs[[#This Row],[Colonne1]])),Tab_Calculs[[#This Row],[index_date_livraison]]+1,6)*(Tab_Calculs[[#This Row],[fin mois]]-MIN(Tab_Calculs[[#This Row],[fin mois]],Tab_Calculs[[#This Row],[Date_livraison]]))</f>
        <v>#VALUE!</v>
      </c>
      <c r="N1128" s="231" t="str">
        <f ca="1">IFERROR(Tab_Calculs[[#This Row],[Ratio_jour_après_livr]]+Tab_Calculs[[#This Row],[Ratio_jour_avant_livr]]+Tab_Calculs[[#This Row],[ratio_avant_debut]],"")</f>
        <v/>
      </c>
      <c r="O1128" t="e">
        <f ca="1">INDEX(INDIRECT(CONCATENATE("Tab_",Tab_Calculs[[#This Row],[Colonne1]])),Tab_Calculs[[#This Row],[index_date_livraison]]-1,7)*(MAX(Tab_Calculs[[#This Row],[Début periode livraison]],Tab_Calculs[[#This Row],[Début mois]])-Tab_Calculs[[#This Row],[Début mois]])</f>
        <v>#VALUE!</v>
      </c>
      <c r="P1128">
        <f ca="1">INDEX(INDIRECT(CONCATENATE("Tab_",Tab_Calculs[[#This Row],[Colonne1]])),Tab_Calculs[[#This Row],[index_date_livraison]],7)*(1+MIN(Tab_Calculs[[#This Row],[Date_livraison]],Tab_Calculs[[#This Row],[fin mois]])-MAX(Tab_Calculs[[#This Row],[Début mois]],Tab_Calculs[[#This Row],[Début periode livraison]]))</f>
        <v>0</v>
      </c>
      <c r="Q1128" t="e">
        <f ca="1">INDEX(INDIRECT(CONCATENATE("Tab_",Tab_Calculs[[#This Row],[Colonne1]])),Tab_Calculs[[#This Row],[index_date_livraison]]+1,7)*(Tab_Calculs[[#This Row],[fin mois]]-MIN(Tab_Calculs[[#This Row],[fin mois]],Tab_Calculs[[#This Row],[Date_livraison]]))</f>
        <v>#VALUE!</v>
      </c>
      <c r="R1128" t="e">
        <f ca="1">Tab_Calculs[[#This Row],[Ratio_Cout_après_livr]]+Tab_Calculs[[#This Row],[Ratio_Cout_avant_livr]]+Tab_Calculs[[#This Row],[Ratio_Cout_avant_debut]]</f>
        <v>#VALUE!</v>
      </c>
      <c r="S1128" t="str">
        <f ca="1">IFERROR(N1128*VLOOKUP(Tab_Calculs[[#This Row],[Colonne1]],Controle_des_données!$B$7:$G$14,6,FALSE),"")</f>
        <v/>
      </c>
      <c r="T1128" t="str">
        <f ca="1">IF(Tab_Calculs[[#This Row],[Combustible ]]="Electricité (kWh)",Tab_Calculs[[#This Row],[Conso_mois_kWh]]*2.3,Tab_Calculs[[#This Row],[Conso_mois_kWh]])</f>
        <v/>
      </c>
      <c r="U1128" t="str">
        <f ca="1">IFERROR(N1128*VLOOKUP(Tab_Calculs[[#This Row],[Colonne1]],Controle_des_données!$B$7:$H$14,7,FALSE),"")</f>
        <v/>
      </c>
      <c r="V1128">
        <f ca="1">IFERROR(Tab_Calculs[[#This Row],[Cout_mois]]/Tab_Calculs[[#This Row],[Conso_mois_kWh]],0)</f>
        <v>0</v>
      </c>
      <c r="W1128" t="str">
        <f>T(VLOOKUP(Tab_Calculs[[#This Row],[Compteur]],Site!$B$33:$G$40,3,FALSE))</f>
        <v/>
      </c>
      <c r="X1128" t="str">
        <f>T(VLOOKUP(Tab_Calculs[[#This Row],[Compteur]],Site!$B$33:$G$40,4,FALSE))</f>
        <v/>
      </c>
      <c r="Y1128" t="str">
        <f>T(VLOOKUP(Tab_Calculs[[#This Row],[Compteur]],Site!$B$33:$G$40,5,FALSE))</f>
        <v/>
      </c>
      <c r="Z1128" t="str">
        <f>T(VLOOKUP(Tab_Calculs[[#This Row],[Compteur]],Site!$B$33:$G$40,6,FALSE))</f>
        <v/>
      </c>
      <c r="AA1128">
        <f>IFERROR(GETPIVOTDATA("DJU(chauffagiste)",BDD_DJU!$P$13,"annee",Tab_Calculs[[#This Row],[ANNEE]],"mois_numero",Tab_Calculs[[#This Row],[MOIS]]),0)</f>
        <v>198</v>
      </c>
    </row>
    <row r="1129" spans="1:27" x14ac:dyDescent="0.25">
      <c r="A1129" s="3">
        <f>DATE(Tab_Calculs[[#This Row],[ANNEE]],Tab_Calculs[[#This Row],[MOIS]],1)</f>
        <v>45047</v>
      </c>
      <c r="B1129" s="3">
        <f>EDATE(Tab_Calculs[[#This Row],[Début mois]],1)-1</f>
        <v>45077</v>
      </c>
      <c r="C1129">
        <f t="shared" si="38"/>
        <v>5</v>
      </c>
      <c r="D1129">
        <f t="shared" si="40"/>
        <v>2023</v>
      </c>
      <c r="E1129" t="s">
        <v>85</v>
      </c>
      <c r="F1129" t="str">
        <f>SUBSTITUTE(Tab_Calculs[[#This Row],[Compteur]]," ","_")</f>
        <v>Compteur_6</v>
      </c>
      <c r="G1129" t="str">
        <f>T(INDEX(Site!$B$33:$G$40, MATCH(Tab_Calculs[[#This Row],[Compteur]], Site!$B$33:$B$40,0),2))</f>
        <v/>
      </c>
      <c r="H1129" s="3">
        <f t="array" aca="1" ref="H1129" ca="1">MIN(IF(INDIRECT(CONCATENATE(Tab_Calculs[[#This Row],[Colonne1]],"!$B$2:$B$243"))&gt;=Calculs_Consos!$A1129,INDIRECT(CONCATENATE(Tab_Calculs[[#This Row],[Colonne1]],"!$B$2:$B$243"))))</f>
        <v>0</v>
      </c>
      <c r="I1129" s="3">
        <f ca="1">INDEX(INDIRECT(CONCATENATE("Tab_",Tab_Calculs[[#This Row],[Colonne1]])),Tab_Calculs[[#This Row],[index_date_livraison]],1)</f>
        <v>0</v>
      </c>
      <c r="J1129">
        <f ca="1">MATCH(Tab_Calculs[[#This Row],[Date_livraison]],INDIRECT(CONCATENATE("Tab_",Tab_Calculs[[#This Row],[Colonne1]],"[Fin de période]")),0)</f>
        <v>1</v>
      </c>
      <c r="K1129" t="e">
        <f ca="1">INDEX(INDIRECT(CONCATENATE("Tab_",Tab_Calculs[[#This Row],[Colonne1]])),Tab_Calculs[[#This Row],[index_date_livraison]]-1,6)*(MAX(Tab_Calculs[[#This Row],[Début periode livraison]],Tab_Calculs[[#This Row],[Début mois]])-Tab_Calculs[[#This Row],[Début mois]])</f>
        <v>#VALUE!</v>
      </c>
      <c r="L1129" s="94">
        <f ca="1">INDEX(INDIRECT(CONCATENATE("Tab_",Tab_Calculs[[#This Row],[Colonne1]])),Tab_Calculs[[#This Row],[index_date_livraison]],6)*(1+MIN(Tab_Calculs[[#This Row],[Date_livraison]],Tab_Calculs[[#This Row],[fin mois]])-MAX(Tab_Calculs[[#This Row],[Début mois]],Tab_Calculs[[#This Row],[Début periode livraison]]))</f>
        <v>0</v>
      </c>
      <c r="M1129" s="94" t="e">
        <f ca="1">INDEX(INDIRECT(CONCATENATE("Tab_",Tab_Calculs[[#This Row],[Colonne1]])),Tab_Calculs[[#This Row],[index_date_livraison]]+1,6)*(Tab_Calculs[[#This Row],[fin mois]]-MIN(Tab_Calculs[[#This Row],[fin mois]],Tab_Calculs[[#This Row],[Date_livraison]]))</f>
        <v>#VALUE!</v>
      </c>
      <c r="N1129" s="231" t="str">
        <f ca="1">IFERROR(Tab_Calculs[[#This Row],[Ratio_jour_après_livr]]+Tab_Calculs[[#This Row],[Ratio_jour_avant_livr]]+Tab_Calculs[[#This Row],[ratio_avant_debut]],"")</f>
        <v/>
      </c>
      <c r="O1129" t="e">
        <f ca="1">INDEX(INDIRECT(CONCATENATE("Tab_",Tab_Calculs[[#This Row],[Colonne1]])),Tab_Calculs[[#This Row],[index_date_livraison]]-1,7)*(MAX(Tab_Calculs[[#This Row],[Début periode livraison]],Tab_Calculs[[#This Row],[Début mois]])-Tab_Calculs[[#This Row],[Début mois]])</f>
        <v>#VALUE!</v>
      </c>
      <c r="P1129">
        <f ca="1">INDEX(INDIRECT(CONCATENATE("Tab_",Tab_Calculs[[#This Row],[Colonne1]])),Tab_Calculs[[#This Row],[index_date_livraison]],7)*(1+MIN(Tab_Calculs[[#This Row],[Date_livraison]],Tab_Calculs[[#This Row],[fin mois]])-MAX(Tab_Calculs[[#This Row],[Début mois]],Tab_Calculs[[#This Row],[Début periode livraison]]))</f>
        <v>0</v>
      </c>
      <c r="Q1129" t="e">
        <f ca="1">INDEX(INDIRECT(CONCATENATE("Tab_",Tab_Calculs[[#This Row],[Colonne1]])),Tab_Calculs[[#This Row],[index_date_livraison]]+1,7)*(Tab_Calculs[[#This Row],[fin mois]]-MIN(Tab_Calculs[[#This Row],[fin mois]],Tab_Calculs[[#This Row],[Date_livraison]]))</f>
        <v>#VALUE!</v>
      </c>
      <c r="R1129" t="e">
        <f ca="1">Tab_Calculs[[#This Row],[Ratio_Cout_après_livr]]+Tab_Calculs[[#This Row],[Ratio_Cout_avant_livr]]+Tab_Calculs[[#This Row],[Ratio_Cout_avant_debut]]</f>
        <v>#VALUE!</v>
      </c>
      <c r="S1129" t="str">
        <f ca="1">IFERROR(N1129*VLOOKUP(Tab_Calculs[[#This Row],[Colonne1]],Controle_des_données!$B$7:$G$14,6,FALSE),"")</f>
        <v/>
      </c>
      <c r="T1129" t="str">
        <f ca="1">IF(Tab_Calculs[[#This Row],[Combustible ]]="Electricité (kWh)",Tab_Calculs[[#This Row],[Conso_mois_kWh]]*2.3,Tab_Calculs[[#This Row],[Conso_mois_kWh]])</f>
        <v/>
      </c>
      <c r="U1129" t="str">
        <f ca="1">IFERROR(N1129*VLOOKUP(Tab_Calculs[[#This Row],[Colonne1]],Controle_des_données!$B$7:$H$14,7,FALSE),"")</f>
        <v/>
      </c>
      <c r="V1129">
        <f ca="1">IFERROR(Tab_Calculs[[#This Row],[Cout_mois]]/Tab_Calculs[[#This Row],[Conso_mois_kWh]],0)</f>
        <v>0</v>
      </c>
      <c r="W1129" t="str">
        <f>T(VLOOKUP(Tab_Calculs[[#This Row],[Compteur]],Site!$B$33:$G$40,3,FALSE))</f>
        <v/>
      </c>
      <c r="X1129" t="str">
        <f>T(VLOOKUP(Tab_Calculs[[#This Row],[Compteur]],Site!$B$33:$G$40,4,FALSE))</f>
        <v/>
      </c>
      <c r="Y1129" t="str">
        <f>T(VLOOKUP(Tab_Calculs[[#This Row],[Compteur]],Site!$B$33:$G$40,5,FALSE))</f>
        <v/>
      </c>
      <c r="Z1129" t="str">
        <f>T(VLOOKUP(Tab_Calculs[[#This Row],[Compteur]],Site!$B$33:$G$40,6,FALSE))</f>
        <v/>
      </c>
      <c r="AA1129">
        <f>IFERROR(GETPIVOTDATA("DJU(chauffagiste)",BDD_DJU!$P$13,"annee",Tab_Calculs[[#This Row],[ANNEE]],"mois_numero",Tab_Calculs[[#This Row],[MOIS]]),0)</f>
        <v>86.4</v>
      </c>
    </row>
    <row r="1130" spans="1:27" x14ac:dyDescent="0.25">
      <c r="A1130" s="3">
        <f>DATE(Tab_Calculs[[#This Row],[ANNEE]],Tab_Calculs[[#This Row],[MOIS]],1)</f>
        <v>45078</v>
      </c>
      <c r="B1130" s="3">
        <f>EDATE(Tab_Calculs[[#This Row],[Début mois]],1)-1</f>
        <v>45107</v>
      </c>
      <c r="C1130">
        <f t="shared" si="38"/>
        <v>6</v>
      </c>
      <c r="D1130">
        <f t="shared" si="40"/>
        <v>2023</v>
      </c>
      <c r="E1130" t="s">
        <v>85</v>
      </c>
      <c r="F1130" t="str">
        <f>SUBSTITUTE(Tab_Calculs[[#This Row],[Compteur]]," ","_")</f>
        <v>Compteur_6</v>
      </c>
      <c r="G1130" t="str">
        <f>T(INDEX(Site!$B$33:$G$40, MATCH(Tab_Calculs[[#This Row],[Compteur]], Site!$B$33:$B$40,0),2))</f>
        <v/>
      </c>
      <c r="H1130" s="3">
        <f t="array" aca="1" ref="H1130" ca="1">MIN(IF(INDIRECT(CONCATENATE(Tab_Calculs[[#This Row],[Colonne1]],"!$B$2:$B$243"))&gt;=Calculs_Consos!$A1130,INDIRECT(CONCATENATE(Tab_Calculs[[#This Row],[Colonne1]],"!$B$2:$B$243"))))</f>
        <v>0</v>
      </c>
      <c r="I1130" s="3">
        <f ca="1">INDEX(INDIRECT(CONCATENATE("Tab_",Tab_Calculs[[#This Row],[Colonne1]])),Tab_Calculs[[#This Row],[index_date_livraison]],1)</f>
        <v>0</v>
      </c>
      <c r="J1130">
        <f ca="1">MATCH(Tab_Calculs[[#This Row],[Date_livraison]],INDIRECT(CONCATENATE("Tab_",Tab_Calculs[[#This Row],[Colonne1]],"[Fin de période]")),0)</f>
        <v>1</v>
      </c>
      <c r="K1130" t="e">
        <f ca="1">INDEX(INDIRECT(CONCATENATE("Tab_",Tab_Calculs[[#This Row],[Colonne1]])),Tab_Calculs[[#This Row],[index_date_livraison]]-1,6)*(MAX(Tab_Calculs[[#This Row],[Début periode livraison]],Tab_Calculs[[#This Row],[Début mois]])-Tab_Calculs[[#This Row],[Début mois]])</f>
        <v>#VALUE!</v>
      </c>
      <c r="L1130" s="94">
        <f ca="1">INDEX(INDIRECT(CONCATENATE("Tab_",Tab_Calculs[[#This Row],[Colonne1]])),Tab_Calculs[[#This Row],[index_date_livraison]],6)*(1+MIN(Tab_Calculs[[#This Row],[Date_livraison]],Tab_Calculs[[#This Row],[fin mois]])-MAX(Tab_Calculs[[#This Row],[Début mois]],Tab_Calculs[[#This Row],[Début periode livraison]]))</f>
        <v>0</v>
      </c>
      <c r="M1130" s="94" t="e">
        <f ca="1">INDEX(INDIRECT(CONCATENATE("Tab_",Tab_Calculs[[#This Row],[Colonne1]])),Tab_Calculs[[#This Row],[index_date_livraison]]+1,6)*(Tab_Calculs[[#This Row],[fin mois]]-MIN(Tab_Calculs[[#This Row],[fin mois]],Tab_Calculs[[#This Row],[Date_livraison]]))</f>
        <v>#VALUE!</v>
      </c>
      <c r="N1130" s="231" t="str">
        <f ca="1">IFERROR(Tab_Calculs[[#This Row],[Ratio_jour_après_livr]]+Tab_Calculs[[#This Row],[Ratio_jour_avant_livr]]+Tab_Calculs[[#This Row],[ratio_avant_debut]],"")</f>
        <v/>
      </c>
      <c r="O1130" t="e">
        <f ca="1">INDEX(INDIRECT(CONCATENATE("Tab_",Tab_Calculs[[#This Row],[Colonne1]])),Tab_Calculs[[#This Row],[index_date_livraison]]-1,7)*(MAX(Tab_Calculs[[#This Row],[Début periode livraison]],Tab_Calculs[[#This Row],[Début mois]])-Tab_Calculs[[#This Row],[Début mois]])</f>
        <v>#VALUE!</v>
      </c>
      <c r="P1130">
        <f ca="1">INDEX(INDIRECT(CONCATENATE("Tab_",Tab_Calculs[[#This Row],[Colonne1]])),Tab_Calculs[[#This Row],[index_date_livraison]],7)*(1+MIN(Tab_Calculs[[#This Row],[Date_livraison]],Tab_Calculs[[#This Row],[fin mois]])-MAX(Tab_Calculs[[#This Row],[Début mois]],Tab_Calculs[[#This Row],[Début periode livraison]]))</f>
        <v>0</v>
      </c>
      <c r="Q1130" t="e">
        <f ca="1">INDEX(INDIRECT(CONCATENATE("Tab_",Tab_Calculs[[#This Row],[Colonne1]])),Tab_Calculs[[#This Row],[index_date_livraison]]+1,7)*(Tab_Calculs[[#This Row],[fin mois]]-MIN(Tab_Calculs[[#This Row],[fin mois]],Tab_Calculs[[#This Row],[Date_livraison]]))</f>
        <v>#VALUE!</v>
      </c>
      <c r="R1130" t="e">
        <f ca="1">Tab_Calculs[[#This Row],[Ratio_Cout_après_livr]]+Tab_Calculs[[#This Row],[Ratio_Cout_avant_livr]]+Tab_Calculs[[#This Row],[Ratio_Cout_avant_debut]]</f>
        <v>#VALUE!</v>
      </c>
      <c r="S1130" t="str">
        <f ca="1">IFERROR(N1130*VLOOKUP(Tab_Calculs[[#This Row],[Colonne1]],Controle_des_données!$B$7:$G$14,6,FALSE),"")</f>
        <v/>
      </c>
      <c r="T1130" t="str">
        <f ca="1">IF(Tab_Calculs[[#This Row],[Combustible ]]="Electricité (kWh)",Tab_Calculs[[#This Row],[Conso_mois_kWh]]*2.3,Tab_Calculs[[#This Row],[Conso_mois_kWh]])</f>
        <v/>
      </c>
      <c r="U1130" t="str">
        <f ca="1">IFERROR(N1130*VLOOKUP(Tab_Calculs[[#This Row],[Colonne1]],Controle_des_données!$B$7:$H$14,7,FALSE),"")</f>
        <v/>
      </c>
      <c r="V1130">
        <f ca="1">IFERROR(Tab_Calculs[[#This Row],[Cout_mois]]/Tab_Calculs[[#This Row],[Conso_mois_kWh]],0)</f>
        <v>0</v>
      </c>
      <c r="W1130" t="str">
        <f>T(VLOOKUP(Tab_Calculs[[#This Row],[Compteur]],Site!$B$33:$G$40,3,FALSE))</f>
        <v/>
      </c>
      <c r="X1130" t="str">
        <f>T(VLOOKUP(Tab_Calculs[[#This Row],[Compteur]],Site!$B$33:$G$40,4,FALSE))</f>
        <v/>
      </c>
      <c r="Y1130" t="str">
        <f>T(VLOOKUP(Tab_Calculs[[#This Row],[Compteur]],Site!$B$33:$G$40,5,FALSE))</f>
        <v/>
      </c>
      <c r="Z1130" t="str">
        <f>T(VLOOKUP(Tab_Calculs[[#This Row],[Compteur]],Site!$B$33:$G$40,6,FALSE))</f>
        <v/>
      </c>
      <c r="AA1130">
        <f>IFERROR(GETPIVOTDATA("DJU(chauffagiste)",BDD_DJU!$P$13,"annee",Tab_Calculs[[#This Row],[ANNEE]],"mois_numero",Tab_Calculs[[#This Row],[MOIS]]),0)</f>
        <v>17.3</v>
      </c>
    </row>
    <row r="1131" spans="1:27" x14ac:dyDescent="0.25">
      <c r="A1131" s="3">
        <f>DATE(Tab_Calculs[[#This Row],[ANNEE]],Tab_Calculs[[#This Row],[MOIS]],1)</f>
        <v>45108</v>
      </c>
      <c r="B1131" s="3">
        <f>EDATE(Tab_Calculs[[#This Row],[Début mois]],1)-1</f>
        <v>45138</v>
      </c>
      <c r="C1131">
        <f t="shared" si="38"/>
        <v>7</v>
      </c>
      <c r="D1131">
        <f t="shared" si="40"/>
        <v>2023</v>
      </c>
      <c r="E1131" t="s">
        <v>85</v>
      </c>
      <c r="F1131" t="str">
        <f>SUBSTITUTE(Tab_Calculs[[#This Row],[Compteur]]," ","_")</f>
        <v>Compteur_6</v>
      </c>
      <c r="G1131" t="str">
        <f>T(INDEX(Site!$B$33:$G$40, MATCH(Tab_Calculs[[#This Row],[Compteur]], Site!$B$33:$B$40,0),2))</f>
        <v/>
      </c>
      <c r="H1131" s="3">
        <f t="array" aca="1" ref="H1131" ca="1">MIN(IF(INDIRECT(CONCATENATE(Tab_Calculs[[#This Row],[Colonne1]],"!$B$2:$B$243"))&gt;=Calculs_Consos!$A1131,INDIRECT(CONCATENATE(Tab_Calculs[[#This Row],[Colonne1]],"!$B$2:$B$243"))))</f>
        <v>0</v>
      </c>
      <c r="I1131" s="3">
        <f ca="1">INDEX(INDIRECT(CONCATENATE("Tab_",Tab_Calculs[[#This Row],[Colonne1]])),Tab_Calculs[[#This Row],[index_date_livraison]],1)</f>
        <v>0</v>
      </c>
      <c r="J1131">
        <f ca="1">MATCH(Tab_Calculs[[#This Row],[Date_livraison]],INDIRECT(CONCATENATE("Tab_",Tab_Calculs[[#This Row],[Colonne1]],"[Fin de période]")),0)</f>
        <v>1</v>
      </c>
      <c r="K1131" t="e">
        <f ca="1">INDEX(INDIRECT(CONCATENATE("Tab_",Tab_Calculs[[#This Row],[Colonne1]])),Tab_Calculs[[#This Row],[index_date_livraison]]-1,6)*(MAX(Tab_Calculs[[#This Row],[Début periode livraison]],Tab_Calculs[[#This Row],[Début mois]])-Tab_Calculs[[#This Row],[Début mois]])</f>
        <v>#VALUE!</v>
      </c>
      <c r="L1131" s="94">
        <f ca="1">INDEX(INDIRECT(CONCATENATE("Tab_",Tab_Calculs[[#This Row],[Colonne1]])),Tab_Calculs[[#This Row],[index_date_livraison]],6)*(1+MIN(Tab_Calculs[[#This Row],[Date_livraison]],Tab_Calculs[[#This Row],[fin mois]])-MAX(Tab_Calculs[[#This Row],[Début mois]],Tab_Calculs[[#This Row],[Début periode livraison]]))</f>
        <v>0</v>
      </c>
      <c r="M1131" s="94" t="e">
        <f ca="1">INDEX(INDIRECT(CONCATENATE("Tab_",Tab_Calculs[[#This Row],[Colonne1]])),Tab_Calculs[[#This Row],[index_date_livraison]]+1,6)*(Tab_Calculs[[#This Row],[fin mois]]-MIN(Tab_Calculs[[#This Row],[fin mois]],Tab_Calculs[[#This Row],[Date_livraison]]))</f>
        <v>#VALUE!</v>
      </c>
      <c r="N1131" s="231" t="str">
        <f ca="1">IFERROR(Tab_Calculs[[#This Row],[Ratio_jour_après_livr]]+Tab_Calculs[[#This Row],[Ratio_jour_avant_livr]]+Tab_Calculs[[#This Row],[ratio_avant_debut]],"")</f>
        <v/>
      </c>
      <c r="O1131" t="e">
        <f ca="1">INDEX(INDIRECT(CONCATENATE("Tab_",Tab_Calculs[[#This Row],[Colonne1]])),Tab_Calculs[[#This Row],[index_date_livraison]]-1,7)*(MAX(Tab_Calculs[[#This Row],[Début periode livraison]],Tab_Calculs[[#This Row],[Début mois]])-Tab_Calculs[[#This Row],[Début mois]])</f>
        <v>#VALUE!</v>
      </c>
      <c r="P1131">
        <f ca="1">INDEX(INDIRECT(CONCATENATE("Tab_",Tab_Calculs[[#This Row],[Colonne1]])),Tab_Calculs[[#This Row],[index_date_livraison]],7)*(1+MIN(Tab_Calculs[[#This Row],[Date_livraison]],Tab_Calculs[[#This Row],[fin mois]])-MAX(Tab_Calculs[[#This Row],[Début mois]],Tab_Calculs[[#This Row],[Début periode livraison]]))</f>
        <v>0</v>
      </c>
      <c r="Q1131" t="e">
        <f ca="1">INDEX(INDIRECT(CONCATENATE("Tab_",Tab_Calculs[[#This Row],[Colonne1]])),Tab_Calculs[[#This Row],[index_date_livraison]]+1,7)*(Tab_Calculs[[#This Row],[fin mois]]-MIN(Tab_Calculs[[#This Row],[fin mois]],Tab_Calculs[[#This Row],[Date_livraison]]))</f>
        <v>#VALUE!</v>
      </c>
      <c r="R1131" t="e">
        <f ca="1">Tab_Calculs[[#This Row],[Ratio_Cout_après_livr]]+Tab_Calculs[[#This Row],[Ratio_Cout_avant_livr]]+Tab_Calculs[[#This Row],[Ratio_Cout_avant_debut]]</f>
        <v>#VALUE!</v>
      </c>
      <c r="S1131" t="str">
        <f ca="1">IFERROR(N1131*VLOOKUP(Tab_Calculs[[#This Row],[Colonne1]],Controle_des_données!$B$7:$G$14,6,FALSE),"")</f>
        <v/>
      </c>
      <c r="T1131" t="str">
        <f ca="1">IF(Tab_Calculs[[#This Row],[Combustible ]]="Electricité (kWh)",Tab_Calculs[[#This Row],[Conso_mois_kWh]]*2.3,Tab_Calculs[[#This Row],[Conso_mois_kWh]])</f>
        <v/>
      </c>
      <c r="U1131" t="str">
        <f ca="1">IFERROR(N1131*VLOOKUP(Tab_Calculs[[#This Row],[Colonne1]],Controle_des_données!$B$7:$H$14,7,FALSE),"")</f>
        <v/>
      </c>
      <c r="V1131">
        <f ca="1">IFERROR(Tab_Calculs[[#This Row],[Cout_mois]]/Tab_Calculs[[#This Row],[Conso_mois_kWh]],0)</f>
        <v>0</v>
      </c>
      <c r="W1131" t="str">
        <f>T(VLOOKUP(Tab_Calculs[[#This Row],[Compteur]],Site!$B$33:$G$40,3,FALSE))</f>
        <v/>
      </c>
      <c r="X1131" t="str">
        <f>T(VLOOKUP(Tab_Calculs[[#This Row],[Compteur]],Site!$B$33:$G$40,4,FALSE))</f>
        <v/>
      </c>
      <c r="Y1131" t="str">
        <f>T(VLOOKUP(Tab_Calculs[[#This Row],[Compteur]],Site!$B$33:$G$40,5,FALSE))</f>
        <v/>
      </c>
      <c r="Z1131" t="str">
        <f>T(VLOOKUP(Tab_Calculs[[#This Row],[Compteur]],Site!$B$33:$G$40,6,FALSE))</f>
        <v/>
      </c>
      <c r="AA1131">
        <f>IFERROR(GETPIVOTDATA("DJU(chauffagiste)",BDD_DJU!$P$13,"annee",Tab_Calculs[[#This Row],[ANNEE]],"mois_numero",Tab_Calculs[[#This Row],[MOIS]]),0)</f>
        <v>24.1</v>
      </c>
    </row>
    <row r="1132" spans="1:27" x14ac:dyDescent="0.25">
      <c r="A1132" s="3">
        <f>DATE(Tab_Calculs[[#This Row],[ANNEE]],Tab_Calculs[[#This Row],[MOIS]],1)</f>
        <v>45139</v>
      </c>
      <c r="B1132" s="3">
        <f>EDATE(Tab_Calculs[[#This Row],[Début mois]],1)-1</f>
        <v>45169</v>
      </c>
      <c r="C1132">
        <f t="shared" si="38"/>
        <v>8</v>
      </c>
      <c r="D1132">
        <f t="shared" si="40"/>
        <v>2023</v>
      </c>
      <c r="E1132" t="s">
        <v>85</v>
      </c>
      <c r="F1132" t="str">
        <f>SUBSTITUTE(Tab_Calculs[[#This Row],[Compteur]]," ","_")</f>
        <v>Compteur_6</v>
      </c>
      <c r="G1132" t="str">
        <f>T(INDEX(Site!$B$33:$G$40, MATCH(Tab_Calculs[[#This Row],[Compteur]], Site!$B$33:$B$40,0),2))</f>
        <v/>
      </c>
      <c r="H1132" s="3">
        <f t="array" aca="1" ref="H1132" ca="1">MIN(IF(INDIRECT(CONCATENATE(Tab_Calculs[[#This Row],[Colonne1]],"!$B$2:$B$243"))&gt;=Calculs_Consos!$A1132,INDIRECT(CONCATENATE(Tab_Calculs[[#This Row],[Colonne1]],"!$B$2:$B$243"))))</f>
        <v>0</v>
      </c>
      <c r="I1132" s="3">
        <f ca="1">INDEX(INDIRECT(CONCATENATE("Tab_",Tab_Calculs[[#This Row],[Colonne1]])),Tab_Calculs[[#This Row],[index_date_livraison]],1)</f>
        <v>0</v>
      </c>
      <c r="J1132">
        <f ca="1">MATCH(Tab_Calculs[[#This Row],[Date_livraison]],INDIRECT(CONCATENATE("Tab_",Tab_Calculs[[#This Row],[Colonne1]],"[Fin de période]")),0)</f>
        <v>1</v>
      </c>
      <c r="K1132" t="e">
        <f ca="1">INDEX(INDIRECT(CONCATENATE("Tab_",Tab_Calculs[[#This Row],[Colonne1]])),Tab_Calculs[[#This Row],[index_date_livraison]]-1,6)*(MAX(Tab_Calculs[[#This Row],[Début periode livraison]],Tab_Calculs[[#This Row],[Début mois]])-Tab_Calculs[[#This Row],[Début mois]])</f>
        <v>#VALUE!</v>
      </c>
      <c r="L1132" s="94">
        <f ca="1">INDEX(INDIRECT(CONCATENATE("Tab_",Tab_Calculs[[#This Row],[Colonne1]])),Tab_Calculs[[#This Row],[index_date_livraison]],6)*(1+MIN(Tab_Calculs[[#This Row],[Date_livraison]],Tab_Calculs[[#This Row],[fin mois]])-MAX(Tab_Calculs[[#This Row],[Début mois]],Tab_Calculs[[#This Row],[Début periode livraison]]))</f>
        <v>0</v>
      </c>
      <c r="M1132" s="94" t="e">
        <f ca="1">INDEX(INDIRECT(CONCATENATE("Tab_",Tab_Calculs[[#This Row],[Colonne1]])),Tab_Calculs[[#This Row],[index_date_livraison]]+1,6)*(Tab_Calculs[[#This Row],[fin mois]]-MIN(Tab_Calculs[[#This Row],[fin mois]],Tab_Calculs[[#This Row],[Date_livraison]]))</f>
        <v>#VALUE!</v>
      </c>
      <c r="N1132" s="231" t="str">
        <f ca="1">IFERROR(Tab_Calculs[[#This Row],[Ratio_jour_après_livr]]+Tab_Calculs[[#This Row],[Ratio_jour_avant_livr]]+Tab_Calculs[[#This Row],[ratio_avant_debut]],"")</f>
        <v/>
      </c>
      <c r="O1132" t="e">
        <f ca="1">INDEX(INDIRECT(CONCATENATE("Tab_",Tab_Calculs[[#This Row],[Colonne1]])),Tab_Calculs[[#This Row],[index_date_livraison]]-1,7)*(MAX(Tab_Calculs[[#This Row],[Début periode livraison]],Tab_Calculs[[#This Row],[Début mois]])-Tab_Calculs[[#This Row],[Début mois]])</f>
        <v>#VALUE!</v>
      </c>
      <c r="P1132">
        <f ca="1">INDEX(INDIRECT(CONCATENATE("Tab_",Tab_Calculs[[#This Row],[Colonne1]])),Tab_Calculs[[#This Row],[index_date_livraison]],7)*(1+MIN(Tab_Calculs[[#This Row],[Date_livraison]],Tab_Calculs[[#This Row],[fin mois]])-MAX(Tab_Calculs[[#This Row],[Début mois]],Tab_Calculs[[#This Row],[Début periode livraison]]))</f>
        <v>0</v>
      </c>
      <c r="Q1132" t="e">
        <f ca="1">INDEX(INDIRECT(CONCATENATE("Tab_",Tab_Calculs[[#This Row],[Colonne1]])),Tab_Calculs[[#This Row],[index_date_livraison]]+1,7)*(Tab_Calculs[[#This Row],[fin mois]]-MIN(Tab_Calculs[[#This Row],[fin mois]],Tab_Calculs[[#This Row],[Date_livraison]]))</f>
        <v>#VALUE!</v>
      </c>
      <c r="R1132" t="e">
        <f ca="1">Tab_Calculs[[#This Row],[Ratio_Cout_après_livr]]+Tab_Calculs[[#This Row],[Ratio_Cout_avant_livr]]+Tab_Calculs[[#This Row],[Ratio_Cout_avant_debut]]</f>
        <v>#VALUE!</v>
      </c>
      <c r="S1132" t="str">
        <f ca="1">IFERROR(N1132*VLOOKUP(Tab_Calculs[[#This Row],[Colonne1]],Controle_des_données!$B$7:$G$14,6,FALSE),"")</f>
        <v/>
      </c>
      <c r="T1132" t="str">
        <f ca="1">IF(Tab_Calculs[[#This Row],[Combustible ]]="Electricité (kWh)",Tab_Calculs[[#This Row],[Conso_mois_kWh]]*2.3,Tab_Calculs[[#This Row],[Conso_mois_kWh]])</f>
        <v/>
      </c>
      <c r="U1132" t="str">
        <f ca="1">IFERROR(N1132*VLOOKUP(Tab_Calculs[[#This Row],[Colonne1]],Controle_des_données!$B$7:$H$14,7,FALSE),"")</f>
        <v/>
      </c>
      <c r="V1132">
        <f ca="1">IFERROR(Tab_Calculs[[#This Row],[Cout_mois]]/Tab_Calculs[[#This Row],[Conso_mois_kWh]],0)</f>
        <v>0</v>
      </c>
      <c r="W1132" t="str">
        <f>T(VLOOKUP(Tab_Calculs[[#This Row],[Compteur]],Site!$B$33:$G$40,3,FALSE))</f>
        <v/>
      </c>
      <c r="X1132" t="str">
        <f>T(VLOOKUP(Tab_Calculs[[#This Row],[Compteur]],Site!$B$33:$G$40,4,FALSE))</f>
        <v/>
      </c>
      <c r="Y1132" t="str">
        <f>T(VLOOKUP(Tab_Calculs[[#This Row],[Compteur]],Site!$B$33:$G$40,5,FALSE))</f>
        <v/>
      </c>
      <c r="Z1132" t="str">
        <f>T(VLOOKUP(Tab_Calculs[[#This Row],[Compteur]],Site!$B$33:$G$40,6,FALSE))</f>
        <v/>
      </c>
      <c r="AA1132">
        <f>IFERROR(GETPIVOTDATA("DJU(chauffagiste)",BDD_DJU!$P$13,"annee",Tab_Calculs[[#This Row],[ANNEE]],"mois_numero",Tab_Calculs[[#This Row],[MOIS]]),0)</f>
        <v>27.9</v>
      </c>
    </row>
    <row r="1133" spans="1:27" x14ac:dyDescent="0.25">
      <c r="A1133" s="3">
        <f>DATE(Tab_Calculs[[#This Row],[ANNEE]],Tab_Calculs[[#This Row],[MOIS]],1)</f>
        <v>45170</v>
      </c>
      <c r="B1133" s="3">
        <f>EDATE(Tab_Calculs[[#This Row],[Début mois]],1)-1</f>
        <v>45199</v>
      </c>
      <c r="C1133">
        <f t="shared" si="38"/>
        <v>9</v>
      </c>
      <c r="D1133">
        <f t="shared" si="40"/>
        <v>2023</v>
      </c>
      <c r="E1133" t="s">
        <v>85</v>
      </c>
      <c r="F1133" t="str">
        <f>SUBSTITUTE(Tab_Calculs[[#This Row],[Compteur]]," ","_")</f>
        <v>Compteur_6</v>
      </c>
      <c r="G1133" t="str">
        <f>T(INDEX(Site!$B$33:$G$40, MATCH(Tab_Calculs[[#This Row],[Compteur]], Site!$B$33:$B$40,0),2))</f>
        <v/>
      </c>
      <c r="H1133" s="3">
        <f t="array" aca="1" ref="H1133" ca="1">MIN(IF(INDIRECT(CONCATENATE(Tab_Calculs[[#This Row],[Colonne1]],"!$B$2:$B$243"))&gt;=Calculs_Consos!$A1133,INDIRECT(CONCATENATE(Tab_Calculs[[#This Row],[Colonne1]],"!$B$2:$B$243"))))</f>
        <v>0</v>
      </c>
      <c r="I1133" s="3">
        <f ca="1">INDEX(INDIRECT(CONCATENATE("Tab_",Tab_Calculs[[#This Row],[Colonne1]])),Tab_Calculs[[#This Row],[index_date_livraison]],1)</f>
        <v>0</v>
      </c>
      <c r="J1133">
        <f ca="1">MATCH(Tab_Calculs[[#This Row],[Date_livraison]],INDIRECT(CONCATENATE("Tab_",Tab_Calculs[[#This Row],[Colonne1]],"[Fin de période]")),0)</f>
        <v>1</v>
      </c>
      <c r="K1133" t="e">
        <f ca="1">INDEX(INDIRECT(CONCATENATE("Tab_",Tab_Calculs[[#This Row],[Colonne1]])),Tab_Calculs[[#This Row],[index_date_livraison]]-1,6)*(MAX(Tab_Calculs[[#This Row],[Début periode livraison]],Tab_Calculs[[#This Row],[Début mois]])-Tab_Calculs[[#This Row],[Début mois]])</f>
        <v>#VALUE!</v>
      </c>
      <c r="L1133" s="94">
        <f ca="1">INDEX(INDIRECT(CONCATENATE("Tab_",Tab_Calculs[[#This Row],[Colonne1]])),Tab_Calculs[[#This Row],[index_date_livraison]],6)*(1+MIN(Tab_Calculs[[#This Row],[Date_livraison]],Tab_Calculs[[#This Row],[fin mois]])-MAX(Tab_Calculs[[#This Row],[Début mois]],Tab_Calculs[[#This Row],[Début periode livraison]]))</f>
        <v>0</v>
      </c>
      <c r="M1133" s="94" t="e">
        <f ca="1">INDEX(INDIRECT(CONCATENATE("Tab_",Tab_Calculs[[#This Row],[Colonne1]])),Tab_Calculs[[#This Row],[index_date_livraison]]+1,6)*(Tab_Calculs[[#This Row],[fin mois]]-MIN(Tab_Calculs[[#This Row],[fin mois]],Tab_Calculs[[#This Row],[Date_livraison]]))</f>
        <v>#VALUE!</v>
      </c>
      <c r="N1133" s="231" t="str">
        <f ca="1">IFERROR(Tab_Calculs[[#This Row],[Ratio_jour_après_livr]]+Tab_Calculs[[#This Row],[Ratio_jour_avant_livr]]+Tab_Calculs[[#This Row],[ratio_avant_debut]],"")</f>
        <v/>
      </c>
      <c r="O1133" t="e">
        <f ca="1">INDEX(INDIRECT(CONCATENATE("Tab_",Tab_Calculs[[#This Row],[Colonne1]])),Tab_Calculs[[#This Row],[index_date_livraison]]-1,7)*(MAX(Tab_Calculs[[#This Row],[Début periode livraison]],Tab_Calculs[[#This Row],[Début mois]])-Tab_Calculs[[#This Row],[Début mois]])</f>
        <v>#VALUE!</v>
      </c>
      <c r="P1133">
        <f ca="1">INDEX(INDIRECT(CONCATENATE("Tab_",Tab_Calculs[[#This Row],[Colonne1]])),Tab_Calculs[[#This Row],[index_date_livraison]],7)*(1+MIN(Tab_Calculs[[#This Row],[Date_livraison]],Tab_Calculs[[#This Row],[fin mois]])-MAX(Tab_Calculs[[#This Row],[Début mois]],Tab_Calculs[[#This Row],[Début periode livraison]]))</f>
        <v>0</v>
      </c>
      <c r="Q1133" t="e">
        <f ca="1">INDEX(INDIRECT(CONCATENATE("Tab_",Tab_Calculs[[#This Row],[Colonne1]])),Tab_Calculs[[#This Row],[index_date_livraison]]+1,7)*(Tab_Calculs[[#This Row],[fin mois]]-MIN(Tab_Calculs[[#This Row],[fin mois]],Tab_Calculs[[#This Row],[Date_livraison]]))</f>
        <v>#VALUE!</v>
      </c>
      <c r="R1133" t="e">
        <f ca="1">Tab_Calculs[[#This Row],[Ratio_Cout_après_livr]]+Tab_Calculs[[#This Row],[Ratio_Cout_avant_livr]]+Tab_Calculs[[#This Row],[Ratio_Cout_avant_debut]]</f>
        <v>#VALUE!</v>
      </c>
      <c r="S1133" t="str">
        <f ca="1">IFERROR(N1133*VLOOKUP(Tab_Calculs[[#This Row],[Colonne1]],Controle_des_données!$B$7:$G$14,6,FALSE),"")</f>
        <v/>
      </c>
      <c r="T1133" t="str">
        <f ca="1">IF(Tab_Calculs[[#This Row],[Combustible ]]="Electricité (kWh)",Tab_Calculs[[#This Row],[Conso_mois_kWh]]*2.3,Tab_Calculs[[#This Row],[Conso_mois_kWh]])</f>
        <v/>
      </c>
      <c r="U1133" t="str">
        <f ca="1">IFERROR(N1133*VLOOKUP(Tab_Calculs[[#This Row],[Colonne1]],Controle_des_données!$B$7:$H$14,7,FALSE),"")</f>
        <v/>
      </c>
      <c r="V1133">
        <f ca="1">IFERROR(Tab_Calculs[[#This Row],[Cout_mois]]/Tab_Calculs[[#This Row],[Conso_mois_kWh]],0)</f>
        <v>0</v>
      </c>
      <c r="W1133" t="str">
        <f>T(VLOOKUP(Tab_Calculs[[#This Row],[Compteur]],Site!$B$33:$G$40,3,FALSE))</f>
        <v/>
      </c>
      <c r="X1133" t="str">
        <f>T(VLOOKUP(Tab_Calculs[[#This Row],[Compteur]],Site!$B$33:$G$40,4,FALSE))</f>
        <v/>
      </c>
      <c r="Y1133" t="str">
        <f>T(VLOOKUP(Tab_Calculs[[#This Row],[Compteur]],Site!$B$33:$G$40,5,FALSE))</f>
        <v/>
      </c>
      <c r="Z1133" t="str">
        <f>T(VLOOKUP(Tab_Calculs[[#This Row],[Compteur]],Site!$B$33:$G$40,6,FALSE))</f>
        <v/>
      </c>
      <c r="AA1133">
        <f>IFERROR(GETPIVOTDATA("DJU(chauffagiste)",BDD_DJU!$P$13,"annee",Tab_Calculs[[#This Row],[ANNEE]],"mois_numero",Tab_Calculs[[#This Row],[MOIS]]),0)</f>
        <v>30.5</v>
      </c>
    </row>
    <row r="1134" spans="1:27" x14ac:dyDescent="0.25">
      <c r="A1134" s="3">
        <f>DATE(Tab_Calculs[[#This Row],[ANNEE]],Tab_Calculs[[#This Row],[MOIS]],1)</f>
        <v>45200</v>
      </c>
      <c r="B1134" s="3">
        <f>EDATE(Tab_Calculs[[#This Row],[Début mois]],1)-1</f>
        <v>45230</v>
      </c>
      <c r="C1134">
        <f t="shared" si="38"/>
        <v>10</v>
      </c>
      <c r="D1134">
        <f t="shared" si="40"/>
        <v>2023</v>
      </c>
      <c r="E1134" t="s">
        <v>85</v>
      </c>
      <c r="F1134" t="str">
        <f>SUBSTITUTE(Tab_Calculs[[#This Row],[Compteur]]," ","_")</f>
        <v>Compteur_6</v>
      </c>
      <c r="G1134" t="str">
        <f>T(INDEX(Site!$B$33:$G$40, MATCH(Tab_Calculs[[#This Row],[Compteur]], Site!$B$33:$B$40,0),2))</f>
        <v/>
      </c>
      <c r="H1134" s="3">
        <f t="array" aca="1" ref="H1134" ca="1">MIN(IF(INDIRECT(CONCATENATE(Tab_Calculs[[#This Row],[Colonne1]],"!$B$2:$B$243"))&gt;=Calculs_Consos!$A1134,INDIRECT(CONCATENATE(Tab_Calculs[[#This Row],[Colonne1]],"!$B$2:$B$243"))))</f>
        <v>0</v>
      </c>
      <c r="I1134" s="3">
        <f ca="1">INDEX(INDIRECT(CONCATENATE("Tab_",Tab_Calculs[[#This Row],[Colonne1]])),Tab_Calculs[[#This Row],[index_date_livraison]],1)</f>
        <v>0</v>
      </c>
      <c r="J1134">
        <f ca="1">MATCH(Tab_Calculs[[#This Row],[Date_livraison]],INDIRECT(CONCATENATE("Tab_",Tab_Calculs[[#This Row],[Colonne1]],"[Fin de période]")),0)</f>
        <v>1</v>
      </c>
      <c r="K1134" t="e">
        <f ca="1">INDEX(INDIRECT(CONCATENATE("Tab_",Tab_Calculs[[#This Row],[Colonne1]])),Tab_Calculs[[#This Row],[index_date_livraison]]-1,6)*(MAX(Tab_Calculs[[#This Row],[Début periode livraison]],Tab_Calculs[[#This Row],[Début mois]])-Tab_Calculs[[#This Row],[Début mois]])</f>
        <v>#VALUE!</v>
      </c>
      <c r="L1134" s="94">
        <f ca="1">INDEX(INDIRECT(CONCATENATE("Tab_",Tab_Calculs[[#This Row],[Colonne1]])),Tab_Calculs[[#This Row],[index_date_livraison]],6)*(1+MIN(Tab_Calculs[[#This Row],[Date_livraison]],Tab_Calculs[[#This Row],[fin mois]])-MAX(Tab_Calculs[[#This Row],[Début mois]],Tab_Calculs[[#This Row],[Début periode livraison]]))</f>
        <v>0</v>
      </c>
      <c r="M1134" s="94" t="e">
        <f ca="1">INDEX(INDIRECT(CONCATENATE("Tab_",Tab_Calculs[[#This Row],[Colonne1]])),Tab_Calculs[[#This Row],[index_date_livraison]]+1,6)*(Tab_Calculs[[#This Row],[fin mois]]-MIN(Tab_Calculs[[#This Row],[fin mois]],Tab_Calculs[[#This Row],[Date_livraison]]))</f>
        <v>#VALUE!</v>
      </c>
      <c r="N1134" s="231" t="str">
        <f ca="1">IFERROR(Tab_Calculs[[#This Row],[Ratio_jour_après_livr]]+Tab_Calculs[[#This Row],[Ratio_jour_avant_livr]]+Tab_Calculs[[#This Row],[ratio_avant_debut]],"")</f>
        <v/>
      </c>
      <c r="O1134" t="e">
        <f ca="1">INDEX(INDIRECT(CONCATENATE("Tab_",Tab_Calculs[[#This Row],[Colonne1]])),Tab_Calculs[[#This Row],[index_date_livraison]]-1,7)*(MAX(Tab_Calculs[[#This Row],[Début periode livraison]],Tab_Calculs[[#This Row],[Début mois]])-Tab_Calculs[[#This Row],[Début mois]])</f>
        <v>#VALUE!</v>
      </c>
      <c r="P1134">
        <f ca="1">INDEX(INDIRECT(CONCATENATE("Tab_",Tab_Calculs[[#This Row],[Colonne1]])),Tab_Calculs[[#This Row],[index_date_livraison]],7)*(1+MIN(Tab_Calculs[[#This Row],[Date_livraison]],Tab_Calculs[[#This Row],[fin mois]])-MAX(Tab_Calculs[[#This Row],[Début mois]],Tab_Calculs[[#This Row],[Début periode livraison]]))</f>
        <v>0</v>
      </c>
      <c r="Q1134" t="e">
        <f ca="1">INDEX(INDIRECT(CONCATENATE("Tab_",Tab_Calculs[[#This Row],[Colonne1]])),Tab_Calculs[[#This Row],[index_date_livraison]]+1,7)*(Tab_Calculs[[#This Row],[fin mois]]-MIN(Tab_Calculs[[#This Row],[fin mois]],Tab_Calculs[[#This Row],[Date_livraison]]))</f>
        <v>#VALUE!</v>
      </c>
      <c r="R1134" t="e">
        <f ca="1">Tab_Calculs[[#This Row],[Ratio_Cout_après_livr]]+Tab_Calculs[[#This Row],[Ratio_Cout_avant_livr]]+Tab_Calculs[[#This Row],[Ratio_Cout_avant_debut]]</f>
        <v>#VALUE!</v>
      </c>
      <c r="S1134" t="str">
        <f ca="1">IFERROR(N1134*VLOOKUP(Tab_Calculs[[#This Row],[Colonne1]],Controle_des_données!$B$7:$G$14,6,FALSE),"")</f>
        <v/>
      </c>
      <c r="T1134" t="str">
        <f ca="1">IF(Tab_Calculs[[#This Row],[Combustible ]]="Electricité (kWh)",Tab_Calculs[[#This Row],[Conso_mois_kWh]]*2.3,Tab_Calculs[[#This Row],[Conso_mois_kWh]])</f>
        <v/>
      </c>
      <c r="U1134" t="str">
        <f ca="1">IFERROR(N1134*VLOOKUP(Tab_Calculs[[#This Row],[Colonne1]],Controle_des_données!$B$7:$H$14,7,FALSE),"")</f>
        <v/>
      </c>
      <c r="V1134">
        <f ca="1">IFERROR(Tab_Calculs[[#This Row],[Cout_mois]]/Tab_Calculs[[#This Row],[Conso_mois_kWh]],0)</f>
        <v>0</v>
      </c>
      <c r="W1134" t="str">
        <f>T(VLOOKUP(Tab_Calculs[[#This Row],[Compteur]],Site!$B$33:$G$40,3,FALSE))</f>
        <v/>
      </c>
      <c r="X1134" t="str">
        <f>T(VLOOKUP(Tab_Calculs[[#This Row],[Compteur]],Site!$B$33:$G$40,4,FALSE))</f>
        <v/>
      </c>
      <c r="Y1134" t="str">
        <f>T(VLOOKUP(Tab_Calculs[[#This Row],[Compteur]],Site!$B$33:$G$40,5,FALSE))</f>
        <v/>
      </c>
      <c r="Z1134" t="str">
        <f>T(VLOOKUP(Tab_Calculs[[#This Row],[Compteur]],Site!$B$33:$G$40,6,FALSE))</f>
        <v/>
      </c>
      <c r="AA1134">
        <f>IFERROR(GETPIVOTDATA("DJU(chauffagiste)",BDD_DJU!$P$13,"annee",Tab_Calculs[[#This Row],[ANNEE]],"mois_numero",Tab_Calculs[[#This Row],[MOIS]]),0)</f>
        <v>115.8</v>
      </c>
    </row>
    <row r="1135" spans="1:27" x14ac:dyDescent="0.25">
      <c r="A1135" s="3">
        <f>DATE(Tab_Calculs[[#This Row],[ANNEE]],Tab_Calculs[[#This Row],[MOIS]],1)</f>
        <v>45231</v>
      </c>
      <c r="B1135" s="3">
        <f>EDATE(Tab_Calculs[[#This Row],[Début mois]],1)-1</f>
        <v>45260</v>
      </c>
      <c r="C1135">
        <f t="shared" si="38"/>
        <v>11</v>
      </c>
      <c r="D1135">
        <f t="shared" si="40"/>
        <v>2023</v>
      </c>
      <c r="E1135" t="s">
        <v>85</v>
      </c>
      <c r="F1135" t="str">
        <f>SUBSTITUTE(Tab_Calculs[[#This Row],[Compteur]]," ","_")</f>
        <v>Compteur_6</v>
      </c>
      <c r="G1135" t="str">
        <f>T(INDEX(Site!$B$33:$G$40, MATCH(Tab_Calculs[[#This Row],[Compteur]], Site!$B$33:$B$40,0),2))</f>
        <v/>
      </c>
      <c r="H1135" s="3">
        <f t="array" aca="1" ref="H1135" ca="1">MIN(IF(INDIRECT(CONCATENATE(Tab_Calculs[[#This Row],[Colonne1]],"!$B$2:$B$243"))&gt;=Calculs_Consos!$A1135,INDIRECT(CONCATENATE(Tab_Calculs[[#This Row],[Colonne1]],"!$B$2:$B$243"))))</f>
        <v>0</v>
      </c>
      <c r="I1135" s="3">
        <f ca="1">INDEX(INDIRECT(CONCATENATE("Tab_",Tab_Calculs[[#This Row],[Colonne1]])),Tab_Calculs[[#This Row],[index_date_livraison]],1)</f>
        <v>0</v>
      </c>
      <c r="J1135">
        <f ca="1">MATCH(Tab_Calculs[[#This Row],[Date_livraison]],INDIRECT(CONCATENATE("Tab_",Tab_Calculs[[#This Row],[Colonne1]],"[Fin de période]")),0)</f>
        <v>1</v>
      </c>
      <c r="K1135" t="e">
        <f ca="1">INDEX(INDIRECT(CONCATENATE("Tab_",Tab_Calculs[[#This Row],[Colonne1]])),Tab_Calculs[[#This Row],[index_date_livraison]]-1,6)*(MAX(Tab_Calculs[[#This Row],[Début periode livraison]],Tab_Calculs[[#This Row],[Début mois]])-Tab_Calculs[[#This Row],[Début mois]])</f>
        <v>#VALUE!</v>
      </c>
      <c r="L1135" s="94">
        <f ca="1">INDEX(INDIRECT(CONCATENATE("Tab_",Tab_Calculs[[#This Row],[Colonne1]])),Tab_Calculs[[#This Row],[index_date_livraison]],6)*(1+MIN(Tab_Calculs[[#This Row],[Date_livraison]],Tab_Calculs[[#This Row],[fin mois]])-MAX(Tab_Calculs[[#This Row],[Début mois]],Tab_Calculs[[#This Row],[Début periode livraison]]))</f>
        <v>0</v>
      </c>
      <c r="M1135" s="94" t="e">
        <f ca="1">INDEX(INDIRECT(CONCATENATE("Tab_",Tab_Calculs[[#This Row],[Colonne1]])),Tab_Calculs[[#This Row],[index_date_livraison]]+1,6)*(Tab_Calculs[[#This Row],[fin mois]]-MIN(Tab_Calculs[[#This Row],[fin mois]],Tab_Calculs[[#This Row],[Date_livraison]]))</f>
        <v>#VALUE!</v>
      </c>
      <c r="N1135" s="231" t="str">
        <f ca="1">IFERROR(Tab_Calculs[[#This Row],[Ratio_jour_après_livr]]+Tab_Calculs[[#This Row],[Ratio_jour_avant_livr]]+Tab_Calculs[[#This Row],[ratio_avant_debut]],"")</f>
        <v/>
      </c>
      <c r="O1135" t="e">
        <f ca="1">INDEX(INDIRECT(CONCATENATE("Tab_",Tab_Calculs[[#This Row],[Colonne1]])),Tab_Calculs[[#This Row],[index_date_livraison]]-1,7)*(MAX(Tab_Calculs[[#This Row],[Début periode livraison]],Tab_Calculs[[#This Row],[Début mois]])-Tab_Calculs[[#This Row],[Début mois]])</f>
        <v>#VALUE!</v>
      </c>
      <c r="P1135">
        <f ca="1">INDEX(INDIRECT(CONCATENATE("Tab_",Tab_Calculs[[#This Row],[Colonne1]])),Tab_Calculs[[#This Row],[index_date_livraison]],7)*(1+MIN(Tab_Calculs[[#This Row],[Date_livraison]],Tab_Calculs[[#This Row],[fin mois]])-MAX(Tab_Calculs[[#This Row],[Début mois]],Tab_Calculs[[#This Row],[Début periode livraison]]))</f>
        <v>0</v>
      </c>
      <c r="Q1135" t="e">
        <f ca="1">INDEX(INDIRECT(CONCATENATE("Tab_",Tab_Calculs[[#This Row],[Colonne1]])),Tab_Calculs[[#This Row],[index_date_livraison]]+1,7)*(Tab_Calculs[[#This Row],[fin mois]]-MIN(Tab_Calculs[[#This Row],[fin mois]],Tab_Calculs[[#This Row],[Date_livraison]]))</f>
        <v>#VALUE!</v>
      </c>
      <c r="R1135" t="e">
        <f ca="1">Tab_Calculs[[#This Row],[Ratio_Cout_après_livr]]+Tab_Calculs[[#This Row],[Ratio_Cout_avant_livr]]+Tab_Calculs[[#This Row],[Ratio_Cout_avant_debut]]</f>
        <v>#VALUE!</v>
      </c>
      <c r="S1135" t="str">
        <f ca="1">IFERROR(N1135*VLOOKUP(Tab_Calculs[[#This Row],[Colonne1]],Controle_des_données!$B$7:$G$14,6,FALSE),"")</f>
        <v/>
      </c>
      <c r="T1135" t="str">
        <f ca="1">IF(Tab_Calculs[[#This Row],[Combustible ]]="Electricité (kWh)",Tab_Calculs[[#This Row],[Conso_mois_kWh]]*2.3,Tab_Calculs[[#This Row],[Conso_mois_kWh]])</f>
        <v/>
      </c>
      <c r="U1135" t="str">
        <f ca="1">IFERROR(N1135*VLOOKUP(Tab_Calculs[[#This Row],[Colonne1]],Controle_des_données!$B$7:$H$14,7,FALSE),"")</f>
        <v/>
      </c>
      <c r="V1135">
        <f ca="1">IFERROR(Tab_Calculs[[#This Row],[Cout_mois]]/Tab_Calculs[[#This Row],[Conso_mois_kWh]],0)</f>
        <v>0</v>
      </c>
      <c r="W1135" t="str">
        <f>T(VLOOKUP(Tab_Calculs[[#This Row],[Compteur]],Site!$B$33:$G$40,3,FALSE))</f>
        <v/>
      </c>
      <c r="X1135" t="str">
        <f>T(VLOOKUP(Tab_Calculs[[#This Row],[Compteur]],Site!$B$33:$G$40,4,FALSE))</f>
        <v/>
      </c>
      <c r="Y1135" t="str">
        <f>T(VLOOKUP(Tab_Calculs[[#This Row],[Compteur]],Site!$B$33:$G$40,5,FALSE))</f>
        <v/>
      </c>
      <c r="Z1135" t="str">
        <f>T(VLOOKUP(Tab_Calculs[[#This Row],[Compteur]],Site!$B$33:$G$40,6,FALSE))</f>
        <v/>
      </c>
      <c r="AA1135">
        <f>IFERROR(GETPIVOTDATA("DJU(chauffagiste)",BDD_DJU!$P$13,"annee",Tab_Calculs[[#This Row],[ANNEE]],"mois_numero",Tab_Calculs[[#This Row],[MOIS]]),0)</f>
        <v>239.8</v>
      </c>
    </row>
    <row r="1136" spans="1:27" x14ac:dyDescent="0.25">
      <c r="A1136" s="3">
        <f>DATE(Tab_Calculs[[#This Row],[ANNEE]],Tab_Calculs[[#This Row],[MOIS]],1)</f>
        <v>45261</v>
      </c>
      <c r="B1136" s="3">
        <f>EDATE(Tab_Calculs[[#This Row],[Début mois]],1)-1</f>
        <v>45291</v>
      </c>
      <c r="C1136">
        <f t="shared" si="38"/>
        <v>12</v>
      </c>
      <c r="D1136">
        <f t="shared" si="40"/>
        <v>2023</v>
      </c>
      <c r="E1136" t="s">
        <v>85</v>
      </c>
      <c r="F1136" t="str">
        <f>SUBSTITUTE(Tab_Calculs[[#This Row],[Compteur]]," ","_")</f>
        <v>Compteur_6</v>
      </c>
      <c r="G1136" t="str">
        <f>T(INDEX(Site!$B$33:$G$40, MATCH(Tab_Calculs[[#This Row],[Compteur]], Site!$B$33:$B$40,0),2))</f>
        <v/>
      </c>
      <c r="H1136" s="3">
        <f t="array" aca="1" ref="H1136" ca="1">MIN(IF(INDIRECT(CONCATENATE(Tab_Calculs[[#This Row],[Colonne1]],"!$B$2:$B$243"))&gt;=Calculs_Consos!$A1136,INDIRECT(CONCATENATE(Tab_Calculs[[#This Row],[Colonne1]],"!$B$2:$B$243"))))</f>
        <v>0</v>
      </c>
      <c r="I1136" s="3">
        <f ca="1">INDEX(INDIRECT(CONCATENATE("Tab_",Tab_Calculs[[#This Row],[Colonne1]])),Tab_Calculs[[#This Row],[index_date_livraison]],1)</f>
        <v>0</v>
      </c>
      <c r="J1136">
        <f ca="1">MATCH(Tab_Calculs[[#This Row],[Date_livraison]],INDIRECT(CONCATENATE("Tab_",Tab_Calculs[[#This Row],[Colonne1]],"[Fin de période]")),0)</f>
        <v>1</v>
      </c>
      <c r="K1136" t="e">
        <f ca="1">INDEX(INDIRECT(CONCATENATE("Tab_",Tab_Calculs[[#This Row],[Colonne1]])),Tab_Calculs[[#This Row],[index_date_livraison]]-1,6)*(MAX(Tab_Calculs[[#This Row],[Début periode livraison]],Tab_Calculs[[#This Row],[Début mois]])-Tab_Calculs[[#This Row],[Début mois]])</f>
        <v>#VALUE!</v>
      </c>
      <c r="L1136" s="94">
        <f ca="1">INDEX(INDIRECT(CONCATENATE("Tab_",Tab_Calculs[[#This Row],[Colonne1]])),Tab_Calculs[[#This Row],[index_date_livraison]],6)*(1+MIN(Tab_Calculs[[#This Row],[Date_livraison]],Tab_Calculs[[#This Row],[fin mois]])-MAX(Tab_Calculs[[#This Row],[Début mois]],Tab_Calculs[[#This Row],[Début periode livraison]]))</f>
        <v>0</v>
      </c>
      <c r="M1136" s="94" t="e">
        <f ca="1">INDEX(INDIRECT(CONCATENATE("Tab_",Tab_Calculs[[#This Row],[Colonne1]])),Tab_Calculs[[#This Row],[index_date_livraison]]+1,6)*(Tab_Calculs[[#This Row],[fin mois]]-MIN(Tab_Calculs[[#This Row],[fin mois]],Tab_Calculs[[#This Row],[Date_livraison]]))</f>
        <v>#VALUE!</v>
      </c>
      <c r="N1136" s="231" t="str">
        <f ca="1">IFERROR(Tab_Calculs[[#This Row],[Ratio_jour_après_livr]]+Tab_Calculs[[#This Row],[Ratio_jour_avant_livr]]+Tab_Calculs[[#This Row],[ratio_avant_debut]],"")</f>
        <v/>
      </c>
      <c r="O1136" t="e">
        <f ca="1">INDEX(INDIRECT(CONCATENATE("Tab_",Tab_Calculs[[#This Row],[Colonne1]])),Tab_Calculs[[#This Row],[index_date_livraison]]-1,7)*(MAX(Tab_Calculs[[#This Row],[Début periode livraison]],Tab_Calculs[[#This Row],[Début mois]])-Tab_Calculs[[#This Row],[Début mois]])</f>
        <v>#VALUE!</v>
      </c>
      <c r="P1136">
        <f ca="1">INDEX(INDIRECT(CONCATENATE("Tab_",Tab_Calculs[[#This Row],[Colonne1]])),Tab_Calculs[[#This Row],[index_date_livraison]],7)*(1+MIN(Tab_Calculs[[#This Row],[Date_livraison]],Tab_Calculs[[#This Row],[fin mois]])-MAX(Tab_Calculs[[#This Row],[Début mois]],Tab_Calculs[[#This Row],[Début periode livraison]]))</f>
        <v>0</v>
      </c>
      <c r="Q1136" t="e">
        <f ca="1">INDEX(INDIRECT(CONCATENATE("Tab_",Tab_Calculs[[#This Row],[Colonne1]])),Tab_Calculs[[#This Row],[index_date_livraison]]+1,7)*(Tab_Calculs[[#This Row],[fin mois]]-MIN(Tab_Calculs[[#This Row],[fin mois]],Tab_Calculs[[#This Row],[Date_livraison]]))</f>
        <v>#VALUE!</v>
      </c>
      <c r="R1136" t="e">
        <f ca="1">Tab_Calculs[[#This Row],[Ratio_Cout_après_livr]]+Tab_Calculs[[#This Row],[Ratio_Cout_avant_livr]]+Tab_Calculs[[#This Row],[Ratio_Cout_avant_debut]]</f>
        <v>#VALUE!</v>
      </c>
      <c r="S1136" t="str">
        <f ca="1">IFERROR(N1136*VLOOKUP(Tab_Calculs[[#This Row],[Colonne1]],Controle_des_données!$B$7:$G$14,6,FALSE),"")</f>
        <v/>
      </c>
      <c r="T1136" t="str">
        <f ca="1">IF(Tab_Calculs[[#This Row],[Combustible ]]="Electricité (kWh)",Tab_Calculs[[#This Row],[Conso_mois_kWh]]*2.3,Tab_Calculs[[#This Row],[Conso_mois_kWh]])</f>
        <v/>
      </c>
      <c r="U1136" t="str">
        <f ca="1">IFERROR(N1136*VLOOKUP(Tab_Calculs[[#This Row],[Colonne1]],Controle_des_données!$B$7:$H$14,7,FALSE),"")</f>
        <v/>
      </c>
      <c r="V1136">
        <f ca="1">IFERROR(Tab_Calculs[[#This Row],[Cout_mois]]/Tab_Calculs[[#This Row],[Conso_mois_kWh]],0)</f>
        <v>0</v>
      </c>
      <c r="W1136" t="str">
        <f>T(VLOOKUP(Tab_Calculs[[#This Row],[Compteur]],Site!$B$33:$G$40,3,FALSE))</f>
        <v/>
      </c>
      <c r="X1136" t="str">
        <f>T(VLOOKUP(Tab_Calculs[[#This Row],[Compteur]],Site!$B$33:$G$40,4,FALSE))</f>
        <v/>
      </c>
      <c r="Y1136" t="str">
        <f>T(VLOOKUP(Tab_Calculs[[#This Row],[Compteur]],Site!$B$33:$G$40,5,FALSE))</f>
        <v/>
      </c>
      <c r="Z1136" t="str">
        <f>T(VLOOKUP(Tab_Calculs[[#This Row],[Compteur]],Site!$B$33:$G$40,6,FALSE))</f>
        <v/>
      </c>
      <c r="AA1136">
        <f>IFERROR(GETPIVOTDATA("DJU(chauffagiste)",BDD_DJU!$P$13,"annee",Tab_Calculs[[#This Row],[ANNEE]],"mois_numero",Tab_Calculs[[#This Row],[MOIS]]),0)</f>
        <v>300.89999999999998</v>
      </c>
    </row>
    <row r="1137" spans="1:27" x14ac:dyDescent="0.25">
      <c r="A1137" s="3">
        <f>DATE(Tab_Calculs[[#This Row],[ANNEE]],Tab_Calculs[[#This Row],[MOIS]],1)</f>
        <v>45292</v>
      </c>
      <c r="B1137" s="3">
        <f>EDATE(Tab_Calculs[[#This Row],[Début mois]],1)-1</f>
        <v>45322</v>
      </c>
      <c r="C1137">
        <f t="shared" si="38"/>
        <v>1</v>
      </c>
      <c r="D1137">
        <f t="shared" si="40"/>
        <v>2024</v>
      </c>
      <c r="E1137" t="s">
        <v>85</v>
      </c>
      <c r="F1137" t="str">
        <f>SUBSTITUTE(Tab_Calculs[[#This Row],[Compteur]]," ","_")</f>
        <v>Compteur_6</v>
      </c>
      <c r="G1137" t="str">
        <f>T(INDEX(Site!$B$33:$G$40, MATCH(Tab_Calculs[[#This Row],[Compteur]], Site!$B$33:$B$40,0),2))</f>
        <v/>
      </c>
      <c r="H1137" s="3">
        <f t="array" aca="1" ref="H1137" ca="1">MIN(IF(INDIRECT(CONCATENATE(Tab_Calculs[[#This Row],[Colonne1]],"!$B$2:$B$243"))&gt;=Calculs_Consos!$A1137,INDIRECT(CONCATENATE(Tab_Calculs[[#This Row],[Colonne1]],"!$B$2:$B$243"))))</f>
        <v>0</v>
      </c>
      <c r="I1137" s="3">
        <f ca="1">INDEX(INDIRECT(CONCATENATE("Tab_",Tab_Calculs[[#This Row],[Colonne1]])),Tab_Calculs[[#This Row],[index_date_livraison]],1)</f>
        <v>0</v>
      </c>
      <c r="J1137">
        <f ca="1">MATCH(Tab_Calculs[[#This Row],[Date_livraison]],INDIRECT(CONCATENATE("Tab_",Tab_Calculs[[#This Row],[Colonne1]],"[Fin de période]")),0)</f>
        <v>1</v>
      </c>
      <c r="K1137" t="e">
        <f ca="1">INDEX(INDIRECT(CONCATENATE("Tab_",Tab_Calculs[[#This Row],[Colonne1]])),Tab_Calculs[[#This Row],[index_date_livraison]]-1,6)*(MAX(Tab_Calculs[[#This Row],[Début periode livraison]],Tab_Calculs[[#This Row],[Début mois]])-Tab_Calculs[[#This Row],[Début mois]])</f>
        <v>#VALUE!</v>
      </c>
      <c r="L1137" s="94">
        <f ca="1">INDEX(INDIRECT(CONCATENATE("Tab_",Tab_Calculs[[#This Row],[Colonne1]])),Tab_Calculs[[#This Row],[index_date_livraison]],6)*(1+MIN(Tab_Calculs[[#This Row],[Date_livraison]],Tab_Calculs[[#This Row],[fin mois]])-MAX(Tab_Calculs[[#This Row],[Début mois]],Tab_Calculs[[#This Row],[Début periode livraison]]))</f>
        <v>0</v>
      </c>
      <c r="M1137" s="94" t="e">
        <f ca="1">INDEX(INDIRECT(CONCATENATE("Tab_",Tab_Calculs[[#This Row],[Colonne1]])),Tab_Calculs[[#This Row],[index_date_livraison]]+1,6)*(Tab_Calculs[[#This Row],[fin mois]]-MIN(Tab_Calculs[[#This Row],[fin mois]],Tab_Calculs[[#This Row],[Date_livraison]]))</f>
        <v>#VALUE!</v>
      </c>
      <c r="N1137" s="231" t="str">
        <f ca="1">IFERROR(Tab_Calculs[[#This Row],[Ratio_jour_après_livr]]+Tab_Calculs[[#This Row],[Ratio_jour_avant_livr]]+Tab_Calculs[[#This Row],[ratio_avant_debut]],"")</f>
        <v/>
      </c>
      <c r="O1137" t="e">
        <f ca="1">INDEX(INDIRECT(CONCATENATE("Tab_",Tab_Calculs[[#This Row],[Colonne1]])),Tab_Calculs[[#This Row],[index_date_livraison]]-1,7)*(MAX(Tab_Calculs[[#This Row],[Début periode livraison]],Tab_Calculs[[#This Row],[Début mois]])-Tab_Calculs[[#This Row],[Début mois]])</f>
        <v>#VALUE!</v>
      </c>
      <c r="P1137">
        <f ca="1">INDEX(INDIRECT(CONCATENATE("Tab_",Tab_Calculs[[#This Row],[Colonne1]])),Tab_Calculs[[#This Row],[index_date_livraison]],7)*(1+MIN(Tab_Calculs[[#This Row],[Date_livraison]],Tab_Calculs[[#This Row],[fin mois]])-MAX(Tab_Calculs[[#This Row],[Début mois]],Tab_Calculs[[#This Row],[Début periode livraison]]))</f>
        <v>0</v>
      </c>
      <c r="Q1137" t="e">
        <f ca="1">INDEX(INDIRECT(CONCATENATE("Tab_",Tab_Calculs[[#This Row],[Colonne1]])),Tab_Calculs[[#This Row],[index_date_livraison]]+1,7)*(Tab_Calculs[[#This Row],[fin mois]]-MIN(Tab_Calculs[[#This Row],[fin mois]],Tab_Calculs[[#This Row],[Date_livraison]]))</f>
        <v>#VALUE!</v>
      </c>
      <c r="R1137" t="e">
        <f ca="1">Tab_Calculs[[#This Row],[Ratio_Cout_après_livr]]+Tab_Calculs[[#This Row],[Ratio_Cout_avant_livr]]+Tab_Calculs[[#This Row],[Ratio_Cout_avant_debut]]</f>
        <v>#VALUE!</v>
      </c>
      <c r="S1137" t="str">
        <f ca="1">IFERROR(N1137*VLOOKUP(Tab_Calculs[[#This Row],[Colonne1]],Controle_des_données!$B$7:$G$14,6,FALSE),"")</f>
        <v/>
      </c>
      <c r="T1137" t="str">
        <f ca="1">IF(Tab_Calculs[[#This Row],[Combustible ]]="Electricité (kWh)",Tab_Calculs[[#This Row],[Conso_mois_kWh]]*2.3,Tab_Calculs[[#This Row],[Conso_mois_kWh]])</f>
        <v/>
      </c>
      <c r="U1137" t="str">
        <f ca="1">IFERROR(N1137*VLOOKUP(Tab_Calculs[[#This Row],[Colonne1]],Controle_des_données!$B$7:$H$14,7,FALSE),"")</f>
        <v/>
      </c>
      <c r="V1137">
        <f ca="1">IFERROR(Tab_Calculs[[#This Row],[Cout_mois]]/Tab_Calculs[[#This Row],[Conso_mois_kWh]],0)</f>
        <v>0</v>
      </c>
      <c r="W1137" t="str">
        <f>T(VLOOKUP(Tab_Calculs[[#This Row],[Compteur]],Site!$B$33:$G$40,3,FALSE))</f>
        <v/>
      </c>
      <c r="X1137" t="str">
        <f>T(VLOOKUP(Tab_Calculs[[#This Row],[Compteur]],Site!$B$33:$G$40,4,FALSE))</f>
        <v/>
      </c>
      <c r="Y1137" t="str">
        <f>T(VLOOKUP(Tab_Calculs[[#This Row],[Compteur]],Site!$B$33:$G$40,5,FALSE))</f>
        <v/>
      </c>
      <c r="Z1137" t="str">
        <f>T(VLOOKUP(Tab_Calculs[[#This Row],[Compteur]],Site!$B$33:$G$40,6,FALSE))</f>
        <v/>
      </c>
      <c r="AA1137">
        <f>IFERROR(GETPIVOTDATA("DJU(chauffagiste)",BDD_DJU!$P$13,"annee",Tab_Calculs[[#This Row],[ANNEE]],"mois_numero",Tab_Calculs[[#This Row],[MOIS]]),0)</f>
        <v>0</v>
      </c>
    </row>
    <row r="1138" spans="1:27" x14ac:dyDescent="0.25">
      <c r="A1138" s="3">
        <f>DATE(Tab_Calculs[[#This Row],[ANNEE]],Tab_Calculs[[#This Row],[MOIS]],1)</f>
        <v>45323</v>
      </c>
      <c r="B1138" s="3">
        <f>EDATE(Tab_Calculs[[#This Row],[Début mois]],1)-1</f>
        <v>45351</v>
      </c>
      <c r="C1138">
        <f t="shared" si="38"/>
        <v>2</v>
      </c>
      <c r="D1138">
        <f t="shared" si="40"/>
        <v>2024</v>
      </c>
      <c r="E1138" t="s">
        <v>85</v>
      </c>
      <c r="F1138" t="str">
        <f>SUBSTITUTE(Tab_Calculs[[#This Row],[Compteur]]," ","_")</f>
        <v>Compteur_6</v>
      </c>
      <c r="G1138" t="str">
        <f>T(INDEX(Site!$B$33:$G$40, MATCH(Tab_Calculs[[#This Row],[Compteur]], Site!$B$33:$B$40,0),2))</f>
        <v/>
      </c>
      <c r="H1138" s="3">
        <f t="array" aca="1" ref="H1138" ca="1">MIN(IF(INDIRECT(CONCATENATE(Tab_Calculs[[#This Row],[Colonne1]],"!$B$2:$B$243"))&gt;=Calculs_Consos!$A1138,INDIRECT(CONCATENATE(Tab_Calculs[[#This Row],[Colonne1]],"!$B$2:$B$243"))))</f>
        <v>0</v>
      </c>
      <c r="I1138" s="3">
        <f ca="1">INDEX(INDIRECT(CONCATENATE("Tab_",Tab_Calculs[[#This Row],[Colonne1]])),Tab_Calculs[[#This Row],[index_date_livraison]],1)</f>
        <v>0</v>
      </c>
      <c r="J1138">
        <f ca="1">MATCH(Tab_Calculs[[#This Row],[Date_livraison]],INDIRECT(CONCATENATE("Tab_",Tab_Calculs[[#This Row],[Colonne1]],"[Fin de période]")),0)</f>
        <v>1</v>
      </c>
      <c r="K1138" t="e">
        <f ca="1">INDEX(INDIRECT(CONCATENATE("Tab_",Tab_Calculs[[#This Row],[Colonne1]])),Tab_Calculs[[#This Row],[index_date_livraison]]-1,6)*(MAX(Tab_Calculs[[#This Row],[Début periode livraison]],Tab_Calculs[[#This Row],[Début mois]])-Tab_Calculs[[#This Row],[Début mois]])</f>
        <v>#VALUE!</v>
      </c>
      <c r="L1138" s="94">
        <f ca="1">INDEX(INDIRECT(CONCATENATE("Tab_",Tab_Calculs[[#This Row],[Colonne1]])),Tab_Calculs[[#This Row],[index_date_livraison]],6)*(1+MIN(Tab_Calculs[[#This Row],[Date_livraison]],Tab_Calculs[[#This Row],[fin mois]])-MAX(Tab_Calculs[[#This Row],[Début mois]],Tab_Calculs[[#This Row],[Début periode livraison]]))</f>
        <v>0</v>
      </c>
      <c r="M1138" s="94" t="e">
        <f ca="1">INDEX(INDIRECT(CONCATENATE("Tab_",Tab_Calculs[[#This Row],[Colonne1]])),Tab_Calculs[[#This Row],[index_date_livraison]]+1,6)*(Tab_Calculs[[#This Row],[fin mois]]-MIN(Tab_Calculs[[#This Row],[fin mois]],Tab_Calculs[[#This Row],[Date_livraison]]))</f>
        <v>#VALUE!</v>
      </c>
      <c r="N1138" s="231" t="str">
        <f ca="1">IFERROR(Tab_Calculs[[#This Row],[Ratio_jour_après_livr]]+Tab_Calculs[[#This Row],[Ratio_jour_avant_livr]]+Tab_Calculs[[#This Row],[ratio_avant_debut]],"")</f>
        <v/>
      </c>
      <c r="O1138" t="e">
        <f ca="1">INDEX(INDIRECT(CONCATENATE("Tab_",Tab_Calculs[[#This Row],[Colonne1]])),Tab_Calculs[[#This Row],[index_date_livraison]]-1,7)*(MAX(Tab_Calculs[[#This Row],[Début periode livraison]],Tab_Calculs[[#This Row],[Début mois]])-Tab_Calculs[[#This Row],[Début mois]])</f>
        <v>#VALUE!</v>
      </c>
      <c r="P1138">
        <f ca="1">INDEX(INDIRECT(CONCATENATE("Tab_",Tab_Calculs[[#This Row],[Colonne1]])),Tab_Calculs[[#This Row],[index_date_livraison]],7)*(1+MIN(Tab_Calculs[[#This Row],[Date_livraison]],Tab_Calculs[[#This Row],[fin mois]])-MAX(Tab_Calculs[[#This Row],[Début mois]],Tab_Calculs[[#This Row],[Début periode livraison]]))</f>
        <v>0</v>
      </c>
      <c r="Q1138" t="e">
        <f ca="1">INDEX(INDIRECT(CONCATENATE("Tab_",Tab_Calculs[[#This Row],[Colonne1]])),Tab_Calculs[[#This Row],[index_date_livraison]]+1,7)*(Tab_Calculs[[#This Row],[fin mois]]-MIN(Tab_Calculs[[#This Row],[fin mois]],Tab_Calculs[[#This Row],[Date_livraison]]))</f>
        <v>#VALUE!</v>
      </c>
      <c r="R1138" t="e">
        <f ca="1">Tab_Calculs[[#This Row],[Ratio_Cout_après_livr]]+Tab_Calculs[[#This Row],[Ratio_Cout_avant_livr]]+Tab_Calculs[[#This Row],[Ratio_Cout_avant_debut]]</f>
        <v>#VALUE!</v>
      </c>
      <c r="S1138" t="str">
        <f ca="1">IFERROR(N1138*VLOOKUP(Tab_Calculs[[#This Row],[Colonne1]],Controle_des_données!$B$7:$G$14,6,FALSE),"")</f>
        <v/>
      </c>
      <c r="T1138" t="str">
        <f ca="1">IF(Tab_Calculs[[#This Row],[Combustible ]]="Electricité (kWh)",Tab_Calculs[[#This Row],[Conso_mois_kWh]]*2.3,Tab_Calculs[[#This Row],[Conso_mois_kWh]])</f>
        <v/>
      </c>
      <c r="U1138" t="str">
        <f ca="1">IFERROR(N1138*VLOOKUP(Tab_Calculs[[#This Row],[Colonne1]],Controle_des_données!$B$7:$H$14,7,FALSE),"")</f>
        <v/>
      </c>
      <c r="V1138">
        <f ca="1">IFERROR(Tab_Calculs[[#This Row],[Cout_mois]]/Tab_Calculs[[#This Row],[Conso_mois_kWh]],0)</f>
        <v>0</v>
      </c>
      <c r="W1138" t="str">
        <f>T(VLOOKUP(Tab_Calculs[[#This Row],[Compteur]],Site!$B$33:$G$40,3,FALSE))</f>
        <v/>
      </c>
      <c r="X1138" t="str">
        <f>T(VLOOKUP(Tab_Calculs[[#This Row],[Compteur]],Site!$B$33:$G$40,4,FALSE))</f>
        <v/>
      </c>
      <c r="Y1138" t="str">
        <f>T(VLOOKUP(Tab_Calculs[[#This Row],[Compteur]],Site!$B$33:$G$40,5,FALSE))</f>
        <v/>
      </c>
      <c r="Z1138" t="str">
        <f>T(VLOOKUP(Tab_Calculs[[#This Row],[Compteur]],Site!$B$33:$G$40,6,FALSE))</f>
        <v/>
      </c>
      <c r="AA1138">
        <f>IFERROR(GETPIVOTDATA("DJU(chauffagiste)",BDD_DJU!$P$13,"annee",Tab_Calculs[[#This Row],[ANNEE]],"mois_numero",Tab_Calculs[[#This Row],[MOIS]]),0)</f>
        <v>0</v>
      </c>
    </row>
    <row r="1139" spans="1:27" x14ac:dyDescent="0.25">
      <c r="A1139" s="3">
        <f>DATE(Tab_Calculs[[#This Row],[ANNEE]],Tab_Calculs[[#This Row],[MOIS]],1)</f>
        <v>45352</v>
      </c>
      <c r="B1139" s="3">
        <f>EDATE(Tab_Calculs[[#This Row],[Début mois]],1)-1</f>
        <v>45382</v>
      </c>
      <c r="C1139">
        <f t="shared" si="38"/>
        <v>3</v>
      </c>
      <c r="D1139">
        <f t="shared" si="40"/>
        <v>2024</v>
      </c>
      <c r="E1139" t="s">
        <v>85</v>
      </c>
      <c r="F1139" t="str">
        <f>SUBSTITUTE(Tab_Calculs[[#This Row],[Compteur]]," ","_")</f>
        <v>Compteur_6</v>
      </c>
      <c r="G1139" t="str">
        <f>T(INDEX(Site!$B$33:$G$40, MATCH(Tab_Calculs[[#This Row],[Compteur]], Site!$B$33:$B$40,0),2))</f>
        <v/>
      </c>
      <c r="H1139" s="3">
        <f t="array" aca="1" ref="H1139" ca="1">MIN(IF(INDIRECT(CONCATENATE(Tab_Calculs[[#This Row],[Colonne1]],"!$B$2:$B$243"))&gt;=Calculs_Consos!$A1139,INDIRECT(CONCATENATE(Tab_Calculs[[#This Row],[Colonne1]],"!$B$2:$B$243"))))</f>
        <v>0</v>
      </c>
      <c r="I1139" s="3">
        <f ca="1">INDEX(INDIRECT(CONCATENATE("Tab_",Tab_Calculs[[#This Row],[Colonne1]])),Tab_Calculs[[#This Row],[index_date_livraison]],1)</f>
        <v>0</v>
      </c>
      <c r="J1139">
        <f ca="1">MATCH(Tab_Calculs[[#This Row],[Date_livraison]],INDIRECT(CONCATENATE("Tab_",Tab_Calculs[[#This Row],[Colonne1]],"[Fin de période]")),0)</f>
        <v>1</v>
      </c>
      <c r="K1139" t="e">
        <f ca="1">INDEX(INDIRECT(CONCATENATE("Tab_",Tab_Calculs[[#This Row],[Colonne1]])),Tab_Calculs[[#This Row],[index_date_livraison]]-1,6)*(MAX(Tab_Calculs[[#This Row],[Début periode livraison]],Tab_Calculs[[#This Row],[Début mois]])-Tab_Calculs[[#This Row],[Début mois]])</f>
        <v>#VALUE!</v>
      </c>
      <c r="L1139" s="94">
        <f ca="1">INDEX(INDIRECT(CONCATENATE("Tab_",Tab_Calculs[[#This Row],[Colonne1]])),Tab_Calculs[[#This Row],[index_date_livraison]],6)*(1+MIN(Tab_Calculs[[#This Row],[Date_livraison]],Tab_Calculs[[#This Row],[fin mois]])-MAX(Tab_Calculs[[#This Row],[Début mois]],Tab_Calculs[[#This Row],[Début periode livraison]]))</f>
        <v>0</v>
      </c>
      <c r="M1139" s="94" t="e">
        <f ca="1">INDEX(INDIRECT(CONCATENATE("Tab_",Tab_Calculs[[#This Row],[Colonne1]])),Tab_Calculs[[#This Row],[index_date_livraison]]+1,6)*(Tab_Calculs[[#This Row],[fin mois]]-MIN(Tab_Calculs[[#This Row],[fin mois]],Tab_Calculs[[#This Row],[Date_livraison]]))</f>
        <v>#VALUE!</v>
      </c>
      <c r="N1139" s="231" t="str">
        <f ca="1">IFERROR(Tab_Calculs[[#This Row],[Ratio_jour_après_livr]]+Tab_Calculs[[#This Row],[Ratio_jour_avant_livr]]+Tab_Calculs[[#This Row],[ratio_avant_debut]],"")</f>
        <v/>
      </c>
      <c r="O1139" t="e">
        <f ca="1">INDEX(INDIRECT(CONCATENATE("Tab_",Tab_Calculs[[#This Row],[Colonne1]])),Tab_Calculs[[#This Row],[index_date_livraison]]-1,7)*(MAX(Tab_Calculs[[#This Row],[Début periode livraison]],Tab_Calculs[[#This Row],[Début mois]])-Tab_Calculs[[#This Row],[Début mois]])</f>
        <v>#VALUE!</v>
      </c>
      <c r="P1139">
        <f ca="1">INDEX(INDIRECT(CONCATENATE("Tab_",Tab_Calculs[[#This Row],[Colonne1]])),Tab_Calculs[[#This Row],[index_date_livraison]],7)*(1+MIN(Tab_Calculs[[#This Row],[Date_livraison]],Tab_Calculs[[#This Row],[fin mois]])-MAX(Tab_Calculs[[#This Row],[Début mois]],Tab_Calculs[[#This Row],[Début periode livraison]]))</f>
        <v>0</v>
      </c>
      <c r="Q1139" t="e">
        <f ca="1">INDEX(INDIRECT(CONCATENATE("Tab_",Tab_Calculs[[#This Row],[Colonne1]])),Tab_Calculs[[#This Row],[index_date_livraison]]+1,7)*(Tab_Calculs[[#This Row],[fin mois]]-MIN(Tab_Calculs[[#This Row],[fin mois]],Tab_Calculs[[#This Row],[Date_livraison]]))</f>
        <v>#VALUE!</v>
      </c>
      <c r="R1139" t="e">
        <f ca="1">Tab_Calculs[[#This Row],[Ratio_Cout_après_livr]]+Tab_Calculs[[#This Row],[Ratio_Cout_avant_livr]]+Tab_Calculs[[#This Row],[Ratio_Cout_avant_debut]]</f>
        <v>#VALUE!</v>
      </c>
      <c r="S1139" t="str">
        <f ca="1">IFERROR(N1139*VLOOKUP(Tab_Calculs[[#This Row],[Colonne1]],Controle_des_données!$B$7:$G$14,6,FALSE),"")</f>
        <v/>
      </c>
      <c r="T1139" t="str">
        <f ca="1">IF(Tab_Calculs[[#This Row],[Combustible ]]="Electricité (kWh)",Tab_Calculs[[#This Row],[Conso_mois_kWh]]*2.3,Tab_Calculs[[#This Row],[Conso_mois_kWh]])</f>
        <v/>
      </c>
      <c r="U1139" t="str">
        <f ca="1">IFERROR(N1139*VLOOKUP(Tab_Calculs[[#This Row],[Colonne1]],Controle_des_données!$B$7:$H$14,7,FALSE),"")</f>
        <v/>
      </c>
      <c r="V1139">
        <f ca="1">IFERROR(Tab_Calculs[[#This Row],[Cout_mois]]/Tab_Calculs[[#This Row],[Conso_mois_kWh]],0)</f>
        <v>0</v>
      </c>
      <c r="W1139" t="str">
        <f>T(VLOOKUP(Tab_Calculs[[#This Row],[Compteur]],Site!$B$33:$G$40,3,FALSE))</f>
        <v/>
      </c>
      <c r="X1139" t="str">
        <f>T(VLOOKUP(Tab_Calculs[[#This Row],[Compteur]],Site!$B$33:$G$40,4,FALSE))</f>
        <v/>
      </c>
      <c r="Y1139" t="str">
        <f>T(VLOOKUP(Tab_Calculs[[#This Row],[Compteur]],Site!$B$33:$G$40,5,FALSE))</f>
        <v/>
      </c>
      <c r="Z1139" t="str">
        <f>T(VLOOKUP(Tab_Calculs[[#This Row],[Compteur]],Site!$B$33:$G$40,6,FALSE))</f>
        <v/>
      </c>
      <c r="AA1139">
        <f>IFERROR(GETPIVOTDATA("DJU(chauffagiste)",BDD_DJU!$P$13,"annee",Tab_Calculs[[#This Row],[ANNEE]],"mois_numero",Tab_Calculs[[#This Row],[MOIS]]),0)</f>
        <v>0</v>
      </c>
    </row>
    <row r="1140" spans="1:27" x14ac:dyDescent="0.25">
      <c r="A1140" s="3">
        <f>DATE(Tab_Calculs[[#This Row],[ANNEE]],Tab_Calculs[[#This Row],[MOIS]],1)</f>
        <v>45383</v>
      </c>
      <c r="B1140" s="3">
        <f>EDATE(Tab_Calculs[[#This Row],[Début mois]],1)-1</f>
        <v>45412</v>
      </c>
      <c r="C1140">
        <f t="shared" si="38"/>
        <v>4</v>
      </c>
      <c r="D1140">
        <f t="shared" si="40"/>
        <v>2024</v>
      </c>
      <c r="E1140" t="s">
        <v>85</v>
      </c>
      <c r="F1140" t="str">
        <f>SUBSTITUTE(Tab_Calculs[[#This Row],[Compteur]]," ","_")</f>
        <v>Compteur_6</v>
      </c>
      <c r="G1140" t="str">
        <f>T(INDEX(Site!$B$33:$G$40, MATCH(Tab_Calculs[[#This Row],[Compteur]], Site!$B$33:$B$40,0),2))</f>
        <v/>
      </c>
      <c r="H1140" s="3">
        <f t="array" aca="1" ref="H1140" ca="1">MIN(IF(INDIRECT(CONCATENATE(Tab_Calculs[[#This Row],[Colonne1]],"!$B$2:$B$243"))&gt;=Calculs_Consos!$A1140,INDIRECT(CONCATENATE(Tab_Calculs[[#This Row],[Colonne1]],"!$B$2:$B$243"))))</f>
        <v>0</v>
      </c>
      <c r="I1140" s="3">
        <f ca="1">INDEX(INDIRECT(CONCATENATE("Tab_",Tab_Calculs[[#This Row],[Colonne1]])),Tab_Calculs[[#This Row],[index_date_livraison]],1)</f>
        <v>0</v>
      </c>
      <c r="J1140">
        <f ca="1">MATCH(Tab_Calculs[[#This Row],[Date_livraison]],INDIRECT(CONCATENATE("Tab_",Tab_Calculs[[#This Row],[Colonne1]],"[Fin de période]")),0)</f>
        <v>1</v>
      </c>
      <c r="K1140" t="e">
        <f ca="1">INDEX(INDIRECT(CONCATENATE("Tab_",Tab_Calculs[[#This Row],[Colonne1]])),Tab_Calculs[[#This Row],[index_date_livraison]]-1,6)*(MAX(Tab_Calculs[[#This Row],[Début periode livraison]],Tab_Calculs[[#This Row],[Début mois]])-Tab_Calculs[[#This Row],[Début mois]])</f>
        <v>#VALUE!</v>
      </c>
      <c r="L1140" s="94">
        <f ca="1">INDEX(INDIRECT(CONCATENATE("Tab_",Tab_Calculs[[#This Row],[Colonne1]])),Tab_Calculs[[#This Row],[index_date_livraison]],6)*(1+MIN(Tab_Calculs[[#This Row],[Date_livraison]],Tab_Calculs[[#This Row],[fin mois]])-MAX(Tab_Calculs[[#This Row],[Début mois]],Tab_Calculs[[#This Row],[Début periode livraison]]))</f>
        <v>0</v>
      </c>
      <c r="M1140" s="94" t="e">
        <f ca="1">INDEX(INDIRECT(CONCATENATE("Tab_",Tab_Calculs[[#This Row],[Colonne1]])),Tab_Calculs[[#This Row],[index_date_livraison]]+1,6)*(Tab_Calculs[[#This Row],[fin mois]]-MIN(Tab_Calculs[[#This Row],[fin mois]],Tab_Calculs[[#This Row],[Date_livraison]]))</f>
        <v>#VALUE!</v>
      </c>
      <c r="N1140" s="231" t="str">
        <f ca="1">IFERROR(Tab_Calculs[[#This Row],[Ratio_jour_après_livr]]+Tab_Calculs[[#This Row],[Ratio_jour_avant_livr]]+Tab_Calculs[[#This Row],[ratio_avant_debut]],"")</f>
        <v/>
      </c>
      <c r="O1140" t="e">
        <f ca="1">INDEX(INDIRECT(CONCATENATE("Tab_",Tab_Calculs[[#This Row],[Colonne1]])),Tab_Calculs[[#This Row],[index_date_livraison]]-1,7)*(MAX(Tab_Calculs[[#This Row],[Début periode livraison]],Tab_Calculs[[#This Row],[Début mois]])-Tab_Calculs[[#This Row],[Début mois]])</f>
        <v>#VALUE!</v>
      </c>
      <c r="P1140">
        <f ca="1">INDEX(INDIRECT(CONCATENATE("Tab_",Tab_Calculs[[#This Row],[Colonne1]])),Tab_Calculs[[#This Row],[index_date_livraison]],7)*(1+MIN(Tab_Calculs[[#This Row],[Date_livraison]],Tab_Calculs[[#This Row],[fin mois]])-MAX(Tab_Calculs[[#This Row],[Début mois]],Tab_Calculs[[#This Row],[Début periode livraison]]))</f>
        <v>0</v>
      </c>
      <c r="Q1140" t="e">
        <f ca="1">INDEX(INDIRECT(CONCATENATE("Tab_",Tab_Calculs[[#This Row],[Colonne1]])),Tab_Calculs[[#This Row],[index_date_livraison]]+1,7)*(Tab_Calculs[[#This Row],[fin mois]]-MIN(Tab_Calculs[[#This Row],[fin mois]],Tab_Calculs[[#This Row],[Date_livraison]]))</f>
        <v>#VALUE!</v>
      </c>
      <c r="R1140" t="e">
        <f ca="1">Tab_Calculs[[#This Row],[Ratio_Cout_après_livr]]+Tab_Calculs[[#This Row],[Ratio_Cout_avant_livr]]+Tab_Calculs[[#This Row],[Ratio_Cout_avant_debut]]</f>
        <v>#VALUE!</v>
      </c>
      <c r="S1140" t="str">
        <f ca="1">IFERROR(N1140*VLOOKUP(Tab_Calculs[[#This Row],[Colonne1]],Controle_des_données!$B$7:$G$14,6,FALSE),"")</f>
        <v/>
      </c>
      <c r="T1140" t="str">
        <f ca="1">IF(Tab_Calculs[[#This Row],[Combustible ]]="Electricité (kWh)",Tab_Calculs[[#This Row],[Conso_mois_kWh]]*2.3,Tab_Calculs[[#This Row],[Conso_mois_kWh]])</f>
        <v/>
      </c>
      <c r="U1140" t="str">
        <f ca="1">IFERROR(N1140*VLOOKUP(Tab_Calculs[[#This Row],[Colonne1]],Controle_des_données!$B$7:$H$14,7,FALSE),"")</f>
        <v/>
      </c>
      <c r="V1140">
        <f ca="1">IFERROR(Tab_Calculs[[#This Row],[Cout_mois]]/Tab_Calculs[[#This Row],[Conso_mois_kWh]],0)</f>
        <v>0</v>
      </c>
      <c r="W1140" t="str">
        <f>T(VLOOKUP(Tab_Calculs[[#This Row],[Compteur]],Site!$B$33:$G$40,3,FALSE))</f>
        <v/>
      </c>
      <c r="X1140" t="str">
        <f>T(VLOOKUP(Tab_Calculs[[#This Row],[Compteur]],Site!$B$33:$G$40,4,FALSE))</f>
        <v/>
      </c>
      <c r="Y1140" t="str">
        <f>T(VLOOKUP(Tab_Calculs[[#This Row],[Compteur]],Site!$B$33:$G$40,5,FALSE))</f>
        <v/>
      </c>
      <c r="Z1140" t="str">
        <f>T(VLOOKUP(Tab_Calculs[[#This Row],[Compteur]],Site!$B$33:$G$40,6,FALSE))</f>
        <v/>
      </c>
      <c r="AA1140">
        <f>IFERROR(GETPIVOTDATA("DJU(chauffagiste)",BDD_DJU!$P$13,"annee",Tab_Calculs[[#This Row],[ANNEE]],"mois_numero",Tab_Calculs[[#This Row],[MOIS]]),0)</f>
        <v>0</v>
      </c>
    </row>
    <row r="1141" spans="1:27" x14ac:dyDescent="0.25">
      <c r="A1141" s="3">
        <f>DATE(Tab_Calculs[[#This Row],[ANNEE]],Tab_Calculs[[#This Row],[MOIS]],1)</f>
        <v>45413</v>
      </c>
      <c r="B1141" s="3">
        <f>EDATE(Tab_Calculs[[#This Row],[Début mois]],1)-1</f>
        <v>45443</v>
      </c>
      <c r="C1141">
        <f t="shared" si="38"/>
        <v>5</v>
      </c>
      <c r="D1141">
        <f t="shared" si="40"/>
        <v>2024</v>
      </c>
      <c r="E1141" t="s">
        <v>85</v>
      </c>
      <c r="F1141" t="str">
        <f>SUBSTITUTE(Tab_Calculs[[#This Row],[Compteur]]," ","_")</f>
        <v>Compteur_6</v>
      </c>
      <c r="G1141" t="str">
        <f>T(INDEX(Site!$B$33:$G$40, MATCH(Tab_Calculs[[#This Row],[Compteur]], Site!$B$33:$B$40,0),2))</f>
        <v/>
      </c>
      <c r="H1141" s="3">
        <f t="array" aca="1" ref="H1141" ca="1">MIN(IF(INDIRECT(CONCATENATE(Tab_Calculs[[#This Row],[Colonne1]],"!$B$2:$B$243"))&gt;=Calculs_Consos!$A1141,INDIRECT(CONCATENATE(Tab_Calculs[[#This Row],[Colonne1]],"!$B$2:$B$243"))))</f>
        <v>0</v>
      </c>
      <c r="I1141" s="3">
        <f ca="1">INDEX(INDIRECT(CONCATENATE("Tab_",Tab_Calculs[[#This Row],[Colonne1]])),Tab_Calculs[[#This Row],[index_date_livraison]],1)</f>
        <v>0</v>
      </c>
      <c r="J1141">
        <f ca="1">MATCH(Tab_Calculs[[#This Row],[Date_livraison]],INDIRECT(CONCATENATE("Tab_",Tab_Calculs[[#This Row],[Colonne1]],"[Fin de période]")),0)</f>
        <v>1</v>
      </c>
      <c r="K1141" t="e">
        <f ca="1">INDEX(INDIRECT(CONCATENATE("Tab_",Tab_Calculs[[#This Row],[Colonne1]])),Tab_Calculs[[#This Row],[index_date_livraison]]-1,6)*(MAX(Tab_Calculs[[#This Row],[Début periode livraison]],Tab_Calculs[[#This Row],[Début mois]])-Tab_Calculs[[#This Row],[Début mois]])</f>
        <v>#VALUE!</v>
      </c>
      <c r="L1141" s="94">
        <f ca="1">INDEX(INDIRECT(CONCATENATE("Tab_",Tab_Calculs[[#This Row],[Colonne1]])),Tab_Calculs[[#This Row],[index_date_livraison]],6)*(1+MIN(Tab_Calculs[[#This Row],[Date_livraison]],Tab_Calculs[[#This Row],[fin mois]])-MAX(Tab_Calculs[[#This Row],[Début mois]],Tab_Calculs[[#This Row],[Début periode livraison]]))</f>
        <v>0</v>
      </c>
      <c r="M1141" s="94" t="e">
        <f ca="1">INDEX(INDIRECT(CONCATENATE("Tab_",Tab_Calculs[[#This Row],[Colonne1]])),Tab_Calculs[[#This Row],[index_date_livraison]]+1,6)*(Tab_Calculs[[#This Row],[fin mois]]-MIN(Tab_Calculs[[#This Row],[fin mois]],Tab_Calculs[[#This Row],[Date_livraison]]))</f>
        <v>#VALUE!</v>
      </c>
      <c r="N1141" s="231" t="str">
        <f ca="1">IFERROR(Tab_Calculs[[#This Row],[Ratio_jour_après_livr]]+Tab_Calculs[[#This Row],[Ratio_jour_avant_livr]]+Tab_Calculs[[#This Row],[ratio_avant_debut]],"")</f>
        <v/>
      </c>
      <c r="O1141" t="e">
        <f ca="1">INDEX(INDIRECT(CONCATENATE("Tab_",Tab_Calculs[[#This Row],[Colonne1]])),Tab_Calculs[[#This Row],[index_date_livraison]]-1,7)*(MAX(Tab_Calculs[[#This Row],[Début periode livraison]],Tab_Calculs[[#This Row],[Début mois]])-Tab_Calculs[[#This Row],[Début mois]])</f>
        <v>#VALUE!</v>
      </c>
      <c r="P1141">
        <f ca="1">INDEX(INDIRECT(CONCATENATE("Tab_",Tab_Calculs[[#This Row],[Colonne1]])),Tab_Calculs[[#This Row],[index_date_livraison]],7)*(1+MIN(Tab_Calculs[[#This Row],[Date_livraison]],Tab_Calculs[[#This Row],[fin mois]])-MAX(Tab_Calculs[[#This Row],[Début mois]],Tab_Calculs[[#This Row],[Début periode livraison]]))</f>
        <v>0</v>
      </c>
      <c r="Q1141" t="e">
        <f ca="1">INDEX(INDIRECT(CONCATENATE("Tab_",Tab_Calculs[[#This Row],[Colonne1]])),Tab_Calculs[[#This Row],[index_date_livraison]]+1,7)*(Tab_Calculs[[#This Row],[fin mois]]-MIN(Tab_Calculs[[#This Row],[fin mois]],Tab_Calculs[[#This Row],[Date_livraison]]))</f>
        <v>#VALUE!</v>
      </c>
      <c r="R1141" t="e">
        <f ca="1">Tab_Calculs[[#This Row],[Ratio_Cout_après_livr]]+Tab_Calculs[[#This Row],[Ratio_Cout_avant_livr]]+Tab_Calculs[[#This Row],[Ratio_Cout_avant_debut]]</f>
        <v>#VALUE!</v>
      </c>
      <c r="S1141" t="str">
        <f ca="1">IFERROR(N1141*VLOOKUP(Tab_Calculs[[#This Row],[Colonne1]],Controle_des_données!$B$7:$G$14,6,FALSE),"")</f>
        <v/>
      </c>
      <c r="T1141" t="str">
        <f ca="1">IF(Tab_Calculs[[#This Row],[Combustible ]]="Electricité (kWh)",Tab_Calculs[[#This Row],[Conso_mois_kWh]]*2.3,Tab_Calculs[[#This Row],[Conso_mois_kWh]])</f>
        <v/>
      </c>
      <c r="U1141" t="str">
        <f ca="1">IFERROR(N1141*VLOOKUP(Tab_Calculs[[#This Row],[Colonne1]],Controle_des_données!$B$7:$H$14,7,FALSE),"")</f>
        <v/>
      </c>
      <c r="V1141">
        <f ca="1">IFERROR(Tab_Calculs[[#This Row],[Cout_mois]]/Tab_Calculs[[#This Row],[Conso_mois_kWh]],0)</f>
        <v>0</v>
      </c>
      <c r="W1141" t="str">
        <f>T(VLOOKUP(Tab_Calculs[[#This Row],[Compteur]],Site!$B$33:$G$40,3,FALSE))</f>
        <v/>
      </c>
      <c r="X1141" t="str">
        <f>T(VLOOKUP(Tab_Calculs[[#This Row],[Compteur]],Site!$B$33:$G$40,4,FALSE))</f>
        <v/>
      </c>
      <c r="Y1141" t="str">
        <f>T(VLOOKUP(Tab_Calculs[[#This Row],[Compteur]],Site!$B$33:$G$40,5,FALSE))</f>
        <v/>
      </c>
      <c r="Z1141" t="str">
        <f>T(VLOOKUP(Tab_Calculs[[#This Row],[Compteur]],Site!$B$33:$G$40,6,FALSE))</f>
        <v/>
      </c>
      <c r="AA1141">
        <f>IFERROR(GETPIVOTDATA("DJU(chauffagiste)",BDD_DJU!$P$13,"annee",Tab_Calculs[[#This Row],[ANNEE]],"mois_numero",Tab_Calculs[[#This Row],[MOIS]]),0)</f>
        <v>0</v>
      </c>
    </row>
    <row r="1142" spans="1:27" x14ac:dyDescent="0.25">
      <c r="A1142" s="3">
        <f>DATE(Tab_Calculs[[#This Row],[ANNEE]],Tab_Calculs[[#This Row],[MOIS]],1)</f>
        <v>45444</v>
      </c>
      <c r="B1142" s="3">
        <f>EDATE(Tab_Calculs[[#This Row],[Début mois]],1)-1</f>
        <v>45473</v>
      </c>
      <c r="C1142">
        <f t="shared" si="38"/>
        <v>6</v>
      </c>
      <c r="D1142">
        <f t="shared" si="40"/>
        <v>2024</v>
      </c>
      <c r="E1142" t="s">
        <v>85</v>
      </c>
      <c r="F1142" t="str">
        <f>SUBSTITUTE(Tab_Calculs[[#This Row],[Compteur]]," ","_")</f>
        <v>Compteur_6</v>
      </c>
      <c r="G1142" t="str">
        <f>T(INDEX(Site!$B$33:$G$40, MATCH(Tab_Calculs[[#This Row],[Compteur]], Site!$B$33:$B$40,0),2))</f>
        <v/>
      </c>
      <c r="H1142" s="3">
        <f t="array" aca="1" ref="H1142" ca="1">MIN(IF(INDIRECT(CONCATENATE(Tab_Calculs[[#This Row],[Colonne1]],"!$B$2:$B$243"))&gt;=Calculs_Consos!$A1142,INDIRECT(CONCATENATE(Tab_Calculs[[#This Row],[Colonne1]],"!$B$2:$B$243"))))</f>
        <v>0</v>
      </c>
      <c r="I1142" s="3">
        <f ca="1">INDEX(INDIRECT(CONCATENATE("Tab_",Tab_Calculs[[#This Row],[Colonne1]])),Tab_Calculs[[#This Row],[index_date_livraison]],1)</f>
        <v>0</v>
      </c>
      <c r="J1142">
        <f ca="1">MATCH(Tab_Calculs[[#This Row],[Date_livraison]],INDIRECT(CONCATENATE("Tab_",Tab_Calculs[[#This Row],[Colonne1]],"[Fin de période]")),0)</f>
        <v>1</v>
      </c>
      <c r="K1142" t="e">
        <f ca="1">INDEX(INDIRECT(CONCATENATE("Tab_",Tab_Calculs[[#This Row],[Colonne1]])),Tab_Calculs[[#This Row],[index_date_livraison]]-1,6)*(MAX(Tab_Calculs[[#This Row],[Début periode livraison]],Tab_Calculs[[#This Row],[Début mois]])-Tab_Calculs[[#This Row],[Début mois]])</f>
        <v>#VALUE!</v>
      </c>
      <c r="L1142" s="94">
        <f ca="1">INDEX(INDIRECT(CONCATENATE("Tab_",Tab_Calculs[[#This Row],[Colonne1]])),Tab_Calculs[[#This Row],[index_date_livraison]],6)*(1+MIN(Tab_Calculs[[#This Row],[Date_livraison]],Tab_Calculs[[#This Row],[fin mois]])-MAX(Tab_Calculs[[#This Row],[Début mois]],Tab_Calculs[[#This Row],[Début periode livraison]]))</f>
        <v>0</v>
      </c>
      <c r="M1142" s="94" t="e">
        <f ca="1">INDEX(INDIRECT(CONCATENATE("Tab_",Tab_Calculs[[#This Row],[Colonne1]])),Tab_Calculs[[#This Row],[index_date_livraison]]+1,6)*(Tab_Calculs[[#This Row],[fin mois]]-MIN(Tab_Calculs[[#This Row],[fin mois]],Tab_Calculs[[#This Row],[Date_livraison]]))</f>
        <v>#VALUE!</v>
      </c>
      <c r="N1142" s="231" t="str">
        <f ca="1">IFERROR(Tab_Calculs[[#This Row],[Ratio_jour_après_livr]]+Tab_Calculs[[#This Row],[Ratio_jour_avant_livr]]+Tab_Calculs[[#This Row],[ratio_avant_debut]],"")</f>
        <v/>
      </c>
      <c r="O1142" t="e">
        <f ca="1">INDEX(INDIRECT(CONCATENATE("Tab_",Tab_Calculs[[#This Row],[Colonne1]])),Tab_Calculs[[#This Row],[index_date_livraison]]-1,7)*(MAX(Tab_Calculs[[#This Row],[Début periode livraison]],Tab_Calculs[[#This Row],[Début mois]])-Tab_Calculs[[#This Row],[Début mois]])</f>
        <v>#VALUE!</v>
      </c>
      <c r="P1142">
        <f ca="1">INDEX(INDIRECT(CONCATENATE("Tab_",Tab_Calculs[[#This Row],[Colonne1]])),Tab_Calculs[[#This Row],[index_date_livraison]],7)*(1+MIN(Tab_Calculs[[#This Row],[Date_livraison]],Tab_Calculs[[#This Row],[fin mois]])-MAX(Tab_Calculs[[#This Row],[Début mois]],Tab_Calculs[[#This Row],[Début periode livraison]]))</f>
        <v>0</v>
      </c>
      <c r="Q1142" t="e">
        <f ca="1">INDEX(INDIRECT(CONCATENATE("Tab_",Tab_Calculs[[#This Row],[Colonne1]])),Tab_Calculs[[#This Row],[index_date_livraison]]+1,7)*(Tab_Calculs[[#This Row],[fin mois]]-MIN(Tab_Calculs[[#This Row],[fin mois]],Tab_Calculs[[#This Row],[Date_livraison]]))</f>
        <v>#VALUE!</v>
      </c>
      <c r="R1142" t="e">
        <f ca="1">Tab_Calculs[[#This Row],[Ratio_Cout_après_livr]]+Tab_Calculs[[#This Row],[Ratio_Cout_avant_livr]]+Tab_Calculs[[#This Row],[Ratio_Cout_avant_debut]]</f>
        <v>#VALUE!</v>
      </c>
      <c r="S1142" t="str">
        <f ca="1">IFERROR(N1142*VLOOKUP(Tab_Calculs[[#This Row],[Colonne1]],Controle_des_données!$B$7:$G$14,6,FALSE),"")</f>
        <v/>
      </c>
      <c r="T1142" t="str">
        <f ca="1">IF(Tab_Calculs[[#This Row],[Combustible ]]="Electricité (kWh)",Tab_Calculs[[#This Row],[Conso_mois_kWh]]*2.3,Tab_Calculs[[#This Row],[Conso_mois_kWh]])</f>
        <v/>
      </c>
      <c r="U1142" t="str">
        <f ca="1">IFERROR(N1142*VLOOKUP(Tab_Calculs[[#This Row],[Colonne1]],Controle_des_données!$B$7:$H$14,7,FALSE),"")</f>
        <v/>
      </c>
      <c r="V1142">
        <f ca="1">IFERROR(Tab_Calculs[[#This Row],[Cout_mois]]/Tab_Calculs[[#This Row],[Conso_mois_kWh]],0)</f>
        <v>0</v>
      </c>
      <c r="W1142" t="str">
        <f>T(VLOOKUP(Tab_Calculs[[#This Row],[Compteur]],Site!$B$33:$G$40,3,FALSE))</f>
        <v/>
      </c>
      <c r="X1142" t="str">
        <f>T(VLOOKUP(Tab_Calculs[[#This Row],[Compteur]],Site!$B$33:$G$40,4,FALSE))</f>
        <v/>
      </c>
      <c r="Y1142" t="str">
        <f>T(VLOOKUP(Tab_Calculs[[#This Row],[Compteur]],Site!$B$33:$G$40,5,FALSE))</f>
        <v/>
      </c>
      <c r="Z1142" t="str">
        <f>T(VLOOKUP(Tab_Calculs[[#This Row],[Compteur]],Site!$B$33:$G$40,6,FALSE))</f>
        <v/>
      </c>
      <c r="AA1142">
        <f>IFERROR(GETPIVOTDATA("DJU(chauffagiste)",BDD_DJU!$P$13,"annee",Tab_Calculs[[#This Row],[ANNEE]],"mois_numero",Tab_Calculs[[#This Row],[MOIS]]),0)</f>
        <v>0</v>
      </c>
    </row>
    <row r="1143" spans="1:27" x14ac:dyDescent="0.25">
      <c r="A1143" s="3">
        <f>DATE(Tab_Calculs[[#This Row],[ANNEE]],Tab_Calculs[[#This Row],[MOIS]],1)</f>
        <v>45474</v>
      </c>
      <c r="B1143" s="3">
        <f>EDATE(Tab_Calculs[[#This Row],[Début mois]],1)-1</f>
        <v>45504</v>
      </c>
      <c r="C1143">
        <f t="shared" si="38"/>
        <v>7</v>
      </c>
      <c r="D1143">
        <f t="shared" si="40"/>
        <v>2024</v>
      </c>
      <c r="E1143" t="s">
        <v>85</v>
      </c>
      <c r="F1143" t="str">
        <f>SUBSTITUTE(Tab_Calculs[[#This Row],[Compteur]]," ","_")</f>
        <v>Compteur_6</v>
      </c>
      <c r="G1143" t="str">
        <f>T(INDEX(Site!$B$33:$G$40, MATCH(Tab_Calculs[[#This Row],[Compteur]], Site!$B$33:$B$40,0),2))</f>
        <v/>
      </c>
      <c r="H1143" s="3">
        <f t="array" aca="1" ref="H1143" ca="1">MIN(IF(INDIRECT(CONCATENATE(Tab_Calculs[[#This Row],[Colonne1]],"!$B$2:$B$243"))&gt;=Calculs_Consos!$A1143,INDIRECT(CONCATENATE(Tab_Calculs[[#This Row],[Colonne1]],"!$B$2:$B$243"))))</f>
        <v>0</v>
      </c>
      <c r="I1143" s="3">
        <f ca="1">INDEX(INDIRECT(CONCATENATE("Tab_",Tab_Calculs[[#This Row],[Colonne1]])),Tab_Calculs[[#This Row],[index_date_livraison]],1)</f>
        <v>0</v>
      </c>
      <c r="J1143">
        <f ca="1">MATCH(Tab_Calculs[[#This Row],[Date_livraison]],INDIRECT(CONCATENATE("Tab_",Tab_Calculs[[#This Row],[Colonne1]],"[Fin de période]")),0)</f>
        <v>1</v>
      </c>
      <c r="K1143" t="e">
        <f ca="1">INDEX(INDIRECT(CONCATENATE("Tab_",Tab_Calculs[[#This Row],[Colonne1]])),Tab_Calculs[[#This Row],[index_date_livraison]]-1,6)*(MAX(Tab_Calculs[[#This Row],[Début periode livraison]],Tab_Calculs[[#This Row],[Début mois]])-Tab_Calculs[[#This Row],[Début mois]])</f>
        <v>#VALUE!</v>
      </c>
      <c r="L1143" s="94">
        <f ca="1">INDEX(INDIRECT(CONCATENATE("Tab_",Tab_Calculs[[#This Row],[Colonne1]])),Tab_Calculs[[#This Row],[index_date_livraison]],6)*(1+MIN(Tab_Calculs[[#This Row],[Date_livraison]],Tab_Calculs[[#This Row],[fin mois]])-MAX(Tab_Calculs[[#This Row],[Début mois]],Tab_Calculs[[#This Row],[Début periode livraison]]))</f>
        <v>0</v>
      </c>
      <c r="M1143" s="94" t="e">
        <f ca="1">INDEX(INDIRECT(CONCATENATE("Tab_",Tab_Calculs[[#This Row],[Colonne1]])),Tab_Calculs[[#This Row],[index_date_livraison]]+1,6)*(Tab_Calculs[[#This Row],[fin mois]]-MIN(Tab_Calculs[[#This Row],[fin mois]],Tab_Calculs[[#This Row],[Date_livraison]]))</f>
        <v>#VALUE!</v>
      </c>
      <c r="N1143" s="231" t="str">
        <f ca="1">IFERROR(Tab_Calculs[[#This Row],[Ratio_jour_après_livr]]+Tab_Calculs[[#This Row],[Ratio_jour_avant_livr]]+Tab_Calculs[[#This Row],[ratio_avant_debut]],"")</f>
        <v/>
      </c>
      <c r="O1143" t="e">
        <f ca="1">INDEX(INDIRECT(CONCATENATE("Tab_",Tab_Calculs[[#This Row],[Colonne1]])),Tab_Calculs[[#This Row],[index_date_livraison]]-1,7)*(MAX(Tab_Calculs[[#This Row],[Début periode livraison]],Tab_Calculs[[#This Row],[Début mois]])-Tab_Calculs[[#This Row],[Début mois]])</f>
        <v>#VALUE!</v>
      </c>
      <c r="P1143">
        <f ca="1">INDEX(INDIRECT(CONCATENATE("Tab_",Tab_Calculs[[#This Row],[Colonne1]])),Tab_Calculs[[#This Row],[index_date_livraison]],7)*(1+MIN(Tab_Calculs[[#This Row],[Date_livraison]],Tab_Calculs[[#This Row],[fin mois]])-MAX(Tab_Calculs[[#This Row],[Début mois]],Tab_Calculs[[#This Row],[Début periode livraison]]))</f>
        <v>0</v>
      </c>
      <c r="Q1143" t="e">
        <f ca="1">INDEX(INDIRECT(CONCATENATE("Tab_",Tab_Calculs[[#This Row],[Colonne1]])),Tab_Calculs[[#This Row],[index_date_livraison]]+1,7)*(Tab_Calculs[[#This Row],[fin mois]]-MIN(Tab_Calculs[[#This Row],[fin mois]],Tab_Calculs[[#This Row],[Date_livraison]]))</f>
        <v>#VALUE!</v>
      </c>
      <c r="R1143" t="e">
        <f ca="1">Tab_Calculs[[#This Row],[Ratio_Cout_après_livr]]+Tab_Calculs[[#This Row],[Ratio_Cout_avant_livr]]+Tab_Calculs[[#This Row],[Ratio_Cout_avant_debut]]</f>
        <v>#VALUE!</v>
      </c>
      <c r="S1143" t="str">
        <f ca="1">IFERROR(N1143*VLOOKUP(Tab_Calculs[[#This Row],[Colonne1]],Controle_des_données!$B$7:$G$14,6,FALSE),"")</f>
        <v/>
      </c>
      <c r="T1143" t="str">
        <f ca="1">IF(Tab_Calculs[[#This Row],[Combustible ]]="Electricité (kWh)",Tab_Calculs[[#This Row],[Conso_mois_kWh]]*2.3,Tab_Calculs[[#This Row],[Conso_mois_kWh]])</f>
        <v/>
      </c>
      <c r="U1143" t="str">
        <f ca="1">IFERROR(N1143*VLOOKUP(Tab_Calculs[[#This Row],[Colonne1]],Controle_des_données!$B$7:$H$14,7,FALSE),"")</f>
        <v/>
      </c>
      <c r="V1143">
        <f ca="1">IFERROR(Tab_Calculs[[#This Row],[Cout_mois]]/Tab_Calculs[[#This Row],[Conso_mois_kWh]],0)</f>
        <v>0</v>
      </c>
      <c r="W1143" t="str">
        <f>T(VLOOKUP(Tab_Calculs[[#This Row],[Compteur]],Site!$B$33:$G$40,3,FALSE))</f>
        <v/>
      </c>
      <c r="X1143" t="str">
        <f>T(VLOOKUP(Tab_Calculs[[#This Row],[Compteur]],Site!$B$33:$G$40,4,FALSE))</f>
        <v/>
      </c>
      <c r="Y1143" t="str">
        <f>T(VLOOKUP(Tab_Calculs[[#This Row],[Compteur]],Site!$B$33:$G$40,5,FALSE))</f>
        <v/>
      </c>
      <c r="Z1143" t="str">
        <f>T(VLOOKUP(Tab_Calculs[[#This Row],[Compteur]],Site!$B$33:$G$40,6,FALSE))</f>
        <v/>
      </c>
      <c r="AA1143">
        <f>IFERROR(GETPIVOTDATA("DJU(chauffagiste)",BDD_DJU!$P$13,"annee",Tab_Calculs[[#This Row],[ANNEE]],"mois_numero",Tab_Calculs[[#This Row],[MOIS]]),0)</f>
        <v>0</v>
      </c>
    </row>
    <row r="1144" spans="1:27" x14ac:dyDescent="0.25">
      <c r="A1144" s="3">
        <f>DATE(Tab_Calculs[[#This Row],[ANNEE]],Tab_Calculs[[#This Row],[MOIS]],1)</f>
        <v>45505</v>
      </c>
      <c r="B1144" s="3">
        <f>EDATE(Tab_Calculs[[#This Row],[Début mois]],1)-1</f>
        <v>45535</v>
      </c>
      <c r="C1144">
        <f t="shared" si="38"/>
        <v>8</v>
      </c>
      <c r="D1144">
        <f t="shared" si="40"/>
        <v>2024</v>
      </c>
      <c r="E1144" t="s">
        <v>85</v>
      </c>
      <c r="F1144" t="str">
        <f>SUBSTITUTE(Tab_Calculs[[#This Row],[Compteur]]," ","_")</f>
        <v>Compteur_6</v>
      </c>
      <c r="G1144" t="str">
        <f>T(INDEX(Site!$B$33:$G$40, MATCH(Tab_Calculs[[#This Row],[Compteur]], Site!$B$33:$B$40,0),2))</f>
        <v/>
      </c>
      <c r="H1144" s="3">
        <f t="array" aca="1" ref="H1144" ca="1">MIN(IF(INDIRECT(CONCATENATE(Tab_Calculs[[#This Row],[Colonne1]],"!$B$2:$B$243"))&gt;=Calculs_Consos!$A1144,INDIRECT(CONCATENATE(Tab_Calculs[[#This Row],[Colonne1]],"!$B$2:$B$243"))))</f>
        <v>0</v>
      </c>
      <c r="I1144" s="3">
        <f ca="1">INDEX(INDIRECT(CONCATENATE("Tab_",Tab_Calculs[[#This Row],[Colonne1]])),Tab_Calculs[[#This Row],[index_date_livraison]],1)</f>
        <v>0</v>
      </c>
      <c r="J1144">
        <f ca="1">MATCH(Tab_Calculs[[#This Row],[Date_livraison]],INDIRECT(CONCATENATE("Tab_",Tab_Calculs[[#This Row],[Colonne1]],"[Fin de période]")),0)</f>
        <v>1</v>
      </c>
      <c r="K1144" t="e">
        <f ca="1">INDEX(INDIRECT(CONCATENATE("Tab_",Tab_Calculs[[#This Row],[Colonne1]])),Tab_Calculs[[#This Row],[index_date_livraison]]-1,6)*(MAX(Tab_Calculs[[#This Row],[Début periode livraison]],Tab_Calculs[[#This Row],[Début mois]])-Tab_Calculs[[#This Row],[Début mois]])</f>
        <v>#VALUE!</v>
      </c>
      <c r="L1144" s="94">
        <f ca="1">INDEX(INDIRECT(CONCATENATE("Tab_",Tab_Calculs[[#This Row],[Colonne1]])),Tab_Calculs[[#This Row],[index_date_livraison]],6)*(1+MIN(Tab_Calculs[[#This Row],[Date_livraison]],Tab_Calculs[[#This Row],[fin mois]])-MAX(Tab_Calculs[[#This Row],[Début mois]],Tab_Calculs[[#This Row],[Début periode livraison]]))</f>
        <v>0</v>
      </c>
      <c r="M1144" s="94" t="e">
        <f ca="1">INDEX(INDIRECT(CONCATENATE("Tab_",Tab_Calculs[[#This Row],[Colonne1]])),Tab_Calculs[[#This Row],[index_date_livraison]]+1,6)*(Tab_Calculs[[#This Row],[fin mois]]-MIN(Tab_Calculs[[#This Row],[fin mois]],Tab_Calculs[[#This Row],[Date_livraison]]))</f>
        <v>#VALUE!</v>
      </c>
      <c r="N1144" s="231" t="str">
        <f ca="1">IFERROR(Tab_Calculs[[#This Row],[Ratio_jour_après_livr]]+Tab_Calculs[[#This Row],[Ratio_jour_avant_livr]]+Tab_Calculs[[#This Row],[ratio_avant_debut]],"")</f>
        <v/>
      </c>
      <c r="O1144" t="e">
        <f ca="1">INDEX(INDIRECT(CONCATENATE("Tab_",Tab_Calculs[[#This Row],[Colonne1]])),Tab_Calculs[[#This Row],[index_date_livraison]]-1,7)*(MAX(Tab_Calculs[[#This Row],[Début periode livraison]],Tab_Calculs[[#This Row],[Début mois]])-Tab_Calculs[[#This Row],[Début mois]])</f>
        <v>#VALUE!</v>
      </c>
      <c r="P1144">
        <f ca="1">INDEX(INDIRECT(CONCATENATE("Tab_",Tab_Calculs[[#This Row],[Colonne1]])),Tab_Calculs[[#This Row],[index_date_livraison]],7)*(1+MIN(Tab_Calculs[[#This Row],[Date_livraison]],Tab_Calculs[[#This Row],[fin mois]])-MAX(Tab_Calculs[[#This Row],[Début mois]],Tab_Calculs[[#This Row],[Début periode livraison]]))</f>
        <v>0</v>
      </c>
      <c r="Q1144" t="e">
        <f ca="1">INDEX(INDIRECT(CONCATENATE("Tab_",Tab_Calculs[[#This Row],[Colonne1]])),Tab_Calculs[[#This Row],[index_date_livraison]]+1,7)*(Tab_Calculs[[#This Row],[fin mois]]-MIN(Tab_Calculs[[#This Row],[fin mois]],Tab_Calculs[[#This Row],[Date_livraison]]))</f>
        <v>#VALUE!</v>
      </c>
      <c r="R1144" t="e">
        <f ca="1">Tab_Calculs[[#This Row],[Ratio_Cout_après_livr]]+Tab_Calculs[[#This Row],[Ratio_Cout_avant_livr]]+Tab_Calculs[[#This Row],[Ratio_Cout_avant_debut]]</f>
        <v>#VALUE!</v>
      </c>
      <c r="S1144" t="str">
        <f ca="1">IFERROR(N1144*VLOOKUP(Tab_Calculs[[#This Row],[Colonne1]],Controle_des_données!$B$7:$G$14,6,FALSE),"")</f>
        <v/>
      </c>
      <c r="T1144" t="str">
        <f ca="1">IF(Tab_Calculs[[#This Row],[Combustible ]]="Electricité (kWh)",Tab_Calculs[[#This Row],[Conso_mois_kWh]]*2.3,Tab_Calculs[[#This Row],[Conso_mois_kWh]])</f>
        <v/>
      </c>
      <c r="U1144" t="str">
        <f ca="1">IFERROR(N1144*VLOOKUP(Tab_Calculs[[#This Row],[Colonne1]],Controle_des_données!$B$7:$H$14,7,FALSE),"")</f>
        <v/>
      </c>
      <c r="V1144">
        <f ca="1">IFERROR(Tab_Calculs[[#This Row],[Cout_mois]]/Tab_Calculs[[#This Row],[Conso_mois_kWh]],0)</f>
        <v>0</v>
      </c>
      <c r="W1144" t="str">
        <f>T(VLOOKUP(Tab_Calculs[[#This Row],[Compteur]],Site!$B$33:$G$40,3,FALSE))</f>
        <v/>
      </c>
      <c r="X1144" t="str">
        <f>T(VLOOKUP(Tab_Calculs[[#This Row],[Compteur]],Site!$B$33:$G$40,4,FALSE))</f>
        <v/>
      </c>
      <c r="Y1144" t="str">
        <f>T(VLOOKUP(Tab_Calculs[[#This Row],[Compteur]],Site!$B$33:$G$40,5,FALSE))</f>
        <v/>
      </c>
      <c r="Z1144" t="str">
        <f>T(VLOOKUP(Tab_Calculs[[#This Row],[Compteur]],Site!$B$33:$G$40,6,FALSE))</f>
        <v/>
      </c>
      <c r="AA1144">
        <f>IFERROR(GETPIVOTDATA("DJU(chauffagiste)",BDD_DJU!$P$13,"annee",Tab_Calculs[[#This Row],[ANNEE]],"mois_numero",Tab_Calculs[[#This Row],[MOIS]]),0)</f>
        <v>0</v>
      </c>
    </row>
    <row r="1145" spans="1:27" x14ac:dyDescent="0.25">
      <c r="A1145" s="3">
        <f>DATE(Tab_Calculs[[#This Row],[ANNEE]],Tab_Calculs[[#This Row],[MOIS]],1)</f>
        <v>45536</v>
      </c>
      <c r="B1145" s="3">
        <f>EDATE(Tab_Calculs[[#This Row],[Début mois]],1)-1</f>
        <v>45565</v>
      </c>
      <c r="C1145">
        <f t="shared" si="38"/>
        <v>9</v>
      </c>
      <c r="D1145">
        <f t="shared" si="40"/>
        <v>2024</v>
      </c>
      <c r="E1145" t="s">
        <v>85</v>
      </c>
      <c r="F1145" t="str">
        <f>SUBSTITUTE(Tab_Calculs[[#This Row],[Compteur]]," ","_")</f>
        <v>Compteur_6</v>
      </c>
      <c r="G1145" t="str">
        <f>T(INDEX(Site!$B$33:$G$40, MATCH(Tab_Calculs[[#This Row],[Compteur]], Site!$B$33:$B$40,0),2))</f>
        <v/>
      </c>
      <c r="H1145" s="3">
        <f t="array" aca="1" ref="H1145" ca="1">MIN(IF(INDIRECT(CONCATENATE(Tab_Calculs[[#This Row],[Colonne1]],"!$B$2:$B$243"))&gt;=Calculs_Consos!$A1145,INDIRECT(CONCATENATE(Tab_Calculs[[#This Row],[Colonne1]],"!$B$2:$B$243"))))</f>
        <v>0</v>
      </c>
      <c r="I1145" s="3">
        <f ca="1">INDEX(INDIRECT(CONCATENATE("Tab_",Tab_Calculs[[#This Row],[Colonne1]])),Tab_Calculs[[#This Row],[index_date_livraison]],1)</f>
        <v>0</v>
      </c>
      <c r="J1145">
        <f ca="1">MATCH(Tab_Calculs[[#This Row],[Date_livraison]],INDIRECT(CONCATENATE("Tab_",Tab_Calculs[[#This Row],[Colonne1]],"[Fin de période]")),0)</f>
        <v>1</v>
      </c>
      <c r="K1145" t="e">
        <f ca="1">INDEX(INDIRECT(CONCATENATE("Tab_",Tab_Calculs[[#This Row],[Colonne1]])),Tab_Calculs[[#This Row],[index_date_livraison]]-1,6)*(MAX(Tab_Calculs[[#This Row],[Début periode livraison]],Tab_Calculs[[#This Row],[Début mois]])-Tab_Calculs[[#This Row],[Début mois]])</f>
        <v>#VALUE!</v>
      </c>
      <c r="L1145" s="94">
        <f ca="1">INDEX(INDIRECT(CONCATENATE("Tab_",Tab_Calculs[[#This Row],[Colonne1]])),Tab_Calculs[[#This Row],[index_date_livraison]],6)*(1+MIN(Tab_Calculs[[#This Row],[Date_livraison]],Tab_Calculs[[#This Row],[fin mois]])-MAX(Tab_Calculs[[#This Row],[Début mois]],Tab_Calculs[[#This Row],[Début periode livraison]]))</f>
        <v>0</v>
      </c>
      <c r="M1145" s="94" t="e">
        <f ca="1">INDEX(INDIRECT(CONCATENATE("Tab_",Tab_Calculs[[#This Row],[Colonne1]])),Tab_Calculs[[#This Row],[index_date_livraison]]+1,6)*(Tab_Calculs[[#This Row],[fin mois]]-MIN(Tab_Calculs[[#This Row],[fin mois]],Tab_Calculs[[#This Row],[Date_livraison]]))</f>
        <v>#VALUE!</v>
      </c>
      <c r="N1145" s="231" t="str">
        <f ca="1">IFERROR(Tab_Calculs[[#This Row],[Ratio_jour_après_livr]]+Tab_Calculs[[#This Row],[Ratio_jour_avant_livr]]+Tab_Calculs[[#This Row],[ratio_avant_debut]],"")</f>
        <v/>
      </c>
      <c r="O1145" t="e">
        <f ca="1">INDEX(INDIRECT(CONCATENATE("Tab_",Tab_Calculs[[#This Row],[Colonne1]])),Tab_Calculs[[#This Row],[index_date_livraison]]-1,7)*(MAX(Tab_Calculs[[#This Row],[Début periode livraison]],Tab_Calculs[[#This Row],[Début mois]])-Tab_Calculs[[#This Row],[Début mois]])</f>
        <v>#VALUE!</v>
      </c>
      <c r="P1145">
        <f ca="1">INDEX(INDIRECT(CONCATENATE("Tab_",Tab_Calculs[[#This Row],[Colonne1]])),Tab_Calculs[[#This Row],[index_date_livraison]],7)*(1+MIN(Tab_Calculs[[#This Row],[Date_livraison]],Tab_Calculs[[#This Row],[fin mois]])-MAX(Tab_Calculs[[#This Row],[Début mois]],Tab_Calculs[[#This Row],[Début periode livraison]]))</f>
        <v>0</v>
      </c>
      <c r="Q1145" t="e">
        <f ca="1">INDEX(INDIRECT(CONCATENATE("Tab_",Tab_Calculs[[#This Row],[Colonne1]])),Tab_Calculs[[#This Row],[index_date_livraison]]+1,7)*(Tab_Calculs[[#This Row],[fin mois]]-MIN(Tab_Calculs[[#This Row],[fin mois]],Tab_Calculs[[#This Row],[Date_livraison]]))</f>
        <v>#VALUE!</v>
      </c>
      <c r="R1145" t="e">
        <f ca="1">Tab_Calculs[[#This Row],[Ratio_Cout_après_livr]]+Tab_Calculs[[#This Row],[Ratio_Cout_avant_livr]]+Tab_Calculs[[#This Row],[Ratio_Cout_avant_debut]]</f>
        <v>#VALUE!</v>
      </c>
      <c r="S1145" t="str">
        <f ca="1">IFERROR(N1145*VLOOKUP(Tab_Calculs[[#This Row],[Colonne1]],Controle_des_données!$B$7:$G$14,6,FALSE),"")</f>
        <v/>
      </c>
      <c r="T1145" t="str">
        <f ca="1">IF(Tab_Calculs[[#This Row],[Combustible ]]="Electricité (kWh)",Tab_Calculs[[#This Row],[Conso_mois_kWh]]*2.3,Tab_Calculs[[#This Row],[Conso_mois_kWh]])</f>
        <v/>
      </c>
      <c r="U1145" t="str">
        <f ca="1">IFERROR(N1145*VLOOKUP(Tab_Calculs[[#This Row],[Colonne1]],Controle_des_données!$B$7:$H$14,7,FALSE),"")</f>
        <v/>
      </c>
      <c r="V1145">
        <f ca="1">IFERROR(Tab_Calculs[[#This Row],[Cout_mois]]/Tab_Calculs[[#This Row],[Conso_mois_kWh]],0)</f>
        <v>0</v>
      </c>
      <c r="W1145" t="str">
        <f>T(VLOOKUP(Tab_Calculs[[#This Row],[Compteur]],Site!$B$33:$G$40,3,FALSE))</f>
        <v/>
      </c>
      <c r="X1145" t="str">
        <f>T(VLOOKUP(Tab_Calculs[[#This Row],[Compteur]],Site!$B$33:$G$40,4,FALSE))</f>
        <v/>
      </c>
      <c r="Y1145" t="str">
        <f>T(VLOOKUP(Tab_Calculs[[#This Row],[Compteur]],Site!$B$33:$G$40,5,FALSE))</f>
        <v/>
      </c>
      <c r="Z1145" t="str">
        <f>T(VLOOKUP(Tab_Calculs[[#This Row],[Compteur]],Site!$B$33:$G$40,6,FALSE))</f>
        <v/>
      </c>
      <c r="AA1145">
        <f>IFERROR(GETPIVOTDATA("DJU(chauffagiste)",BDD_DJU!$P$13,"annee",Tab_Calculs[[#This Row],[ANNEE]],"mois_numero",Tab_Calculs[[#This Row],[MOIS]]),0)</f>
        <v>0</v>
      </c>
    </row>
    <row r="1146" spans="1:27" x14ac:dyDescent="0.25">
      <c r="A1146" s="3">
        <f>DATE(Tab_Calculs[[#This Row],[ANNEE]],Tab_Calculs[[#This Row],[MOIS]],1)</f>
        <v>45566</v>
      </c>
      <c r="B1146" s="3">
        <f>EDATE(Tab_Calculs[[#This Row],[Début mois]],1)-1</f>
        <v>45596</v>
      </c>
      <c r="C1146">
        <f t="shared" si="38"/>
        <v>10</v>
      </c>
      <c r="D1146">
        <f t="shared" si="40"/>
        <v>2024</v>
      </c>
      <c r="E1146" t="s">
        <v>85</v>
      </c>
      <c r="F1146" t="str">
        <f>SUBSTITUTE(Tab_Calculs[[#This Row],[Compteur]]," ","_")</f>
        <v>Compteur_6</v>
      </c>
      <c r="G1146" t="str">
        <f>T(INDEX(Site!$B$33:$G$40, MATCH(Tab_Calculs[[#This Row],[Compteur]], Site!$B$33:$B$40,0),2))</f>
        <v/>
      </c>
      <c r="H1146" s="3">
        <f t="array" aca="1" ref="H1146" ca="1">MIN(IF(INDIRECT(CONCATENATE(Tab_Calculs[[#This Row],[Colonne1]],"!$B$2:$B$243"))&gt;=Calculs_Consos!$A1146,INDIRECT(CONCATENATE(Tab_Calculs[[#This Row],[Colonne1]],"!$B$2:$B$243"))))</f>
        <v>0</v>
      </c>
      <c r="I1146" s="3">
        <f ca="1">INDEX(INDIRECT(CONCATENATE("Tab_",Tab_Calculs[[#This Row],[Colonne1]])),Tab_Calculs[[#This Row],[index_date_livraison]],1)</f>
        <v>0</v>
      </c>
      <c r="J1146">
        <f ca="1">MATCH(Tab_Calculs[[#This Row],[Date_livraison]],INDIRECT(CONCATENATE("Tab_",Tab_Calculs[[#This Row],[Colonne1]],"[Fin de période]")),0)</f>
        <v>1</v>
      </c>
      <c r="K1146" t="e">
        <f ca="1">INDEX(INDIRECT(CONCATENATE("Tab_",Tab_Calculs[[#This Row],[Colonne1]])),Tab_Calculs[[#This Row],[index_date_livraison]]-1,6)*(MAX(Tab_Calculs[[#This Row],[Début periode livraison]],Tab_Calculs[[#This Row],[Début mois]])-Tab_Calculs[[#This Row],[Début mois]])</f>
        <v>#VALUE!</v>
      </c>
      <c r="L1146" s="94">
        <f ca="1">INDEX(INDIRECT(CONCATENATE("Tab_",Tab_Calculs[[#This Row],[Colonne1]])),Tab_Calculs[[#This Row],[index_date_livraison]],6)*(1+MIN(Tab_Calculs[[#This Row],[Date_livraison]],Tab_Calculs[[#This Row],[fin mois]])-MAX(Tab_Calculs[[#This Row],[Début mois]],Tab_Calculs[[#This Row],[Début periode livraison]]))</f>
        <v>0</v>
      </c>
      <c r="M1146" s="94" t="e">
        <f ca="1">INDEX(INDIRECT(CONCATENATE("Tab_",Tab_Calculs[[#This Row],[Colonne1]])),Tab_Calculs[[#This Row],[index_date_livraison]]+1,6)*(Tab_Calculs[[#This Row],[fin mois]]-MIN(Tab_Calculs[[#This Row],[fin mois]],Tab_Calculs[[#This Row],[Date_livraison]]))</f>
        <v>#VALUE!</v>
      </c>
      <c r="N1146" s="231" t="str">
        <f ca="1">IFERROR(Tab_Calculs[[#This Row],[Ratio_jour_après_livr]]+Tab_Calculs[[#This Row],[Ratio_jour_avant_livr]]+Tab_Calculs[[#This Row],[ratio_avant_debut]],"")</f>
        <v/>
      </c>
      <c r="O1146" t="e">
        <f ca="1">INDEX(INDIRECT(CONCATENATE("Tab_",Tab_Calculs[[#This Row],[Colonne1]])),Tab_Calculs[[#This Row],[index_date_livraison]]-1,7)*(MAX(Tab_Calculs[[#This Row],[Début periode livraison]],Tab_Calculs[[#This Row],[Début mois]])-Tab_Calculs[[#This Row],[Début mois]])</f>
        <v>#VALUE!</v>
      </c>
      <c r="P1146">
        <f ca="1">INDEX(INDIRECT(CONCATENATE("Tab_",Tab_Calculs[[#This Row],[Colonne1]])),Tab_Calculs[[#This Row],[index_date_livraison]],7)*(1+MIN(Tab_Calculs[[#This Row],[Date_livraison]],Tab_Calculs[[#This Row],[fin mois]])-MAX(Tab_Calculs[[#This Row],[Début mois]],Tab_Calculs[[#This Row],[Début periode livraison]]))</f>
        <v>0</v>
      </c>
      <c r="Q1146" t="e">
        <f ca="1">INDEX(INDIRECT(CONCATENATE("Tab_",Tab_Calculs[[#This Row],[Colonne1]])),Tab_Calculs[[#This Row],[index_date_livraison]]+1,7)*(Tab_Calculs[[#This Row],[fin mois]]-MIN(Tab_Calculs[[#This Row],[fin mois]],Tab_Calculs[[#This Row],[Date_livraison]]))</f>
        <v>#VALUE!</v>
      </c>
      <c r="R1146" t="e">
        <f ca="1">Tab_Calculs[[#This Row],[Ratio_Cout_après_livr]]+Tab_Calculs[[#This Row],[Ratio_Cout_avant_livr]]+Tab_Calculs[[#This Row],[Ratio_Cout_avant_debut]]</f>
        <v>#VALUE!</v>
      </c>
      <c r="S1146" t="str">
        <f ca="1">IFERROR(N1146*VLOOKUP(Tab_Calculs[[#This Row],[Colonne1]],Controle_des_données!$B$7:$G$14,6,FALSE),"")</f>
        <v/>
      </c>
      <c r="T1146" t="str">
        <f ca="1">IF(Tab_Calculs[[#This Row],[Combustible ]]="Electricité (kWh)",Tab_Calculs[[#This Row],[Conso_mois_kWh]]*2.3,Tab_Calculs[[#This Row],[Conso_mois_kWh]])</f>
        <v/>
      </c>
      <c r="U1146" t="str">
        <f ca="1">IFERROR(N1146*VLOOKUP(Tab_Calculs[[#This Row],[Colonne1]],Controle_des_données!$B$7:$H$14,7,FALSE),"")</f>
        <v/>
      </c>
      <c r="V1146">
        <f ca="1">IFERROR(Tab_Calculs[[#This Row],[Cout_mois]]/Tab_Calculs[[#This Row],[Conso_mois_kWh]],0)</f>
        <v>0</v>
      </c>
      <c r="W1146" t="str">
        <f>T(VLOOKUP(Tab_Calculs[[#This Row],[Compteur]],Site!$B$33:$G$40,3,FALSE))</f>
        <v/>
      </c>
      <c r="X1146" t="str">
        <f>T(VLOOKUP(Tab_Calculs[[#This Row],[Compteur]],Site!$B$33:$G$40,4,FALSE))</f>
        <v/>
      </c>
      <c r="Y1146" t="str">
        <f>T(VLOOKUP(Tab_Calculs[[#This Row],[Compteur]],Site!$B$33:$G$40,5,FALSE))</f>
        <v/>
      </c>
      <c r="Z1146" t="str">
        <f>T(VLOOKUP(Tab_Calculs[[#This Row],[Compteur]],Site!$B$33:$G$40,6,FALSE))</f>
        <v/>
      </c>
      <c r="AA1146">
        <f>IFERROR(GETPIVOTDATA("DJU(chauffagiste)",BDD_DJU!$P$13,"annee",Tab_Calculs[[#This Row],[ANNEE]],"mois_numero",Tab_Calculs[[#This Row],[MOIS]]),0)</f>
        <v>0</v>
      </c>
    </row>
    <row r="1147" spans="1:27" x14ac:dyDescent="0.25">
      <c r="A1147" s="3">
        <f>DATE(Tab_Calculs[[#This Row],[ANNEE]],Tab_Calculs[[#This Row],[MOIS]],1)</f>
        <v>45597</v>
      </c>
      <c r="B1147" s="3">
        <f>EDATE(Tab_Calculs[[#This Row],[Début mois]],1)-1</f>
        <v>45626</v>
      </c>
      <c r="C1147">
        <f t="shared" si="38"/>
        <v>11</v>
      </c>
      <c r="D1147">
        <f t="shared" si="40"/>
        <v>2024</v>
      </c>
      <c r="E1147" t="s">
        <v>85</v>
      </c>
      <c r="F1147" t="str">
        <f>SUBSTITUTE(Tab_Calculs[[#This Row],[Compteur]]," ","_")</f>
        <v>Compteur_6</v>
      </c>
      <c r="G1147" t="str">
        <f>T(INDEX(Site!$B$33:$G$40, MATCH(Tab_Calculs[[#This Row],[Compteur]], Site!$B$33:$B$40,0),2))</f>
        <v/>
      </c>
      <c r="H1147" s="3">
        <f t="array" aca="1" ref="H1147" ca="1">MIN(IF(INDIRECT(CONCATENATE(Tab_Calculs[[#This Row],[Colonne1]],"!$B$2:$B$243"))&gt;=Calculs_Consos!$A1147,INDIRECT(CONCATENATE(Tab_Calculs[[#This Row],[Colonne1]],"!$B$2:$B$243"))))</f>
        <v>0</v>
      </c>
      <c r="I1147" s="3">
        <f ca="1">INDEX(INDIRECT(CONCATENATE("Tab_",Tab_Calculs[[#This Row],[Colonne1]])),Tab_Calculs[[#This Row],[index_date_livraison]],1)</f>
        <v>0</v>
      </c>
      <c r="J1147">
        <f ca="1">MATCH(Tab_Calculs[[#This Row],[Date_livraison]],INDIRECT(CONCATENATE("Tab_",Tab_Calculs[[#This Row],[Colonne1]],"[Fin de période]")),0)</f>
        <v>1</v>
      </c>
      <c r="K1147" t="e">
        <f ca="1">INDEX(INDIRECT(CONCATENATE("Tab_",Tab_Calculs[[#This Row],[Colonne1]])),Tab_Calculs[[#This Row],[index_date_livraison]]-1,6)*(MAX(Tab_Calculs[[#This Row],[Début periode livraison]],Tab_Calculs[[#This Row],[Début mois]])-Tab_Calculs[[#This Row],[Début mois]])</f>
        <v>#VALUE!</v>
      </c>
      <c r="L1147" s="94">
        <f ca="1">INDEX(INDIRECT(CONCATENATE("Tab_",Tab_Calculs[[#This Row],[Colonne1]])),Tab_Calculs[[#This Row],[index_date_livraison]],6)*(1+MIN(Tab_Calculs[[#This Row],[Date_livraison]],Tab_Calculs[[#This Row],[fin mois]])-MAX(Tab_Calculs[[#This Row],[Début mois]],Tab_Calculs[[#This Row],[Début periode livraison]]))</f>
        <v>0</v>
      </c>
      <c r="M1147" s="94" t="e">
        <f ca="1">INDEX(INDIRECT(CONCATENATE("Tab_",Tab_Calculs[[#This Row],[Colonne1]])),Tab_Calculs[[#This Row],[index_date_livraison]]+1,6)*(Tab_Calculs[[#This Row],[fin mois]]-MIN(Tab_Calculs[[#This Row],[fin mois]],Tab_Calculs[[#This Row],[Date_livraison]]))</f>
        <v>#VALUE!</v>
      </c>
      <c r="N1147" s="231" t="str">
        <f ca="1">IFERROR(Tab_Calculs[[#This Row],[Ratio_jour_après_livr]]+Tab_Calculs[[#This Row],[Ratio_jour_avant_livr]]+Tab_Calculs[[#This Row],[ratio_avant_debut]],"")</f>
        <v/>
      </c>
      <c r="O1147" t="e">
        <f ca="1">INDEX(INDIRECT(CONCATENATE("Tab_",Tab_Calculs[[#This Row],[Colonne1]])),Tab_Calculs[[#This Row],[index_date_livraison]]-1,7)*(MAX(Tab_Calculs[[#This Row],[Début periode livraison]],Tab_Calculs[[#This Row],[Début mois]])-Tab_Calculs[[#This Row],[Début mois]])</f>
        <v>#VALUE!</v>
      </c>
      <c r="P1147">
        <f ca="1">INDEX(INDIRECT(CONCATENATE("Tab_",Tab_Calculs[[#This Row],[Colonne1]])),Tab_Calculs[[#This Row],[index_date_livraison]],7)*(1+MIN(Tab_Calculs[[#This Row],[Date_livraison]],Tab_Calculs[[#This Row],[fin mois]])-MAX(Tab_Calculs[[#This Row],[Début mois]],Tab_Calculs[[#This Row],[Début periode livraison]]))</f>
        <v>0</v>
      </c>
      <c r="Q1147" t="e">
        <f ca="1">INDEX(INDIRECT(CONCATENATE("Tab_",Tab_Calculs[[#This Row],[Colonne1]])),Tab_Calculs[[#This Row],[index_date_livraison]]+1,7)*(Tab_Calculs[[#This Row],[fin mois]]-MIN(Tab_Calculs[[#This Row],[fin mois]],Tab_Calculs[[#This Row],[Date_livraison]]))</f>
        <v>#VALUE!</v>
      </c>
      <c r="R1147" t="e">
        <f ca="1">Tab_Calculs[[#This Row],[Ratio_Cout_après_livr]]+Tab_Calculs[[#This Row],[Ratio_Cout_avant_livr]]+Tab_Calculs[[#This Row],[Ratio_Cout_avant_debut]]</f>
        <v>#VALUE!</v>
      </c>
      <c r="S1147" t="str">
        <f ca="1">IFERROR(N1147*VLOOKUP(Tab_Calculs[[#This Row],[Colonne1]],Controle_des_données!$B$7:$G$14,6,FALSE),"")</f>
        <v/>
      </c>
      <c r="T1147" t="str">
        <f ca="1">IF(Tab_Calculs[[#This Row],[Combustible ]]="Electricité (kWh)",Tab_Calculs[[#This Row],[Conso_mois_kWh]]*2.3,Tab_Calculs[[#This Row],[Conso_mois_kWh]])</f>
        <v/>
      </c>
      <c r="U1147" t="str">
        <f ca="1">IFERROR(N1147*VLOOKUP(Tab_Calculs[[#This Row],[Colonne1]],Controle_des_données!$B$7:$H$14,7,FALSE),"")</f>
        <v/>
      </c>
      <c r="V1147">
        <f ca="1">IFERROR(Tab_Calculs[[#This Row],[Cout_mois]]/Tab_Calculs[[#This Row],[Conso_mois_kWh]],0)</f>
        <v>0</v>
      </c>
      <c r="W1147" t="str">
        <f>T(VLOOKUP(Tab_Calculs[[#This Row],[Compteur]],Site!$B$33:$G$40,3,FALSE))</f>
        <v/>
      </c>
      <c r="X1147" t="str">
        <f>T(VLOOKUP(Tab_Calculs[[#This Row],[Compteur]],Site!$B$33:$G$40,4,FALSE))</f>
        <v/>
      </c>
      <c r="Y1147" t="str">
        <f>T(VLOOKUP(Tab_Calculs[[#This Row],[Compteur]],Site!$B$33:$G$40,5,FALSE))</f>
        <v/>
      </c>
      <c r="Z1147" t="str">
        <f>T(VLOOKUP(Tab_Calculs[[#This Row],[Compteur]],Site!$B$33:$G$40,6,FALSE))</f>
        <v/>
      </c>
      <c r="AA1147">
        <f>IFERROR(GETPIVOTDATA("DJU(chauffagiste)",BDD_DJU!$P$13,"annee",Tab_Calculs[[#This Row],[ANNEE]],"mois_numero",Tab_Calculs[[#This Row],[MOIS]]),0)</f>
        <v>0</v>
      </c>
    </row>
    <row r="1148" spans="1:27" x14ac:dyDescent="0.25">
      <c r="A1148" s="3">
        <f>DATE(Tab_Calculs[[#This Row],[ANNEE]],Tab_Calculs[[#This Row],[MOIS]],1)</f>
        <v>45627</v>
      </c>
      <c r="B1148" s="3">
        <f>EDATE(Tab_Calculs[[#This Row],[Début mois]],1)-1</f>
        <v>45657</v>
      </c>
      <c r="C1148">
        <f t="shared" si="38"/>
        <v>12</v>
      </c>
      <c r="D1148">
        <f>D1136+1</f>
        <v>2024</v>
      </c>
      <c r="E1148" t="s">
        <v>85</v>
      </c>
      <c r="F1148" t="str">
        <f>SUBSTITUTE(Tab_Calculs[[#This Row],[Compteur]]," ","_")</f>
        <v>Compteur_6</v>
      </c>
      <c r="G1148" t="str">
        <f>T(INDEX(Site!$B$33:$G$40, MATCH(Tab_Calculs[[#This Row],[Compteur]], Site!$B$33:$B$40,0),2))</f>
        <v/>
      </c>
      <c r="H1148" s="3">
        <f t="array" aca="1" ref="H1148" ca="1">MIN(IF(INDIRECT(CONCATENATE(Tab_Calculs[[#This Row],[Colonne1]],"!$B$2:$B$243"))&gt;=Calculs_Consos!$A1148,INDIRECT(CONCATENATE(Tab_Calculs[[#This Row],[Colonne1]],"!$B$2:$B$243"))))</f>
        <v>0</v>
      </c>
      <c r="I1148" s="3">
        <f ca="1">INDEX(INDIRECT(CONCATENATE("Tab_",Tab_Calculs[[#This Row],[Colonne1]])),Tab_Calculs[[#This Row],[index_date_livraison]],1)</f>
        <v>0</v>
      </c>
      <c r="J1148">
        <f ca="1">MATCH(Tab_Calculs[[#This Row],[Date_livraison]],INDIRECT(CONCATENATE("Tab_",Tab_Calculs[[#This Row],[Colonne1]],"[Fin de période]")),0)</f>
        <v>1</v>
      </c>
      <c r="K1148" t="e">
        <f ca="1">INDEX(INDIRECT(CONCATENATE("Tab_",Tab_Calculs[[#This Row],[Colonne1]])),Tab_Calculs[[#This Row],[index_date_livraison]]-1,6)*(MAX(Tab_Calculs[[#This Row],[Début periode livraison]],Tab_Calculs[[#This Row],[Début mois]])-Tab_Calculs[[#This Row],[Début mois]])</f>
        <v>#VALUE!</v>
      </c>
      <c r="L1148" s="94">
        <f ca="1">INDEX(INDIRECT(CONCATENATE("Tab_",Tab_Calculs[[#This Row],[Colonne1]])),Tab_Calculs[[#This Row],[index_date_livraison]],6)*(1+MIN(Tab_Calculs[[#This Row],[Date_livraison]],Tab_Calculs[[#This Row],[fin mois]])-MAX(Tab_Calculs[[#This Row],[Début mois]],Tab_Calculs[[#This Row],[Début periode livraison]]))</f>
        <v>0</v>
      </c>
      <c r="M1148" s="94" t="e">
        <f ca="1">INDEX(INDIRECT(CONCATENATE("Tab_",Tab_Calculs[[#This Row],[Colonne1]])),Tab_Calculs[[#This Row],[index_date_livraison]]+1,6)*(Tab_Calculs[[#This Row],[fin mois]]-MIN(Tab_Calculs[[#This Row],[fin mois]],Tab_Calculs[[#This Row],[Date_livraison]]))</f>
        <v>#VALUE!</v>
      </c>
      <c r="N1148" s="231" t="str">
        <f ca="1">IFERROR(Tab_Calculs[[#This Row],[Ratio_jour_après_livr]]+Tab_Calculs[[#This Row],[Ratio_jour_avant_livr]]+Tab_Calculs[[#This Row],[ratio_avant_debut]],"")</f>
        <v/>
      </c>
      <c r="O1148" t="e">
        <f ca="1">INDEX(INDIRECT(CONCATENATE("Tab_",Tab_Calculs[[#This Row],[Colonne1]])),Tab_Calculs[[#This Row],[index_date_livraison]]-1,7)*(MAX(Tab_Calculs[[#This Row],[Début periode livraison]],Tab_Calculs[[#This Row],[Début mois]])-Tab_Calculs[[#This Row],[Début mois]])</f>
        <v>#VALUE!</v>
      </c>
      <c r="P1148">
        <f ca="1">INDEX(INDIRECT(CONCATENATE("Tab_",Tab_Calculs[[#This Row],[Colonne1]])),Tab_Calculs[[#This Row],[index_date_livraison]],7)*(1+MIN(Tab_Calculs[[#This Row],[Date_livraison]],Tab_Calculs[[#This Row],[fin mois]])-MAX(Tab_Calculs[[#This Row],[Début mois]],Tab_Calculs[[#This Row],[Début periode livraison]]))</f>
        <v>0</v>
      </c>
      <c r="Q1148" t="e">
        <f ca="1">INDEX(INDIRECT(CONCATENATE("Tab_",Tab_Calculs[[#This Row],[Colonne1]])),Tab_Calculs[[#This Row],[index_date_livraison]]+1,7)*(Tab_Calculs[[#This Row],[fin mois]]-MIN(Tab_Calculs[[#This Row],[fin mois]],Tab_Calculs[[#This Row],[Date_livraison]]))</f>
        <v>#VALUE!</v>
      </c>
      <c r="R1148" t="e">
        <f ca="1">Tab_Calculs[[#This Row],[Ratio_Cout_après_livr]]+Tab_Calculs[[#This Row],[Ratio_Cout_avant_livr]]+Tab_Calculs[[#This Row],[Ratio_Cout_avant_debut]]</f>
        <v>#VALUE!</v>
      </c>
      <c r="S1148" t="str">
        <f ca="1">IFERROR(N1148*VLOOKUP(Tab_Calculs[[#This Row],[Colonne1]],Controle_des_données!$B$7:$G$14,6,FALSE),"")</f>
        <v/>
      </c>
      <c r="T1148" t="str">
        <f ca="1">IF(Tab_Calculs[[#This Row],[Combustible ]]="Electricité (kWh)",Tab_Calculs[[#This Row],[Conso_mois_kWh]]*2.3,Tab_Calculs[[#This Row],[Conso_mois_kWh]])</f>
        <v/>
      </c>
      <c r="U1148" t="str">
        <f ca="1">IFERROR(N1148*VLOOKUP(Tab_Calculs[[#This Row],[Colonne1]],Controle_des_données!$B$7:$H$14,7,FALSE),"")</f>
        <v/>
      </c>
      <c r="V1148">
        <f ca="1">IFERROR(Tab_Calculs[[#This Row],[Cout_mois]]/Tab_Calculs[[#This Row],[Conso_mois_kWh]],0)</f>
        <v>0</v>
      </c>
      <c r="W1148" t="str">
        <f>T(VLOOKUP(Tab_Calculs[[#This Row],[Compteur]],Site!$B$33:$G$40,3,FALSE))</f>
        <v/>
      </c>
      <c r="X1148" t="str">
        <f>T(VLOOKUP(Tab_Calculs[[#This Row],[Compteur]],Site!$B$33:$G$40,4,FALSE))</f>
        <v/>
      </c>
      <c r="Y1148" t="str">
        <f>T(VLOOKUP(Tab_Calculs[[#This Row],[Compteur]],Site!$B$33:$G$40,5,FALSE))</f>
        <v/>
      </c>
      <c r="Z1148" t="str">
        <f>T(VLOOKUP(Tab_Calculs[[#This Row],[Compteur]],Site!$B$33:$G$40,6,FALSE))</f>
        <v/>
      </c>
      <c r="AA1148">
        <f>IFERROR(GETPIVOTDATA("DJU(chauffagiste)",BDD_DJU!$P$13,"annee",Tab_Calculs[[#This Row],[ANNEE]],"mois_numero",Tab_Calculs[[#This Row],[MOIS]]),0)</f>
        <v>0</v>
      </c>
    </row>
    <row r="1149" spans="1:27" x14ac:dyDescent="0.25">
      <c r="A1149" s="3">
        <f>DATE(Tab_Calculs[[#This Row],[ANNEE]],Tab_Calculs[[#This Row],[MOIS]],1)</f>
        <v>45658</v>
      </c>
      <c r="B1149" s="3">
        <f>EDATE(Tab_Calculs[[#This Row],[Début mois]],1)-1</f>
        <v>45688</v>
      </c>
      <c r="C1149">
        <f t="shared" si="38"/>
        <v>1</v>
      </c>
      <c r="D1149">
        <f t="shared" ref="D1149:D1160" si="41">D1137+1</f>
        <v>2025</v>
      </c>
      <c r="E1149" t="s">
        <v>85</v>
      </c>
      <c r="F1149" t="str">
        <f>SUBSTITUTE(Tab_Calculs[[#This Row],[Compteur]]," ","_")</f>
        <v>Compteur_6</v>
      </c>
      <c r="G1149" t="str">
        <f>T(INDEX(Site!$B$33:$G$40, MATCH(Tab_Calculs[[#This Row],[Compteur]], Site!$B$33:$B$40,0),2))</f>
        <v/>
      </c>
      <c r="H1149" s="3">
        <f t="array" aca="1" ref="H1149" ca="1">MIN(IF(INDIRECT(CONCATENATE(Tab_Calculs[[#This Row],[Colonne1]],"!$B$2:$B$243"))&gt;=Calculs_Consos!$A1149,INDIRECT(CONCATENATE(Tab_Calculs[[#This Row],[Colonne1]],"!$B$2:$B$243"))))</f>
        <v>0</v>
      </c>
      <c r="I1149" s="3">
        <f ca="1">INDEX(INDIRECT(CONCATENATE("Tab_",Tab_Calculs[[#This Row],[Colonne1]])),Tab_Calculs[[#This Row],[index_date_livraison]],1)</f>
        <v>0</v>
      </c>
      <c r="J1149">
        <f ca="1">MATCH(Tab_Calculs[[#This Row],[Date_livraison]],INDIRECT(CONCATENATE("Tab_",Tab_Calculs[[#This Row],[Colonne1]],"[Fin de période]")),0)</f>
        <v>1</v>
      </c>
      <c r="K1149" t="e">
        <f ca="1">INDEX(INDIRECT(CONCATENATE("Tab_",Tab_Calculs[[#This Row],[Colonne1]])),Tab_Calculs[[#This Row],[index_date_livraison]]-1,6)*(MAX(Tab_Calculs[[#This Row],[Début periode livraison]],Tab_Calculs[[#This Row],[Début mois]])-Tab_Calculs[[#This Row],[Début mois]])</f>
        <v>#VALUE!</v>
      </c>
      <c r="L1149" s="94">
        <f ca="1">INDEX(INDIRECT(CONCATENATE("Tab_",Tab_Calculs[[#This Row],[Colonne1]])),Tab_Calculs[[#This Row],[index_date_livraison]],6)*(1+MIN(Tab_Calculs[[#This Row],[Date_livraison]],Tab_Calculs[[#This Row],[fin mois]])-MAX(Tab_Calculs[[#This Row],[Début mois]],Tab_Calculs[[#This Row],[Début periode livraison]]))</f>
        <v>0</v>
      </c>
      <c r="M1149" s="94" t="e">
        <f ca="1">INDEX(INDIRECT(CONCATENATE("Tab_",Tab_Calculs[[#This Row],[Colonne1]])),Tab_Calculs[[#This Row],[index_date_livraison]]+1,6)*(Tab_Calculs[[#This Row],[fin mois]]-MIN(Tab_Calculs[[#This Row],[fin mois]],Tab_Calculs[[#This Row],[Date_livraison]]))</f>
        <v>#VALUE!</v>
      </c>
      <c r="N1149" s="231" t="str">
        <f ca="1">IFERROR(Tab_Calculs[[#This Row],[Ratio_jour_après_livr]]+Tab_Calculs[[#This Row],[Ratio_jour_avant_livr]]+Tab_Calculs[[#This Row],[ratio_avant_debut]],"")</f>
        <v/>
      </c>
      <c r="O1149" t="e">
        <f ca="1">INDEX(INDIRECT(CONCATENATE("Tab_",Tab_Calculs[[#This Row],[Colonne1]])),Tab_Calculs[[#This Row],[index_date_livraison]]-1,7)*(MAX(Tab_Calculs[[#This Row],[Début periode livraison]],Tab_Calculs[[#This Row],[Début mois]])-Tab_Calculs[[#This Row],[Début mois]])</f>
        <v>#VALUE!</v>
      </c>
      <c r="P1149">
        <f ca="1">INDEX(INDIRECT(CONCATENATE("Tab_",Tab_Calculs[[#This Row],[Colonne1]])),Tab_Calculs[[#This Row],[index_date_livraison]],7)*(1+MIN(Tab_Calculs[[#This Row],[Date_livraison]],Tab_Calculs[[#This Row],[fin mois]])-MAX(Tab_Calculs[[#This Row],[Début mois]],Tab_Calculs[[#This Row],[Début periode livraison]]))</f>
        <v>0</v>
      </c>
      <c r="Q1149" t="e">
        <f ca="1">INDEX(INDIRECT(CONCATENATE("Tab_",Tab_Calculs[[#This Row],[Colonne1]])),Tab_Calculs[[#This Row],[index_date_livraison]]+1,7)*(Tab_Calculs[[#This Row],[fin mois]]-MIN(Tab_Calculs[[#This Row],[fin mois]],Tab_Calculs[[#This Row],[Date_livraison]]))</f>
        <v>#VALUE!</v>
      </c>
      <c r="R1149" t="e">
        <f ca="1">Tab_Calculs[[#This Row],[Ratio_Cout_après_livr]]+Tab_Calculs[[#This Row],[Ratio_Cout_avant_livr]]+Tab_Calculs[[#This Row],[Ratio_Cout_avant_debut]]</f>
        <v>#VALUE!</v>
      </c>
      <c r="S1149" t="str">
        <f ca="1">IFERROR(N1149*VLOOKUP(Tab_Calculs[[#This Row],[Colonne1]],Controle_des_données!$B$7:$G$14,6,FALSE),"")</f>
        <v/>
      </c>
      <c r="T1149" t="str">
        <f ca="1">IF(Tab_Calculs[[#This Row],[Combustible ]]="Electricité (kWh)",Tab_Calculs[[#This Row],[Conso_mois_kWh]]*2.3,Tab_Calculs[[#This Row],[Conso_mois_kWh]])</f>
        <v/>
      </c>
      <c r="U1149" t="str">
        <f ca="1">IFERROR(N1149*VLOOKUP(Tab_Calculs[[#This Row],[Colonne1]],Controle_des_données!$B$7:$H$14,7,FALSE),"")</f>
        <v/>
      </c>
      <c r="V1149">
        <f ca="1">IFERROR(Tab_Calculs[[#This Row],[Cout_mois]]/Tab_Calculs[[#This Row],[Conso_mois_kWh]],0)</f>
        <v>0</v>
      </c>
      <c r="W1149" t="str">
        <f>T(VLOOKUP(Tab_Calculs[[#This Row],[Compteur]],Site!$B$33:$G$40,3,FALSE))</f>
        <v/>
      </c>
      <c r="X1149" t="str">
        <f>T(VLOOKUP(Tab_Calculs[[#This Row],[Compteur]],Site!$B$33:$G$40,4,FALSE))</f>
        <v/>
      </c>
      <c r="Y1149" t="str">
        <f>T(VLOOKUP(Tab_Calculs[[#This Row],[Compteur]],Site!$B$33:$G$40,5,FALSE))</f>
        <v/>
      </c>
      <c r="Z1149" t="str">
        <f>T(VLOOKUP(Tab_Calculs[[#This Row],[Compteur]],Site!$B$33:$G$40,6,FALSE))</f>
        <v/>
      </c>
      <c r="AA1149">
        <f>IFERROR(GETPIVOTDATA("DJU(chauffagiste)",BDD_DJU!$P$13,"annee",Tab_Calculs[[#This Row],[ANNEE]],"mois_numero",Tab_Calculs[[#This Row],[MOIS]]),0)</f>
        <v>0</v>
      </c>
    </row>
    <row r="1150" spans="1:27" x14ac:dyDescent="0.25">
      <c r="A1150" s="3">
        <f>DATE(Tab_Calculs[[#This Row],[ANNEE]],Tab_Calculs[[#This Row],[MOIS]],1)</f>
        <v>45689</v>
      </c>
      <c r="B1150" s="3">
        <f>EDATE(Tab_Calculs[[#This Row],[Début mois]],1)-1</f>
        <v>45716</v>
      </c>
      <c r="C1150">
        <f t="shared" si="38"/>
        <v>2</v>
      </c>
      <c r="D1150">
        <f t="shared" si="41"/>
        <v>2025</v>
      </c>
      <c r="E1150" t="s">
        <v>85</v>
      </c>
      <c r="F1150" t="str">
        <f>SUBSTITUTE(Tab_Calculs[[#This Row],[Compteur]]," ","_")</f>
        <v>Compteur_6</v>
      </c>
      <c r="G1150" t="str">
        <f>T(INDEX(Site!$B$33:$G$40, MATCH(Tab_Calculs[[#This Row],[Compteur]], Site!$B$33:$B$40,0),2))</f>
        <v/>
      </c>
      <c r="H1150" s="3">
        <f t="array" aca="1" ref="H1150" ca="1">MIN(IF(INDIRECT(CONCATENATE(Tab_Calculs[[#This Row],[Colonne1]],"!$B$2:$B$243"))&gt;=Calculs_Consos!$A1150,INDIRECT(CONCATENATE(Tab_Calculs[[#This Row],[Colonne1]],"!$B$2:$B$243"))))</f>
        <v>0</v>
      </c>
      <c r="I1150" s="3">
        <f ca="1">INDEX(INDIRECT(CONCATENATE("Tab_",Tab_Calculs[[#This Row],[Colonne1]])),Tab_Calculs[[#This Row],[index_date_livraison]],1)</f>
        <v>0</v>
      </c>
      <c r="J1150">
        <f ca="1">MATCH(Tab_Calculs[[#This Row],[Date_livraison]],INDIRECT(CONCATENATE("Tab_",Tab_Calculs[[#This Row],[Colonne1]],"[Fin de période]")),0)</f>
        <v>1</v>
      </c>
      <c r="K1150" t="e">
        <f ca="1">INDEX(INDIRECT(CONCATENATE("Tab_",Tab_Calculs[[#This Row],[Colonne1]])),Tab_Calculs[[#This Row],[index_date_livraison]]-1,6)*(MAX(Tab_Calculs[[#This Row],[Début periode livraison]],Tab_Calculs[[#This Row],[Début mois]])-Tab_Calculs[[#This Row],[Début mois]])</f>
        <v>#VALUE!</v>
      </c>
      <c r="L1150" s="94">
        <f ca="1">INDEX(INDIRECT(CONCATENATE("Tab_",Tab_Calculs[[#This Row],[Colonne1]])),Tab_Calculs[[#This Row],[index_date_livraison]],6)*(1+MIN(Tab_Calculs[[#This Row],[Date_livraison]],Tab_Calculs[[#This Row],[fin mois]])-MAX(Tab_Calculs[[#This Row],[Début mois]],Tab_Calculs[[#This Row],[Début periode livraison]]))</f>
        <v>0</v>
      </c>
      <c r="M1150" s="94" t="e">
        <f ca="1">INDEX(INDIRECT(CONCATENATE("Tab_",Tab_Calculs[[#This Row],[Colonne1]])),Tab_Calculs[[#This Row],[index_date_livraison]]+1,6)*(Tab_Calculs[[#This Row],[fin mois]]-MIN(Tab_Calculs[[#This Row],[fin mois]],Tab_Calculs[[#This Row],[Date_livraison]]))</f>
        <v>#VALUE!</v>
      </c>
      <c r="N1150" s="231" t="str">
        <f ca="1">IFERROR(Tab_Calculs[[#This Row],[Ratio_jour_après_livr]]+Tab_Calculs[[#This Row],[Ratio_jour_avant_livr]]+Tab_Calculs[[#This Row],[ratio_avant_debut]],"")</f>
        <v/>
      </c>
      <c r="O1150" t="e">
        <f ca="1">INDEX(INDIRECT(CONCATENATE("Tab_",Tab_Calculs[[#This Row],[Colonne1]])),Tab_Calculs[[#This Row],[index_date_livraison]]-1,7)*(MAX(Tab_Calculs[[#This Row],[Début periode livraison]],Tab_Calculs[[#This Row],[Début mois]])-Tab_Calculs[[#This Row],[Début mois]])</f>
        <v>#VALUE!</v>
      </c>
      <c r="P1150">
        <f ca="1">INDEX(INDIRECT(CONCATENATE("Tab_",Tab_Calculs[[#This Row],[Colonne1]])),Tab_Calculs[[#This Row],[index_date_livraison]],7)*(1+MIN(Tab_Calculs[[#This Row],[Date_livraison]],Tab_Calculs[[#This Row],[fin mois]])-MAX(Tab_Calculs[[#This Row],[Début mois]],Tab_Calculs[[#This Row],[Début periode livraison]]))</f>
        <v>0</v>
      </c>
      <c r="Q1150" t="e">
        <f ca="1">INDEX(INDIRECT(CONCATENATE("Tab_",Tab_Calculs[[#This Row],[Colonne1]])),Tab_Calculs[[#This Row],[index_date_livraison]]+1,7)*(Tab_Calculs[[#This Row],[fin mois]]-MIN(Tab_Calculs[[#This Row],[fin mois]],Tab_Calculs[[#This Row],[Date_livraison]]))</f>
        <v>#VALUE!</v>
      </c>
      <c r="R1150" t="e">
        <f ca="1">Tab_Calculs[[#This Row],[Ratio_Cout_après_livr]]+Tab_Calculs[[#This Row],[Ratio_Cout_avant_livr]]+Tab_Calculs[[#This Row],[Ratio_Cout_avant_debut]]</f>
        <v>#VALUE!</v>
      </c>
      <c r="S1150" t="str">
        <f ca="1">IFERROR(N1150*VLOOKUP(Tab_Calculs[[#This Row],[Colonne1]],Controle_des_données!$B$7:$G$14,6,FALSE),"")</f>
        <v/>
      </c>
      <c r="T1150" t="str">
        <f ca="1">IF(Tab_Calculs[[#This Row],[Combustible ]]="Electricité (kWh)",Tab_Calculs[[#This Row],[Conso_mois_kWh]]*2.3,Tab_Calculs[[#This Row],[Conso_mois_kWh]])</f>
        <v/>
      </c>
      <c r="U1150" t="str">
        <f ca="1">IFERROR(N1150*VLOOKUP(Tab_Calculs[[#This Row],[Colonne1]],Controle_des_données!$B$7:$H$14,7,FALSE),"")</f>
        <v/>
      </c>
      <c r="V1150">
        <f ca="1">IFERROR(Tab_Calculs[[#This Row],[Cout_mois]]/Tab_Calculs[[#This Row],[Conso_mois_kWh]],0)</f>
        <v>0</v>
      </c>
      <c r="W1150" t="str">
        <f>T(VLOOKUP(Tab_Calculs[[#This Row],[Compteur]],Site!$B$33:$G$40,3,FALSE))</f>
        <v/>
      </c>
      <c r="X1150" t="str">
        <f>T(VLOOKUP(Tab_Calculs[[#This Row],[Compteur]],Site!$B$33:$G$40,4,FALSE))</f>
        <v/>
      </c>
      <c r="Y1150" t="str">
        <f>T(VLOOKUP(Tab_Calculs[[#This Row],[Compteur]],Site!$B$33:$G$40,5,FALSE))</f>
        <v/>
      </c>
      <c r="Z1150" t="str">
        <f>T(VLOOKUP(Tab_Calculs[[#This Row],[Compteur]],Site!$B$33:$G$40,6,FALSE))</f>
        <v/>
      </c>
      <c r="AA1150">
        <f>IFERROR(GETPIVOTDATA("DJU(chauffagiste)",BDD_DJU!$P$13,"annee",Tab_Calculs[[#This Row],[ANNEE]],"mois_numero",Tab_Calculs[[#This Row],[MOIS]]),0)</f>
        <v>0</v>
      </c>
    </row>
    <row r="1151" spans="1:27" x14ac:dyDescent="0.25">
      <c r="A1151" s="3">
        <f>DATE(Tab_Calculs[[#This Row],[ANNEE]],Tab_Calculs[[#This Row],[MOIS]],1)</f>
        <v>45717</v>
      </c>
      <c r="B1151" s="3">
        <f>EDATE(Tab_Calculs[[#This Row],[Début mois]],1)-1</f>
        <v>45747</v>
      </c>
      <c r="C1151">
        <f t="shared" si="38"/>
        <v>3</v>
      </c>
      <c r="D1151">
        <f t="shared" si="41"/>
        <v>2025</v>
      </c>
      <c r="E1151" t="s">
        <v>85</v>
      </c>
      <c r="F1151" t="str">
        <f>SUBSTITUTE(Tab_Calculs[[#This Row],[Compteur]]," ","_")</f>
        <v>Compteur_6</v>
      </c>
      <c r="G1151" t="str">
        <f>T(INDEX(Site!$B$33:$G$40, MATCH(Tab_Calculs[[#This Row],[Compteur]], Site!$B$33:$B$40,0),2))</f>
        <v/>
      </c>
      <c r="H1151" s="3">
        <f t="array" aca="1" ref="H1151" ca="1">MIN(IF(INDIRECT(CONCATENATE(Tab_Calculs[[#This Row],[Colonne1]],"!$B$2:$B$243"))&gt;=Calculs_Consos!$A1151,INDIRECT(CONCATENATE(Tab_Calculs[[#This Row],[Colonne1]],"!$B$2:$B$243"))))</f>
        <v>0</v>
      </c>
      <c r="I1151" s="3">
        <f ca="1">INDEX(INDIRECT(CONCATENATE("Tab_",Tab_Calculs[[#This Row],[Colonne1]])),Tab_Calculs[[#This Row],[index_date_livraison]],1)</f>
        <v>0</v>
      </c>
      <c r="J1151">
        <f ca="1">MATCH(Tab_Calculs[[#This Row],[Date_livraison]],INDIRECT(CONCATENATE("Tab_",Tab_Calculs[[#This Row],[Colonne1]],"[Fin de période]")),0)</f>
        <v>1</v>
      </c>
      <c r="K1151" t="e">
        <f ca="1">INDEX(INDIRECT(CONCATENATE("Tab_",Tab_Calculs[[#This Row],[Colonne1]])),Tab_Calculs[[#This Row],[index_date_livraison]]-1,6)*(MAX(Tab_Calculs[[#This Row],[Début periode livraison]],Tab_Calculs[[#This Row],[Début mois]])-Tab_Calculs[[#This Row],[Début mois]])</f>
        <v>#VALUE!</v>
      </c>
      <c r="L1151" s="94">
        <f ca="1">INDEX(INDIRECT(CONCATENATE("Tab_",Tab_Calculs[[#This Row],[Colonne1]])),Tab_Calculs[[#This Row],[index_date_livraison]],6)*(1+MIN(Tab_Calculs[[#This Row],[Date_livraison]],Tab_Calculs[[#This Row],[fin mois]])-MAX(Tab_Calculs[[#This Row],[Début mois]],Tab_Calculs[[#This Row],[Début periode livraison]]))</f>
        <v>0</v>
      </c>
      <c r="M1151" s="94" t="e">
        <f ca="1">INDEX(INDIRECT(CONCATENATE("Tab_",Tab_Calculs[[#This Row],[Colonne1]])),Tab_Calculs[[#This Row],[index_date_livraison]]+1,6)*(Tab_Calculs[[#This Row],[fin mois]]-MIN(Tab_Calculs[[#This Row],[fin mois]],Tab_Calculs[[#This Row],[Date_livraison]]))</f>
        <v>#VALUE!</v>
      </c>
      <c r="N1151" s="231" t="str">
        <f ca="1">IFERROR(Tab_Calculs[[#This Row],[Ratio_jour_après_livr]]+Tab_Calculs[[#This Row],[Ratio_jour_avant_livr]]+Tab_Calculs[[#This Row],[ratio_avant_debut]],"")</f>
        <v/>
      </c>
      <c r="O1151" t="e">
        <f ca="1">INDEX(INDIRECT(CONCATENATE("Tab_",Tab_Calculs[[#This Row],[Colonne1]])),Tab_Calculs[[#This Row],[index_date_livraison]]-1,7)*(MAX(Tab_Calculs[[#This Row],[Début periode livraison]],Tab_Calculs[[#This Row],[Début mois]])-Tab_Calculs[[#This Row],[Début mois]])</f>
        <v>#VALUE!</v>
      </c>
      <c r="P1151">
        <f ca="1">INDEX(INDIRECT(CONCATENATE("Tab_",Tab_Calculs[[#This Row],[Colonne1]])),Tab_Calculs[[#This Row],[index_date_livraison]],7)*(1+MIN(Tab_Calculs[[#This Row],[Date_livraison]],Tab_Calculs[[#This Row],[fin mois]])-MAX(Tab_Calculs[[#This Row],[Début mois]],Tab_Calculs[[#This Row],[Début periode livraison]]))</f>
        <v>0</v>
      </c>
      <c r="Q1151" t="e">
        <f ca="1">INDEX(INDIRECT(CONCATENATE("Tab_",Tab_Calculs[[#This Row],[Colonne1]])),Tab_Calculs[[#This Row],[index_date_livraison]]+1,7)*(Tab_Calculs[[#This Row],[fin mois]]-MIN(Tab_Calculs[[#This Row],[fin mois]],Tab_Calculs[[#This Row],[Date_livraison]]))</f>
        <v>#VALUE!</v>
      </c>
      <c r="R1151" t="e">
        <f ca="1">Tab_Calculs[[#This Row],[Ratio_Cout_après_livr]]+Tab_Calculs[[#This Row],[Ratio_Cout_avant_livr]]+Tab_Calculs[[#This Row],[Ratio_Cout_avant_debut]]</f>
        <v>#VALUE!</v>
      </c>
      <c r="S1151" t="str">
        <f ca="1">IFERROR(N1151*VLOOKUP(Tab_Calculs[[#This Row],[Colonne1]],Controle_des_données!$B$7:$G$14,6,FALSE),"")</f>
        <v/>
      </c>
      <c r="T1151" t="str">
        <f ca="1">IF(Tab_Calculs[[#This Row],[Combustible ]]="Electricité (kWh)",Tab_Calculs[[#This Row],[Conso_mois_kWh]]*2.3,Tab_Calculs[[#This Row],[Conso_mois_kWh]])</f>
        <v/>
      </c>
      <c r="U1151" t="str">
        <f ca="1">IFERROR(N1151*VLOOKUP(Tab_Calculs[[#This Row],[Colonne1]],Controle_des_données!$B$7:$H$14,7,FALSE),"")</f>
        <v/>
      </c>
      <c r="V1151">
        <f ca="1">IFERROR(Tab_Calculs[[#This Row],[Cout_mois]]/Tab_Calculs[[#This Row],[Conso_mois_kWh]],0)</f>
        <v>0</v>
      </c>
      <c r="W1151" t="str">
        <f>T(VLOOKUP(Tab_Calculs[[#This Row],[Compteur]],Site!$B$33:$G$40,3,FALSE))</f>
        <v/>
      </c>
      <c r="X1151" t="str">
        <f>T(VLOOKUP(Tab_Calculs[[#This Row],[Compteur]],Site!$B$33:$G$40,4,FALSE))</f>
        <v/>
      </c>
      <c r="Y1151" t="str">
        <f>T(VLOOKUP(Tab_Calculs[[#This Row],[Compteur]],Site!$B$33:$G$40,5,FALSE))</f>
        <v/>
      </c>
      <c r="Z1151" t="str">
        <f>T(VLOOKUP(Tab_Calculs[[#This Row],[Compteur]],Site!$B$33:$G$40,6,FALSE))</f>
        <v/>
      </c>
      <c r="AA1151">
        <f>IFERROR(GETPIVOTDATA("DJU(chauffagiste)",BDD_DJU!$P$13,"annee",Tab_Calculs[[#This Row],[ANNEE]],"mois_numero",Tab_Calculs[[#This Row],[MOIS]]),0)</f>
        <v>0</v>
      </c>
    </row>
    <row r="1152" spans="1:27" x14ac:dyDescent="0.25">
      <c r="A1152" s="3">
        <f>DATE(Tab_Calculs[[#This Row],[ANNEE]],Tab_Calculs[[#This Row],[MOIS]],1)</f>
        <v>45748</v>
      </c>
      <c r="B1152" s="3">
        <f>EDATE(Tab_Calculs[[#This Row],[Début mois]],1)-1</f>
        <v>45777</v>
      </c>
      <c r="C1152">
        <f t="shared" si="38"/>
        <v>4</v>
      </c>
      <c r="D1152">
        <f t="shared" si="41"/>
        <v>2025</v>
      </c>
      <c r="E1152" t="s">
        <v>85</v>
      </c>
      <c r="F1152" t="str">
        <f>SUBSTITUTE(Tab_Calculs[[#This Row],[Compteur]]," ","_")</f>
        <v>Compteur_6</v>
      </c>
      <c r="G1152" t="str">
        <f>T(INDEX(Site!$B$33:$G$40, MATCH(Tab_Calculs[[#This Row],[Compteur]], Site!$B$33:$B$40,0),2))</f>
        <v/>
      </c>
      <c r="H1152" s="3">
        <f t="array" aca="1" ref="H1152" ca="1">MIN(IF(INDIRECT(CONCATENATE(Tab_Calculs[[#This Row],[Colonne1]],"!$B$2:$B$243"))&gt;=Calculs_Consos!$A1152,INDIRECT(CONCATENATE(Tab_Calculs[[#This Row],[Colonne1]],"!$B$2:$B$243"))))</f>
        <v>0</v>
      </c>
      <c r="I1152" s="3">
        <f ca="1">INDEX(INDIRECT(CONCATENATE("Tab_",Tab_Calculs[[#This Row],[Colonne1]])),Tab_Calculs[[#This Row],[index_date_livraison]],1)</f>
        <v>0</v>
      </c>
      <c r="J1152">
        <f ca="1">MATCH(Tab_Calculs[[#This Row],[Date_livraison]],INDIRECT(CONCATENATE("Tab_",Tab_Calculs[[#This Row],[Colonne1]],"[Fin de période]")),0)</f>
        <v>1</v>
      </c>
      <c r="K1152" t="e">
        <f ca="1">INDEX(INDIRECT(CONCATENATE("Tab_",Tab_Calculs[[#This Row],[Colonne1]])),Tab_Calculs[[#This Row],[index_date_livraison]]-1,6)*(MAX(Tab_Calculs[[#This Row],[Début periode livraison]],Tab_Calculs[[#This Row],[Début mois]])-Tab_Calculs[[#This Row],[Début mois]])</f>
        <v>#VALUE!</v>
      </c>
      <c r="L1152" s="94">
        <f ca="1">INDEX(INDIRECT(CONCATENATE("Tab_",Tab_Calculs[[#This Row],[Colonne1]])),Tab_Calculs[[#This Row],[index_date_livraison]],6)*(1+MIN(Tab_Calculs[[#This Row],[Date_livraison]],Tab_Calculs[[#This Row],[fin mois]])-MAX(Tab_Calculs[[#This Row],[Début mois]],Tab_Calculs[[#This Row],[Début periode livraison]]))</f>
        <v>0</v>
      </c>
      <c r="M1152" s="94" t="e">
        <f ca="1">INDEX(INDIRECT(CONCATENATE("Tab_",Tab_Calculs[[#This Row],[Colonne1]])),Tab_Calculs[[#This Row],[index_date_livraison]]+1,6)*(Tab_Calculs[[#This Row],[fin mois]]-MIN(Tab_Calculs[[#This Row],[fin mois]],Tab_Calculs[[#This Row],[Date_livraison]]))</f>
        <v>#VALUE!</v>
      </c>
      <c r="N1152" s="231" t="str">
        <f ca="1">IFERROR(Tab_Calculs[[#This Row],[Ratio_jour_après_livr]]+Tab_Calculs[[#This Row],[Ratio_jour_avant_livr]]+Tab_Calculs[[#This Row],[ratio_avant_debut]],"")</f>
        <v/>
      </c>
      <c r="O1152" t="e">
        <f ca="1">INDEX(INDIRECT(CONCATENATE("Tab_",Tab_Calculs[[#This Row],[Colonne1]])),Tab_Calculs[[#This Row],[index_date_livraison]]-1,7)*(MAX(Tab_Calculs[[#This Row],[Début periode livraison]],Tab_Calculs[[#This Row],[Début mois]])-Tab_Calculs[[#This Row],[Début mois]])</f>
        <v>#VALUE!</v>
      </c>
      <c r="P1152">
        <f ca="1">INDEX(INDIRECT(CONCATENATE("Tab_",Tab_Calculs[[#This Row],[Colonne1]])),Tab_Calculs[[#This Row],[index_date_livraison]],7)*(1+MIN(Tab_Calculs[[#This Row],[Date_livraison]],Tab_Calculs[[#This Row],[fin mois]])-MAX(Tab_Calculs[[#This Row],[Début mois]],Tab_Calculs[[#This Row],[Début periode livraison]]))</f>
        <v>0</v>
      </c>
      <c r="Q1152" t="e">
        <f ca="1">INDEX(INDIRECT(CONCATENATE("Tab_",Tab_Calculs[[#This Row],[Colonne1]])),Tab_Calculs[[#This Row],[index_date_livraison]]+1,7)*(Tab_Calculs[[#This Row],[fin mois]]-MIN(Tab_Calculs[[#This Row],[fin mois]],Tab_Calculs[[#This Row],[Date_livraison]]))</f>
        <v>#VALUE!</v>
      </c>
      <c r="R1152" t="e">
        <f ca="1">Tab_Calculs[[#This Row],[Ratio_Cout_après_livr]]+Tab_Calculs[[#This Row],[Ratio_Cout_avant_livr]]+Tab_Calculs[[#This Row],[Ratio_Cout_avant_debut]]</f>
        <v>#VALUE!</v>
      </c>
      <c r="S1152" t="str">
        <f ca="1">IFERROR(N1152*VLOOKUP(Tab_Calculs[[#This Row],[Colonne1]],Controle_des_données!$B$7:$G$14,6,FALSE),"")</f>
        <v/>
      </c>
      <c r="T1152" t="str">
        <f ca="1">IF(Tab_Calculs[[#This Row],[Combustible ]]="Electricité (kWh)",Tab_Calculs[[#This Row],[Conso_mois_kWh]]*2.3,Tab_Calculs[[#This Row],[Conso_mois_kWh]])</f>
        <v/>
      </c>
      <c r="U1152" t="str">
        <f ca="1">IFERROR(N1152*VLOOKUP(Tab_Calculs[[#This Row],[Colonne1]],Controle_des_données!$B$7:$H$14,7,FALSE),"")</f>
        <v/>
      </c>
      <c r="V1152">
        <f ca="1">IFERROR(Tab_Calculs[[#This Row],[Cout_mois]]/Tab_Calculs[[#This Row],[Conso_mois_kWh]],0)</f>
        <v>0</v>
      </c>
      <c r="W1152" t="str">
        <f>T(VLOOKUP(Tab_Calculs[[#This Row],[Compteur]],Site!$B$33:$G$40,3,FALSE))</f>
        <v/>
      </c>
      <c r="X1152" t="str">
        <f>T(VLOOKUP(Tab_Calculs[[#This Row],[Compteur]],Site!$B$33:$G$40,4,FALSE))</f>
        <v/>
      </c>
      <c r="Y1152" t="str">
        <f>T(VLOOKUP(Tab_Calculs[[#This Row],[Compteur]],Site!$B$33:$G$40,5,FALSE))</f>
        <v/>
      </c>
      <c r="Z1152" t="str">
        <f>T(VLOOKUP(Tab_Calculs[[#This Row],[Compteur]],Site!$B$33:$G$40,6,FALSE))</f>
        <v/>
      </c>
      <c r="AA1152">
        <f>IFERROR(GETPIVOTDATA("DJU(chauffagiste)",BDD_DJU!$P$13,"annee",Tab_Calculs[[#This Row],[ANNEE]],"mois_numero",Tab_Calculs[[#This Row],[MOIS]]),0)</f>
        <v>0</v>
      </c>
    </row>
    <row r="1153" spans="1:27" x14ac:dyDescent="0.25">
      <c r="A1153" s="3">
        <f>DATE(Tab_Calculs[[#This Row],[ANNEE]],Tab_Calculs[[#This Row],[MOIS]],1)</f>
        <v>45778</v>
      </c>
      <c r="B1153" s="3">
        <f>EDATE(Tab_Calculs[[#This Row],[Début mois]],1)-1</f>
        <v>45808</v>
      </c>
      <c r="C1153">
        <f t="shared" si="38"/>
        <v>5</v>
      </c>
      <c r="D1153">
        <f t="shared" si="41"/>
        <v>2025</v>
      </c>
      <c r="E1153" t="s">
        <v>85</v>
      </c>
      <c r="F1153" t="str">
        <f>SUBSTITUTE(Tab_Calculs[[#This Row],[Compteur]]," ","_")</f>
        <v>Compteur_6</v>
      </c>
      <c r="G1153" t="str">
        <f>T(INDEX(Site!$B$33:$G$40, MATCH(Tab_Calculs[[#This Row],[Compteur]], Site!$B$33:$B$40,0),2))</f>
        <v/>
      </c>
      <c r="H1153" s="3">
        <f t="array" aca="1" ref="H1153" ca="1">MIN(IF(INDIRECT(CONCATENATE(Tab_Calculs[[#This Row],[Colonne1]],"!$B$2:$B$243"))&gt;=Calculs_Consos!$A1153,INDIRECT(CONCATENATE(Tab_Calculs[[#This Row],[Colonne1]],"!$B$2:$B$243"))))</f>
        <v>0</v>
      </c>
      <c r="I1153" s="3">
        <f ca="1">INDEX(INDIRECT(CONCATENATE("Tab_",Tab_Calculs[[#This Row],[Colonne1]])),Tab_Calculs[[#This Row],[index_date_livraison]],1)</f>
        <v>0</v>
      </c>
      <c r="J1153">
        <f ca="1">MATCH(Tab_Calculs[[#This Row],[Date_livraison]],INDIRECT(CONCATENATE("Tab_",Tab_Calculs[[#This Row],[Colonne1]],"[Fin de période]")),0)</f>
        <v>1</v>
      </c>
      <c r="K1153" t="e">
        <f ca="1">INDEX(INDIRECT(CONCATENATE("Tab_",Tab_Calculs[[#This Row],[Colonne1]])),Tab_Calculs[[#This Row],[index_date_livraison]]-1,6)*(MAX(Tab_Calculs[[#This Row],[Début periode livraison]],Tab_Calculs[[#This Row],[Début mois]])-Tab_Calculs[[#This Row],[Début mois]])</f>
        <v>#VALUE!</v>
      </c>
      <c r="L1153" s="94">
        <f ca="1">INDEX(INDIRECT(CONCATENATE("Tab_",Tab_Calculs[[#This Row],[Colonne1]])),Tab_Calculs[[#This Row],[index_date_livraison]],6)*(1+MIN(Tab_Calculs[[#This Row],[Date_livraison]],Tab_Calculs[[#This Row],[fin mois]])-MAX(Tab_Calculs[[#This Row],[Début mois]],Tab_Calculs[[#This Row],[Début periode livraison]]))</f>
        <v>0</v>
      </c>
      <c r="M1153" s="94" t="e">
        <f ca="1">INDEX(INDIRECT(CONCATENATE("Tab_",Tab_Calculs[[#This Row],[Colonne1]])),Tab_Calculs[[#This Row],[index_date_livraison]]+1,6)*(Tab_Calculs[[#This Row],[fin mois]]-MIN(Tab_Calculs[[#This Row],[fin mois]],Tab_Calculs[[#This Row],[Date_livraison]]))</f>
        <v>#VALUE!</v>
      </c>
      <c r="N1153" s="231" t="str">
        <f ca="1">IFERROR(Tab_Calculs[[#This Row],[Ratio_jour_après_livr]]+Tab_Calculs[[#This Row],[Ratio_jour_avant_livr]]+Tab_Calculs[[#This Row],[ratio_avant_debut]],"")</f>
        <v/>
      </c>
      <c r="O1153" t="e">
        <f ca="1">INDEX(INDIRECT(CONCATENATE("Tab_",Tab_Calculs[[#This Row],[Colonne1]])),Tab_Calculs[[#This Row],[index_date_livraison]]-1,7)*(MAX(Tab_Calculs[[#This Row],[Début periode livraison]],Tab_Calculs[[#This Row],[Début mois]])-Tab_Calculs[[#This Row],[Début mois]])</f>
        <v>#VALUE!</v>
      </c>
      <c r="P1153">
        <f ca="1">INDEX(INDIRECT(CONCATENATE("Tab_",Tab_Calculs[[#This Row],[Colonne1]])),Tab_Calculs[[#This Row],[index_date_livraison]],7)*(1+MIN(Tab_Calculs[[#This Row],[Date_livraison]],Tab_Calculs[[#This Row],[fin mois]])-MAX(Tab_Calculs[[#This Row],[Début mois]],Tab_Calculs[[#This Row],[Début periode livraison]]))</f>
        <v>0</v>
      </c>
      <c r="Q1153" t="e">
        <f ca="1">INDEX(INDIRECT(CONCATENATE("Tab_",Tab_Calculs[[#This Row],[Colonne1]])),Tab_Calculs[[#This Row],[index_date_livraison]]+1,7)*(Tab_Calculs[[#This Row],[fin mois]]-MIN(Tab_Calculs[[#This Row],[fin mois]],Tab_Calculs[[#This Row],[Date_livraison]]))</f>
        <v>#VALUE!</v>
      </c>
      <c r="R1153" t="e">
        <f ca="1">Tab_Calculs[[#This Row],[Ratio_Cout_après_livr]]+Tab_Calculs[[#This Row],[Ratio_Cout_avant_livr]]+Tab_Calculs[[#This Row],[Ratio_Cout_avant_debut]]</f>
        <v>#VALUE!</v>
      </c>
      <c r="S1153" t="str">
        <f ca="1">IFERROR(N1153*VLOOKUP(Tab_Calculs[[#This Row],[Colonne1]],Controle_des_données!$B$7:$G$14,6,FALSE),"")</f>
        <v/>
      </c>
      <c r="T1153" t="str">
        <f ca="1">IF(Tab_Calculs[[#This Row],[Combustible ]]="Electricité (kWh)",Tab_Calculs[[#This Row],[Conso_mois_kWh]]*2.3,Tab_Calculs[[#This Row],[Conso_mois_kWh]])</f>
        <v/>
      </c>
      <c r="U1153" t="str">
        <f ca="1">IFERROR(N1153*VLOOKUP(Tab_Calculs[[#This Row],[Colonne1]],Controle_des_données!$B$7:$H$14,7,FALSE),"")</f>
        <v/>
      </c>
      <c r="V1153">
        <f ca="1">IFERROR(Tab_Calculs[[#This Row],[Cout_mois]]/Tab_Calculs[[#This Row],[Conso_mois_kWh]],0)</f>
        <v>0</v>
      </c>
      <c r="W1153" t="str">
        <f>T(VLOOKUP(Tab_Calculs[[#This Row],[Compteur]],Site!$B$33:$G$40,3,FALSE))</f>
        <v/>
      </c>
      <c r="X1153" t="str">
        <f>T(VLOOKUP(Tab_Calculs[[#This Row],[Compteur]],Site!$B$33:$G$40,4,FALSE))</f>
        <v/>
      </c>
      <c r="Y1153" t="str">
        <f>T(VLOOKUP(Tab_Calculs[[#This Row],[Compteur]],Site!$B$33:$G$40,5,FALSE))</f>
        <v/>
      </c>
      <c r="Z1153" t="str">
        <f>T(VLOOKUP(Tab_Calculs[[#This Row],[Compteur]],Site!$B$33:$G$40,6,FALSE))</f>
        <v/>
      </c>
      <c r="AA1153">
        <f>IFERROR(GETPIVOTDATA("DJU(chauffagiste)",BDD_DJU!$P$13,"annee",Tab_Calculs[[#This Row],[ANNEE]],"mois_numero",Tab_Calculs[[#This Row],[MOIS]]),0)</f>
        <v>0</v>
      </c>
    </row>
    <row r="1154" spans="1:27" x14ac:dyDescent="0.25">
      <c r="A1154" s="3">
        <f>DATE(Tab_Calculs[[#This Row],[ANNEE]],Tab_Calculs[[#This Row],[MOIS]],1)</f>
        <v>45809</v>
      </c>
      <c r="B1154" s="3">
        <f>EDATE(Tab_Calculs[[#This Row],[Début mois]],1)-1</f>
        <v>45838</v>
      </c>
      <c r="C1154">
        <f t="shared" si="38"/>
        <v>6</v>
      </c>
      <c r="D1154">
        <f t="shared" si="41"/>
        <v>2025</v>
      </c>
      <c r="E1154" t="s">
        <v>85</v>
      </c>
      <c r="F1154" t="str">
        <f>SUBSTITUTE(Tab_Calculs[[#This Row],[Compteur]]," ","_")</f>
        <v>Compteur_6</v>
      </c>
      <c r="G1154" t="str">
        <f>T(INDEX(Site!$B$33:$G$40, MATCH(Tab_Calculs[[#This Row],[Compteur]], Site!$B$33:$B$40,0),2))</f>
        <v/>
      </c>
      <c r="H1154" s="3">
        <f t="array" aca="1" ref="H1154" ca="1">MIN(IF(INDIRECT(CONCATENATE(Tab_Calculs[[#This Row],[Colonne1]],"!$B$2:$B$243"))&gt;=Calculs_Consos!$A1154,INDIRECT(CONCATENATE(Tab_Calculs[[#This Row],[Colonne1]],"!$B$2:$B$243"))))</f>
        <v>0</v>
      </c>
      <c r="I1154" s="3">
        <f ca="1">INDEX(INDIRECT(CONCATENATE("Tab_",Tab_Calculs[[#This Row],[Colonne1]])),Tab_Calculs[[#This Row],[index_date_livraison]],1)</f>
        <v>0</v>
      </c>
      <c r="J1154">
        <f ca="1">MATCH(Tab_Calculs[[#This Row],[Date_livraison]],INDIRECT(CONCATENATE("Tab_",Tab_Calculs[[#This Row],[Colonne1]],"[Fin de période]")),0)</f>
        <v>1</v>
      </c>
      <c r="K1154" t="e">
        <f ca="1">INDEX(INDIRECT(CONCATENATE("Tab_",Tab_Calculs[[#This Row],[Colonne1]])),Tab_Calculs[[#This Row],[index_date_livraison]]-1,6)*(MAX(Tab_Calculs[[#This Row],[Début periode livraison]],Tab_Calculs[[#This Row],[Début mois]])-Tab_Calculs[[#This Row],[Début mois]])</f>
        <v>#VALUE!</v>
      </c>
      <c r="L1154" s="94">
        <f ca="1">INDEX(INDIRECT(CONCATENATE("Tab_",Tab_Calculs[[#This Row],[Colonne1]])),Tab_Calculs[[#This Row],[index_date_livraison]],6)*(1+MIN(Tab_Calculs[[#This Row],[Date_livraison]],Tab_Calculs[[#This Row],[fin mois]])-MAX(Tab_Calculs[[#This Row],[Début mois]],Tab_Calculs[[#This Row],[Début periode livraison]]))</f>
        <v>0</v>
      </c>
      <c r="M1154" s="94" t="e">
        <f ca="1">INDEX(INDIRECT(CONCATENATE("Tab_",Tab_Calculs[[#This Row],[Colonne1]])),Tab_Calculs[[#This Row],[index_date_livraison]]+1,6)*(Tab_Calculs[[#This Row],[fin mois]]-MIN(Tab_Calculs[[#This Row],[fin mois]],Tab_Calculs[[#This Row],[Date_livraison]]))</f>
        <v>#VALUE!</v>
      </c>
      <c r="N1154" s="231" t="str">
        <f ca="1">IFERROR(Tab_Calculs[[#This Row],[Ratio_jour_après_livr]]+Tab_Calculs[[#This Row],[Ratio_jour_avant_livr]]+Tab_Calculs[[#This Row],[ratio_avant_debut]],"")</f>
        <v/>
      </c>
      <c r="O1154" t="e">
        <f ca="1">INDEX(INDIRECT(CONCATENATE("Tab_",Tab_Calculs[[#This Row],[Colonne1]])),Tab_Calculs[[#This Row],[index_date_livraison]]-1,7)*(MAX(Tab_Calculs[[#This Row],[Début periode livraison]],Tab_Calculs[[#This Row],[Début mois]])-Tab_Calculs[[#This Row],[Début mois]])</f>
        <v>#VALUE!</v>
      </c>
      <c r="P1154">
        <f ca="1">INDEX(INDIRECT(CONCATENATE("Tab_",Tab_Calculs[[#This Row],[Colonne1]])),Tab_Calculs[[#This Row],[index_date_livraison]],7)*(1+MIN(Tab_Calculs[[#This Row],[Date_livraison]],Tab_Calculs[[#This Row],[fin mois]])-MAX(Tab_Calculs[[#This Row],[Début mois]],Tab_Calculs[[#This Row],[Début periode livraison]]))</f>
        <v>0</v>
      </c>
      <c r="Q1154" t="e">
        <f ca="1">INDEX(INDIRECT(CONCATENATE("Tab_",Tab_Calculs[[#This Row],[Colonne1]])),Tab_Calculs[[#This Row],[index_date_livraison]]+1,7)*(Tab_Calculs[[#This Row],[fin mois]]-MIN(Tab_Calculs[[#This Row],[fin mois]],Tab_Calculs[[#This Row],[Date_livraison]]))</f>
        <v>#VALUE!</v>
      </c>
      <c r="R1154" t="e">
        <f ca="1">Tab_Calculs[[#This Row],[Ratio_Cout_après_livr]]+Tab_Calculs[[#This Row],[Ratio_Cout_avant_livr]]+Tab_Calculs[[#This Row],[Ratio_Cout_avant_debut]]</f>
        <v>#VALUE!</v>
      </c>
      <c r="S1154" t="str">
        <f ca="1">IFERROR(N1154*VLOOKUP(Tab_Calculs[[#This Row],[Colonne1]],Controle_des_données!$B$7:$G$14,6,FALSE),"")</f>
        <v/>
      </c>
      <c r="T1154" t="str">
        <f ca="1">IF(Tab_Calculs[[#This Row],[Combustible ]]="Electricité (kWh)",Tab_Calculs[[#This Row],[Conso_mois_kWh]]*2.3,Tab_Calculs[[#This Row],[Conso_mois_kWh]])</f>
        <v/>
      </c>
      <c r="U1154" t="str">
        <f ca="1">IFERROR(N1154*VLOOKUP(Tab_Calculs[[#This Row],[Colonne1]],Controle_des_données!$B$7:$H$14,7,FALSE),"")</f>
        <v/>
      </c>
      <c r="V1154">
        <f ca="1">IFERROR(Tab_Calculs[[#This Row],[Cout_mois]]/Tab_Calculs[[#This Row],[Conso_mois_kWh]],0)</f>
        <v>0</v>
      </c>
      <c r="W1154" t="str">
        <f>T(VLOOKUP(Tab_Calculs[[#This Row],[Compteur]],Site!$B$33:$G$40,3,FALSE))</f>
        <v/>
      </c>
      <c r="X1154" t="str">
        <f>T(VLOOKUP(Tab_Calculs[[#This Row],[Compteur]],Site!$B$33:$G$40,4,FALSE))</f>
        <v/>
      </c>
      <c r="Y1154" t="str">
        <f>T(VLOOKUP(Tab_Calculs[[#This Row],[Compteur]],Site!$B$33:$G$40,5,FALSE))</f>
        <v/>
      </c>
      <c r="Z1154" t="str">
        <f>T(VLOOKUP(Tab_Calculs[[#This Row],[Compteur]],Site!$B$33:$G$40,6,FALSE))</f>
        <v/>
      </c>
      <c r="AA1154">
        <f>IFERROR(GETPIVOTDATA("DJU(chauffagiste)",BDD_DJU!$P$13,"annee",Tab_Calculs[[#This Row],[ANNEE]],"mois_numero",Tab_Calculs[[#This Row],[MOIS]]),0)</f>
        <v>0</v>
      </c>
    </row>
    <row r="1155" spans="1:27" x14ac:dyDescent="0.25">
      <c r="A1155" s="3">
        <f>DATE(Tab_Calculs[[#This Row],[ANNEE]],Tab_Calculs[[#This Row],[MOIS]],1)</f>
        <v>45839</v>
      </c>
      <c r="B1155" s="3">
        <f>EDATE(Tab_Calculs[[#This Row],[Début mois]],1)-1</f>
        <v>45869</v>
      </c>
      <c r="C1155">
        <f t="shared" si="38"/>
        <v>7</v>
      </c>
      <c r="D1155">
        <f t="shared" si="41"/>
        <v>2025</v>
      </c>
      <c r="E1155" t="s">
        <v>85</v>
      </c>
      <c r="F1155" t="str">
        <f>SUBSTITUTE(Tab_Calculs[[#This Row],[Compteur]]," ","_")</f>
        <v>Compteur_6</v>
      </c>
      <c r="G1155" t="str">
        <f>T(INDEX(Site!$B$33:$G$40, MATCH(Tab_Calculs[[#This Row],[Compteur]], Site!$B$33:$B$40,0),2))</f>
        <v/>
      </c>
      <c r="H1155" s="3">
        <f t="array" aca="1" ref="H1155" ca="1">MIN(IF(INDIRECT(CONCATENATE(Tab_Calculs[[#This Row],[Colonne1]],"!$B$2:$B$243"))&gt;=Calculs_Consos!$A1155,INDIRECT(CONCATENATE(Tab_Calculs[[#This Row],[Colonne1]],"!$B$2:$B$243"))))</f>
        <v>0</v>
      </c>
      <c r="I1155" s="3">
        <f ca="1">INDEX(INDIRECT(CONCATENATE("Tab_",Tab_Calculs[[#This Row],[Colonne1]])),Tab_Calculs[[#This Row],[index_date_livraison]],1)</f>
        <v>0</v>
      </c>
      <c r="J1155">
        <f ca="1">MATCH(Tab_Calculs[[#This Row],[Date_livraison]],INDIRECT(CONCATENATE("Tab_",Tab_Calculs[[#This Row],[Colonne1]],"[Fin de période]")),0)</f>
        <v>1</v>
      </c>
      <c r="K1155" t="e">
        <f ca="1">INDEX(INDIRECT(CONCATENATE("Tab_",Tab_Calculs[[#This Row],[Colonne1]])),Tab_Calculs[[#This Row],[index_date_livraison]]-1,6)*(MAX(Tab_Calculs[[#This Row],[Début periode livraison]],Tab_Calculs[[#This Row],[Début mois]])-Tab_Calculs[[#This Row],[Début mois]])</f>
        <v>#VALUE!</v>
      </c>
      <c r="L1155" s="94">
        <f ca="1">INDEX(INDIRECT(CONCATENATE("Tab_",Tab_Calculs[[#This Row],[Colonne1]])),Tab_Calculs[[#This Row],[index_date_livraison]],6)*(1+MIN(Tab_Calculs[[#This Row],[Date_livraison]],Tab_Calculs[[#This Row],[fin mois]])-MAX(Tab_Calculs[[#This Row],[Début mois]],Tab_Calculs[[#This Row],[Début periode livraison]]))</f>
        <v>0</v>
      </c>
      <c r="M1155" s="94" t="e">
        <f ca="1">INDEX(INDIRECT(CONCATENATE("Tab_",Tab_Calculs[[#This Row],[Colonne1]])),Tab_Calculs[[#This Row],[index_date_livraison]]+1,6)*(Tab_Calculs[[#This Row],[fin mois]]-MIN(Tab_Calculs[[#This Row],[fin mois]],Tab_Calculs[[#This Row],[Date_livraison]]))</f>
        <v>#VALUE!</v>
      </c>
      <c r="N1155" s="231" t="str">
        <f ca="1">IFERROR(Tab_Calculs[[#This Row],[Ratio_jour_après_livr]]+Tab_Calculs[[#This Row],[Ratio_jour_avant_livr]]+Tab_Calculs[[#This Row],[ratio_avant_debut]],"")</f>
        <v/>
      </c>
      <c r="O1155" t="e">
        <f ca="1">INDEX(INDIRECT(CONCATENATE("Tab_",Tab_Calculs[[#This Row],[Colonne1]])),Tab_Calculs[[#This Row],[index_date_livraison]]-1,7)*(MAX(Tab_Calculs[[#This Row],[Début periode livraison]],Tab_Calculs[[#This Row],[Début mois]])-Tab_Calculs[[#This Row],[Début mois]])</f>
        <v>#VALUE!</v>
      </c>
      <c r="P1155">
        <f ca="1">INDEX(INDIRECT(CONCATENATE("Tab_",Tab_Calculs[[#This Row],[Colonne1]])),Tab_Calculs[[#This Row],[index_date_livraison]],7)*(1+MIN(Tab_Calculs[[#This Row],[Date_livraison]],Tab_Calculs[[#This Row],[fin mois]])-MAX(Tab_Calculs[[#This Row],[Début mois]],Tab_Calculs[[#This Row],[Début periode livraison]]))</f>
        <v>0</v>
      </c>
      <c r="Q1155" t="e">
        <f ca="1">INDEX(INDIRECT(CONCATENATE("Tab_",Tab_Calculs[[#This Row],[Colonne1]])),Tab_Calculs[[#This Row],[index_date_livraison]]+1,7)*(Tab_Calculs[[#This Row],[fin mois]]-MIN(Tab_Calculs[[#This Row],[fin mois]],Tab_Calculs[[#This Row],[Date_livraison]]))</f>
        <v>#VALUE!</v>
      </c>
      <c r="R1155" t="e">
        <f ca="1">Tab_Calculs[[#This Row],[Ratio_Cout_après_livr]]+Tab_Calculs[[#This Row],[Ratio_Cout_avant_livr]]+Tab_Calculs[[#This Row],[Ratio_Cout_avant_debut]]</f>
        <v>#VALUE!</v>
      </c>
      <c r="S1155" t="str">
        <f ca="1">IFERROR(N1155*VLOOKUP(Tab_Calculs[[#This Row],[Colonne1]],Controle_des_données!$B$7:$G$14,6,FALSE),"")</f>
        <v/>
      </c>
      <c r="T1155" t="str">
        <f ca="1">IF(Tab_Calculs[[#This Row],[Combustible ]]="Electricité (kWh)",Tab_Calculs[[#This Row],[Conso_mois_kWh]]*2.3,Tab_Calculs[[#This Row],[Conso_mois_kWh]])</f>
        <v/>
      </c>
      <c r="U1155" t="str">
        <f ca="1">IFERROR(N1155*VLOOKUP(Tab_Calculs[[#This Row],[Colonne1]],Controle_des_données!$B$7:$H$14,7,FALSE),"")</f>
        <v/>
      </c>
      <c r="V1155">
        <f ca="1">IFERROR(Tab_Calculs[[#This Row],[Cout_mois]]/Tab_Calculs[[#This Row],[Conso_mois_kWh]],0)</f>
        <v>0</v>
      </c>
      <c r="W1155" t="str">
        <f>T(VLOOKUP(Tab_Calculs[[#This Row],[Compteur]],Site!$B$33:$G$40,3,FALSE))</f>
        <v/>
      </c>
      <c r="X1155" t="str">
        <f>T(VLOOKUP(Tab_Calculs[[#This Row],[Compteur]],Site!$B$33:$G$40,4,FALSE))</f>
        <v/>
      </c>
      <c r="Y1155" t="str">
        <f>T(VLOOKUP(Tab_Calculs[[#This Row],[Compteur]],Site!$B$33:$G$40,5,FALSE))</f>
        <v/>
      </c>
      <c r="Z1155" t="str">
        <f>T(VLOOKUP(Tab_Calculs[[#This Row],[Compteur]],Site!$B$33:$G$40,6,FALSE))</f>
        <v/>
      </c>
      <c r="AA1155">
        <f>IFERROR(GETPIVOTDATA("DJU(chauffagiste)",BDD_DJU!$P$13,"annee",Tab_Calculs[[#This Row],[ANNEE]],"mois_numero",Tab_Calculs[[#This Row],[MOIS]]),0)</f>
        <v>0</v>
      </c>
    </row>
    <row r="1156" spans="1:27" x14ac:dyDescent="0.25">
      <c r="A1156" s="3">
        <f>DATE(Tab_Calculs[[#This Row],[ANNEE]],Tab_Calculs[[#This Row],[MOIS]],1)</f>
        <v>45870</v>
      </c>
      <c r="B1156" s="3">
        <f>EDATE(Tab_Calculs[[#This Row],[Début mois]],1)-1</f>
        <v>45900</v>
      </c>
      <c r="C1156">
        <f t="shared" si="38"/>
        <v>8</v>
      </c>
      <c r="D1156">
        <f t="shared" si="41"/>
        <v>2025</v>
      </c>
      <c r="E1156" t="s">
        <v>85</v>
      </c>
      <c r="F1156" t="str">
        <f>SUBSTITUTE(Tab_Calculs[[#This Row],[Compteur]]," ","_")</f>
        <v>Compteur_6</v>
      </c>
      <c r="G1156" t="str">
        <f>T(INDEX(Site!$B$33:$G$40, MATCH(Tab_Calculs[[#This Row],[Compteur]], Site!$B$33:$B$40,0),2))</f>
        <v/>
      </c>
      <c r="H1156" s="3">
        <f t="array" aca="1" ref="H1156" ca="1">MIN(IF(INDIRECT(CONCATENATE(Tab_Calculs[[#This Row],[Colonne1]],"!$B$2:$B$243"))&gt;=Calculs_Consos!$A1156,INDIRECT(CONCATENATE(Tab_Calculs[[#This Row],[Colonne1]],"!$B$2:$B$243"))))</f>
        <v>0</v>
      </c>
      <c r="I1156" s="3">
        <f ca="1">INDEX(INDIRECT(CONCATENATE("Tab_",Tab_Calculs[[#This Row],[Colonne1]])),Tab_Calculs[[#This Row],[index_date_livraison]],1)</f>
        <v>0</v>
      </c>
      <c r="J1156">
        <f ca="1">MATCH(Tab_Calculs[[#This Row],[Date_livraison]],INDIRECT(CONCATENATE("Tab_",Tab_Calculs[[#This Row],[Colonne1]],"[Fin de période]")),0)</f>
        <v>1</v>
      </c>
      <c r="K1156" t="e">
        <f ca="1">INDEX(INDIRECT(CONCATENATE("Tab_",Tab_Calculs[[#This Row],[Colonne1]])),Tab_Calculs[[#This Row],[index_date_livraison]]-1,6)*(MAX(Tab_Calculs[[#This Row],[Début periode livraison]],Tab_Calculs[[#This Row],[Début mois]])-Tab_Calculs[[#This Row],[Début mois]])</f>
        <v>#VALUE!</v>
      </c>
      <c r="L1156" s="94">
        <f ca="1">INDEX(INDIRECT(CONCATENATE("Tab_",Tab_Calculs[[#This Row],[Colonne1]])),Tab_Calculs[[#This Row],[index_date_livraison]],6)*(1+MIN(Tab_Calculs[[#This Row],[Date_livraison]],Tab_Calculs[[#This Row],[fin mois]])-MAX(Tab_Calculs[[#This Row],[Début mois]],Tab_Calculs[[#This Row],[Début periode livraison]]))</f>
        <v>0</v>
      </c>
      <c r="M1156" s="94" t="e">
        <f ca="1">INDEX(INDIRECT(CONCATENATE("Tab_",Tab_Calculs[[#This Row],[Colonne1]])),Tab_Calculs[[#This Row],[index_date_livraison]]+1,6)*(Tab_Calculs[[#This Row],[fin mois]]-MIN(Tab_Calculs[[#This Row],[fin mois]],Tab_Calculs[[#This Row],[Date_livraison]]))</f>
        <v>#VALUE!</v>
      </c>
      <c r="N1156" s="231" t="str">
        <f ca="1">IFERROR(Tab_Calculs[[#This Row],[Ratio_jour_après_livr]]+Tab_Calculs[[#This Row],[Ratio_jour_avant_livr]]+Tab_Calculs[[#This Row],[ratio_avant_debut]],"")</f>
        <v/>
      </c>
      <c r="O1156" t="e">
        <f ca="1">INDEX(INDIRECT(CONCATENATE("Tab_",Tab_Calculs[[#This Row],[Colonne1]])),Tab_Calculs[[#This Row],[index_date_livraison]]-1,7)*(MAX(Tab_Calculs[[#This Row],[Début periode livraison]],Tab_Calculs[[#This Row],[Début mois]])-Tab_Calculs[[#This Row],[Début mois]])</f>
        <v>#VALUE!</v>
      </c>
      <c r="P1156">
        <f ca="1">INDEX(INDIRECT(CONCATENATE("Tab_",Tab_Calculs[[#This Row],[Colonne1]])),Tab_Calculs[[#This Row],[index_date_livraison]],7)*(1+MIN(Tab_Calculs[[#This Row],[Date_livraison]],Tab_Calculs[[#This Row],[fin mois]])-MAX(Tab_Calculs[[#This Row],[Début mois]],Tab_Calculs[[#This Row],[Début periode livraison]]))</f>
        <v>0</v>
      </c>
      <c r="Q1156" t="e">
        <f ca="1">INDEX(INDIRECT(CONCATENATE("Tab_",Tab_Calculs[[#This Row],[Colonne1]])),Tab_Calculs[[#This Row],[index_date_livraison]]+1,7)*(Tab_Calculs[[#This Row],[fin mois]]-MIN(Tab_Calculs[[#This Row],[fin mois]],Tab_Calculs[[#This Row],[Date_livraison]]))</f>
        <v>#VALUE!</v>
      </c>
      <c r="R1156" t="e">
        <f ca="1">Tab_Calculs[[#This Row],[Ratio_Cout_après_livr]]+Tab_Calculs[[#This Row],[Ratio_Cout_avant_livr]]+Tab_Calculs[[#This Row],[Ratio_Cout_avant_debut]]</f>
        <v>#VALUE!</v>
      </c>
      <c r="S1156" t="str">
        <f ca="1">IFERROR(N1156*VLOOKUP(Tab_Calculs[[#This Row],[Colonne1]],Controle_des_données!$B$7:$G$14,6,FALSE),"")</f>
        <v/>
      </c>
      <c r="T1156" t="str">
        <f ca="1">IF(Tab_Calculs[[#This Row],[Combustible ]]="Electricité (kWh)",Tab_Calculs[[#This Row],[Conso_mois_kWh]]*2.3,Tab_Calculs[[#This Row],[Conso_mois_kWh]])</f>
        <v/>
      </c>
      <c r="U1156" t="str">
        <f ca="1">IFERROR(N1156*VLOOKUP(Tab_Calculs[[#This Row],[Colonne1]],Controle_des_données!$B$7:$H$14,7,FALSE),"")</f>
        <v/>
      </c>
      <c r="V1156">
        <f ca="1">IFERROR(Tab_Calculs[[#This Row],[Cout_mois]]/Tab_Calculs[[#This Row],[Conso_mois_kWh]],0)</f>
        <v>0</v>
      </c>
      <c r="W1156" t="str">
        <f>T(VLOOKUP(Tab_Calculs[[#This Row],[Compteur]],Site!$B$33:$G$40,3,FALSE))</f>
        <v/>
      </c>
      <c r="X1156" t="str">
        <f>T(VLOOKUP(Tab_Calculs[[#This Row],[Compteur]],Site!$B$33:$G$40,4,FALSE))</f>
        <v/>
      </c>
      <c r="Y1156" t="str">
        <f>T(VLOOKUP(Tab_Calculs[[#This Row],[Compteur]],Site!$B$33:$G$40,5,FALSE))</f>
        <v/>
      </c>
      <c r="Z1156" t="str">
        <f>T(VLOOKUP(Tab_Calculs[[#This Row],[Compteur]],Site!$B$33:$G$40,6,FALSE))</f>
        <v/>
      </c>
      <c r="AA1156">
        <f>IFERROR(GETPIVOTDATA("DJU(chauffagiste)",BDD_DJU!$P$13,"annee",Tab_Calculs[[#This Row],[ANNEE]],"mois_numero",Tab_Calculs[[#This Row],[MOIS]]),0)</f>
        <v>0</v>
      </c>
    </row>
    <row r="1157" spans="1:27" x14ac:dyDescent="0.25">
      <c r="A1157" s="3">
        <f>DATE(Tab_Calculs[[#This Row],[ANNEE]],Tab_Calculs[[#This Row],[MOIS]],1)</f>
        <v>45901</v>
      </c>
      <c r="B1157" s="3">
        <f>EDATE(Tab_Calculs[[#This Row],[Début mois]],1)-1</f>
        <v>45930</v>
      </c>
      <c r="C1157">
        <f t="shared" si="38"/>
        <v>9</v>
      </c>
      <c r="D1157">
        <f t="shared" si="41"/>
        <v>2025</v>
      </c>
      <c r="E1157" t="s">
        <v>85</v>
      </c>
      <c r="F1157" t="str">
        <f>SUBSTITUTE(Tab_Calculs[[#This Row],[Compteur]]," ","_")</f>
        <v>Compteur_6</v>
      </c>
      <c r="G1157" t="str">
        <f>T(INDEX(Site!$B$33:$G$40, MATCH(Tab_Calculs[[#This Row],[Compteur]], Site!$B$33:$B$40,0),2))</f>
        <v/>
      </c>
      <c r="H1157" s="3">
        <f t="array" aca="1" ref="H1157" ca="1">MIN(IF(INDIRECT(CONCATENATE(Tab_Calculs[[#This Row],[Colonne1]],"!$B$2:$B$243"))&gt;=Calculs_Consos!$A1157,INDIRECT(CONCATENATE(Tab_Calculs[[#This Row],[Colonne1]],"!$B$2:$B$243"))))</f>
        <v>0</v>
      </c>
      <c r="I1157" s="3">
        <f ca="1">INDEX(INDIRECT(CONCATENATE("Tab_",Tab_Calculs[[#This Row],[Colonne1]])),Tab_Calculs[[#This Row],[index_date_livraison]],1)</f>
        <v>0</v>
      </c>
      <c r="J1157">
        <f ca="1">MATCH(Tab_Calculs[[#This Row],[Date_livraison]],INDIRECT(CONCATENATE("Tab_",Tab_Calculs[[#This Row],[Colonne1]],"[Fin de période]")),0)</f>
        <v>1</v>
      </c>
      <c r="K1157" t="e">
        <f ca="1">INDEX(INDIRECT(CONCATENATE("Tab_",Tab_Calculs[[#This Row],[Colonne1]])),Tab_Calculs[[#This Row],[index_date_livraison]]-1,6)*(MAX(Tab_Calculs[[#This Row],[Début periode livraison]],Tab_Calculs[[#This Row],[Début mois]])-Tab_Calculs[[#This Row],[Début mois]])</f>
        <v>#VALUE!</v>
      </c>
      <c r="L1157" s="94">
        <f ca="1">INDEX(INDIRECT(CONCATENATE("Tab_",Tab_Calculs[[#This Row],[Colonne1]])),Tab_Calculs[[#This Row],[index_date_livraison]],6)*(1+MIN(Tab_Calculs[[#This Row],[Date_livraison]],Tab_Calculs[[#This Row],[fin mois]])-MAX(Tab_Calculs[[#This Row],[Début mois]],Tab_Calculs[[#This Row],[Début periode livraison]]))</f>
        <v>0</v>
      </c>
      <c r="M1157" s="94" t="e">
        <f ca="1">INDEX(INDIRECT(CONCATENATE("Tab_",Tab_Calculs[[#This Row],[Colonne1]])),Tab_Calculs[[#This Row],[index_date_livraison]]+1,6)*(Tab_Calculs[[#This Row],[fin mois]]-MIN(Tab_Calculs[[#This Row],[fin mois]],Tab_Calculs[[#This Row],[Date_livraison]]))</f>
        <v>#VALUE!</v>
      </c>
      <c r="N1157" s="231" t="str">
        <f ca="1">IFERROR(Tab_Calculs[[#This Row],[Ratio_jour_après_livr]]+Tab_Calculs[[#This Row],[Ratio_jour_avant_livr]]+Tab_Calculs[[#This Row],[ratio_avant_debut]],"")</f>
        <v/>
      </c>
      <c r="O1157" t="e">
        <f ca="1">INDEX(INDIRECT(CONCATENATE("Tab_",Tab_Calculs[[#This Row],[Colonne1]])),Tab_Calculs[[#This Row],[index_date_livraison]]-1,7)*(MAX(Tab_Calculs[[#This Row],[Début periode livraison]],Tab_Calculs[[#This Row],[Début mois]])-Tab_Calculs[[#This Row],[Début mois]])</f>
        <v>#VALUE!</v>
      </c>
      <c r="P1157">
        <f ca="1">INDEX(INDIRECT(CONCATENATE("Tab_",Tab_Calculs[[#This Row],[Colonne1]])),Tab_Calculs[[#This Row],[index_date_livraison]],7)*(1+MIN(Tab_Calculs[[#This Row],[Date_livraison]],Tab_Calculs[[#This Row],[fin mois]])-MAX(Tab_Calculs[[#This Row],[Début mois]],Tab_Calculs[[#This Row],[Début periode livraison]]))</f>
        <v>0</v>
      </c>
      <c r="Q1157" t="e">
        <f ca="1">INDEX(INDIRECT(CONCATENATE("Tab_",Tab_Calculs[[#This Row],[Colonne1]])),Tab_Calculs[[#This Row],[index_date_livraison]]+1,7)*(Tab_Calculs[[#This Row],[fin mois]]-MIN(Tab_Calculs[[#This Row],[fin mois]],Tab_Calculs[[#This Row],[Date_livraison]]))</f>
        <v>#VALUE!</v>
      </c>
      <c r="R1157" t="e">
        <f ca="1">Tab_Calculs[[#This Row],[Ratio_Cout_après_livr]]+Tab_Calculs[[#This Row],[Ratio_Cout_avant_livr]]+Tab_Calculs[[#This Row],[Ratio_Cout_avant_debut]]</f>
        <v>#VALUE!</v>
      </c>
      <c r="S1157" t="str">
        <f ca="1">IFERROR(N1157*VLOOKUP(Tab_Calculs[[#This Row],[Colonne1]],Controle_des_données!$B$7:$G$14,6,FALSE),"")</f>
        <v/>
      </c>
      <c r="T1157" t="str">
        <f ca="1">IF(Tab_Calculs[[#This Row],[Combustible ]]="Electricité (kWh)",Tab_Calculs[[#This Row],[Conso_mois_kWh]]*2.3,Tab_Calculs[[#This Row],[Conso_mois_kWh]])</f>
        <v/>
      </c>
      <c r="U1157" t="str">
        <f ca="1">IFERROR(N1157*VLOOKUP(Tab_Calculs[[#This Row],[Colonne1]],Controle_des_données!$B$7:$H$14,7,FALSE),"")</f>
        <v/>
      </c>
      <c r="V1157">
        <f ca="1">IFERROR(Tab_Calculs[[#This Row],[Cout_mois]]/Tab_Calculs[[#This Row],[Conso_mois_kWh]],0)</f>
        <v>0</v>
      </c>
      <c r="W1157" t="str">
        <f>T(VLOOKUP(Tab_Calculs[[#This Row],[Compteur]],Site!$B$33:$G$40,3,FALSE))</f>
        <v/>
      </c>
      <c r="X1157" t="str">
        <f>T(VLOOKUP(Tab_Calculs[[#This Row],[Compteur]],Site!$B$33:$G$40,4,FALSE))</f>
        <v/>
      </c>
      <c r="Y1157" t="str">
        <f>T(VLOOKUP(Tab_Calculs[[#This Row],[Compteur]],Site!$B$33:$G$40,5,FALSE))</f>
        <v/>
      </c>
      <c r="Z1157" t="str">
        <f>T(VLOOKUP(Tab_Calculs[[#This Row],[Compteur]],Site!$B$33:$G$40,6,FALSE))</f>
        <v/>
      </c>
      <c r="AA1157">
        <f>IFERROR(GETPIVOTDATA("DJU(chauffagiste)",BDD_DJU!$P$13,"annee",Tab_Calculs[[#This Row],[ANNEE]],"mois_numero",Tab_Calculs[[#This Row],[MOIS]]),0)</f>
        <v>0</v>
      </c>
    </row>
    <row r="1158" spans="1:27" x14ac:dyDescent="0.25">
      <c r="A1158" s="3">
        <f>DATE(Tab_Calculs[[#This Row],[ANNEE]],Tab_Calculs[[#This Row],[MOIS]],1)</f>
        <v>45931</v>
      </c>
      <c r="B1158" s="3">
        <f>EDATE(Tab_Calculs[[#This Row],[Début mois]],1)-1</f>
        <v>45961</v>
      </c>
      <c r="C1158">
        <f t="shared" si="38"/>
        <v>10</v>
      </c>
      <c r="D1158">
        <f t="shared" si="41"/>
        <v>2025</v>
      </c>
      <c r="E1158" t="s">
        <v>85</v>
      </c>
      <c r="F1158" t="str">
        <f>SUBSTITUTE(Tab_Calculs[[#This Row],[Compteur]]," ","_")</f>
        <v>Compteur_6</v>
      </c>
      <c r="G1158" t="str">
        <f>T(INDEX(Site!$B$33:$G$40, MATCH(Tab_Calculs[[#This Row],[Compteur]], Site!$B$33:$B$40,0),2))</f>
        <v/>
      </c>
      <c r="H1158" s="3">
        <f t="array" aca="1" ref="H1158" ca="1">MIN(IF(INDIRECT(CONCATENATE(Tab_Calculs[[#This Row],[Colonne1]],"!$B$2:$B$243"))&gt;=Calculs_Consos!$A1158,INDIRECT(CONCATENATE(Tab_Calculs[[#This Row],[Colonne1]],"!$B$2:$B$243"))))</f>
        <v>0</v>
      </c>
      <c r="I1158" s="3">
        <f ca="1">INDEX(INDIRECT(CONCATENATE("Tab_",Tab_Calculs[[#This Row],[Colonne1]])),Tab_Calculs[[#This Row],[index_date_livraison]],1)</f>
        <v>0</v>
      </c>
      <c r="J1158">
        <f ca="1">MATCH(Tab_Calculs[[#This Row],[Date_livraison]],INDIRECT(CONCATENATE("Tab_",Tab_Calculs[[#This Row],[Colonne1]],"[Fin de période]")),0)</f>
        <v>1</v>
      </c>
      <c r="K1158" t="e">
        <f ca="1">INDEX(INDIRECT(CONCATENATE("Tab_",Tab_Calculs[[#This Row],[Colonne1]])),Tab_Calculs[[#This Row],[index_date_livraison]]-1,6)*(MAX(Tab_Calculs[[#This Row],[Début periode livraison]],Tab_Calculs[[#This Row],[Début mois]])-Tab_Calculs[[#This Row],[Début mois]])</f>
        <v>#VALUE!</v>
      </c>
      <c r="L1158" s="94">
        <f ca="1">INDEX(INDIRECT(CONCATENATE("Tab_",Tab_Calculs[[#This Row],[Colonne1]])),Tab_Calculs[[#This Row],[index_date_livraison]],6)*(1+MIN(Tab_Calculs[[#This Row],[Date_livraison]],Tab_Calculs[[#This Row],[fin mois]])-MAX(Tab_Calculs[[#This Row],[Début mois]],Tab_Calculs[[#This Row],[Début periode livraison]]))</f>
        <v>0</v>
      </c>
      <c r="M1158" s="94" t="e">
        <f ca="1">INDEX(INDIRECT(CONCATENATE("Tab_",Tab_Calculs[[#This Row],[Colonne1]])),Tab_Calculs[[#This Row],[index_date_livraison]]+1,6)*(Tab_Calculs[[#This Row],[fin mois]]-MIN(Tab_Calculs[[#This Row],[fin mois]],Tab_Calculs[[#This Row],[Date_livraison]]))</f>
        <v>#VALUE!</v>
      </c>
      <c r="N1158" s="231" t="str">
        <f ca="1">IFERROR(Tab_Calculs[[#This Row],[Ratio_jour_après_livr]]+Tab_Calculs[[#This Row],[Ratio_jour_avant_livr]]+Tab_Calculs[[#This Row],[ratio_avant_debut]],"")</f>
        <v/>
      </c>
      <c r="O1158" t="e">
        <f ca="1">INDEX(INDIRECT(CONCATENATE("Tab_",Tab_Calculs[[#This Row],[Colonne1]])),Tab_Calculs[[#This Row],[index_date_livraison]]-1,7)*(MAX(Tab_Calculs[[#This Row],[Début periode livraison]],Tab_Calculs[[#This Row],[Début mois]])-Tab_Calculs[[#This Row],[Début mois]])</f>
        <v>#VALUE!</v>
      </c>
      <c r="P1158">
        <f ca="1">INDEX(INDIRECT(CONCATENATE("Tab_",Tab_Calculs[[#This Row],[Colonne1]])),Tab_Calculs[[#This Row],[index_date_livraison]],7)*(1+MIN(Tab_Calculs[[#This Row],[Date_livraison]],Tab_Calculs[[#This Row],[fin mois]])-MAX(Tab_Calculs[[#This Row],[Début mois]],Tab_Calculs[[#This Row],[Début periode livraison]]))</f>
        <v>0</v>
      </c>
      <c r="Q1158" t="e">
        <f ca="1">INDEX(INDIRECT(CONCATENATE("Tab_",Tab_Calculs[[#This Row],[Colonne1]])),Tab_Calculs[[#This Row],[index_date_livraison]]+1,7)*(Tab_Calculs[[#This Row],[fin mois]]-MIN(Tab_Calculs[[#This Row],[fin mois]],Tab_Calculs[[#This Row],[Date_livraison]]))</f>
        <v>#VALUE!</v>
      </c>
      <c r="R1158" t="e">
        <f ca="1">Tab_Calculs[[#This Row],[Ratio_Cout_après_livr]]+Tab_Calculs[[#This Row],[Ratio_Cout_avant_livr]]+Tab_Calculs[[#This Row],[Ratio_Cout_avant_debut]]</f>
        <v>#VALUE!</v>
      </c>
      <c r="S1158" t="str">
        <f ca="1">IFERROR(N1158*VLOOKUP(Tab_Calculs[[#This Row],[Colonne1]],Controle_des_données!$B$7:$G$14,6,FALSE),"")</f>
        <v/>
      </c>
      <c r="T1158" t="str">
        <f ca="1">IF(Tab_Calculs[[#This Row],[Combustible ]]="Electricité (kWh)",Tab_Calculs[[#This Row],[Conso_mois_kWh]]*2.3,Tab_Calculs[[#This Row],[Conso_mois_kWh]])</f>
        <v/>
      </c>
      <c r="U1158" t="str">
        <f ca="1">IFERROR(N1158*VLOOKUP(Tab_Calculs[[#This Row],[Colonne1]],Controle_des_données!$B$7:$H$14,7,FALSE),"")</f>
        <v/>
      </c>
      <c r="V1158">
        <f ca="1">IFERROR(Tab_Calculs[[#This Row],[Cout_mois]]/Tab_Calculs[[#This Row],[Conso_mois_kWh]],0)</f>
        <v>0</v>
      </c>
      <c r="W1158" t="str">
        <f>T(VLOOKUP(Tab_Calculs[[#This Row],[Compteur]],Site!$B$33:$G$40,3,FALSE))</f>
        <v/>
      </c>
      <c r="X1158" t="str">
        <f>T(VLOOKUP(Tab_Calculs[[#This Row],[Compteur]],Site!$B$33:$G$40,4,FALSE))</f>
        <v/>
      </c>
      <c r="Y1158" t="str">
        <f>T(VLOOKUP(Tab_Calculs[[#This Row],[Compteur]],Site!$B$33:$G$40,5,FALSE))</f>
        <v/>
      </c>
      <c r="Z1158" t="str">
        <f>T(VLOOKUP(Tab_Calculs[[#This Row],[Compteur]],Site!$B$33:$G$40,6,FALSE))</f>
        <v/>
      </c>
      <c r="AA1158">
        <f>IFERROR(GETPIVOTDATA("DJU(chauffagiste)",BDD_DJU!$P$13,"annee",Tab_Calculs[[#This Row],[ANNEE]],"mois_numero",Tab_Calculs[[#This Row],[MOIS]]),0)</f>
        <v>0</v>
      </c>
    </row>
    <row r="1159" spans="1:27" x14ac:dyDescent="0.25">
      <c r="A1159" s="3">
        <f>DATE(Tab_Calculs[[#This Row],[ANNEE]],Tab_Calculs[[#This Row],[MOIS]],1)</f>
        <v>45962</v>
      </c>
      <c r="B1159" s="3">
        <f>EDATE(Tab_Calculs[[#This Row],[Début mois]],1)-1</f>
        <v>45991</v>
      </c>
      <c r="C1159">
        <f t="shared" si="38"/>
        <v>11</v>
      </c>
      <c r="D1159">
        <f t="shared" si="41"/>
        <v>2025</v>
      </c>
      <c r="E1159" t="s">
        <v>85</v>
      </c>
      <c r="F1159" t="str">
        <f>SUBSTITUTE(Tab_Calculs[[#This Row],[Compteur]]," ","_")</f>
        <v>Compteur_6</v>
      </c>
      <c r="G1159" t="str">
        <f>T(INDEX(Site!$B$33:$G$40, MATCH(Tab_Calculs[[#This Row],[Compteur]], Site!$B$33:$B$40,0),2))</f>
        <v/>
      </c>
      <c r="H1159" s="3">
        <f t="array" aca="1" ref="H1159" ca="1">MIN(IF(INDIRECT(CONCATENATE(Tab_Calculs[[#This Row],[Colonne1]],"!$B$2:$B$243"))&gt;=Calculs_Consos!$A1159,INDIRECT(CONCATENATE(Tab_Calculs[[#This Row],[Colonne1]],"!$B$2:$B$243"))))</f>
        <v>0</v>
      </c>
      <c r="I1159" s="3">
        <f ca="1">INDEX(INDIRECT(CONCATENATE("Tab_",Tab_Calculs[[#This Row],[Colonne1]])),Tab_Calculs[[#This Row],[index_date_livraison]],1)</f>
        <v>0</v>
      </c>
      <c r="J1159">
        <f ca="1">MATCH(Tab_Calculs[[#This Row],[Date_livraison]],INDIRECT(CONCATENATE("Tab_",Tab_Calculs[[#This Row],[Colonne1]],"[Fin de période]")),0)</f>
        <v>1</v>
      </c>
      <c r="K1159" t="e">
        <f ca="1">INDEX(INDIRECT(CONCATENATE("Tab_",Tab_Calculs[[#This Row],[Colonne1]])),Tab_Calculs[[#This Row],[index_date_livraison]]-1,6)*(MAX(Tab_Calculs[[#This Row],[Début periode livraison]],Tab_Calculs[[#This Row],[Début mois]])-Tab_Calculs[[#This Row],[Début mois]])</f>
        <v>#VALUE!</v>
      </c>
      <c r="L1159" s="94">
        <f ca="1">INDEX(INDIRECT(CONCATENATE("Tab_",Tab_Calculs[[#This Row],[Colonne1]])),Tab_Calculs[[#This Row],[index_date_livraison]],6)*(1+MIN(Tab_Calculs[[#This Row],[Date_livraison]],Tab_Calculs[[#This Row],[fin mois]])-MAX(Tab_Calculs[[#This Row],[Début mois]],Tab_Calculs[[#This Row],[Début periode livraison]]))</f>
        <v>0</v>
      </c>
      <c r="M1159" s="94" t="e">
        <f ca="1">INDEX(INDIRECT(CONCATENATE("Tab_",Tab_Calculs[[#This Row],[Colonne1]])),Tab_Calculs[[#This Row],[index_date_livraison]]+1,6)*(Tab_Calculs[[#This Row],[fin mois]]-MIN(Tab_Calculs[[#This Row],[fin mois]],Tab_Calculs[[#This Row],[Date_livraison]]))</f>
        <v>#VALUE!</v>
      </c>
      <c r="N1159" s="231" t="str">
        <f ca="1">IFERROR(Tab_Calculs[[#This Row],[Ratio_jour_après_livr]]+Tab_Calculs[[#This Row],[Ratio_jour_avant_livr]]+Tab_Calculs[[#This Row],[ratio_avant_debut]],"")</f>
        <v/>
      </c>
      <c r="O1159" t="e">
        <f ca="1">INDEX(INDIRECT(CONCATENATE("Tab_",Tab_Calculs[[#This Row],[Colonne1]])),Tab_Calculs[[#This Row],[index_date_livraison]]-1,7)*(MAX(Tab_Calculs[[#This Row],[Début periode livraison]],Tab_Calculs[[#This Row],[Début mois]])-Tab_Calculs[[#This Row],[Début mois]])</f>
        <v>#VALUE!</v>
      </c>
      <c r="P1159">
        <f ca="1">INDEX(INDIRECT(CONCATENATE("Tab_",Tab_Calculs[[#This Row],[Colonne1]])),Tab_Calculs[[#This Row],[index_date_livraison]],7)*(1+MIN(Tab_Calculs[[#This Row],[Date_livraison]],Tab_Calculs[[#This Row],[fin mois]])-MAX(Tab_Calculs[[#This Row],[Début mois]],Tab_Calculs[[#This Row],[Début periode livraison]]))</f>
        <v>0</v>
      </c>
      <c r="Q1159" t="e">
        <f ca="1">INDEX(INDIRECT(CONCATENATE("Tab_",Tab_Calculs[[#This Row],[Colonne1]])),Tab_Calculs[[#This Row],[index_date_livraison]]+1,7)*(Tab_Calculs[[#This Row],[fin mois]]-MIN(Tab_Calculs[[#This Row],[fin mois]],Tab_Calculs[[#This Row],[Date_livraison]]))</f>
        <v>#VALUE!</v>
      </c>
      <c r="R1159" t="e">
        <f ca="1">Tab_Calculs[[#This Row],[Ratio_Cout_après_livr]]+Tab_Calculs[[#This Row],[Ratio_Cout_avant_livr]]+Tab_Calculs[[#This Row],[Ratio_Cout_avant_debut]]</f>
        <v>#VALUE!</v>
      </c>
      <c r="S1159" t="str">
        <f ca="1">IFERROR(N1159*VLOOKUP(Tab_Calculs[[#This Row],[Colonne1]],Controle_des_données!$B$7:$G$14,6,FALSE),"")</f>
        <v/>
      </c>
      <c r="T1159" t="str">
        <f ca="1">IF(Tab_Calculs[[#This Row],[Combustible ]]="Electricité (kWh)",Tab_Calculs[[#This Row],[Conso_mois_kWh]]*2.3,Tab_Calculs[[#This Row],[Conso_mois_kWh]])</f>
        <v/>
      </c>
      <c r="U1159" t="str">
        <f ca="1">IFERROR(N1159*VLOOKUP(Tab_Calculs[[#This Row],[Colonne1]],Controle_des_données!$B$7:$H$14,7,FALSE),"")</f>
        <v/>
      </c>
      <c r="V1159">
        <f ca="1">IFERROR(Tab_Calculs[[#This Row],[Cout_mois]]/Tab_Calculs[[#This Row],[Conso_mois_kWh]],0)</f>
        <v>0</v>
      </c>
      <c r="W1159" t="str">
        <f>T(VLOOKUP(Tab_Calculs[[#This Row],[Compteur]],Site!$B$33:$G$40,3,FALSE))</f>
        <v/>
      </c>
      <c r="X1159" t="str">
        <f>T(VLOOKUP(Tab_Calculs[[#This Row],[Compteur]],Site!$B$33:$G$40,4,FALSE))</f>
        <v/>
      </c>
      <c r="Y1159" t="str">
        <f>T(VLOOKUP(Tab_Calculs[[#This Row],[Compteur]],Site!$B$33:$G$40,5,FALSE))</f>
        <v/>
      </c>
      <c r="Z1159" t="str">
        <f>T(VLOOKUP(Tab_Calculs[[#This Row],[Compteur]],Site!$B$33:$G$40,6,FALSE))</f>
        <v/>
      </c>
      <c r="AA1159">
        <f>IFERROR(GETPIVOTDATA("DJU(chauffagiste)",BDD_DJU!$P$13,"annee",Tab_Calculs[[#This Row],[ANNEE]],"mois_numero",Tab_Calculs[[#This Row],[MOIS]]),0)</f>
        <v>0</v>
      </c>
    </row>
    <row r="1160" spans="1:27" x14ac:dyDescent="0.25">
      <c r="A1160" s="3">
        <f>DATE(Tab_Calculs[[#This Row],[ANNEE]],Tab_Calculs[[#This Row],[MOIS]],1)</f>
        <v>45992</v>
      </c>
      <c r="B1160" s="3">
        <f>EDATE(Tab_Calculs[[#This Row],[Début mois]],1)-1</f>
        <v>46022</v>
      </c>
      <c r="C1160">
        <f t="shared" si="38"/>
        <v>12</v>
      </c>
      <c r="D1160">
        <f t="shared" si="41"/>
        <v>2025</v>
      </c>
      <c r="E1160" t="s">
        <v>85</v>
      </c>
      <c r="F1160" t="str">
        <f>SUBSTITUTE(Tab_Calculs[[#This Row],[Compteur]]," ","_")</f>
        <v>Compteur_6</v>
      </c>
      <c r="G1160" t="str">
        <f>T(INDEX(Site!$B$33:$G$40, MATCH(Tab_Calculs[[#This Row],[Compteur]], Site!$B$33:$B$40,0),2))</f>
        <v/>
      </c>
      <c r="H1160" s="3">
        <f t="array" aca="1" ref="H1160" ca="1">MIN(IF(INDIRECT(CONCATENATE(Tab_Calculs[[#This Row],[Colonne1]],"!$B$2:$B$243"))&gt;=Calculs_Consos!$A1160,INDIRECT(CONCATENATE(Tab_Calculs[[#This Row],[Colonne1]],"!$B$2:$B$243"))))</f>
        <v>0</v>
      </c>
      <c r="I1160" s="3">
        <f ca="1">INDEX(INDIRECT(CONCATENATE("Tab_",Tab_Calculs[[#This Row],[Colonne1]])),Tab_Calculs[[#This Row],[index_date_livraison]],1)</f>
        <v>0</v>
      </c>
      <c r="J1160">
        <f ca="1">MATCH(Tab_Calculs[[#This Row],[Date_livraison]],INDIRECT(CONCATENATE("Tab_",Tab_Calculs[[#This Row],[Colonne1]],"[Fin de période]")),0)</f>
        <v>1</v>
      </c>
      <c r="K1160" t="e">
        <f ca="1">INDEX(INDIRECT(CONCATENATE("Tab_",Tab_Calculs[[#This Row],[Colonne1]])),Tab_Calculs[[#This Row],[index_date_livraison]]-1,6)*(MAX(Tab_Calculs[[#This Row],[Début periode livraison]],Tab_Calculs[[#This Row],[Début mois]])-Tab_Calculs[[#This Row],[Début mois]])</f>
        <v>#VALUE!</v>
      </c>
      <c r="L1160" s="94">
        <f ca="1">INDEX(INDIRECT(CONCATENATE("Tab_",Tab_Calculs[[#This Row],[Colonne1]])),Tab_Calculs[[#This Row],[index_date_livraison]],6)*(1+MIN(Tab_Calculs[[#This Row],[Date_livraison]],Tab_Calculs[[#This Row],[fin mois]])-MAX(Tab_Calculs[[#This Row],[Début mois]],Tab_Calculs[[#This Row],[Début periode livraison]]))</f>
        <v>0</v>
      </c>
      <c r="M1160" s="94" t="e">
        <f ca="1">INDEX(INDIRECT(CONCATENATE("Tab_",Tab_Calculs[[#This Row],[Colonne1]])),Tab_Calculs[[#This Row],[index_date_livraison]]+1,6)*(Tab_Calculs[[#This Row],[fin mois]]-MIN(Tab_Calculs[[#This Row],[fin mois]],Tab_Calculs[[#This Row],[Date_livraison]]))</f>
        <v>#VALUE!</v>
      </c>
      <c r="N1160" s="231" t="str">
        <f ca="1">IFERROR(Tab_Calculs[[#This Row],[Ratio_jour_après_livr]]+Tab_Calculs[[#This Row],[Ratio_jour_avant_livr]]+Tab_Calculs[[#This Row],[ratio_avant_debut]],"")</f>
        <v/>
      </c>
      <c r="O1160" t="e">
        <f ca="1">INDEX(INDIRECT(CONCATENATE("Tab_",Tab_Calculs[[#This Row],[Colonne1]])),Tab_Calculs[[#This Row],[index_date_livraison]]-1,7)*(MAX(Tab_Calculs[[#This Row],[Début periode livraison]],Tab_Calculs[[#This Row],[Début mois]])-Tab_Calculs[[#This Row],[Début mois]])</f>
        <v>#VALUE!</v>
      </c>
      <c r="P1160">
        <f ca="1">INDEX(INDIRECT(CONCATENATE("Tab_",Tab_Calculs[[#This Row],[Colonne1]])),Tab_Calculs[[#This Row],[index_date_livraison]],7)*(1+MIN(Tab_Calculs[[#This Row],[Date_livraison]],Tab_Calculs[[#This Row],[fin mois]])-MAX(Tab_Calculs[[#This Row],[Début mois]],Tab_Calculs[[#This Row],[Début periode livraison]]))</f>
        <v>0</v>
      </c>
      <c r="Q1160" t="e">
        <f ca="1">INDEX(INDIRECT(CONCATENATE("Tab_",Tab_Calculs[[#This Row],[Colonne1]])),Tab_Calculs[[#This Row],[index_date_livraison]]+1,7)*(Tab_Calculs[[#This Row],[fin mois]]-MIN(Tab_Calculs[[#This Row],[fin mois]],Tab_Calculs[[#This Row],[Date_livraison]]))</f>
        <v>#VALUE!</v>
      </c>
      <c r="R1160" t="e">
        <f ca="1">Tab_Calculs[[#This Row],[Ratio_Cout_après_livr]]+Tab_Calculs[[#This Row],[Ratio_Cout_avant_livr]]+Tab_Calculs[[#This Row],[Ratio_Cout_avant_debut]]</f>
        <v>#VALUE!</v>
      </c>
      <c r="S1160" t="str">
        <f ca="1">IFERROR(N1160*VLOOKUP(Tab_Calculs[[#This Row],[Colonne1]],Controle_des_données!$B$7:$G$14,6,FALSE),"")</f>
        <v/>
      </c>
      <c r="T1160" t="str">
        <f ca="1">IF(Tab_Calculs[[#This Row],[Combustible ]]="Electricité (kWh)",Tab_Calculs[[#This Row],[Conso_mois_kWh]]*2.3,Tab_Calculs[[#This Row],[Conso_mois_kWh]])</f>
        <v/>
      </c>
      <c r="U1160" t="str">
        <f ca="1">IFERROR(N1160*VLOOKUP(Tab_Calculs[[#This Row],[Colonne1]],Controle_des_données!$B$7:$H$14,7,FALSE),"")</f>
        <v/>
      </c>
      <c r="V1160">
        <f ca="1">IFERROR(Tab_Calculs[[#This Row],[Cout_mois]]/Tab_Calculs[[#This Row],[Conso_mois_kWh]],0)</f>
        <v>0</v>
      </c>
      <c r="W1160" t="str">
        <f>T(VLOOKUP(Tab_Calculs[[#This Row],[Compteur]],Site!$B$33:$G$40,3,FALSE))</f>
        <v/>
      </c>
      <c r="X1160" t="str">
        <f>T(VLOOKUP(Tab_Calculs[[#This Row],[Compteur]],Site!$B$33:$G$40,4,FALSE))</f>
        <v/>
      </c>
      <c r="Y1160" t="str">
        <f>T(VLOOKUP(Tab_Calculs[[#This Row],[Compteur]],Site!$B$33:$G$40,5,FALSE))</f>
        <v/>
      </c>
      <c r="Z1160" t="str">
        <f>T(VLOOKUP(Tab_Calculs[[#This Row],[Compteur]],Site!$B$33:$G$40,6,FALSE))</f>
        <v/>
      </c>
      <c r="AA1160">
        <f>IFERROR(GETPIVOTDATA("DJU(chauffagiste)",BDD_DJU!$P$13,"annee",Tab_Calculs[[#This Row],[ANNEE]],"mois_numero",Tab_Calculs[[#This Row],[MOIS]]),0)</f>
        <v>0</v>
      </c>
    </row>
    <row r="1161" spans="1:27" x14ac:dyDescent="0.25">
      <c r="A1161" s="3">
        <f>DATE(Tab_Calculs[[#This Row],[ANNEE]],Tab_Calculs[[#This Row],[MOIS]],1)</f>
        <v>40179</v>
      </c>
      <c r="B1161" s="3">
        <f>EDATE(Tab_Calculs[[#This Row],[Début mois]],1)-1</f>
        <v>40209</v>
      </c>
      <c r="C1161">
        <v>1</v>
      </c>
      <c r="D1161">
        <v>2010</v>
      </c>
      <c r="E1161" t="s">
        <v>86</v>
      </c>
      <c r="F1161" t="str">
        <f>SUBSTITUTE(Tab_Calculs[[#This Row],[Compteur]]," ","_")</f>
        <v>Compteur_7</v>
      </c>
      <c r="G1161" t="str">
        <f>T(INDEX(Site!$B$33:$G$40, MATCH(Tab_Calculs[[#This Row],[Compteur]], Site!$B$33:$B$40,0),2))</f>
        <v/>
      </c>
      <c r="H1161" s="3">
        <f t="array" aca="1" ref="H1161" ca="1">MIN(IF(INDIRECT(CONCATENATE(Tab_Calculs[[#This Row],[Colonne1]],"!$B$2:$B$243"))&gt;=Calculs_Consos!$A1161,INDIRECT(CONCATENATE(Tab_Calculs[[#This Row],[Colonne1]],"!$B$2:$B$243"))))</f>
        <v>0</v>
      </c>
      <c r="I1161" s="3">
        <f ca="1">INDEX(INDIRECT(CONCATENATE("Tab_",Tab_Calculs[[#This Row],[Colonne1]])),Tab_Calculs[[#This Row],[index_date_livraison]],1)</f>
        <v>0</v>
      </c>
      <c r="J1161">
        <f ca="1">MATCH(Tab_Calculs[[#This Row],[Date_livraison]],INDIRECT(CONCATENATE("Tab_",Tab_Calculs[[#This Row],[Colonne1]],"[Fin de période]")),0)</f>
        <v>1</v>
      </c>
      <c r="K1161" t="e">
        <f ca="1">INDEX(INDIRECT(CONCATENATE("Tab_",Tab_Calculs[[#This Row],[Colonne1]])),Tab_Calculs[[#This Row],[index_date_livraison]]-1,6)*(MAX(Tab_Calculs[[#This Row],[Début periode livraison]],Tab_Calculs[[#This Row],[Début mois]])-Tab_Calculs[[#This Row],[Début mois]])</f>
        <v>#VALUE!</v>
      </c>
      <c r="L1161" s="94">
        <f ca="1">INDEX(INDIRECT(CONCATENATE("Tab_",Tab_Calculs[[#This Row],[Colonne1]])),Tab_Calculs[[#This Row],[index_date_livraison]],6)*(1+MIN(Tab_Calculs[[#This Row],[Date_livraison]],Tab_Calculs[[#This Row],[fin mois]])-MAX(Tab_Calculs[[#This Row],[Début mois]],Tab_Calculs[[#This Row],[Début periode livraison]]))</f>
        <v>0</v>
      </c>
      <c r="M1161" s="94" t="e">
        <f ca="1">INDEX(INDIRECT(CONCATENATE("Tab_",Tab_Calculs[[#This Row],[Colonne1]])),Tab_Calculs[[#This Row],[index_date_livraison]]+1,6)*(Tab_Calculs[[#This Row],[fin mois]]-MIN(Tab_Calculs[[#This Row],[fin mois]],Tab_Calculs[[#This Row],[Date_livraison]]))</f>
        <v>#VALUE!</v>
      </c>
      <c r="N1161" s="231" t="str">
        <f ca="1">IFERROR(Tab_Calculs[[#This Row],[Ratio_jour_après_livr]]+Tab_Calculs[[#This Row],[Ratio_jour_avant_livr]]+Tab_Calculs[[#This Row],[ratio_avant_debut]],"")</f>
        <v/>
      </c>
      <c r="O1161" t="e">
        <f ca="1">INDEX(INDIRECT(CONCATENATE("Tab_",Tab_Calculs[[#This Row],[Colonne1]])),Tab_Calculs[[#This Row],[index_date_livraison]]-1,7)*(MAX(Tab_Calculs[[#This Row],[Début periode livraison]],Tab_Calculs[[#This Row],[Début mois]])-Tab_Calculs[[#This Row],[Début mois]])</f>
        <v>#VALUE!</v>
      </c>
      <c r="P1161">
        <f ca="1">INDEX(INDIRECT(CONCATENATE("Tab_",Tab_Calculs[[#This Row],[Colonne1]])),Tab_Calculs[[#This Row],[index_date_livraison]],7)*(1+MIN(Tab_Calculs[[#This Row],[Date_livraison]],Tab_Calculs[[#This Row],[fin mois]])-MAX(Tab_Calculs[[#This Row],[Début mois]],Tab_Calculs[[#This Row],[Début periode livraison]]))</f>
        <v>0</v>
      </c>
      <c r="Q1161" t="e">
        <f ca="1">INDEX(INDIRECT(CONCATENATE("Tab_",Tab_Calculs[[#This Row],[Colonne1]])),Tab_Calculs[[#This Row],[index_date_livraison]]+1,7)*(Tab_Calculs[[#This Row],[fin mois]]-MIN(Tab_Calculs[[#This Row],[fin mois]],Tab_Calculs[[#This Row],[Date_livraison]]))</f>
        <v>#VALUE!</v>
      </c>
      <c r="R1161" t="e">
        <f ca="1">Tab_Calculs[[#This Row],[Ratio_Cout_après_livr]]+Tab_Calculs[[#This Row],[Ratio_Cout_avant_livr]]+Tab_Calculs[[#This Row],[Ratio_Cout_avant_debut]]</f>
        <v>#VALUE!</v>
      </c>
      <c r="S1161" t="str">
        <f ca="1">IFERROR(N1161*VLOOKUP(Tab_Calculs[[#This Row],[Colonne1]],Controle_des_données!$B$7:$G$14,6,FALSE),"")</f>
        <v/>
      </c>
      <c r="T1161" t="str">
        <f ca="1">IF(Tab_Calculs[[#This Row],[Combustible ]]="Electricité (kWh)",Tab_Calculs[[#This Row],[Conso_mois_kWh]]*2.3,Tab_Calculs[[#This Row],[Conso_mois_kWh]])</f>
        <v/>
      </c>
      <c r="U1161" t="str">
        <f ca="1">IFERROR(N1161*VLOOKUP(Tab_Calculs[[#This Row],[Colonne1]],Controle_des_données!$B$7:$H$14,7,FALSE),"")</f>
        <v/>
      </c>
      <c r="V1161">
        <f ca="1">IFERROR(Tab_Calculs[[#This Row],[Cout_mois]]/Tab_Calculs[[#This Row],[Conso_mois_kWh]],0)</f>
        <v>0</v>
      </c>
      <c r="W1161" t="str">
        <f>T(VLOOKUP(Tab_Calculs[[#This Row],[Compteur]],Site!$B$33:$G$40,3,FALSE))</f>
        <v/>
      </c>
      <c r="X1161" t="str">
        <f>T(VLOOKUP(Tab_Calculs[[#This Row],[Compteur]],Site!$B$33:$G$40,4,FALSE))</f>
        <v/>
      </c>
      <c r="Y1161" t="str">
        <f>T(VLOOKUP(Tab_Calculs[[#This Row],[Compteur]],Site!$B$33:$G$40,5,FALSE))</f>
        <v/>
      </c>
      <c r="Z1161" t="str">
        <f>T(VLOOKUP(Tab_Calculs[[#This Row],[Compteur]],Site!$B$33:$G$40,6,FALSE))</f>
        <v/>
      </c>
      <c r="AA1161">
        <f>IFERROR(GETPIVOTDATA("DJU(chauffagiste)",BDD_DJU!$P$13,"annee",Tab_Calculs[[#This Row],[ANNEE]],"mois_numero",Tab_Calculs[[#This Row],[MOIS]]),0)</f>
        <v>487.6</v>
      </c>
    </row>
    <row r="1162" spans="1:27" x14ac:dyDescent="0.25">
      <c r="A1162" s="3">
        <f>DATE(Tab_Calculs[[#This Row],[ANNEE]],Tab_Calculs[[#This Row],[MOIS]],1)</f>
        <v>40210</v>
      </c>
      <c r="B1162" s="3">
        <f>EDATE(Tab_Calculs[[#This Row],[Début mois]],1)-1</f>
        <v>40237</v>
      </c>
      <c r="C1162">
        <v>2</v>
      </c>
      <c r="D1162">
        <v>2010</v>
      </c>
      <c r="E1162" t="s">
        <v>86</v>
      </c>
      <c r="F1162" t="str">
        <f>SUBSTITUTE(Tab_Calculs[[#This Row],[Compteur]]," ","_")</f>
        <v>Compteur_7</v>
      </c>
      <c r="G1162" t="str">
        <f>T(INDEX(Site!$B$33:$G$40, MATCH(Tab_Calculs[[#This Row],[Compteur]], Site!$B$33:$B$40,0),2))</f>
        <v/>
      </c>
      <c r="H1162" s="3">
        <f t="array" aca="1" ref="H1162" ca="1">MIN(IF(INDIRECT(CONCATENATE(Tab_Calculs[[#This Row],[Colonne1]],"!$B$2:$B$243"))&gt;=Calculs_Consos!$A1162,INDIRECT(CONCATENATE(Tab_Calculs[[#This Row],[Colonne1]],"!$B$2:$B$243"))))</f>
        <v>0</v>
      </c>
      <c r="I1162" s="3">
        <f ca="1">INDEX(INDIRECT(CONCATENATE("Tab_",Tab_Calculs[[#This Row],[Colonne1]])),Tab_Calculs[[#This Row],[index_date_livraison]],1)</f>
        <v>0</v>
      </c>
      <c r="J1162">
        <f ca="1">MATCH(Tab_Calculs[[#This Row],[Date_livraison]],INDIRECT(CONCATENATE("Tab_",Tab_Calculs[[#This Row],[Colonne1]],"[Fin de période]")),0)</f>
        <v>1</v>
      </c>
      <c r="K1162" t="e">
        <f ca="1">INDEX(INDIRECT(CONCATENATE("Tab_",Tab_Calculs[[#This Row],[Colonne1]])),Tab_Calculs[[#This Row],[index_date_livraison]]-1,6)*(MAX(Tab_Calculs[[#This Row],[Début periode livraison]],Tab_Calculs[[#This Row],[Début mois]])-Tab_Calculs[[#This Row],[Début mois]])</f>
        <v>#VALUE!</v>
      </c>
      <c r="L1162" s="94">
        <f ca="1">INDEX(INDIRECT(CONCATENATE("Tab_",Tab_Calculs[[#This Row],[Colonne1]])),Tab_Calculs[[#This Row],[index_date_livraison]],6)*(1+MIN(Tab_Calculs[[#This Row],[Date_livraison]],Tab_Calculs[[#This Row],[fin mois]])-MAX(Tab_Calculs[[#This Row],[Début mois]],Tab_Calculs[[#This Row],[Début periode livraison]]))</f>
        <v>0</v>
      </c>
      <c r="M1162" s="94" t="e">
        <f ca="1">INDEX(INDIRECT(CONCATENATE("Tab_",Tab_Calculs[[#This Row],[Colonne1]])),Tab_Calculs[[#This Row],[index_date_livraison]]+1,6)*(Tab_Calculs[[#This Row],[fin mois]]-MIN(Tab_Calculs[[#This Row],[fin mois]],Tab_Calculs[[#This Row],[Date_livraison]]))</f>
        <v>#VALUE!</v>
      </c>
      <c r="N1162" s="231" t="str">
        <f ca="1">IFERROR(Tab_Calculs[[#This Row],[Ratio_jour_après_livr]]+Tab_Calculs[[#This Row],[Ratio_jour_avant_livr]]+Tab_Calculs[[#This Row],[ratio_avant_debut]],"")</f>
        <v/>
      </c>
      <c r="O1162" t="e">
        <f ca="1">INDEX(INDIRECT(CONCATENATE("Tab_",Tab_Calculs[[#This Row],[Colonne1]])),Tab_Calculs[[#This Row],[index_date_livraison]]-1,7)*(MAX(Tab_Calculs[[#This Row],[Début periode livraison]],Tab_Calculs[[#This Row],[Début mois]])-Tab_Calculs[[#This Row],[Début mois]])</f>
        <v>#VALUE!</v>
      </c>
      <c r="P1162">
        <f ca="1">INDEX(INDIRECT(CONCATENATE("Tab_",Tab_Calculs[[#This Row],[Colonne1]])),Tab_Calculs[[#This Row],[index_date_livraison]],7)*(1+MIN(Tab_Calculs[[#This Row],[Date_livraison]],Tab_Calculs[[#This Row],[fin mois]])-MAX(Tab_Calculs[[#This Row],[Début mois]],Tab_Calculs[[#This Row],[Début periode livraison]]))</f>
        <v>0</v>
      </c>
      <c r="Q1162" t="e">
        <f ca="1">INDEX(INDIRECT(CONCATENATE("Tab_",Tab_Calculs[[#This Row],[Colonne1]])),Tab_Calculs[[#This Row],[index_date_livraison]]+1,7)*(Tab_Calculs[[#This Row],[fin mois]]-MIN(Tab_Calculs[[#This Row],[fin mois]],Tab_Calculs[[#This Row],[Date_livraison]]))</f>
        <v>#VALUE!</v>
      </c>
      <c r="R1162" t="e">
        <f ca="1">Tab_Calculs[[#This Row],[Ratio_Cout_après_livr]]+Tab_Calculs[[#This Row],[Ratio_Cout_avant_livr]]+Tab_Calculs[[#This Row],[Ratio_Cout_avant_debut]]</f>
        <v>#VALUE!</v>
      </c>
      <c r="S1162" t="str">
        <f ca="1">IFERROR(N1162*VLOOKUP(Tab_Calculs[[#This Row],[Colonne1]],Controle_des_données!$B$7:$G$14,6,FALSE),"")</f>
        <v/>
      </c>
      <c r="T1162" t="str">
        <f ca="1">IF(Tab_Calculs[[#This Row],[Combustible ]]="Electricité (kWh)",Tab_Calculs[[#This Row],[Conso_mois_kWh]]*2.3,Tab_Calculs[[#This Row],[Conso_mois_kWh]])</f>
        <v/>
      </c>
      <c r="U1162" t="str">
        <f ca="1">IFERROR(N1162*VLOOKUP(Tab_Calculs[[#This Row],[Colonne1]],Controle_des_données!$B$7:$H$14,7,FALSE),"")</f>
        <v/>
      </c>
      <c r="V1162">
        <f ca="1">IFERROR(Tab_Calculs[[#This Row],[Cout_mois]]/Tab_Calculs[[#This Row],[Conso_mois_kWh]],0)</f>
        <v>0</v>
      </c>
      <c r="W1162" t="str">
        <f>T(VLOOKUP(Tab_Calculs[[#This Row],[Compteur]],Site!$B$33:$G$40,3,FALSE))</f>
        <v/>
      </c>
      <c r="X1162" t="str">
        <f>T(VLOOKUP(Tab_Calculs[[#This Row],[Compteur]],Site!$B$33:$G$40,4,FALSE))</f>
        <v/>
      </c>
      <c r="Y1162" t="str">
        <f>T(VLOOKUP(Tab_Calculs[[#This Row],[Compteur]],Site!$B$33:$G$40,5,FALSE))</f>
        <v/>
      </c>
      <c r="Z1162" t="str">
        <f>T(VLOOKUP(Tab_Calculs[[#This Row],[Compteur]],Site!$B$33:$G$40,6,FALSE))</f>
        <v/>
      </c>
      <c r="AA1162">
        <f>IFERROR(GETPIVOTDATA("DJU(chauffagiste)",BDD_DJU!$P$13,"annee",Tab_Calculs[[#This Row],[ANNEE]],"mois_numero",Tab_Calculs[[#This Row],[MOIS]]),0)</f>
        <v>370.3</v>
      </c>
    </row>
    <row r="1163" spans="1:27" x14ac:dyDescent="0.25">
      <c r="A1163" s="3">
        <f>DATE(Tab_Calculs[[#This Row],[ANNEE]],Tab_Calculs[[#This Row],[MOIS]],1)</f>
        <v>40238</v>
      </c>
      <c r="B1163" s="3">
        <f>EDATE(Tab_Calculs[[#This Row],[Début mois]],1)-1</f>
        <v>40268</v>
      </c>
      <c r="C1163">
        <v>3</v>
      </c>
      <c r="D1163">
        <v>2010</v>
      </c>
      <c r="E1163" t="s">
        <v>86</v>
      </c>
      <c r="F1163" t="str">
        <f>SUBSTITUTE(Tab_Calculs[[#This Row],[Compteur]]," ","_")</f>
        <v>Compteur_7</v>
      </c>
      <c r="G1163" t="str">
        <f>T(INDEX(Site!$B$33:$G$40, MATCH(Tab_Calculs[[#This Row],[Compteur]], Site!$B$33:$B$40,0),2))</f>
        <v/>
      </c>
      <c r="H1163" s="3">
        <f t="array" aca="1" ref="H1163" ca="1">MIN(IF(INDIRECT(CONCATENATE(Tab_Calculs[[#This Row],[Colonne1]],"!$B$2:$B$243"))&gt;=Calculs_Consos!$A1163,INDIRECT(CONCATENATE(Tab_Calculs[[#This Row],[Colonne1]],"!$B$2:$B$243"))))</f>
        <v>0</v>
      </c>
      <c r="I1163" s="3">
        <f ca="1">INDEX(INDIRECT(CONCATENATE("Tab_",Tab_Calculs[[#This Row],[Colonne1]])),Tab_Calculs[[#This Row],[index_date_livraison]],1)</f>
        <v>0</v>
      </c>
      <c r="J1163">
        <f ca="1">MATCH(Tab_Calculs[[#This Row],[Date_livraison]],INDIRECT(CONCATENATE("Tab_",Tab_Calculs[[#This Row],[Colonne1]],"[Fin de période]")),0)</f>
        <v>1</v>
      </c>
      <c r="K1163" t="e">
        <f ca="1">INDEX(INDIRECT(CONCATENATE("Tab_",Tab_Calculs[[#This Row],[Colonne1]])),Tab_Calculs[[#This Row],[index_date_livraison]]-1,6)*(MAX(Tab_Calculs[[#This Row],[Début periode livraison]],Tab_Calculs[[#This Row],[Début mois]])-Tab_Calculs[[#This Row],[Début mois]])</f>
        <v>#VALUE!</v>
      </c>
      <c r="L1163" s="94">
        <f ca="1">INDEX(INDIRECT(CONCATENATE("Tab_",Tab_Calculs[[#This Row],[Colonne1]])),Tab_Calculs[[#This Row],[index_date_livraison]],6)*(1+MIN(Tab_Calculs[[#This Row],[Date_livraison]],Tab_Calculs[[#This Row],[fin mois]])-MAX(Tab_Calculs[[#This Row],[Début mois]],Tab_Calculs[[#This Row],[Début periode livraison]]))</f>
        <v>0</v>
      </c>
      <c r="M1163" s="94" t="e">
        <f ca="1">INDEX(INDIRECT(CONCATENATE("Tab_",Tab_Calculs[[#This Row],[Colonne1]])),Tab_Calculs[[#This Row],[index_date_livraison]]+1,6)*(Tab_Calculs[[#This Row],[fin mois]]-MIN(Tab_Calculs[[#This Row],[fin mois]],Tab_Calculs[[#This Row],[Date_livraison]]))</f>
        <v>#VALUE!</v>
      </c>
      <c r="N1163" s="231" t="str">
        <f ca="1">IFERROR(Tab_Calculs[[#This Row],[Ratio_jour_après_livr]]+Tab_Calculs[[#This Row],[Ratio_jour_avant_livr]]+Tab_Calculs[[#This Row],[ratio_avant_debut]],"")</f>
        <v/>
      </c>
      <c r="O1163" t="e">
        <f ca="1">INDEX(INDIRECT(CONCATENATE("Tab_",Tab_Calculs[[#This Row],[Colonne1]])),Tab_Calculs[[#This Row],[index_date_livraison]]-1,7)*(MAX(Tab_Calculs[[#This Row],[Début periode livraison]],Tab_Calculs[[#This Row],[Début mois]])-Tab_Calculs[[#This Row],[Début mois]])</f>
        <v>#VALUE!</v>
      </c>
      <c r="P1163">
        <f ca="1">INDEX(INDIRECT(CONCATENATE("Tab_",Tab_Calculs[[#This Row],[Colonne1]])),Tab_Calculs[[#This Row],[index_date_livraison]],7)*(1+MIN(Tab_Calculs[[#This Row],[Date_livraison]],Tab_Calculs[[#This Row],[fin mois]])-MAX(Tab_Calculs[[#This Row],[Début mois]],Tab_Calculs[[#This Row],[Début periode livraison]]))</f>
        <v>0</v>
      </c>
      <c r="Q1163" t="e">
        <f ca="1">INDEX(INDIRECT(CONCATENATE("Tab_",Tab_Calculs[[#This Row],[Colonne1]])),Tab_Calculs[[#This Row],[index_date_livraison]]+1,7)*(Tab_Calculs[[#This Row],[fin mois]]-MIN(Tab_Calculs[[#This Row],[fin mois]],Tab_Calculs[[#This Row],[Date_livraison]]))</f>
        <v>#VALUE!</v>
      </c>
      <c r="R1163" t="e">
        <f ca="1">Tab_Calculs[[#This Row],[Ratio_Cout_après_livr]]+Tab_Calculs[[#This Row],[Ratio_Cout_avant_livr]]+Tab_Calculs[[#This Row],[Ratio_Cout_avant_debut]]</f>
        <v>#VALUE!</v>
      </c>
      <c r="S1163" t="str">
        <f ca="1">IFERROR(N1163*VLOOKUP(Tab_Calculs[[#This Row],[Colonne1]],Controle_des_données!$B$7:$G$14,6,FALSE),"")</f>
        <v/>
      </c>
      <c r="T1163" t="str">
        <f ca="1">IF(Tab_Calculs[[#This Row],[Combustible ]]="Electricité (kWh)",Tab_Calculs[[#This Row],[Conso_mois_kWh]]*2.3,Tab_Calculs[[#This Row],[Conso_mois_kWh]])</f>
        <v/>
      </c>
      <c r="U1163" t="str">
        <f ca="1">IFERROR(N1163*VLOOKUP(Tab_Calculs[[#This Row],[Colonne1]],Controle_des_données!$B$7:$H$14,7,FALSE),"")</f>
        <v/>
      </c>
      <c r="V1163">
        <f ca="1">IFERROR(Tab_Calculs[[#This Row],[Cout_mois]]/Tab_Calculs[[#This Row],[Conso_mois_kWh]],0)</f>
        <v>0</v>
      </c>
      <c r="W1163" t="str">
        <f>T(VLOOKUP(Tab_Calculs[[#This Row],[Compteur]],Site!$B$33:$G$40,3,FALSE))</f>
        <v/>
      </c>
      <c r="X1163" t="str">
        <f>T(VLOOKUP(Tab_Calculs[[#This Row],[Compteur]],Site!$B$33:$G$40,4,FALSE))</f>
        <v/>
      </c>
      <c r="Y1163" t="str">
        <f>T(VLOOKUP(Tab_Calculs[[#This Row],[Compteur]],Site!$B$33:$G$40,5,FALSE))</f>
        <v/>
      </c>
      <c r="Z1163" t="str">
        <f>T(VLOOKUP(Tab_Calculs[[#This Row],[Compteur]],Site!$B$33:$G$40,6,FALSE))</f>
        <v/>
      </c>
      <c r="AA1163">
        <f>IFERROR(GETPIVOTDATA("DJU(chauffagiste)",BDD_DJU!$P$13,"annee",Tab_Calculs[[#This Row],[ANNEE]],"mois_numero",Tab_Calculs[[#This Row],[MOIS]]),0)</f>
        <v>312.8</v>
      </c>
    </row>
    <row r="1164" spans="1:27" x14ac:dyDescent="0.25">
      <c r="A1164" s="3">
        <f>DATE(Tab_Calculs[[#This Row],[ANNEE]],Tab_Calculs[[#This Row],[MOIS]],1)</f>
        <v>40269</v>
      </c>
      <c r="B1164" s="3">
        <f>EDATE(Tab_Calculs[[#This Row],[Début mois]],1)-1</f>
        <v>40298</v>
      </c>
      <c r="C1164">
        <v>4</v>
      </c>
      <c r="D1164">
        <v>2010</v>
      </c>
      <c r="E1164" t="s">
        <v>86</v>
      </c>
      <c r="F1164" t="str">
        <f>SUBSTITUTE(Tab_Calculs[[#This Row],[Compteur]]," ","_")</f>
        <v>Compteur_7</v>
      </c>
      <c r="G1164" t="str">
        <f>T(INDEX(Site!$B$33:$G$40, MATCH(Tab_Calculs[[#This Row],[Compteur]], Site!$B$33:$B$40,0),2))</f>
        <v/>
      </c>
      <c r="H1164" s="3">
        <f t="array" aca="1" ref="H1164" ca="1">MIN(IF(INDIRECT(CONCATENATE(Tab_Calculs[[#This Row],[Colonne1]],"!$B$2:$B$243"))&gt;=Calculs_Consos!$A1164,INDIRECT(CONCATENATE(Tab_Calculs[[#This Row],[Colonne1]],"!$B$2:$B$243"))))</f>
        <v>0</v>
      </c>
      <c r="I1164" s="3">
        <f ca="1">INDEX(INDIRECT(CONCATENATE("Tab_",Tab_Calculs[[#This Row],[Colonne1]])),Tab_Calculs[[#This Row],[index_date_livraison]],1)</f>
        <v>0</v>
      </c>
      <c r="J1164">
        <f ca="1">MATCH(Tab_Calculs[[#This Row],[Date_livraison]],INDIRECT(CONCATENATE("Tab_",Tab_Calculs[[#This Row],[Colonne1]],"[Fin de période]")),0)</f>
        <v>1</v>
      </c>
      <c r="K1164" t="e">
        <f ca="1">INDEX(INDIRECT(CONCATENATE("Tab_",Tab_Calculs[[#This Row],[Colonne1]])),Tab_Calculs[[#This Row],[index_date_livraison]]-1,6)*(MAX(Tab_Calculs[[#This Row],[Début periode livraison]],Tab_Calculs[[#This Row],[Début mois]])-Tab_Calculs[[#This Row],[Début mois]])</f>
        <v>#VALUE!</v>
      </c>
      <c r="L1164" s="94">
        <f ca="1">INDEX(INDIRECT(CONCATENATE("Tab_",Tab_Calculs[[#This Row],[Colonne1]])),Tab_Calculs[[#This Row],[index_date_livraison]],6)*(1+MIN(Tab_Calculs[[#This Row],[Date_livraison]],Tab_Calculs[[#This Row],[fin mois]])-MAX(Tab_Calculs[[#This Row],[Début mois]],Tab_Calculs[[#This Row],[Début periode livraison]]))</f>
        <v>0</v>
      </c>
      <c r="M1164" s="94" t="e">
        <f ca="1">INDEX(INDIRECT(CONCATENATE("Tab_",Tab_Calculs[[#This Row],[Colonne1]])),Tab_Calculs[[#This Row],[index_date_livraison]]+1,6)*(Tab_Calculs[[#This Row],[fin mois]]-MIN(Tab_Calculs[[#This Row],[fin mois]],Tab_Calculs[[#This Row],[Date_livraison]]))</f>
        <v>#VALUE!</v>
      </c>
      <c r="N1164" s="231" t="str">
        <f ca="1">IFERROR(Tab_Calculs[[#This Row],[Ratio_jour_après_livr]]+Tab_Calculs[[#This Row],[Ratio_jour_avant_livr]]+Tab_Calculs[[#This Row],[ratio_avant_debut]],"")</f>
        <v/>
      </c>
      <c r="O1164" t="e">
        <f ca="1">INDEX(INDIRECT(CONCATENATE("Tab_",Tab_Calculs[[#This Row],[Colonne1]])),Tab_Calculs[[#This Row],[index_date_livraison]]-1,7)*(MAX(Tab_Calculs[[#This Row],[Début periode livraison]],Tab_Calculs[[#This Row],[Début mois]])-Tab_Calculs[[#This Row],[Début mois]])</f>
        <v>#VALUE!</v>
      </c>
      <c r="P1164">
        <f ca="1">INDEX(INDIRECT(CONCATENATE("Tab_",Tab_Calculs[[#This Row],[Colonne1]])),Tab_Calculs[[#This Row],[index_date_livraison]],7)*(1+MIN(Tab_Calculs[[#This Row],[Date_livraison]],Tab_Calculs[[#This Row],[fin mois]])-MAX(Tab_Calculs[[#This Row],[Début mois]],Tab_Calculs[[#This Row],[Début periode livraison]]))</f>
        <v>0</v>
      </c>
      <c r="Q1164" t="e">
        <f ca="1">INDEX(INDIRECT(CONCATENATE("Tab_",Tab_Calculs[[#This Row],[Colonne1]])),Tab_Calculs[[#This Row],[index_date_livraison]]+1,7)*(Tab_Calculs[[#This Row],[fin mois]]-MIN(Tab_Calculs[[#This Row],[fin mois]],Tab_Calculs[[#This Row],[Date_livraison]]))</f>
        <v>#VALUE!</v>
      </c>
      <c r="R1164" t="e">
        <f ca="1">Tab_Calculs[[#This Row],[Ratio_Cout_après_livr]]+Tab_Calculs[[#This Row],[Ratio_Cout_avant_livr]]+Tab_Calculs[[#This Row],[Ratio_Cout_avant_debut]]</f>
        <v>#VALUE!</v>
      </c>
      <c r="S1164" t="str">
        <f ca="1">IFERROR(N1164*VLOOKUP(Tab_Calculs[[#This Row],[Colonne1]],Controle_des_données!$B$7:$G$14,6,FALSE),"")</f>
        <v/>
      </c>
      <c r="T1164" t="str">
        <f ca="1">IF(Tab_Calculs[[#This Row],[Combustible ]]="Electricité (kWh)",Tab_Calculs[[#This Row],[Conso_mois_kWh]]*2.3,Tab_Calculs[[#This Row],[Conso_mois_kWh]])</f>
        <v/>
      </c>
      <c r="U1164" t="str">
        <f ca="1">IFERROR(N1164*VLOOKUP(Tab_Calculs[[#This Row],[Colonne1]],Controle_des_données!$B$7:$H$14,7,FALSE),"")</f>
        <v/>
      </c>
      <c r="V1164">
        <f ca="1">IFERROR(Tab_Calculs[[#This Row],[Cout_mois]]/Tab_Calculs[[#This Row],[Conso_mois_kWh]],0)</f>
        <v>0</v>
      </c>
      <c r="W1164" t="str">
        <f>T(VLOOKUP(Tab_Calculs[[#This Row],[Compteur]],Site!$B$33:$G$40,3,FALSE))</f>
        <v/>
      </c>
      <c r="X1164" t="str">
        <f>T(VLOOKUP(Tab_Calculs[[#This Row],[Compteur]],Site!$B$33:$G$40,4,FALSE))</f>
        <v/>
      </c>
      <c r="Y1164" t="str">
        <f>T(VLOOKUP(Tab_Calculs[[#This Row],[Compteur]],Site!$B$33:$G$40,5,FALSE))</f>
        <v/>
      </c>
      <c r="Z1164" t="str">
        <f>T(VLOOKUP(Tab_Calculs[[#This Row],[Compteur]],Site!$B$33:$G$40,6,FALSE))</f>
        <v/>
      </c>
      <c r="AA1164">
        <f>IFERROR(GETPIVOTDATA("DJU(chauffagiste)",BDD_DJU!$P$13,"annee",Tab_Calculs[[#This Row],[ANNEE]],"mois_numero",Tab_Calculs[[#This Row],[MOIS]]),0)</f>
        <v>199.2</v>
      </c>
    </row>
    <row r="1165" spans="1:27" x14ac:dyDescent="0.25">
      <c r="A1165" s="3">
        <f>DATE(Tab_Calculs[[#This Row],[ANNEE]],Tab_Calculs[[#This Row],[MOIS]],1)</f>
        <v>40299</v>
      </c>
      <c r="B1165" s="3">
        <f>EDATE(Tab_Calculs[[#This Row],[Début mois]],1)-1</f>
        <v>40329</v>
      </c>
      <c r="C1165">
        <v>5</v>
      </c>
      <c r="D1165">
        <v>2010</v>
      </c>
      <c r="E1165" t="s">
        <v>86</v>
      </c>
      <c r="F1165" t="str">
        <f>SUBSTITUTE(Tab_Calculs[[#This Row],[Compteur]]," ","_")</f>
        <v>Compteur_7</v>
      </c>
      <c r="G1165" t="str">
        <f>T(INDEX(Site!$B$33:$G$40, MATCH(Tab_Calculs[[#This Row],[Compteur]], Site!$B$33:$B$40,0),2))</f>
        <v/>
      </c>
      <c r="H1165" s="3">
        <f t="array" aca="1" ref="H1165" ca="1">MIN(IF(INDIRECT(CONCATENATE(Tab_Calculs[[#This Row],[Colonne1]],"!$B$2:$B$243"))&gt;=Calculs_Consos!$A1165,INDIRECT(CONCATENATE(Tab_Calculs[[#This Row],[Colonne1]],"!$B$2:$B$243"))))</f>
        <v>0</v>
      </c>
      <c r="I1165" s="3">
        <f ca="1">INDEX(INDIRECT(CONCATENATE("Tab_",Tab_Calculs[[#This Row],[Colonne1]])),Tab_Calculs[[#This Row],[index_date_livraison]],1)</f>
        <v>0</v>
      </c>
      <c r="J1165">
        <f ca="1">MATCH(Tab_Calculs[[#This Row],[Date_livraison]],INDIRECT(CONCATENATE("Tab_",Tab_Calculs[[#This Row],[Colonne1]],"[Fin de période]")),0)</f>
        <v>1</v>
      </c>
      <c r="K1165" t="e">
        <f ca="1">INDEX(INDIRECT(CONCATENATE("Tab_",Tab_Calculs[[#This Row],[Colonne1]])),Tab_Calculs[[#This Row],[index_date_livraison]]-1,6)*(MAX(Tab_Calculs[[#This Row],[Début periode livraison]],Tab_Calculs[[#This Row],[Début mois]])-Tab_Calculs[[#This Row],[Début mois]])</f>
        <v>#VALUE!</v>
      </c>
      <c r="L1165" s="94">
        <f ca="1">INDEX(INDIRECT(CONCATENATE("Tab_",Tab_Calculs[[#This Row],[Colonne1]])),Tab_Calculs[[#This Row],[index_date_livraison]],6)*(1+MIN(Tab_Calculs[[#This Row],[Date_livraison]],Tab_Calculs[[#This Row],[fin mois]])-MAX(Tab_Calculs[[#This Row],[Début mois]],Tab_Calculs[[#This Row],[Début periode livraison]]))</f>
        <v>0</v>
      </c>
      <c r="M1165" s="94" t="e">
        <f ca="1">INDEX(INDIRECT(CONCATENATE("Tab_",Tab_Calculs[[#This Row],[Colonne1]])),Tab_Calculs[[#This Row],[index_date_livraison]]+1,6)*(Tab_Calculs[[#This Row],[fin mois]]-MIN(Tab_Calculs[[#This Row],[fin mois]],Tab_Calculs[[#This Row],[Date_livraison]]))</f>
        <v>#VALUE!</v>
      </c>
      <c r="N1165" s="231" t="str">
        <f ca="1">IFERROR(Tab_Calculs[[#This Row],[Ratio_jour_après_livr]]+Tab_Calculs[[#This Row],[Ratio_jour_avant_livr]]+Tab_Calculs[[#This Row],[ratio_avant_debut]],"")</f>
        <v/>
      </c>
      <c r="O1165" t="e">
        <f ca="1">INDEX(INDIRECT(CONCATENATE("Tab_",Tab_Calculs[[#This Row],[Colonne1]])),Tab_Calculs[[#This Row],[index_date_livraison]]-1,7)*(MAX(Tab_Calculs[[#This Row],[Début periode livraison]],Tab_Calculs[[#This Row],[Début mois]])-Tab_Calculs[[#This Row],[Début mois]])</f>
        <v>#VALUE!</v>
      </c>
      <c r="P1165">
        <f ca="1">INDEX(INDIRECT(CONCATENATE("Tab_",Tab_Calculs[[#This Row],[Colonne1]])),Tab_Calculs[[#This Row],[index_date_livraison]],7)*(1+MIN(Tab_Calculs[[#This Row],[Date_livraison]],Tab_Calculs[[#This Row],[fin mois]])-MAX(Tab_Calculs[[#This Row],[Début mois]],Tab_Calculs[[#This Row],[Début periode livraison]]))</f>
        <v>0</v>
      </c>
      <c r="Q1165" t="e">
        <f ca="1">INDEX(INDIRECT(CONCATENATE("Tab_",Tab_Calculs[[#This Row],[Colonne1]])),Tab_Calculs[[#This Row],[index_date_livraison]]+1,7)*(Tab_Calculs[[#This Row],[fin mois]]-MIN(Tab_Calculs[[#This Row],[fin mois]],Tab_Calculs[[#This Row],[Date_livraison]]))</f>
        <v>#VALUE!</v>
      </c>
      <c r="R1165" t="e">
        <f ca="1">Tab_Calculs[[#This Row],[Ratio_Cout_après_livr]]+Tab_Calculs[[#This Row],[Ratio_Cout_avant_livr]]+Tab_Calculs[[#This Row],[Ratio_Cout_avant_debut]]</f>
        <v>#VALUE!</v>
      </c>
      <c r="S1165" t="str">
        <f ca="1">IFERROR(N1165*VLOOKUP(Tab_Calculs[[#This Row],[Colonne1]],Controle_des_données!$B$7:$G$14,6,FALSE),"")</f>
        <v/>
      </c>
      <c r="T1165" t="str">
        <f ca="1">IF(Tab_Calculs[[#This Row],[Combustible ]]="Electricité (kWh)",Tab_Calculs[[#This Row],[Conso_mois_kWh]]*2.3,Tab_Calculs[[#This Row],[Conso_mois_kWh]])</f>
        <v/>
      </c>
      <c r="U1165" t="str">
        <f ca="1">IFERROR(N1165*VLOOKUP(Tab_Calculs[[#This Row],[Colonne1]],Controle_des_données!$B$7:$H$14,7,FALSE),"")</f>
        <v/>
      </c>
      <c r="V1165">
        <f ca="1">IFERROR(Tab_Calculs[[#This Row],[Cout_mois]]/Tab_Calculs[[#This Row],[Conso_mois_kWh]],0)</f>
        <v>0</v>
      </c>
      <c r="W1165" t="str">
        <f>T(VLOOKUP(Tab_Calculs[[#This Row],[Compteur]],Site!$B$33:$G$40,3,FALSE))</f>
        <v/>
      </c>
      <c r="X1165" t="str">
        <f>T(VLOOKUP(Tab_Calculs[[#This Row],[Compteur]],Site!$B$33:$G$40,4,FALSE))</f>
        <v/>
      </c>
      <c r="Y1165" t="str">
        <f>T(VLOOKUP(Tab_Calculs[[#This Row],[Compteur]],Site!$B$33:$G$40,5,FALSE))</f>
        <v/>
      </c>
      <c r="Z1165" t="str">
        <f>T(VLOOKUP(Tab_Calculs[[#This Row],[Compteur]],Site!$B$33:$G$40,6,FALSE))</f>
        <v/>
      </c>
      <c r="AA1165">
        <f>IFERROR(GETPIVOTDATA("DJU(chauffagiste)",BDD_DJU!$P$13,"annee",Tab_Calculs[[#This Row],[ANNEE]],"mois_numero",Tab_Calculs[[#This Row],[MOIS]]),0)</f>
        <v>155.4</v>
      </c>
    </row>
    <row r="1166" spans="1:27" x14ac:dyDescent="0.25">
      <c r="A1166" s="3">
        <f>DATE(Tab_Calculs[[#This Row],[ANNEE]],Tab_Calculs[[#This Row],[MOIS]],1)</f>
        <v>40330</v>
      </c>
      <c r="B1166" s="3">
        <f>EDATE(Tab_Calculs[[#This Row],[Début mois]],1)-1</f>
        <v>40359</v>
      </c>
      <c r="C1166">
        <v>6</v>
      </c>
      <c r="D1166">
        <v>2010</v>
      </c>
      <c r="E1166" t="s">
        <v>86</v>
      </c>
      <c r="F1166" t="str">
        <f>SUBSTITUTE(Tab_Calculs[[#This Row],[Compteur]]," ","_")</f>
        <v>Compteur_7</v>
      </c>
      <c r="G1166" t="str">
        <f>T(INDEX(Site!$B$33:$G$40, MATCH(Tab_Calculs[[#This Row],[Compteur]], Site!$B$33:$B$40,0),2))</f>
        <v/>
      </c>
      <c r="H1166" s="3">
        <f t="array" aca="1" ref="H1166" ca="1">MIN(IF(INDIRECT(CONCATENATE(Tab_Calculs[[#This Row],[Colonne1]],"!$B$2:$B$243"))&gt;=Calculs_Consos!$A1166,INDIRECT(CONCATENATE(Tab_Calculs[[#This Row],[Colonne1]],"!$B$2:$B$243"))))</f>
        <v>0</v>
      </c>
      <c r="I1166" s="3">
        <f ca="1">INDEX(INDIRECT(CONCATENATE("Tab_",Tab_Calculs[[#This Row],[Colonne1]])),Tab_Calculs[[#This Row],[index_date_livraison]],1)</f>
        <v>0</v>
      </c>
      <c r="J1166">
        <f ca="1">MATCH(Tab_Calculs[[#This Row],[Date_livraison]],INDIRECT(CONCATENATE("Tab_",Tab_Calculs[[#This Row],[Colonne1]],"[Fin de période]")),0)</f>
        <v>1</v>
      </c>
      <c r="K1166" t="e">
        <f ca="1">INDEX(INDIRECT(CONCATENATE("Tab_",Tab_Calculs[[#This Row],[Colonne1]])),Tab_Calculs[[#This Row],[index_date_livraison]]-1,6)*(MAX(Tab_Calculs[[#This Row],[Début periode livraison]],Tab_Calculs[[#This Row],[Début mois]])-Tab_Calculs[[#This Row],[Début mois]])</f>
        <v>#VALUE!</v>
      </c>
      <c r="L1166" s="94">
        <f ca="1">INDEX(INDIRECT(CONCATENATE("Tab_",Tab_Calculs[[#This Row],[Colonne1]])),Tab_Calculs[[#This Row],[index_date_livraison]],6)*(1+MIN(Tab_Calculs[[#This Row],[Date_livraison]],Tab_Calculs[[#This Row],[fin mois]])-MAX(Tab_Calculs[[#This Row],[Début mois]],Tab_Calculs[[#This Row],[Début periode livraison]]))</f>
        <v>0</v>
      </c>
      <c r="M1166" s="94" t="e">
        <f ca="1">INDEX(INDIRECT(CONCATENATE("Tab_",Tab_Calculs[[#This Row],[Colonne1]])),Tab_Calculs[[#This Row],[index_date_livraison]]+1,6)*(Tab_Calculs[[#This Row],[fin mois]]-MIN(Tab_Calculs[[#This Row],[fin mois]],Tab_Calculs[[#This Row],[Date_livraison]]))</f>
        <v>#VALUE!</v>
      </c>
      <c r="N1166" s="231" t="str">
        <f ca="1">IFERROR(Tab_Calculs[[#This Row],[Ratio_jour_après_livr]]+Tab_Calculs[[#This Row],[Ratio_jour_avant_livr]]+Tab_Calculs[[#This Row],[ratio_avant_debut]],"")</f>
        <v/>
      </c>
      <c r="O1166" t="e">
        <f ca="1">INDEX(INDIRECT(CONCATENATE("Tab_",Tab_Calculs[[#This Row],[Colonne1]])),Tab_Calculs[[#This Row],[index_date_livraison]]-1,7)*(MAX(Tab_Calculs[[#This Row],[Début periode livraison]],Tab_Calculs[[#This Row],[Début mois]])-Tab_Calculs[[#This Row],[Début mois]])</f>
        <v>#VALUE!</v>
      </c>
      <c r="P1166">
        <f ca="1">INDEX(INDIRECT(CONCATENATE("Tab_",Tab_Calculs[[#This Row],[Colonne1]])),Tab_Calculs[[#This Row],[index_date_livraison]],7)*(1+MIN(Tab_Calculs[[#This Row],[Date_livraison]],Tab_Calculs[[#This Row],[fin mois]])-MAX(Tab_Calculs[[#This Row],[Début mois]],Tab_Calculs[[#This Row],[Début periode livraison]]))</f>
        <v>0</v>
      </c>
      <c r="Q1166" t="e">
        <f ca="1">INDEX(INDIRECT(CONCATENATE("Tab_",Tab_Calculs[[#This Row],[Colonne1]])),Tab_Calculs[[#This Row],[index_date_livraison]]+1,7)*(Tab_Calculs[[#This Row],[fin mois]]-MIN(Tab_Calculs[[#This Row],[fin mois]],Tab_Calculs[[#This Row],[Date_livraison]]))</f>
        <v>#VALUE!</v>
      </c>
      <c r="R1166" t="e">
        <f ca="1">Tab_Calculs[[#This Row],[Ratio_Cout_après_livr]]+Tab_Calculs[[#This Row],[Ratio_Cout_avant_livr]]+Tab_Calculs[[#This Row],[Ratio_Cout_avant_debut]]</f>
        <v>#VALUE!</v>
      </c>
      <c r="S1166" t="str">
        <f ca="1">IFERROR(N1166*VLOOKUP(Tab_Calculs[[#This Row],[Colonne1]],Controle_des_données!$B$7:$G$14,6,FALSE),"")</f>
        <v/>
      </c>
      <c r="T1166" t="str">
        <f ca="1">IF(Tab_Calculs[[#This Row],[Combustible ]]="Electricité (kWh)",Tab_Calculs[[#This Row],[Conso_mois_kWh]]*2.3,Tab_Calculs[[#This Row],[Conso_mois_kWh]])</f>
        <v/>
      </c>
      <c r="U1166" t="str">
        <f ca="1">IFERROR(N1166*VLOOKUP(Tab_Calculs[[#This Row],[Colonne1]],Controle_des_données!$B$7:$H$14,7,FALSE),"")</f>
        <v/>
      </c>
      <c r="V1166">
        <f ca="1">IFERROR(Tab_Calculs[[#This Row],[Cout_mois]]/Tab_Calculs[[#This Row],[Conso_mois_kWh]],0)</f>
        <v>0</v>
      </c>
      <c r="W1166" t="str">
        <f>T(VLOOKUP(Tab_Calculs[[#This Row],[Compteur]],Site!$B$33:$G$40,3,FALSE))</f>
        <v/>
      </c>
      <c r="X1166" t="str">
        <f>T(VLOOKUP(Tab_Calculs[[#This Row],[Compteur]],Site!$B$33:$G$40,4,FALSE))</f>
        <v/>
      </c>
      <c r="Y1166" t="str">
        <f>T(VLOOKUP(Tab_Calculs[[#This Row],[Compteur]],Site!$B$33:$G$40,5,FALSE))</f>
        <v/>
      </c>
      <c r="Z1166" t="str">
        <f>T(VLOOKUP(Tab_Calculs[[#This Row],[Compteur]],Site!$B$33:$G$40,6,FALSE))</f>
        <v/>
      </c>
      <c r="AA1166">
        <f>IFERROR(GETPIVOTDATA("DJU(chauffagiste)",BDD_DJU!$P$13,"annee",Tab_Calculs[[#This Row],[ANNEE]],"mois_numero",Tab_Calculs[[#This Row],[MOIS]]),0)</f>
        <v>46.7</v>
      </c>
    </row>
    <row r="1167" spans="1:27" x14ac:dyDescent="0.25">
      <c r="A1167" s="3">
        <f>DATE(Tab_Calculs[[#This Row],[ANNEE]],Tab_Calculs[[#This Row],[MOIS]],1)</f>
        <v>40360</v>
      </c>
      <c r="B1167" s="3">
        <f>EDATE(Tab_Calculs[[#This Row],[Début mois]],1)-1</f>
        <v>40390</v>
      </c>
      <c r="C1167">
        <v>7</v>
      </c>
      <c r="D1167">
        <v>2010</v>
      </c>
      <c r="E1167" t="s">
        <v>86</v>
      </c>
      <c r="F1167" t="str">
        <f>SUBSTITUTE(Tab_Calculs[[#This Row],[Compteur]]," ","_")</f>
        <v>Compteur_7</v>
      </c>
      <c r="G1167" t="str">
        <f>T(INDEX(Site!$B$33:$G$40, MATCH(Tab_Calculs[[#This Row],[Compteur]], Site!$B$33:$B$40,0),2))</f>
        <v/>
      </c>
      <c r="H1167" s="3">
        <f t="array" aca="1" ref="H1167" ca="1">MIN(IF(INDIRECT(CONCATENATE(Tab_Calculs[[#This Row],[Colonne1]],"!$B$2:$B$243"))&gt;=Calculs_Consos!$A1167,INDIRECT(CONCATENATE(Tab_Calculs[[#This Row],[Colonne1]],"!$B$2:$B$243"))))</f>
        <v>0</v>
      </c>
      <c r="I1167" s="3">
        <f ca="1">INDEX(INDIRECT(CONCATENATE("Tab_",Tab_Calculs[[#This Row],[Colonne1]])),Tab_Calculs[[#This Row],[index_date_livraison]],1)</f>
        <v>0</v>
      </c>
      <c r="J1167">
        <f ca="1">MATCH(Tab_Calculs[[#This Row],[Date_livraison]],INDIRECT(CONCATENATE("Tab_",Tab_Calculs[[#This Row],[Colonne1]],"[Fin de période]")),0)</f>
        <v>1</v>
      </c>
      <c r="K1167" t="e">
        <f ca="1">INDEX(INDIRECT(CONCATENATE("Tab_",Tab_Calculs[[#This Row],[Colonne1]])),Tab_Calculs[[#This Row],[index_date_livraison]]-1,6)*(MAX(Tab_Calculs[[#This Row],[Début periode livraison]],Tab_Calculs[[#This Row],[Début mois]])-Tab_Calculs[[#This Row],[Début mois]])</f>
        <v>#VALUE!</v>
      </c>
      <c r="L1167" s="94">
        <f ca="1">INDEX(INDIRECT(CONCATENATE("Tab_",Tab_Calculs[[#This Row],[Colonne1]])),Tab_Calculs[[#This Row],[index_date_livraison]],6)*(1+MIN(Tab_Calculs[[#This Row],[Date_livraison]],Tab_Calculs[[#This Row],[fin mois]])-MAX(Tab_Calculs[[#This Row],[Début mois]],Tab_Calculs[[#This Row],[Début periode livraison]]))</f>
        <v>0</v>
      </c>
      <c r="M1167" s="94" t="e">
        <f ca="1">INDEX(INDIRECT(CONCATENATE("Tab_",Tab_Calculs[[#This Row],[Colonne1]])),Tab_Calculs[[#This Row],[index_date_livraison]]+1,6)*(Tab_Calculs[[#This Row],[fin mois]]-MIN(Tab_Calculs[[#This Row],[fin mois]],Tab_Calculs[[#This Row],[Date_livraison]]))</f>
        <v>#VALUE!</v>
      </c>
      <c r="N1167" s="231" t="str">
        <f ca="1">IFERROR(Tab_Calculs[[#This Row],[Ratio_jour_après_livr]]+Tab_Calculs[[#This Row],[Ratio_jour_avant_livr]]+Tab_Calculs[[#This Row],[ratio_avant_debut]],"")</f>
        <v/>
      </c>
      <c r="O1167" t="e">
        <f ca="1">INDEX(INDIRECT(CONCATENATE("Tab_",Tab_Calculs[[#This Row],[Colonne1]])),Tab_Calculs[[#This Row],[index_date_livraison]]-1,7)*(MAX(Tab_Calculs[[#This Row],[Début periode livraison]],Tab_Calculs[[#This Row],[Début mois]])-Tab_Calculs[[#This Row],[Début mois]])</f>
        <v>#VALUE!</v>
      </c>
      <c r="P1167">
        <f ca="1">INDEX(INDIRECT(CONCATENATE("Tab_",Tab_Calculs[[#This Row],[Colonne1]])),Tab_Calculs[[#This Row],[index_date_livraison]],7)*(1+MIN(Tab_Calculs[[#This Row],[Date_livraison]],Tab_Calculs[[#This Row],[fin mois]])-MAX(Tab_Calculs[[#This Row],[Début mois]],Tab_Calculs[[#This Row],[Début periode livraison]]))</f>
        <v>0</v>
      </c>
      <c r="Q1167" t="e">
        <f ca="1">INDEX(INDIRECT(CONCATENATE("Tab_",Tab_Calculs[[#This Row],[Colonne1]])),Tab_Calculs[[#This Row],[index_date_livraison]]+1,7)*(Tab_Calculs[[#This Row],[fin mois]]-MIN(Tab_Calculs[[#This Row],[fin mois]],Tab_Calculs[[#This Row],[Date_livraison]]))</f>
        <v>#VALUE!</v>
      </c>
      <c r="R1167" t="e">
        <f ca="1">Tab_Calculs[[#This Row],[Ratio_Cout_après_livr]]+Tab_Calculs[[#This Row],[Ratio_Cout_avant_livr]]+Tab_Calculs[[#This Row],[Ratio_Cout_avant_debut]]</f>
        <v>#VALUE!</v>
      </c>
      <c r="S1167" t="str">
        <f ca="1">IFERROR(N1167*VLOOKUP(Tab_Calculs[[#This Row],[Colonne1]],Controle_des_données!$B$7:$G$14,6,FALSE),"")</f>
        <v/>
      </c>
      <c r="T1167" t="str">
        <f ca="1">IF(Tab_Calculs[[#This Row],[Combustible ]]="Electricité (kWh)",Tab_Calculs[[#This Row],[Conso_mois_kWh]]*2.3,Tab_Calculs[[#This Row],[Conso_mois_kWh]])</f>
        <v/>
      </c>
      <c r="U1167" t="str">
        <f ca="1">IFERROR(N1167*VLOOKUP(Tab_Calculs[[#This Row],[Colonne1]],Controle_des_données!$B$7:$H$14,7,FALSE),"")</f>
        <v/>
      </c>
      <c r="V1167">
        <f ca="1">IFERROR(Tab_Calculs[[#This Row],[Cout_mois]]/Tab_Calculs[[#This Row],[Conso_mois_kWh]],0)</f>
        <v>0</v>
      </c>
      <c r="W1167" t="str">
        <f>T(VLOOKUP(Tab_Calculs[[#This Row],[Compteur]],Site!$B$33:$G$40,3,FALSE))</f>
        <v/>
      </c>
      <c r="X1167" t="str">
        <f>T(VLOOKUP(Tab_Calculs[[#This Row],[Compteur]],Site!$B$33:$G$40,4,FALSE))</f>
        <v/>
      </c>
      <c r="Y1167" t="str">
        <f>T(VLOOKUP(Tab_Calculs[[#This Row],[Compteur]],Site!$B$33:$G$40,5,FALSE))</f>
        <v/>
      </c>
      <c r="Z1167" t="str">
        <f>T(VLOOKUP(Tab_Calculs[[#This Row],[Compteur]],Site!$B$33:$G$40,6,FALSE))</f>
        <v/>
      </c>
      <c r="AA1167">
        <f>IFERROR(GETPIVOTDATA("DJU(chauffagiste)",BDD_DJU!$P$13,"annee",Tab_Calculs[[#This Row],[ANNEE]],"mois_numero",Tab_Calculs[[#This Row],[MOIS]]),0)</f>
        <v>22.2</v>
      </c>
    </row>
    <row r="1168" spans="1:27" x14ac:dyDescent="0.25">
      <c r="A1168" s="3">
        <f>DATE(Tab_Calculs[[#This Row],[ANNEE]],Tab_Calculs[[#This Row],[MOIS]],1)</f>
        <v>40391</v>
      </c>
      <c r="B1168" s="3">
        <f>EDATE(Tab_Calculs[[#This Row],[Début mois]],1)-1</f>
        <v>40421</v>
      </c>
      <c r="C1168">
        <v>8</v>
      </c>
      <c r="D1168">
        <v>2010</v>
      </c>
      <c r="E1168" t="s">
        <v>86</v>
      </c>
      <c r="F1168" t="str">
        <f>SUBSTITUTE(Tab_Calculs[[#This Row],[Compteur]]," ","_")</f>
        <v>Compteur_7</v>
      </c>
      <c r="G1168" t="str">
        <f>T(INDEX(Site!$B$33:$G$40, MATCH(Tab_Calculs[[#This Row],[Compteur]], Site!$B$33:$B$40,0),2))</f>
        <v/>
      </c>
      <c r="H1168" s="3">
        <f t="array" aca="1" ref="H1168" ca="1">MIN(IF(INDIRECT(CONCATENATE(Tab_Calculs[[#This Row],[Colonne1]],"!$B$2:$B$243"))&gt;=Calculs_Consos!$A1168,INDIRECT(CONCATENATE(Tab_Calculs[[#This Row],[Colonne1]],"!$B$2:$B$243"))))</f>
        <v>0</v>
      </c>
      <c r="I1168" s="3">
        <f ca="1">INDEX(INDIRECT(CONCATENATE("Tab_",Tab_Calculs[[#This Row],[Colonne1]])),Tab_Calculs[[#This Row],[index_date_livraison]],1)</f>
        <v>0</v>
      </c>
      <c r="J1168">
        <f ca="1">MATCH(Tab_Calculs[[#This Row],[Date_livraison]],INDIRECT(CONCATENATE("Tab_",Tab_Calculs[[#This Row],[Colonne1]],"[Fin de période]")),0)</f>
        <v>1</v>
      </c>
      <c r="K1168" t="e">
        <f ca="1">INDEX(INDIRECT(CONCATENATE("Tab_",Tab_Calculs[[#This Row],[Colonne1]])),Tab_Calculs[[#This Row],[index_date_livraison]]-1,6)*(MAX(Tab_Calculs[[#This Row],[Début periode livraison]],Tab_Calculs[[#This Row],[Début mois]])-Tab_Calculs[[#This Row],[Début mois]])</f>
        <v>#VALUE!</v>
      </c>
      <c r="L1168" s="94">
        <f ca="1">INDEX(INDIRECT(CONCATENATE("Tab_",Tab_Calculs[[#This Row],[Colonne1]])),Tab_Calculs[[#This Row],[index_date_livraison]],6)*(1+MIN(Tab_Calculs[[#This Row],[Date_livraison]],Tab_Calculs[[#This Row],[fin mois]])-MAX(Tab_Calculs[[#This Row],[Début mois]],Tab_Calculs[[#This Row],[Début periode livraison]]))</f>
        <v>0</v>
      </c>
      <c r="M1168" s="94" t="e">
        <f ca="1">INDEX(INDIRECT(CONCATENATE("Tab_",Tab_Calculs[[#This Row],[Colonne1]])),Tab_Calculs[[#This Row],[index_date_livraison]]+1,6)*(Tab_Calculs[[#This Row],[fin mois]]-MIN(Tab_Calculs[[#This Row],[fin mois]],Tab_Calculs[[#This Row],[Date_livraison]]))</f>
        <v>#VALUE!</v>
      </c>
      <c r="N1168" s="231" t="str">
        <f ca="1">IFERROR(Tab_Calculs[[#This Row],[Ratio_jour_après_livr]]+Tab_Calculs[[#This Row],[Ratio_jour_avant_livr]]+Tab_Calculs[[#This Row],[ratio_avant_debut]],"")</f>
        <v/>
      </c>
      <c r="O1168" t="e">
        <f ca="1">INDEX(INDIRECT(CONCATENATE("Tab_",Tab_Calculs[[#This Row],[Colonne1]])),Tab_Calculs[[#This Row],[index_date_livraison]]-1,7)*(MAX(Tab_Calculs[[#This Row],[Début periode livraison]],Tab_Calculs[[#This Row],[Début mois]])-Tab_Calculs[[#This Row],[Début mois]])</f>
        <v>#VALUE!</v>
      </c>
      <c r="P1168">
        <f ca="1">INDEX(INDIRECT(CONCATENATE("Tab_",Tab_Calculs[[#This Row],[Colonne1]])),Tab_Calculs[[#This Row],[index_date_livraison]],7)*(1+MIN(Tab_Calculs[[#This Row],[Date_livraison]],Tab_Calculs[[#This Row],[fin mois]])-MAX(Tab_Calculs[[#This Row],[Début mois]],Tab_Calculs[[#This Row],[Début periode livraison]]))</f>
        <v>0</v>
      </c>
      <c r="Q1168" t="e">
        <f ca="1">INDEX(INDIRECT(CONCATENATE("Tab_",Tab_Calculs[[#This Row],[Colonne1]])),Tab_Calculs[[#This Row],[index_date_livraison]]+1,7)*(Tab_Calculs[[#This Row],[fin mois]]-MIN(Tab_Calculs[[#This Row],[fin mois]],Tab_Calculs[[#This Row],[Date_livraison]]))</f>
        <v>#VALUE!</v>
      </c>
      <c r="R1168" t="e">
        <f ca="1">Tab_Calculs[[#This Row],[Ratio_Cout_après_livr]]+Tab_Calculs[[#This Row],[Ratio_Cout_avant_livr]]+Tab_Calculs[[#This Row],[Ratio_Cout_avant_debut]]</f>
        <v>#VALUE!</v>
      </c>
      <c r="S1168" t="str">
        <f ca="1">IFERROR(N1168*VLOOKUP(Tab_Calculs[[#This Row],[Colonne1]],Controle_des_données!$B$7:$G$14,6,FALSE),"")</f>
        <v/>
      </c>
      <c r="T1168" t="str">
        <f ca="1">IF(Tab_Calculs[[#This Row],[Combustible ]]="Electricité (kWh)",Tab_Calculs[[#This Row],[Conso_mois_kWh]]*2.3,Tab_Calculs[[#This Row],[Conso_mois_kWh]])</f>
        <v/>
      </c>
      <c r="U1168" t="str">
        <f ca="1">IFERROR(N1168*VLOOKUP(Tab_Calculs[[#This Row],[Colonne1]],Controle_des_données!$B$7:$H$14,7,FALSE),"")</f>
        <v/>
      </c>
      <c r="V1168">
        <f ca="1">IFERROR(Tab_Calculs[[#This Row],[Cout_mois]]/Tab_Calculs[[#This Row],[Conso_mois_kWh]],0)</f>
        <v>0</v>
      </c>
      <c r="W1168" t="str">
        <f>T(VLOOKUP(Tab_Calculs[[#This Row],[Compteur]],Site!$B$33:$G$40,3,FALSE))</f>
        <v/>
      </c>
      <c r="X1168" t="str">
        <f>T(VLOOKUP(Tab_Calculs[[#This Row],[Compteur]],Site!$B$33:$G$40,4,FALSE))</f>
        <v/>
      </c>
      <c r="Y1168" t="str">
        <f>T(VLOOKUP(Tab_Calculs[[#This Row],[Compteur]],Site!$B$33:$G$40,5,FALSE))</f>
        <v/>
      </c>
      <c r="Z1168" t="str">
        <f>T(VLOOKUP(Tab_Calculs[[#This Row],[Compteur]],Site!$B$33:$G$40,6,FALSE))</f>
        <v/>
      </c>
      <c r="AA1168">
        <f>IFERROR(GETPIVOTDATA("DJU(chauffagiste)",BDD_DJU!$P$13,"annee",Tab_Calculs[[#This Row],[ANNEE]],"mois_numero",Tab_Calculs[[#This Row],[MOIS]]),0)</f>
        <v>41.5</v>
      </c>
    </row>
    <row r="1169" spans="1:27" x14ac:dyDescent="0.25">
      <c r="A1169" s="3">
        <f>DATE(Tab_Calculs[[#This Row],[ANNEE]],Tab_Calculs[[#This Row],[MOIS]],1)</f>
        <v>40422</v>
      </c>
      <c r="B1169" s="3">
        <f>EDATE(Tab_Calculs[[#This Row],[Début mois]],1)-1</f>
        <v>40451</v>
      </c>
      <c r="C1169">
        <v>9</v>
      </c>
      <c r="D1169">
        <v>2010</v>
      </c>
      <c r="E1169" t="s">
        <v>86</v>
      </c>
      <c r="F1169" t="str">
        <f>SUBSTITUTE(Tab_Calculs[[#This Row],[Compteur]]," ","_")</f>
        <v>Compteur_7</v>
      </c>
      <c r="G1169" t="str">
        <f>T(INDEX(Site!$B$33:$G$40, MATCH(Tab_Calculs[[#This Row],[Compteur]], Site!$B$33:$B$40,0),2))</f>
        <v/>
      </c>
      <c r="H1169" s="3">
        <f t="array" aca="1" ref="H1169" ca="1">MIN(IF(INDIRECT(CONCATENATE(Tab_Calculs[[#This Row],[Colonne1]],"!$B$2:$B$243"))&gt;=Calculs_Consos!$A1169,INDIRECT(CONCATENATE(Tab_Calculs[[#This Row],[Colonne1]],"!$B$2:$B$243"))))</f>
        <v>0</v>
      </c>
      <c r="I1169" s="3">
        <f ca="1">INDEX(INDIRECT(CONCATENATE("Tab_",Tab_Calculs[[#This Row],[Colonne1]])),Tab_Calculs[[#This Row],[index_date_livraison]],1)</f>
        <v>0</v>
      </c>
      <c r="J1169">
        <f ca="1">MATCH(Tab_Calculs[[#This Row],[Date_livraison]],INDIRECT(CONCATENATE("Tab_",Tab_Calculs[[#This Row],[Colonne1]],"[Fin de période]")),0)</f>
        <v>1</v>
      </c>
      <c r="K1169" t="e">
        <f ca="1">INDEX(INDIRECT(CONCATENATE("Tab_",Tab_Calculs[[#This Row],[Colonne1]])),Tab_Calculs[[#This Row],[index_date_livraison]]-1,6)*(MAX(Tab_Calculs[[#This Row],[Début periode livraison]],Tab_Calculs[[#This Row],[Début mois]])-Tab_Calculs[[#This Row],[Début mois]])</f>
        <v>#VALUE!</v>
      </c>
      <c r="L1169" s="94">
        <f ca="1">INDEX(INDIRECT(CONCATENATE("Tab_",Tab_Calculs[[#This Row],[Colonne1]])),Tab_Calculs[[#This Row],[index_date_livraison]],6)*(1+MIN(Tab_Calculs[[#This Row],[Date_livraison]],Tab_Calculs[[#This Row],[fin mois]])-MAX(Tab_Calculs[[#This Row],[Début mois]],Tab_Calculs[[#This Row],[Début periode livraison]]))</f>
        <v>0</v>
      </c>
      <c r="M1169" s="94" t="e">
        <f ca="1">INDEX(INDIRECT(CONCATENATE("Tab_",Tab_Calculs[[#This Row],[Colonne1]])),Tab_Calculs[[#This Row],[index_date_livraison]]+1,6)*(Tab_Calculs[[#This Row],[fin mois]]-MIN(Tab_Calculs[[#This Row],[fin mois]],Tab_Calculs[[#This Row],[Date_livraison]]))</f>
        <v>#VALUE!</v>
      </c>
      <c r="N1169" s="231" t="str">
        <f ca="1">IFERROR(Tab_Calculs[[#This Row],[Ratio_jour_après_livr]]+Tab_Calculs[[#This Row],[Ratio_jour_avant_livr]]+Tab_Calculs[[#This Row],[ratio_avant_debut]],"")</f>
        <v/>
      </c>
      <c r="O1169" t="e">
        <f ca="1">INDEX(INDIRECT(CONCATENATE("Tab_",Tab_Calculs[[#This Row],[Colonne1]])),Tab_Calculs[[#This Row],[index_date_livraison]]-1,7)*(MAX(Tab_Calculs[[#This Row],[Début periode livraison]],Tab_Calculs[[#This Row],[Début mois]])-Tab_Calculs[[#This Row],[Début mois]])</f>
        <v>#VALUE!</v>
      </c>
      <c r="P1169">
        <f ca="1">INDEX(INDIRECT(CONCATENATE("Tab_",Tab_Calculs[[#This Row],[Colonne1]])),Tab_Calculs[[#This Row],[index_date_livraison]],7)*(1+MIN(Tab_Calculs[[#This Row],[Date_livraison]],Tab_Calculs[[#This Row],[fin mois]])-MAX(Tab_Calculs[[#This Row],[Début mois]],Tab_Calculs[[#This Row],[Début periode livraison]]))</f>
        <v>0</v>
      </c>
      <c r="Q1169" t="e">
        <f ca="1">INDEX(INDIRECT(CONCATENATE("Tab_",Tab_Calculs[[#This Row],[Colonne1]])),Tab_Calculs[[#This Row],[index_date_livraison]]+1,7)*(Tab_Calculs[[#This Row],[fin mois]]-MIN(Tab_Calculs[[#This Row],[fin mois]],Tab_Calculs[[#This Row],[Date_livraison]]))</f>
        <v>#VALUE!</v>
      </c>
      <c r="R1169" t="e">
        <f ca="1">Tab_Calculs[[#This Row],[Ratio_Cout_après_livr]]+Tab_Calculs[[#This Row],[Ratio_Cout_avant_livr]]+Tab_Calculs[[#This Row],[Ratio_Cout_avant_debut]]</f>
        <v>#VALUE!</v>
      </c>
      <c r="S1169" t="str">
        <f ca="1">IFERROR(N1169*VLOOKUP(Tab_Calculs[[#This Row],[Colonne1]],Controle_des_données!$B$7:$G$14,6,FALSE),"")</f>
        <v/>
      </c>
      <c r="T1169" t="str">
        <f ca="1">IF(Tab_Calculs[[#This Row],[Combustible ]]="Electricité (kWh)",Tab_Calculs[[#This Row],[Conso_mois_kWh]]*2.3,Tab_Calculs[[#This Row],[Conso_mois_kWh]])</f>
        <v/>
      </c>
      <c r="U1169" t="str">
        <f ca="1">IFERROR(N1169*VLOOKUP(Tab_Calculs[[#This Row],[Colonne1]],Controle_des_données!$B$7:$H$14,7,FALSE),"")</f>
        <v/>
      </c>
      <c r="V1169">
        <f ca="1">IFERROR(Tab_Calculs[[#This Row],[Cout_mois]]/Tab_Calculs[[#This Row],[Conso_mois_kWh]],0)</f>
        <v>0</v>
      </c>
      <c r="W1169" t="str">
        <f>T(VLOOKUP(Tab_Calculs[[#This Row],[Compteur]],Site!$B$33:$G$40,3,FALSE))</f>
        <v/>
      </c>
      <c r="X1169" t="str">
        <f>T(VLOOKUP(Tab_Calculs[[#This Row],[Compteur]],Site!$B$33:$G$40,4,FALSE))</f>
        <v/>
      </c>
      <c r="Y1169" t="str">
        <f>T(VLOOKUP(Tab_Calculs[[#This Row],[Compteur]],Site!$B$33:$G$40,5,FALSE))</f>
        <v/>
      </c>
      <c r="Z1169" t="str">
        <f>T(VLOOKUP(Tab_Calculs[[#This Row],[Compteur]],Site!$B$33:$G$40,6,FALSE))</f>
        <v/>
      </c>
      <c r="AA1169">
        <f>IFERROR(GETPIVOTDATA("DJU(chauffagiste)",BDD_DJU!$P$13,"annee",Tab_Calculs[[#This Row],[ANNEE]],"mois_numero",Tab_Calculs[[#This Row],[MOIS]]),0)</f>
        <v>95.4</v>
      </c>
    </row>
    <row r="1170" spans="1:27" x14ac:dyDescent="0.25">
      <c r="A1170" s="3">
        <f>DATE(Tab_Calculs[[#This Row],[ANNEE]],Tab_Calculs[[#This Row],[MOIS]],1)</f>
        <v>40452</v>
      </c>
      <c r="B1170" s="3">
        <f>EDATE(Tab_Calculs[[#This Row],[Début mois]],1)-1</f>
        <v>40482</v>
      </c>
      <c r="C1170">
        <v>10</v>
      </c>
      <c r="D1170">
        <v>2010</v>
      </c>
      <c r="E1170" t="s">
        <v>86</v>
      </c>
      <c r="F1170" t="str">
        <f>SUBSTITUTE(Tab_Calculs[[#This Row],[Compteur]]," ","_")</f>
        <v>Compteur_7</v>
      </c>
      <c r="G1170" t="str">
        <f>T(INDEX(Site!$B$33:$G$40, MATCH(Tab_Calculs[[#This Row],[Compteur]], Site!$B$33:$B$40,0),2))</f>
        <v/>
      </c>
      <c r="H1170" s="3">
        <f t="array" aca="1" ref="H1170" ca="1">MIN(IF(INDIRECT(CONCATENATE(Tab_Calculs[[#This Row],[Colonne1]],"!$B$2:$B$243"))&gt;=Calculs_Consos!$A1170,INDIRECT(CONCATENATE(Tab_Calculs[[#This Row],[Colonne1]],"!$B$2:$B$243"))))</f>
        <v>0</v>
      </c>
      <c r="I1170" s="3">
        <f ca="1">INDEX(INDIRECT(CONCATENATE("Tab_",Tab_Calculs[[#This Row],[Colonne1]])),Tab_Calculs[[#This Row],[index_date_livraison]],1)</f>
        <v>0</v>
      </c>
      <c r="J1170">
        <f ca="1">MATCH(Tab_Calculs[[#This Row],[Date_livraison]],INDIRECT(CONCATENATE("Tab_",Tab_Calculs[[#This Row],[Colonne1]],"[Fin de période]")),0)</f>
        <v>1</v>
      </c>
      <c r="K1170" t="e">
        <f ca="1">INDEX(INDIRECT(CONCATENATE("Tab_",Tab_Calculs[[#This Row],[Colonne1]])),Tab_Calculs[[#This Row],[index_date_livraison]]-1,6)*(MAX(Tab_Calculs[[#This Row],[Début periode livraison]],Tab_Calculs[[#This Row],[Début mois]])-Tab_Calculs[[#This Row],[Début mois]])</f>
        <v>#VALUE!</v>
      </c>
      <c r="L1170" s="94">
        <f ca="1">INDEX(INDIRECT(CONCATENATE("Tab_",Tab_Calculs[[#This Row],[Colonne1]])),Tab_Calculs[[#This Row],[index_date_livraison]],6)*(1+MIN(Tab_Calculs[[#This Row],[Date_livraison]],Tab_Calculs[[#This Row],[fin mois]])-MAX(Tab_Calculs[[#This Row],[Début mois]],Tab_Calculs[[#This Row],[Début periode livraison]]))</f>
        <v>0</v>
      </c>
      <c r="M1170" s="94" t="e">
        <f ca="1">INDEX(INDIRECT(CONCATENATE("Tab_",Tab_Calculs[[#This Row],[Colonne1]])),Tab_Calculs[[#This Row],[index_date_livraison]]+1,6)*(Tab_Calculs[[#This Row],[fin mois]]-MIN(Tab_Calculs[[#This Row],[fin mois]],Tab_Calculs[[#This Row],[Date_livraison]]))</f>
        <v>#VALUE!</v>
      </c>
      <c r="N1170" s="231" t="str">
        <f ca="1">IFERROR(Tab_Calculs[[#This Row],[Ratio_jour_après_livr]]+Tab_Calculs[[#This Row],[Ratio_jour_avant_livr]]+Tab_Calculs[[#This Row],[ratio_avant_debut]],"")</f>
        <v/>
      </c>
      <c r="O1170" t="e">
        <f ca="1">INDEX(INDIRECT(CONCATENATE("Tab_",Tab_Calculs[[#This Row],[Colonne1]])),Tab_Calculs[[#This Row],[index_date_livraison]]-1,7)*(MAX(Tab_Calculs[[#This Row],[Début periode livraison]],Tab_Calculs[[#This Row],[Début mois]])-Tab_Calculs[[#This Row],[Début mois]])</f>
        <v>#VALUE!</v>
      </c>
      <c r="P1170">
        <f ca="1">INDEX(INDIRECT(CONCATENATE("Tab_",Tab_Calculs[[#This Row],[Colonne1]])),Tab_Calculs[[#This Row],[index_date_livraison]],7)*(1+MIN(Tab_Calculs[[#This Row],[Date_livraison]],Tab_Calculs[[#This Row],[fin mois]])-MAX(Tab_Calculs[[#This Row],[Début mois]],Tab_Calculs[[#This Row],[Début periode livraison]]))</f>
        <v>0</v>
      </c>
      <c r="Q1170" t="e">
        <f ca="1">INDEX(INDIRECT(CONCATENATE("Tab_",Tab_Calculs[[#This Row],[Colonne1]])),Tab_Calculs[[#This Row],[index_date_livraison]]+1,7)*(Tab_Calculs[[#This Row],[fin mois]]-MIN(Tab_Calculs[[#This Row],[fin mois]],Tab_Calculs[[#This Row],[Date_livraison]]))</f>
        <v>#VALUE!</v>
      </c>
      <c r="R1170" t="e">
        <f ca="1">Tab_Calculs[[#This Row],[Ratio_Cout_après_livr]]+Tab_Calculs[[#This Row],[Ratio_Cout_avant_livr]]+Tab_Calculs[[#This Row],[Ratio_Cout_avant_debut]]</f>
        <v>#VALUE!</v>
      </c>
      <c r="S1170" t="str">
        <f ca="1">IFERROR(N1170*VLOOKUP(Tab_Calculs[[#This Row],[Colonne1]],Controle_des_données!$B$7:$G$14,6,FALSE),"")</f>
        <v/>
      </c>
      <c r="T1170" t="str">
        <f ca="1">IF(Tab_Calculs[[#This Row],[Combustible ]]="Electricité (kWh)",Tab_Calculs[[#This Row],[Conso_mois_kWh]]*2.3,Tab_Calculs[[#This Row],[Conso_mois_kWh]])</f>
        <v/>
      </c>
      <c r="U1170" t="str">
        <f ca="1">IFERROR(N1170*VLOOKUP(Tab_Calculs[[#This Row],[Colonne1]],Controle_des_données!$B$7:$H$14,7,FALSE),"")</f>
        <v/>
      </c>
      <c r="V1170">
        <f ca="1">IFERROR(Tab_Calculs[[#This Row],[Cout_mois]]/Tab_Calculs[[#This Row],[Conso_mois_kWh]],0)</f>
        <v>0</v>
      </c>
      <c r="W1170" t="str">
        <f>T(VLOOKUP(Tab_Calculs[[#This Row],[Compteur]],Site!$B$33:$G$40,3,FALSE))</f>
        <v/>
      </c>
      <c r="X1170" t="str">
        <f>T(VLOOKUP(Tab_Calculs[[#This Row],[Compteur]],Site!$B$33:$G$40,4,FALSE))</f>
        <v/>
      </c>
      <c r="Y1170" t="str">
        <f>T(VLOOKUP(Tab_Calculs[[#This Row],[Compteur]],Site!$B$33:$G$40,5,FALSE))</f>
        <v/>
      </c>
      <c r="Z1170" t="str">
        <f>T(VLOOKUP(Tab_Calculs[[#This Row],[Compteur]],Site!$B$33:$G$40,6,FALSE))</f>
        <v/>
      </c>
      <c r="AA1170">
        <f>IFERROR(GETPIVOTDATA("DJU(chauffagiste)",BDD_DJU!$P$13,"annee",Tab_Calculs[[#This Row],[ANNEE]],"mois_numero",Tab_Calculs[[#This Row],[MOIS]]),0)</f>
        <v>190.1</v>
      </c>
    </row>
    <row r="1171" spans="1:27" x14ac:dyDescent="0.25">
      <c r="A1171" s="3">
        <f>DATE(Tab_Calculs[[#This Row],[ANNEE]],Tab_Calculs[[#This Row],[MOIS]],1)</f>
        <v>40483</v>
      </c>
      <c r="B1171" s="3">
        <f>EDATE(Tab_Calculs[[#This Row],[Début mois]],1)-1</f>
        <v>40512</v>
      </c>
      <c r="C1171">
        <v>11</v>
      </c>
      <c r="D1171">
        <v>2010</v>
      </c>
      <c r="E1171" t="s">
        <v>86</v>
      </c>
      <c r="F1171" t="str">
        <f>SUBSTITUTE(Tab_Calculs[[#This Row],[Compteur]]," ","_")</f>
        <v>Compteur_7</v>
      </c>
      <c r="G1171" t="str">
        <f>T(INDEX(Site!$B$33:$G$40, MATCH(Tab_Calculs[[#This Row],[Compteur]], Site!$B$33:$B$40,0),2))</f>
        <v/>
      </c>
      <c r="H1171" s="3">
        <f t="array" aca="1" ref="H1171" ca="1">MIN(IF(INDIRECT(CONCATENATE(Tab_Calculs[[#This Row],[Colonne1]],"!$B$2:$B$243"))&gt;=Calculs_Consos!$A1171,INDIRECT(CONCATENATE(Tab_Calculs[[#This Row],[Colonne1]],"!$B$2:$B$243"))))</f>
        <v>0</v>
      </c>
      <c r="I1171" s="3">
        <f ca="1">INDEX(INDIRECT(CONCATENATE("Tab_",Tab_Calculs[[#This Row],[Colonne1]])),Tab_Calculs[[#This Row],[index_date_livraison]],1)</f>
        <v>0</v>
      </c>
      <c r="J1171">
        <f ca="1">MATCH(Tab_Calculs[[#This Row],[Date_livraison]],INDIRECT(CONCATENATE("Tab_",Tab_Calculs[[#This Row],[Colonne1]],"[Fin de période]")),0)</f>
        <v>1</v>
      </c>
      <c r="K1171" t="e">
        <f ca="1">INDEX(INDIRECT(CONCATENATE("Tab_",Tab_Calculs[[#This Row],[Colonne1]])),Tab_Calculs[[#This Row],[index_date_livraison]]-1,6)*(MAX(Tab_Calculs[[#This Row],[Début periode livraison]],Tab_Calculs[[#This Row],[Début mois]])-Tab_Calculs[[#This Row],[Début mois]])</f>
        <v>#VALUE!</v>
      </c>
      <c r="L1171" s="94">
        <f ca="1">INDEX(INDIRECT(CONCATENATE("Tab_",Tab_Calculs[[#This Row],[Colonne1]])),Tab_Calculs[[#This Row],[index_date_livraison]],6)*(1+MIN(Tab_Calculs[[#This Row],[Date_livraison]],Tab_Calculs[[#This Row],[fin mois]])-MAX(Tab_Calculs[[#This Row],[Début mois]],Tab_Calculs[[#This Row],[Début periode livraison]]))</f>
        <v>0</v>
      </c>
      <c r="M1171" s="94" t="e">
        <f ca="1">INDEX(INDIRECT(CONCATENATE("Tab_",Tab_Calculs[[#This Row],[Colonne1]])),Tab_Calculs[[#This Row],[index_date_livraison]]+1,6)*(Tab_Calculs[[#This Row],[fin mois]]-MIN(Tab_Calculs[[#This Row],[fin mois]],Tab_Calculs[[#This Row],[Date_livraison]]))</f>
        <v>#VALUE!</v>
      </c>
      <c r="N1171" s="231" t="str">
        <f ca="1">IFERROR(Tab_Calculs[[#This Row],[Ratio_jour_après_livr]]+Tab_Calculs[[#This Row],[Ratio_jour_avant_livr]]+Tab_Calculs[[#This Row],[ratio_avant_debut]],"")</f>
        <v/>
      </c>
      <c r="O1171" t="e">
        <f ca="1">INDEX(INDIRECT(CONCATENATE("Tab_",Tab_Calculs[[#This Row],[Colonne1]])),Tab_Calculs[[#This Row],[index_date_livraison]]-1,7)*(MAX(Tab_Calculs[[#This Row],[Début periode livraison]],Tab_Calculs[[#This Row],[Début mois]])-Tab_Calculs[[#This Row],[Début mois]])</f>
        <v>#VALUE!</v>
      </c>
      <c r="P1171">
        <f ca="1">INDEX(INDIRECT(CONCATENATE("Tab_",Tab_Calculs[[#This Row],[Colonne1]])),Tab_Calculs[[#This Row],[index_date_livraison]],7)*(1+MIN(Tab_Calculs[[#This Row],[Date_livraison]],Tab_Calculs[[#This Row],[fin mois]])-MAX(Tab_Calculs[[#This Row],[Début mois]],Tab_Calculs[[#This Row],[Début periode livraison]]))</f>
        <v>0</v>
      </c>
      <c r="Q1171" t="e">
        <f ca="1">INDEX(INDIRECT(CONCATENATE("Tab_",Tab_Calculs[[#This Row],[Colonne1]])),Tab_Calculs[[#This Row],[index_date_livraison]]+1,7)*(Tab_Calculs[[#This Row],[fin mois]]-MIN(Tab_Calculs[[#This Row],[fin mois]],Tab_Calculs[[#This Row],[Date_livraison]]))</f>
        <v>#VALUE!</v>
      </c>
      <c r="R1171" t="e">
        <f ca="1">Tab_Calculs[[#This Row],[Ratio_Cout_après_livr]]+Tab_Calculs[[#This Row],[Ratio_Cout_avant_livr]]+Tab_Calculs[[#This Row],[Ratio_Cout_avant_debut]]</f>
        <v>#VALUE!</v>
      </c>
      <c r="S1171" t="str">
        <f ca="1">IFERROR(N1171*VLOOKUP(Tab_Calculs[[#This Row],[Colonne1]],Controle_des_données!$B$7:$G$14,6,FALSE),"")</f>
        <v/>
      </c>
      <c r="T1171" t="str">
        <f ca="1">IF(Tab_Calculs[[#This Row],[Combustible ]]="Electricité (kWh)",Tab_Calculs[[#This Row],[Conso_mois_kWh]]*2.3,Tab_Calculs[[#This Row],[Conso_mois_kWh]])</f>
        <v/>
      </c>
      <c r="U1171" t="str">
        <f ca="1">IFERROR(N1171*VLOOKUP(Tab_Calculs[[#This Row],[Colonne1]],Controle_des_données!$B$7:$H$14,7,FALSE),"")</f>
        <v/>
      </c>
      <c r="V1171">
        <f ca="1">IFERROR(Tab_Calculs[[#This Row],[Cout_mois]]/Tab_Calculs[[#This Row],[Conso_mois_kWh]],0)</f>
        <v>0</v>
      </c>
      <c r="W1171" t="str">
        <f>T(VLOOKUP(Tab_Calculs[[#This Row],[Compteur]],Site!$B$33:$G$40,3,FALSE))</f>
        <v/>
      </c>
      <c r="X1171" t="str">
        <f>T(VLOOKUP(Tab_Calculs[[#This Row],[Compteur]],Site!$B$33:$G$40,4,FALSE))</f>
        <v/>
      </c>
      <c r="Y1171" t="str">
        <f>T(VLOOKUP(Tab_Calculs[[#This Row],[Compteur]],Site!$B$33:$G$40,5,FALSE))</f>
        <v/>
      </c>
      <c r="Z1171" t="str">
        <f>T(VLOOKUP(Tab_Calculs[[#This Row],[Compteur]],Site!$B$33:$G$40,6,FALSE))</f>
        <v/>
      </c>
      <c r="AA1171">
        <f>IFERROR(GETPIVOTDATA("DJU(chauffagiste)",BDD_DJU!$P$13,"annee",Tab_Calculs[[#This Row],[ANNEE]],"mois_numero",Tab_Calculs[[#This Row],[MOIS]]),0)</f>
        <v>320.89999999999998</v>
      </c>
    </row>
    <row r="1172" spans="1:27" x14ac:dyDescent="0.25">
      <c r="A1172" s="3">
        <f>DATE(Tab_Calculs[[#This Row],[ANNEE]],Tab_Calculs[[#This Row],[MOIS]],1)</f>
        <v>40513</v>
      </c>
      <c r="B1172" s="3">
        <f>EDATE(Tab_Calculs[[#This Row],[Début mois]],1)-1</f>
        <v>40543</v>
      </c>
      <c r="C1172">
        <v>12</v>
      </c>
      <c r="D1172">
        <v>2010</v>
      </c>
      <c r="E1172" t="s">
        <v>86</v>
      </c>
      <c r="F1172" t="str">
        <f>SUBSTITUTE(Tab_Calculs[[#This Row],[Compteur]]," ","_")</f>
        <v>Compteur_7</v>
      </c>
      <c r="G1172" t="str">
        <f>T(INDEX(Site!$B$33:$G$40, MATCH(Tab_Calculs[[#This Row],[Compteur]], Site!$B$33:$B$40,0),2))</f>
        <v/>
      </c>
      <c r="H1172" s="3">
        <f t="array" aca="1" ref="H1172" ca="1">MIN(IF(INDIRECT(CONCATENATE(Tab_Calculs[[#This Row],[Colonne1]],"!$B$2:$B$243"))&gt;=Calculs_Consos!$A1172,INDIRECT(CONCATENATE(Tab_Calculs[[#This Row],[Colonne1]],"!$B$2:$B$243"))))</f>
        <v>0</v>
      </c>
      <c r="I1172" s="3">
        <f ca="1">INDEX(INDIRECT(CONCATENATE("Tab_",Tab_Calculs[[#This Row],[Colonne1]])),Tab_Calculs[[#This Row],[index_date_livraison]],1)</f>
        <v>0</v>
      </c>
      <c r="J1172">
        <f ca="1">MATCH(Tab_Calculs[[#This Row],[Date_livraison]],INDIRECT(CONCATENATE("Tab_",Tab_Calculs[[#This Row],[Colonne1]],"[Fin de période]")),0)</f>
        <v>1</v>
      </c>
      <c r="K1172" t="e">
        <f ca="1">INDEX(INDIRECT(CONCATENATE("Tab_",Tab_Calculs[[#This Row],[Colonne1]])),Tab_Calculs[[#This Row],[index_date_livraison]]-1,6)*(MAX(Tab_Calculs[[#This Row],[Début periode livraison]],Tab_Calculs[[#This Row],[Début mois]])-Tab_Calculs[[#This Row],[Début mois]])</f>
        <v>#VALUE!</v>
      </c>
      <c r="L1172" s="94">
        <f ca="1">INDEX(INDIRECT(CONCATENATE("Tab_",Tab_Calculs[[#This Row],[Colonne1]])),Tab_Calculs[[#This Row],[index_date_livraison]],6)*(1+MIN(Tab_Calculs[[#This Row],[Date_livraison]],Tab_Calculs[[#This Row],[fin mois]])-MAX(Tab_Calculs[[#This Row],[Début mois]],Tab_Calculs[[#This Row],[Début periode livraison]]))</f>
        <v>0</v>
      </c>
      <c r="M1172" s="94" t="e">
        <f ca="1">INDEX(INDIRECT(CONCATENATE("Tab_",Tab_Calculs[[#This Row],[Colonne1]])),Tab_Calculs[[#This Row],[index_date_livraison]]+1,6)*(Tab_Calculs[[#This Row],[fin mois]]-MIN(Tab_Calculs[[#This Row],[fin mois]],Tab_Calculs[[#This Row],[Date_livraison]]))</f>
        <v>#VALUE!</v>
      </c>
      <c r="N1172" s="231" t="str">
        <f ca="1">IFERROR(Tab_Calculs[[#This Row],[Ratio_jour_après_livr]]+Tab_Calculs[[#This Row],[Ratio_jour_avant_livr]]+Tab_Calculs[[#This Row],[ratio_avant_debut]],"")</f>
        <v/>
      </c>
      <c r="O1172" t="e">
        <f ca="1">INDEX(INDIRECT(CONCATENATE("Tab_",Tab_Calculs[[#This Row],[Colonne1]])),Tab_Calculs[[#This Row],[index_date_livraison]]-1,7)*(MAX(Tab_Calculs[[#This Row],[Début periode livraison]],Tab_Calculs[[#This Row],[Début mois]])-Tab_Calculs[[#This Row],[Début mois]])</f>
        <v>#VALUE!</v>
      </c>
      <c r="P1172">
        <f ca="1">INDEX(INDIRECT(CONCATENATE("Tab_",Tab_Calculs[[#This Row],[Colonne1]])),Tab_Calculs[[#This Row],[index_date_livraison]],7)*(1+MIN(Tab_Calculs[[#This Row],[Date_livraison]],Tab_Calculs[[#This Row],[fin mois]])-MAX(Tab_Calculs[[#This Row],[Début mois]],Tab_Calculs[[#This Row],[Début periode livraison]]))</f>
        <v>0</v>
      </c>
      <c r="Q1172" t="e">
        <f ca="1">INDEX(INDIRECT(CONCATENATE("Tab_",Tab_Calculs[[#This Row],[Colonne1]])),Tab_Calculs[[#This Row],[index_date_livraison]]+1,7)*(Tab_Calculs[[#This Row],[fin mois]]-MIN(Tab_Calculs[[#This Row],[fin mois]],Tab_Calculs[[#This Row],[Date_livraison]]))</f>
        <v>#VALUE!</v>
      </c>
      <c r="R1172" t="e">
        <f ca="1">Tab_Calculs[[#This Row],[Ratio_Cout_après_livr]]+Tab_Calculs[[#This Row],[Ratio_Cout_avant_livr]]+Tab_Calculs[[#This Row],[Ratio_Cout_avant_debut]]</f>
        <v>#VALUE!</v>
      </c>
      <c r="S1172" t="str">
        <f ca="1">IFERROR(N1172*VLOOKUP(Tab_Calculs[[#This Row],[Colonne1]],Controle_des_données!$B$7:$G$14,6,FALSE),"")</f>
        <v/>
      </c>
      <c r="T1172" t="str">
        <f ca="1">IF(Tab_Calculs[[#This Row],[Combustible ]]="Electricité (kWh)",Tab_Calculs[[#This Row],[Conso_mois_kWh]]*2.3,Tab_Calculs[[#This Row],[Conso_mois_kWh]])</f>
        <v/>
      </c>
      <c r="U1172" t="str">
        <f ca="1">IFERROR(N1172*VLOOKUP(Tab_Calculs[[#This Row],[Colonne1]],Controle_des_données!$B$7:$H$14,7,FALSE),"")</f>
        <v/>
      </c>
      <c r="V1172">
        <f ca="1">IFERROR(Tab_Calculs[[#This Row],[Cout_mois]]/Tab_Calculs[[#This Row],[Conso_mois_kWh]],0)</f>
        <v>0</v>
      </c>
      <c r="W1172" t="str">
        <f>T(VLOOKUP(Tab_Calculs[[#This Row],[Compteur]],Site!$B$33:$G$40,3,FALSE))</f>
        <v/>
      </c>
      <c r="X1172" t="str">
        <f>T(VLOOKUP(Tab_Calculs[[#This Row],[Compteur]],Site!$B$33:$G$40,4,FALSE))</f>
        <v/>
      </c>
      <c r="Y1172" t="str">
        <f>T(VLOOKUP(Tab_Calculs[[#This Row],[Compteur]],Site!$B$33:$G$40,5,FALSE))</f>
        <v/>
      </c>
      <c r="Z1172" t="str">
        <f>T(VLOOKUP(Tab_Calculs[[#This Row],[Compteur]],Site!$B$33:$G$40,6,FALSE))</f>
        <v/>
      </c>
      <c r="AA1172">
        <f>IFERROR(GETPIVOTDATA("DJU(chauffagiste)",BDD_DJU!$P$13,"annee",Tab_Calculs[[#This Row],[ANNEE]],"mois_numero",Tab_Calculs[[#This Row],[MOIS]]),0)</f>
        <v>500.7</v>
      </c>
    </row>
    <row r="1173" spans="1:27" x14ac:dyDescent="0.25">
      <c r="A1173" s="3">
        <f>DATE(Tab_Calculs[[#This Row],[ANNEE]],Tab_Calculs[[#This Row],[MOIS]],1)</f>
        <v>40544</v>
      </c>
      <c r="B1173" s="3">
        <f>EDATE(Tab_Calculs[[#This Row],[Début mois]],1)-1</f>
        <v>40574</v>
      </c>
      <c r="C1173">
        <v>1</v>
      </c>
      <c r="D1173">
        <v>2011</v>
      </c>
      <c r="E1173" t="s">
        <v>86</v>
      </c>
      <c r="F1173" t="str">
        <f>SUBSTITUTE(Tab_Calculs[[#This Row],[Compteur]]," ","_")</f>
        <v>Compteur_7</v>
      </c>
      <c r="G1173" t="str">
        <f>T(INDEX(Site!$B$33:$G$40, MATCH(Tab_Calculs[[#This Row],[Compteur]], Site!$B$33:$B$40,0),2))</f>
        <v/>
      </c>
      <c r="H1173" s="3">
        <f t="array" aca="1" ref="H1173" ca="1">MIN(IF(INDIRECT(CONCATENATE(Tab_Calculs[[#This Row],[Colonne1]],"!$B$2:$B$243"))&gt;=Calculs_Consos!$A1173,INDIRECT(CONCATENATE(Tab_Calculs[[#This Row],[Colonne1]],"!$B$2:$B$243"))))</f>
        <v>0</v>
      </c>
      <c r="I1173" s="3">
        <f ca="1">INDEX(INDIRECT(CONCATENATE("Tab_",Tab_Calculs[[#This Row],[Colonne1]])),Tab_Calculs[[#This Row],[index_date_livraison]],1)</f>
        <v>0</v>
      </c>
      <c r="J1173">
        <f ca="1">MATCH(Tab_Calculs[[#This Row],[Date_livraison]],INDIRECT(CONCATENATE("Tab_",Tab_Calculs[[#This Row],[Colonne1]],"[Fin de période]")),0)</f>
        <v>1</v>
      </c>
      <c r="K1173" t="e">
        <f ca="1">INDEX(INDIRECT(CONCATENATE("Tab_",Tab_Calculs[[#This Row],[Colonne1]])),Tab_Calculs[[#This Row],[index_date_livraison]]-1,6)*(MAX(Tab_Calculs[[#This Row],[Début periode livraison]],Tab_Calculs[[#This Row],[Début mois]])-Tab_Calculs[[#This Row],[Début mois]])</f>
        <v>#VALUE!</v>
      </c>
      <c r="L1173" s="94">
        <f ca="1">INDEX(INDIRECT(CONCATENATE("Tab_",Tab_Calculs[[#This Row],[Colonne1]])),Tab_Calculs[[#This Row],[index_date_livraison]],6)*(1+MIN(Tab_Calculs[[#This Row],[Date_livraison]],Tab_Calculs[[#This Row],[fin mois]])-MAX(Tab_Calculs[[#This Row],[Début mois]],Tab_Calculs[[#This Row],[Début periode livraison]]))</f>
        <v>0</v>
      </c>
      <c r="M1173" s="94" t="e">
        <f ca="1">INDEX(INDIRECT(CONCATENATE("Tab_",Tab_Calculs[[#This Row],[Colonne1]])),Tab_Calculs[[#This Row],[index_date_livraison]]+1,6)*(Tab_Calculs[[#This Row],[fin mois]]-MIN(Tab_Calculs[[#This Row],[fin mois]],Tab_Calculs[[#This Row],[Date_livraison]]))</f>
        <v>#VALUE!</v>
      </c>
      <c r="N1173" s="231" t="str">
        <f ca="1">IFERROR(Tab_Calculs[[#This Row],[Ratio_jour_après_livr]]+Tab_Calculs[[#This Row],[Ratio_jour_avant_livr]]+Tab_Calculs[[#This Row],[ratio_avant_debut]],"")</f>
        <v/>
      </c>
      <c r="O1173" t="e">
        <f ca="1">INDEX(INDIRECT(CONCATENATE("Tab_",Tab_Calculs[[#This Row],[Colonne1]])),Tab_Calculs[[#This Row],[index_date_livraison]]-1,7)*(MAX(Tab_Calculs[[#This Row],[Début periode livraison]],Tab_Calculs[[#This Row],[Début mois]])-Tab_Calculs[[#This Row],[Début mois]])</f>
        <v>#VALUE!</v>
      </c>
      <c r="P1173">
        <f ca="1">INDEX(INDIRECT(CONCATENATE("Tab_",Tab_Calculs[[#This Row],[Colonne1]])),Tab_Calculs[[#This Row],[index_date_livraison]],7)*(1+MIN(Tab_Calculs[[#This Row],[Date_livraison]],Tab_Calculs[[#This Row],[fin mois]])-MAX(Tab_Calculs[[#This Row],[Début mois]],Tab_Calculs[[#This Row],[Début periode livraison]]))</f>
        <v>0</v>
      </c>
      <c r="Q1173" t="e">
        <f ca="1">INDEX(INDIRECT(CONCATENATE("Tab_",Tab_Calculs[[#This Row],[Colonne1]])),Tab_Calculs[[#This Row],[index_date_livraison]]+1,7)*(Tab_Calculs[[#This Row],[fin mois]]-MIN(Tab_Calculs[[#This Row],[fin mois]],Tab_Calculs[[#This Row],[Date_livraison]]))</f>
        <v>#VALUE!</v>
      </c>
      <c r="R1173" t="e">
        <f ca="1">Tab_Calculs[[#This Row],[Ratio_Cout_après_livr]]+Tab_Calculs[[#This Row],[Ratio_Cout_avant_livr]]+Tab_Calculs[[#This Row],[Ratio_Cout_avant_debut]]</f>
        <v>#VALUE!</v>
      </c>
      <c r="S1173" t="str">
        <f ca="1">IFERROR(N1173*VLOOKUP(Tab_Calculs[[#This Row],[Colonne1]],Controle_des_données!$B$7:$G$14,6,FALSE),"")</f>
        <v/>
      </c>
      <c r="T1173" t="str">
        <f ca="1">IF(Tab_Calculs[[#This Row],[Combustible ]]="Electricité (kWh)",Tab_Calculs[[#This Row],[Conso_mois_kWh]]*2.3,Tab_Calculs[[#This Row],[Conso_mois_kWh]])</f>
        <v/>
      </c>
      <c r="U1173" t="str">
        <f ca="1">IFERROR(N1173*VLOOKUP(Tab_Calculs[[#This Row],[Colonne1]],Controle_des_données!$B$7:$H$14,7,FALSE),"")</f>
        <v/>
      </c>
      <c r="V1173">
        <f ca="1">IFERROR(Tab_Calculs[[#This Row],[Cout_mois]]/Tab_Calculs[[#This Row],[Conso_mois_kWh]],0)</f>
        <v>0</v>
      </c>
      <c r="W1173" t="str">
        <f>T(VLOOKUP(Tab_Calculs[[#This Row],[Compteur]],Site!$B$33:$G$40,3,FALSE))</f>
        <v/>
      </c>
      <c r="X1173" t="str">
        <f>T(VLOOKUP(Tab_Calculs[[#This Row],[Compteur]],Site!$B$33:$G$40,4,FALSE))</f>
        <v/>
      </c>
      <c r="Y1173" t="str">
        <f>T(VLOOKUP(Tab_Calculs[[#This Row],[Compteur]],Site!$B$33:$G$40,5,FALSE))</f>
        <v/>
      </c>
      <c r="Z1173" t="str">
        <f>T(VLOOKUP(Tab_Calculs[[#This Row],[Compteur]],Site!$B$33:$G$40,6,FALSE))</f>
        <v/>
      </c>
      <c r="AA1173">
        <f>IFERROR(GETPIVOTDATA("DJU(chauffagiste)",BDD_DJU!$P$13,"annee",Tab_Calculs[[#This Row],[ANNEE]],"mois_numero",Tab_Calculs[[#This Row],[MOIS]]),0)</f>
        <v>392.2</v>
      </c>
    </row>
    <row r="1174" spans="1:27" x14ac:dyDescent="0.25">
      <c r="A1174" s="3">
        <f>DATE(Tab_Calculs[[#This Row],[ANNEE]],Tab_Calculs[[#This Row],[MOIS]],1)</f>
        <v>40575</v>
      </c>
      <c r="B1174" s="3">
        <f>EDATE(Tab_Calculs[[#This Row],[Début mois]],1)-1</f>
        <v>40602</v>
      </c>
      <c r="C1174">
        <v>2</v>
      </c>
      <c r="D1174">
        <v>2011</v>
      </c>
      <c r="E1174" t="s">
        <v>86</v>
      </c>
      <c r="F1174" t="str">
        <f>SUBSTITUTE(Tab_Calculs[[#This Row],[Compteur]]," ","_")</f>
        <v>Compteur_7</v>
      </c>
      <c r="G1174" t="str">
        <f>T(INDEX(Site!$B$33:$G$40, MATCH(Tab_Calculs[[#This Row],[Compteur]], Site!$B$33:$B$40,0),2))</f>
        <v/>
      </c>
      <c r="H1174" s="3">
        <f t="array" aca="1" ref="H1174" ca="1">MIN(IF(INDIRECT(CONCATENATE(Tab_Calculs[[#This Row],[Colonne1]],"!$B$2:$B$243"))&gt;=Calculs_Consos!$A1174,INDIRECT(CONCATENATE(Tab_Calculs[[#This Row],[Colonne1]],"!$B$2:$B$243"))))</f>
        <v>0</v>
      </c>
      <c r="I1174" s="3">
        <f ca="1">INDEX(INDIRECT(CONCATENATE("Tab_",Tab_Calculs[[#This Row],[Colonne1]])),Tab_Calculs[[#This Row],[index_date_livraison]],1)</f>
        <v>0</v>
      </c>
      <c r="J1174">
        <f ca="1">MATCH(Tab_Calculs[[#This Row],[Date_livraison]],INDIRECT(CONCATENATE("Tab_",Tab_Calculs[[#This Row],[Colonne1]],"[Fin de période]")),0)</f>
        <v>1</v>
      </c>
      <c r="K1174" t="e">
        <f ca="1">INDEX(INDIRECT(CONCATENATE("Tab_",Tab_Calculs[[#This Row],[Colonne1]])),Tab_Calculs[[#This Row],[index_date_livraison]]-1,6)*(MAX(Tab_Calculs[[#This Row],[Début periode livraison]],Tab_Calculs[[#This Row],[Début mois]])-Tab_Calculs[[#This Row],[Début mois]])</f>
        <v>#VALUE!</v>
      </c>
      <c r="L1174" s="94">
        <f ca="1">INDEX(INDIRECT(CONCATENATE("Tab_",Tab_Calculs[[#This Row],[Colonne1]])),Tab_Calculs[[#This Row],[index_date_livraison]],6)*(1+MIN(Tab_Calculs[[#This Row],[Date_livraison]],Tab_Calculs[[#This Row],[fin mois]])-MAX(Tab_Calculs[[#This Row],[Début mois]],Tab_Calculs[[#This Row],[Début periode livraison]]))</f>
        <v>0</v>
      </c>
      <c r="M1174" s="94" t="e">
        <f ca="1">INDEX(INDIRECT(CONCATENATE("Tab_",Tab_Calculs[[#This Row],[Colonne1]])),Tab_Calculs[[#This Row],[index_date_livraison]]+1,6)*(Tab_Calculs[[#This Row],[fin mois]]-MIN(Tab_Calculs[[#This Row],[fin mois]],Tab_Calculs[[#This Row],[Date_livraison]]))</f>
        <v>#VALUE!</v>
      </c>
      <c r="N1174" s="231" t="str">
        <f ca="1">IFERROR(Tab_Calculs[[#This Row],[Ratio_jour_après_livr]]+Tab_Calculs[[#This Row],[Ratio_jour_avant_livr]]+Tab_Calculs[[#This Row],[ratio_avant_debut]],"")</f>
        <v/>
      </c>
      <c r="O1174" t="e">
        <f ca="1">INDEX(INDIRECT(CONCATENATE("Tab_",Tab_Calculs[[#This Row],[Colonne1]])),Tab_Calculs[[#This Row],[index_date_livraison]]-1,7)*(MAX(Tab_Calculs[[#This Row],[Début periode livraison]],Tab_Calculs[[#This Row],[Début mois]])-Tab_Calculs[[#This Row],[Début mois]])</f>
        <v>#VALUE!</v>
      </c>
      <c r="P1174">
        <f ca="1">INDEX(INDIRECT(CONCATENATE("Tab_",Tab_Calculs[[#This Row],[Colonne1]])),Tab_Calculs[[#This Row],[index_date_livraison]],7)*(1+MIN(Tab_Calculs[[#This Row],[Date_livraison]],Tab_Calculs[[#This Row],[fin mois]])-MAX(Tab_Calculs[[#This Row],[Début mois]],Tab_Calculs[[#This Row],[Début periode livraison]]))</f>
        <v>0</v>
      </c>
      <c r="Q1174" t="e">
        <f ca="1">INDEX(INDIRECT(CONCATENATE("Tab_",Tab_Calculs[[#This Row],[Colonne1]])),Tab_Calculs[[#This Row],[index_date_livraison]]+1,7)*(Tab_Calculs[[#This Row],[fin mois]]-MIN(Tab_Calculs[[#This Row],[fin mois]],Tab_Calculs[[#This Row],[Date_livraison]]))</f>
        <v>#VALUE!</v>
      </c>
      <c r="R1174" t="e">
        <f ca="1">Tab_Calculs[[#This Row],[Ratio_Cout_après_livr]]+Tab_Calculs[[#This Row],[Ratio_Cout_avant_livr]]+Tab_Calculs[[#This Row],[Ratio_Cout_avant_debut]]</f>
        <v>#VALUE!</v>
      </c>
      <c r="S1174" t="str">
        <f ca="1">IFERROR(N1174*VLOOKUP(Tab_Calculs[[#This Row],[Colonne1]],Controle_des_données!$B$7:$G$14,6,FALSE),"")</f>
        <v/>
      </c>
      <c r="T1174" t="str">
        <f ca="1">IF(Tab_Calculs[[#This Row],[Combustible ]]="Electricité (kWh)",Tab_Calculs[[#This Row],[Conso_mois_kWh]]*2.3,Tab_Calculs[[#This Row],[Conso_mois_kWh]])</f>
        <v/>
      </c>
      <c r="U1174" t="str">
        <f ca="1">IFERROR(N1174*VLOOKUP(Tab_Calculs[[#This Row],[Colonne1]],Controle_des_données!$B$7:$H$14,7,FALSE),"")</f>
        <v/>
      </c>
      <c r="V1174">
        <f ca="1">IFERROR(Tab_Calculs[[#This Row],[Cout_mois]]/Tab_Calculs[[#This Row],[Conso_mois_kWh]],0)</f>
        <v>0</v>
      </c>
      <c r="W1174" t="str">
        <f>T(VLOOKUP(Tab_Calculs[[#This Row],[Compteur]],Site!$B$33:$G$40,3,FALSE))</f>
        <v/>
      </c>
      <c r="X1174" t="str">
        <f>T(VLOOKUP(Tab_Calculs[[#This Row],[Compteur]],Site!$B$33:$G$40,4,FALSE))</f>
        <v/>
      </c>
      <c r="Y1174" t="str">
        <f>T(VLOOKUP(Tab_Calculs[[#This Row],[Compteur]],Site!$B$33:$G$40,5,FALSE))</f>
        <v/>
      </c>
      <c r="Z1174" t="str">
        <f>T(VLOOKUP(Tab_Calculs[[#This Row],[Compteur]],Site!$B$33:$G$40,6,FALSE))</f>
        <v/>
      </c>
      <c r="AA1174">
        <f>IFERROR(GETPIVOTDATA("DJU(chauffagiste)",BDD_DJU!$P$13,"annee",Tab_Calculs[[#This Row],[ANNEE]],"mois_numero",Tab_Calculs[[#This Row],[MOIS]]),0)</f>
        <v>299.10000000000002</v>
      </c>
    </row>
    <row r="1175" spans="1:27" x14ac:dyDescent="0.25">
      <c r="A1175" s="3">
        <f>DATE(Tab_Calculs[[#This Row],[ANNEE]],Tab_Calculs[[#This Row],[MOIS]],1)</f>
        <v>40603</v>
      </c>
      <c r="B1175" s="3">
        <f>EDATE(Tab_Calculs[[#This Row],[Début mois]],1)-1</f>
        <v>40633</v>
      </c>
      <c r="C1175">
        <v>3</v>
      </c>
      <c r="D1175">
        <v>2011</v>
      </c>
      <c r="E1175" t="s">
        <v>86</v>
      </c>
      <c r="F1175" t="str">
        <f>SUBSTITUTE(Tab_Calculs[[#This Row],[Compteur]]," ","_")</f>
        <v>Compteur_7</v>
      </c>
      <c r="G1175" t="str">
        <f>T(INDEX(Site!$B$33:$G$40, MATCH(Tab_Calculs[[#This Row],[Compteur]], Site!$B$33:$B$40,0),2))</f>
        <v/>
      </c>
      <c r="H1175" s="3">
        <f t="array" aca="1" ref="H1175" ca="1">MIN(IF(INDIRECT(CONCATENATE(Tab_Calculs[[#This Row],[Colonne1]],"!$B$2:$B$243"))&gt;=Calculs_Consos!$A1175,INDIRECT(CONCATENATE(Tab_Calculs[[#This Row],[Colonne1]],"!$B$2:$B$243"))))</f>
        <v>0</v>
      </c>
      <c r="I1175" s="3">
        <f ca="1">INDEX(INDIRECT(CONCATENATE("Tab_",Tab_Calculs[[#This Row],[Colonne1]])),Tab_Calculs[[#This Row],[index_date_livraison]],1)</f>
        <v>0</v>
      </c>
      <c r="J1175">
        <f ca="1">MATCH(Tab_Calculs[[#This Row],[Date_livraison]],INDIRECT(CONCATENATE("Tab_",Tab_Calculs[[#This Row],[Colonne1]],"[Fin de période]")),0)</f>
        <v>1</v>
      </c>
      <c r="K1175" t="e">
        <f ca="1">INDEX(INDIRECT(CONCATENATE("Tab_",Tab_Calculs[[#This Row],[Colonne1]])),Tab_Calculs[[#This Row],[index_date_livraison]]-1,6)*(MAX(Tab_Calculs[[#This Row],[Début periode livraison]],Tab_Calculs[[#This Row],[Début mois]])-Tab_Calculs[[#This Row],[Début mois]])</f>
        <v>#VALUE!</v>
      </c>
      <c r="L1175" s="94">
        <f ca="1">INDEX(INDIRECT(CONCATENATE("Tab_",Tab_Calculs[[#This Row],[Colonne1]])),Tab_Calculs[[#This Row],[index_date_livraison]],6)*(1+MIN(Tab_Calculs[[#This Row],[Date_livraison]],Tab_Calculs[[#This Row],[fin mois]])-MAX(Tab_Calculs[[#This Row],[Début mois]],Tab_Calculs[[#This Row],[Début periode livraison]]))</f>
        <v>0</v>
      </c>
      <c r="M1175" s="94" t="e">
        <f ca="1">INDEX(INDIRECT(CONCATENATE("Tab_",Tab_Calculs[[#This Row],[Colonne1]])),Tab_Calculs[[#This Row],[index_date_livraison]]+1,6)*(Tab_Calculs[[#This Row],[fin mois]]-MIN(Tab_Calculs[[#This Row],[fin mois]],Tab_Calculs[[#This Row],[Date_livraison]]))</f>
        <v>#VALUE!</v>
      </c>
      <c r="N1175" s="231" t="str">
        <f ca="1">IFERROR(Tab_Calculs[[#This Row],[Ratio_jour_après_livr]]+Tab_Calculs[[#This Row],[Ratio_jour_avant_livr]]+Tab_Calculs[[#This Row],[ratio_avant_debut]],"")</f>
        <v/>
      </c>
      <c r="O1175" t="e">
        <f ca="1">INDEX(INDIRECT(CONCATENATE("Tab_",Tab_Calculs[[#This Row],[Colonne1]])),Tab_Calculs[[#This Row],[index_date_livraison]]-1,7)*(MAX(Tab_Calculs[[#This Row],[Début periode livraison]],Tab_Calculs[[#This Row],[Début mois]])-Tab_Calculs[[#This Row],[Début mois]])</f>
        <v>#VALUE!</v>
      </c>
      <c r="P1175">
        <f ca="1">INDEX(INDIRECT(CONCATENATE("Tab_",Tab_Calculs[[#This Row],[Colonne1]])),Tab_Calculs[[#This Row],[index_date_livraison]],7)*(1+MIN(Tab_Calculs[[#This Row],[Date_livraison]],Tab_Calculs[[#This Row],[fin mois]])-MAX(Tab_Calculs[[#This Row],[Début mois]],Tab_Calculs[[#This Row],[Début periode livraison]]))</f>
        <v>0</v>
      </c>
      <c r="Q1175" t="e">
        <f ca="1">INDEX(INDIRECT(CONCATENATE("Tab_",Tab_Calculs[[#This Row],[Colonne1]])),Tab_Calculs[[#This Row],[index_date_livraison]]+1,7)*(Tab_Calculs[[#This Row],[fin mois]]-MIN(Tab_Calculs[[#This Row],[fin mois]],Tab_Calculs[[#This Row],[Date_livraison]]))</f>
        <v>#VALUE!</v>
      </c>
      <c r="R1175" t="e">
        <f ca="1">Tab_Calculs[[#This Row],[Ratio_Cout_après_livr]]+Tab_Calculs[[#This Row],[Ratio_Cout_avant_livr]]+Tab_Calculs[[#This Row],[Ratio_Cout_avant_debut]]</f>
        <v>#VALUE!</v>
      </c>
      <c r="S1175" t="str">
        <f ca="1">IFERROR(N1175*VLOOKUP(Tab_Calculs[[#This Row],[Colonne1]],Controle_des_données!$B$7:$G$14,6,FALSE),"")</f>
        <v/>
      </c>
      <c r="T1175" t="str">
        <f ca="1">IF(Tab_Calculs[[#This Row],[Combustible ]]="Electricité (kWh)",Tab_Calculs[[#This Row],[Conso_mois_kWh]]*2.3,Tab_Calculs[[#This Row],[Conso_mois_kWh]])</f>
        <v/>
      </c>
      <c r="U1175" t="str">
        <f ca="1">IFERROR(N1175*VLOOKUP(Tab_Calculs[[#This Row],[Colonne1]],Controle_des_données!$B$7:$H$14,7,FALSE),"")</f>
        <v/>
      </c>
      <c r="V1175">
        <f ca="1">IFERROR(Tab_Calculs[[#This Row],[Cout_mois]]/Tab_Calculs[[#This Row],[Conso_mois_kWh]],0)</f>
        <v>0</v>
      </c>
      <c r="W1175" t="str">
        <f>T(VLOOKUP(Tab_Calculs[[#This Row],[Compteur]],Site!$B$33:$G$40,3,FALSE))</f>
        <v/>
      </c>
      <c r="X1175" t="str">
        <f>T(VLOOKUP(Tab_Calculs[[#This Row],[Compteur]],Site!$B$33:$G$40,4,FALSE))</f>
        <v/>
      </c>
      <c r="Y1175" t="str">
        <f>T(VLOOKUP(Tab_Calculs[[#This Row],[Compteur]],Site!$B$33:$G$40,5,FALSE))</f>
        <v/>
      </c>
      <c r="Z1175" t="str">
        <f>T(VLOOKUP(Tab_Calculs[[#This Row],[Compteur]],Site!$B$33:$G$40,6,FALSE))</f>
        <v/>
      </c>
      <c r="AA1175">
        <f>IFERROR(GETPIVOTDATA("DJU(chauffagiste)",BDD_DJU!$P$13,"annee",Tab_Calculs[[#This Row],[ANNEE]],"mois_numero",Tab_Calculs[[#This Row],[MOIS]]),0)</f>
        <v>266.5</v>
      </c>
    </row>
    <row r="1176" spans="1:27" x14ac:dyDescent="0.25">
      <c r="A1176" s="3">
        <f>DATE(Tab_Calculs[[#This Row],[ANNEE]],Tab_Calculs[[#This Row],[MOIS]],1)</f>
        <v>40634</v>
      </c>
      <c r="B1176" s="3">
        <f>EDATE(Tab_Calculs[[#This Row],[Début mois]],1)-1</f>
        <v>40663</v>
      </c>
      <c r="C1176">
        <v>4</v>
      </c>
      <c r="D1176">
        <v>2011</v>
      </c>
      <c r="E1176" t="s">
        <v>86</v>
      </c>
      <c r="F1176" t="str">
        <f>SUBSTITUTE(Tab_Calculs[[#This Row],[Compteur]]," ","_")</f>
        <v>Compteur_7</v>
      </c>
      <c r="G1176" t="str">
        <f>T(INDEX(Site!$B$33:$G$40, MATCH(Tab_Calculs[[#This Row],[Compteur]], Site!$B$33:$B$40,0),2))</f>
        <v/>
      </c>
      <c r="H1176" s="3">
        <f t="array" aca="1" ref="H1176" ca="1">MIN(IF(INDIRECT(CONCATENATE(Tab_Calculs[[#This Row],[Colonne1]],"!$B$2:$B$243"))&gt;=Calculs_Consos!$A1176,INDIRECT(CONCATENATE(Tab_Calculs[[#This Row],[Colonne1]],"!$B$2:$B$243"))))</f>
        <v>0</v>
      </c>
      <c r="I1176" s="3">
        <f ca="1">INDEX(INDIRECT(CONCATENATE("Tab_",Tab_Calculs[[#This Row],[Colonne1]])),Tab_Calculs[[#This Row],[index_date_livraison]],1)</f>
        <v>0</v>
      </c>
      <c r="J1176">
        <f ca="1">MATCH(Tab_Calculs[[#This Row],[Date_livraison]],INDIRECT(CONCATENATE("Tab_",Tab_Calculs[[#This Row],[Colonne1]],"[Fin de période]")),0)</f>
        <v>1</v>
      </c>
      <c r="K1176" t="e">
        <f ca="1">INDEX(INDIRECT(CONCATENATE("Tab_",Tab_Calculs[[#This Row],[Colonne1]])),Tab_Calculs[[#This Row],[index_date_livraison]]-1,6)*(MAX(Tab_Calculs[[#This Row],[Début periode livraison]],Tab_Calculs[[#This Row],[Début mois]])-Tab_Calculs[[#This Row],[Début mois]])</f>
        <v>#VALUE!</v>
      </c>
      <c r="L1176" s="94">
        <f ca="1">INDEX(INDIRECT(CONCATENATE("Tab_",Tab_Calculs[[#This Row],[Colonne1]])),Tab_Calculs[[#This Row],[index_date_livraison]],6)*(1+MIN(Tab_Calculs[[#This Row],[Date_livraison]],Tab_Calculs[[#This Row],[fin mois]])-MAX(Tab_Calculs[[#This Row],[Début mois]],Tab_Calculs[[#This Row],[Début periode livraison]]))</f>
        <v>0</v>
      </c>
      <c r="M1176" s="94" t="e">
        <f ca="1">INDEX(INDIRECT(CONCATENATE("Tab_",Tab_Calculs[[#This Row],[Colonne1]])),Tab_Calculs[[#This Row],[index_date_livraison]]+1,6)*(Tab_Calculs[[#This Row],[fin mois]]-MIN(Tab_Calculs[[#This Row],[fin mois]],Tab_Calculs[[#This Row],[Date_livraison]]))</f>
        <v>#VALUE!</v>
      </c>
      <c r="N1176" s="231" t="str">
        <f ca="1">IFERROR(Tab_Calculs[[#This Row],[Ratio_jour_après_livr]]+Tab_Calculs[[#This Row],[Ratio_jour_avant_livr]]+Tab_Calculs[[#This Row],[ratio_avant_debut]],"")</f>
        <v/>
      </c>
      <c r="O1176" t="e">
        <f ca="1">INDEX(INDIRECT(CONCATENATE("Tab_",Tab_Calculs[[#This Row],[Colonne1]])),Tab_Calculs[[#This Row],[index_date_livraison]]-1,7)*(MAX(Tab_Calculs[[#This Row],[Début periode livraison]],Tab_Calculs[[#This Row],[Début mois]])-Tab_Calculs[[#This Row],[Début mois]])</f>
        <v>#VALUE!</v>
      </c>
      <c r="P1176">
        <f ca="1">INDEX(INDIRECT(CONCATENATE("Tab_",Tab_Calculs[[#This Row],[Colonne1]])),Tab_Calculs[[#This Row],[index_date_livraison]],7)*(1+MIN(Tab_Calculs[[#This Row],[Date_livraison]],Tab_Calculs[[#This Row],[fin mois]])-MAX(Tab_Calculs[[#This Row],[Début mois]],Tab_Calculs[[#This Row],[Début periode livraison]]))</f>
        <v>0</v>
      </c>
      <c r="Q1176" t="e">
        <f ca="1">INDEX(INDIRECT(CONCATENATE("Tab_",Tab_Calculs[[#This Row],[Colonne1]])),Tab_Calculs[[#This Row],[index_date_livraison]]+1,7)*(Tab_Calculs[[#This Row],[fin mois]]-MIN(Tab_Calculs[[#This Row],[fin mois]],Tab_Calculs[[#This Row],[Date_livraison]]))</f>
        <v>#VALUE!</v>
      </c>
      <c r="R1176" t="e">
        <f ca="1">Tab_Calculs[[#This Row],[Ratio_Cout_après_livr]]+Tab_Calculs[[#This Row],[Ratio_Cout_avant_livr]]+Tab_Calculs[[#This Row],[Ratio_Cout_avant_debut]]</f>
        <v>#VALUE!</v>
      </c>
      <c r="S1176" t="str">
        <f ca="1">IFERROR(N1176*VLOOKUP(Tab_Calculs[[#This Row],[Colonne1]],Controle_des_données!$B$7:$G$14,6,FALSE),"")</f>
        <v/>
      </c>
      <c r="T1176" t="str">
        <f ca="1">IF(Tab_Calculs[[#This Row],[Combustible ]]="Electricité (kWh)",Tab_Calculs[[#This Row],[Conso_mois_kWh]]*2.3,Tab_Calculs[[#This Row],[Conso_mois_kWh]])</f>
        <v/>
      </c>
      <c r="U1176" t="str">
        <f ca="1">IFERROR(N1176*VLOOKUP(Tab_Calculs[[#This Row],[Colonne1]],Controle_des_données!$B$7:$H$14,7,FALSE),"")</f>
        <v/>
      </c>
      <c r="V1176">
        <f ca="1">IFERROR(Tab_Calculs[[#This Row],[Cout_mois]]/Tab_Calculs[[#This Row],[Conso_mois_kWh]],0)</f>
        <v>0</v>
      </c>
      <c r="W1176" t="str">
        <f>T(VLOOKUP(Tab_Calculs[[#This Row],[Compteur]],Site!$B$33:$G$40,3,FALSE))</f>
        <v/>
      </c>
      <c r="X1176" t="str">
        <f>T(VLOOKUP(Tab_Calculs[[#This Row],[Compteur]],Site!$B$33:$G$40,4,FALSE))</f>
        <v/>
      </c>
      <c r="Y1176" t="str">
        <f>T(VLOOKUP(Tab_Calculs[[#This Row],[Compteur]],Site!$B$33:$G$40,5,FALSE))</f>
        <v/>
      </c>
      <c r="Z1176" t="str">
        <f>T(VLOOKUP(Tab_Calculs[[#This Row],[Compteur]],Site!$B$33:$G$40,6,FALSE))</f>
        <v/>
      </c>
      <c r="AA1176">
        <f>IFERROR(GETPIVOTDATA("DJU(chauffagiste)",BDD_DJU!$P$13,"annee",Tab_Calculs[[#This Row],[ANNEE]],"mois_numero",Tab_Calculs[[#This Row],[MOIS]]),0)</f>
        <v>136.19999999999999</v>
      </c>
    </row>
    <row r="1177" spans="1:27" x14ac:dyDescent="0.25">
      <c r="A1177" s="3">
        <f>DATE(Tab_Calculs[[#This Row],[ANNEE]],Tab_Calculs[[#This Row],[MOIS]],1)</f>
        <v>40664</v>
      </c>
      <c r="B1177" s="3">
        <f>EDATE(Tab_Calculs[[#This Row],[Début mois]],1)-1</f>
        <v>40694</v>
      </c>
      <c r="C1177">
        <v>5</v>
      </c>
      <c r="D1177">
        <v>2011</v>
      </c>
      <c r="E1177" t="s">
        <v>86</v>
      </c>
      <c r="F1177" t="str">
        <f>SUBSTITUTE(Tab_Calculs[[#This Row],[Compteur]]," ","_")</f>
        <v>Compteur_7</v>
      </c>
      <c r="G1177" t="str">
        <f>T(INDEX(Site!$B$33:$G$40, MATCH(Tab_Calculs[[#This Row],[Compteur]], Site!$B$33:$B$40,0),2))</f>
        <v/>
      </c>
      <c r="H1177" s="3">
        <f t="array" aca="1" ref="H1177" ca="1">MIN(IF(INDIRECT(CONCATENATE(Tab_Calculs[[#This Row],[Colonne1]],"!$B$2:$B$243"))&gt;=Calculs_Consos!$A1177,INDIRECT(CONCATENATE(Tab_Calculs[[#This Row],[Colonne1]],"!$B$2:$B$243"))))</f>
        <v>0</v>
      </c>
      <c r="I1177" s="3">
        <f ca="1">INDEX(INDIRECT(CONCATENATE("Tab_",Tab_Calculs[[#This Row],[Colonne1]])),Tab_Calculs[[#This Row],[index_date_livraison]],1)</f>
        <v>0</v>
      </c>
      <c r="J1177">
        <f ca="1">MATCH(Tab_Calculs[[#This Row],[Date_livraison]],INDIRECT(CONCATENATE("Tab_",Tab_Calculs[[#This Row],[Colonne1]],"[Fin de période]")),0)</f>
        <v>1</v>
      </c>
      <c r="K1177" t="e">
        <f ca="1">INDEX(INDIRECT(CONCATENATE("Tab_",Tab_Calculs[[#This Row],[Colonne1]])),Tab_Calculs[[#This Row],[index_date_livraison]]-1,6)*(MAX(Tab_Calculs[[#This Row],[Début periode livraison]],Tab_Calculs[[#This Row],[Début mois]])-Tab_Calculs[[#This Row],[Début mois]])</f>
        <v>#VALUE!</v>
      </c>
      <c r="L1177" s="94">
        <f ca="1">INDEX(INDIRECT(CONCATENATE("Tab_",Tab_Calculs[[#This Row],[Colonne1]])),Tab_Calculs[[#This Row],[index_date_livraison]],6)*(1+MIN(Tab_Calculs[[#This Row],[Date_livraison]],Tab_Calculs[[#This Row],[fin mois]])-MAX(Tab_Calculs[[#This Row],[Début mois]],Tab_Calculs[[#This Row],[Début periode livraison]]))</f>
        <v>0</v>
      </c>
      <c r="M1177" s="94" t="e">
        <f ca="1">INDEX(INDIRECT(CONCATENATE("Tab_",Tab_Calculs[[#This Row],[Colonne1]])),Tab_Calculs[[#This Row],[index_date_livraison]]+1,6)*(Tab_Calculs[[#This Row],[fin mois]]-MIN(Tab_Calculs[[#This Row],[fin mois]],Tab_Calculs[[#This Row],[Date_livraison]]))</f>
        <v>#VALUE!</v>
      </c>
      <c r="N1177" s="231" t="str">
        <f ca="1">IFERROR(Tab_Calculs[[#This Row],[Ratio_jour_après_livr]]+Tab_Calculs[[#This Row],[Ratio_jour_avant_livr]]+Tab_Calculs[[#This Row],[ratio_avant_debut]],"")</f>
        <v/>
      </c>
      <c r="O1177" t="e">
        <f ca="1">INDEX(INDIRECT(CONCATENATE("Tab_",Tab_Calculs[[#This Row],[Colonne1]])),Tab_Calculs[[#This Row],[index_date_livraison]]-1,7)*(MAX(Tab_Calculs[[#This Row],[Début periode livraison]],Tab_Calculs[[#This Row],[Début mois]])-Tab_Calculs[[#This Row],[Début mois]])</f>
        <v>#VALUE!</v>
      </c>
      <c r="P1177">
        <f ca="1">INDEX(INDIRECT(CONCATENATE("Tab_",Tab_Calculs[[#This Row],[Colonne1]])),Tab_Calculs[[#This Row],[index_date_livraison]],7)*(1+MIN(Tab_Calculs[[#This Row],[Date_livraison]],Tab_Calculs[[#This Row],[fin mois]])-MAX(Tab_Calculs[[#This Row],[Début mois]],Tab_Calculs[[#This Row],[Début periode livraison]]))</f>
        <v>0</v>
      </c>
      <c r="Q1177" t="e">
        <f ca="1">INDEX(INDIRECT(CONCATENATE("Tab_",Tab_Calculs[[#This Row],[Colonne1]])),Tab_Calculs[[#This Row],[index_date_livraison]]+1,7)*(Tab_Calculs[[#This Row],[fin mois]]-MIN(Tab_Calculs[[#This Row],[fin mois]],Tab_Calculs[[#This Row],[Date_livraison]]))</f>
        <v>#VALUE!</v>
      </c>
      <c r="R1177" t="e">
        <f ca="1">Tab_Calculs[[#This Row],[Ratio_Cout_après_livr]]+Tab_Calculs[[#This Row],[Ratio_Cout_avant_livr]]+Tab_Calculs[[#This Row],[Ratio_Cout_avant_debut]]</f>
        <v>#VALUE!</v>
      </c>
      <c r="S1177" t="str">
        <f ca="1">IFERROR(N1177*VLOOKUP(Tab_Calculs[[#This Row],[Colonne1]],Controle_des_données!$B$7:$G$14,6,FALSE),"")</f>
        <v/>
      </c>
      <c r="T1177" t="str">
        <f ca="1">IF(Tab_Calculs[[#This Row],[Combustible ]]="Electricité (kWh)",Tab_Calculs[[#This Row],[Conso_mois_kWh]]*2.3,Tab_Calculs[[#This Row],[Conso_mois_kWh]])</f>
        <v/>
      </c>
      <c r="U1177" t="str">
        <f ca="1">IFERROR(N1177*VLOOKUP(Tab_Calculs[[#This Row],[Colonne1]],Controle_des_données!$B$7:$H$14,7,FALSE),"")</f>
        <v/>
      </c>
      <c r="V1177">
        <f ca="1">IFERROR(Tab_Calculs[[#This Row],[Cout_mois]]/Tab_Calculs[[#This Row],[Conso_mois_kWh]],0)</f>
        <v>0</v>
      </c>
      <c r="W1177" t="str">
        <f>T(VLOOKUP(Tab_Calculs[[#This Row],[Compteur]],Site!$B$33:$G$40,3,FALSE))</f>
        <v/>
      </c>
      <c r="X1177" t="str">
        <f>T(VLOOKUP(Tab_Calculs[[#This Row],[Compteur]],Site!$B$33:$G$40,4,FALSE))</f>
        <v/>
      </c>
      <c r="Y1177" t="str">
        <f>T(VLOOKUP(Tab_Calculs[[#This Row],[Compteur]],Site!$B$33:$G$40,5,FALSE))</f>
        <v/>
      </c>
      <c r="Z1177" t="str">
        <f>T(VLOOKUP(Tab_Calculs[[#This Row],[Compteur]],Site!$B$33:$G$40,6,FALSE))</f>
        <v/>
      </c>
      <c r="AA1177">
        <f>IFERROR(GETPIVOTDATA("DJU(chauffagiste)",BDD_DJU!$P$13,"annee",Tab_Calculs[[#This Row],[ANNEE]],"mois_numero",Tab_Calculs[[#This Row],[MOIS]]),0)</f>
        <v>91.9</v>
      </c>
    </row>
    <row r="1178" spans="1:27" x14ac:dyDescent="0.25">
      <c r="A1178" s="3">
        <f>DATE(Tab_Calculs[[#This Row],[ANNEE]],Tab_Calculs[[#This Row],[MOIS]],1)</f>
        <v>40695</v>
      </c>
      <c r="B1178" s="3">
        <f>EDATE(Tab_Calculs[[#This Row],[Début mois]],1)-1</f>
        <v>40724</v>
      </c>
      <c r="C1178">
        <v>6</v>
      </c>
      <c r="D1178">
        <v>2011</v>
      </c>
      <c r="E1178" t="s">
        <v>86</v>
      </c>
      <c r="F1178" t="str">
        <f>SUBSTITUTE(Tab_Calculs[[#This Row],[Compteur]]," ","_")</f>
        <v>Compteur_7</v>
      </c>
      <c r="G1178" t="str">
        <f>T(INDEX(Site!$B$33:$G$40, MATCH(Tab_Calculs[[#This Row],[Compteur]], Site!$B$33:$B$40,0),2))</f>
        <v/>
      </c>
      <c r="H1178" s="3">
        <f t="array" aca="1" ref="H1178" ca="1">MIN(IF(INDIRECT(CONCATENATE(Tab_Calculs[[#This Row],[Colonne1]],"!$B$2:$B$243"))&gt;=Calculs_Consos!$A1178,INDIRECT(CONCATENATE(Tab_Calculs[[#This Row],[Colonne1]],"!$B$2:$B$243"))))</f>
        <v>0</v>
      </c>
      <c r="I1178" s="3">
        <f ca="1">INDEX(INDIRECT(CONCATENATE("Tab_",Tab_Calculs[[#This Row],[Colonne1]])),Tab_Calculs[[#This Row],[index_date_livraison]],1)</f>
        <v>0</v>
      </c>
      <c r="J1178">
        <f ca="1">MATCH(Tab_Calculs[[#This Row],[Date_livraison]],INDIRECT(CONCATENATE("Tab_",Tab_Calculs[[#This Row],[Colonne1]],"[Fin de période]")),0)</f>
        <v>1</v>
      </c>
      <c r="K1178" t="e">
        <f ca="1">INDEX(INDIRECT(CONCATENATE("Tab_",Tab_Calculs[[#This Row],[Colonne1]])),Tab_Calculs[[#This Row],[index_date_livraison]]-1,6)*(MAX(Tab_Calculs[[#This Row],[Début periode livraison]],Tab_Calculs[[#This Row],[Début mois]])-Tab_Calculs[[#This Row],[Début mois]])</f>
        <v>#VALUE!</v>
      </c>
      <c r="L1178" s="94">
        <f ca="1">INDEX(INDIRECT(CONCATENATE("Tab_",Tab_Calculs[[#This Row],[Colonne1]])),Tab_Calculs[[#This Row],[index_date_livraison]],6)*(1+MIN(Tab_Calculs[[#This Row],[Date_livraison]],Tab_Calculs[[#This Row],[fin mois]])-MAX(Tab_Calculs[[#This Row],[Début mois]],Tab_Calculs[[#This Row],[Début periode livraison]]))</f>
        <v>0</v>
      </c>
      <c r="M1178" s="94" t="e">
        <f ca="1">INDEX(INDIRECT(CONCATENATE("Tab_",Tab_Calculs[[#This Row],[Colonne1]])),Tab_Calculs[[#This Row],[index_date_livraison]]+1,6)*(Tab_Calculs[[#This Row],[fin mois]]-MIN(Tab_Calculs[[#This Row],[fin mois]],Tab_Calculs[[#This Row],[Date_livraison]]))</f>
        <v>#VALUE!</v>
      </c>
      <c r="N1178" s="231" t="str">
        <f ca="1">IFERROR(Tab_Calculs[[#This Row],[Ratio_jour_après_livr]]+Tab_Calculs[[#This Row],[Ratio_jour_avant_livr]]+Tab_Calculs[[#This Row],[ratio_avant_debut]],"")</f>
        <v/>
      </c>
      <c r="O1178" t="e">
        <f ca="1">INDEX(INDIRECT(CONCATENATE("Tab_",Tab_Calculs[[#This Row],[Colonne1]])),Tab_Calculs[[#This Row],[index_date_livraison]]-1,7)*(MAX(Tab_Calculs[[#This Row],[Début periode livraison]],Tab_Calculs[[#This Row],[Début mois]])-Tab_Calculs[[#This Row],[Début mois]])</f>
        <v>#VALUE!</v>
      </c>
      <c r="P1178">
        <f ca="1">INDEX(INDIRECT(CONCATENATE("Tab_",Tab_Calculs[[#This Row],[Colonne1]])),Tab_Calculs[[#This Row],[index_date_livraison]],7)*(1+MIN(Tab_Calculs[[#This Row],[Date_livraison]],Tab_Calculs[[#This Row],[fin mois]])-MAX(Tab_Calculs[[#This Row],[Début mois]],Tab_Calculs[[#This Row],[Début periode livraison]]))</f>
        <v>0</v>
      </c>
      <c r="Q1178" t="e">
        <f ca="1">INDEX(INDIRECT(CONCATENATE("Tab_",Tab_Calculs[[#This Row],[Colonne1]])),Tab_Calculs[[#This Row],[index_date_livraison]]+1,7)*(Tab_Calculs[[#This Row],[fin mois]]-MIN(Tab_Calculs[[#This Row],[fin mois]],Tab_Calculs[[#This Row],[Date_livraison]]))</f>
        <v>#VALUE!</v>
      </c>
      <c r="R1178" t="e">
        <f ca="1">Tab_Calculs[[#This Row],[Ratio_Cout_après_livr]]+Tab_Calculs[[#This Row],[Ratio_Cout_avant_livr]]+Tab_Calculs[[#This Row],[Ratio_Cout_avant_debut]]</f>
        <v>#VALUE!</v>
      </c>
      <c r="S1178" t="str">
        <f ca="1">IFERROR(N1178*VLOOKUP(Tab_Calculs[[#This Row],[Colonne1]],Controle_des_données!$B$7:$G$14,6,FALSE),"")</f>
        <v/>
      </c>
      <c r="T1178" t="str">
        <f ca="1">IF(Tab_Calculs[[#This Row],[Combustible ]]="Electricité (kWh)",Tab_Calculs[[#This Row],[Conso_mois_kWh]]*2.3,Tab_Calculs[[#This Row],[Conso_mois_kWh]])</f>
        <v/>
      </c>
      <c r="U1178" t="str">
        <f ca="1">IFERROR(N1178*VLOOKUP(Tab_Calculs[[#This Row],[Colonne1]],Controle_des_données!$B$7:$H$14,7,FALSE),"")</f>
        <v/>
      </c>
      <c r="V1178">
        <f ca="1">IFERROR(Tab_Calculs[[#This Row],[Cout_mois]]/Tab_Calculs[[#This Row],[Conso_mois_kWh]],0)</f>
        <v>0</v>
      </c>
      <c r="W1178" t="str">
        <f>T(VLOOKUP(Tab_Calculs[[#This Row],[Compteur]],Site!$B$33:$G$40,3,FALSE))</f>
        <v/>
      </c>
      <c r="X1178" t="str">
        <f>T(VLOOKUP(Tab_Calculs[[#This Row],[Compteur]],Site!$B$33:$G$40,4,FALSE))</f>
        <v/>
      </c>
      <c r="Y1178" t="str">
        <f>T(VLOOKUP(Tab_Calculs[[#This Row],[Compteur]],Site!$B$33:$G$40,5,FALSE))</f>
        <v/>
      </c>
      <c r="Z1178" t="str">
        <f>T(VLOOKUP(Tab_Calculs[[#This Row],[Compteur]],Site!$B$33:$G$40,6,FALSE))</f>
        <v/>
      </c>
      <c r="AA1178">
        <f>IFERROR(GETPIVOTDATA("DJU(chauffagiste)",BDD_DJU!$P$13,"annee",Tab_Calculs[[#This Row],[ANNEE]],"mois_numero",Tab_Calculs[[#This Row],[MOIS]]),0)</f>
        <v>55.8</v>
      </c>
    </row>
    <row r="1179" spans="1:27" x14ac:dyDescent="0.25">
      <c r="A1179" s="3">
        <f>DATE(Tab_Calculs[[#This Row],[ANNEE]],Tab_Calculs[[#This Row],[MOIS]],1)</f>
        <v>40725</v>
      </c>
      <c r="B1179" s="3">
        <f>EDATE(Tab_Calculs[[#This Row],[Début mois]],1)-1</f>
        <v>40755</v>
      </c>
      <c r="C1179">
        <v>7</v>
      </c>
      <c r="D1179">
        <v>2011</v>
      </c>
      <c r="E1179" t="s">
        <v>86</v>
      </c>
      <c r="F1179" t="str">
        <f>SUBSTITUTE(Tab_Calculs[[#This Row],[Compteur]]," ","_")</f>
        <v>Compteur_7</v>
      </c>
      <c r="G1179" t="str">
        <f>T(INDEX(Site!$B$33:$G$40, MATCH(Tab_Calculs[[#This Row],[Compteur]], Site!$B$33:$B$40,0),2))</f>
        <v/>
      </c>
      <c r="H1179" s="3">
        <f t="array" aca="1" ref="H1179" ca="1">MIN(IF(INDIRECT(CONCATENATE(Tab_Calculs[[#This Row],[Colonne1]],"!$B$2:$B$243"))&gt;=Calculs_Consos!$A1179,INDIRECT(CONCATENATE(Tab_Calculs[[#This Row],[Colonne1]],"!$B$2:$B$243"))))</f>
        <v>0</v>
      </c>
      <c r="I1179" s="3">
        <f ca="1">INDEX(INDIRECT(CONCATENATE("Tab_",Tab_Calculs[[#This Row],[Colonne1]])),Tab_Calculs[[#This Row],[index_date_livraison]],1)</f>
        <v>0</v>
      </c>
      <c r="J1179">
        <f ca="1">MATCH(Tab_Calculs[[#This Row],[Date_livraison]],INDIRECT(CONCATENATE("Tab_",Tab_Calculs[[#This Row],[Colonne1]],"[Fin de période]")),0)</f>
        <v>1</v>
      </c>
      <c r="K1179" t="e">
        <f ca="1">INDEX(INDIRECT(CONCATENATE("Tab_",Tab_Calculs[[#This Row],[Colonne1]])),Tab_Calculs[[#This Row],[index_date_livraison]]-1,6)*(MAX(Tab_Calculs[[#This Row],[Début periode livraison]],Tab_Calculs[[#This Row],[Début mois]])-Tab_Calculs[[#This Row],[Début mois]])</f>
        <v>#VALUE!</v>
      </c>
      <c r="L1179" s="94">
        <f ca="1">INDEX(INDIRECT(CONCATENATE("Tab_",Tab_Calculs[[#This Row],[Colonne1]])),Tab_Calculs[[#This Row],[index_date_livraison]],6)*(1+MIN(Tab_Calculs[[#This Row],[Date_livraison]],Tab_Calculs[[#This Row],[fin mois]])-MAX(Tab_Calculs[[#This Row],[Début mois]],Tab_Calculs[[#This Row],[Début periode livraison]]))</f>
        <v>0</v>
      </c>
      <c r="M1179" s="94" t="e">
        <f ca="1">INDEX(INDIRECT(CONCATENATE("Tab_",Tab_Calculs[[#This Row],[Colonne1]])),Tab_Calculs[[#This Row],[index_date_livraison]]+1,6)*(Tab_Calculs[[#This Row],[fin mois]]-MIN(Tab_Calculs[[#This Row],[fin mois]],Tab_Calculs[[#This Row],[Date_livraison]]))</f>
        <v>#VALUE!</v>
      </c>
      <c r="N1179" s="231" t="str">
        <f ca="1">IFERROR(Tab_Calculs[[#This Row],[Ratio_jour_après_livr]]+Tab_Calculs[[#This Row],[Ratio_jour_avant_livr]]+Tab_Calculs[[#This Row],[ratio_avant_debut]],"")</f>
        <v/>
      </c>
      <c r="O1179" t="e">
        <f ca="1">INDEX(INDIRECT(CONCATENATE("Tab_",Tab_Calculs[[#This Row],[Colonne1]])),Tab_Calculs[[#This Row],[index_date_livraison]]-1,7)*(MAX(Tab_Calculs[[#This Row],[Début periode livraison]],Tab_Calculs[[#This Row],[Début mois]])-Tab_Calculs[[#This Row],[Début mois]])</f>
        <v>#VALUE!</v>
      </c>
      <c r="P1179">
        <f ca="1">INDEX(INDIRECT(CONCATENATE("Tab_",Tab_Calculs[[#This Row],[Colonne1]])),Tab_Calculs[[#This Row],[index_date_livraison]],7)*(1+MIN(Tab_Calculs[[#This Row],[Date_livraison]],Tab_Calculs[[#This Row],[fin mois]])-MAX(Tab_Calculs[[#This Row],[Début mois]],Tab_Calculs[[#This Row],[Début periode livraison]]))</f>
        <v>0</v>
      </c>
      <c r="Q1179" t="e">
        <f ca="1">INDEX(INDIRECT(CONCATENATE("Tab_",Tab_Calculs[[#This Row],[Colonne1]])),Tab_Calculs[[#This Row],[index_date_livraison]]+1,7)*(Tab_Calculs[[#This Row],[fin mois]]-MIN(Tab_Calculs[[#This Row],[fin mois]],Tab_Calculs[[#This Row],[Date_livraison]]))</f>
        <v>#VALUE!</v>
      </c>
      <c r="R1179" t="e">
        <f ca="1">Tab_Calculs[[#This Row],[Ratio_Cout_après_livr]]+Tab_Calculs[[#This Row],[Ratio_Cout_avant_livr]]+Tab_Calculs[[#This Row],[Ratio_Cout_avant_debut]]</f>
        <v>#VALUE!</v>
      </c>
      <c r="S1179" t="str">
        <f ca="1">IFERROR(N1179*VLOOKUP(Tab_Calculs[[#This Row],[Colonne1]],Controle_des_données!$B$7:$G$14,6,FALSE),"")</f>
        <v/>
      </c>
      <c r="T1179" t="str">
        <f ca="1">IF(Tab_Calculs[[#This Row],[Combustible ]]="Electricité (kWh)",Tab_Calculs[[#This Row],[Conso_mois_kWh]]*2.3,Tab_Calculs[[#This Row],[Conso_mois_kWh]])</f>
        <v/>
      </c>
      <c r="U1179" t="str">
        <f ca="1">IFERROR(N1179*VLOOKUP(Tab_Calculs[[#This Row],[Colonne1]],Controle_des_données!$B$7:$H$14,7,FALSE),"")</f>
        <v/>
      </c>
      <c r="V1179">
        <f ca="1">IFERROR(Tab_Calculs[[#This Row],[Cout_mois]]/Tab_Calculs[[#This Row],[Conso_mois_kWh]],0)</f>
        <v>0</v>
      </c>
      <c r="W1179" t="str">
        <f>T(VLOOKUP(Tab_Calculs[[#This Row],[Compteur]],Site!$B$33:$G$40,3,FALSE))</f>
        <v/>
      </c>
      <c r="X1179" t="str">
        <f>T(VLOOKUP(Tab_Calculs[[#This Row],[Compteur]],Site!$B$33:$G$40,4,FALSE))</f>
        <v/>
      </c>
      <c r="Y1179" t="str">
        <f>T(VLOOKUP(Tab_Calculs[[#This Row],[Compteur]],Site!$B$33:$G$40,5,FALSE))</f>
        <v/>
      </c>
      <c r="Z1179" t="str">
        <f>T(VLOOKUP(Tab_Calculs[[#This Row],[Compteur]],Site!$B$33:$G$40,6,FALSE))</f>
        <v/>
      </c>
      <c r="AA1179">
        <f>IFERROR(GETPIVOTDATA("DJU(chauffagiste)",BDD_DJU!$P$13,"annee",Tab_Calculs[[#This Row],[ANNEE]],"mois_numero",Tab_Calculs[[#This Row],[MOIS]]),0)</f>
        <v>50.8</v>
      </c>
    </row>
    <row r="1180" spans="1:27" x14ac:dyDescent="0.25">
      <c r="A1180" s="3">
        <f>DATE(Tab_Calculs[[#This Row],[ANNEE]],Tab_Calculs[[#This Row],[MOIS]],1)</f>
        <v>40756</v>
      </c>
      <c r="B1180" s="3">
        <f>EDATE(Tab_Calculs[[#This Row],[Début mois]],1)-1</f>
        <v>40786</v>
      </c>
      <c r="C1180">
        <v>8</v>
      </c>
      <c r="D1180">
        <v>2011</v>
      </c>
      <c r="E1180" t="s">
        <v>86</v>
      </c>
      <c r="F1180" t="str">
        <f>SUBSTITUTE(Tab_Calculs[[#This Row],[Compteur]]," ","_")</f>
        <v>Compteur_7</v>
      </c>
      <c r="G1180" t="str">
        <f>T(INDEX(Site!$B$33:$G$40, MATCH(Tab_Calculs[[#This Row],[Compteur]], Site!$B$33:$B$40,0),2))</f>
        <v/>
      </c>
      <c r="H1180" s="3">
        <f t="array" aca="1" ref="H1180" ca="1">MIN(IF(INDIRECT(CONCATENATE(Tab_Calculs[[#This Row],[Colonne1]],"!$B$2:$B$243"))&gt;=Calculs_Consos!$A1180,INDIRECT(CONCATENATE(Tab_Calculs[[#This Row],[Colonne1]],"!$B$2:$B$243"))))</f>
        <v>0</v>
      </c>
      <c r="I1180" s="3">
        <f ca="1">INDEX(INDIRECT(CONCATENATE("Tab_",Tab_Calculs[[#This Row],[Colonne1]])),Tab_Calculs[[#This Row],[index_date_livraison]],1)</f>
        <v>0</v>
      </c>
      <c r="J1180">
        <f ca="1">MATCH(Tab_Calculs[[#This Row],[Date_livraison]],INDIRECT(CONCATENATE("Tab_",Tab_Calculs[[#This Row],[Colonne1]],"[Fin de période]")),0)</f>
        <v>1</v>
      </c>
      <c r="K1180" t="e">
        <f ca="1">INDEX(INDIRECT(CONCATENATE("Tab_",Tab_Calculs[[#This Row],[Colonne1]])),Tab_Calculs[[#This Row],[index_date_livraison]]-1,6)*(MAX(Tab_Calculs[[#This Row],[Début periode livraison]],Tab_Calculs[[#This Row],[Début mois]])-Tab_Calculs[[#This Row],[Début mois]])</f>
        <v>#VALUE!</v>
      </c>
      <c r="L1180" s="94">
        <f ca="1">INDEX(INDIRECT(CONCATENATE("Tab_",Tab_Calculs[[#This Row],[Colonne1]])),Tab_Calculs[[#This Row],[index_date_livraison]],6)*(1+MIN(Tab_Calculs[[#This Row],[Date_livraison]],Tab_Calculs[[#This Row],[fin mois]])-MAX(Tab_Calculs[[#This Row],[Début mois]],Tab_Calculs[[#This Row],[Début periode livraison]]))</f>
        <v>0</v>
      </c>
      <c r="M1180" s="94" t="e">
        <f ca="1">INDEX(INDIRECT(CONCATENATE("Tab_",Tab_Calculs[[#This Row],[Colonne1]])),Tab_Calculs[[#This Row],[index_date_livraison]]+1,6)*(Tab_Calculs[[#This Row],[fin mois]]-MIN(Tab_Calculs[[#This Row],[fin mois]],Tab_Calculs[[#This Row],[Date_livraison]]))</f>
        <v>#VALUE!</v>
      </c>
      <c r="N1180" s="231" t="str">
        <f ca="1">IFERROR(Tab_Calculs[[#This Row],[Ratio_jour_après_livr]]+Tab_Calculs[[#This Row],[Ratio_jour_avant_livr]]+Tab_Calculs[[#This Row],[ratio_avant_debut]],"")</f>
        <v/>
      </c>
      <c r="O1180" t="e">
        <f ca="1">INDEX(INDIRECT(CONCATENATE("Tab_",Tab_Calculs[[#This Row],[Colonne1]])),Tab_Calculs[[#This Row],[index_date_livraison]]-1,7)*(MAX(Tab_Calculs[[#This Row],[Début periode livraison]],Tab_Calculs[[#This Row],[Début mois]])-Tab_Calculs[[#This Row],[Début mois]])</f>
        <v>#VALUE!</v>
      </c>
      <c r="P1180">
        <f ca="1">INDEX(INDIRECT(CONCATENATE("Tab_",Tab_Calculs[[#This Row],[Colonne1]])),Tab_Calculs[[#This Row],[index_date_livraison]],7)*(1+MIN(Tab_Calculs[[#This Row],[Date_livraison]],Tab_Calculs[[#This Row],[fin mois]])-MAX(Tab_Calculs[[#This Row],[Début mois]],Tab_Calculs[[#This Row],[Début periode livraison]]))</f>
        <v>0</v>
      </c>
      <c r="Q1180" t="e">
        <f ca="1">INDEX(INDIRECT(CONCATENATE("Tab_",Tab_Calculs[[#This Row],[Colonne1]])),Tab_Calculs[[#This Row],[index_date_livraison]]+1,7)*(Tab_Calculs[[#This Row],[fin mois]]-MIN(Tab_Calculs[[#This Row],[fin mois]],Tab_Calculs[[#This Row],[Date_livraison]]))</f>
        <v>#VALUE!</v>
      </c>
      <c r="R1180" t="e">
        <f ca="1">Tab_Calculs[[#This Row],[Ratio_Cout_après_livr]]+Tab_Calculs[[#This Row],[Ratio_Cout_avant_livr]]+Tab_Calculs[[#This Row],[Ratio_Cout_avant_debut]]</f>
        <v>#VALUE!</v>
      </c>
      <c r="S1180" t="str">
        <f ca="1">IFERROR(N1180*VLOOKUP(Tab_Calculs[[#This Row],[Colonne1]],Controle_des_données!$B$7:$G$14,6,FALSE),"")</f>
        <v/>
      </c>
      <c r="T1180" t="str">
        <f ca="1">IF(Tab_Calculs[[#This Row],[Combustible ]]="Electricité (kWh)",Tab_Calculs[[#This Row],[Conso_mois_kWh]]*2.3,Tab_Calculs[[#This Row],[Conso_mois_kWh]])</f>
        <v/>
      </c>
      <c r="U1180" t="str">
        <f ca="1">IFERROR(N1180*VLOOKUP(Tab_Calculs[[#This Row],[Colonne1]],Controle_des_données!$B$7:$H$14,7,FALSE),"")</f>
        <v/>
      </c>
      <c r="V1180">
        <f ca="1">IFERROR(Tab_Calculs[[#This Row],[Cout_mois]]/Tab_Calculs[[#This Row],[Conso_mois_kWh]],0)</f>
        <v>0</v>
      </c>
      <c r="W1180" t="str">
        <f>T(VLOOKUP(Tab_Calculs[[#This Row],[Compteur]],Site!$B$33:$G$40,3,FALSE))</f>
        <v/>
      </c>
      <c r="X1180" t="str">
        <f>T(VLOOKUP(Tab_Calculs[[#This Row],[Compteur]],Site!$B$33:$G$40,4,FALSE))</f>
        <v/>
      </c>
      <c r="Y1180" t="str">
        <f>T(VLOOKUP(Tab_Calculs[[#This Row],[Compteur]],Site!$B$33:$G$40,5,FALSE))</f>
        <v/>
      </c>
      <c r="Z1180" t="str">
        <f>T(VLOOKUP(Tab_Calculs[[#This Row],[Compteur]],Site!$B$33:$G$40,6,FALSE))</f>
        <v/>
      </c>
      <c r="AA1180">
        <f>IFERROR(GETPIVOTDATA("DJU(chauffagiste)",BDD_DJU!$P$13,"annee",Tab_Calculs[[#This Row],[ANNEE]],"mois_numero",Tab_Calculs[[#This Row],[MOIS]]),0)</f>
        <v>34.700000000000003</v>
      </c>
    </row>
    <row r="1181" spans="1:27" x14ac:dyDescent="0.25">
      <c r="A1181" s="3">
        <f>DATE(Tab_Calculs[[#This Row],[ANNEE]],Tab_Calculs[[#This Row],[MOIS]],1)</f>
        <v>40787</v>
      </c>
      <c r="B1181" s="3">
        <f>EDATE(Tab_Calculs[[#This Row],[Début mois]],1)-1</f>
        <v>40816</v>
      </c>
      <c r="C1181">
        <v>9</v>
      </c>
      <c r="D1181">
        <v>2011</v>
      </c>
      <c r="E1181" t="s">
        <v>86</v>
      </c>
      <c r="F1181" t="str">
        <f>SUBSTITUTE(Tab_Calculs[[#This Row],[Compteur]]," ","_")</f>
        <v>Compteur_7</v>
      </c>
      <c r="G1181" t="str">
        <f>T(INDEX(Site!$B$33:$G$40, MATCH(Tab_Calculs[[#This Row],[Compteur]], Site!$B$33:$B$40,0),2))</f>
        <v/>
      </c>
      <c r="H1181" s="3">
        <f t="array" aca="1" ref="H1181" ca="1">MIN(IF(INDIRECT(CONCATENATE(Tab_Calculs[[#This Row],[Colonne1]],"!$B$2:$B$243"))&gt;=Calculs_Consos!$A1181,INDIRECT(CONCATENATE(Tab_Calculs[[#This Row],[Colonne1]],"!$B$2:$B$243"))))</f>
        <v>0</v>
      </c>
      <c r="I1181" s="3">
        <f ca="1">INDEX(INDIRECT(CONCATENATE("Tab_",Tab_Calculs[[#This Row],[Colonne1]])),Tab_Calculs[[#This Row],[index_date_livraison]],1)</f>
        <v>0</v>
      </c>
      <c r="J1181">
        <f ca="1">MATCH(Tab_Calculs[[#This Row],[Date_livraison]],INDIRECT(CONCATENATE("Tab_",Tab_Calculs[[#This Row],[Colonne1]],"[Fin de période]")),0)</f>
        <v>1</v>
      </c>
      <c r="K1181" t="e">
        <f ca="1">INDEX(INDIRECT(CONCATENATE("Tab_",Tab_Calculs[[#This Row],[Colonne1]])),Tab_Calculs[[#This Row],[index_date_livraison]]-1,6)*(MAX(Tab_Calculs[[#This Row],[Début periode livraison]],Tab_Calculs[[#This Row],[Début mois]])-Tab_Calculs[[#This Row],[Début mois]])</f>
        <v>#VALUE!</v>
      </c>
      <c r="L1181" s="94">
        <f ca="1">INDEX(INDIRECT(CONCATENATE("Tab_",Tab_Calculs[[#This Row],[Colonne1]])),Tab_Calculs[[#This Row],[index_date_livraison]],6)*(1+MIN(Tab_Calculs[[#This Row],[Date_livraison]],Tab_Calculs[[#This Row],[fin mois]])-MAX(Tab_Calculs[[#This Row],[Début mois]],Tab_Calculs[[#This Row],[Début periode livraison]]))</f>
        <v>0</v>
      </c>
      <c r="M1181" s="94" t="e">
        <f ca="1">INDEX(INDIRECT(CONCATENATE("Tab_",Tab_Calculs[[#This Row],[Colonne1]])),Tab_Calculs[[#This Row],[index_date_livraison]]+1,6)*(Tab_Calculs[[#This Row],[fin mois]]-MIN(Tab_Calculs[[#This Row],[fin mois]],Tab_Calculs[[#This Row],[Date_livraison]]))</f>
        <v>#VALUE!</v>
      </c>
      <c r="N1181" s="231" t="str">
        <f ca="1">IFERROR(Tab_Calculs[[#This Row],[Ratio_jour_après_livr]]+Tab_Calculs[[#This Row],[Ratio_jour_avant_livr]]+Tab_Calculs[[#This Row],[ratio_avant_debut]],"")</f>
        <v/>
      </c>
      <c r="O1181" t="e">
        <f ca="1">INDEX(INDIRECT(CONCATENATE("Tab_",Tab_Calculs[[#This Row],[Colonne1]])),Tab_Calculs[[#This Row],[index_date_livraison]]-1,7)*(MAX(Tab_Calculs[[#This Row],[Début periode livraison]],Tab_Calculs[[#This Row],[Début mois]])-Tab_Calculs[[#This Row],[Début mois]])</f>
        <v>#VALUE!</v>
      </c>
      <c r="P1181">
        <f ca="1">INDEX(INDIRECT(CONCATENATE("Tab_",Tab_Calculs[[#This Row],[Colonne1]])),Tab_Calculs[[#This Row],[index_date_livraison]],7)*(1+MIN(Tab_Calculs[[#This Row],[Date_livraison]],Tab_Calculs[[#This Row],[fin mois]])-MAX(Tab_Calculs[[#This Row],[Début mois]],Tab_Calculs[[#This Row],[Début periode livraison]]))</f>
        <v>0</v>
      </c>
      <c r="Q1181" t="e">
        <f ca="1">INDEX(INDIRECT(CONCATENATE("Tab_",Tab_Calculs[[#This Row],[Colonne1]])),Tab_Calculs[[#This Row],[index_date_livraison]]+1,7)*(Tab_Calculs[[#This Row],[fin mois]]-MIN(Tab_Calculs[[#This Row],[fin mois]],Tab_Calculs[[#This Row],[Date_livraison]]))</f>
        <v>#VALUE!</v>
      </c>
      <c r="R1181" t="e">
        <f ca="1">Tab_Calculs[[#This Row],[Ratio_Cout_après_livr]]+Tab_Calculs[[#This Row],[Ratio_Cout_avant_livr]]+Tab_Calculs[[#This Row],[Ratio_Cout_avant_debut]]</f>
        <v>#VALUE!</v>
      </c>
      <c r="S1181" t="str">
        <f ca="1">IFERROR(N1181*VLOOKUP(Tab_Calculs[[#This Row],[Colonne1]],Controle_des_données!$B$7:$G$14,6,FALSE),"")</f>
        <v/>
      </c>
      <c r="T1181" t="str">
        <f ca="1">IF(Tab_Calculs[[#This Row],[Combustible ]]="Electricité (kWh)",Tab_Calculs[[#This Row],[Conso_mois_kWh]]*2.3,Tab_Calculs[[#This Row],[Conso_mois_kWh]])</f>
        <v/>
      </c>
      <c r="U1181" t="str">
        <f ca="1">IFERROR(N1181*VLOOKUP(Tab_Calculs[[#This Row],[Colonne1]],Controle_des_données!$B$7:$H$14,7,FALSE),"")</f>
        <v/>
      </c>
      <c r="V1181">
        <f ca="1">IFERROR(Tab_Calculs[[#This Row],[Cout_mois]]/Tab_Calculs[[#This Row],[Conso_mois_kWh]],0)</f>
        <v>0</v>
      </c>
      <c r="W1181" t="str">
        <f>T(VLOOKUP(Tab_Calculs[[#This Row],[Compteur]],Site!$B$33:$G$40,3,FALSE))</f>
        <v/>
      </c>
      <c r="X1181" t="str">
        <f>T(VLOOKUP(Tab_Calculs[[#This Row],[Compteur]],Site!$B$33:$G$40,4,FALSE))</f>
        <v/>
      </c>
      <c r="Y1181" t="str">
        <f>T(VLOOKUP(Tab_Calculs[[#This Row],[Compteur]],Site!$B$33:$G$40,5,FALSE))</f>
        <v/>
      </c>
      <c r="Z1181" t="str">
        <f>T(VLOOKUP(Tab_Calculs[[#This Row],[Compteur]],Site!$B$33:$G$40,6,FALSE))</f>
        <v/>
      </c>
      <c r="AA1181">
        <f>IFERROR(GETPIVOTDATA("DJU(chauffagiste)",BDD_DJU!$P$13,"annee",Tab_Calculs[[#This Row],[ANNEE]],"mois_numero",Tab_Calculs[[#This Row],[MOIS]]),0)</f>
        <v>51.3</v>
      </c>
    </row>
    <row r="1182" spans="1:27" x14ac:dyDescent="0.25">
      <c r="A1182" s="3">
        <f>DATE(Tab_Calculs[[#This Row],[ANNEE]],Tab_Calculs[[#This Row],[MOIS]],1)</f>
        <v>40817</v>
      </c>
      <c r="B1182" s="3">
        <f>EDATE(Tab_Calculs[[#This Row],[Début mois]],1)-1</f>
        <v>40847</v>
      </c>
      <c r="C1182">
        <v>10</v>
      </c>
      <c r="D1182">
        <v>2011</v>
      </c>
      <c r="E1182" t="s">
        <v>86</v>
      </c>
      <c r="F1182" t="str">
        <f>SUBSTITUTE(Tab_Calculs[[#This Row],[Compteur]]," ","_")</f>
        <v>Compteur_7</v>
      </c>
      <c r="G1182" t="str">
        <f>T(INDEX(Site!$B$33:$G$40, MATCH(Tab_Calculs[[#This Row],[Compteur]], Site!$B$33:$B$40,0),2))</f>
        <v/>
      </c>
      <c r="H1182" s="3">
        <f t="array" aca="1" ref="H1182" ca="1">MIN(IF(INDIRECT(CONCATENATE(Tab_Calculs[[#This Row],[Colonne1]],"!$B$2:$B$243"))&gt;=Calculs_Consos!$A1182,INDIRECT(CONCATENATE(Tab_Calculs[[#This Row],[Colonne1]],"!$B$2:$B$243"))))</f>
        <v>0</v>
      </c>
      <c r="I1182" s="3">
        <f ca="1">INDEX(INDIRECT(CONCATENATE("Tab_",Tab_Calculs[[#This Row],[Colonne1]])),Tab_Calculs[[#This Row],[index_date_livraison]],1)</f>
        <v>0</v>
      </c>
      <c r="J1182">
        <f ca="1">MATCH(Tab_Calculs[[#This Row],[Date_livraison]],INDIRECT(CONCATENATE("Tab_",Tab_Calculs[[#This Row],[Colonne1]],"[Fin de période]")),0)</f>
        <v>1</v>
      </c>
      <c r="K1182" t="e">
        <f ca="1">INDEX(INDIRECT(CONCATENATE("Tab_",Tab_Calculs[[#This Row],[Colonne1]])),Tab_Calculs[[#This Row],[index_date_livraison]]-1,6)*(MAX(Tab_Calculs[[#This Row],[Début periode livraison]],Tab_Calculs[[#This Row],[Début mois]])-Tab_Calculs[[#This Row],[Début mois]])</f>
        <v>#VALUE!</v>
      </c>
      <c r="L1182" s="94">
        <f ca="1">INDEX(INDIRECT(CONCATENATE("Tab_",Tab_Calculs[[#This Row],[Colonne1]])),Tab_Calculs[[#This Row],[index_date_livraison]],6)*(1+MIN(Tab_Calculs[[#This Row],[Date_livraison]],Tab_Calculs[[#This Row],[fin mois]])-MAX(Tab_Calculs[[#This Row],[Début mois]],Tab_Calculs[[#This Row],[Début periode livraison]]))</f>
        <v>0</v>
      </c>
      <c r="M1182" s="94" t="e">
        <f ca="1">INDEX(INDIRECT(CONCATENATE("Tab_",Tab_Calculs[[#This Row],[Colonne1]])),Tab_Calculs[[#This Row],[index_date_livraison]]+1,6)*(Tab_Calculs[[#This Row],[fin mois]]-MIN(Tab_Calculs[[#This Row],[fin mois]],Tab_Calculs[[#This Row],[Date_livraison]]))</f>
        <v>#VALUE!</v>
      </c>
      <c r="N1182" s="231" t="str">
        <f ca="1">IFERROR(Tab_Calculs[[#This Row],[Ratio_jour_après_livr]]+Tab_Calculs[[#This Row],[Ratio_jour_avant_livr]]+Tab_Calculs[[#This Row],[ratio_avant_debut]],"")</f>
        <v/>
      </c>
      <c r="O1182" t="e">
        <f ca="1">INDEX(INDIRECT(CONCATENATE("Tab_",Tab_Calculs[[#This Row],[Colonne1]])),Tab_Calculs[[#This Row],[index_date_livraison]]-1,7)*(MAX(Tab_Calculs[[#This Row],[Début periode livraison]],Tab_Calculs[[#This Row],[Début mois]])-Tab_Calculs[[#This Row],[Début mois]])</f>
        <v>#VALUE!</v>
      </c>
      <c r="P1182">
        <f ca="1">INDEX(INDIRECT(CONCATENATE("Tab_",Tab_Calculs[[#This Row],[Colonne1]])),Tab_Calculs[[#This Row],[index_date_livraison]],7)*(1+MIN(Tab_Calculs[[#This Row],[Date_livraison]],Tab_Calculs[[#This Row],[fin mois]])-MAX(Tab_Calculs[[#This Row],[Début mois]],Tab_Calculs[[#This Row],[Début periode livraison]]))</f>
        <v>0</v>
      </c>
      <c r="Q1182" t="e">
        <f ca="1">INDEX(INDIRECT(CONCATENATE("Tab_",Tab_Calculs[[#This Row],[Colonne1]])),Tab_Calculs[[#This Row],[index_date_livraison]]+1,7)*(Tab_Calculs[[#This Row],[fin mois]]-MIN(Tab_Calculs[[#This Row],[fin mois]],Tab_Calculs[[#This Row],[Date_livraison]]))</f>
        <v>#VALUE!</v>
      </c>
      <c r="R1182" t="e">
        <f ca="1">Tab_Calculs[[#This Row],[Ratio_Cout_après_livr]]+Tab_Calculs[[#This Row],[Ratio_Cout_avant_livr]]+Tab_Calculs[[#This Row],[Ratio_Cout_avant_debut]]</f>
        <v>#VALUE!</v>
      </c>
      <c r="S1182" t="str">
        <f ca="1">IFERROR(N1182*VLOOKUP(Tab_Calculs[[#This Row],[Colonne1]],Controle_des_données!$B$7:$G$14,6,FALSE),"")</f>
        <v/>
      </c>
      <c r="T1182" t="str">
        <f ca="1">IF(Tab_Calculs[[#This Row],[Combustible ]]="Electricité (kWh)",Tab_Calculs[[#This Row],[Conso_mois_kWh]]*2.3,Tab_Calculs[[#This Row],[Conso_mois_kWh]])</f>
        <v/>
      </c>
      <c r="U1182" t="str">
        <f ca="1">IFERROR(N1182*VLOOKUP(Tab_Calculs[[#This Row],[Colonne1]],Controle_des_données!$B$7:$H$14,7,FALSE),"")</f>
        <v/>
      </c>
      <c r="V1182">
        <f ca="1">IFERROR(Tab_Calculs[[#This Row],[Cout_mois]]/Tab_Calculs[[#This Row],[Conso_mois_kWh]],0)</f>
        <v>0</v>
      </c>
      <c r="W1182" t="str">
        <f>T(VLOOKUP(Tab_Calculs[[#This Row],[Compteur]],Site!$B$33:$G$40,3,FALSE))</f>
        <v/>
      </c>
      <c r="X1182" t="str">
        <f>T(VLOOKUP(Tab_Calculs[[#This Row],[Compteur]],Site!$B$33:$G$40,4,FALSE))</f>
        <v/>
      </c>
      <c r="Y1182" t="str">
        <f>T(VLOOKUP(Tab_Calculs[[#This Row],[Compteur]],Site!$B$33:$G$40,5,FALSE))</f>
        <v/>
      </c>
      <c r="Z1182" t="str">
        <f>T(VLOOKUP(Tab_Calculs[[#This Row],[Compteur]],Site!$B$33:$G$40,6,FALSE))</f>
        <v/>
      </c>
      <c r="AA1182">
        <f>IFERROR(GETPIVOTDATA("DJU(chauffagiste)",BDD_DJU!$P$13,"annee",Tab_Calculs[[#This Row],[ANNEE]],"mois_numero",Tab_Calculs[[#This Row],[MOIS]]),0)</f>
        <v>145.6</v>
      </c>
    </row>
    <row r="1183" spans="1:27" x14ac:dyDescent="0.25">
      <c r="A1183" s="3">
        <f>DATE(Tab_Calculs[[#This Row],[ANNEE]],Tab_Calculs[[#This Row],[MOIS]],1)</f>
        <v>40848</v>
      </c>
      <c r="B1183" s="3">
        <f>EDATE(Tab_Calculs[[#This Row],[Début mois]],1)-1</f>
        <v>40877</v>
      </c>
      <c r="C1183">
        <v>11</v>
      </c>
      <c r="D1183">
        <v>2011</v>
      </c>
      <c r="E1183" t="s">
        <v>86</v>
      </c>
      <c r="F1183" t="str">
        <f>SUBSTITUTE(Tab_Calculs[[#This Row],[Compteur]]," ","_")</f>
        <v>Compteur_7</v>
      </c>
      <c r="G1183" t="str">
        <f>T(INDEX(Site!$B$33:$G$40, MATCH(Tab_Calculs[[#This Row],[Compteur]], Site!$B$33:$B$40,0),2))</f>
        <v/>
      </c>
      <c r="H1183" s="3">
        <f t="array" aca="1" ref="H1183" ca="1">MIN(IF(INDIRECT(CONCATENATE(Tab_Calculs[[#This Row],[Colonne1]],"!$B$2:$B$243"))&gt;=Calculs_Consos!$A1183,INDIRECT(CONCATENATE(Tab_Calculs[[#This Row],[Colonne1]],"!$B$2:$B$243"))))</f>
        <v>0</v>
      </c>
      <c r="I1183" s="3">
        <f ca="1">INDEX(INDIRECT(CONCATENATE("Tab_",Tab_Calculs[[#This Row],[Colonne1]])),Tab_Calculs[[#This Row],[index_date_livraison]],1)</f>
        <v>0</v>
      </c>
      <c r="J1183">
        <f ca="1">MATCH(Tab_Calculs[[#This Row],[Date_livraison]],INDIRECT(CONCATENATE("Tab_",Tab_Calculs[[#This Row],[Colonne1]],"[Fin de période]")),0)</f>
        <v>1</v>
      </c>
      <c r="K1183" t="e">
        <f ca="1">INDEX(INDIRECT(CONCATENATE("Tab_",Tab_Calculs[[#This Row],[Colonne1]])),Tab_Calculs[[#This Row],[index_date_livraison]]-1,6)*(MAX(Tab_Calculs[[#This Row],[Début periode livraison]],Tab_Calculs[[#This Row],[Début mois]])-Tab_Calculs[[#This Row],[Début mois]])</f>
        <v>#VALUE!</v>
      </c>
      <c r="L1183" s="94">
        <f ca="1">INDEX(INDIRECT(CONCATENATE("Tab_",Tab_Calculs[[#This Row],[Colonne1]])),Tab_Calculs[[#This Row],[index_date_livraison]],6)*(1+MIN(Tab_Calculs[[#This Row],[Date_livraison]],Tab_Calculs[[#This Row],[fin mois]])-MAX(Tab_Calculs[[#This Row],[Début mois]],Tab_Calculs[[#This Row],[Début periode livraison]]))</f>
        <v>0</v>
      </c>
      <c r="M1183" s="94" t="e">
        <f ca="1">INDEX(INDIRECT(CONCATENATE("Tab_",Tab_Calculs[[#This Row],[Colonne1]])),Tab_Calculs[[#This Row],[index_date_livraison]]+1,6)*(Tab_Calculs[[#This Row],[fin mois]]-MIN(Tab_Calculs[[#This Row],[fin mois]],Tab_Calculs[[#This Row],[Date_livraison]]))</f>
        <v>#VALUE!</v>
      </c>
      <c r="N1183" s="231" t="str">
        <f ca="1">IFERROR(Tab_Calculs[[#This Row],[Ratio_jour_après_livr]]+Tab_Calculs[[#This Row],[Ratio_jour_avant_livr]]+Tab_Calculs[[#This Row],[ratio_avant_debut]],"")</f>
        <v/>
      </c>
      <c r="O1183" t="e">
        <f ca="1">INDEX(INDIRECT(CONCATENATE("Tab_",Tab_Calculs[[#This Row],[Colonne1]])),Tab_Calculs[[#This Row],[index_date_livraison]]-1,7)*(MAX(Tab_Calculs[[#This Row],[Début periode livraison]],Tab_Calculs[[#This Row],[Début mois]])-Tab_Calculs[[#This Row],[Début mois]])</f>
        <v>#VALUE!</v>
      </c>
      <c r="P1183">
        <f ca="1">INDEX(INDIRECT(CONCATENATE("Tab_",Tab_Calculs[[#This Row],[Colonne1]])),Tab_Calculs[[#This Row],[index_date_livraison]],7)*(1+MIN(Tab_Calculs[[#This Row],[Date_livraison]],Tab_Calculs[[#This Row],[fin mois]])-MAX(Tab_Calculs[[#This Row],[Début mois]],Tab_Calculs[[#This Row],[Début periode livraison]]))</f>
        <v>0</v>
      </c>
      <c r="Q1183" t="e">
        <f ca="1">INDEX(INDIRECT(CONCATENATE("Tab_",Tab_Calculs[[#This Row],[Colonne1]])),Tab_Calculs[[#This Row],[index_date_livraison]]+1,7)*(Tab_Calculs[[#This Row],[fin mois]]-MIN(Tab_Calculs[[#This Row],[fin mois]],Tab_Calculs[[#This Row],[Date_livraison]]))</f>
        <v>#VALUE!</v>
      </c>
      <c r="R1183" t="e">
        <f ca="1">Tab_Calculs[[#This Row],[Ratio_Cout_après_livr]]+Tab_Calculs[[#This Row],[Ratio_Cout_avant_livr]]+Tab_Calculs[[#This Row],[Ratio_Cout_avant_debut]]</f>
        <v>#VALUE!</v>
      </c>
      <c r="S1183" t="str">
        <f ca="1">IFERROR(N1183*VLOOKUP(Tab_Calculs[[#This Row],[Colonne1]],Controle_des_données!$B$7:$G$14,6,FALSE),"")</f>
        <v/>
      </c>
      <c r="T1183" t="str">
        <f ca="1">IF(Tab_Calculs[[#This Row],[Combustible ]]="Electricité (kWh)",Tab_Calculs[[#This Row],[Conso_mois_kWh]]*2.3,Tab_Calculs[[#This Row],[Conso_mois_kWh]])</f>
        <v/>
      </c>
      <c r="U1183" t="str">
        <f ca="1">IFERROR(N1183*VLOOKUP(Tab_Calculs[[#This Row],[Colonne1]],Controle_des_données!$B$7:$H$14,7,FALSE),"")</f>
        <v/>
      </c>
      <c r="V1183">
        <f ca="1">IFERROR(Tab_Calculs[[#This Row],[Cout_mois]]/Tab_Calculs[[#This Row],[Conso_mois_kWh]],0)</f>
        <v>0</v>
      </c>
      <c r="W1183" t="str">
        <f>T(VLOOKUP(Tab_Calculs[[#This Row],[Compteur]],Site!$B$33:$G$40,3,FALSE))</f>
        <v/>
      </c>
      <c r="X1183" t="str">
        <f>T(VLOOKUP(Tab_Calculs[[#This Row],[Compteur]],Site!$B$33:$G$40,4,FALSE))</f>
        <v/>
      </c>
      <c r="Y1183" t="str">
        <f>T(VLOOKUP(Tab_Calculs[[#This Row],[Compteur]],Site!$B$33:$G$40,5,FALSE))</f>
        <v/>
      </c>
      <c r="Z1183" t="str">
        <f>T(VLOOKUP(Tab_Calculs[[#This Row],[Compteur]],Site!$B$33:$G$40,6,FALSE))</f>
        <v/>
      </c>
      <c r="AA1183">
        <f>IFERROR(GETPIVOTDATA("DJU(chauffagiste)",BDD_DJU!$P$13,"annee",Tab_Calculs[[#This Row],[ANNEE]],"mois_numero",Tab_Calculs[[#This Row],[MOIS]]),0)</f>
        <v>205.3</v>
      </c>
    </row>
    <row r="1184" spans="1:27" x14ac:dyDescent="0.25">
      <c r="A1184" s="3">
        <f>DATE(Tab_Calculs[[#This Row],[ANNEE]],Tab_Calculs[[#This Row],[MOIS]],1)</f>
        <v>40878</v>
      </c>
      <c r="B1184" s="3">
        <f>EDATE(Tab_Calculs[[#This Row],[Début mois]],1)-1</f>
        <v>40908</v>
      </c>
      <c r="C1184">
        <v>12</v>
      </c>
      <c r="D1184">
        <v>2011</v>
      </c>
      <c r="E1184" t="s">
        <v>86</v>
      </c>
      <c r="F1184" t="str">
        <f>SUBSTITUTE(Tab_Calculs[[#This Row],[Compteur]]," ","_")</f>
        <v>Compteur_7</v>
      </c>
      <c r="G1184" t="str">
        <f>T(INDEX(Site!$B$33:$G$40, MATCH(Tab_Calculs[[#This Row],[Compteur]], Site!$B$33:$B$40,0),2))</f>
        <v/>
      </c>
      <c r="H1184" s="3">
        <f t="array" aca="1" ref="H1184" ca="1">MIN(IF(INDIRECT(CONCATENATE(Tab_Calculs[[#This Row],[Colonne1]],"!$B$2:$B$243"))&gt;=Calculs_Consos!$A1184,INDIRECT(CONCATENATE(Tab_Calculs[[#This Row],[Colonne1]],"!$B$2:$B$243"))))</f>
        <v>0</v>
      </c>
      <c r="I1184" s="3">
        <f ca="1">INDEX(INDIRECT(CONCATENATE("Tab_",Tab_Calculs[[#This Row],[Colonne1]])),Tab_Calculs[[#This Row],[index_date_livraison]],1)</f>
        <v>0</v>
      </c>
      <c r="J1184">
        <f ca="1">MATCH(Tab_Calculs[[#This Row],[Date_livraison]],INDIRECT(CONCATENATE("Tab_",Tab_Calculs[[#This Row],[Colonne1]],"[Fin de période]")),0)</f>
        <v>1</v>
      </c>
      <c r="K1184" t="e">
        <f ca="1">INDEX(INDIRECT(CONCATENATE("Tab_",Tab_Calculs[[#This Row],[Colonne1]])),Tab_Calculs[[#This Row],[index_date_livraison]]-1,6)*(MAX(Tab_Calculs[[#This Row],[Début periode livraison]],Tab_Calculs[[#This Row],[Début mois]])-Tab_Calculs[[#This Row],[Début mois]])</f>
        <v>#VALUE!</v>
      </c>
      <c r="L1184" s="94">
        <f ca="1">INDEX(INDIRECT(CONCATENATE("Tab_",Tab_Calculs[[#This Row],[Colonne1]])),Tab_Calculs[[#This Row],[index_date_livraison]],6)*(1+MIN(Tab_Calculs[[#This Row],[Date_livraison]],Tab_Calculs[[#This Row],[fin mois]])-MAX(Tab_Calculs[[#This Row],[Début mois]],Tab_Calculs[[#This Row],[Début periode livraison]]))</f>
        <v>0</v>
      </c>
      <c r="M1184" s="94" t="e">
        <f ca="1">INDEX(INDIRECT(CONCATENATE("Tab_",Tab_Calculs[[#This Row],[Colonne1]])),Tab_Calculs[[#This Row],[index_date_livraison]]+1,6)*(Tab_Calculs[[#This Row],[fin mois]]-MIN(Tab_Calculs[[#This Row],[fin mois]],Tab_Calculs[[#This Row],[Date_livraison]]))</f>
        <v>#VALUE!</v>
      </c>
      <c r="N1184" s="231" t="str">
        <f ca="1">IFERROR(Tab_Calculs[[#This Row],[Ratio_jour_après_livr]]+Tab_Calculs[[#This Row],[Ratio_jour_avant_livr]]+Tab_Calculs[[#This Row],[ratio_avant_debut]],"")</f>
        <v/>
      </c>
      <c r="O1184" t="e">
        <f ca="1">INDEX(INDIRECT(CONCATENATE("Tab_",Tab_Calculs[[#This Row],[Colonne1]])),Tab_Calculs[[#This Row],[index_date_livraison]]-1,7)*(MAX(Tab_Calculs[[#This Row],[Début periode livraison]],Tab_Calculs[[#This Row],[Début mois]])-Tab_Calculs[[#This Row],[Début mois]])</f>
        <v>#VALUE!</v>
      </c>
      <c r="P1184">
        <f ca="1">INDEX(INDIRECT(CONCATENATE("Tab_",Tab_Calculs[[#This Row],[Colonne1]])),Tab_Calculs[[#This Row],[index_date_livraison]],7)*(1+MIN(Tab_Calculs[[#This Row],[Date_livraison]],Tab_Calculs[[#This Row],[fin mois]])-MAX(Tab_Calculs[[#This Row],[Début mois]],Tab_Calculs[[#This Row],[Début periode livraison]]))</f>
        <v>0</v>
      </c>
      <c r="Q1184" t="e">
        <f ca="1">INDEX(INDIRECT(CONCATENATE("Tab_",Tab_Calculs[[#This Row],[Colonne1]])),Tab_Calculs[[#This Row],[index_date_livraison]]+1,7)*(Tab_Calculs[[#This Row],[fin mois]]-MIN(Tab_Calculs[[#This Row],[fin mois]],Tab_Calculs[[#This Row],[Date_livraison]]))</f>
        <v>#VALUE!</v>
      </c>
      <c r="R1184" t="e">
        <f ca="1">Tab_Calculs[[#This Row],[Ratio_Cout_après_livr]]+Tab_Calculs[[#This Row],[Ratio_Cout_avant_livr]]+Tab_Calculs[[#This Row],[Ratio_Cout_avant_debut]]</f>
        <v>#VALUE!</v>
      </c>
      <c r="S1184" t="str">
        <f ca="1">IFERROR(N1184*VLOOKUP(Tab_Calculs[[#This Row],[Colonne1]],Controle_des_données!$B$7:$G$14,6,FALSE),"")</f>
        <v/>
      </c>
      <c r="T1184" t="str">
        <f ca="1">IF(Tab_Calculs[[#This Row],[Combustible ]]="Electricité (kWh)",Tab_Calculs[[#This Row],[Conso_mois_kWh]]*2.3,Tab_Calculs[[#This Row],[Conso_mois_kWh]])</f>
        <v/>
      </c>
      <c r="U1184" t="str">
        <f ca="1">IFERROR(N1184*VLOOKUP(Tab_Calculs[[#This Row],[Colonne1]],Controle_des_données!$B$7:$H$14,7,FALSE),"")</f>
        <v/>
      </c>
      <c r="V1184">
        <f ca="1">IFERROR(Tab_Calculs[[#This Row],[Cout_mois]]/Tab_Calculs[[#This Row],[Conso_mois_kWh]],0)</f>
        <v>0</v>
      </c>
      <c r="W1184" t="str">
        <f>T(VLOOKUP(Tab_Calculs[[#This Row],[Compteur]],Site!$B$33:$G$40,3,FALSE))</f>
        <v/>
      </c>
      <c r="X1184" t="str">
        <f>T(VLOOKUP(Tab_Calculs[[#This Row],[Compteur]],Site!$B$33:$G$40,4,FALSE))</f>
        <v/>
      </c>
      <c r="Y1184" t="str">
        <f>T(VLOOKUP(Tab_Calculs[[#This Row],[Compteur]],Site!$B$33:$G$40,5,FALSE))</f>
        <v/>
      </c>
      <c r="Z1184" t="str">
        <f>T(VLOOKUP(Tab_Calculs[[#This Row],[Compteur]],Site!$B$33:$G$40,6,FALSE))</f>
        <v/>
      </c>
      <c r="AA1184">
        <f>IFERROR(GETPIVOTDATA("DJU(chauffagiste)",BDD_DJU!$P$13,"annee",Tab_Calculs[[#This Row],[ANNEE]],"mois_numero",Tab_Calculs[[#This Row],[MOIS]]),0)</f>
        <v>307.5</v>
      </c>
    </row>
    <row r="1185" spans="1:27" x14ac:dyDescent="0.25">
      <c r="A1185" s="3">
        <f>DATE(Tab_Calculs[[#This Row],[ANNEE]],Tab_Calculs[[#This Row],[MOIS]],1)</f>
        <v>40909</v>
      </c>
      <c r="B1185" s="3">
        <f>EDATE(Tab_Calculs[[#This Row],[Début mois]],1)-1</f>
        <v>40939</v>
      </c>
      <c r="C1185">
        <v>1</v>
      </c>
      <c r="D1185">
        <v>2012</v>
      </c>
      <c r="E1185" t="s">
        <v>86</v>
      </c>
      <c r="F1185" t="str">
        <f>SUBSTITUTE(Tab_Calculs[[#This Row],[Compteur]]," ","_")</f>
        <v>Compteur_7</v>
      </c>
      <c r="G1185" t="str">
        <f>T(INDEX(Site!$B$33:$G$40, MATCH(Tab_Calculs[[#This Row],[Compteur]], Site!$B$33:$B$40,0),2))</f>
        <v/>
      </c>
      <c r="H1185" s="3">
        <f t="array" aca="1" ref="H1185" ca="1">MIN(IF(INDIRECT(CONCATENATE(Tab_Calculs[[#This Row],[Colonne1]],"!$B$2:$B$243"))&gt;=Calculs_Consos!$A1185,INDIRECT(CONCATENATE(Tab_Calculs[[#This Row],[Colonne1]],"!$B$2:$B$243"))))</f>
        <v>0</v>
      </c>
      <c r="I1185" s="3">
        <f ca="1">INDEX(INDIRECT(CONCATENATE("Tab_",Tab_Calculs[[#This Row],[Colonne1]])),Tab_Calculs[[#This Row],[index_date_livraison]],1)</f>
        <v>0</v>
      </c>
      <c r="J1185">
        <f ca="1">MATCH(Tab_Calculs[[#This Row],[Date_livraison]],INDIRECT(CONCATENATE("Tab_",Tab_Calculs[[#This Row],[Colonne1]],"[Fin de période]")),0)</f>
        <v>1</v>
      </c>
      <c r="K1185" t="e">
        <f ca="1">INDEX(INDIRECT(CONCATENATE("Tab_",Tab_Calculs[[#This Row],[Colonne1]])),Tab_Calculs[[#This Row],[index_date_livraison]]-1,6)*(MAX(Tab_Calculs[[#This Row],[Début periode livraison]],Tab_Calculs[[#This Row],[Début mois]])-Tab_Calculs[[#This Row],[Début mois]])</f>
        <v>#VALUE!</v>
      </c>
      <c r="L1185" s="94">
        <f ca="1">INDEX(INDIRECT(CONCATENATE("Tab_",Tab_Calculs[[#This Row],[Colonne1]])),Tab_Calculs[[#This Row],[index_date_livraison]],6)*(1+MIN(Tab_Calculs[[#This Row],[Date_livraison]],Tab_Calculs[[#This Row],[fin mois]])-MAX(Tab_Calculs[[#This Row],[Début mois]],Tab_Calculs[[#This Row],[Début periode livraison]]))</f>
        <v>0</v>
      </c>
      <c r="M1185" s="94" t="e">
        <f ca="1">INDEX(INDIRECT(CONCATENATE("Tab_",Tab_Calculs[[#This Row],[Colonne1]])),Tab_Calculs[[#This Row],[index_date_livraison]]+1,6)*(Tab_Calculs[[#This Row],[fin mois]]-MIN(Tab_Calculs[[#This Row],[fin mois]],Tab_Calculs[[#This Row],[Date_livraison]]))</f>
        <v>#VALUE!</v>
      </c>
      <c r="N1185" s="231" t="str">
        <f ca="1">IFERROR(Tab_Calculs[[#This Row],[Ratio_jour_après_livr]]+Tab_Calculs[[#This Row],[Ratio_jour_avant_livr]]+Tab_Calculs[[#This Row],[ratio_avant_debut]],"")</f>
        <v/>
      </c>
      <c r="O1185" t="e">
        <f ca="1">INDEX(INDIRECT(CONCATENATE("Tab_",Tab_Calculs[[#This Row],[Colonne1]])),Tab_Calculs[[#This Row],[index_date_livraison]]-1,7)*(MAX(Tab_Calculs[[#This Row],[Début periode livraison]],Tab_Calculs[[#This Row],[Début mois]])-Tab_Calculs[[#This Row],[Début mois]])</f>
        <v>#VALUE!</v>
      </c>
      <c r="P1185">
        <f ca="1">INDEX(INDIRECT(CONCATENATE("Tab_",Tab_Calculs[[#This Row],[Colonne1]])),Tab_Calculs[[#This Row],[index_date_livraison]],7)*(1+MIN(Tab_Calculs[[#This Row],[Date_livraison]],Tab_Calculs[[#This Row],[fin mois]])-MAX(Tab_Calculs[[#This Row],[Début mois]],Tab_Calculs[[#This Row],[Début periode livraison]]))</f>
        <v>0</v>
      </c>
      <c r="Q1185" t="e">
        <f ca="1">INDEX(INDIRECT(CONCATENATE("Tab_",Tab_Calculs[[#This Row],[Colonne1]])),Tab_Calculs[[#This Row],[index_date_livraison]]+1,7)*(Tab_Calculs[[#This Row],[fin mois]]-MIN(Tab_Calculs[[#This Row],[fin mois]],Tab_Calculs[[#This Row],[Date_livraison]]))</f>
        <v>#VALUE!</v>
      </c>
      <c r="R1185" t="e">
        <f ca="1">Tab_Calculs[[#This Row],[Ratio_Cout_après_livr]]+Tab_Calculs[[#This Row],[Ratio_Cout_avant_livr]]+Tab_Calculs[[#This Row],[Ratio_Cout_avant_debut]]</f>
        <v>#VALUE!</v>
      </c>
      <c r="S1185" t="str">
        <f ca="1">IFERROR(N1185*VLOOKUP(Tab_Calculs[[#This Row],[Colonne1]],Controle_des_données!$B$7:$G$14,6,FALSE),"")</f>
        <v/>
      </c>
      <c r="T1185" t="str">
        <f ca="1">IF(Tab_Calculs[[#This Row],[Combustible ]]="Electricité (kWh)",Tab_Calculs[[#This Row],[Conso_mois_kWh]]*2.3,Tab_Calculs[[#This Row],[Conso_mois_kWh]])</f>
        <v/>
      </c>
      <c r="U1185" t="str">
        <f ca="1">IFERROR(N1185*VLOOKUP(Tab_Calculs[[#This Row],[Colonne1]],Controle_des_données!$B$7:$H$14,7,FALSE),"")</f>
        <v/>
      </c>
      <c r="V1185">
        <f ca="1">IFERROR(Tab_Calculs[[#This Row],[Cout_mois]]/Tab_Calculs[[#This Row],[Conso_mois_kWh]],0)</f>
        <v>0</v>
      </c>
      <c r="W1185" t="str">
        <f>T(VLOOKUP(Tab_Calculs[[#This Row],[Compteur]],Site!$B$33:$G$40,3,FALSE))</f>
        <v/>
      </c>
      <c r="X1185" t="str">
        <f>T(VLOOKUP(Tab_Calculs[[#This Row],[Compteur]],Site!$B$33:$G$40,4,FALSE))</f>
        <v/>
      </c>
      <c r="Y1185" t="str">
        <f>T(VLOOKUP(Tab_Calculs[[#This Row],[Compteur]],Site!$B$33:$G$40,5,FALSE))</f>
        <v/>
      </c>
      <c r="Z1185" t="str">
        <f>T(VLOOKUP(Tab_Calculs[[#This Row],[Compteur]],Site!$B$33:$G$40,6,FALSE))</f>
        <v/>
      </c>
      <c r="AA1185">
        <f>IFERROR(GETPIVOTDATA("DJU(chauffagiste)",BDD_DJU!$P$13,"annee",Tab_Calculs[[#This Row],[ANNEE]],"mois_numero",Tab_Calculs[[#This Row],[MOIS]]),0)</f>
        <v>348.8</v>
      </c>
    </row>
    <row r="1186" spans="1:27" x14ac:dyDescent="0.25">
      <c r="A1186" s="3">
        <f>DATE(Tab_Calculs[[#This Row],[ANNEE]],Tab_Calculs[[#This Row],[MOIS]],1)</f>
        <v>40940</v>
      </c>
      <c r="B1186" s="3">
        <f>EDATE(Tab_Calculs[[#This Row],[Début mois]],1)-1</f>
        <v>40968</v>
      </c>
      <c r="C1186">
        <v>2</v>
      </c>
      <c r="D1186">
        <v>2012</v>
      </c>
      <c r="E1186" t="s">
        <v>86</v>
      </c>
      <c r="F1186" t="str">
        <f>SUBSTITUTE(Tab_Calculs[[#This Row],[Compteur]]," ","_")</f>
        <v>Compteur_7</v>
      </c>
      <c r="G1186" t="str">
        <f>T(INDEX(Site!$B$33:$G$40, MATCH(Tab_Calculs[[#This Row],[Compteur]], Site!$B$33:$B$40,0),2))</f>
        <v/>
      </c>
      <c r="H1186" s="3">
        <f t="array" aca="1" ref="H1186" ca="1">MIN(IF(INDIRECT(CONCATENATE(Tab_Calculs[[#This Row],[Colonne1]],"!$B$2:$B$243"))&gt;=Calculs_Consos!$A1186,INDIRECT(CONCATENATE(Tab_Calculs[[#This Row],[Colonne1]],"!$B$2:$B$243"))))</f>
        <v>0</v>
      </c>
      <c r="I1186" s="3">
        <f ca="1">INDEX(INDIRECT(CONCATENATE("Tab_",Tab_Calculs[[#This Row],[Colonne1]])),Tab_Calculs[[#This Row],[index_date_livraison]],1)</f>
        <v>0</v>
      </c>
      <c r="J1186">
        <f ca="1">MATCH(Tab_Calculs[[#This Row],[Date_livraison]],INDIRECT(CONCATENATE("Tab_",Tab_Calculs[[#This Row],[Colonne1]],"[Fin de période]")),0)</f>
        <v>1</v>
      </c>
      <c r="K1186" t="e">
        <f ca="1">INDEX(INDIRECT(CONCATENATE("Tab_",Tab_Calculs[[#This Row],[Colonne1]])),Tab_Calculs[[#This Row],[index_date_livraison]]-1,6)*(MAX(Tab_Calculs[[#This Row],[Début periode livraison]],Tab_Calculs[[#This Row],[Début mois]])-Tab_Calculs[[#This Row],[Début mois]])</f>
        <v>#VALUE!</v>
      </c>
      <c r="L1186" s="94">
        <f ca="1">INDEX(INDIRECT(CONCATENATE("Tab_",Tab_Calculs[[#This Row],[Colonne1]])),Tab_Calculs[[#This Row],[index_date_livraison]],6)*(1+MIN(Tab_Calculs[[#This Row],[Date_livraison]],Tab_Calculs[[#This Row],[fin mois]])-MAX(Tab_Calculs[[#This Row],[Début mois]],Tab_Calculs[[#This Row],[Début periode livraison]]))</f>
        <v>0</v>
      </c>
      <c r="M1186" s="94" t="e">
        <f ca="1">INDEX(INDIRECT(CONCATENATE("Tab_",Tab_Calculs[[#This Row],[Colonne1]])),Tab_Calculs[[#This Row],[index_date_livraison]]+1,6)*(Tab_Calculs[[#This Row],[fin mois]]-MIN(Tab_Calculs[[#This Row],[fin mois]],Tab_Calculs[[#This Row],[Date_livraison]]))</f>
        <v>#VALUE!</v>
      </c>
      <c r="N1186" s="231" t="str">
        <f ca="1">IFERROR(Tab_Calculs[[#This Row],[Ratio_jour_après_livr]]+Tab_Calculs[[#This Row],[Ratio_jour_avant_livr]]+Tab_Calculs[[#This Row],[ratio_avant_debut]],"")</f>
        <v/>
      </c>
      <c r="O1186" t="e">
        <f ca="1">INDEX(INDIRECT(CONCATENATE("Tab_",Tab_Calculs[[#This Row],[Colonne1]])),Tab_Calculs[[#This Row],[index_date_livraison]]-1,7)*(MAX(Tab_Calculs[[#This Row],[Début periode livraison]],Tab_Calculs[[#This Row],[Début mois]])-Tab_Calculs[[#This Row],[Début mois]])</f>
        <v>#VALUE!</v>
      </c>
      <c r="P1186">
        <f ca="1">INDEX(INDIRECT(CONCATENATE("Tab_",Tab_Calculs[[#This Row],[Colonne1]])),Tab_Calculs[[#This Row],[index_date_livraison]],7)*(1+MIN(Tab_Calculs[[#This Row],[Date_livraison]],Tab_Calculs[[#This Row],[fin mois]])-MAX(Tab_Calculs[[#This Row],[Début mois]],Tab_Calculs[[#This Row],[Début periode livraison]]))</f>
        <v>0</v>
      </c>
      <c r="Q1186" t="e">
        <f ca="1">INDEX(INDIRECT(CONCATENATE("Tab_",Tab_Calculs[[#This Row],[Colonne1]])),Tab_Calculs[[#This Row],[index_date_livraison]]+1,7)*(Tab_Calculs[[#This Row],[fin mois]]-MIN(Tab_Calculs[[#This Row],[fin mois]],Tab_Calculs[[#This Row],[Date_livraison]]))</f>
        <v>#VALUE!</v>
      </c>
      <c r="R1186" t="e">
        <f ca="1">Tab_Calculs[[#This Row],[Ratio_Cout_après_livr]]+Tab_Calculs[[#This Row],[Ratio_Cout_avant_livr]]+Tab_Calculs[[#This Row],[Ratio_Cout_avant_debut]]</f>
        <v>#VALUE!</v>
      </c>
      <c r="S1186" t="str">
        <f ca="1">IFERROR(N1186*VLOOKUP(Tab_Calculs[[#This Row],[Colonne1]],Controle_des_données!$B$7:$G$14,6,FALSE),"")</f>
        <v/>
      </c>
      <c r="T1186" t="str">
        <f ca="1">IF(Tab_Calculs[[#This Row],[Combustible ]]="Electricité (kWh)",Tab_Calculs[[#This Row],[Conso_mois_kWh]]*2.3,Tab_Calculs[[#This Row],[Conso_mois_kWh]])</f>
        <v/>
      </c>
      <c r="U1186" t="str">
        <f ca="1">IFERROR(N1186*VLOOKUP(Tab_Calculs[[#This Row],[Colonne1]],Controle_des_données!$B$7:$H$14,7,FALSE),"")</f>
        <v/>
      </c>
      <c r="V1186">
        <f ca="1">IFERROR(Tab_Calculs[[#This Row],[Cout_mois]]/Tab_Calculs[[#This Row],[Conso_mois_kWh]],0)</f>
        <v>0</v>
      </c>
      <c r="W1186" t="str">
        <f>T(VLOOKUP(Tab_Calculs[[#This Row],[Compteur]],Site!$B$33:$G$40,3,FALSE))</f>
        <v/>
      </c>
      <c r="X1186" t="str">
        <f>T(VLOOKUP(Tab_Calculs[[#This Row],[Compteur]],Site!$B$33:$G$40,4,FALSE))</f>
        <v/>
      </c>
      <c r="Y1186" t="str">
        <f>T(VLOOKUP(Tab_Calculs[[#This Row],[Compteur]],Site!$B$33:$G$40,5,FALSE))</f>
        <v/>
      </c>
      <c r="Z1186" t="str">
        <f>T(VLOOKUP(Tab_Calculs[[#This Row],[Compteur]],Site!$B$33:$G$40,6,FALSE))</f>
        <v/>
      </c>
      <c r="AA1186">
        <f>IFERROR(GETPIVOTDATA("DJU(chauffagiste)",BDD_DJU!$P$13,"annee",Tab_Calculs[[#This Row],[ANNEE]],"mois_numero",Tab_Calculs[[#This Row],[MOIS]]),0)</f>
        <v>469.8</v>
      </c>
    </row>
    <row r="1187" spans="1:27" x14ac:dyDescent="0.25">
      <c r="A1187" s="3">
        <f>DATE(Tab_Calculs[[#This Row],[ANNEE]],Tab_Calculs[[#This Row],[MOIS]],1)</f>
        <v>40969</v>
      </c>
      <c r="B1187" s="3">
        <f>EDATE(Tab_Calculs[[#This Row],[Début mois]],1)-1</f>
        <v>40999</v>
      </c>
      <c r="C1187">
        <v>3</v>
      </c>
      <c r="D1187">
        <v>2012</v>
      </c>
      <c r="E1187" t="s">
        <v>86</v>
      </c>
      <c r="F1187" t="str">
        <f>SUBSTITUTE(Tab_Calculs[[#This Row],[Compteur]]," ","_")</f>
        <v>Compteur_7</v>
      </c>
      <c r="G1187" t="str">
        <f>T(INDEX(Site!$B$33:$G$40, MATCH(Tab_Calculs[[#This Row],[Compteur]], Site!$B$33:$B$40,0),2))</f>
        <v/>
      </c>
      <c r="H1187" s="3">
        <f t="array" aca="1" ref="H1187" ca="1">MIN(IF(INDIRECT(CONCATENATE(Tab_Calculs[[#This Row],[Colonne1]],"!$B$2:$B$243"))&gt;=Calculs_Consos!$A1187,INDIRECT(CONCATENATE(Tab_Calculs[[#This Row],[Colonne1]],"!$B$2:$B$243"))))</f>
        <v>0</v>
      </c>
      <c r="I1187" s="3">
        <f ca="1">INDEX(INDIRECT(CONCATENATE("Tab_",Tab_Calculs[[#This Row],[Colonne1]])),Tab_Calculs[[#This Row],[index_date_livraison]],1)</f>
        <v>0</v>
      </c>
      <c r="J1187">
        <f ca="1">MATCH(Tab_Calculs[[#This Row],[Date_livraison]],INDIRECT(CONCATENATE("Tab_",Tab_Calculs[[#This Row],[Colonne1]],"[Fin de période]")),0)</f>
        <v>1</v>
      </c>
      <c r="K1187" t="e">
        <f ca="1">INDEX(INDIRECT(CONCATENATE("Tab_",Tab_Calculs[[#This Row],[Colonne1]])),Tab_Calculs[[#This Row],[index_date_livraison]]-1,6)*(MAX(Tab_Calculs[[#This Row],[Début periode livraison]],Tab_Calculs[[#This Row],[Début mois]])-Tab_Calculs[[#This Row],[Début mois]])</f>
        <v>#VALUE!</v>
      </c>
      <c r="L1187" s="94">
        <f ca="1">INDEX(INDIRECT(CONCATENATE("Tab_",Tab_Calculs[[#This Row],[Colonne1]])),Tab_Calculs[[#This Row],[index_date_livraison]],6)*(1+MIN(Tab_Calculs[[#This Row],[Date_livraison]],Tab_Calculs[[#This Row],[fin mois]])-MAX(Tab_Calculs[[#This Row],[Début mois]],Tab_Calculs[[#This Row],[Début periode livraison]]))</f>
        <v>0</v>
      </c>
      <c r="M1187" s="94" t="e">
        <f ca="1">INDEX(INDIRECT(CONCATENATE("Tab_",Tab_Calculs[[#This Row],[Colonne1]])),Tab_Calculs[[#This Row],[index_date_livraison]]+1,6)*(Tab_Calculs[[#This Row],[fin mois]]-MIN(Tab_Calculs[[#This Row],[fin mois]],Tab_Calculs[[#This Row],[Date_livraison]]))</f>
        <v>#VALUE!</v>
      </c>
      <c r="N1187" s="231" t="str">
        <f ca="1">IFERROR(Tab_Calculs[[#This Row],[Ratio_jour_après_livr]]+Tab_Calculs[[#This Row],[Ratio_jour_avant_livr]]+Tab_Calculs[[#This Row],[ratio_avant_debut]],"")</f>
        <v/>
      </c>
      <c r="O1187" t="e">
        <f ca="1">INDEX(INDIRECT(CONCATENATE("Tab_",Tab_Calculs[[#This Row],[Colonne1]])),Tab_Calculs[[#This Row],[index_date_livraison]]-1,7)*(MAX(Tab_Calculs[[#This Row],[Début periode livraison]],Tab_Calculs[[#This Row],[Début mois]])-Tab_Calculs[[#This Row],[Début mois]])</f>
        <v>#VALUE!</v>
      </c>
      <c r="P1187">
        <f ca="1">INDEX(INDIRECT(CONCATENATE("Tab_",Tab_Calculs[[#This Row],[Colonne1]])),Tab_Calculs[[#This Row],[index_date_livraison]],7)*(1+MIN(Tab_Calculs[[#This Row],[Date_livraison]],Tab_Calculs[[#This Row],[fin mois]])-MAX(Tab_Calculs[[#This Row],[Début mois]],Tab_Calculs[[#This Row],[Début periode livraison]]))</f>
        <v>0</v>
      </c>
      <c r="Q1187" t="e">
        <f ca="1">INDEX(INDIRECT(CONCATENATE("Tab_",Tab_Calculs[[#This Row],[Colonne1]])),Tab_Calculs[[#This Row],[index_date_livraison]]+1,7)*(Tab_Calculs[[#This Row],[fin mois]]-MIN(Tab_Calculs[[#This Row],[fin mois]],Tab_Calculs[[#This Row],[Date_livraison]]))</f>
        <v>#VALUE!</v>
      </c>
      <c r="R1187" t="e">
        <f ca="1">Tab_Calculs[[#This Row],[Ratio_Cout_après_livr]]+Tab_Calculs[[#This Row],[Ratio_Cout_avant_livr]]+Tab_Calculs[[#This Row],[Ratio_Cout_avant_debut]]</f>
        <v>#VALUE!</v>
      </c>
      <c r="S1187" t="str">
        <f ca="1">IFERROR(N1187*VLOOKUP(Tab_Calculs[[#This Row],[Colonne1]],Controle_des_données!$B$7:$G$14,6,FALSE),"")</f>
        <v/>
      </c>
      <c r="T1187" t="str">
        <f ca="1">IF(Tab_Calculs[[#This Row],[Combustible ]]="Electricité (kWh)",Tab_Calculs[[#This Row],[Conso_mois_kWh]]*2.3,Tab_Calculs[[#This Row],[Conso_mois_kWh]])</f>
        <v/>
      </c>
      <c r="U1187" t="str">
        <f ca="1">IFERROR(N1187*VLOOKUP(Tab_Calculs[[#This Row],[Colonne1]],Controle_des_données!$B$7:$H$14,7,FALSE),"")</f>
        <v/>
      </c>
      <c r="V1187">
        <f ca="1">IFERROR(Tab_Calculs[[#This Row],[Cout_mois]]/Tab_Calculs[[#This Row],[Conso_mois_kWh]],0)</f>
        <v>0</v>
      </c>
      <c r="W1187" t="str">
        <f>T(VLOOKUP(Tab_Calculs[[#This Row],[Compteur]],Site!$B$33:$G$40,3,FALSE))</f>
        <v/>
      </c>
      <c r="X1187" t="str">
        <f>T(VLOOKUP(Tab_Calculs[[#This Row],[Compteur]],Site!$B$33:$G$40,4,FALSE))</f>
        <v/>
      </c>
      <c r="Y1187" t="str">
        <f>T(VLOOKUP(Tab_Calculs[[#This Row],[Compteur]],Site!$B$33:$G$40,5,FALSE))</f>
        <v/>
      </c>
      <c r="Z1187" t="str">
        <f>T(VLOOKUP(Tab_Calculs[[#This Row],[Compteur]],Site!$B$33:$G$40,6,FALSE))</f>
        <v/>
      </c>
      <c r="AA1187">
        <f>IFERROR(GETPIVOTDATA("DJU(chauffagiste)",BDD_DJU!$P$13,"annee",Tab_Calculs[[#This Row],[ANNEE]],"mois_numero",Tab_Calculs[[#This Row],[MOIS]]),0)</f>
        <v>247.3</v>
      </c>
    </row>
    <row r="1188" spans="1:27" x14ac:dyDescent="0.25">
      <c r="A1188" s="3">
        <f>DATE(Tab_Calculs[[#This Row],[ANNEE]],Tab_Calculs[[#This Row],[MOIS]],1)</f>
        <v>41000</v>
      </c>
      <c r="B1188" s="3">
        <f>EDATE(Tab_Calculs[[#This Row],[Début mois]],1)-1</f>
        <v>41029</v>
      </c>
      <c r="C1188">
        <v>4</v>
      </c>
      <c r="D1188">
        <v>2012</v>
      </c>
      <c r="E1188" t="s">
        <v>86</v>
      </c>
      <c r="F1188" t="str">
        <f>SUBSTITUTE(Tab_Calculs[[#This Row],[Compteur]]," ","_")</f>
        <v>Compteur_7</v>
      </c>
      <c r="G1188" t="str">
        <f>T(INDEX(Site!$B$33:$G$40, MATCH(Tab_Calculs[[#This Row],[Compteur]], Site!$B$33:$B$40,0),2))</f>
        <v/>
      </c>
      <c r="H1188" s="3">
        <f t="array" aca="1" ref="H1188" ca="1">MIN(IF(INDIRECT(CONCATENATE(Tab_Calculs[[#This Row],[Colonne1]],"!$B$2:$B$243"))&gt;=Calculs_Consos!$A1188,INDIRECT(CONCATENATE(Tab_Calculs[[#This Row],[Colonne1]],"!$B$2:$B$243"))))</f>
        <v>0</v>
      </c>
      <c r="I1188" s="3">
        <f ca="1">INDEX(INDIRECT(CONCATENATE("Tab_",Tab_Calculs[[#This Row],[Colonne1]])),Tab_Calculs[[#This Row],[index_date_livraison]],1)</f>
        <v>0</v>
      </c>
      <c r="J1188">
        <f ca="1">MATCH(Tab_Calculs[[#This Row],[Date_livraison]],INDIRECT(CONCATENATE("Tab_",Tab_Calculs[[#This Row],[Colonne1]],"[Fin de période]")),0)</f>
        <v>1</v>
      </c>
      <c r="K1188" t="e">
        <f ca="1">INDEX(INDIRECT(CONCATENATE("Tab_",Tab_Calculs[[#This Row],[Colonne1]])),Tab_Calculs[[#This Row],[index_date_livraison]]-1,6)*(MAX(Tab_Calculs[[#This Row],[Début periode livraison]],Tab_Calculs[[#This Row],[Début mois]])-Tab_Calculs[[#This Row],[Début mois]])</f>
        <v>#VALUE!</v>
      </c>
      <c r="L1188" s="94">
        <f ca="1">INDEX(INDIRECT(CONCATENATE("Tab_",Tab_Calculs[[#This Row],[Colonne1]])),Tab_Calculs[[#This Row],[index_date_livraison]],6)*(1+MIN(Tab_Calculs[[#This Row],[Date_livraison]],Tab_Calculs[[#This Row],[fin mois]])-MAX(Tab_Calculs[[#This Row],[Début mois]],Tab_Calculs[[#This Row],[Début periode livraison]]))</f>
        <v>0</v>
      </c>
      <c r="M1188" s="94" t="e">
        <f ca="1">INDEX(INDIRECT(CONCATENATE("Tab_",Tab_Calculs[[#This Row],[Colonne1]])),Tab_Calculs[[#This Row],[index_date_livraison]]+1,6)*(Tab_Calculs[[#This Row],[fin mois]]-MIN(Tab_Calculs[[#This Row],[fin mois]],Tab_Calculs[[#This Row],[Date_livraison]]))</f>
        <v>#VALUE!</v>
      </c>
      <c r="N1188" s="231" t="str">
        <f ca="1">IFERROR(Tab_Calculs[[#This Row],[Ratio_jour_après_livr]]+Tab_Calculs[[#This Row],[Ratio_jour_avant_livr]]+Tab_Calculs[[#This Row],[ratio_avant_debut]],"")</f>
        <v/>
      </c>
      <c r="O1188" t="e">
        <f ca="1">INDEX(INDIRECT(CONCATENATE("Tab_",Tab_Calculs[[#This Row],[Colonne1]])),Tab_Calculs[[#This Row],[index_date_livraison]]-1,7)*(MAX(Tab_Calculs[[#This Row],[Début periode livraison]],Tab_Calculs[[#This Row],[Début mois]])-Tab_Calculs[[#This Row],[Début mois]])</f>
        <v>#VALUE!</v>
      </c>
      <c r="P1188">
        <f ca="1">INDEX(INDIRECT(CONCATENATE("Tab_",Tab_Calculs[[#This Row],[Colonne1]])),Tab_Calculs[[#This Row],[index_date_livraison]],7)*(1+MIN(Tab_Calculs[[#This Row],[Date_livraison]],Tab_Calculs[[#This Row],[fin mois]])-MAX(Tab_Calculs[[#This Row],[Début mois]],Tab_Calculs[[#This Row],[Début periode livraison]]))</f>
        <v>0</v>
      </c>
      <c r="Q1188" t="e">
        <f ca="1">INDEX(INDIRECT(CONCATENATE("Tab_",Tab_Calculs[[#This Row],[Colonne1]])),Tab_Calculs[[#This Row],[index_date_livraison]]+1,7)*(Tab_Calculs[[#This Row],[fin mois]]-MIN(Tab_Calculs[[#This Row],[fin mois]],Tab_Calculs[[#This Row],[Date_livraison]]))</f>
        <v>#VALUE!</v>
      </c>
      <c r="R1188" t="e">
        <f ca="1">Tab_Calculs[[#This Row],[Ratio_Cout_après_livr]]+Tab_Calculs[[#This Row],[Ratio_Cout_avant_livr]]+Tab_Calculs[[#This Row],[Ratio_Cout_avant_debut]]</f>
        <v>#VALUE!</v>
      </c>
      <c r="S1188" t="str">
        <f ca="1">IFERROR(N1188*VLOOKUP(Tab_Calculs[[#This Row],[Colonne1]],Controle_des_données!$B$7:$G$14,6,FALSE),"")</f>
        <v/>
      </c>
      <c r="T1188" t="str">
        <f ca="1">IF(Tab_Calculs[[#This Row],[Combustible ]]="Electricité (kWh)",Tab_Calculs[[#This Row],[Conso_mois_kWh]]*2.3,Tab_Calculs[[#This Row],[Conso_mois_kWh]])</f>
        <v/>
      </c>
      <c r="U1188" t="str">
        <f ca="1">IFERROR(N1188*VLOOKUP(Tab_Calculs[[#This Row],[Colonne1]],Controle_des_données!$B$7:$H$14,7,FALSE),"")</f>
        <v/>
      </c>
      <c r="V1188">
        <f ca="1">IFERROR(Tab_Calculs[[#This Row],[Cout_mois]]/Tab_Calculs[[#This Row],[Conso_mois_kWh]],0)</f>
        <v>0</v>
      </c>
      <c r="W1188" t="str">
        <f>T(VLOOKUP(Tab_Calculs[[#This Row],[Compteur]],Site!$B$33:$G$40,3,FALSE))</f>
        <v/>
      </c>
      <c r="X1188" t="str">
        <f>T(VLOOKUP(Tab_Calculs[[#This Row],[Compteur]],Site!$B$33:$G$40,4,FALSE))</f>
        <v/>
      </c>
      <c r="Y1188" t="str">
        <f>T(VLOOKUP(Tab_Calculs[[#This Row],[Compteur]],Site!$B$33:$G$40,5,FALSE))</f>
        <v/>
      </c>
      <c r="Z1188" t="str">
        <f>T(VLOOKUP(Tab_Calculs[[#This Row],[Compteur]],Site!$B$33:$G$40,6,FALSE))</f>
        <v/>
      </c>
      <c r="AA1188">
        <f>IFERROR(GETPIVOTDATA("DJU(chauffagiste)",BDD_DJU!$P$13,"annee",Tab_Calculs[[#This Row],[ANNEE]],"mois_numero",Tab_Calculs[[#This Row],[MOIS]]),0)</f>
        <v>253.8</v>
      </c>
    </row>
    <row r="1189" spans="1:27" x14ac:dyDescent="0.25">
      <c r="A1189" s="3">
        <f>DATE(Tab_Calculs[[#This Row],[ANNEE]],Tab_Calculs[[#This Row],[MOIS]],1)</f>
        <v>41030</v>
      </c>
      <c r="B1189" s="3">
        <f>EDATE(Tab_Calculs[[#This Row],[Début mois]],1)-1</f>
        <v>41060</v>
      </c>
      <c r="C1189">
        <v>5</v>
      </c>
      <c r="D1189">
        <v>2012</v>
      </c>
      <c r="E1189" t="s">
        <v>86</v>
      </c>
      <c r="F1189" t="str">
        <f>SUBSTITUTE(Tab_Calculs[[#This Row],[Compteur]]," ","_")</f>
        <v>Compteur_7</v>
      </c>
      <c r="G1189" t="str">
        <f>T(INDEX(Site!$B$33:$G$40, MATCH(Tab_Calculs[[#This Row],[Compteur]], Site!$B$33:$B$40,0),2))</f>
        <v/>
      </c>
      <c r="H1189" s="3">
        <f t="array" aca="1" ref="H1189" ca="1">MIN(IF(INDIRECT(CONCATENATE(Tab_Calculs[[#This Row],[Colonne1]],"!$B$2:$B$243"))&gt;=Calculs_Consos!$A1189,INDIRECT(CONCATENATE(Tab_Calculs[[#This Row],[Colonne1]],"!$B$2:$B$243"))))</f>
        <v>0</v>
      </c>
      <c r="I1189" s="3">
        <f ca="1">INDEX(INDIRECT(CONCATENATE("Tab_",Tab_Calculs[[#This Row],[Colonne1]])),Tab_Calculs[[#This Row],[index_date_livraison]],1)</f>
        <v>0</v>
      </c>
      <c r="J1189">
        <f ca="1">MATCH(Tab_Calculs[[#This Row],[Date_livraison]],INDIRECT(CONCATENATE("Tab_",Tab_Calculs[[#This Row],[Colonne1]],"[Fin de période]")),0)</f>
        <v>1</v>
      </c>
      <c r="K1189" t="e">
        <f ca="1">INDEX(INDIRECT(CONCATENATE("Tab_",Tab_Calculs[[#This Row],[Colonne1]])),Tab_Calculs[[#This Row],[index_date_livraison]]-1,6)*(MAX(Tab_Calculs[[#This Row],[Début periode livraison]],Tab_Calculs[[#This Row],[Début mois]])-Tab_Calculs[[#This Row],[Début mois]])</f>
        <v>#VALUE!</v>
      </c>
      <c r="L1189" s="94">
        <f ca="1">INDEX(INDIRECT(CONCATENATE("Tab_",Tab_Calculs[[#This Row],[Colonne1]])),Tab_Calculs[[#This Row],[index_date_livraison]],6)*(1+MIN(Tab_Calculs[[#This Row],[Date_livraison]],Tab_Calculs[[#This Row],[fin mois]])-MAX(Tab_Calculs[[#This Row],[Début mois]],Tab_Calculs[[#This Row],[Début periode livraison]]))</f>
        <v>0</v>
      </c>
      <c r="M1189" s="94" t="e">
        <f ca="1">INDEX(INDIRECT(CONCATENATE("Tab_",Tab_Calculs[[#This Row],[Colonne1]])),Tab_Calculs[[#This Row],[index_date_livraison]]+1,6)*(Tab_Calculs[[#This Row],[fin mois]]-MIN(Tab_Calculs[[#This Row],[fin mois]],Tab_Calculs[[#This Row],[Date_livraison]]))</f>
        <v>#VALUE!</v>
      </c>
      <c r="N1189" s="231" t="str">
        <f ca="1">IFERROR(Tab_Calculs[[#This Row],[Ratio_jour_après_livr]]+Tab_Calculs[[#This Row],[Ratio_jour_avant_livr]]+Tab_Calculs[[#This Row],[ratio_avant_debut]],"")</f>
        <v/>
      </c>
      <c r="O1189" t="e">
        <f ca="1">INDEX(INDIRECT(CONCATENATE("Tab_",Tab_Calculs[[#This Row],[Colonne1]])),Tab_Calculs[[#This Row],[index_date_livraison]]-1,7)*(MAX(Tab_Calculs[[#This Row],[Début periode livraison]],Tab_Calculs[[#This Row],[Début mois]])-Tab_Calculs[[#This Row],[Début mois]])</f>
        <v>#VALUE!</v>
      </c>
      <c r="P1189">
        <f ca="1">INDEX(INDIRECT(CONCATENATE("Tab_",Tab_Calculs[[#This Row],[Colonne1]])),Tab_Calculs[[#This Row],[index_date_livraison]],7)*(1+MIN(Tab_Calculs[[#This Row],[Date_livraison]],Tab_Calculs[[#This Row],[fin mois]])-MAX(Tab_Calculs[[#This Row],[Début mois]],Tab_Calculs[[#This Row],[Début periode livraison]]))</f>
        <v>0</v>
      </c>
      <c r="Q1189" t="e">
        <f ca="1">INDEX(INDIRECT(CONCATENATE("Tab_",Tab_Calculs[[#This Row],[Colonne1]])),Tab_Calculs[[#This Row],[index_date_livraison]]+1,7)*(Tab_Calculs[[#This Row],[fin mois]]-MIN(Tab_Calculs[[#This Row],[fin mois]],Tab_Calculs[[#This Row],[Date_livraison]]))</f>
        <v>#VALUE!</v>
      </c>
      <c r="R1189" t="e">
        <f ca="1">Tab_Calculs[[#This Row],[Ratio_Cout_après_livr]]+Tab_Calculs[[#This Row],[Ratio_Cout_avant_livr]]+Tab_Calculs[[#This Row],[Ratio_Cout_avant_debut]]</f>
        <v>#VALUE!</v>
      </c>
      <c r="S1189" t="str">
        <f ca="1">IFERROR(N1189*VLOOKUP(Tab_Calculs[[#This Row],[Colonne1]],Controle_des_données!$B$7:$G$14,6,FALSE),"")</f>
        <v/>
      </c>
      <c r="T1189" t="str">
        <f ca="1">IF(Tab_Calculs[[#This Row],[Combustible ]]="Electricité (kWh)",Tab_Calculs[[#This Row],[Conso_mois_kWh]]*2.3,Tab_Calculs[[#This Row],[Conso_mois_kWh]])</f>
        <v/>
      </c>
      <c r="U1189" t="str">
        <f ca="1">IFERROR(N1189*VLOOKUP(Tab_Calculs[[#This Row],[Colonne1]],Controle_des_données!$B$7:$H$14,7,FALSE),"")</f>
        <v/>
      </c>
      <c r="V1189">
        <f ca="1">IFERROR(Tab_Calculs[[#This Row],[Cout_mois]]/Tab_Calculs[[#This Row],[Conso_mois_kWh]],0)</f>
        <v>0</v>
      </c>
      <c r="W1189" t="str">
        <f>T(VLOOKUP(Tab_Calculs[[#This Row],[Compteur]],Site!$B$33:$G$40,3,FALSE))</f>
        <v/>
      </c>
      <c r="X1189" t="str">
        <f>T(VLOOKUP(Tab_Calculs[[#This Row],[Compteur]],Site!$B$33:$G$40,4,FALSE))</f>
        <v/>
      </c>
      <c r="Y1189" t="str">
        <f>T(VLOOKUP(Tab_Calculs[[#This Row],[Compteur]],Site!$B$33:$G$40,5,FALSE))</f>
        <v/>
      </c>
      <c r="Z1189" t="str">
        <f>T(VLOOKUP(Tab_Calculs[[#This Row],[Compteur]],Site!$B$33:$G$40,6,FALSE))</f>
        <v/>
      </c>
      <c r="AA1189">
        <f>IFERROR(GETPIVOTDATA("DJU(chauffagiste)",BDD_DJU!$P$13,"annee",Tab_Calculs[[#This Row],[ANNEE]],"mois_numero",Tab_Calculs[[#This Row],[MOIS]]),0)</f>
        <v>113.8</v>
      </c>
    </row>
    <row r="1190" spans="1:27" x14ac:dyDescent="0.25">
      <c r="A1190" s="3">
        <f>DATE(Tab_Calculs[[#This Row],[ANNEE]],Tab_Calculs[[#This Row],[MOIS]],1)</f>
        <v>41061</v>
      </c>
      <c r="B1190" s="3">
        <f>EDATE(Tab_Calculs[[#This Row],[Début mois]],1)-1</f>
        <v>41090</v>
      </c>
      <c r="C1190">
        <v>6</v>
      </c>
      <c r="D1190">
        <v>2012</v>
      </c>
      <c r="E1190" t="s">
        <v>86</v>
      </c>
      <c r="F1190" t="str">
        <f>SUBSTITUTE(Tab_Calculs[[#This Row],[Compteur]]," ","_")</f>
        <v>Compteur_7</v>
      </c>
      <c r="G1190" t="str">
        <f>T(INDEX(Site!$B$33:$G$40, MATCH(Tab_Calculs[[#This Row],[Compteur]], Site!$B$33:$B$40,0),2))</f>
        <v/>
      </c>
      <c r="H1190" s="3">
        <f t="array" aca="1" ref="H1190" ca="1">MIN(IF(INDIRECT(CONCATENATE(Tab_Calculs[[#This Row],[Colonne1]],"!$B$2:$B$243"))&gt;=Calculs_Consos!$A1190,INDIRECT(CONCATENATE(Tab_Calculs[[#This Row],[Colonne1]],"!$B$2:$B$243"))))</f>
        <v>0</v>
      </c>
      <c r="I1190" s="3">
        <f ca="1">INDEX(INDIRECT(CONCATENATE("Tab_",Tab_Calculs[[#This Row],[Colonne1]])),Tab_Calculs[[#This Row],[index_date_livraison]],1)</f>
        <v>0</v>
      </c>
      <c r="J1190">
        <f ca="1">MATCH(Tab_Calculs[[#This Row],[Date_livraison]],INDIRECT(CONCATENATE("Tab_",Tab_Calculs[[#This Row],[Colonne1]],"[Fin de période]")),0)</f>
        <v>1</v>
      </c>
      <c r="K1190" t="e">
        <f ca="1">INDEX(INDIRECT(CONCATENATE("Tab_",Tab_Calculs[[#This Row],[Colonne1]])),Tab_Calculs[[#This Row],[index_date_livraison]]-1,6)*(MAX(Tab_Calculs[[#This Row],[Début periode livraison]],Tab_Calculs[[#This Row],[Début mois]])-Tab_Calculs[[#This Row],[Début mois]])</f>
        <v>#VALUE!</v>
      </c>
      <c r="L1190" s="94">
        <f ca="1">INDEX(INDIRECT(CONCATENATE("Tab_",Tab_Calculs[[#This Row],[Colonne1]])),Tab_Calculs[[#This Row],[index_date_livraison]],6)*(1+MIN(Tab_Calculs[[#This Row],[Date_livraison]],Tab_Calculs[[#This Row],[fin mois]])-MAX(Tab_Calculs[[#This Row],[Début mois]],Tab_Calculs[[#This Row],[Début periode livraison]]))</f>
        <v>0</v>
      </c>
      <c r="M1190" s="94" t="e">
        <f ca="1">INDEX(INDIRECT(CONCATENATE("Tab_",Tab_Calculs[[#This Row],[Colonne1]])),Tab_Calculs[[#This Row],[index_date_livraison]]+1,6)*(Tab_Calculs[[#This Row],[fin mois]]-MIN(Tab_Calculs[[#This Row],[fin mois]],Tab_Calculs[[#This Row],[Date_livraison]]))</f>
        <v>#VALUE!</v>
      </c>
      <c r="N1190" s="231" t="str">
        <f ca="1">IFERROR(Tab_Calculs[[#This Row],[Ratio_jour_après_livr]]+Tab_Calculs[[#This Row],[Ratio_jour_avant_livr]]+Tab_Calculs[[#This Row],[ratio_avant_debut]],"")</f>
        <v/>
      </c>
      <c r="O1190" t="e">
        <f ca="1">INDEX(INDIRECT(CONCATENATE("Tab_",Tab_Calculs[[#This Row],[Colonne1]])),Tab_Calculs[[#This Row],[index_date_livraison]]-1,7)*(MAX(Tab_Calculs[[#This Row],[Début periode livraison]],Tab_Calculs[[#This Row],[Début mois]])-Tab_Calculs[[#This Row],[Début mois]])</f>
        <v>#VALUE!</v>
      </c>
      <c r="P1190">
        <f ca="1">INDEX(INDIRECT(CONCATENATE("Tab_",Tab_Calculs[[#This Row],[Colonne1]])),Tab_Calculs[[#This Row],[index_date_livraison]],7)*(1+MIN(Tab_Calculs[[#This Row],[Date_livraison]],Tab_Calculs[[#This Row],[fin mois]])-MAX(Tab_Calculs[[#This Row],[Début mois]],Tab_Calculs[[#This Row],[Début periode livraison]]))</f>
        <v>0</v>
      </c>
      <c r="Q1190" t="e">
        <f ca="1">INDEX(INDIRECT(CONCATENATE("Tab_",Tab_Calculs[[#This Row],[Colonne1]])),Tab_Calculs[[#This Row],[index_date_livraison]]+1,7)*(Tab_Calculs[[#This Row],[fin mois]]-MIN(Tab_Calculs[[#This Row],[fin mois]],Tab_Calculs[[#This Row],[Date_livraison]]))</f>
        <v>#VALUE!</v>
      </c>
      <c r="R1190" t="e">
        <f ca="1">Tab_Calculs[[#This Row],[Ratio_Cout_après_livr]]+Tab_Calculs[[#This Row],[Ratio_Cout_avant_livr]]+Tab_Calculs[[#This Row],[Ratio_Cout_avant_debut]]</f>
        <v>#VALUE!</v>
      </c>
      <c r="S1190" t="str">
        <f ca="1">IFERROR(N1190*VLOOKUP(Tab_Calculs[[#This Row],[Colonne1]],Controle_des_données!$B$7:$G$14,6,FALSE),"")</f>
        <v/>
      </c>
      <c r="T1190" t="str">
        <f ca="1">IF(Tab_Calculs[[#This Row],[Combustible ]]="Electricité (kWh)",Tab_Calculs[[#This Row],[Conso_mois_kWh]]*2.3,Tab_Calculs[[#This Row],[Conso_mois_kWh]])</f>
        <v/>
      </c>
      <c r="U1190" t="str">
        <f ca="1">IFERROR(N1190*VLOOKUP(Tab_Calculs[[#This Row],[Colonne1]],Controle_des_données!$B$7:$H$14,7,FALSE),"")</f>
        <v/>
      </c>
      <c r="V1190">
        <f ca="1">IFERROR(Tab_Calculs[[#This Row],[Cout_mois]]/Tab_Calculs[[#This Row],[Conso_mois_kWh]],0)</f>
        <v>0</v>
      </c>
      <c r="W1190" t="str">
        <f>T(VLOOKUP(Tab_Calculs[[#This Row],[Compteur]],Site!$B$33:$G$40,3,FALSE))</f>
        <v/>
      </c>
      <c r="X1190" t="str">
        <f>T(VLOOKUP(Tab_Calculs[[#This Row],[Compteur]],Site!$B$33:$G$40,4,FALSE))</f>
        <v/>
      </c>
      <c r="Y1190" t="str">
        <f>T(VLOOKUP(Tab_Calculs[[#This Row],[Compteur]],Site!$B$33:$G$40,5,FALSE))</f>
        <v/>
      </c>
      <c r="Z1190" t="str">
        <f>T(VLOOKUP(Tab_Calculs[[#This Row],[Compteur]],Site!$B$33:$G$40,6,FALSE))</f>
        <v/>
      </c>
      <c r="AA1190">
        <f>IFERROR(GETPIVOTDATA("DJU(chauffagiste)",BDD_DJU!$P$13,"annee",Tab_Calculs[[#This Row],[ANNEE]],"mois_numero",Tab_Calculs[[#This Row],[MOIS]]),0)</f>
        <v>59.4</v>
      </c>
    </row>
    <row r="1191" spans="1:27" x14ac:dyDescent="0.25">
      <c r="A1191" s="3">
        <f>DATE(Tab_Calculs[[#This Row],[ANNEE]],Tab_Calculs[[#This Row],[MOIS]],1)</f>
        <v>41091</v>
      </c>
      <c r="B1191" s="3">
        <f>EDATE(Tab_Calculs[[#This Row],[Début mois]],1)-1</f>
        <v>41121</v>
      </c>
      <c r="C1191">
        <v>7</v>
      </c>
      <c r="D1191">
        <v>2012</v>
      </c>
      <c r="E1191" t="s">
        <v>86</v>
      </c>
      <c r="F1191" t="str">
        <f>SUBSTITUTE(Tab_Calculs[[#This Row],[Compteur]]," ","_")</f>
        <v>Compteur_7</v>
      </c>
      <c r="G1191" t="str">
        <f>T(INDEX(Site!$B$33:$G$40, MATCH(Tab_Calculs[[#This Row],[Compteur]], Site!$B$33:$B$40,0),2))</f>
        <v/>
      </c>
      <c r="H1191" s="3">
        <f t="array" aca="1" ref="H1191" ca="1">MIN(IF(INDIRECT(CONCATENATE(Tab_Calculs[[#This Row],[Colonne1]],"!$B$2:$B$243"))&gt;=Calculs_Consos!$A1191,INDIRECT(CONCATENATE(Tab_Calculs[[#This Row],[Colonne1]],"!$B$2:$B$243"))))</f>
        <v>0</v>
      </c>
      <c r="I1191" s="3">
        <f ca="1">INDEX(INDIRECT(CONCATENATE("Tab_",Tab_Calculs[[#This Row],[Colonne1]])),Tab_Calculs[[#This Row],[index_date_livraison]],1)</f>
        <v>0</v>
      </c>
      <c r="J1191">
        <f ca="1">MATCH(Tab_Calculs[[#This Row],[Date_livraison]],INDIRECT(CONCATENATE("Tab_",Tab_Calculs[[#This Row],[Colonne1]],"[Fin de période]")),0)</f>
        <v>1</v>
      </c>
      <c r="K1191" t="e">
        <f ca="1">INDEX(INDIRECT(CONCATENATE("Tab_",Tab_Calculs[[#This Row],[Colonne1]])),Tab_Calculs[[#This Row],[index_date_livraison]]-1,6)*(MAX(Tab_Calculs[[#This Row],[Début periode livraison]],Tab_Calculs[[#This Row],[Début mois]])-Tab_Calculs[[#This Row],[Début mois]])</f>
        <v>#VALUE!</v>
      </c>
      <c r="L1191" s="94">
        <f ca="1">INDEX(INDIRECT(CONCATENATE("Tab_",Tab_Calculs[[#This Row],[Colonne1]])),Tab_Calculs[[#This Row],[index_date_livraison]],6)*(1+MIN(Tab_Calculs[[#This Row],[Date_livraison]],Tab_Calculs[[#This Row],[fin mois]])-MAX(Tab_Calculs[[#This Row],[Début mois]],Tab_Calculs[[#This Row],[Début periode livraison]]))</f>
        <v>0</v>
      </c>
      <c r="M1191" s="94" t="e">
        <f ca="1">INDEX(INDIRECT(CONCATENATE("Tab_",Tab_Calculs[[#This Row],[Colonne1]])),Tab_Calculs[[#This Row],[index_date_livraison]]+1,6)*(Tab_Calculs[[#This Row],[fin mois]]-MIN(Tab_Calculs[[#This Row],[fin mois]],Tab_Calculs[[#This Row],[Date_livraison]]))</f>
        <v>#VALUE!</v>
      </c>
      <c r="N1191" s="231" t="str">
        <f ca="1">IFERROR(Tab_Calculs[[#This Row],[Ratio_jour_après_livr]]+Tab_Calculs[[#This Row],[Ratio_jour_avant_livr]]+Tab_Calculs[[#This Row],[ratio_avant_debut]],"")</f>
        <v/>
      </c>
      <c r="O1191" t="e">
        <f ca="1">INDEX(INDIRECT(CONCATENATE("Tab_",Tab_Calculs[[#This Row],[Colonne1]])),Tab_Calculs[[#This Row],[index_date_livraison]]-1,7)*(MAX(Tab_Calculs[[#This Row],[Début periode livraison]],Tab_Calculs[[#This Row],[Début mois]])-Tab_Calculs[[#This Row],[Début mois]])</f>
        <v>#VALUE!</v>
      </c>
      <c r="P1191">
        <f ca="1">INDEX(INDIRECT(CONCATENATE("Tab_",Tab_Calculs[[#This Row],[Colonne1]])),Tab_Calculs[[#This Row],[index_date_livraison]],7)*(1+MIN(Tab_Calculs[[#This Row],[Date_livraison]],Tab_Calculs[[#This Row],[fin mois]])-MAX(Tab_Calculs[[#This Row],[Début mois]],Tab_Calculs[[#This Row],[Début periode livraison]]))</f>
        <v>0</v>
      </c>
      <c r="Q1191" t="e">
        <f ca="1">INDEX(INDIRECT(CONCATENATE("Tab_",Tab_Calculs[[#This Row],[Colonne1]])),Tab_Calculs[[#This Row],[index_date_livraison]]+1,7)*(Tab_Calculs[[#This Row],[fin mois]]-MIN(Tab_Calculs[[#This Row],[fin mois]],Tab_Calculs[[#This Row],[Date_livraison]]))</f>
        <v>#VALUE!</v>
      </c>
      <c r="R1191" t="e">
        <f ca="1">Tab_Calculs[[#This Row],[Ratio_Cout_après_livr]]+Tab_Calculs[[#This Row],[Ratio_Cout_avant_livr]]+Tab_Calculs[[#This Row],[Ratio_Cout_avant_debut]]</f>
        <v>#VALUE!</v>
      </c>
      <c r="S1191" t="str">
        <f ca="1">IFERROR(N1191*VLOOKUP(Tab_Calculs[[#This Row],[Colonne1]],Controle_des_données!$B$7:$G$14,6,FALSE),"")</f>
        <v/>
      </c>
      <c r="T1191" t="str">
        <f ca="1">IF(Tab_Calculs[[#This Row],[Combustible ]]="Electricité (kWh)",Tab_Calculs[[#This Row],[Conso_mois_kWh]]*2.3,Tab_Calculs[[#This Row],[Conso_mois_kWh]])</f>
        <v/>
      </c>
      <c r="U1191" t="str">
        <f ca="1">IFERROR(N1191*VLOOKUP(Tab_Calculs[[#This Row],[Colonne1]],Controle_des_données!$B$7:$H$14,7,FALSE),"")</f>
        <v/>
      </c>
      <c r="V1191">
        <f ca="1">IFERROR(Tab_Calculs[[#This Row],[Cout_mois]]/Tab_Calculs[[#This Row],[Conso_mois_kWh]],0)</f>
        <v>0</v>
      </c>
      <c r="W1191" t="str">
        <f>T(VLOOKUP(Tab_Calculs[[#This Row],[Compteur]],Site!$B$33:$G$40,3,FALSE))</f>
        <v/>
      </c>
      <c r="X1191" t="str">
        <f>T(VLOOKUP(Tab_Calculs[[#This Row],[Compteur]],Site!$B$33:$G$40,4,FALSE))</f>
        <v/>
      </c>
      <c r="Y1191" t="str">
        <f>T(VLOOKUP(Tab_Calculs[[#This Row],[Compteur]],Site!$B$33:$G$40,5,FALSE))</f>
        <v/>
      </c>
      <c r="Z1191" t="str">
        <f>T(VLOOKUP(Tab_Calculs[[#This Row],[Compteur]],Site!$B$33:$G$40,6,FALSE))</f>
        <v/>
      </c>
      <c r="AA1191">
        <f>IFERROR(GETPIVOTDATA("DJU(chauffagiste)",BDD_DJU!$P$13,"annee",Tab_Calculs[[#This Row],[ANNEE]],"mois_numero",Tab_Calculs[[#This Row],[MOIS]]),0)</f>
        <v>48.9</v>
      </c>
    </row>
    <row r="1192" spans="1:27" x14ac:dyDescent="0.25">
      <c r="A1192" s="3">
        <f>DATE(Tab_Calculs[[#This Row],[ANNEE]],Tab_Calculs[[#This Row],[MOIS]],1)</f>
        <v>41122</v>
      </c>
      <c r="B1192" s="3">
        <f>EDATE(Tab_Calculs[[#This Row],[Début mois]],1)-1</f>
        <v>41152</v>
      </c>
      <c r="C1192">
        <v>8</v>
      </c>
      <c r="D1192">
        <v>2012</v>
      </c>
      <c r="E1192" t="s">
        <v>86</v>
      </c>
      <c r="F1192" t="str">
        <f>SUBSTITUTE(Tab_Calculs[[#This Row],[Compteur]]," ","_")</f>
        <v>Compteur_7</v>
      </c>
      <c r="G1192" t="str">
        <f>T(INDEX(Site!$B$33:$G$40, MATCH(Tab_Calculs[[#This Row],[Compteur]], Site!$B$33:$B$40,0),2))</f>
        <v/>
      </c>
      <c r="H1192" s="3">
        <f t="array" aca="1" ref="H1192" ca="1">MIN(IF(INDIRECT(CONCATENATE(Tab_Calculs[[#This Row],[Colonne1]],"!$B$2:$B$243"))&gt;=Calculs_Consos!$A1192,INDIRECT(CONCATENATE(Tab_Calculs[[#This Row],[Colonne1]],"!$B$2:$B$243"))))</f>
        <v>0</v>
      </c>
      <c r="I1192" s="3">
        <f ca="1">INDEX(INDIRECT(CONCATENATE("Tab_",Tab_Calculs[[#This Row],[Colonne1]])),Tab_Calculs[[#This Row],[index_date_livraison]],1)</f>
        <v>0</v>
      </c>
      <c r="J1192">
        <f ca="1">MATCH(Tab_Calculs[[#This Row],[Date_livraison]],INDIRECT(CONCATENATE("Tab_",Tab_Calculs[[#This Row],[Colonne1]],"[Fin de période]")),0)</f>
        <v>1</v>
      </c>
      <c r="K1192" t="e">
        <f ca="1">INDEX(INDIRECT(CONCATENATE("Tab_",Tab_Calculs[[#This Row],[Colonne1]])),Tab_Calculs[[#This Row],[index_date_livraison]]-1,6)*(MAX(Tab_Calculs[[#This Row],[Début periode livraison]],Tab_Calculs[[#This Row],[Début mois]])-Tab_Calculs[[#This Row],[Début mois]])</f>
        <v>#VALUE!</v>
      </c>
      <c r="L1192" s="94">
        <f ca="1">INDEX(INDIRECT(CONCATENATE("Tab_",Tab_Calculs[[#This Row],[Colonne1]])),Tab_Calculs[[#This Row],[index_date_livraison]],6)*(1+MIN(Tab_Calculs[[#This Row],[Date_livraison]],Tab_Calculs[[#This Row],[fin mois]])-MAX(Tab_Calculs[[#This Row],[Début mois]],Tab_Calculs[[#This Row],[Début periode livraison]]))</f>
        <v>0</v>
      </c>
      <c r="M1192" s="94" t="e">
        <f ca="1">INDEX(INDIRECT(CONCATENATE("Tab_",Tab_Calculs[[#This Row],[Colonne1]])),Tab_Calculs[[#This Row],[index_date_livraison]]+1,6)*(Tab_Calculs[[#This Row],[fin mois]]-MIN(Tab_Calculs[[#This Row],[fin mois]],Tab_Calculs[[#This Row],[Date_livraison]]))</f>
        <v>#VALUE!</v>
      </c>
      <c r="N1192" s="231" t="str">
        <f ca="1">IFERROR(Tab_Calculs[[#This Row],[Ratio_jour_après_livr]]+Tab_Calculs[[#This Row],[Ratio_jour_avant_livr]]+Tab_Calculs[[#This Row],[ratio_avant_debut]],"")</f>
        <v/>
      </c>
      <c r="O1192" t="e">
        <f ca="1">INDEX(INDIRECT(CONCATENATE("Tab_",Tab_Calculs[[#This Row],[Colonne1]])),Tab_Calculs[[#This Row],[index_date_livraison]]-1,7)*(MAX(Tab_Calculs[[#This Row],[Début periode livraison]],Tab_Calculs[[#This Row],[Début mois]])-Tab_Calculs[[#This Row],[Début mois]])</f>
        <v>#VALUE!</v>
      </c>
      <c r="P1192">
        <f ca="1">INDEX(INDIRECT(CONCATENATE("Tab_",Tab_Calculs[[#This Row],[Colonne1]])),Tab_Calculs[[#This Row],[index_date_livraison]],7)*(1+MIN(Tab_Calculs[[#This Row],[Date_livraison]],Tab_Calculs[[#This Row],[fin mois]])-MAX(Tab_Calculs[[#This Row],[Début mois]],Tab_Calculs[[#This Row],[Début periode livraison]]))</f>
        <v>0</v>
      </c>
      <c r="Q1192" t="e">
        <f ca="1">INDEX(INDIRECT(CONCATENATE("Tab_",Tab_Calculs[[#This Row],[Colonne1]])),Tab_Calculs[[#This Row],[index_date_livraison]]+1,7)*(Tab_Calculs[[#This Row],[fin mois]]-MIN(Tab_Calculs[[#This Row],[fin mois]],Tab_Calculs[[#This Row],[Date_livraison]]))</f>
        <v>#VALUE!</v>
      </c>
      <c r="R1192" t="e">
        <f ca="1">Tab_Calculs[[#This Row],[Ratio_Cout_après_livr]]+Tab_Calculs[[#This Row],[Ratio_Cout_avant_livr]]+Tab_Calculs[[#This Row],[Ratio_Cout_avant_debut]]</f>
        <v>#VALUE!</v>
      </c>
      <c r="S1192" t="str">
        <f ca="1">IFERROR(N1192*VLOOKUP(Tab_Calculs[[#This Row],[Colonne1]],Controle_des_données!$B$7:$G$14,6,FALSE),"")</f>
        <v/>
      </c>
      <c r="T1192" t="str">
        <f ca="1">IF(Tab_Calculs[[#This Row],[Combustible ]]="Electricité (kWh)",Tab_Calculs[[#This Row],[Conso_mois_kWh]]*2.3,Tab_Calculs[[#This Row],[Conso_mois_kWh]])</f>
        <v/>
      </c>
      <c r="U1192" t="str">
        <f ca="1">IFERROR(N1192*VLOOKUP(Tab_Calculs[[#This Row],[Colonne1]],Controle_des_données!$B$7:$H$14,7,FALSE),"")</f>
        <v/>
      </c>
      <c r="V1192">
        <f ca="1">IFERROR(Tab_Calculs[[#This Row],[Cout_mois]]/Tab_Calculs[[#This Row],[Conso_mois_kWh]],0)</f>
        <v>0</v>
      </c>
      <c r="W1192" t="str">
        <f>T(VLOOKUP(Tab_Calculs[[#This Row],[Compteur]],Site!$B$33:$G$40,3,FALSE))</f>
        <v/>
      </c>
      <c r="X1192" t="str">
        <f>T(VLOOKUP(Tab_Calculs[[#This Row],[Compteur]],Site!$B$33:$G$40,4,FALSE))</f>
        <v/>
      </c>
      <c r="Y1192" t="str">
        <f>T(VLOOKUP(Tab_Calculs[[#This Row],[Compteur]],Site!$B$33:$G$40,5,FALSE))</f>
        <v/>
      </c>
      <c r="Z1192" t="str">
        <f>T(VLOOKUP(Tab_Calculs[[#This Row],[Compteur]],Site!$B$33:$G$40,6,FALSE))</f>
        <v/>
      </c>
      <c r="AA1192">
        <f>IFERROR(GETPIVOTDATA("DJU(chauffagiste)",BDD_DJU!$P$13,"annee",Tab_Calculs[[#This Row],[ANNEE]],"mois_numero",Tab_Calculs[[#This Row],[MOIS]]),0)</f>
        <v>28.8</v>
      </c>
    </row>
    <row r="1193" spans="1:27" x14ac:dyDescent="0.25">
      <c r="A1193" s="3">
        <f>DATE(Tab_Calculs[[#This Row],[ANNEE]],Tab_Calculs[[#This Row],[MOIS]],1)</f>
        <v>41153</v>
      </c>
      <c r="B1193" s="3">
        <f>EDATE(Tab_Calculs[[#This Row],[Début mois]],1)-1</f>
        <v>41182</v>
      </c>
      <c r="C1193">
        <v>9</v>
      </c>
      <c r="D1193">
        <v>2012</v>
      </c>
      <c r="E1193" t="s">
        <v>86</v>
      </c>
      <c r="F1193" t="str">
        <f>SUBSTITUTE(Tab_Calculs[[#This Row],[Compteur]]," ","_")</f>
        <v>Compteur_7</v>
      </c>
      <c r="G1193" t="str">
        <f>T(INDEX(Site!$B$33:$G$40, MATCH(Tab_Calculs[[#This Row],[Compteur]], Site!$B$33:$B$40,0),2))</f>
        <v/>
      </c>
      <c r="H1193" s="3">
        <f t="array" aca="1" ref="H1193" ca="1">MIN(IF(INDIRECT(CONCATENATE(Tab_Calculs[[#This Row],[Colonne1]],"!$B$2:$B$243"))&gt;=Calculs_Consos!$A1193,INDIRECT(CONCATENATE(Tab_Calculs[[#This Row],[Colonne1]],"!$B$2:$B$243"))))</f>
        <v>0</v>
      </c>
      <c r="I1193" s="3">
        <f ca="1">INDEX(INDIRECT(CONCATENATE("Tab_",Tab_Calculs[[#This Row],[Colonne1]])),Tab_Calculs[[#This Row],[index_date_livraison]],1)</f>
        <v>0</v>
      </c>
      <c r="J1193">
        <f ca="1">MATCH(Tab_Calculs[[#This Row],[Date_livraison]],INDIRECT(CONCATENATE("Tab_",Tab_Calculs[[#This Row],[Colonne1]],"[Fin de période]")),0)</f>
        <v>1</v>
      </c>
      <c r="K1193" t="e">
        <f ca="1">INDEX(INDIRECT(CONCATENATE("Tab_",Tab_Calculs[[#This Row],[Colonne1]])),Tab_Calculs[[#This Row],[index_date_livraison]]-1,6)*(MAX(Tab_Calculs[[#This Row],[Début periode livraison]],Tab_Calculs[[#This Row],[Début mois]])-Tab_Calculs[[#This Row],[Début mois]])</f>
        <v>#VALUE!</v>
      </c>
      <c r="L1193" s="94">
        <f ca="1">INDEX(INDIRECT(CONCATENATE("Tab_",Tab_Calculs[[#This Row],[Colonne1]])),Tab_Calculs[[#This Row],[index_date_livraison]],6)*(1+MIN(Tab_Calculs[[#This Row],[Date_livraison]],Tab_Calculs[[#This Row],[fin mois]])-MAX(Tab_Calculs[[#This Row],[Début mois]],Tab_Calculs[[#This Row],[Début periode livraison]]))</f>
        <v>0</v>
      </c>
      <c r="M1193" s="94" t="e">
        <f ca="1">INDEX(INDIRECT(CONCATENATE("Tab_",Tab_Calculs[[#This Row],[Colonne1]])),Tab_Calculs[[#This Row],[index_date_livraison]]+1,6)*(Tab_Calculs[[#This Row],[fin mois]]-MIN(Tab_Calculs[[#This Row],[fin mois]],Tab_Calculs[[#This Row],[Date_livraison]]))</f>
        <v>#VALUE!</v>
      </c>
      <c r="N1193" s="231" t="str">
        <f ca="1">IFERROR(Tab_Calculs[[#This Row],[Ratio_jour_après_livr]]+Tab_Calculs[[#This Row],[Ratio_jour_avant_livr]]+Tab_Calculs[[#This Row],[ratio_avant_debut]],"")</f>
        <v/>
      </c>
      <c r="O1193" t="e">
        <f ca="1">INDEX(INDIRECT(CONCATENATE("Tab_",Tab_Calculs[[#This Row],[Colonne1]])),Tab_Calculs[[#This Row],[index_date_livraison]]-1,7)*(MAX(Tab_Calculs[[#This Row],[Début periode livraison]],Tab_Calculs[[#This Row],[Début mois]])-Tab_Calculs[[#This Row],[Début mois]])</f>
        <v>#VALUE!</v>
      </c>
      <c r="P1193">
        <f ca="1">INDEX(INDIRECT(CONCATENATE("Tab_",Tab_Calculs[[#This Row],[Colonne1]])),Tab_Calculs[[#This Row],[index_date_livraison]],7)*(1+MIN(Tab_Calculs[[#This Row],[Date_livraison]],Tab_Calculs[[#This Row],[fin mois]])-MAX(Tab_Calculs[[#This Row],[Début mois]],Tab_Calculs[[#This Row],[Début periode livraison]]))</f>
        <v>0</v>
      </c>
      <c r="Q1193" t="e">
        <f ca="1">INDEX(INDIRECT(CONCATENATE("Tab_",Tab_Calculs[[#This Row],[Colonne1]])),Tab_Calculs[[#This Row],[index_date_livraison]]+1,7)*(Tab_Calculs[[#This Row],[fin mois]]-MIN(Tab_Calculs[[#This Row],[fin mois]],Tab_Calculs[[#This Row],[Date_livraison]]))</f>
        <v>#VALUE!</v>
      </c>
      <c r="R1193" t="e">
        <f ca="1">Tab_Calculs[[#This Row],[Ratio_Cout_après_livr]]+Tab_Calculs[[#This Row],[Ratio_Cout_avant_livr]]+Tab_Calculs[[#This Row],[Ratio_Cout_avant_debut]]</f>
        <v>#VALUE!</v>
      </c>
      <c r="S1193" t="str">
        <f ca="1">IFERROR(N1193*VLOOKUP(Tab_Calculs[[#This Row],[Colonne1]],Controle_des_données!$B$7:$G$14,6,FALSE),"")</f>
        <v/>
      </c>
      <c r="T1193" t="str">
        <f ca="1">IF(Tab_Calculs[[#This Row],[Combustible ]]="Electricité (kWh)",Tab_Calculs[[#This Row],[Conso_mois_kWh]]*2.3,Tab_Calculs[[#This Row],[Conso_mois_kWh]])</f>
        <v/>
      </c>
      <c r="U1193" t="str">
        <f ca="1">IFERROR(N1193*VLOOKUP(Tab_Calculs[[#This Row],[Colonne1]],Controle_des_données!$B$7:$H$14,7,FALSE),"")</f>
        <v/>
      </c>
      <c r="V1193">
        <f ca="1">IFERROR(Tab_Calculs[[#This Row],[Cout_mois]]/Tab_Calculs[[#This Row],[Conso_mois_kWh]],0)</f>
        <v>0</v>
      </c>
      <c r="W1193" t="str">
        <f>T(VLOOKUP(Tab_Calculs[[#This Row],[Compteur]],Site!$B$33:$G$40,3,FALSE))</f>
        <v/>
      </c>
      <c r="X1193" t="str">
        <f>T(VLOOKUP(Tab_Calculs[[#This Row],[Compteur]],Site!$B$33:$G$40,4,FALSE))</f>
        <v/>
      </c>
      <c r="Y1193" t="str">
        <f>T(VLOOKUP(Tab_Calculs[[#This Row],[Compteur]],Site!$B$33:$G$40,5,FALSE))</f>
        <v/>
      </c>
      <c r="Z1193" t="str">
        <f>T(VLOOKUP(Tab_Calculs[[#This Row],[Compteur]],Site!$B$33:$G$40,6,FALSE))</f>
        <v/>
      </c>
      <c r="AA1193">
        <f>IFERROR(GETPIVOTDATA("DJU(chauffagiste)",BDD_DJU!$P$13,"annee",Tab_Calculs[[#This Row],[ANNEE]],"mois_numero",Tab_Calculs[[#This Row],[MOIS]]),0)</f>
        <v>108.1</v>
      </c>
    </row>
    <row r="1194" spans="1:27" x14ac:dyDescent="0.25">
      <c r="A1194" s="3">
        <f>DATE(Tab_Calculs[[#This Row],[ANNEE]],Tab_Calculs[[#This Row],[MOIS]],1)</f>
        <v>41183</v>
      </c>
      <c r="B1194" s="3">
        <f>EDATE(Tab_Calculs[[#This Row],[Début mois]],1)-1</f>
        <v>41213</v>
      </c>
      <c r="C1194">
        <v>10</v>
      </c>
      <c r="D1194">
        <v>2012</v>
      </c>
      <c r="E1194" t="s">
        <v>86</v>
      </c>
      <c r="F1194" t="str">
        <f>SUBSTITUTE(Tab_Calculs[[#This Row],[Compteur]]," ","_")</f>
        <v>Compteur_7</v>
      </c>
      <c r="G1194" t="str">
        <f>T(INDEX(Site!$B$33:$G$40, MATCH(Tab_Calculs[[#This Row],[Compteur]], Site!$B$33:$B$40,0),2))</f>
        <v/>
      </c>
      <c r="H1194" s="3">
        <f t="array" aca="1" ref="H1194" ca="1">MIN(IF(INDIRECT(CONCATENATE(Tab_Calculs[[#This Row],[Colonne1]],"!$B$2:$B$243"))&gt;=Calculs_Consos!$A1194,INDIRECT(CONCATENATE(Tab_Calculs[[#This Row],[Colonne1]],"!$B$2:$B$243"))))</f>
        <v>0</v>
      </c>
      <c r="I1194" s="3">
        <f ca="1">INDEX(INDIRECT(CONCATENATE("Tab_",Tab_Calculs[[#This Row],[Colonne1]])),Tab_Calculs[[#This Row],[index_date_livraison]],1)</f>
        <v>0</v>
      </c>
      <c r="J1194">
        <f ca="1">MATCH(Tab_Calculs[[#This Row],[Date_livraison]],INDIRECT(CONCATENATE("Tab_",Tab_Calculs[[#This Row],[Colonne1]],"[Fin de période]")),0)</f>
        <v>1</v>
      </c>
      <c r="K1194" t="e">
        <f ca="1">INDEX(INDIRECT(CONCATENATE("Tab_",Tab_Calculs[[#This Row],[Colonne1]])),Tab_Calculs[[#This Row],[index_date_livraison]]-1,6)*(MAX(Tab_Calculs[[#This Row],[Début periode livraison]],Tab_Calculs[[#This Row],[Début mois]])-Tab_Calculs[[#This Row],[Début mois]])</f>
        <v>#VALUE!</v>
      </c>
      <c r="L1194" s="94">
        <f ca="1">INDEX(INDIRECT(CONCATENATE("Tab_",Tab_Calculs[[#This Row],[Colonne1]])),Tab_Calculs[[#This Row],[index_date_livraison]],6)*(1+MIN(Tab_Calculs[[#This Row],[Date_livraison]],Tab_Calculs[[#This Row],[fin mois]])-MAX(Tab_Calculs[[#This Row],[Début mois]],Tab_Calculs[[#This Row],[Début periode livraison]]))</f>
        <v>0</v>
      </c>
      <c r="M1194" s="94" t="e">
        <f ca="1">INDEX(INDIRECT(CONCATENATE("Tab_",Tab_Calculs[[#This Row],[Colonne1]])),Tab_Calculs[[#This Row],[index_date_livraison]]+1,6)*(Tab_Calculs[[#This Row],[fin mois]]-MIN(Tab_Calculs[[#This Row],[fin mois]],Tab_Calculs[[#This Row],[Date_livraison]]))</f>
        <v>#VALUE!</v>
      </c>
      <c r="N1194" s="231" t="str">
        <f ca="1">IFERROR(Tab_Calculs[[#This Row],[Ratio_jour_après_livr]]+Tab_Calculs[[#This Row],[Ratio_jour_avant_livr]]+Tab_Calculs[[#This Row],[ratio_avant_debut]],"")</f>
        <v/>
      </c>
      <c r="O1194" t="e">
        <f ca="1">INDEX(INDIRECT(CONCATENATE("Tab_",Tab_Calculs[[#This Row],[Colonne1]])),Tab_Calculs[[#This Row],[index_date_livraison]]-1,7)*(MAX(Tab_Calculs[[#This Row],[Début periode livraison]],Tab_Calculs[[#This Row],[Début mois]])-Tab_Calculs[[#This Row],[Début mois]])</f>
        <v>#VALUE!</v>
      </c>
      <c r="P1194">
        <f ca="1">INDEX(INDIRECT(CONCATENATE("Tab_",Tab_Calculs[[#This Row],[Colonne1]])),Tab_Calculs[[#This Row],[index_date_livraison]],7)*(1+MIN(Tab_Calculs[[#This Row],[Date_livraison]],Tab_Calculs[[#This Row],[fin mois]])-MAX(Tab_Calculs[[#This Row],[Début mois]],Tab_Calculs[[#This Row],[Début periode livraison]]))</f>
        <v>0</v>
      </c>
      <c r="Q1194" t="e">
        <f ca="1">INDEX(INDIRECT(CONCATENATE("Tab_",Tab_Calculs[[#This Row],[Colonne1]])),Tab_Calculs[[#This Row],[index_date_livraison]]+1,7)*(Tab_Calculs[[#This Row],[fin mois]]-MIN(Tab_Calculs[[#This Row],[fin mois]],Tab_Calculs[[#This Row],[Date_livraison]]))</f>
        <v>#VALUE!</v>
      </c>
      <c r="R1194" t="e">
        <f ca="1">Tab_Calculs[[#This Row],[Ratio_Cout_après_livr]]+Tab_Calculs[[#This Row],[Ratio_Cout_avant_livr]]+Tab_Calculs[[#This Row],[Ratio_Cout_avant_debut]]</f>
        <v>#VALUE!</v>
      </c>
      <c r="S1194" t="str">
        <f ca="1">IFERROR(N1194*VLOOKUP(Tab_Calculs[[#This Row],[Colonne1]],Controle_des_données!$B$7:$G$14,6,FALSE),"")</f>
        <v/>
      </c>
      <c r="T1194" t="str">
        <f ca="1">IF(Tab_Calculs[[#This Row],[Combustible ]]="Electricité (kWh)",Tab_Calculs[[#This Row],[Conso_mois_kWh]]*2.3,Tab_Calculs[[#This Row],[Conso_mois_kWh]])</f>
        <v/>
      </c>
      <c r="U1194" t="str">
        <f ca="1">IFERROR(N1194*VLOOKUP(Tab_Calculs[[#This Row],[Colonne1]],Controle_des_données!$B$7:$H$14,7,FALSE),"")</f>
        <v/>
      </c>
      <c r="V1194">
        <f ca="1">IFERROR(Tab_Calculs[[#This Row],[Cout_mois]]/Tab_Calculs[[#This Row],[Conso_mois_kWh]],0)</f>
        <v>0</v>
      </c>
      <c r="W1194" t="str">
        <f>T(VLOOKUP(Tab_Calculs[[#This Row],[Compteur]],Site!$B$33:$G$40,3,FALSE))</f>
        <v/>
      </c>
      <c r="X1194" t="str">
        <f>T(VLOOKUP(Tab_Calculs[[#This Row],[Compteur]],Site!$B$33:$G$40,4,FALSE))</f>
        <v/>
      </c>
      <c r="Y1194" t="str">
        <f>T(VLOOKUP(Tab_Calculs[[#This Row],[Compteur]],Site!$B$33:$G$40,5,FALSE))</f>
        <v/>
      </c>
      <c r="Z1194" t="str">
        <f>T(VLOOKUP(Tab_Calculs[[#This Row],[Compteur]],Site!$B$33:$G$40,6,FALSE))</f>
        <v/>
      </c>
      <c r="AA1194">
        <f>IFERROR(GETPIVOTDATA("DJU(chauffagiste)",BDD_DJU!$P$13,"annee",Tab_Calculs[[#This Row],[ANNEE]],"mois_numero",Tab_Calculs[[#This Row],[MOIS]]),0)</f>
        <v>161.69999999999999</v>
      </c>
    </row>
    <row r="1195" spans="1:27" x14ac:dyDescent="0.25">
      <c r="A1195" s="3">
        <f>DATE(Tab_Calculs[[#This Row],[ANNEE]],Tab_Calculs[[#This Row],[MOIS]],1)</f>
        <v>41214</v>
      </c>
      <c r="B1195" s="3">
        <f>EDATE(Tab_Calculs[[#This Row],[Début mois]],1)-1</f>
        <v>41243</v>
      </c>
      <c r="C1195">
        <v>11</v>
      </c>
      <c r="D1195">
        <v>2012</v>
      </c>
      <c r="E1195" t="s">
        <v>86</v>
      </c>
      <c r="F1195" t="str">
        <f>SUBSTITUTE(Tab_Calculs[[#This Row],[Compteur]]," ","_")</f>
        <v>Compteur_7</v>
      </c>
      <c r="G1195" t="str">
        <f>T(INDEX(Site!$B$33:$G$40, MATCH(Tab_Calculs[[#This Row],[Compteur]], Site!$B$33:$B$40,0),2))</f>
        <v/>
      </c>
      <c r="H1195" s="3">
        <f t="array" aca="1" ref="H1195" ca="1">MIN(IF(INDIRECT(CONCATENATE(Tab_Calculs[[#This Row],[Colonne1]],"!$B$2:$B$243"))&gt;=Calculs_Consos!$A1195,INDIRECT(CONCATENATE(Tab_Calculs[[#This Row],[Colonne1]],"!$B$2:$B$243"))))</f>
        <v>0</v>
      </c>
      <c r="I1195" s="3">
        <f ca="1">INDEX(INDIRECT(CONCATENATE("Tab_",Tab_Calculs[[#This Row],[Colonne1]])),Tab_Calculs[[#This Row],[index_date_livraison]],1)</f>
        <v>0</v>
      </c>
      <c r="J1195">
        <f ca="1">MATCH(Tab_Calculs[[#This Row],[Date_livraison]],INDIRECT(CONCATENATE("Tab_",Tab_Calculs[[#This Row],[Colonne1]],"[Fin de période]")),0)</f>
        <v>1</v>
      </c>
      <c r="K1195" t="e">
        <f ca="1">INDEX(INDIRECT(CONCATENATE("Tab_",Tab_Calculs[[#This Row],[Colonne1]])),Tab_Calculs[[#This Row],[index_date_livraison]]-1,6)*(MAX(Tab_Calculs[[#This Row],[Début periode livraison]],Tab_Calculs[[#This Row],[Début mois]])-Tab_Calculs[[#This Row],[Début mois]])</f>
        <v>#VALUE!</v>
      </c>
      <c r="L1195" s="94">
        <f ca="1">INDEX(INDIRECT(CONCATENATE("Tab_",Tab_Calculs[[#This Row],[Colonne1]])),Tab_Calculs[[#This Row],[index_date_livraison]],6)*(1+MIN(Tab_Calculs[[#This Row],[Date_livraison]],Tab_Calculs[[#This Row],[fin mois]])-MAX(Tab_Calculs[[#This Row],[Début mois]],Tab_Calculs[[#This Row],[Début periode livraison]]))</f>
        <v>0</v>
      </c>
      <c r="M1195" s="94" t="e">
        <f ca="1">INDEX(INDIRECT(CONCATENATE("Tab_",Tab_Calculs[[#This Row],[Colonne1]])),Tab_Calculs[[#This Row],[index_date_livraison]]+1,6)*(Tab_Calculs[[#This Row],[fin mois]]-MIN(Tab_Calculs[[#This Row],[fin mois]],Tab_Calculs[[#This Row],[Date_livraison]]))</f>
        <v>#VALUE!</v>
      </c>
      <c r="N1195" s="231" t="str">
        <f ca="1">IFERROR(Tab_Calculs[[#This Row],[Ratio_jour_après_livr]]+Tab_Calculs[[#This Row],[Ratio_jour_avant_livr]]+Tab_Calculs[[#This Row],[ratio_avant_debut]],"")</f>
        <v/>
      </c>
      <c r="O1195" t="e">
        <f ca="1">INDEX(INDIRECT(CONCATENATE("Tab_",Tab_Calculs[[#This Row],[Colonne1]])),Tab_Calculs[[#This Row],[index_date_livraison]]-1,7)*(MAX(Tab_Calculs[[#This Row],[Début periode livraison]],Tab_Calculs[[#This Row],[Début mois]])-Tab_Calculs[[#This Row],[Début mois]])</f>
        <v>#VALUE!</v>
      </c>
      <c r="P1195">
        <f ca="1">INDEX(INDIRECT(CONCATENATE("Tab_",Tab_Calculs[[#This Row],[Colonne1]])),Tab_Calculs[[#This Row],[index_date_livraison]],7)*(1+MIN(Tab_Calculs[[#This Row],[Date_livraison]],Tab_Calculs[[#This Row],[fin mois]])-MAX(Tab_Calculs[[#This Row],[Début mois]],Tab_Calculs[[#This Row],[Début periode livraison]]))</f>
        <v>0</v>
      </c>
      <c r="Q1195" t="e">
        <f ca="1">INDEX(INDIRECT(CONCATENATE("Tab_",Tab_Calculs[[#This Row],[Colonne1]])),Tab_Calculs[[#This Row],[index_date_livraison]]+1,7)*(Tab_Calculs[[#This Row],[fin mois]]-MIN(Tab_Calculs[[#This Row],[fin mois]],Tab_Calculs[[#This Row],[Date_livraison]]))</f>
        <v>#VALUE!</v>
      </c>
      <c r="R1195" t="e">
        <f ca="1">Tab_Calculs[[#This Row],[Ratio_Cout_après_livr]]+Tab_Calculs[[#This Row],[Ratio_Cout_avant_livr]]+Tab_Calculs[[#This Row],[Ratio_Cout_avant_debut]]</f>
        <v>#VALUE!</v>
      </c>
      <c r="S1195" t="str">
        <f ca="1">IFERROR(N1195*VLOOKUP(Tab_Calculs[[#This Row],[Colonne1]],Controle_des_données!$B$7:$G$14,6,FALSE),"")</f>
        <v/>
      </c>
      <c r="T1195" t="str">
        <f ca="1">IF(Tab_Calculs[[#This Row],[Combustible ]]="Electricité (kWh)",Tab_Calculs[[#This Row],[Conso_mois_kWh]]*2.3,Tab_Calculs[[#This Row],[Conso_mois_kWh]])</f>
        <v/>
      </c>
      <c r="U1195" t="str">
        <f ca="1">IFERROR(N1195*VLOOKUP(Tab_Calculs[[#This Row],[Colonne1]],Controle_des_données!$B$7:$H$14,7,FALSE),"")</f>
        <v/>
      </c>
      <c r="V1195">
        <f ca="1">IFERROR(Tab_Calculs[[#This Row],[Cout_mois]]/Tab_Calculs[[#This Row],[Conso_mois_kWh]],0)</f>
        <v>0</v>
      </c>
      <c r="W1195" t="str">
        <f>T(VLOOKUP(Tab_Calculs[[#This Row],[Compteur]],Site!$B$33:$G$40,3,FALSE))</f>
        <v/>
      </c>
      <c r="X1195" t="str">
        <f>T(VLOOKUP(Tab_Calculs[[#This Row],[Compteur]],Site!$B$33:$G$40,4,FALSE))</f>
        <v/>
      </c>
      <c r="Y1195" t="str">
        <f>T(VLOOKUP(Tab_Calculs[[#This Row],[Compteur]],Site!$B$33:$G$40,5,FALSE))</f>
        <v/>
      </c>
      <c r="Z1195" t="str">
        <f>T(VLOOKUP(Tab_Calculs[[#This Row],[Compteur]],Site!$B$33:$G$40,6,FALSE))</f>
        <v/>
      </c>
      <c r="AA1195">
        <f>IFERROR(GETPIVOTDATA("DJU(chauffagiste)",BDD_DJU!$P$13,"annee",Tab_Calculs[[#This Row],[ANNEE]],"mois_numero",Tab_Calculs[[#This Row],[MOIS]]),0)</f>
        <v>300.39999999999998</v>
      </c>
    </row>
    <row r="1196" spans="1:27" x14ac:dyDescent="0.25">
      <c r="A1196" s="3">
        <f>DATE(Tab_Calculs[[#This Row],[ANNEE]],Tab_Calculs[[#This Row],[MOIS]],1)</f>
        <v>41244</v>
      </c>
      <c r="B1196" s="3">
        <f>EDATE(Tab_Calculs[[#This Row],[Début mois]],1)-1</f>
        <v>41274</v>
      </c>
      <c r="C1196">
        <v>12</v>
      </c>
      <c r="D1196">
        <v>2012</v>
      </c>
      <c r="E1196" t="s">
        <v>86</v>
      </c>
      <c r="F1196" t="str">
        <f>SUBSTITUTE(Tab_Calculs[[#This Row],[Compteur]]," ","_")</f>
        <v>Compteur_7</v>
      </c>
      <c r="G1196" t="str">
        <f>T(INDEX(Site!$B$33:$G$40, MATCH(Tab_Calculs[[#This Row],[Compteur]], Site!$B$33:$B$40,0),2))</f>
        <v/>
      </c>
      <c r="H1196" s="3">
        <f t="array" aca="1" ref="H1196" ca="1">MIN(IF(INDIRECT(CONCATENATE(Tab_Calculs[[#This Row],[Colonne1]],"!$B$2:$B$243"))&gt;=Calculs_Consos!$A1196,INDIRECT(CONCATENATE(Tab_Calculs[[#This Row],[Colonne1]],"!$B$2:$B$243"))))</f>
        <v>0</v>
      </c>
      <c r="I1196" s="3">
        <f ca="1">INDEX(INDIRECT(CONCATENATE("Tab_",Tab_Calculs[[#This Row],[Colonne1]])),Tab_Calculs[[#This Row],[index_date_livraison]],1)</f>
        <v>0</v>
      </c>
      <c r="J1196">
        <f ca="1">MATCH(Tab_Calculs[[#This Row],[Date_livraison]],INDIRECT(CONCATENATE("Tab_",Tab_Calculs[[#This Row],[Colonne1]],"[Fin de période]")),0)</f>
        <v>1</v>
      </c>
      <c r="K1196" t="e">
        <f ca="1">INDEX(INDIRECT(CONCATENATE("Tab_",Tab_Calculs[[#This Row],[Colonne1]])),Tab_Calculs[[#This Row],[index_date_livraison]]-1,6)*(MAX(Tab_Calculs[[#This Row],[Début periode livraison]],Tab_Calculs[[#This Row],[Début mois]])-Tab_Calculs[[#This Row],[Début mois]])</f>
        <v>#VALUE!</v>
      </c>
      <c r="L1196" s="94">
        <f ca="1">INDEX(INDIRECT(CONCATENATE("Tab_",Tab_Calculs[[#This Row],[Colonne1]])),Tab_Calculs[[#This Row],[index_date_livraison]],6)*(1+MIN(Tab_Calculs[[#This Row],[Date_livraison]],Tab_Calculs[[#This Row],[fin mois]])-MAX(Tab_Calculs[[#This Row],[Début mois]],Tab_Calculs[[#This Row],[Début periode livraison]]))</f>
        <v>0</v>
      </c>
      <c r="M1196" s="94" t="e">
        <f ca="1">INDEX(INDIRECT(CONCATENATE("Tab_",Tab_Calculs[[#This Row],[Colonne1]])),Tab_Calculs[[#This Row],[index_date_livraison]]+1,6)*(Tab_Calculs[[#This Row],[fin mois]]-MIN(Tab_Calculs[[#This Row],[fin mois]],Tab_Calculs[[#This Row],[Date_livraison]]))</f>
        <v>#VALUE!</v>
      </c>
      <c r="N1196" s="231" t="str">
        <f ca="1">IFERROR(Tab_Calculs[[#This Row],[Ratio_jour_après_livr]]+Tab_Calculs[[#This Row],[Ratio_jour_avant_livr]]+Tab_Calculs[[#This Row],[ratio_avant_debut]],"")</f>
        <v/>
      </c>
      <c r="O1196" t="e">
        <f ca="1">INDEX(INDIRECT(CONCATENATE("Tab_",Tab_Calculs[[#This Row],[Colonne1]])),Tab_Calculs[[#This Row],[index_date_livraison]]-1,7)*(MAX(Tab_Calculs[[#This Row],[Début periode livraison]],Tab_Calculs[[#This Row],[Début mois]])-Tab_Calculs[[#This Row],[Début mois]])</f>
        <v>#VALUE!</v>
      </c>
      <c r="P1196">
        <f ca="1">INDEX(INDIRECT(CONCATENATE("Tab_",Tab_Calculs[[#This Row],[Colonne1]])),Tab_Calculs[[#This Row],[index_date_livraison]],7)*(1+MIN(Tab_Calculs[[#This Row],[Date_livraison]],Tab_Calculs[[#This Row],[fin mois]])-MAX(Tab_Calculs[[#This Row],[Début mois]],Tab_Calculs[[#This Row],[Début periode livraison]]))</f>
        <v>0</v>
      </c>
      <c r="Q1196" t="e">
        <f ca="1">INDEX(INDIRECT(CONCATENATE("Tab_",Tab_Calculs[[#This Row],[Colonne1]])),Tab_Calculs[[#This Row],[index_date_livraison]]+1,7)*(Tab_Calculs[[#This Row],[fin mois]]-MIN(Tab_Calculs[[#This Row],[fin mois]],Tab_Calculs[[#This Row],[Date_livraison]]))</f>
        <v>#VALUE!</v>
      </c>
      <c r="R1196" t="e">
        <f ca="1">Tab_Calculs[[#This Row],[Ratio_Cout_après_livr]]+Tab_Calculs[[#This Row],[Ratio_Cout_avant_livr]]+Tab_Calculs[[#This Row],[Ratio_Cout_avant_debut]]</f>
        <v>#VALUE!</v>
      </c>
      <c r="S1196" t="str">
        <f ca="1">IFERROR(N1196*VLOOKUP(Tab_Calculs[[#This Row],[Colonne1]],Controle_des_données!$B$7:$G$14,6,FALSE),"")</f>
        <v/>
      </c>
      <c r="T1196" t="str">
        <f ca="1">IF(Tab_Calculs[[#This Row],[Combustible ]]="Electricité (kWh)",Tab_Calculs[[#This Row],[Conso_mois_kWh]]*2.3,Tab_Calculs[[#This Row],[Conso_mois_kWh]])</f>
        <v/>
      </c>
      <c r="U1196" t="str">
        <f ca="1">IFERROR(N1196*VLOOKUP(Tab_Calculs[[#This Row],[Colonne1]],Controle_des_données!$B$7:$H$14,7,FALSE),"")</f>
        <v/>
      </c>
      <c r="V1196">
        <f ca="1">IFERROR(Tab_Calculs[[#This Row],[Cout_mois]]/Tab_Calculs[[#This Row],[Conso_mois_kWh]],0)</f>
        <v>0</v>
      </c>
      <c r="W1196" t="str">
        <f>T(VLOOKUP(Tab_Calculs[[#This Row],[Compteur]],Site!$B$33:$G$40,3,FALSE))</f>
        <v/>
      </c>
      <c r="X1196" t="str">
        <f>T(VLOOKUP(Tab_Calculs[[#This Row],[Compteur]],Site!$B$33:$G$40,4,FALSE))</f>
        <v/>
      </c>
      <c r="Y1196" t="str">
        <f>T(VLOOKUP(Tab_Calculs[[#This Row],[Compteur]],Site!$B$33:$G$40,5,FALSE))</f>
        <v/>
      </c>
      <c r="Z1196" t="str">
        <f>T(VLOOKUP(Tab_Calculs[[#This Row],[Compteur]],Site!$B$33:$G$40,6,FALSE))</f>
        <v/>
      </c>
      <c r="AA1196">
        <f>IFERROR(GETPIVOTDATA("DJU(chauffagiste)",BDD_DJU!$P$13,"annee",Tab_Calculs[[#This Row],[ANNEE]],"mois_numero",Tab_Calculs[[#This Row],[MOIS]]),0)</f>
        <v>333.7</v>
      </c>
    </row>
    <row r="1197" spans="1:27" x14ac:dyDescent="0.25">
      <c r="A1197" s="3">
        <f>DATE(Tab_Calculs[[#This Row],[ANNEE]],Tab_Calculs[[#This Row],[MOIS]],1)</f>
        <v>41275</v>
      </c>
      <c r="B1197" s="3">
        <f>EDATE(Tab_Calculs[[#This Row],[Début mois]],1)-1</f>
        <v>41305</v>
      </c>
      <c r="C1197">
        <v>1</v>
      </c>
      <c r="D1197">
        <v>2013</v>
      </c>
      <c r="E1197" t="s">
        <v>86</v>
      </c>
      <c r="F1197" t="str">
        <f>SUBSTITUTE(Tab_Calculs[[#This Row],[Compteur]]," ","_")</f>
        <v>Compteur_7</v>
      </c>
      <c r="G1197" t="str">
        <f>T(INDEX(Site!$B$33:$G$40, MATCH(Tab_Calculs[[#This Row],[Compteur]], Site!$B$33:$B$40,0),2))</f>
        <v/>
      </c>
      <c r="H1197" s="3">
        <f t="array" aca="1" ref="H1197" ca="1">MIN(IF(INDIRECT(CONCATENATE(Tab_Calculs[[#This Row],[Colonne1]],"!$B$2:$B$243"))&gt;=Calculs_Consos!$A1197,INDIRECT(CONCATENATE(Tab_Calculs[[#This Row],[Colonne1]],"!$B$2:$B$243"))))</f>
        <v>0</v>
      </c>
      <c r="I1197" s="3">
        <f ca="1">INDEX(INDIRECT(CONCATENATE("Tab_",Tab_Calculs[[#This Row],[Colonne1]])),Tab_Calculs[[#This Row],[index_date_livraison]],1)</f>
        <v>0</v>
      </c>
      <c r="J1197">
        <f ca="1">MATCH(Tab_Calculs[[#This Row],[Date_livraison]],INDIRECT(CONCATENATE("Tab_",Tab_Calculs[[#This Row],[Colonne1]],"[Fin de période]")),0)</f>
        <v>1</v>
      </c>
      <c r="K1197" t="e">
        <f ca="1">INDEX(INDIRECT(CONCATENATE("Tab_",Tab_Calculs[[#This Row],[Colonne1]])),Tab_Calculs[[#This Row],[index_date_livraison]]-1,6)*(MAX(Tab_Calculs[[#This Row],[Début periode livraison]],Tab_Calculs[[#This Row],[Début mois]])-Tab_Calculs[[#This Row],[Début mois]])</f>
        <v>#VALUE!</v>
      </c>
      <c r="L1197" s="94">
        <f ca="1">INDEX(INDIRECT(CONCATENATE("Tab_",Tab_Calculs[[#This Row],[Colonne1]])),Tab_Calculs[[#This Row],[index_date_livraison]],6)*(1+MIN(Tab_Calculs[[#This Row],[Date_livraison]],Tab_Calculs[[#This Row],[fin mois]])-MAX(Tab_Calculs[[#This Row],[Début mois]],Tab_Calculs[[#This Row],[Début periode livraison]]))</f>
        <v>0</v>
      </c>
      <c r="M1197" s="94" t="e">
        <f ca="1">INDEX(INDIRECT(CONCATENATE("Tab_",Tab_Calculs[[#This Row],[Colonne1]])),Tab_Calculs[[#This Row],[index_date_livraison]]+1,6)*(Tab_Calculs[[#This Row],[fin mois]]-MIN(Tab_Calculs[[#This Row],[fin mois]],Tab_Calculs[[#This Row],[Date_livraison]]))</f>
        <v>#VALUE!</v>
      </c>
      <c r="N1197" s="231" t="str">
        <f ca="1">IFERROR(Tab_Calculs[[#This Row],[Ratio_jour_après_livr]]+Tab_Calculs[[#This Row],[Ratio_jour_avant_livr]]+Tab_Calculs[[#This Row],[ratio_avant_debut]],"")</f>
        <v/>
      </c>
      <c r="O1197" t="e">
        <f ca="1">INDEX(INDIRECT(CONCATENATE("Tab_",Tab_Calculs[[#This Row],[Colonne1]])),Tab_Calculs[[#This Row],[index_date_livraison]]-1,7)*(MAX(Tab_Calculs[[#This Row],[Début periode livraison]],Tab_Calculs[[#This Row],[Début mois]])-Tab_Calculs[[#This Row],[Début mois]])</f>
        <v>#VALUE!</v>
      </c>
      <c r="P1197">
        <f ca="1">INDEX(INDIRECT(CONCATENATE("Tab_",Tab_Calculs[[#This Row],[Colonne1]])),Tab_Calculs[[#This Row],[index_date_livraison]],7)*(1+MIN(Tab_Calculs[[#This Row],[Date_livraison]],Tab_Calculs[[#This Row],[fin mois]])-MAX(Tab_Calculs[[#This Row],[Début mois]],Tab_Calculs[[#This Row],[Début periode livraison]]))</f>
        <v>0</v>
      </c>
      <c r="Q1197" t="e">
        <f ca="1">INDEX(INDIRECT(CONCATENATE("Tab_",Tab_Calculs[[#This Row],[Colonne1]])),Tab_Calculs[[#This Row],[index_date_livraison]]+1,7)*(Tab_Calculs[[#This Row],[fin mois]]-MIN(Tab_Calculs[[#This Row],[fin mois]],Tab_Calculs[[#This Row],[Date_livraison]]))</f>
        <v>#VALUE!</v>
      </c>
      <c r="R1197" t="e">
        <f ca="1">Tab_Calculs[[#This Row],[Ratio_Cout_après_livr]]+Tab_Calculs[[#This Row],[Ratio_Cout_avant_livr]]+Tab_Calculs[[#This Row],[Ratio_Cout_avant_debut]]</f>
        <v>#VALUE!</v>
      </c>
      <c r="S1197" t="str">
        <f ca="1">IFERROR(N1197*VLOOKUP(Tab_Calculs[[#This Row],[Colonne1]],Controle_des_données!$B$7:$G$14,6,FALSE),"")</f>
        <v/>
      </c>
      <c r="T1197" t="str">
        <f ca="1">IF(Tab_Calculs[[#This Row],[Combustible ]]="Electricité (kWh)",Tab_Calculs[[#This Row],[Conso_mois_kWh]]*2.3,Tab_Calculs[[#This Row],[Conso_mois_kWh]])</f>
        <v/>
      </c>
      <c r="U1197" t="str">
        <f ca="1">IFERROR(N1197*VLOOKUP(Tab_Calculs[[#This Row],[Colonne1]],Controle_des_données!$B$7:$H$14,7,FALSE),"")</f>
        <v/>
      </c>
      <c r="V1197">
        <f ca="1">IFERROR(Tab_Calculs[[#This Row],[Cout_mois]]/Tab_Calculs[[#This Row],[Conso_mois_kWh]],0)</f>
        <v>0</v>
      </c>
      <c r="W1197" t="str">
        <f>T(VLOOKUP(Tab_Calculs[[#This Row],[Compteur]],Site!$B$33:$G$40,3,FALSE))</f>
        <v/>
      </c>
      <c r="X1197" t="str">
        <f>T(VLOOKUP(Tab_Calculs[[#This Row],[Compteur]],Site!$B$33:$G$40,4,FALSE))</f>
        <v/>
      </c>
      <c r="Y1197" t="str">
        <f>T(VLOOKUP(Tab_Calculs[[#This Row],[Compteur]],Site!$B$33:$G$40,5,FALSE))</f>
        <v/>
      </c>
      <c r="Z1197" t="str">
        <f>T(VLOOKUP(Tab_Calculs[[#This Row],[Compteur]],Site!$B$33:$G$40,6,FALSE))</f>
        <v/>
      </c>
      <c r="AA1197">
        <f>IFERROR(GETPIVOTDATA("DJU(chauffagiste)",BDD_DJU!$P$13,"annee",Tab_Calculs[[#This Row],[ANNEE]],"mois_numero",Tab_Calculs[[#This Row],[MOIS]]),0)</f>
        <v>409.5</v>
      </c>
    </row>
    <row r="1198" spans="1:27" x14ac:dyDescent="0.25">
      <c r="A1198" s="3">
        <f>DATE(Tab_Calculs[[#This Row],[ANNEE]],Tab_Calculs[[#This Row],[MOIS]],1)</f>
        <v>41306</v>
      </c>
      <c r="B1198" s="3">
        <f>EDATE(Tab_Calculs[[#This Row],[Début mois]],1)-1</f>
        <v>41333</v>
      </c>
      <c r="C1198">
        <v>2</v>
      </c>
      <c r="D1198">
        <v>2013</v>
      </c>
      <c r="E1198" t="s">
        <v>86</v>
      </c>
      <c r="F1198" t="str">
        <f>SUBSTITUTE(Tab_Calculs[[#This Row],[Compteur]]," ","_")</f>
        <v>Compteur_7</v>
      </c>
      <c r="G1198" t="str">
        <f>T(INDEX(Site!$B$33:$G$40, MATCH(Tab_Calculs[[#This Row],[Compteur]], Site!$B$33:$B$40,0),2))</f>
        <v/>
      </c>
      <c r="H1198" s="3">
        <f t="array" aca="1" ref="H1198" ca="1">MIN(IF(INDIRECT(CONCATENATE(Tab_Calculs[[#This Row],[Colonne1]],"!$B$2:$B$243"))&gt;=Calculs_Consos!$A1198,INDIRECT(CONCATENATE(Tab_Calculs[[#This Row],[Colonne1]],"!$B$2:$B$243"))))</f>
        <v>0</v>
      </c>
      <c r="I1198" s="3">
        <f ca="1">INDEX(INDIRECT(CONCATENATE("Tab_",Tab_Calculs[[#This Row],[Colonne1]])),Tab_Calculs[[#This Row],[index_date_livraison]],1)</f>
        <v>0</v>
      </c>
      <c r="J1198">
        <f ca="1">MATCH(Tab_Calculs[[#This Row],[Date_livraison]],INDIRECT(CONCATENATE("Tab_",Tab_Calculs[[#This Row],[Colonne1]],"[Fin de période]")),0)</f>
        <v>1</v>
      </c>
      <c r="K1198" t="e">
        <f ca="1">INDEX(INDIRECT(CONCATENATE("Tab_",Tab_Calculs[[#This Row],[Colonne1]])),Tab_Calculs[[#This Row],[index_date_livraison]]-1,6)*(MAX(Tab_Calculs[[#This Row],[Début periode livraison]],Tab_Calculs[[#This Row],[Début mois]])-Tab_Calculs[[#This Row],[Début mois]])</f>
        <v>#VALUE!</v>
      </c>
      <c r="L1198" s="94">
        <f ca="1">INDEX(INDIRECT(CONCATENATE("Tab_",Tab_Calculs[[#This Row],[Colonne1]])),Tab_Calculs[[#This Row],[index_date_livraison]],6)*(1+MIN(Tab_Calculs[[#This Row],[Date_livraison]],Tab_Calculs[[#This Row],[fin mois]])-MAX(Tab_Calculs[[#This Row],[Début mois]],Tab_Calculs[[#This Row],[Début periode livraison]]))</f>
        <v>0</v>
      </c>
      <c r="M1198" s="94" t="e">
        <f ca="1">INDEX(INDIRECT(CONCATENATE("Tab_",Tab_Calculs[[#This Row],[Colonne1]])),Tab_Calculs[[#This Row],[index_date_livraison]]+1,6)*(Tab_Calculs[[#This Row],[fin mois]]-MIN(Tab_Calculs[[#This Row],[fin mois]],Tab_Calculs[[#This Row],[Date_livraison]]))</f>
        <v>#VALUE!</v>
      </c>
      <c r="N1198" s="231" t="str">
        <f ca="1">IFERROR(Tab_Calculs[[#This Row],[Ratio_jour_après_livr]]+Tab_Calculs[[#This Row],[Ratio_jour_avant_livr]]+Tab_Calculs[[#This Row],[ratio_avant_debut]],"")</f>
        <v/>
      </c>
      <c r="O1198" t="e">
        <f ca="1">INDEX(INDIRECT(CONCATENATE("Tab_",Tab_Calculs[[#This Row],[Colonne1]])),Tab_Calculs[[#This Row],[index_date_livraison]]-1,7)*(MAX(Tab_Calculs[[#This Row],[Début periode livraison]],Tab_Calculs[[#This Row],[Début mois]])-Tab_Calculs[[#This Row],[Début mois]])</f>
        <v>#VALUE!</v>
      </c>
      <c r="P1198">
        <f ca="1">INDEX(INDIRECT(CONCATENATE("Tab_",Tab_Calculs[[#This Row],[Colonne1]])),Tab_Calculs[[#This Row],[index_date_livraison]],7)*(1+MIN(Tab_Calculs[[#This Row],[Date_livraison]],Tab_Calculs[[#This Row],[fin mois]])-MAX(Tab_Calculs[[#This Row],[Début mois]],Tab_Calculs[[#This Row],[Début periode livraison]]))</f>
        <v>0</v>
      </c>
      <c r="Q1198" t="e">
        <f ca="1">INDEX(INDIRECT(CONCATENATE("Tab_",Tab_Calculs[[#This Row],[Colonne1]])),Tab_Calculs[[#This Row],[index_date_livraison]]+1,7)*(Tab_Calculs[[#This Row],[fin mois]]-MIN(Tab_Calculs[[#This Row],[fin mois]],Tab_Calculs[[#This Row],[Date_livraison]]))</f>
        <v>#VALUE!</v>
      </c>
      <c r="R1198" t="e">
        <f ca="1">Tab_Calculs[[#This Row],[Ratio_Cout_après_livr]]+Tab_Calculs[[#This Row],[Ratio_Cout_avant_livr]]+Tab_Calculs[[#This Row],[Ratio_Cout_avant_debut]]</f>
        <v>#VALUE!</v>
      </c>
      <c r="S1198" t="str">
        <f ca="1">IFERROR(N1198*VLOOKUP(Tab_Calculs[[#This Row],[Colonne1]],Controle_des_données!$B$7:$G$14,6,FALSE),"")</f>
        <v/>
      </c>
      <c r="T1198" t="str">
        <f ca="1">IF(Tab_Calculs[[#This Row],[Combustible ]]="Electricité (kWh)",Tab_Calculs[[#This Row],[Conso_mois_kWh]]*2.3,Tab_Calculs[[#This Row],[Conso_mois_kWh]])</f>
        <v/>
      </c>
      <c r="U1198" t="str">
        <f ca="1">IFERROR(N1198*VLOOKUP(Tab_Calculs[[#This Row],[Colonne1]],Controle_des_données!$B$7:$H$14,7,FALSE),"")</f>
        <v/>
      </c>
      <c r="V1198">
        <f ca="1">IFERROR(Tab_Calculs[[#This Row],[Cout_mois]]/Tab_Calculs[[#This Row],[Conso_mois_kWh]],0)</f>
        <v>0</v>
      </c>
      <c r="W1198" t="str">
        <f>T(VLOOKUP(Tab_Calculs[[#This Row],[Compteur]],Site!$B$33:$G$40,3,FALSE))</f>
        <v/>
      </c>
      <c r="X1198" t="str">
        <f>T(VLOOKUP(Tab_Calculs[[#This Row],[Compteur]],Site!$B$33:$G$40,4,FALSE))</f>
        <v/>
      </c>
      <c r="Y1198" t="str">
        <f>T(VLOOKUP(Tab_Calculs[[#This Row],[Compteur]],Site!$B$33:$G$40,5,FALSE))</f>
        <v/>
      </c>
      <c r="Z1198" t="str">
        <f>T(VLOOKUP(Tab_Calculs[[#This Row],[Compteur]],Site!$B$33:$G$40,6,FALSE))</f>
        <v/>
      </c>
      <c r="AA1198">
        <f>IFERROR(GETPIVOTDATA("DJU(chauffagiste)",BDD_DJU!$P$13,"annee",Tab_Calculs[[#This Row],[ANNEE]],"mois_numero",Tab_Calculs[[#This Row],[MOIS]]),0)</f>
        <v>389.8</v>
      </c>
    </row>
    <row r="1199" spans="1:27" x14ac:dyDescent="0.25">
      <c r="A1199" s="3">
        <f>DATE(Tab_Calculs[[#This Row],[ANNEE]],Tab_Calculs[[#This Row],[MOIS]],1)</f>
        <v>41334</v>
      </c>
      <c r="B1199" s="3">
        <f>EDATE(Tab_Calculs[[#This Row],[Début mois]],1)-1</f>
        <v>41364</v>
      </c>
      <c r="C1199">
        <v>3</v>
      </c>
      <c r="D1199">
        <v>2013</v>
      </c>
      <c r="E1199" t="s">
        <v>86</v>
      </c>
      <c r="F1199" t="str">
        <f>SUBSTITUTE(Tab_Calculs[[#This Row],[Compteur]]," ","_")</f>
        <v>Compteur_7</v>
      </c>
      <c r="G1199" t="str">
        <f>T(INDEX(Site!$B$33:$G$40, MATCH(Tab_Calculs[[#This Row],[Compteur]], Site!$B$33:$B$40,0),2))</f>
        <v/>
      </c>
      <c r="H1199" s="3">
        <f t="array" aca="1" ref="H1199" ca="1">MIN(IF(INDIRECT(CONCATENATE(Tab_Calculs[[#This Row],[Colonne1]],"!$B$2:$B$243"))&gt;=Calculs_Consos!$A1199,INDIRECT(CONCATENATE(Tab_Calculs[[#This Row],[Colonne1]],"!$B$2:$B$243"))))</f>
        <v>0</v>
      </c>
      <c r="I1199" s="3">
        <f ca="1">INDEX(INDIRECT(CONCATENATE("Tab_",Tab_Calculs[[#This Row],[Colonne1]])),Tab_Calculs[[#This Row],[index_date_livraison]],1)</f>
        <v>0</v>
      </c>
      <c r="J1199">
        <f ca="1">MATCH(Tab_Calculs[[#This Row],[Date_livraison]],INDIRECT(CONCATENATE("Tab_",Tab_Calculs[[#This Row],[Colonne1]],"[Fin de période]")),0)</f>
        <v>1</v>
      </c>
      <c r="K1199" t="e">
        <f ca="1">INDEX(INDIRECT(CONCATENATE("Tab_",Tab_Calculs[[#This Row],[Colonne1]])),Tab_Calculs[[#This Row],[index_date_livraison]]-1,6)*(MAX(Tab_Calculs[[#This Row],[Début periode livraison]],Tab_Calculs[[#This Row],[Début mois]])-Tab_Calculs[[#This Row],[Début mois]])</f>
        <v>#VALUE!</v>
      </c>
      <c r="L1199" s="94">
        <f ca="1">INDEX(INDIRECT(CONCATENATE("Tab_",Tab_Calculs[[#This Row],[Colonne1]])),Tab_Calculs[[#This Row],[index_date_livraison]],6)*(1+MIN(Tab_Calculs[[#This Row],[Date_livraison]],Tab_Calculs[[#This Row],[fin mois]])-MAX(Tab_Calculs[[#This Row],[Début mois]],Tab_Calculs[[#This Row],[Début periode livraison]]))</f>
        <v>0</v>
      </c>
      <c r="M1199" s="94" t="e">
        <f ca="1">INDEX(INDIRECT(CONCATENATE("Tab_",Tab_Calculs[[#This Row],[Colonne1]])),Tab_Calculs[[#This Row],[index_date_livraison]]+1,6)*(Tab_Calculs[[#This Row],[fin mois]]-MIN(Tab_Calculs[[#This Row],[fin mois]],Tab_Calculs[[#This Row],[Date_livraison]]))</f>
        <v>#VALUE!</v>
      </c>
      <c r="N1199" s="231" t="str">
        <f ca="1">IFERROR(Tab_Calculs[[#This Row],[Ratio_jour_après_livr]]+Tab_Calculs[[#This Row],[Ratio_jour_avant_livr]]+Tab_Calculs[[#This Row],[ratio_avant_debut]],"")</f>
        <v/>
      </c>
      <c r="O1199" t="e">
        <f ca="1">INDEX(INDIRECT(CONCATENATE("Tab_",Tab_Calculs[[#This Row],[Colonne1]])),Tab_Calculs[[#This Row],[index_date_livraison]]-1,7)*(MAX(Tab_Calculs[[#This Row],[Début periode livraison]],Tab_Calculs[[#This Row],[Début mois]])-Tab_Calculs[[#This Row],[Début mois]])</f>
        <v>#VALUE!</v>
      </c>
      <c r="P1199">
        <f ca="1">INDEX(INDIRECT(CONCATENATE("Tab_",Tab_Calculs[[#This Row],[Colonne1]])),Tab_Calculs[[#This Row],[index_date_livraison]],7)*(1+MIN(Tab_Calculs[[#This Row],[Date_livraison]],Tab_Calculs[[#This Row],[fin mois]])-MAX(Tab_Calculs[[#This Row],[Début mois]],Tab_Calculs[[#This Row],[Début periode livraison]]))</f>
        <v>0</v>
      </c>
      <c r="Q1199" t="e">
        <f ca="1">INDEX(INDIRECT(CONCATENATE("Tab_",Tab_Calculs[[#This Row],[Colonne1]])),Tab_Calculs[[#This Row],[index_date_livraison]]+1,7)*(Tab_Calculs[[#This Row],[fin mois]]-MIN(Tab_Calculs[[#This Row],[fin mois]],Tab_Calculs[[#This Row],[Date_livraison]]))</f>
        <v>#VALUE!</v>
      </c>
      <c r="R1199" t="e">
        <f ca="1">Tab_Calculs[[#This Row],[Ratio_Cout_après_livr]]+Tab_Calculs[[#This Row],[Ratio_Cout_avant_livr]]+Tab_Calculs[[#This Row],[Ratio_Cout_avant_debut]]</f>
        <v>#VALUE!</v>
      </c>
      <c r="S1199" t="str">
        <f ca="1">IFERROR(N1199*VLOOKUP(Tab_Calculs[[#This Row],[Colonne1]],Controle_des_données!$B$7:$G$14,6,FALSE),"")</f>
        <v/>
      </c>
      <c r="T1199" t="str">
        <f ca="1">IF(Tab_Calculs[[#This Row],[Combustible ]]="Electricité (kWh)",Tab_Calculs[[#This Row],[Conso_mois_kWh]]*2.3,Tab_Calculs[[#This Row],[Conso_mois_kWh]])</f>
        <v/>
      </c>
      <c r="U1199" t="str">
        <f ca="1">IFERROR(N1199*VLOOKUP(Tab_Calculs[[#This Row],[Colonne1]],Controle_des_données!$B$7:$H$14,7,FALSE),"")</f>
        <v/>
      </c>
      <c r="V1199">
        <f ca="1">IFERROR(Tab_Calculs[[#This Row],[Cout_mois]]/Tab_Calculs[[#This Row],[Conso_mois_kWh]],0)</f>
        <v>0</v>
      </c>
      <c r="W1199" t="str">
        <f>T(VLOOKUP(Tab_Calculs[[#This Row],[Compteur]],Site!$B$33:$G$40,3,FALSE))</f>
        <v/>
      </c>
      <c r="X1199" t="str">
        <f>T(VLOOKUP(Tab_Calculs[[#This Row],[Compteur]],Site!$B$33:$G$40,4,FALSE))</f>
        <v/>
      </c>
      <c r="Y1199" t="str">
        <f>T(VLOOKUP(Tab_Calculs[[#This Row],[Compteur]],Site!$B$33:$G$40,5,FALSE))</f>
        <v/>
      </c>
      <c r="Z1199" t="str">
        <f>T(VLOOKUP(Tab_Calculs[[#This Row],[Compteur]],Site!$B$33:$G$40,6,FALSE))</f>
        <v/>
      </c>
      <c r="AA1199">
        <f>IFERROR(GETPIVOTDATA("DJU(chauffagiste)",BDD_DJU!$P$13,"annee",Tab_Calculs[[#This Row],[ANNEE]],"mois_numero",Tab_Calculs[[#This Row],[MOIS]]),0)</f>
        <v>360.4</v>
      </c>
    </row>
    <row r="1200" spans="1:27" x14ac:dyDescent="0.25">
      <c r="A1200" s="3">
        <f>DATE(Tab_Calculs[[#This Row],[ANNEE]],Tab_Calculs[[#This Row],[MOIS]],1)</f>
        <v>41365</v>
      </c>
      <c r="B1200" s="3">
        <f>EDATE(Tab_Calculs[[#This Row],[Début mois]],1)-1</f>
        <v>41394</v>
      </c>
      <c r="C1200">
        <v>4</v>
      </c>
      <c r="D1200">
        <v>2013</v>
      </c>
      <c r="E1200" t="s">
        <v>86</v>
      </c>
      <c r="F1200" t="str">
        <f>SUBSTITUTE(Tab_Calculs[[#This Row],[Compteur]]," ","_")</f>
        <v>Compteur_7</v>
      </c>
      <c r="G1200" t="str">
        <f>T(INDEX(Site!$B$33:$G$40, MATCH(Tab_Calculs[[#This Row],[Compteur]], Site!$B$33:$B$40,0),2))</f>
        <v/>
      </c>
      <c r="H1200" s="3">
        <f t="array" aca="1" ref="H1200" ca="1">MIN(IF(INDIRECT(CONCATENATE(Tab_Calculs[[#This Row],[Colonne1]],"!$B$2:$B$243"))&gt;=Calculs_Consos!$A1200,INDIRECT(CONCATENATE(Tab_Calculs[[#This Row],[Colonne1]],"!$B$2:$B$243"))))</f>
        <v>0</v>
      </c>
      <c r="I1200" s="3">
        <f ca="1">INDEX(INDIRECT(CONCATENATE("Tab_",Tab_Calculs[[#This Row],[Colonne1]])),Tab_Calculs[[#This Row],[index_date_livraison]],1)</f>
        <v>0</v>
      </c>
      <c r="J1200">
        <f ca="1">MATCH(Tab_Calculs[[#This Row],[Date_livraison]],INDIRECT(CONCATENATE("Tab_",Tab_Calculs[[#This Row],[Colonne1]],"[Fin de période]")),0)</f>
        <v>1</v>
      </c>
      <c r="K1200" t="e">
        <f ca="1">INDEX(INDIRECT(CONCATENATE("Tab_",Tab_Calculs[[#This Row],[Colonne1]])),Tab_Calculs[[#This Row],[index_date_livraison]]-1,6)*(MAX(Tab_Calculs[[#This Row],[Début periode livraison]],Tab_Calculs[[#This Row],[Début mois]])-Tab_Calculs[[#This Row],[Début mois]])</f>
        <v>#VALUE!</v>
      </c>
      <c r="L1200" s="94">
        <f ca="1">INDEX(INDIRECT(CONCATENATE("Tab_",Tab_Calculs[[#This Row],[Colonne1]])),Tab_Calculs[[#This Row],[index_date_livraison]],6)*(1+MIN(Tab_Calculs[[#This Row],[Date_livraison]],Tab_Calculs[[#This Row],[fin mois]])-MAX(Tab_Calculs[[#This Row],[Début mois]],Tab_Calculs[[#This Row],[Début periode livraison]]))</f>
        <v>0</v>
      </c>
      <c r="M1200" s="94" t="e">
        <f ca="1">INDEX(INDIRECT(CONCATENATE("Tab_",Tab_Calculs[[#This Row],[Colonne1]])),Tab_Calculs[[#This Row],[index_date_livraison]]+1,6)*(Tab_Calculs[[#This Row],[fin mois]]-MIN(Tab_Calculs[[#This Row],[fin mois]],Tab_Calculs[[#This Row],[Date_livraison]]))</f>
        <v>#VALUE!</v>
      </c>
      <c r="N1200" s="231" t="str">
        <f ca="1">IFERROR(Tab_Calculs[[#This Row],[Ratio_jour_après_livr]]+Tab_Calculs[[#This Row],[Ratio_jour_avant_livr]]+Tab_Calculs[[#This Row],[ratio_avant_debut]],"")</f>
        <v/>
      </c>
      <c r="O1200" t="e">
        <f ca="1">INDEX(INDIRECT(CONCATENATE("Tab_",Tab_Calculs[[#This Row],[Colonne1]])),Tab_Calculs[[#This Row],[index_date_livraison]]-1,7)*(MAX(Tab_Calculs[[#This Row],[Début periode livraison]],Tab_Calculs[[#This Row],[Début mois]])-Tab_Calculs[[#This Row],[Début mois]])</f>
        <v>#VALUE!</v>
      </c>
      <c r="P1200">
        <f ca="1">INDEX(INDIRECT(CONCATENATE("Tab_",Tab_Calculs[[#This Row],[Colonne1]])),Tab_Calculs[[#This Row],[index_date_livraison]],7)*(1+MIN(Tab_Calculs[[#This Row],[Date_livraison]],Tab_Calculs[[#This Row],[fin mois]])-MAX(Tab_Calculs[[#This Row],[Début mois]],Tab_Calculs[[#This Row],[Début periode livraison]]))</f>
        <v>0</v>
      </c>
      <c r="Q1200" t="e">
        <f ca="1">INDEX(INDIRECT(CONCATENATE("Tab_",Tab_Calculs[[#This Row],[Colonne1]])),Tab_Calculs[[#This Row],[index_date_livraison]]+1,7)*(Tab_Calculs[[#This Row],[fin mois]]-MIN(Tab_Calculs[[#This Row],[fin mois]],Tab_Calculs[[#This Row],[Date_livraison]]))</f>
        <v>#VALUE!</v>
      </c>
      <c r="R1200" t="e">
        <f ca="1">Tab_Calculs[[#This Row],[Ratio_Cout_après_livr]]+Tab_Calculs[[#This Row],[Ratio_Cout_avant_livr]]+Tab_Calculs[[#This Row],[Ratio_Cout_avant_debut]]</f>
        <v>#VALUE!</v>
      </c>
      <c r="S1200" t="str">
        <f ca="1">IFERROR(N1200*VLOOKUP(Tab_Calculs[[#This Row],[Colonne1]],Controle_des_données!$B$7:$G$14,6,FALSE),"")</f>
        <v/>
      </c>
      <c r="T1200" t="str">
        <f ca="1">IF(Tab_Calculs[[#This Row],[Combustible ]]="Electricité (kWh)",Tab_Calculs[[#This Row],[Conso_mois_kWh]]*2.3,Tab_Calculs[[#This Row],[Conso_mois_kWh]])</f>
        <v/>
      </c>
      <c r="U1200" t="str">
        <f ca="1">IFERROR(N1200*VLOOKUP(Tab_Calculs[[#This Row],[Colonne1]],Controle_des_données!$B$7:$H$14,7,FALSE),"")</f>
        <v/>
      </c>
      <c r="V1200">
        <f ca="1">IFERROR(Tab_Calculs[[#This Row],[Cout_mois]]/Tab_Calculs[[#This Row],[Conso_mois_kWh]],0)</f>
        <v>0</v>
      </c>
      <c r="W1200" t="str">
        <f>T(VLOOKUP(Tab_Calculs[[#This Row],[Compteur]],Site!$B$33:$G$40,3,FALSE))</f>
        <v/>
      </c>
      <c r="X1200" t="str">
        <f>T(VLOOKUP(Tab_Calculs[[#This Row],[Compteur]],Site!$B$33:$G$40,4,FALSE))</f>
        <v/>
      </c>
      <c r="Y1200" t="str">
        <f>T(VLOOKUP(Tab_Calculs[[#This Row],[Compteur]],Site!$B$33:$G$40,5,FALSE))</f>
        <v/>
      </c>
      <c r="Z1200" t="str">
        <f>T(VLOOKUP(Tab_Calculs[[#This Row],[Compteur]],Site!$B$33:$G$40,6,FALSE))</f>
        <v/>
      </c>
      <c r="AA1200">
        <f>IFERROR(GETPIVOTDATA("DJU(chauffagiste)",BDD_DJU!$P$13,"annee",Tab_Calculs[[#This Row],[ANNEE]],"mois_numero",Tab_Calculs[[#This Row],[MOIS]]),0)</f>
        <v>247.2</v>
      </c>
    </row>
    <row r="1201" spans="1:27" x14ac:dyDescent="0.25">
      <c r="A1201" s="3">
        <f>DATE(Tab_Calculs[[#This Row],[ANNEE]],Tab_Calculs[[#This Row],[MOIS]],1)</f>
        <v>41395</v>
      </c>
      <c r="B1201" s="3">
        <f>EDATE(Tab_Calculs[[#This Row],[Début mois]],1)-1</f>
        <v>41425</v>
      </c>
      <c r="C1201">
        <v>5</v>
      </c>
      <c r="D1201">
        <v>2013</v>
      </c>
      <c r="E1201" t="s">
        <v>86</v>
      </c>
      <c r="F1201" t="str">
        <f>SUBSTITUTE(Tab_Calculs[[#This Row],[Compteur]]," ","_")</f>
        <v>Compteur_7</v>
      </c>
      <c r="G1201" t="str">
        <f>T(INDEX(Site!$B$33:$G$40, MATCH(Tab_Calculs[[#This Row],[Compteur]], Site!$B$33:$B$40,0),2))</f>
        <v/>
      </c>
      <c r="H1201" s="3">
        <f t="array" aca="1" ref="H1201" ca="1">MIN(IF(INDIRECT(CONCATENATE(Tab_Calculs[[#This Row],[Colonne1]],"!$B$2:$B$243"))&gt;=Calculs_Consos!$A1201,INDIRECT(CONCATENATE(Tab_Calculs[[#This Row],[Colonne1]],"!$B$2:$B$243"))))</f>
        <v>0</v>
      </c>
      <c r="I1201" s="3">
        <f ca="1">INDEX(INDIRECT(CONCATENATE("Tab_",Tab_Calculs[[#This Row],[Colonne1]])),Tab_Calculs[[#This Row],[index_date_livraison]],1)</f>
        <v>0</v>
      </c>
      <c r="J1201">
        <f ca="1">MATCH(Tab_Calculs[[#This Row],[Date_livraison]],INDIRECT(CONCATENATE("Tab_",Tab_Calculs[[#This Row],[Colonne1]],"[Fin de période]")),0)</f>
        <v>1</v>
      </c>
      <c r="K1201" t="e">
        <f ca="1">INDEX(INDIRECT(CONCATENATE("Tab_",Tab_Calculs[[#This Row],[Colonne1]])),Tab_Calculs[[#This Row],[index_date_livraison]]-1,6)*(MAX(Tab_Calculs[[#This Row],[Début periode livraison]],Tab_Calculs[[#This Row],[Début mois]])-Tab_Calculs[[#This Row],[Début mois]])</f>
        <v>#VALUE!</v>
      </c>
      <c r="L1201" s="94">
        <f ca="1">INDEX(INDIRECT(CONCATENATE("Tab_",Tab_Calculs[[#This Row],[Colonne1]])),Tab_Calculs[[#This Row],[index_date_livraison]],6)*(1+MIN(Tab_Calculs[[#This Row],[Date_livraison]],Tab_Calculs[[#This Row],[fin mois]])-MAX(Tab_Calculs[[#This Row],[Début mois]],Tab_Calculs[[#This Row],[Début periode livraison]]))</f>
        <v>0</v>
      </c>
      <c r="M1201" s="94" t="e">
        <f ca="1">INDEX(INDIRECT(CONCATENATE("Tab_",Tab_Calculs[[#This Row],[Colonne1]])),Tab_Calculs[[#This Row],[index_date_livraison]]+1,6)*(Tab_Calculs[[#This Row],[fin mois]]-MIN(Tab_Calculs[[#This Row],[fin mois]],Tab_Calculs[[#This Row],[Date_livraison]]))</f>
        <v>#VALUE!</v>
      </c>
      <c r="N1201" s="231" t="str">
        <f ca="1">IFERROR(Tab_Calculs[[#This Row],[Ratio_jour_après_livr]]+Tab_Calculs[[#This Row],[Ratio_jour_avant_livr]]+Tab_Calculs[[#This Row],[ratio_avant_debut]],"")</f>
        <v/>
      </c>
      <c r="O1201" t="e">
        <f ca="1">INDEX(INDIRECT(CONCATENATE("Tab_",Tab_Calculs[[#This Row],[Colonne1]])),Tab_Calculs[[#This Row],[index_date_livraison]]-1,7)*(MAX(Tab_Calculs[[#This Row],[Début periode livraison]],Tab_Calculs[[#This Row],[Début mois]])-Tab_Calculs[[#This Row],[Début mois]])</f>
        <v>#VALUE!</v>
      </c>
      <c r="P1201">
        <f ca="1">INDEX(INDIRECT(CONCATENATE("Tab_",Tab_Calculs[[#This Row],[Colonne1]])),Tab_Calculs[[#This Row],[index_date_livraison]],7)*(1+MIN(Tab_Calculs[[#This Row],[Date_livraison]],Tab_Calculs[[#This Row],[fin mois]])-MAX(Tab_Calculs[[#This Row],[Début mois]],Tab_Calculs[[#This Row],[Début periode livraison]]))</f>
        <v>0</v>
      </c>
      <c r="Q1201" t="e">
        <f ca="1">INDEX(INDIRECT(CONCATENATE("Tab_",Tab_Calculs[[#This Row],[Colonne1]])),Tab_Calculs[[#This Row],[index_date_livraison]]+1,7)*(Tab_Calculs[[#This Row],[fin mois]]-MIN(Tab_Calculs[[#This Row],[fin mois]],Tab_Calculs[[#This Row],[Date_livraison]]))</f>
        <v>#VALUE!</v>
      </c>
      <c r="R1201" t="e">
        <f ca="1">Tab_Calculs[[#This Row],[Ratio_Cout_après_livr]]+Tab_Calculs[[#This Row],[Ratio_Cout_avant_livr]]+Tab_Calculs[[#This Row],[Ratio_Cout_avant_debut]]</f>
        <v>#VALUE!</v>
      </c>
      <c r="S1201" t="str">
        <f ca="1">IFERROR(N1201*VLOOKUP(Tab_Calculs[[#This Row],[Colonne1]],Controle_des_données!$B$7:$G$14,6,FALSE),"")</f>
        <v/>
      </c>
      <c r="T1201" t="str">
        <f ca="1">IF(Tab_Calculs[[#This Row],[Combustible ]]="Electricité (kWh)",Tab_Calculs[[#This Row],[Conso_mois_kWh]]*2.3,Tab_Calculs[[#This Row],[Conso_mois_kWh]])</f>
        <v/>
      </c>
      <c r="U1201" t="str">
        <f ca="1">IFERROR(N1201*VLOOKUP(Tab_Calculs[[#This Row],[Colonne1]],Controle_des_données!$B$7:$H$14,7,FALSE),"")</f>
        <v/>
      </c>
      <c r="V1201">
        <f ca="1">IFERROR(Tab_Calculs[[#This Row],[Cout_mois]]/Tab_Calculs[[#This Row],[Conso_mois_kWh]],0)</f>
        <v>0</v>
      </c>
      <c r="W1201" t="str">
        <f>T(VLOOKUP(Tab_Calculs[[#This Row],[Compteur]],Site!$B$33:$G$40,3,FALSE))</f>
        <v/>
      </c>
      <c r="X1201" t="str">
        <f>T(VLOOKUP(Tab_Calculs[[#This Row],[Compteur]],Site!$B$33:$G$40,4,FALSE))</f>
        <v/>
      </c>
      <c r="Y1201" t="str">
        <f>T(VLOOKUP(Tab_Calculs[[#This Row],[Compteur]],Site!$B$33:$G$40,5,FALSE))</f>
        <v/>
      </c>
      <c r="Z1201" t="str">
        <f>T(VLOOKUP(Tab_Calculs[[#This Row],[Compteur]],Site!$B$33:$G$40,6,FALSE))</f>
        <v/>
      </c>
      <c r="AA1201">
        <f>IFERROR(GETPIVOTDATA("DJU(chauffagiste)",BDD_DJU!$P$13,"annee",Tab_Calculs[[#This Row],[ANNEE]],"mois_numero",Tab_Calculs[[#This Row],[MOIS]]),0)</f>
        <v>175.2</v>
      </c>
    </row>
    <row r="1202" spans="1:27" x14ac:dyDescent="0.25">
      <c r="A1202" s="3">
        <f>DATE(Tab_Calculs[[#This Row],[ANNEE]],Tab_Calculs[[#This Row],[MOIS]],1)</f>
        <v>41426</v>
      </c>
      <c r="B1202" s="3">
        <f>EDATE(Tab_Calculs[[#This Row],[Début mois]],1)-1</f>
        <v>41455</v>
      </c>
      <c r="C1202">
        <v>6</v>
      </c>
      <c r="D1202">
        <v>2013</v>
      </c>
      <c r="E1202" t="s">
        <v>86</v>
      </c>
      <c r="F1202" t="str">
        <f>SUBSTITUTE(Tab_Calculs[[#This Row],[Compteur]]," ","_")</f>
        <v>Compteur_7</v>
      </c>
      <c r="G1202" t="str">
        <f>T(INDEX(Site!$B$33:$G$40, MATCH(Tab_Calculs[[#This Row],[Compteur]], Site!$B$33:$B$40,0),2))</f>
        <v/>
      </c>
      <c r="H1202" s="3">
        <f t="array" aca="1" ref="H1202" ca="1">MIN(IF(INDIRECT(CONCATENATE(Tab_Calculs[[#This Row],[Colonne1]],"!$B$2:$B$243"))&gt;=Calculs_Consos!$A1202,INDIRECT(CONCATENATE(Tab_Calculs[[#This Row],[Colonne1]],"!$B$2:$B$243"))))</f>
        <v>0</v>
      </c>
      <c r="I1202" s="3">
        <f ca="1">INDEX(INDIRECT(CONCATENATE("Tab_",Tab_Calculs[[#This Row],[Colonne1]])),Tab_Calculs[[#This Row],[index_date_livraison]],1)</f>
        <v>0</v>
      </c>
      <c r="J1202">
        <f ca="1">MATCH(Tab_Calculs[[#This Row],[Date_livraison]],INDIRECT(CONCATENATE("Tab_",Tab_Calculs[[#This Row],[Colonne1]],"[Fin de période]")),0)</f>
        <v>1</v>
      </c>
      <c r="K1202" t="e">
        <f ca="1">INDEX(INDIRECT(CONCATENATE("Tab_",Tab_Calculs[[#This Row],[Colonne1]])),Tab_Calculs[[#This Row],[index_date_livraison]]-1,6)*(MAX(Tab_Calculs[[#This Row],[Début periode livraison]],Tab_Calculs[[#This Row],[Début mois]])-Tab_Calculs[[#This Row],[Début mois]])</f>
        <v>#VALUE!</v>
      </c>
      <c r="L1202" s="94">
        <f ca="1">INDEX(INDIRECT(CONCATENATE("Tab_",Tab_Calculs[[#This Row],[Colonne1]])),Tab_Calculs[[#This Row],[index_date_livraison]],6)*(1+MIN(Tab_Calculs[[#This Row],[Date_livraison]],Tab_Calculs[[#This Row],[fin mois]])-MAX(Tab_Calculs[[#This Row],[Début mois]],Tab_Calculs[[#This Row],[Début periode livraison]]))</f>
        <v>0</v>
      </c>
      <c r="M1202" s="94" t="e">
        <f ca="1">INDEX(INDIRECT(CONCATENATE("Tab_",Tab_Calculs[[#This Row],[Colonne1]])),Tab_Calculs[[#This Row],[index_date_livraison]]+1,6)*(Tab_Calculs[[#This Row],[fin mois]]-MIN(Tab_Calculs[[#This Row],[fin mois]],Tab_Calculs[[#This Row],[Date_livraison]]))</f>
        <v>#VALUE!</v>
      </c>
      <c r="N1202" s="231" t="str">
        <f ca="1">IFERROR(Tab_Calculs[[#This Row],[Ratio_jour_après_livr]]+Tab_Calculs[[#This Row],[Ratio_jour_avant_livr]]+Tab_Calculs[[#This Row],[ratio_avant_debut]],"")</f>
        <v/>
      </c>
      <c r="O1202" t="e">
        <f ca="1">INDEX(INDIRECT(CONCATENATE("Tab_",Tab_Calculs[[#This Row],[Colonne1]])),Tab_Calculs[[#This Row],[index_date_livraison]]-1,7)*(MAX(Tab_Calculs[[#This Row],[Début periode livraison]],Tab_Calculs[[#This Row],[Début mois]])-Tab_Calculs[[#This Row],[Début mois]])</f>
        <v>#VALUE!</v>
      </c>
      <c r="P1202">
        <f ca="1">INDEX(INDIRECT(CONCATENATE("Tab_",Tab_Calculs[[#This Row],[Colonne1]])),Tab_Calculs[[#This Row],[index_date_livraison]],7)*(1+MIN(Tab_Calculs[[#This Row],[Date_livraison]],Tab_Calculs[[#This Row],[fin mois]])-MAX(Tab_Calculs[[#This Row],[Début mois]],Tab_Calculs[[#This Row],[Début periode livraison]]))</f>
        <v>0</v>
      </c>
      <c r="Q1202" t="e">
        <f ca="1">INDEX(INDIRECT(CONCATENATE("Tab_",Tab_Calculs[[#This Row],[Colonne1]])),Tab_Calculs[[#This Row],[index_date_livraison]]+1,7)*(Tab_Calculs[[#This Row],[fin mois]]-MIN(Tab_Calculs[[#This Row],[fin mois]],Tab_Calculs[[#This Row],[Date_livraison]]))</f>
        <v>#VALUE!</v>
      </c>
      <c r="R1202" t="e">
        <f ca="1">Tab_Calculs[[#This Row],[Ratio_Cout_après_livr]]+Tab_Calculs[[#This Row],[Ratio_Cout_avant_livr]]+Tab_Calculs[[#This Row],[Ratio_Cout_avant_debut]]</f>
        <v>#VALUE!</v>
      </c>
      <c r="S1202" t="str">
        <f ca="1">IFERROR(N1202*VLOOKUP(Tab_Calculs[[#This Row],[Colonne1]],Controle_des_données!$B$7:$G$14,6,FALSE),"")</f>
        <v/>
      </c>
      <c r="T1202" t="str">
        <f ca="1">IF(Tab_Calculs[[#This Row],[Combustible ]]="Electricité (kWh)",Tab_Calculs[[#This Row],[Conso_mois_kWh]]*2.3,Tab_Calculs[[#This Row],[Conso_mois_kWh]])</f>
        <v/>
      </c>
      <c r="U1202" t="str">
        <f ca="1">IFERROR(N1202*VLOOKUP(Tab_Calculs[[#This Row],[Colonne1]],Controle_des_données!$B$7:$H$14,7,FALSE),"")</f>
        <v/>
      </c>
      <c r="V1202">
        <f ca="1">IFERROR(Tab_Calculs[[#This Row],[Cout_mois]]/Tab_Calculs[[#This Row],[Conso_mois_kWh]],0)</f>
        <v>0</v>
      </c>
      <c r="W1202" t="str">
        <f>T(VLOOKUP(Tab_Calculs[[#This Row],[Compteur]],Site!$B$33:$G$40,3,FALSE))</f>
        <v/>
      </c>
      <c r="X1202" t="str">
        <f>T(VLOOKUP(Tab_Calculs[[#This Row],[Compteur]],Site!$B$33:$G$40,4,FALSE))</f>
        <v/>
      </c>
      <c r="Y1202" t="str">
        <f>T(VLOOKUP(Tab_Calculs[[#This Row],[Compteur]],Site!$B$33:$G$40,5,FALSE))</f>
        <v/>
      </c>
      <c r="Z1202" t="str">
        <f>T(VLOOKUP(Tab_Calculs[[#This Row],[Compteur]],Site!$B$33:$G$40,6,FALSE))</f>
        <v/>
      </c>
      <c r="AA1202">
        <f>IFERROR(GETPIVOTDATA("DJU(chauffagiste)",BDD_DJU!$P$13,"annee",Tab_Calculs[[#This Row],[ANNEE]],"mois_numero",Tab_Calculs[[#This Row],[MOIS]]),0)</f>
        <v>68</v>
      </c>
    </row>
    <row r="1203" spans="1:27" x14ac:dyDescent="0.25">
      <c r="A1203" s="3">
        <f>DATE(Tab_Calculs[[#This Row],[ANNEE]],Tab_Calculs[[#This Row],[MOIS]],1)</f>
        <v>41456</v>
      </c>
      <c r="B1203" s="3">
        <f>EDATE(Tab_Calculs[[#This Row],[Début mois]],1)-1</f>
        <v>41486</v>
      </c>
      <c r="C1203">
        <v>7</v>
      </c>
      <c r="D1203">
        <v>2013</v>
      </c>
      <c r="E1203" t="s">
        <v>86</v>
      </c>
      <c r="F1203" t="str">
        <f>SUBSTITUTE(Tab_Calculs[[#This Row],[Compteur]]," ","_")</f>
        <v>Compteur_7</v>
      </c>
      <c r="G1203" t="str">
        <f>T(INDEX(Site!$B$33:$G$40, MATCH(Tab_Calculs[[#This Row],[Compteur]], Site!$B$33:$B$40,0),2))</f>
        <v/>
      </c>
      <c r="H1203" s="3">
        <f t="array" aca="1" ref="H1203" ca="1">MIN(IF(INDIRECT(CONCATENATE(Tab_Calculs[[#This Row],[Colonne1]],"!$B$2:$B$243"))&gt;=Calculs_Consos!$A1203,INDIRECT(CONCATENATE(Tab_Calculs[[#This Row],[Colonne1]],"!$B$2:$B$243"))))</f>
        <v>0</v>
      </c>
      <c r="I1203" s="3">
        <f ca="1">INDEX(INDIRECT(CONCATENATE("Tab_",Tab_Calculs[[#This Row],[Colonne1]])),Tab_Calculs[[#This Row],[index_date_livraison]],1)</f>
        <v>0</v>
      </c>
      <c r="J1203">
        <f ca="1">MATCH(Tab_Calculs[[#This Row],[Date_livraison]],INDIRECT(CONCATENATE("Tab_",Tab_Calculs[[#This Row],[Colonne1]],"[Fin de période]")),0)</f>
        <v>1</v>
      </c>
      <c r="K1203" t="e">
        <f ca="1">INDEX(INDIRECT(CONCATENATE("Tab_",Tab_Calculs[[#This Row],[Colonne1]])),Tab_Calculs[[#This Row],[index_date_livraison]]-1,6)*(MAX(Tab_Calculs[[#This Row],[Début periode livraison]],Tab_Calculs[[#This Row],[Début mois]])-Tab_Calculs[[#This Row],[Début mois]])</f>
        <v>#VALUE!</v>
      </c>
      <c r="L1203" s="94">
        <f ca="1">INDEX(INDIRECT(CONCATENATE("Tab_",Tab_Calculs[[#This Row],[Colonne1]])),Tab_Calculs[[#This Row],[index_date_livraison]],6)*(1+MIN(Tab_Calculs[[#This Row],[Date_livraison]],Tab_Calculs[[#This Row],[fin mois]])-MAX(Tab_Calculs[[#This Row],[Début mois]],Tab_Calculs[[#This Row],[Début periode livraison]]))</f>
        <v>0</v>
      </c>
      <c r="M1203" s="94" t="e">
        <f ca="1">INDEX(INDIRECT(CONCATENATE("Tab_",Tab_Calculs[[#This Row],[Colonne1]])),Tab_Calculs[[#This Row],[index_date_livraison]]+1,6)*(Tab_Calculs[[#This Row],[fin mois]]-MIN(Tab_Calculs[[#This Row],[fin mois]],Tab_Calculs[[#This Row],[Date_livraison]]))</f>
        <v>#VALUE!</v>
      </c>
      <c r="N1203" s="231" t="str">
        <f ca="1">IFERROR(Tab_Calculs[[#This Row],[Ratio_jour_après_livr]]+Tab_Calculs[[#This Row],[Ratio_jour_avant_livr]]+Tab_Calculs[[#This Row],[ratio_avant_debut]],"")</f>
        <v/>
      </c>
      <c r="O1203" t="e">
        <f ca="1">INDEX(INDIRECT(CONCATENATE("Tab_",Tab_Calculs[[#This Row],[Colonne1]])),Tab_Calculs[[#This Row],[index_date_livraison]]-1,7)*(MAX(Tab_Calculs[[#This Row],[Début periode livraison]],Tab_Calculs[[#This Row],[Début mois]])-Tab_Calculs[[#This Row],[Début mois]])</f>
        <v>#VALUE!</v>
      </c>
      <c r="P1203">
        <f ca="1">INDEX(INDIRECT(CONCATENATE("Tab_",Tab_Calculs[[#This Row],[Colonne1]])),Tab_Calculs[[#This Row],[index_date_livraison]],7)*(1+MIN(Tab_Calculs[[#This Row],[Date_livraison]],Tab_Calculs[[#This Row],[fin mois]])-MAX(Tab_Calculs[[#This Row],[Début mois]],Tab_Calculs[[#This Row],[Début periode livraison]]))</f>
        <v>0</v>
      </c>
      <c r="Q1203" t="e">
        <f ca="1">INDEX(INDIRECT(CONCATENATE("Tab_",Tab_Calculs[[#This Row],[Colonne1]])),Tab_Calculs[[#This Row],[index_date_livraison]]+1,7)*(Tab_Calculs[[#This Row],[fin mois]]-MIN(Tab_Calculs[[#This Row],[fin mois]],Tab_Calculs[[#This Row],[Date_livraison]]))</f>
        <v>#VALUE!</v>
      </c>
      <c r="R1203" t="e">
        <f ca="1">Tab_Calculs[[#This Row],[Ratio_Cout_après_livr]]+Tab_Calculs[[#This Row],[Ratio_Cout_avant_livr]]+Tab_Calculs[[#This Row],[Ratio_Cout_avant_debut]]</f>
        <v>#VALUE!</v>
      </c>
      <c r="S1203" t="str">
        <f ca="1">IFERROR(N1203*VLOOKUP(Tab_Calculs[[#This Row],[Colonne1]],Controle_des_données!$B$7:$G$14,6,FALSE),"")</f>
        <v/>
      </c>
      <c r="T1203" t="str">
        <f ca="1">IF(Tab_Calculs[[#This Row],[Combustible ]]="Electricité (kWh)",Tab_Calculs[[#This Row],[Conso_mois_kWh]]*2.3,Tab_Calculs[[#This Row],[Conso_mois_kWh]])</f>
        <v/>
      </c>
      <c r="U1203" t="str">
        <f ca="1">IFERROR(N1203*VLOOKUP(Tab_Calculs[[#This Row],[Colonne1]],Controle_des_données!$B$7:$H$14,7,FALSE),"")</f>
        <v/>
      </c>
      <c r="V1203">
        <f ca="1">IFERROR(Tab_Calculs[[#This Row],[Cout_mois]]/Tab_Calculs[[#This Row],[Conso_mois_kWh]],0)</f>
        <v>0</v>
      </c>
      <c r="W1203" t="str">
        <f>T(VLOOKUP(Tab_Calculs[[#This Row],[Compteur]],Site!$B$33:$G$40,3,FALSE))</f>
        <v/>
      </c>
      <c r="X1203" t="str">
        <f>T(VLOOKUP(Tab_Calculs[[#This Row],[Compteur]],Site!$B$33:$G$40,4,FALSE))</f>
        <v/>
      </c>
      <c r="Y1203" t="str">
        <f>T(VLOOKUP(Tab_Calculs[[#This Row],[Compteur]],Site!$B$33:$G$40,5,FALSE))</f>
        <v/>
      </c>
      <c r="Z1203" t="str">
        <f>T(VLOOKUP(Tab_Calculs[[#This Row],[Compteur]],Site!$B$33:$G$40,6,FALSE))</f>
        <v/>
      </c>
      <c r="AA1203">
        <f>IFERROR(GETPIVOTDATA("DJU(chauffagiste)",BDD_DJU!$P$13,"annee",Tab_Calculs[[#This Row],[ANNEE]],"mois_numero",Tab_Calculs[[#This Row],[MOIS]]),0)</f>
        <v>13.3</v>
      </c>
    </row>
    <row r="1204" spans="1:27" x14ac:dyDescent="0.25">
      <c r="A1204" s="3">
        <f>DATE(Tab_Calculs[[#This Row],[ANNEE]],Tab_Calculs[[#This Row],[MOIS]],1)</f>
        <v>41487</v>
      </c>
      <c r="B1204" s="3">
        <f>EDATE(Tab_Calculs[[#This Row],[Début mois]],1)-1</f>
        <v>41517</v>
      </c>
      <c r="C1204">
        <v>8</v>
      </c>
      <c r="D1204">
        <v>2013</v>
      </c>
      <c r="E1204" t="s">
        <v>86</v>
      </c>
      <c r="F1204" t="str">
        <f>SUBSTITUTE(Tab_Calculs[[#This Row],[Compteur]]," ","_")</f>
        <v>Compteur_7</v>
      </c>
      <c r="G1204" t="str">
        <f>T(INDEX(Site!$B$33:$G$40, MATCH(Tab_Calculs[[#This Row],[Compteur]], Site!$B$33:$B$40,0),2))</f>
        <v/>
      </c>
      <c r="H1204" s="3">
        <f t="array" aca="1" ref="H1204" ca="1">MIN(IF(INDIRECT(CONCATENATE(Tab_Calculs[[#This Row],[Colonne1]],"!$B$2:$B$243"))&gt;=Calculs_Consos!$A1204,INDIRECT(CONCATENATE(Tab_Calculs[[#This Row],[Colonne1]],"!$B$2:$B$243"))))</f>
        <v>0</v>
      </c>
      <c r="I1204" s="3">
        <f ca="1">INDEX(INDIRECT(CONCATENATE("Tab_",Tab_Calculs[[#This Row],[Colonne1]])),Tab_Calculs[[#This Row],[index_date_livraison]],1)</f>
        <v>0</v>
      </c>
      <c r="J1204">
        <f ca="1">MATCH(Tab_Calculs[[#This Row],[Date_livraison]],INDIRECT(CONCATENATE("Tab_",Tab_Calculs[[#This Row],[Colonne1]],"[Fin de période]")),0)</f>
        <v>1</v>
      </c>
      <c r="K1204" t="e">
        <f ca="1">INDEX(INDIRECT(CONCATENATE("Tab_",Tab_Calculs[[#This Row],[Colonne1]])),Tab_Calculs[[#This Row],[index_date_livraison]]-1,6)*(MAX(Tab_Calculs[[#This Row],[Début periode livraison]],Tab_Calculs[[#This Row],[Début mois]])-Tab_Calculs[[#This Row],[Début mois]])</f>
        <v>#VALUE!</v>
      </c>
      <c r="L1204" s="94">
        <f ca="1">INDEX(INDIRECT(CONCATENATE("Tab_",Tab_Calculs[[#This Row],[Colonne1]])),Tab_Calculs[[#This Row],[index_date_livraison]],6)*(1+MIN(Tab_Calculs[[#This Row],[Date_livraison]],Tab_Calculs[[#This Row],[fin mois]])-MAX(Tab_Calculs[[#This Row],[Début mois]],Tab_Calculs[[#This Row],[Début periode livraison]]))</f>
        <v>0</v>
      </c>
      <c r="M1204" s="94" t="e">
        <f ca="1">INDEX(INDIRECT(CONCATENATE("Tab_",Tab_Calculs[[#This Row],[Colonne1]])),Tab_Calculs[[#This Row],[index_date_livraison]]+1,6)*(Tab_Calculs[[#This Row],[fin mois]]-MIN(Tab_Calculs[[#This Row],[fin mois]],Tab_Calculs[[#This Row],[Date_livraison]]))</f>
        <v>#VALUE!</v>
      </c>
      <c r="N1204" s="231" t="str">
        <f ca="1">IFERROR(Tab_Calculs[[#This Row],[Ratio_jour_après_livr]]+Tab_Calculs[[#This Row],[Ratio_jour_avant_livr]]+Tab_Calculs[[#This Row],[ratio_avant_debut]],"")</f>
        <v/>
      </c>
      <c r="O1204" t="e">
        <f ca="1">INDEX(INDIRECT(CONCATENATE("Tab_",Tab_Calculs[[#This Row],[Colonne1]])),Tab_Calculs[[#This Row],[index_date_livraison]]-1,7)*(MAX(Tab_Calculs[[#This Row],[Début periode livraison]],Tab_Calculs[[#This Row],[Début mois]])-Tab_Calculs[[#This Row],[Début mois]])</f>
        <v>#VALUE!</v>
      </c>
      <c r="P1204">
        <f ca="1">INDEX(INDIRECT(CONCATENATE("Tab_",Tab_Calculs[[#This Row],[Colonne1]])),Tab_Calculs[[#This Row],[index_date_livraison]],7)*(1+MIN(Tab_Calculs[[#This Row],[Date_livraison]],Tab_Calculs[[#This Row],[fin mois]])-MAX(Tab_Calculs[[#This Row],[Début mois]],Tab_Calculs[[#This Row],[Début periode livraison]]))</f>
        <v>0</v>
      </c>
      <c r="Q1204" t="e">
        <f ca="1">INDEX(INDIRECT(CONCATENATE("Tab_",Tab_Calculs[[#This Row],[Colonne1]])),Tab_Calculs[[#This Row],[index_date_livraison]]+1,7)*(Tab_Calculs[[#This Row],[fin mois]]-MIN(Tab_Calculs[[#This Row],[fin mois]],Tab_Calculs[[#This Row],[Date_livraison]]))</f>
        <v>#VALUE!</v>
      </c>
      <c r="R1204" t="e">
        <f ca="1">Tab_Calculs[[#This Row],[Ratio_Cout_après_livr]]+Tab_Calculs[[#This Row],[Ratio_Cout_avant_livr]]+Tab_Calculs[[#This Row],[Ratio_Cout_avant_debut]]</f>
        <v>#VALUE!</v>
      </c>
      <c r="S1204" t="str">
        <f ca="1">IFERROR(N1204*VLOOKUP(Tab_Calculs[[#This Row],[Colonne1]],Controle_des_données!$B$7:$G$14,6,FALSE),"")</f>
        <v/>
      </c>
      <c r="T1204" t="str">
        <f ca="1">IF(Tab_Calculs[[#This Row],[Combustible ]]="Electricité (kWh)",Tab_Calculs[[#This Row],[Conso_mois_kWh]]*2.3,Tab_Calculs[[#This Row],[Conso_mois_kWh]])</f>
        <v/>
      </c>
      <c r="U1204" t="str">
        <f ca="1">IFERROR(N1204*VLOOKUP(Tab_Calculs[[#This Row],[Colonne1]],Controle_des_données!$B$7:$H$14,7,FALSE),"")</f>
        <v/>
      </c>
      <c r="V1204">
        <f ca="1">IFERROR(Tab_Calculs[[#This Row],[Cout_mois]]/Tab_Calculs[[#This Row],[Conso_mois_kWh]],0)</f>
        <v>0</v>
      </c>
      <c r="W1204" t="str">
        <f>T(VLOOKUP(Tab_Calculs[[#This Row],[Compteur]],Site!$B$33:$G$40,3,FALSE))</f>
        <v/>
      </c>
      <c r="X1204" t="str">
        <f>T(VLOOKUP(Tab_Calculs[[#This Row],[Compteur]],Site!$B$33:$G$40,4,FALSE))</f>
        <v/>
      </c>
      <c r="Y1204" t="str">
        <f>T(VLOOKUP(Tab_Calculs[[#This Row],[Compteur]],Site!$B$33:$G$40,5,FALSE))</f>
        <v/>
      </c>
      <c r="Z1204" t="str">
        <f>T(VLOOKUP(Tab_Calculs[[#This Row],[Compteur]],Site!$B$33:$G$40,6,FALSE))</f>
        <v/>
      </c>
      <c r="AA1204">
        <f>IFERROR(GETPIVOTDATA("DJU(chauffagiste)",BDD_DJU!$P$13,"annee",Tab_Calculs[[#This Row],[ANNEE]],"mois_numero",Tab_Calculs[[#This Row],[MOIS]]),0)</f>
        <v>38.5</v>
      </c>
    </row>
    <row r="1205" spans="1:27" x14ac:dyDescent="0.25">
      <c r="A1205" s="3">
        <f>DATE(Tab_Calculs[[#This Row],[ANNEE]],Tab_Calculs[[#This Row],[MOIS]],1)</f>
        <v>41518</v>
      </c>
      <c r="B1205" s="3">
        <f>EDATE(Tab_Calculs[[#This Row],[Début mois]],1)-1</f>
        <v>41547</v>
      </c>
      <c r="C1205">
        <v>9</v>
      </c>
      <c r="D1205">
        <v>2013</v>
      </c>
      <c r="E1205" t="s">
        <v>86</v>
      </c>
      <c r="F1205" t="str">
        <f>SUBSTITUTE(Tab_Calculs[[#This Row],[Compteur]]," ","_")</f>
        <v>Compteur_7</v>
      </c>
      <c r="G1205" t="str">
        <f>T(INDEX(Site!$B$33:$G$40, MATCH(Tab_Calculs[[#This Row],[Compteur]], Site!$B$33:$B$40,0),2))</f>
        <v/>
      </c>
      <c r="H1205" s="3">
        <f t="array" aca="1" ref="H1205" ca="1">MIN(IF(INDIRECT(CONCATENATE(Tab_Calculs[[#This Row],[Colonne1]],"!$B$2:$B$243"))&gt;=Calculs_Consos!$A1205,INDIRECT(CONCATENATE(Tab_Calculs[[#This Row],[Colonne1]],"!$B$2:$B$243"))))</f>
        <v>0</v>
      </c>
      <c r="I1205" s="3">
        <f ca="1">INDEX(INDIRECT(CONCATENATE("Tab_",Tab_Calculs[[#This Row],[Colonne1]])),Tab_Calculs[[#This Row],[index_date_livraison]],1)</f>
        <v>0</v>
      </c>
      <c r="J1205">
        <f ca="1">MATCH(Tab_Calculs[[#This Row],[Date_livraison]],INDIRECT(CONCATENATE("Tab_",Tab_Calculs[[#This Row],[Colonne1]],"[Fin de période]")),0)</f>
        <v>1</v>
      </c>
      <c r="K1205" t="e">
        <f ca="1">INDEX(INDIRECT(CONCATENATE("Tab_",Tab_Calculs[[#This Row],[Colonne1]])),Tab_Calculs[[#This Row],[index_date_livraison]]-1,6)*(MAX(Tab_Calculs[[#This Row],[Début periode livraison]],Tab_Calculs[[#This Row],[Début mois]])-Tab_Calculs[[#This Row],[Début mois]])</f>
        <v>#VALUE!</v>
      </c>
      <c r="L1205" s="94">
        <f ca="1">INDEX(INDIRECT(CONCATENATE("Tab_",Tab_Calculs[[#This Row],[Colonne1]])),Tab_Calculs[[#This Row],[index_date_livraison]],6)*(1+MIN(Tab_Calculs[[#This Row],[Date_livraison]],Tab_Calculs[[#This Row],[fin mois]])-MAX(Tab_Calculs[[#This Row],[Début mois]],Tab_Calculs[[#This Row],[Début periode livraison]]))</f>
        <v>0</v>
      </c>
      <c r="M1205" s="94" t="e">
        <f ca="1">INDEX(INDIRECT(CONCATENATE("Tab_",Tab_Calculs[[#This Row],[Colonne1]])),Tab_Calculs[[#This Row],[index_date_livraison]]+1,6)*(Tab_Calculs[[#This Row],[fin mois]]-MIN(Tab_Calculs[[#This Row],[fin mois]],Tab_Calculs[[#This Row],[Date_livraison]]))</f>
        <v>#VALUE!</v>
      </c>
      <c r="N1205" s="231" t="str">
        <f ca="1">IFERROR(Tab_Calculs[[#This Row],[Ratio_jour_après_livr]]+Tab_Calculs[[#This Row],[Ratio_jour_avant_livr]]+Tab_Calculs[[#This Row],[ratio_avant_debut]],"")</f>
        <v/>
      </c>
      <c r="O1205" t="e">
        <f ca="1">INDEX(INDIRECT(CONCATENATE("Tab_",Tab_Calculs[[#This Row],[Colonne1]])),Tab_Calculs[[#This Row],[index_date_livraison]]-1,7)*(MAX(Tab_Calculs[[#This Row],[Début periode livraison]],Tab_Calculs[[#This Row],[Début mois]])-Tab_Calculs[[#This Row],[Début mois]])</f>
        <v>#VALUE!</v>
      </c>
      <c r="P1205">
        <f ca="1">INDEX(INDIRECT(CONCATENATE("Tab_",Tab_Calculs[[#This Row],[Colonne1]])),Tab_Calculs[[#This Row],[index_date_livraison]],7)*(1+MIN(Tab_Calculs[[#This Row],[Date_livraison]],Tab_Calculs[[#This Row],[fin mois]])-MAX(Tab_Calculs[[#This Row],[Début mois]],Tab_Calculs[[#This Row],[Début periode livraison]]))</f>
        <v>0</v>
      </c>
      <c r="Q1205" t="e">
        <f ca="1">INDEX(INDIRECT(CONCATENATE("Tab_",Tab_Calculs[[#This Row],[Colonne1]])),Tab_Calculs[[#This Row],[index_date_livraison]]+1,7)*(Tab_Calculs[[#This Row],[fin mois]]-MIN(Tab_Calculs[[#This Row],[fin mois]],Tab_Calculs[[#This Row],[Date_livraison]]))</f>
        <v>#VALUE!</v>
      </c>
      <c r="R1205" t="e">
        <f ca="1">Tab_Calculs[[#This Row],[Ratio_Cout_après_livr]]+Tab_Calculs[[#This Row],[Ratio_Cout_avant_livr]]+Tab_Calculs[[#This Row],[Ratio_Cout_avant_debut]]</f>
        <v>#VALUE!</v>
      </c>
      <c r="S1205" t="str">
        <f ca="1">IFERROR(N1205*VLOOKUP(Tab_Calculs[[#This Row],[Colonne1]],Controle_des_données!$B$7:$G$14,6,FALSE),"")</f>
        <v/>
      </c>
      <c r="T1205" t="str">
        <f ca="1">IF(Tab_Calculs[[#This Row],[Combustible ]]="Electricité (kWh)",Tab_Calculs[[#This Row],[Conso_mois_kWh]]*2.3,Tab_Calculs[[#This Row],[Conso_mois_kWh]])</f>
        <v/>
      </c>
      <c r="U1205" t="str">
        <f ca="1">IFERROR(N1205*VLOOKUP(Tab_Calculs[[#This Row],[Colonne1]],Controle_des_données!$B$7:$H$14,7,FALSE),"")</f>
        <v/>
      </c>
      <c r="V1205">
        <f ca="1">IFERROR(Tab_Calculs[[#This Row],[Cout_mois]]/Tab_Calculs[[#This Row],[Conso_mois_kWh]],0)</f>
        <v>0</v>
      </c>
      <c r="W1205" t="str">
        <f>T(VLOOKUP(Tab_Calculs[[#This Row],[Compteur]],Site!$B$33:$G$40,3,FALSE))</f>
        <v/>
      </c>
      <c r="X1205" t="str">
        <f>T(VLOOKUP(Tab_Calculs[[#This Row],[Compteur]],Site!$B$33:$G$40,4,FALSE))</f>
        <v/>
      </c>
      <c r="Y1205" t="str">
        <f>T(VLOOKUP(Tab_Calculs[[#This Row],[Compteur]],Site!$B$33:$G$40,5,FALSE))</f>
        <v/>
      </c>
      <c r="Z1205" t="str">
        <f>T(VLOOKUP(Tab_Calculs[[#This Row],[Compteur]],Site!$B$33:$G$40,6,FALSE))</f>
        <v/>
      </c>
      <c r="AA1205">
        <f>IFERROR(GETPIVOTDATA("DJU(chauffagiste)",BDD_DJU!$P$13,"annee",Tab_Calculs[[#This Row],[ANNEE]],"mois_numero",Tab_Calculs[[#This Row],[MOIS]]),0)</f>
        <v>69.2</v>
      </c>
    </row>
    <row r="1206" spans="1:27" x14ac:dyDescent="0.25">
      <c r="A1206" s="3">
        <f>DATE(Tab_Calculs[[#This Row],[ANNEE]],Tab_Calculs[[#This Row],[MOIS]],1)</f>
        <v>41548</v>
      </c>
      <c r="B1206" s="3">
        <f>EDATE(Tab_Calculs[[#This Row],[Début mois]],1)-1</f>
        <v>41578</v>
      </c>
      <c r="C1206">
        <v>10</v>
      </c>
      <c r="D1206">
        <v>2013</v>
      </c>
      <c r="E1206" t="s">
        <v>86</v>
      </c>
      <c r="F1206" t="str">
        <f>SUBSTITUTE(Tab_Calculs[[#This Row],[Compteur]]," ","_")</f>
        <v>Compteur_7</v>
      </c>
      <c r="G1206" t="str">
        <f>T(INDEX(Site!$B$33:$G$40, MATCH(Tab_Calculs[[#This Row],[Compteur]], Site!$B$33:$B$40,0),2))</f>
        <v/>
      </c>
      <c r="H1206" s="3">
        <f t="array" aca="1" ref="H1206" ca="1">MIN(IF(INDIRECT(CONCATENATE(Tab_Calculs[[#This Row],[Colonne1]],"!$B$2:$B$243"))&gt;=Calculs_Consos!$A1206,INDIRECT(CONCATENATE(Tab_Calculs[[#This Row],[Colonne1]],"!$B$2:$B$243"))))</f>
        <v>0</v>
      </c>
      <c r="I1206" s="3">
        <f ca="1">INDEX(INDIRECT(CONCATENATE("Tab_",Tab_Calculs[[#This Row],[Colonne1]])),Tab_Calculs[[#This Row],[index_date_livraison]],1)</f>
        <v>0</v>
      </c>
      <c r="J1206">
        <f ca="1">MATCH(Tab_Calculs[[#This Row],[Date_livraison]],INDIRECT(CONCATENATE("Tab_",Tab_Calculs[[#This Row],[Colonne1]],"[Fin de période]")),0)</f>
        <v>1</v>
      </c>
      <c r="K1206" t="e">
        <f ca="1">INDEX(INDIRECT(CONCATENATE("Tab_",Tab_Calculs[[#This Row],[Colonne1]])),Tab_Calculs[[#This Row],[index_date_livraison]]-1,6)*(MAX(Tab_Calculs[[#This Row],[Début periode livraison]],Tab_Calculs[[#This Row],[Début mois]])-Tab_Calculs[[#This Row],[Début mois]])</f>
        <v>#VALUE!</v>
      </c>
      <c r="L1206" s="94">
        <f ca="1">INDEX(INDIRECT(CONCATENATE("Tab_",Tab_Calculs[[#This Row],[Colonne1]])),Tab_Calculs[[#This Row],[index_date_livraison]],6)*(1+MIN(Tab_Calculs[[#This Row],[Date_livraison]],Tab_Calculs[[#This Row],[fin mois]])-MAX(Tab_Calculs[[#This Row],[Début mois]],Tab_Calculs[[#This Row],[Début periode livraison]]))</f>
        <v>0</v>
      </c>
      <c r="M1206" s="94" t="e">
        <f ca="1">INDEX(INDIRECT(CONCATENATE("Tab_",Tab_Calculs[[#This Row],[Colonne1]])),Tab_Calculs[[#This Row],[index_date_livraison]]+1,6)*(Tab_Calculs[[#This Row],[fin mois]]-MIN(Tab_Calculs[[#This Row],[fin mois]],Tab_Calculs[[#This Row],[Date_livraison]]))</f>
        <v>#VALUE!</v>
      </c>
      <c r="N1206" s="231" t="str">
        <f ca="1">IFERROR(Tab_Calculs[[#This Row],[Ratio_jour_après_livr]]+Tab_Calculs[[#This Row],[Ratio_jour_avant_livr]]+Tab_Calculs[[#This Row],[ratio_avant_debut]],"")</f>
        <v/>
      </c>
      <c r="O1206" t="e">
        <f ca="1">INDEX(INDIRECT(CONCATENATE("Tab_",Tab_Calculs[[#This Row],[Colonne1]])),Tab_Calculs[[#This Row],[index_date_livraison]]-1,7)*(MAX(Tab_Calculs[[#This Row],[Début periode livraison]],Tab_Calculs[[#This Row],[Début mois]])-Tab_Calculs[[#This Row],[Début mois]])</f>
        <v>#VALUE!</v>
      </c>
      <c r="P1206">
        <f ca="1">INDEX(INDIRECT(CONCATENATE("Tab_",Tab_Calculs[[#This Row],[Colonne1]])),Tab_Calculs[[#This Row],[index_date_livraison]],7)*(1+MIN(Tab_Calculs[[#This Row],[Date_livraison]],Tab_Calculs[[#This Row],[fin mois]])-MAX(Tab_Calculs[[#This Row],[Début mois]],Tab_Calculs[[#This Row],[Début periode livraison]]))</f>
        <v>0</v>
      </c>
      <c r="Q1206" t="e">
        <f ca="1">INDEX(INDIRECT(CONCATENATE("Tab_",Tab_Calculs[[#This Row],[Colonne1]])),Tab_Calculs[[#This Row],[index_date_livraison]]+1,7)*(Tab_Calculs[[#This Row],[fin mois]]-MIN(Tab_Calculs[[#This Row],[fin mois]],Tab_Calculs[[#This Row],[Date_livraison]]))</f>
        <v>#VALUE!</v>
      </c>
      <c r="R1206" t="e">
        <f ca="1">Tab_Calculs[[#This Row],[Ratio_Cout_après_livr]]+Tab_Calculs[[#This Row],[Ratio_Cout_avant_livr]]+Tab_Calculs[[#This Row],[Ratio_Cout_avant_debut]]</f>
        <v>#VALUE!</v>
      </c>
      <c r="S1206" t="str">
        <f ca="1">IFERROR(N1206*VLOOKUP(Tab_Calculs[[#This Row],[Colonne1]],Controle_des_données!$B$7:$G$14,6,FALSE),"")</f>
        <v/>
      </c>
      <c r="T1206" t="str">
        <f ca="1">IF(Tab_Calculs[[#This Row],[Combustible ]]="Electricité (kWh)",Tab_Calculs[[#This Row],[Conso_mois_kWh]]*2.3,Tab_Calculs[[#This Row],[Conso_mois_kWh]])</f>
        <v/>
      </c>
      <c r="U1206" t="str">
        <f ca="1">IFERROR(N1206*VLOOKUP(Tab_Calculs[[#This Row],[Colonne1]],Controle_des_données!$B$7:$H$14,7,FALSE),"")</f>
        <v/>
      </c>
      <c r="V1206">
        <f ca="1">IFERROR(Tab_Calculs[[#This Row],[Cout_mois]]/Tab_Calculs[[#This Row],[Conso_mois_kWh]],0)</f>
        <v>0</v>
      </c>
      <c r="W1206" t="str">
        <f>T(VLOOKUP(Tab_Calculs[[#This Row],[Compteur]],Site!$B$33:$G$40,3,FALSE))</f>
        <v/>
      </c>
      <c r="X1206" t="str">
        <f>T(VLOOKUP(Tab_Calculs[[#This Row],[Compteur]],Site!$B$33:$G$40,4,FALSE))</f>
        <v/>
      </c>
      <c r="Y1206" t="str">
        <f>T(VLOOKUP(Tab_Calculs[[#This Row],[Compteur]],Site!$B$33:$G$40,5,FALSE))</f>
        <v/>
      </c>
      <c r="Z1206" t="str">
        <f>T(VLOOKUP(Tab_Calculs[[#This Row],[Compteur]],Site!$B$33:$G$40,6,FALSE))</f>
        <v/>
      </c>
      <c r="AA1206">
        <f>IFERROR(GETPIVOTDATA("DJU(chauffagiste)",BDD_DJU!$P$13,"annee",Tab_Calculs[[#This Row],[ANNEE]],"mois_numero",Tab_Calculs[[#This Row],[MOIS]]),0)</f>
        <v>122.6</v>
      </c>
    </row>
    <row r="1207" spans="1:27" x14ac:dyDescent="0.25">
      <c r="A1207" s="3">
        <f>DATE(Tab_Calculs[[#This Row],[ANNEE]],Tab_Calculs[[#This Row],[MOIS]],1)</f>
        <v>41579</v>
      </c>
      <c r="B1207" s="3">
        <f>EDATE(Tab_Calculs[[#This Row],[Début mois]],1)-1</f>
        <v>41608</v>
      </c>
      <c r="C1207">
        <v>11</v>
      </c>
      <c r="D1207">
        <v>2013</v>
      </c>
      <c r="E1207" t="s">
        <v>86</v>
      </c>
      <c r="F1207" t="str">
        <f>SUBSTITUTE(Tab_Calculs[[#This Row],[Compteur]]," ","_")</f>
        <v>Compteur_7</v>
      </c>
      <c r="G1207" t="str">
        <f>T(INDEX(Site!$B$33:$G$40, MATCH(Tab_Calculs[[#This Row],[Compteur]], Site!$B$33:$B$40,0),2))</f>
        <v/>
      </c>
      <c r="H1207" s="3">
        <f t="array" aca="1" ref="H1207" ca="1">MIN(IF(INDIRECT(CONCATENATE(Tab_Calculs[[#This Row],[Colonne1]],"!$B$2:$B$243"))&gt;=Calculs_Consos!$A1207,INDIRECT(CONCATENATE(Tab_Calculs[[#This Row],[Colonne1]],"!$B$2:$B$243"))))</f>
        <v>0</v>
      </c>
      <c r="I1207" s="3">
        <f ca="1">INDEX(INDIRECT(CONCATENATE("Tab_",Tab_Calculs[[#This Row],[Colonne1]])),Tab_Calculs[[#This Row],[index_date_livraison]],1)</f>
        <v>0</v>
      </c>
      <c r="J1207">
        <f ca="1">MATCH(Tab_Calculs[[#This Row],[Date_livraison]],INDIRECT(CONCATENATE("Tab_",Tab_Calculs[[#This Row],[Colonne1]],"[Fin de période]")),0)</f>
        <v>1</v>
      </c>
      <c r="K1207" t="e">
        <f ca="1">INDEX(INDIRECT(CONCATENATE("Tab_",Tab_Calculs[[#This Row],[Colonne1]])),Tab_Calculs[[#This Row],[index_date_livraison]]-1,6)*(MAX(Tab_Calculs[[#This Row],[Début periode livraison]],Tab_Calculs[[#This Row],[Début mois]])-Tab_Calculs[[#This Row],[Début mois]])</f>
        <v>#VALUE!</v>
      </c>
      <c r="L1207" s="94">
        <f ca="1">INDEX(INDIRECT(CONCATENATE("Tab_",Tab_Calculs[[#This Row],[Colonne1]])),Tab_Calculs[[#This Row],[index_date_livraison]],6)*(1+MIN(Tab_Calculs[[#This Row],[Date_livraison]],Tab_Calculs[[#This Row],[fin mois]])-MAX(Tab_Calculs[[#This Row],[Début mois]],Tab_Calculs[[#This Row],[Début periode livraison]]))</f>
        <v>0</v>
      </c>
      <c r="M1207" s="94" t="e">
        <f ca="1">INDEX(INDIRECT(CONCATENATE("Tab_",Tab_Calculs[[#This Row],[Colonne1]])),Tab_Calculs[[#This Row],[index_date_livraison]]+1,6)*(Tab_Calculs[[#This Row],[fin mois]]-MIN(Tab_Calculs[[#This Row],[fin mois]],Tab_Calculs[[#This Row],[Date_livraison]]))</f>
        <v>#VALUE!</v>
      </c>
      <c r="N1207" s="231" t="str">
        <f ca="1">IFERROR(Tab_Calculs[[#This Row],[Ratio_jour_après_livr]]+Tab_Calculs[[#This Row],[Ratio_jour_avant_livr]]+Tab_Calculs[[#This Row],[ratio_avant_debut]],"")</f>
        <v/>
      </c>
      <c r="O1207" t="e">
        <f ca="1">INDEX(INDIRECT(CONCATENATE("Tab_",Tab_Calculs[[#This Row],[Colonne1]])),Tab_Calculs[[#This Row],[index_date_livraison]]-1,7)*(MAX(Tab_Calculs[[#This Row],[Début periode livraison]],Tab_Calculs[[#This Row],[Début mois]])-Tab_Calculs[[#This Row],[Début mois]])</f>
        <v>#VALUE!</v>
      </c>
      <c r="P1207">
        <f ca="1">INDEX(INDIRECT(CONCATENATE("Tab_",Tab_Calculs[[#This Row],[Colonne1]])),Tab_Calculs[[#This Row],[index_date_livraison]],7)*(1+MIN(Tab_Calculs[[#This Row],[Date_livraison]],Tab_Calculs[[#This Row],[fin mois]])-MAX(Tab_Calculs[[#This Row],[Début mois]],Tab_Calculs[[#This Row],[Début periode livraison]]))</f>
        <v>0</v>
      </c>
      <c r="Q1207" t="e">
        <f ca="1">INDEX(INDIRECT(CONCATENATE("Tab_",Tab_Calculs[[#This Row],[Colonne1]])),Tab_Calculs[[#This Row],[index_date_livraison]]+1,7)*(Tab_Calculs[[#This Row],[fin mois]]-MIN(Tab_Calculs[[#This Row],[fin mois]],Tab_Calculs[[#This Row],[Date_livraison]]))</f>
        <v>#VALUE!</v>
      </c>
      <c r="R1207" t="e">
        <f ca="1">Tab_Calculs[[#This Row],[Ratio_Cout_après_livr]]+Tab_Calculs[[#This Row],[Ratio_Cout_avant_livr]]+Tab_Calculs[[#This Row],[Ratio_Cout_avant_debut]]</f>
        <v>#VALUE!</v>
      </c>
      <c r="S1207" t="str">
        <f ca="1">IFERROR(N1207*VLOOKUP(Tab_Calculs[[#This Row],[Colonne1]],Controle_des_données!$B$7:$G$14,6,FALSE),"")</f>
        <v/>
      </c>
      <c r="T1207" t="str">
        <f ca="1">IF(Tab_Calculs[[#This Row],[Combustible ]]="Electricité (kWh)",Tab_Calculs[[#This Row],[Conso_mois_kWh]]*2.3,Tab_Calculs[[#This Row],[Conso_mois_kWh]])</f>
        <v/>
      </c>
      <c r="U1207" t="str">
        <f ca="1">IFERROR(N1207*VLOOKUP(Tab_Calculs[[#This Row],[Colonne1]],Controle_des_données!$B$7:$H$14,7,FALSE),"")</f>
        <v/>
      </c>
      <c r="V1207">
        <f ca="1">IFERROR(Tab_Calculs[[#This Row],[Cout_mois]]/Tab_Calculs[[#This Row],[Conso_mois_kWh]],0)</f>
        <v>0</v>
      </c>
      <c r="W1207" t="str">
        <f>T(VLOOKUP(Tab_Calculs[[#This Row],[Compteur]],Site!$B$33:$G$40,3,FALSE))</f>
        <v/>
      </c>
      <c r="X1207" t="str">
        <f>T(VLOOKUP(Tab_Calculs[[#This Row],[Compteur]],Site!$B$33:$G$40,4,FALSE))</f>
        <v/>
      </c>
      <c r="Y1207" t="str">
        <f>T(VLOOKUP(Tab_Calculs[[#This Row],[Compteur]],Site!$B$33:$G$40,5,FALSE))</f>
        <v/>
      </c>
      <c r="Z1207" t="str">
        <f>T(VLOOKUP(Tab_Calculs[[#This Row],[Compteur]],Site!$B$33:$G$40,6,FALSE))</f>
        <v/>
      </c>
      <c r="AA1207">
        <f>IFERROR(GETPIVOTDATA("DJU(chauffagiste)",BDD_DJU!$P$13,"annee",Tab_Calculs[[#This Row],[ANNEE]],"mois_numero",Tab_Calculs[[#This Row],[MOIS]]),0)</f>
        <v>311.10000000000002</v>
      </c>
    </row>
    <row r="1208" spans="1:27" x14ac:dyDescent="0.25">
      <c r="A1208" s="3">
        <f>DATE(Tab_Calculs[[#This Row],[ANNEE]],Tab_Calculs[[#This Row],[MOIS]],1)</f>
        <v>41609</v>
      </c>
      <c r="B1208" s="3">
        <f>EDATE(Tab_Calculs[[#This Row],[Début mois]],1)-1</f>
        <v>41639</v>
      </c>
      <c r="C1208">
        <v>12</v>
      </c>
      <c r="D1208">
        <v>2013</v>
      </c>
      <c r="E1208" t="s">
        <v>86</v>
      </c>
      <c r="F1208" t="str">
        <f>SUBSTITUTE(Tab_Calculs[[#This Row],[Compteur]]," ","_")</f>
        <v>Compteur_7</v>
      </c>
      <c r="G1208" t="str">
        <f>T(INDEX(Site!$B$33:$G$40, MATCH(Tab_Calculs[[#This Row],[Compteur]], Site!$B$33:$B$40,0),2))</f>
        <v/>
      </c>
      <c r="H1208" s="3">
        <f t="array" aca="1" ref="H1208" ca="1">MIN(IF(INDIRECT(CONCATENATE(Tab_Calculs[[#This Row],[Colonne1]],"!$B$2:$B$243"))&gt;=Calculs_Consos!$A1208,INDIRECT(CONCATENATE(Tab_Calculs[[#This Row],[Colonne1]],"!$B$2:$B$243"))))</f>
        <v>0</v>
      </c>
      <c r="I1208" s="3">
        <f ca="1">INDEX(INDIRECT(CONCATENATE("Tab_",Tab_Calculs[[#This Row],[Colonne1]])),Tab_Calculs[[#This Row],[index_date_livraison]],1)</f>
        <v>0</v>
      </c>
      <c r="J1208">
        <f ca="1">MATCH(Tab_Calculs[[#This Row],[Date_livraison]],INDIRECT(CONCATENATE("Tab_",Tab_Calculs[[#This Row],[Colonne1]],"[Fin de période]")),0)</f>
        <v>1</v>
      </c>
      <c r="K1208" t="e">
        <f ca="1">INDEX(INDIRECT(CONCATENATE("Tab_",Tab_Calculs[[#This Row],[Colonne1]])),Tab_Calculs[[#This Row],[index_date_livraison]]-1,6)*(MAX(Tab_Calculs[[#This Row],[Début periode livraison]],Tab_Calculs[[#This Row],[Début mois]])-Tab_Calculs[[#This Row],[Début mois]])</f>
        <v>#VALUE!</v>
      </c>
      <c r="L1208" s="94">
        <f ca="1">INDEX(INDIRECT(CONCATENATE("Tab_",Tab_Calculs[[#This Row],[Colonne1]])),Tab_Calculs[[#This Row],[index_date_livraison]],6)*(1+MIN(Tab_Calculs[[#This Row],[Date_livraison]],Tab_Calculs[[#This Row],[fin mois]])-MAX(Tab_Calculs[[#This Row],[Début mois]],Tab_Calculs[[#This Row],[Début periode livraison]]))</f>
        <v>0</v>
      </c>
      <c r="M1208" s="94" t="e">
        <f ca="1">INDEX(INDIRECT(CONCATENATE("Tab_",Tab_Calculs[[#This Row],[Colonne1]])),Tab_Calculs[[#This Row],[index_date_livraison]]+1,6)*(Tab_Calculs[[#This Row],[fin mois]]-MIN(Tab_Calculs[[#This Row],[fin mois]],Tab_Calculs[[#This Row],[Date_livraison]]))</f>
        <v>#VALUE!</v>
      </c>
      <c r="N1208" s="231" t="str">
        <f ca="1">IFERROR(Tab_Calculs[[#This Row],[Ratio_jour_après_livr]]+Tab_Calculs[[#This Row],[Ratio_jour_avant_livr]]+Tab_Calculs[[#This Row],[ratio_avant_debut]],"")</f>
        <v/>
      </c>
      <c r="O1208" t="e">
        <f ca="1">INDEX(INDIRECT(CONCATENATE("Tab_",Tab_Calculs[[#This Row],[Colonne1]])),Tab_Calculs[[#This Row],[index_date_livraison]]-1,7)*(MAX(Tab_Calculs[[#This Row],[Début periode livraison]],Tab_Calculs[[#This Row],[Début mois]])-Tab_Calculs[[#This Row],[Début mois]])</f>
        <v>#VALUE!</v>
      </c>
      <c r="P1208">
        <f ca="1">INDEX(INDIRECT(CONCATENATE("Tab_",Tab_Calculs[[#This Row],[Colonne1]])),Tab_Calculs[[#This Row],[index_date_livraison]],7)*(1+MIN(Tab_Calculs[[#This Row],[Date_livraison]],Tab_Calculs[[#This Row],[fin mois]])-MAX(Tab_Calculs[[#This Row],[Début mois]],Tab_Calculs[[#This Row],[Début periode livraison]]))</f>
        <v>0</v>
      </c>
      <c r="Q1208" t="e">
        <f ca="1">INDEX(INDIRECT(CONCATENATE("Tab_",Tab_Calculs[[#This Row],[Colonne1]])),Tab_Calculs[[#This Row],[index_date_livraison]]+1,7)*(Tab_Calculs[[#This Row],[fin mois]]-MIN(Tab_Calculs[[#This Row],[fin mois]],Tab_Calculs[[#This Row],[Date_livraison]]))</f>
        <v>#VALUE!</v>
      </c>
      <c r="R1208" t="e">
        <f ca="1">Tab_Calculs[[#This Row],[Ratio_Cout_après_livr]]+Tab_Calculs[[#This Row],[Ratio_Cout_avant_livr]]+Tab_Calculs[[#This Row],[Ratio_Cout_avant_debut]]</f>
        <v>#VALUE!</v>
      </c>
      <c r="S1208" t="str">
        <f ca="1">IFERROR(N1208*VLOOKUP(Tab_Calculs[[#This Row],[Colonne1]],Controle_des_données!$B$7:$G$14,6,FALSE),"")</f>
        <v/>
      </c>
      <c r="T1208" t="str">
        <f ca="1">IF(Tab_Calculs[[#This Row],[Combustible ]]="Electricité (kWh)",Tab_Calculs[[#This Row],[Conso_mois_kWh]]*2.3,Tab_Calculs[[#This Row],[Conso_mois_kWh]])</f>
        <v/>
      </c>
      <c r="U1208" t="str">
        <f ca="1">IFERROR(N1208*VLOOKUP(Tab_Calculs[[#This Row],[Colonne1]],Controle_des_données!$B$7:$H$14,7,FALSE),"")</f>
        <v/>
      </c>
      <c r="V1208">
        <f ca="1">IFERROR(Tab_Calculs[[#This Row],[Cout_mois]]/Tab_Calculs[[#This Row],[Conso_mois_kWh]],0)</f>
        <v>0</v>
      </c>
      <c r="W1208" t="str">
        <f>T(VLOOKUP(Tab_Calculs[[#This Row],[Compteur]],Site!$B$33:$G$40,3,FALSE))</f>
        <v/>
      </c>
      <c r="X1208" t="str">
        <f>T(VLOOKUP(Tab_Calculs[[#This Row],[Compteur]],Site!$B$33:$G$40,4,FALSE))</f>
        <v/>
      </c>
      <c r="Y1208" t="str">
        <f>T(VLOOKUP(Tab_Calculs[[#This Row],[Compteur]],Site!$B$33:$G$40,5,FALSE))</f>
        <v/>
      </c>
      <c r="Z1208" t="str">
        <f>T(VLOOKUP(Tab_Calculs[[#This Row],[Compteur]],Site!$B$33:$G$40,6,FALSE))</f>
        <v/>
      </c>
      <c r="AA1208">
        <f>IFERROR(GETPIVOTDATA("DJU(chauffagiste)",BDD_DJU!$P$13,"annee",Tab_Calculs[[#This Row],[ANNEE]],"mois_numero",Tab_Calculs[[#This Row],[MOIS]]),0)</f>
        <v>380.4</v>
      </c>
    </row>
    <row r="1209" spans="1:27" x14ac:dyDescent="0.25">
      <c r="A1209" s="3">
        <f>DATE(Tab_Calculs[[#This Row],[ANNEE]],Tab_Calculs[[#This Row],[MOIS]],1)</f>
        <v>41640</v>
      </c>
      <c r="B1209" s="3">
        <f>EDATE(Tab_Calculs[[#This Row],[Début mois]],1)-1</f>
        <v>41670</v>
      </c>
      <c r="C1209">
        <v>1</v>
      </c>
      <c r="D1209">
        <v>2014</v>
      </c>
      <c r="E1209" t="s">
        <v>86</v>
      </c>
      <c r="F1209" t="str">
        <f>SUBSTITUTE(Tab_Calculs[[#This Row],[Compteur]]," ","_")</f>
        <v>Compteur_7</v>
      </c>
      <c r="G1209" t="str">
        <f>T(INDEX(Site!$B$33:$G$40, MATCH(Tab_Calculs[[#This Row],[Compteur]], Site!$B$33:$B$40,0),2))</f>
        <v/>
      </c>
      <c r="H1209" s="3">
        <f t="array" aca="1" ref="H1209" ca="1">MIN(IF(INDIRECT(CONCATENATE(Tab_Calculs[[#This Row],[Colonne1]],"!$B$2:$B$243"))&gt;=Calculs_Consos!$A1209,INDIRECT(CONCATENATE(Tab_Calculs[[#This Row],[Colonne1]],"!$B$2:$B$243"))))</f>
        <v>0</v>
      </c>
      <c r="I1209" s="3">
        <f ca="1">INDEX(INDIRECT(CONCATENATE("Tab_",Tab_Calculs[[#This Row],[Colonne1]])),Tab_Calculs[[#This Row],[index_date_livraison]],1)</f>
        <v>0</v>
      </c>
      <c r="J1209">
        <f ca="1">MATCH(Tab_Calculs[[#This Row],[Date_livraison]],INDIRECT(CONCATENATE("Tab_",Tab_Calculs[[#This Row],[Colonne1]],"[Fin de période]")),0)</f>
        <v>1</v>
      </c>
      <c r="K1209" t="e">
        <f ca="1">INDEX(INDIRECT(CONCATENATE("Tab_",Tab_Calculs[[#This Row],[Colonne1]])),Tab_Calculs[[#This Row],[index_date_livraison]]-1,6)*(MAX(Tab_Calculs[[#This Row],[Début periode livraison]],Tab_Calculs[[#This Row],[Début mois]])-Tab_Calculs[[#This Row],[Début mois]])</f>
        <v>#VALUE!</v>
      </c>
      <c r="L1209" s="94">
        <f ca="1">INDEX(INDIRECT(CONCATENATE("Tab_",Tab_Calculs[[#This Row],[Colonne1]])),Tab_Calculs[[#This Row],[index_date_livraison]],6)*(1+MIN(Tab_Calculs[[#This Row],[Date_livraison]],Tab_Calculs[[#This Row],[fin mois]])-MAX(Tab_Calculs[[#This Row],[Début mois]],Tab_Calculs[[#This Row],[Début periode livraison]]))</f>
        <v>0</v>
      </c>
      <c r="M1209" s="94" t="e">
        <f ca="1">INDEX(INDIRECT(CONCATENATE("Tab_",Tab_Calculs[[#This Row],[Colonne1]])),Tab_Calculs[[#This Row],[index_date_livraison]]+1,6)*(Tab_Calculs[[#This Row],[fin mois]]-MIN(Tab_Calculs[[#This Row],[fin mois]],Tab_Calculs[[#This Row],[Date_livraison]]))</f>
        <v>#VALUE!</v>
      </c>
      <c r="N1209" s="231" t="str">
        <f ca="1">IFERROR(Tab_Calculs[[#This Row],[Ratio_jour_après_livr]]+Tab_Calculs[[#This Row],[Ratio_jour_avant_livr]]+Tab_Calculs[[#This Row],[ratio_avant_debut]],"")</f>
        <v/>
      </c>
      <c r="O1209" t="e">
        <f ca="1">INDEX(INDIRECT(CONCATENATE("Tab_",Tab_Calculs[[#This Row],[Colonne1]])),Tab_Calculs[[#This Row],[index_date_livraison]]-1,7)*(MAX(Tab_Calculs[[#This Row],[Début periode livraison]],Tab_Calculs[[#This Row],[Début mois]])-Tab_Calculs[[#This Row],[Début mois]])</f>
        <v>#VALUE!</v>
      </c>
      <c r="P1209">
        <f ca="1">INDEX(INDIRECT(CONCATENATE("Tab_",Tab_Calculs[[#This Row],[Colonne1]])),Tab_Calculs[[#This Row],[index_date_livraison]],7)*(1+MIN(Tab_Calculs[[#This Row],[Date_livraison]],Tab_Calculs[[#This Row],[fin mois]])-MAX(Tab_Calculs[[#This Row],[Début mois]],Tab_Calculs[[#This Row],[Début periode livraison]]))</f>
        <v>0</v>
      </c>
      <c r="Q1209" t="e">
        <f ca="1">INDEX(INDIRECT(CONCATENATE("Tab_",Tab_Calculs[[#This Row],[Colonne1]])),Tab_Calculs[[#This Row],[index_date_livraison]]+1,7)*(Tab_Calculs[[#This Row],[fin mois]]-MIN(Tab_Calculs[[#This Row],[fin mois]],Tab_Calculs[[#This Row],[Date_livraison]]))</f>
        <v>#VALUE!</v>
      </c>
      <c r="R1209" t="e">
        <f ca="1">Tab_Calculs[[#This Row],[Ratio_Cout_après_livr]]+Tab_Calculs[[#This Row],[Ratio_Cout_avant_livr]]+Tab_Calculs[[#This Row],[Ratio_Cout_avant_debut]]</f>
        <v>#VALUE!</v>
      </c>
      <c r="S1209" t="str">
        <f ca="1">IFERROR(N1209*VLOOKUP(Tab_Calculs[[#This Row],[Colonne1]],Controle_des_données!$B$7:$G$14,6,FALSE),"")</f>
        <v/>
      </c>
      <c r="T1209" t="str">
        <f ca="1">IF(Tab_Calculs[[#This Row],[Combustible ]]="Electricité (kWh)",Tab_Calculs[[#This Row],[Conso_mois_kWh]]*2.3,Tab_Calculs[[#This Row],[Conso_mois_kWh]])</f>
        <v/>
      </c>
      <c r="U1209" t="str">
        <f ca="1">IFERROR(N1209*VLOOKUP(Tab_Calculs[[#This Row],[Colonne1]],Controle_des_données!$B$7:$H$14,7,FALSE),"")</f>
        <v/>
      </c>
      <c r="V1209">
        <f ca="1">IFERROR(Tab_Calculs[[#This Row],[Cout_mois]]/Tab_Calculs[[#This Row],[Conso_mois_kWh]],0)</f>
        <v>0</v>
      </c>
      <c r="W1209" t="str">
        <f>T(VLOOKUP(Tab_Calculs[[#This Row],[Compteur]],Site!$B$33:$G$40,3,FALSE))</f>
        <v/>
      </c>
      <c r="X1209" t="str">
        <f>T(VLOOKUP(Tab_Calculs[[#This Row],[Compteur]],Site!$B$33:$G$40,4,FALSE))</f>
        <v/>
      </c>
      <c r="Y1209" t="str">
        <f>T(VLOOKUP(Tab_Calculs[[#This Row],[Compteur]],Site!$B$33:$G$40,5,FALSE))</f>
        <v/>
      </c>
      <c r="Z1209" t="str">
        <f>T(VLOOKUP(Tab_Calculs[[#This Row],[Compteur]],Site!$B$33:$G$40,6,FALSE))</f>
        <v/>
      </c>
      <c r="AA1209">
        <f>IFERROR(GETPIVOTDATA("DJU(chauffagiste)",BDD_DJU!$P$13,"annee",Tab_Calculs[[#This Row],[ANNEE]],"mois_numero",Tab_Calculs[[#This Row],[MOIS]]),0)</f>
        <v>320.5</v>
      </c>
    </row>
    <row r="1210" spans="1:27" x14ac:dyDescent="0.25">
      <c r="A1210" s="3">
        <f>DATE(Tab_Calculs[[#This Row],[ANNEE]],Tab_Calculs[[#This Row],[MOIS]],1)</f>
        <v>41671</v>
      </c>
      <c r="B1210" s="3">
        <f>EDATE(Tab_Calculs[[#This Row],[Début mois]],1)-1</f>
        <v>41698</v>
      </c>
      <c r="C1210">
        <v>2</v>
      </c>
      <c r="D1210">
        <v>2014</v>
      </c>
      <c r="E1210" t="s">
        <v>86</v>
      </c>
      <c r="F1210" t="str">
        <f>SUBSTITUTE(Tab_Calculs[[#This Row],[Compteur]]," ","_")</f>
        <v>Compteur_7</v>
      </c>
      <c r="G1210" t="str">
        <f>T(INDEX(Site!$B$33:$G$40, MATCH(Tab_Calculs[[#This Row],[Compteur]], Site!$B$33:$B$40,0),2))</f>
        <v/>
      </c>
      <c r="H1210" s="3">
        <f t="array" aca="1" ref="H1210" ca="1">MIN(IF(INDIRECT(CONCATENATE(Tab_Calculs[[#This Row],[Colonne1]],"!$B$2:$B$243"))&gt;=Calculs_Consos!$A1210,INDIRECT(CONCATENATE(Tab_Calculs[[#This Row],[Colonne1]],"!$B$2:$B$243"))))</f>
        <v>0</v>
      </c>
      <c r="I1210" s="3">
        <f ca="1">INDEX(INDIRECT(CONCATENATE("Tab_",Tab_Calculs[[#This Row],[Colonne1]])),Tab_Calculs[[#This Row],[index_date_livraison]],1)</f>
        <v>0</v>
      </c>
      <c r="J1210">
        <f ca="1">MATCH(Tab_Calculs[[#This Row],[Date_livraison]],INDIRECT(CONCATENATE("Tab_",Tab_Calculs[[#This Row],[Colonne1]],"[Fin de période]")),0)</f>
        <v>1</v>
      </c>
      <c r="K1210" t="e">
        <f ca="1">INDEX(INDIRECT(CONCATENATE("Tab_",Tab_Calculs[[#This Row],[Colonne1]])),Tab_Calculs[[#This Row],[index_date_livraison]]-1,6)*(MAX(Tab_Calculs[[#This Row],[Début periode livraison]],Tab_Calculs[[#This Row],[Début mois]])-Tab_Calculs[[#This Row],[Début mois]])</f>
        <v>#VALUE!</v>
      </c>
      <c r="L1210" s="94">
        <f ca="1">INDEX(INDIRECT(CONCATENATE("Tab_",Tab_Calculs[[#This Row],[Colonne1]])),Tab_Calculs[[#This Row],[index_date_livraison]],6)*(1+MIN(Tab_Calculs[[#This Row],[Date_livraison]],Tab_Calculs[[#This Row],[fin mois]])-MAX(Tab_Calculs[[#This Row],[Début mois]],Tab_Calculs[[#This Row],[Début periode livraison]]))</f>
        <v>0</v>
      </c>
      <c r="M1210" s="94" t="e">
        <f ca="1">INDEX(INDIRECT(CONCATENATE("Tab_",Tab_Calculs[[#This Row],[Colonne1]])),Tab_Calculs[[#This Row],[index_date_livraison]]+1,6)*(Tab_Calculs[[#This Row],[fin mois]]-MIN(Tab_Calculs[[#This Row],[fin mois]],Tab_Calculs[[#This Row],[Date_livraison]]))</f>
        <v>#VALUE!</v>
      </c>
      <c r="N1210" s="231" t="str">
        <f ca="1">IFERROR(Tab_Calculs[[#This Row],[Ratio_jour_après_livr]]+Tab_Calculs[[#This Row],[Ratio_jour_avant_livr]]+Tab_Calculs[[#This Row],[ratio_avant_debut]],"")</f>
        <v/>
      </c>
      <c r="O1210" t="e">
        <f ca="1">INDEX(INDIRECT(CONCATENATE("Tab_",Tab_Calculs[[#This Row],[Colonne1]])),Tab_Calculs[[#This Row],[index_date_livraison]]-1,7)*(MAX(Tab_Calculs[[#This Row],[Début periode livraison]],Tab_Calculs[[#This Row],[Début mois]])-Tab_Calculs[[#This Row],[Début mois]])</f>
        <v>#VALUE!</v>
      </c>
      <c r="P1210">
        <f ca="1">INDEX(INDIRECT(CONCATENATE("Tab_",Tab_Calculs[[#This Row],[Colonne1]])),Tab_Calculs[[#This Row],[index_date_livraison]],7)*(1+MIN(Tab_Calculs[[#This Row],[Date_livraison]],Tab_Calculs[[#This Row],[fin mois]])-MAX(Tab_Calculs[[#This Row],[Début mois]],Tab_Calculs[[#This Row],[Début periode livraison]]))</f>
        <v>0</v>
      </c>
      <c r="Q1210" t="e">
        <f ca="1">INDEX(INDIRECT(CONCATENATE("Tab_",Tab_Calculs[[#This Row],[Colonne1]])),Tab_Calculs[[#This Row],[index_date_livraison]]+1,7)*(Tab_Calculs[[#This Row],[fin mois]]-MIN(Tab_Calculs[[#This Row],[fin mois]],Tab_Calculs[[#This Row],[Date_livraison]]))</f>
        <v>#VALUE!</v>
      </c>
      <c r="R1210" t="e">
        <f ca="1">Tab_Calculs[[#This Row],[Ratio_Cout_après_livr]]+Tab_Calculs[[#This Row],[Ratio_Cout_avant_livr]]+Tab_Calculs[[#This Row],[Ratio_Cout_avant_debut]]</f>
        <v>#VALUE!</v>
      </c>
      <c r="S1210" t="str">
        <f ca="1">IFERROR(N1210*VLOOKUP(Tab_Calculs[[#This Row],[Colonne1]],Controle_des_données!$B$7:$G$14,6,FALSE),"")</f>
        <v/>
      </c>
      <c r="T1210" t="str">
        <f ca="1">IF(Tab_Calculs[[#This Row],[Combustible ]]="Electricité (kWh)",Tab_Calculs[[#This Row],[Conso_mois_kWh]]*2.3,Tab_Calculs[[#This Row],[Conso_mois_kWh]])</f>
        <v/>
      </c>
      <c r="U1210" t="str">
        <f ca="1">IFERROR(N1210*VLOOKUP(Tab_Calculs[[#This Row],[Colonne1]],Controle_des_données!$B$7:$H$14,7,FALSE),"")</f>
        <v/>
      </c>
      <c r="V1210">
        <f ca="1">IFERROR(Tab_Calculs[[#This Row],[Cout_mois]]/Tab_Calculs[[#This Row],[Conso_mois_kWh]],0)</f>
        <v>0</v>
      </c>
      <c r="W1210" t="str">
        <f>T(VLOOKUP(Tab_Calculs[[#This Row],[Compteur]],Site!$B$33:$G$40,3,FALSE))</f>
        <v/>
      </c>
      <c r="X1210" t="str">
        <f>T(VLOOKUP(Tab_Calculs[[#This Row],[Compteur]],Site!$B$33:$G$40,4,FALSE))</f>
        <v/>
      </c>
      <c r="Y1210" t="str">
        <f>T(VLOOKUP(Tab_Calculs[[#This Row],[Compteur]],Site!$B$33:$G$40,5,FALSE))</f>
        <v/>
      </c>
      <c r="Z1210" t="str">
        <f>T(VLOOKUP(Tab_Calculs[[#This Row],[Compteur]],Site!$B$33:$G$40,6,FALSE))</f>
        <v/>
      </c>
      <c r="AA1210">
        <f>IFERROR(GETPIVOTDATA("DJU(chauffagiste)",BDD_DJU!$P$13,"annee",Tab_Calculs[[#This Row],[ANNEE]],"mois_numero",Tab_Calculs[[#This Row],[MOIS]]),0)</f>
        <v>281.3</v>
      </c>
    </row>
    <row r="1211" spans="1:27" x14ac:dyDescent="0.25">
      <c r="A1211" s="3">
        <f>DATE(Tab_Calculs[[#This Row],[ANNEE]],Tab_Calculs[[#This Row],[MOIS]],1)</f>
        <v>41699</v>
      </c>
      <c r="B1211" s="3">
        <f>EDATE(Tab_Calculs[[#This Row],[Début mois]],1)-1</f>
        <v>41729</v>
      </c>
      <c r="C1211">
        <v>3</v>
      </c>
      <c r="D1211">
        <v>2014</v>
      </c>
      <c r="E1211" t="s">
        <v>86</v>
      </c>
      <c r="F1211" t="str">
        <f>SUBSTITUTE(Tab_Calculs[[#This Row],[Compteur]]," ","_")</f>
        <v>Compteur_7</v>
      </c>
      <c r="G1211" t="str">
        <f>T(INDEX(Site!$B$33:$G$40, MATCH(Tab_Calculs[[#This Row],[Compteur]], Site!$B$33:$B$40,0),2))</f>
        <v/>
      </c>
      <c r="H1211" s="3">
        <f t="array" aca="1" ref="H1211" ca="1">MIN(IF(INDIRECT(CONCATENATE(Tab_Calculs[[#This Row],[Colonne1]],"!$B$2:$B$243"))&gt;=Calculs_Consos!$A1211,INDIRECT(CONCATENATE(Tab_Calculs[[#This Row],[Colonne1]],"!$B$2:$B$243"))))</f>
        <v>0</v>
      </c>
      <c r="I1211" s="3">
        <f ca="1">INDEX(INDIRECT(CONCATENATE("Tab_",Tab_Calculs[[#This Row],[Colonne1]])),Tab_Calculs[[#This Row],[index_date_livraison]],1)</f>
        <v>0</v>
      </c>
      <c r="J1211">
        <f ca="1">MATCH(Tab_Calculs[[#This Row],[Date_livraison]],INDIRECT(CONCATENATE("Tab_",Tab_Calculs[[#This Row],[Colonne1]],"[Fin de période]")),0)</f>
        <v>1</v>
      </c>
      <c r="K1211" t="e">
        <f ca="1">INDEX(INDIRECT(CONCATENATE("Tab_",Tab_Calculs[[#This Row],[Colonne1]])),Tab_Calculs[[#This Row],[index_date_livraison]]-1,6)*(MAX(Tab_Calculs[[#This Row],[Début periode livraison]],Tab_Calculs[[#This Row],[Début mois]])-Tab_Calculs[[#This Row],[Début mois]])</f>
        <v>#VALUE!</v>
      </c>
      <c r="L1211" s="94">
        <f ca="1">INDEX(INDIRECT(CONCATENATE("Tab_",Tab_Calculs[[#This Row],[Colonne1]])),Tab_Calculs[[#This Row],[index_date_livraison]],6)*(1+MIN(Tab_Calculs[[#This Row],[Date_livraison]],Tab_Calculs[[#This Row],[fin mois]])-MAX(Tab_Calculs[[#This Row],[Début mois]],Tab_Calculs[[#This Row],[Début periode livraison]]))</f>
        <v>0</v>
      </c>
      <c r="M1211" s="94" t="e">
        <f ca="1">INDEX(INDIRECT(CONCATENATE("Tab_",Tab_Calculs[[#This Row],[Colonne1]])),Tab_Calculs[[#This Row],[index_date_livraison]]+1,6)*(Tab_Calculs[[#This Row],[fin mois]]-MIN(Tab_Calculs[[#This Row],[fin mois]],Tab_Calculs[[#This Row],[Date_livraison]]))</f>
        <v>#VALUE!</v>
      </c>
      <c r="N1211" s="231" t="str">
        <f ca="1">IFERROR(Tab_Calculs[[#This Row],[Ratio_jour_après_livr]]+Tab_Calculs[[#This Row],[Ratio_jour_avant_livr]]+Tab_Calculs[[#This Row],[ratio_avant_debut]],"")</f>
        <v/>
      </c>
      <c r="O1211" t="e">
        <f ca="1">INDEX(INDIRECT(CONCATENATE("Tab_",Tab_Calculs[[#This Row],[Colonne1]])),Tab_Calculs[[#This Row],[index_date_livraison]]-1,7)*(MAX(Tab_Calculs[[#This Row],[Début periode livraison]],Tab_Calculs[[#This Row],[Début mois]])-Tab_Calculs[[#This Row],[Début mois]])</f>
        <v>#VALUE!</v>
      </c>
      <c r="P1211">
        <f ca="1">INDEX(INDIRECT(CONCATENATE("Tab_",Tab_Calculs[[#This Row],[Colonne1]])),Tab_Calculs[[#This Row],[index_date_livraison]],7)*(1+MIN(Tab_Calculs[[#This Row],[Date_livraison]],Tab_Calculs[[#This Row],[fin mois]])-MAX(Tab_Calculs[[#This Row],[Début mois]],Tab_Calculs[[#This Row],[Début periode livraison]]))</f>
        <v>0</v>
      </c>
      <c r="Q1211" t="e">
        <f ca="1">INDEX(INDIRECT(CONCATENATE("Tab_",Tab_Calculs[[#This Row],[Colonne1]])),Tab_Calculs[[#This Row],[index_date_livraison]]+1,7)*(Tab_Calculs[[#This Row],[fin mois]]-MIN(Tab_Calculs[[#This Row],[fin mois]],Tab_Calculs[[#This Row],[Date_livraison]]))</f>
        <v>#VALUE!</v>
      </c>
      <c r="R1211" t="e">
        <f ca="1">Tab_Calculs[[#This Row],[Ratio_Cout_après_livr]]+Tab_Calculs[[#This Row],[Ratio_Cout_avant_livr]]+Tab_Calculs[[#This Row],[Ratio_Cout_avant_debut]]</f>
        <v>#VALUE!</v>
      </c>
      <c r="S1211" t="str">
        <f ca="1">IFERROR(N1211*VLOOKUP(Tab_Calculs[[#This Row],[Colonne1]],Controle_des_données!$B$7:$G$14,6,FALSE),"")</f>
        <v/>
      </c>
      <c r="T1211" t="str">
        <f ca="1">IF(Tab_Calculs[[#This Row],[Combustible ]]="Electricité (kWh)",Tab_Calculs[[#This Row],[Conso_mois_kWh]]*2.3,Tab_Calculs[[#This Row],[Conso_mois_kWh]])</f>
        <v/>
      </c>
      <c r="U1211" t="str">
        <f ca="1">IFERROR(N1211*VLOOKUP(Tab_Calculs[[#This Row],[Colonne1]],Controle_des_données!$B$7:$H$14,7,FALSE),"")</f>
        <v/>
      </c>
      <c r="V1211">
        <f ca="1">IFERROR(Tab_Calculs[[#This Row],[Cout_mois]]/Tab_Calculs[[#This Row],[Conso_mois_kWh]],0)</f>
        <v>0</v>
      </c>
      <c r="W1211" t="str">
        <f>T(VLOOKUP(Tab_Calculs[[#This Row],[Compteur]],Site!$B$33:$G$40,3,FALSE))</f>
        <v/>
      </c>
      <c r="X1211" t="str">
        <f>T(VLOOKUP(Tab_Calculs[[#This Row],[Compteur]],Site!$B$33:$G$40,4,FALSE))</f>
        <v/>
      </c>
      <c r="Y1211" t="str">
        <f>T(VLOOKUP(Tab_Calculs[[#This Row],[Compteur]],Site!$B$33:$G$40,5,FALSE))</f>
        <v/>
      </c>
      <c r="Z1211" t="str">
        <f>T(VLOOKUP(Tab_Calculs[[#This Row],[Compteur]],Site!$B$33:$G$40,6,FALSE))</f>
        <v/>
      </c>
      <c r="AA1211">
        <f>IFERROR(GETPIVOTDATA("DJU(chauffagiste)",BDD_DJU!$P$13,"annee",Tab_Calculs[[#This Row],[ANNEE]],"mois_numero",Tab_Calculs[[#This Row],[MOIS]]),0)</f>
        <v>263.89999999999998</v>
      </c>
    </row>
    <row r="1212" spans="1:27" x14ac:dyDescent="0.25">
      <c r="A1212" s="3">
        <f>DATE(Tab_Calculs[[#This Row],[ANNEE]],Tab_Calculs[[#This Row],[MOIS]],1)</f>
        <v>41730</v>
      </c>
      <c r="B1212" s="3">
        <f>EDATE(Tab_Calculs[[#This Row],[Début mois]],1)-1</f>
        <v>41759</v>
      </c>
      <c r="C1212">
        <v>4</v>
      </c>
      <c r="D1212">
        <v>2014</v>
      </c>
      <c r="E1212" t="s">
        <v>86</v>
      </c>
      <c r="F1212" t="str">
        <f>SUBSTITUTE(Tab_Calculs[[#This Row],[Compteur]]," ","_")</f>
        <v>Compteur_7</v>
      </c>
      <c r="G1212" t="str">
        <f>T(INDEX(Site!$B$33:$G$40, MATCH(Tab_Calculs[[#This Row],[Compteur]], Site!$B$33:$B$40,0),2))</f>
        <v/>
      </c>
      <c r="H1212" s="3">
        <f t="array" aca="1" ref="H1212" ca="1">MIN(IF(INDIRECT(CONCATENATE(Tab_Calculs[[#This Row],[Colonne1]],"!$B$2:$B$243"))&gt;=Calculs_Consos!$A1212,INDIRECT(CONCATENATE(Tab_Calculs[[#This Row],[Colonne1]],"!$B$2:$B$243"))))</f>
        <v>0</v>
      </c>
      <c r="I1212" s="3">
        <f ca="1">INDEX(INDIRECT(CONCATENATE("Tab_",Tab_Calculs[[#This Row],[Colonne1]])),Tab_Calculs[[#This Row],[index_date_livraison]],1)</f>
        <v>0</v>
      </c>
      <c r="J1212">
        <f ca="1">MATCH(Tab_Calculs[[#This Row],[Date_livraison]],INDIRECT(CONCATENATE("Tab_",Tab_Calculs[[#This Row],[Colonne1]],"[Fin de période]")),0)</f>
        <v>1</v>
      </c>
      <c r="K1212" t="e">
        <f ca="1">INDEX(INDIRECT(CONCATENATE("Tab_",Tab_Calculs[[#This Row],[Colonne1]])),Tab_Calculs[[#This Row],[index_date_livraison]]-1,6)*(MAX(Tab_Calculs[[#This Row],[Début periode livraison]],Tab_Calculs[[#This Row],[Début mois]])-Tab_Calculs[[#This Row],[Début mois]])</f>
        <v>#VALUE!</v>
      </c>
      <c r="L1212" s="94">
        <f ca="1">INDEX(INDIRECT(CONCATENATE("Tab_",Tab_Calculs[[#This Row],[Colonne1]])),Tab_Calculs[[#This Row],[index_date_livraison]],6)*(1+MIN(Tab_Calculs[[#This Row],[Date_livraison]],Tab_Calculs[[#This Row],[fin mois]])-MAX(Tab_Calculs[[#This Row],[Début mois]],Tab_Calculs[[#This Row],[Début periode livraison]]))</f>
        <v>0</v>
      </c>
      <c r="M1212" s="94" t="e">
        <f ca="1">INDEX(INDIRECT(CONCATENATE("Tab_",Tab_Calculs[[#This Row],[Colonne1]])),Tab_Calculs[[#This Row],[index_date_livraison]]+1,6)*(Tab_Calculs[[#This Row],[fin mois]]-MIN(Tab_Calculs[[#This Row],[fin mois]],Tab_Calculs[[#This Row],[Date_livraison]]))</f>
        <v>#VALUE!</v>
      </c>
      <c r="N1212" s="231" t="str">
        <f ca="1">IFERROR(Tab_Calculs[[#This Row],[Ratio_jour_après_livr]]+Tab_Calculs[[#This Row],[Ratio_jour_avant_livr]]+Tab_Calculs[[#This Row],[ratio_avant_debut]],"")</f>
        <v/>
      </c>
      <c r="O1212" t="e">
        <f ca="1">INDEX(INDIRECT(CONCATENATE("Tab_",Tab_Calculs[[#This Row],[Colonne1]])),Tab_Calculs[[#This Row],[index_date_livraison]]-1,7)*(MAX(Tab_Calculs[[#This Row],[Début periode livraison]],Tab_Calculs[[#This Row],[Début mois]])-Tab_Calculs[[#This Row],[Début mois]])</f>
        <v>#VALUE!</v>
      </c>
      <c r="P1212">
        <f ca="1">INDEX(INDIRECT(CONCATENATE("Tab_",Tab_Calculs[[#This Row],[Colonne1]])),Tab_Calculs[[#This Row],[index_date_livraison]],7)*(1+MIN(Tab_Calculs[[#This Row],[Date_livraison]],Tab_Calculs[[#This Row],[fin mois]])-MAX(Tab_Calculs[[#This Row],[Début mois]],Tab_Calculs[[#This Row],[Début periode livraison]]))</f>
        <v>0</v>
      </c>
      <c r="Q1212" t="e">
        <f ca="1">INDEX(INDIRECT(CONCATENATE("Tab_",Tab_Calculs[[#This Row],[Colonne1]])),Tab_Calculs[[#This Row],[index_date_livraison]]+1,7)*(Tab_Calculs[[#This Row],[fin mois]]-MIN(Tab_Calculs[[#This Row],[fin mois]],Tab_Calculs[[#This Row],[Date_livraison]]))</f>
        <v>#VALUE!</v>
      </c>
      <c r="R1212" t="e">
        <f ca="1">Tab_Calculs[[#This Row],[Ratio_Cout_après_livr]]+Tab_Calculs[[#This Row],[Ratio_Cout_avant_livr]]+Tab_Calculs[[#This Row],[Ratio_Cout_avant_debut]]</f>
        <v>#VALUE!</v>
      </c>
      <c r="S1212" t="str">
        <f ca="1">IFERROR(N1212*VLOOKUP(Tab_Calculs[[#This Row],[Colonne1]],Controle_des_données!$B$7:$G$14,6,FALSE),"")</f>
        <v/>
      </c>
      <c r="T1212" t="str">
        <f ca="1">IF(Tab_Calculs[[#This Row],[Combustible ]]="Electricité (kWh)",Tab_Calculs[[#This Row],[Conso_mois_kWh]]*2.3,Tab_Calculs[[#This Row],[Conso_mois_kWh]])</f>
        <v/>
      </c>
      <c r="U1212" t="str">
        <f ca="1">IFERROR(N1212*VLOOKUP(Tab_Calculs[[#This Row],[Colonne1]],Controle_des_données!$B$7:$H$14,7,FALSE),"")</f>
        <v/>
      </c>
      <c r="V1212">
        <f ca="1">IFERROR(Tab_Calculs[[#This Row],[Cout_mois]]/Tab_Calculs[[#This Row],[Conso_mois_kWh]],0)</f>
        <v>0</v>
      </c>
      <c r="W1212" t="str">
        <f>T(VLOOKUP(Tab_Calculs[[#This Row],[Compteur]],Site!$B$33:$G$40,3,FALSE))</f>
        <v/>
      </c>
      <c r="X1212" t="str">
        <f>T(VLOOKUP(Tab_Calculs[[#This Row],[Compteur]],Site!$B$33:$G$40,4,FALSE))</f>
        <v/>
      </c>
      <c r="Y1212" t="str">
        <f>T(VLOOKUP(Tab_Calculs[[#This Row],[Compteur]],Site!$B$33:$G$40,5,FALSE))</f>
        <v/>
      </c>
      <c r="Z1212" t="str">
        <f>T(VLOOKUP(Tab_Calculs[[#This Row],[Compteur]],Site!$B$33:$G$40,6,FALSE))</f>
        <v/>
      </c>
      <c r="AA1212">
        <f>IFERROR(GETPIVOTDATA("DJU(chauffagiste)",BDD_DJU!$P$13,"annee",Tab_Calculs[[#This Row],[ANNEE]],"mois_numero",Tab_Calculs[[#This Row],[MOIS]]),0)</f>
        <v>174.2</v>
      </c>
    </row>
    <row r="1213" spans="1:27" x14ac:dyDescent="0.25">
      <c r="A1213" s="3">
        <f>DATE(Tab_Calculs[[#This Row],[ANNEE]],Tab_Calculs[[#This Row],[MOIS]],1)</f>
        <v>41760</v>
      </c>
      <c r="B1213" s="3">
        <f>EDATE(Tab_Calculs[[#This Row],[Début mois]],1)-1</f>
        <v>41790</v>
      </c>
      <c r="C1213">
        <v>5</v>
      </c>
      <c r="D1213">
        <v>2014</v>
      </c>
      <c r="E1213" t="s">
        <v>86</v>
      </c>
      <c r="F1213" t="str">
        <f>SUBSTITUTE(Tab_Calculs[[#This Row],[Compteur]]," ","_")</f>
        <v>Compteur_7</v>
      </c>
      <c r="G1213" t="str">
        <f>T(INDEX(Site!$B$33:$G$40, MATCH(Tab_Calculs[[#This Row],[Compteur]], Site!$B$33:$B$40,0),2))</f>
        <v/>
      </c>
      <c r="H1213" s="3">
        <f t="array" aca="1" ref="H1213" ca="1">MIN(IF(INDIRECT(CONCATENATE(Tab_Calculs[[#This Row],[Colonne1]],"!$B$2:$B$243"))&gt;=Calculs_Consos!$A1213,INDIRECT(CONCATENATE(Tab_Calculs[[#This Row],[Colonne1]],"!$B$2:$B$243"))))</f>
        <v>0</v>
      </c>
      <c r="I1213" s="3">
        <f ca="1">INDEX(INDIRECT(CONCATENATE("Tab_",Tab_Calculs[[#This Row],[Colonne1]])),Tab_Calculs[[#This Row],[index_date_livraison]],1)</f>
        <v>0</v>
      </c>
      <c r="J1213">
        <f ca="1">MATCH(Tab_Calculs[[#This Row],[Date_livraison]],INDIRECT(CONCATENATE("Tab_",Tab_Calculs[[#This Row],[Colonne1]],"[Fin de période]")),0)</f>
        <v>1</v>
      </c>
      <c r="K1213" t="e">
        <f ca="1">INDEX(INDIRECT(CONCATENATE("Tab_",Tab_Calculs[[#This Row],[Colonne1]])),Tab_Calculs[[#This Row],[index_date_livraison]]-1,6)*(MAX(Tab_Calculs[[#This Row],[Début periode livraison]],Tab_Calculs[[#This Row],[Début mois]])-Tab_Calculs[[#This Row],[Début mois]])</f>
        <v>#VALUE!</v>
      </c>
      <c r="L1213" s="94">
        <f ca="1">INDEX(INDIRECT(CONCATENATE("Tab_",Tab_Calculs[[#This Row],[Colonne1]])),Tab_Calculs[[#This Row],[index_date_livraison]],6)*(1+MIN(Tab_Calculs[[#This Row],[Date_livraison]],Tab_Calculs[[#This Row],[fin mois]])-MAX(Tab_Calculs[[#This Row],[Début mois]],Tab_Calculs[[#This Row],[Début periode livraison]]))</f>
        <v>0</v>
      </c>
      <c r="M1213" s="94" t="e">
        <f ca="1">INDEX(INDIRECT(CONCATENATE("Tab_",Tab_Calculs[[#This Row],[Colonne1]])),Tab_Calculs[[#This Row],[index_date_livraison]]+1,6)*(Tab_Calculs[[#This Row],[fin mois]]-MIN(Tab_Calculs[[#This Row],[fin mois]],Tab_Calculs[[#This Row],[Date_livraison]]))</f>
        <v>#VALUE!</v>
      </c>
      <c r="N1213" s="231" t="str">
        <f ca="1">IFERROR(Tab_Calculs[[#This Row],[Ratio_jour_après_livr]]+Tab_Calculs[[#This Row],[Ratio_jour_avant_livr]]+Tab_Calculs[[#This Row],[ratio_avant_debut]],"")</f>
        <v/>
      </c>
      <c r="O1213" t="e">
        <f ca="1">INDEX(INDIRECT(CONCATENATE("Tab_",Tab_Calculs[[#This Row],[Colonne1]])),Tab_Calculs[[#This Row],[index_date_livraison]]-1,7)*(MAX(Tab_Calculs[[#This Row],[Début periode livraison]],Tab_Calculs[[#This Row],[Début mois]])-Tab_Calculs[[#This Row],[Début mois]])</f>
        <v>#VALUE!</v>
      </c>
      <c r="P1213">
        <f ca="1">INDEX(INDIRECT(CONCATENATE("Tab_",Tab_Calculs[[#This Row],[Colonne1]])),Tab_Calculs[[#This Row],[index_date_livraison]],7)*(1+MIN(Tab_Calculs[[#This Row],[Date_livraison]],Tab_Calculs[[#This Row],[fin mois]])-MAX(Tab_Calculs[[#This Row],[Début mois]],Tab_Calculs[[#This Row],[Début periode livraison]]))</f>
        <v>0</v>
      </c>
      <c r="Q1213" t="e">
        <f ca="1">INDEX(INDIRECT(CONCATENATE("Tab_",Tab_Calculs[[#This Row],[Colonne1]])),Tab_Calculs[[#This Row],[index_date_livraison]]+1,7)*(Tab_Calculs[[#This Row],[fin mois]]-MIN(Tab_Calculs[[#This Row],[fin mois]],Tab_Calculs[[#This Row],[Date_livraison]]))</f>
        <v>#VALUE!</v>
      </c>
      <c r="R1213" t="e">
        <f ca="1">Tab_Calculs[[#This Row],[Ratio_Cout_après_livr]]+Tab_Calculs[[#This Row],[Ratio_Cout_avant_livr]]+Tab_Calculs[[#This Row],[Ratio_Cout_avant_debut]]</f>
        <v>#VALUE!</v>
      </c>
      <c r="S1213" t="str">
        <f ca="1">IFERROR(N1213*VLOOKUP(Tab_Calculs[[#This Row],[Colonne1]],Controle_des_données!$B$7:$G$14,6,FALSE),"")</f>
        <v/>
      </c>
      <c r="T1213" t="str">
        <f ca="1">IF(Tab_Calculs[[#This Row],[Combustible ]]="Electricité (kWh)",Tab_Calculs[[#This Row],[Conso_mois_kWh]]*2.3,Tab_Calculs[[#This Row],[Conso_mois_kWh]])</f>
        <v/>
      </c>
      <c r="U1213" t="str">
        <f ca="1">IFERROR(N1213*VLOOKUP(Tab_Calculs[[#This Row],[Colonne1]],Controle_des_données!$B$7:$H$14,7,FALSE),"")</f>
        <v/>
      </c>
      <c r="V1213">
        <f ca="1">IFERROR(Tab_Calculs[[#This Row],[Cout_mois]]/Tab_Calculs[[#This Row],[Conso_mois_kWh]],0)</f>
        <v>0</v>
      </c>
      <c r="W1213" t="str">
        <f>T(VLOOKUP(Tab_Calculs[[#This Row],[Compteur]],Site!$B$33:$G$40,3,FALSE))</f>
        <v/>
      </c>
      <c r="X1213" t="str">
        <f>T(VLOOKUP(Tab_Calculs[[#This Row],[Compteur]],Site!$B$33:$G$40,4,FALSE))</f>
        <v/>
      </c>
      <c r="Y1213" t="str">
        <f>T(VLOOKUP(Tab_Calculs[[#This Row],[Compteur]],Site!$B$33:$G$40,5,FALSE))</f>
        <v/>
      </c>
      <c r="Z1213" t="str">
        <f>T(VLOOKUP(Tab_Calculs[[#This Row],[Compteur]],Site!$B$33:$G$40,6,FALSE))</f>
        <v/>
      </c>
      <c r="AA1213">
        <f>IFERROR(GETPIVOTDATA("DJU(chauffagiste)",BDD_DJU!$P$13,"annee",Tab_Calculs[[#This Row],[ANNEE]],"mois_numero",Tab_Calculs[[#This Row],[MOIS]]),0)</f>
        <v>134.5</v>
      </c>
    </row>
    <row r="1214" spans="1:27" x14ac:dyDescent="0.25">
      <c r="A1214" s="3">
        <f>DATE(Tab_Calculs[[#This Row],[ANNEE]],Tab_Calculs[[#This Row],[MOIS]],1)</f>
        <v>41791</v>
      </c>
      <c r="B1214" s="3">
        <f>EDATE(Tab_Calculs[[#This Row],[Début mois]],1)-1</f>
        <v>41820</v>
      </c>
      <c r="C1214">
        <v>6</v>
      </c>
      <c r="D1214">
        <v>2014</v>
      </c>
      <c r="E1214" t="s">
        <v>86</v>
      </c>
      <c r="F1214" t="str">
        <f>SUBSTITUTE(Tab_Calculs[[#This Row],[Compteur]]," ","_")</f>
        <v>Compteur_7</v>
      </c>
      <c r="G1214" t="str">
        <f>T(INDEX(Site!$B$33:$G$40, MATCH(Tab_Calculs[[#This Row],[Compteur]], Site!$B$33:$B$40,0),2))</f>
        <v/>
      </c>
      <c r="H1214" s="3">
        <f t="array" aca="1" ref="H1214" ca="1">MIN(IF(INDIRECT(CONCATENATE(Tab_Calculs[[#This Row],[Colonne1]],"!$B$2:$B$243"))&gt;=Calculs_Consos!$A1214,INDIRECT(CONCATENATE(Tab_Calculs[[#This Row],[Colonne1]],"!$B$2:$B$243"))))</f>
        <v>0</v>
      </c>
      <c r="I1214" s="3">
        <f ca="1">INDEX(INDIRECT(CONCATENATE("Tab_",Tab_Calculs[[#This Row],[Colonne1]])),Tab_Calculs[[#This Row],[index_date_livraison]],1)</f>
        <v>0</v>
      </c>
      <c r="J1214">
        <f ca="1">MATCH(Tab_Calculs[[#This Row],[Date_livraison]],INDIRECT(CONCATENATE("Tab_",Tab_Calculs[[#This Row],[Colonne1]],"[Fin de période]")),0)</f>
        <v>1</v>
      </c>
      <c r="K1214" t="e">
        <f ca="1">INDEX(INDIRECT(CONCATENATE("Tab_",Tab_Calculs[[#This Row],[Colonne1]])),Tab_Calculs[[#This Row],[index_date_livraison]]-1,6)*(MAX(Tab_Calculs[[#This Row],[Début periode livraison]],Tab_Calculs[[#This Row],[Début mois]])-Tab_Calculs[[#This Row],[Début mois]])</f>
        <v>#VALUE!</v>
      </c>
      <c r="L1214" s="94">
        <f ca="1">INDEX(INDIRECT(CONCATENATE("Tab_",Tab_Calculs[[#This Row],[Colonne1]])),Tab_Calculs[[#This Row],[index_date_livraison]],6)*(1+MIN(Tab_Calculs[[#This Row],[Date_livraison]],Tab_Calculs[[#This Row],[fin mois]])-MAX(Tab_Calculs[[#This Row],[Début mois]],Tab_Calculs[[#This Row],[Début periode livraison]]))</f>
        <v>0</v>
      </c>
      <c r="M1214" s="94" t="e">
        <f ca="1">INDEX(INDIRECT(CONCATENATE("Tab_",Tab_Calculs[[#This Row],[Colonne1]])),Tab_Calculs[[#This Row],[index_date_livraison]]+1,6)*(Tab_Calculs[[#This Row],[fin mois]]-MIN(Tab_Calculs[[#This Row],[fin mois]],Tab_Calculs[[#This Row],[Date_livraison]]))</f>
        <v>#VALUE!</v>
      </c>
      <c r="N1214" s="231" t="str">
        <f ca="1">IFERROR(Tab_Calculs[[#This Row],[Ratio_jour_après_livr]]+Tab_Calculs[[#This Row],[Ratio_jour_avant_livr]]+Tab_Calculs[[#This Row],[ratio_avant_debut]],"")</f>
        <v/>
      </c>
      <c r="O1214" t="e">
        <f ca="1">INDEX(INDIRECT(CONCATENATE("Tab_",Tab_Calculs[[#This Row],[Colonne1]])),Tab_Calculs[[#This Row],[index_date_livraison]]-1,7)*(MAX(Tab_Calculs[[#This Row],[Début periode livraison]],Tab_Calculs[[#This Row],[Début mois]])-Tab_Calculs[[#This Row],[Début mois]])</f>
        <v>#VALUE!</v>
      </c>
      <c r="P1214">
        <f ca="1">INDEX(INDIRECT(CONCATENATE("Tab_",Tab_Calculs[[#This Row],[Colonne1]])),Tab_Calculs[[#This Row],[index_date_livraison]],7)*(1+MIN(Tab_Calculs[[#This Row],[Date_livraison]],Tab_Calculs[[#This Row],[fin mois]])-MAX(Tab_Calculs[[#This Row],[Début mois]],Tab_Calculs[[#This Row],[Début periode livraison]]))</f>
        <v>0</v>
      </c>
      <c r="Q1214" t="e">
        <f ca="1">INDEX(INDIRECT(CONCATENATE("Tab_",Tab_Calculs[[#This Row],[Colonne1]])),Tab_Calculs[[#This Row],[index_date_livraison]]+1,7)*(Tab_Calculs[[#This Row],[fin mois]]-MIN(Tab_Calculs[[#This Row],[fin mois]],Tab_Calculs[[#This Row],[Date_livraison]]))</f>
        <v>#VALUE!</v>
      </c>
      <c r="R1214" t="e">
        <f ca="1">Tab_Calculs[[#This Row],[Ratio_Cout_après_livr]]+Tab_Calculs[[#This Row],[Ratio_Cout_avant_livr]]+Tab_Calculs[[#This Row],[Ratio_Cout_avant_debut]]</f>
        <v>#VALUE!</v>
      </c>
      <c r="S1214" t="str">
        <f ca="1">IFERROR(N1214*VLOOKUP(Tab_Calculs[[#This Row],[Colonne1]],Controle_des_données!$B$7:$G$14,6,FALSE),"")</f>
        <v/>
      </c>
      <c r="T1214" t="str">
        <f ca="1">IF(Tab_Calculs[[#This Row],[Combustible ]]="Electricité (kWh)",Tab_Calculs[[#This Row],[Conso_mois_kWh]]*2.3,Tab_Calculs[[#This Row],[Conso_mois_kWh]])</f>
        <v/>
      </c>
      <c r="U1214" t="str">
        <f ca="1">IFERROR(N1214*VLOOKUP(Tab_Calculs[[#This Row],[Colonne1]],Controle_des_données!$B$7:$H$14,7,FALSE),"")</f>
        <v/>
      </c>
      <c r="V1214">
        <f ca="1">IFERROR(Tab_Calculs[[#This Row],[Cout_mois]]/Tab_Calculs[[#This Row],[Conso_mois_kWh]],0)</f>
        <v>0</v>
      </c>
      <c r="W1214" t="str">
        <f>T(VLOOKUP(Tab_Calculs[[#This Row],[Compteur]],Site!$B$33:$G$40,3,FALSE))</f>
        <v/>
      </c>
      <c r="X1214" t="str">
        <f>T(VLOOKUP(Tab_Calculs[[#This Row],[Compteur]],Site!$B$33:$G$40,4,FALSE))</f>
        <v/>
      </c>
      <c r="Y1214" t="str">
        <f>T(VLOOKUP(Tab_Calculs[[#This Row],[Compteur]],Site!$B$33:$G$40,5,FALSE))</f>
        <v/>
      </c>
      <c r="Z1214" t="str">
        <f>T(VLOOKUP(Tab_Calculs[[#This Row],[Compteur]],Site!$B$33:$G$40,6,FALSE))</f>
        <v/>
      </c>
      <c r="AA1214">
        <f>IFERROR(GETPIVOTDATA("DJU(chauffagiste)",BDD_DJU!$P$13,"annee",Tab_Calculs[[#This Row],[ANNEE]],"mois_numero",Tab_Calculs[[#This Row],[MOIS]]),0)</f>
        <v>48.5</v>
      </c>
    </row>
    <row r="1215" spans="1:27" x14ac:dyDescent="0.25">
      <c r="A1215" s="3">
        <f>DATE(Tab_Calculs[[#This Row],[ANNEE]],Tab_Calculs[[#This Row],[MOIS]],1)</f>
        <v>41821</v>
      </c>
      <c r="B1215" s="3">
        <f>EDATE(Tab_Calculs[[#This Row],[Début mois]],1)-1</f>
        <v>41851</v>
      </c>
      <c r="C1215">
        <v>7</v>
      </c>
      <c r="D1215">
        <v>2014</v>
      </c>
      <c r="E1215" t="s">
        <v>86</v>
      </c>
      <c r="F1215" t="str">
        <f>SUBSTITUTE(Tab_Calculs[[#This Row],[Compteur]]," ","_")</f>
        <v>Compteur_7</v>
      </c>
      <c r="G1215" t="str">
        <f>T(INDEX(Site!$B$33:$G$40, MATCH(Tab_Calculs[[#This Row],[Compteur]], Site!$B$33:$B$40,0),2))</f>
        <v/>
      </c>
      <c r="H1215" s="3">
        <f t="array" aca="1" ref="H1215" ca="1">MIN(IF(INDIRECT(CONCATENATE(Tab_Calculs[[#This Row],[Colonne1]],"!$B$2:$B$243"))&gt;=Calculs_Consos!$A1215,INDIRECT(CONCATENATE(Tab_Calculs[[#This Row],[Colonne1]],"!$B$2:$B$243"))))</f>
        <v>0</v>
      </c>
      <c r="I1215" s="3">
        <f ca="1">INDEX(INDIRECT(CONCATENATE("Tab_",Tab_Calculs[[#This Row],[Colonne1]])),Tab_Calculs[[#This Row],[index_date_livraison]],1)</f>
        <v>0</v>
      </c>
      <c r="J1215">
        <f ca="1">MATCH(Tab_Calculs[[#This Row],[Date_livraison]],INDIRECT(CONCATENATE("Tab_",Tab_Calculs[[#This Row],[Colonne1]],"[Fin de période]")),0)</f>
        <v>1</v>
      </c>
      <c r="K1215" t="e">
        <f ca="1">INDEX(INDIRECT(CONCATENATE("Tab_",Tab_Calculs[[#This Row],[Colonne1]])),Tab_Calculs[[#This Row],[index_date_livraison]]-1,6)*(MAX(Tab_Calculs[[#This Row],[Début periode livraison]],Tab_Calculs[[#This Row],[Début mois]])-Tab_Calculs[[#This Row],[Début mois]])</f>
        <v>#VALUE!</v>
      </c>
      <c r="L1215" s="94">
        <f ca="1">INDEX(INDIRECT(CONCATENATE("Tab_",Tab_Calculs[[#This Row],[Colonne1]])),Tab_Calculs[[#This Row],[index_date_livraison]],6)*(1+MIN(Tab_Calculs[[#This Row],[Date_livraison]],Tab_Calculs[[#This Row],[fin mois]])-MAX(Tab_Calculs[[#This Row],[Début mois]],Tab_Calculs[[#This Row],[Début periode livraison]]))</f>
        <v>0</v>
      </c>
      <c r="M1215" s="94" t="e">
        <f ca="1">INDEX(INDIRECT(CONCATENATE("Tab_",Tab_Calculs[[#This Row],[Colonne1]])),Tab_Calculs[[#This Row],[index_date_livraison]]+1,6)*(Tab_Calculs[[#This Row],[fin mois]]-MIN(Tab_Calculs[[#This Row],[fin mois]],Tab_Calculs[[#This Row],[Date_livraison]]))</f>
        <v>#VALUE!</v>
      </c>
      <c r="N1215" s="231" t="str">
        <f ca="1">IFERROR(Tab_Calculs[[#This Row],[Ratio_jour_après_livr]]+Tab_Calculs[[#This Row],[Ratio_jour_avant_livr]]+Tab_Calculs[[#This Row],[ratio_avant_debut]],"")</f>
        <v/>
      </c>
      <c r="O1215" t="e">
        <f ca="1">INDEX(INDIRECT(CONCATENATE("Tab_",Tab_Calculs[[#This Row],[Colonne1]])),Tab_Calculs[[#This Row],[index_date_livraison]]-1,7)*(MAX(Tab_Calculs[[#This Row],[Début periode livraison]],Tab_Calculs[[#This Row],[Début mois]])-Tab_Calculs[[#This Row],[Début mois]])</f>
        <v>#VALUE!</v>
      </c>
      <c r="P1215">
        <f ca="1">INDEX(INDIRECT(CONCATENATE("Tab_",Tab_Calculs[[#This Row],[Colonne1]])),Tab_Calculs[[#This Row],[index_date_livraison]],7)*(1+MIN(Tab_Calculs[[#This Row],[Date_livraison]],Tab_Calculs[[#This Row],[fin mois]])-MAX(Tab_Calculs[[#This Row],[Début mois]],Tab_Calculs[[#This Row],[Début periode livraison]]))</f>
        <v>0</v>
      </c>
      <c r="Q1215" t="e">
        <f ca="1">INDEX(INDIRECT(CONCATENATE("Tab_",Tab_Calculs[[#This Row],[Colonne1]])),Tab_Calculs[[#This Row],[index_date_livraison]]+1,7)*(Tab_Calculs[[#This Row],[fin mois]]-MIN(Tab_Calculs[[#This Row],[fin mois]],Tab_Calculs[[#This Row],[Date_livraison]]))</f>
        <v>#VALUE!</v>
      </c>
      <c r="R1215" t="e">
        <f ca="1">Tab_Calculs[[#This Row],[Ratio_Cout_après_livr]]+Tab_Calculs[[#This Row],[Ratio_Cout_avant_livr]]+Tab_Calculs[[#This Row],[Ratio_Cout_avant_debut]]</f>
        <v>#VALUE!</v>
      </c>
      <c r="S1215" t="str">
        <f ca="1">IFERROR(N1215*VLOOKUP(Tab_Calculs[[#This Row],[Colonne1]],Controle_des_données!$B$7:$G$14,6,FALSE),"")</f>
        <v/>
      </c>
      <c r="T1215" t="str">
        <f ca="1">IF(Tab_Calculs[[#This Row],[Combustible ]]="Electricité (kWh)",Tab_Calculs[[#This Row],[Conso_mois_kWh]]*2.3,Tab_Calculs[[#This Row],[Conso_mois_kWh]])</f>
        <v/>
      </c>
      <c r="U1215" t="str">
        <f ca="1">IFERROR(N1215*VLOOKUP(Tab_Calculs[[#This Row],[Colonne1]],Controle_des_données!$B$7:$H$14,7,FALSE),"")</f>
        <v/>
      </c>
      <c r="V1215">
        <f ca="1">IFERROR(Tab_Calculs[[#This Row],[Cout_mois]]/Tab_Calculs[[#This Row],[Conso_mois_kWh]],0)</f>
        <v>0</v>
      </c>
      <c r="W1215" t="str">
        <f>T(VLOOKUP(Tab_Calculs[[#This Row],[Compteur]],Site!$B$33:$G$40,3,FALSE))</f>
        <v/>
      </c>
      <c r="X1215" t="str">
        <f>T(VLOOKUP(Tab_Calculs[[#This Row],[Compteur]],Site!$B$33:$G$40,4,FALSE))</f>
        <v/>
      </c>
      <c r="Y1215" t="str">
        <f>T(VLOOKUP(Tab_Calculs[[#This Row],[Compteur]],Site!$B$33:$G$40,5,FALSE))</f>
        <v/>
      </c>
      <c r="Z1215" t="str">
        <f>T(VLOOKUP(Tab_Calculs[[#This Row],[Compteur]],Site!$B$33:$G$40,6,FALSE))</f>
        <v/>
      </c>
      <c r="AA1215">
        <f>IFERROR(GETPIVOTDATA("DJU(chauffagiste)",BDD_DJU!$P$13,"annee",Tab_Calculs[[#This Row],[ANNEE]],"mois_numero",Tab_Calculs[[#This Row],[MOIS]]),0)</f>
        <v>22.6</v>
      </c>
    </row>
    <row r="1216" spans="1:27" x14ac:dyDescent="0.25">
      <c r="A1216" s="3">
        <f>DATE(Tab_Calculs[[#This Row],[ANNEE]],Tab_Calculs[[#This Row],[MOIS]],1)</f>
        <v>41852</v>
      </c>
      <c r="B1216" s="3">
        <f>EDATE(Tab_Calculs[[#This Row],[Début mois]],1)-1</f>
        <v>41882</v>
      </c>
      <c r="C1216">
        <v>8</v>
      </c>
      <c r="D1216">
        <v>2014</v>
      </c>
      <c r="E1216" t="s">
        <v>86</v>
      </c>
      <c r="F1216" t="str">
        <f>SUBSTITUTE(Tab_Calculs[[#This Row],[Compteur]]," ","_")</f>
        <v>Compteur_7</v>
      </c>
      <c r="G1216" t="str">
        <f>T(INDEX(Site!$B$33:$G$40, MATCH(Tab_Calculs[[#This Row],[Compteur]], Site!$B$33:$B$40,0),2))</f>
        <v/>
      </c>
      <c r="H1216" s="3">
        <f t="array" aca="1" ref="H1216" ca="1">MIN(IF(INDIRECT(CONCATENATE(Tab_Calculs[[#This Row],[Colonne1]],"!$B$2:$B$243"))&gt;=Calculs_Consos!$A1216,INDIRECT(CONCATENATE(Tab_Calculs[[#This Row],[Colonne1]],"!$B$2:$B$243"))))</f>
        <v>0</v>
      </c>
      <c r="I1216" s="3">
        <f ca="1">INDEX(INDIRECT(CONCATENATE("Tab_",Tab_Calculs[[#This Row],[Colonne1]])),Tab_Calculs[[#This Row],[index_date_livraison]],1)</f>
        <v>0</v>
      </c>
      <c r="J1216">
        <f ca="1">MATCH(Tab_Calculs[[#This Row],[Date_livraison]],INDIRECT(CONCATENATE("Tab_",Tab_Calculs[[#This Row],[Colonne1]],"[Fin de période]")),0)</f>
        <v>1</v>
      </c>
      <c r="K1216" t="e">
        <f ca="1">INDEX(INDIRECT(CONCATENATE("Tab_",Tab_Calculs[[#This Row],[Colonne1]])),Tab_Calculs[[#This Row],[index_date_livraison]]-1,6)*(MAX(Tab_Calculs[[#This Row],[Début periode livraison]],Tab_Calculs[[#This Row],[Début mois]])-Tab_Calculs[[#This Row],[Début mois]])</f>
        <v>#VALUE!</v>
      </c>
      <c r="L1216" s="94">
        <f ca="1">INDEX(INDIRECT(CONCATENATE("Tab_",Tab_Calculs[[#This Row],[Colonne1]])),Tab_Calculs[[#This Row],[index_date_livraison]],6)*(1+MIN(Tab_Calculs[[#This Row],[Date_livraison]],Tab_Calculs[[#This Row],[fin mois]])-MAX(Tab_Calculs[[#This Row],[Début mois]],Tab_Calculs[[#This Row],[Début periode livraison]]))</f>
        <v>0</v>
      </c>
      <c r="M1216" s="94" t="e">
        <f ca="1">INDEX(INDIRECT(CONCATENATE("Tab_",Tab_Calculs[[#This Row],[Colonne1]])),Tab_Calculs[[#This Row],[index_date_livraison]]+1,6)*(Tab_Calculs[[#This Row],[fin mois]]-MIN(Tab_Calculs[[#This Row],[fin mois]],Tab_Calculs[[#This Row],[Date_livraison]]))</f>
        <v>#VALUE!</v>
      </c>
      <c r="N1216" s="231" t="str">
        <f ca="1">IFERROR(Tab_Calculs[[#This Row],[Ratio_jour_après_livr]]+Tab_Calculs[[#This Row],[Ratio_jour_avant_livr]]+Tab_Calculs[[#This Row],[ratio_avant_debut]],"")</f>
        <v/>
      </c>
      <c r="O1216" t="e">
        <f ca="1">INDEX(INDIRECT(CONCATENATE("Tab_",Tab_Calculs[[#This Row],[Colonne1]])),Tab_Calculs[[#This Row],[index_date_livraison]]-1,7)*(MAX(Tab_Calculs[[#This Row],[Début periode livraison]],Tab_Calculs[[#This Row],[Début mois]])-Tab_Calculs[[#This Row],[Début mois]])</f>
        <v>#VALUE!</v>
      </c>
      <c r="P1216">
        <f ca="1">INDEX(INDIRECT(CONCATENATE("Tab_",Tab_Calculs[[#This Row],[Colonne1]])),Tab_Calculs[[#This Row],[index_date_livraison]],7)*(1+MIN(Tab_Calculs[[#This Row],[Date_livraison]],Tab_Calculs[[#This Row],[fin mois]])-MAX(Tab_Calculs[[#This Row],[Début mois]],Tab_Calculs[[#This Row],[Début periode livraison]]))</f>
        <v>0</v>
      </c>
      <c r="Q1216" t="e">
        <f ca="1">INDEX(INDIRECT(CONCATENATE("Tab_",Tab_Calculs[[#This Row],[Colonne1]])),Tab_Calculs[[#This Row],[index_date_livraison]]+1,7)*(Tab_Calculs[[#This Row],[fin mois]]-MIN(Tab_Calculs[[#This Row],[fin mois]],Tab_Calculs[[#This Row],[Date_livraison]]))</f>
        <v>#VALUE!</v>
      </c>
      <c r="R1216" t="e">
        <f ca="1">Tab_Calculs[[#This Row],[Ratio_Cout_après_livr]]+Tab_Calculs[[#This Row],[Ratio_Cout_avant_livr]]+Tab_Calculs[[#This Row],[Ratio_Cout_avant_debut]]</f>
        <v>#VALUE!</v>
      </c>
      <c r="S1216" t="str">
        <f ca="1">IFERROR(N1216*VLOOKUP(Tab_Calculs[[#This Row],[Colonne1]],Controle_des_données!$B$7:$G$14,6,FALSE),"")</f>
        <v/>
      </c>
      <c r="T1216" t="str">
        <f ca="1">IF(Tab_Calculs[[#This Row],[Combustible ]]="Electricité (kWh)",Tab_Calculs[[#This Row],[Conso_mois_kWh]]*2.3,Tab_Calculs[[#This Row],[Conso_mois_kWh]])</f>
        <v/>
      </c>
      <c r="U1216" t="str">
        <f ca="1">IFERROR(N1216*VLOOKUP(Tab_Calculs[[#This Row],[Colonne1]],Controle_des_données!$B$7:$H$14,7,FALSE),"")</f>
        <v/>
      </c>
      <c r="V1216">
        <f ca="1">IFERROR(Tab_Calculs[[#This Row],[Cout_mois]]/Tab_Calculs[[#This Row],[Conso_mois_kWh]],0)</f>
        <v>0</v>
      </c>
      <c r="W1216" t="str">
        <f>T(VLOOKUP(Tab_Calculs[[#This Row],[Compteur]],Site!$B$33:$G$40,3,FALSE))</f>
        <v/>
      </c>
      <c r="X1216" t="str">
        <f>T(VLOOKUP(Tab_Calculs[[#This Row],[Compteur]],Site!$B$33:$G$40,4,FALSE))</f>
        <v/>
      </c>
      <c r="Y1216" t="str">
        <f>T(VLOOKUP(Tab_Calculs[[#This Row],[Compteur]],Site!$B$33:$G$40,5,FALSE))</f>
        <v/>
      </c>
      <c r="Z1216" t="str">
        <f>T(VLOOKUP(Tab_Calculs[[#This Row],[Compteur]],Site!$B$33:$G$40,6,FALSE))</f>
        <v/>
      </c>
      <c r="AA1216">
        <f>IFERROR(GETPIVOTDATA("DJU(chauffagiste)",BDD_DJU!$P$13,"annee",Tab_Calculs[[#This Row],[ANNEE]],"mois_numero",Tab_Calculs[[#This Row],[MOIS]]),0)</f>
        <v>51.9</v>
      </c>
    </row>
    <row r="1217" spans="1:27" x14ac:dyDescent="0.25">
      <c r="A1217" s="3">
        <f>DATE(Tab_Calculs[[#This Row],[ANNEE]],Tab_Calculs[[#This Row],[MOIS]],1)</f>
        <v>41883</v>
      </c>
      <c r="B1217" s="3">
        <f>EDATE(Tab_Calculs[[#This Row],[Début mois]],1)-1</f>
        <v>41912</v>
      </c>
      <c r="C1217">
        <v>9</v>
      </c>
      <c r="D1217">
        <v>2014</v>
      </c>
      <c r="E1217" t="s">
        <v>86</v>
      </c>
      <c r="F1217" t="str">
        <f>SUBSTITUTE(Tab_Calculs[[#This Row],[Compteur]]," ","_")</f>
        <v>Compteur_7</v>
      </c>
      <c r="G1217" t="str">
        <f>T(INDEX(Site!$B$33:$G$40, MATCH(Tab_Calculs[[#This Row],[Compteur]], Site!$B$33:$B$40,0),2))</f>
        <v/>
      </c>
      <c r="H1217" s="3">
        <f t="array" aca="1" ref="H1217" ca="1">MIN(IF(INDIRECT(CONCATENATE(Tab_Calculs[[#This Row],[Colonne1]],"!$B$2:$B$243"))&gt;=Calculs_Consos!$A1217,INDIRECT(CONCATENATE(Tab_Calculs[[#This Row],[Colonne1]],"!$B$2:$B$243"))))</f>
        <v>0</v>
      </c>
      <c r="I1217" s="3">
        <f ca="1">INDEX(INDIRECT(CONCATENATE("Tab_",Tab_Calculs[[#This Row],[Colonne1]])),Tab_Calculs[[#This Row],[index_date_livraison]],1)</f>
        <v>0</v>
      </c>
      <c r="J1217">
        <f ca="1">MATCH(Tab_Calculs[[#This Row],[Date_livraison]],INDIRECT(CONCATENATE("Tab_",Tab_Calculs[[#This Row],[Colonne1]],"[Fin de période]")),0)</f>
        <v>1</v>
      </c>
      <c r="K1217" t="e">
        <f ca="1">INDEX(INDIRECT(CONCATENATE("Tab_",Tab_Calculs[[#This Row],[Colonne1]])),Tab_Calculs[[#This Row],[index_date_livraison]]-1,6)*(MAX(Tab_Calculs[[#This Row],[Début periode livraison]],Tab_Calculs[[#This Row],[Début mois]])-Tab_Calculs[[#This Row],[Début mois]])</f>
        <v>#VALUE!</v>
      </c>
      <c r="L1217" s="94">
        <f ca="1">INDEX(INDIRECT(CONCATENATE("Tab_",Tab_Calculs[[#This Row],[Colonne1]])),Tab_Calculs[[#This Row],[index_date_livraison]],6)*(1+MIN(Tab_Calculs[[#This Row],[Date_livraison]],Tab_Calculs[[#This Row],[fin mois]])-MAX(Tab_Calculs[[#This Row],[Début mois]],Tab_Calculs[[#This Row],[Début periode livraison]]))</f>
        <v>0</v>
      </c>
      <c r="M1217" s="94" t="e">
        <f ca="1">INDEX(INDIRECT(CONCATENATE("Tab_",Tab_Calculs[[#This Row],[Colonne1]])),Tab_Calculs[[#This Row],[index_date_livraison]]+1,6)*(Tab_Calculs[[#This Row],[fin mois]]-MIN(Tab_Calculs[[#This Row],[fin mois]],Tab_Calculs[[#This Row],[Date_livraison]]))</f>
        <v>#VALUE!</v>
      </c>
      <c r="N1217" s="231" t="str">
        <f ca="1">IFERROR(Tab_Calculs[[#This Row],[Ratio_jour_après_livr]]+Tab_Calculs[[#This Row],[Ratio_jour_avant_livr]]+Tab_Calculs[[#This Row],[ratio_avant_debut]],"")</f>
        <v/>
      </c>
      <c r="O1217" t="e">
        <f ca="1">INDEX(INDIRECT(CONCATENATE("Tab_",Tab_Calculs[[#This Row],[Colonne1]])),Tab_Calculs[[#This Row],[index_date_livraison]]-1,7)*(MAX(Tab_Calculs[[#This Row],[Début periode livraison]],Tab_Calculs[[#This Row],[Début mois]])-Tab_Calculs[[#This Row],[Début mois]])</f>
        <v>#VALUE!</v>
      </c>
      <c r="P1217">
        <f ca="1">INDEX(INDIRECT(CONCATENATE("Tab_",Tab_Calculs[[#This Row],[Colonne1]])),Tab_Calculs[[#This Row],[index_date_livraison]],7)*(1+MIN(Tab_Calculs[[#This Row],[Date_livraison]],Tab_Calculs[[#This Row],[fin mois]])-MAX(Tab_Calculs[[#This Row],[Début mois]],Tab_Calculs[[#This Row],[Début periode livraison]]))</f>
        <v>0</v>
      </c>
      <c r="Q1217" t="e">
        <f ca="1">INDEX(INDIRECT(CONCATENATE("Tab_",Tab_Calculs[[#This Row],[Colonne1]])),Tab_Calculs[[#This Row],[index_date_livraison]]+1,7)*(Tab_Calculs[[#This Row],[fin mois]]-MIN(Tab_Calculs[[#This Row],[fin mois]],Tab_Calculs[[#This Row],[Date_livraison]]))</f>
        <v>#VALUE!</v>
      </c>
      <c r="R1217" t="e">
        <f ca="1">Tab_Calculs[[#This Row],[Ratio_Cout_après_livr]]+Tab_Calculs[[#This Row],[Ratio_Cout_avant_livr]]+Tab_Calculs[[#This Row],[Ratio_Cout_avant_debut]]</f>
        <v>#VALUE!</v>
      </c>
      <c r="S1217" t="str">
        <f ca="1">IFERROR(N1217*VLOOKUP(Tab_Calculs[[#This Row],[Colonne1]],Controle_des_données!$B$7:$G$14,6,FALSE),"")</f>
        <v/>
      </c>
      <c r="T1217" t="str">
        <f ca="1">IF(Tab_Calculs[[#This Row],[Combustible ]]="Electricité (kWh)",Tab_Calculs[[#This Row],[Conso_mois_kWh]]*2.3,Tab_Calculs[[#This Row],[Conso_mois_kWh]])</f>
        <v/>
      </c>
      <c r="U1217" t="str">
        <f ca="1">IFERROR(N1217*VLOOKUP(Tab_Calculs[[#This Row],[Colonne1]],Controle_des_données!$B$7:$H$14,7,FALSE),"")</f>
        <v/>
      </c>
      <c r="V1217">
        <f ca="1">IFERROR(Tab_Calculs[[#This Row],[Cout_mois]]/Tab_Calculs[[#This Row],[Conso_mois_kWh]],0)</f>
        <v>0</v>
      </c>
      <c r="W1217" t="str">
        <f>T(VLOOKUP(Tab_Calculs[[#This Row],[Compteur]],Site!$B$33:$G$40,3,FALSE))</f>
        <v/>
      </c>
      <c r="X1217" t="str">
        <f>T(VLOOKUP(Tab_Calculs[[#This Row],[Compteur]],Site!$B$33:$G$40,4,FALSE))</f>
        <v/>
      </c>
      <c r="Y1217" t="str">
        <f>T(VLOOKUP(Tab_Calculs[[#This Row],[Compteur]],Site!$B$33:$G$40,5,FALSE))</f>
        <v/>
      </c>
      <c r="Z1217" t="str">
        <f>T(VLOOKUP(Tab_Calculs[[#This Row],[Compteur]],Site!$B$33:$G$40,6,FALSE))</f>
        <v/>
      </c>
      <c r="AA1217">
        <f>IFERROR(GETPIVOTDATA("DJU(chauffagiste)",BDD_DJU!$P$13,"annee",Tab_Calculs[[#This Row],[ANNEE]],"mois_numero",Tab_Calculs[[#This Row],[MOIS]]),0)</f>
        <v>54.3</v>
      </c>
    </row>
    <row r="1218" spans="1:27" x14ac:dyDescent="0.25">
      <c r="A1218" s="3">
        <f>DATE(Tab_Calculs[[#This Row],[ANNEE]],Tab_Calculs[[#This Row],[MOIS]],1)</f>
        <v>41913</v>
      </c>
      <c r="B1218" s="3">
        <f>EDATE(Tab_Calculs[[#This Row],[Début mois]],1)-1</f>
        <v>41943</v>
      </c>
      <c r="C1218">
        <v>10</v>
      </c>
      <c r="D1218">
        <v>2014</v>
      </c>
      <c r="E1218" t="s">
        <v>86</v>
      </c>
      <c r="F1218" t="str">
        <f>SUBSTITUTE(Tab_Calculs[[#This Row],[Compteur]]," ","_")</f>
        <v>Compteur_7</v>
      </c>
      <c r="G1218" t="str">
        <f>T(INDEX(Site!$B$33:$G$40, MATCH(Tab_Calculs[[#This Row],[Compteur]], Site!$B$33:$B$40,0),2))</f>
        <v/>
      </c>
      <c r="H1218" s="3">
        <f t="array" aca="1" ref="H1218" ca="1">MIN(IF(INDIRECT(CONCATENATE(Tab_Calculs[[#This Row],[Colonne1]],"!$B$2:$B$243"))&gt;=Calculs_Consos!$A1218,INDIRECT(CONCATENATE(Tab_Calculs[[#This Row],[Colonne1]],"!$B$2:$B$243"))))</f>
        <v>0</v>
      </c>
      <c r="I1218" s="3">
        <f ca="1">INDEX(INDIRECT(CONCATENATE("Tab_",Tab_Calculs[[#This Row],[Colonne1]])),Tab_Calculs[[#This Row],[index_date_livraison]],1)</f>
        <v>0</v>
      </c>
      <c r="J1218">
        <f ca="1">MATCH(Tab_Calculs[[#This Row],[Date_livraison]],INDIRECT(CONCATENATE("Tab_",Tab_Calculs[[#This Row],[Colonne1]],"[Fin de période]")),0)</f>
        <v>1</v>
      </c>
      <c r="K1218" t="e">
        <f ca="1">INDEX(INDIRECT(CONCATENATE("Tab_",Tab_Calculs[[#This Row],[Colonne1]])),Tab_Calculs[[#This Row],[index_date_livraison]]-1,6)*(MAX(Tab_Calculs[[#This Row],[Début periode livraison]],Tab_Calculs[[#This Row],[Début mois]])-Tab_Calculs[[#This Row],[Début mois]])</f>
        <v>#VALUE!</v>
      </c>
      <c r="L1218" s="94">
        <f ca="1">INDEX(INDIRECT(CONCATENATE("Tab_",Tab_Calculs[[#This Row],[Colonne1]])),Tab_Calculs[[#This Row],[index_date_livraison]],6)*(1+MIN(Tab_Calculs[[#This Row],[Date_livraison]],Tab_Calculs[[#This Row],[fin mois]])-MAX(Tab_Calculs[[#This Row],[Début mois]],Tab_Calculs[[#This Row],[Début periode livraison]]))</f>
        <v>0</v>
      </c>
      <c r="M1218" s="94" t="e">
        <f ca="1">INDEX(INDIRECT(CONCATENATE("Tab_",Tab_Calculs[[#This Row],[Colonne1]])),Tab_Calculs[[#This Row],[index_date_livraison]]+1,6)*(Tab_Calculs[[#This Row],[fin mois]]-MIN(Tab_Calculs[[#This Row],[fin mois]],Tab_Calculs[[#This Row],[Date_livraison]]))</f>
        <v>#VALUE!</v>
      </c>
      <c r="N1218" s="231" t="str">
        <f ca="1">IFERROR(Tab_Calculs[[#This Row],[Ratio_jour_après_livr]]+Tab_Calculs[[#This Row],[Ratio_jour_avant_livr]]+Tab_Calculs[[#This Row],[ratio_avant_debut]],"")</f>
        <v/>
      </c>
      <c r="O1218" t="e">
        <f ca="1">INDEX(INDIRECT(CONCATENATE("Tab_",Tab_Calculs[[#This Row],[Colonne1]])),Tab_Calculs[[#This Row],[index_date_livraison]]-1,7)*(MAX(Tab_Calculs[[#This Row],[Début periode livraison]],Tab_Calculs[[#This Row],[Début mois]])-Tab_Calculs[[#This Row],[Début mois]])</f>
        <v>#VALUE!</v>
      </c>
      <c r="P1218">
        <f ca="1">INDEX(INDIRECT(CONCATENATE("Tab_",Tab_Calculs[[#This Row],[Colonne1]])),Tab_Calculs[[#This Row],[index_date_livraison]],7)*(1+MIN(Tab_Calculs[[#This Row],[Date_livraison]],Tab_Calculs[[#This Row],[fin mois]])-MAX(Tab_Calculs[[#This Row],[Début mois]],Tab_Calculs[[#This Row],[Début periode livraison]]))</f>
        <v>0</v>
      </c>
      <c r="Q1218" t="e">
        <f ca="1">INDEX(INDIRECT(CONCATENATE("Tab_",Tab_Calculs[[#This Row],[Colonne1]])),Tab_Calculs[[#This Row],[index_date_livraison]]+1,7)*(Tab_Calculs[[#This Row],[fin mois]]-MIN(Tab_Calculs[[#This Row],[fin mois]],Tab_Calculs[[#This Row],[Date_livraison]]))</f>
        <v>#VALUE!</v>
      </c>
      <c r="R1218" t="e">
        <f ca="1">Tab_Calculs[[#This Row],[Ratio_Cout_après_livr]]+Tab_Calculs[[#This Row],[Ratio_Cout_avant_livr]]+Tab_Calculs[[#This Row],[Ratio_Cout_avant_debut]]</f>
        <v>#VALUE!</v>
      </c>
      <c r="S1218" t="str">
        <f ca="1">IFERROR(N1218*VLOOKUP(Tab_Calculs[[#This Row],[Colonne1]],Controle_des_données!$B$7:$G$14,6,FALSE),"")</f>
        <v/>
      </c>
      <c r="T1218" t="str">
        <f ca="1">IF(Tab_Calculs[[#This Row],[Combustible ]]="Electricité (kWh)",Tab_Calculs[[#This Row],[Conso_mois_kWh]]*2.3,Tab_Calculs[[#This Row],[Conso_mois_kWh]])</f>
        <v/>
      </c>
      <c r="U1218" t="str">
        <f ca="1">IFERROR(N1218*VLOOKUP(Tab_Calculs[[#This Row],[Colonne1]],Controle_des_données!$B$7:$H$14,7,FALSE),"")</f>
        <v/>
      </c>
      <c r="V1218">
        <f ca="1">IFERROR(Tab_Calculs[[#This Row],[Cout_mois]]/Tab_Calculs[[#This Row],[Conso_mois_kWh]],0)</f>
        <v>0</v>
      </c>
      <c r="W1218" t="str">
        <f>T(VLOOKUP(Tab_Calculs[[#This Row],[Compteur]],Site!$B$33:$G$40,3,FALSE))</f>
        <v/>
      </c>
      <c r="X1218" t="str">
        <f>T(VLOOKUP(Tab_Calculs[[#This Row],[Compteur]],Site!$B$33:$G$40,4,FALSE))</f>
        <v/>
      </c>
      <c r="Y1218" t="str">
        <f>T(VLOOKUP(Tab_Calculs[[#This Row],[Compteur]],Site!$B$33:$G$40,5,FALSE))</f>
        <v/>
      </c>
      <c r="Z1218" t="str">
        <f>T(VLOOKUP(Tab_Calculs[[#This Row],[Compteur]],Site!$B$33:$G$40,6,FALSE))</f>
        <v/>
      </c>
      <c r="AA1218">
        <f>IFERROR(GETPIVOTDATA("DJU(chauffagiste)",BDD_DJU!$P$13,"annee",Tab_Calculs[[#This Row],[ANNEE]],"mois_numero",Tab_Calculs[[#This Row],[MOIS]]),0)</f>
        <v>124.2</v>
      </c>
    </row>
    <row r="1219" spans="1:27" x14ac:dyDescent="0.25">
      <c r="A1219" s="3">
        <f>DATE(Tab_Calculs[[#This Row],[ANNEE]],Tab_Calculs[[#This Row],[MOIS]],1)</f>
        <v>41944</v>
      </c>
      <c r="B1219" s="3">
        <f>EDATE(Tab_Calculs[[#This Row],[Début mois]],1)-1</f>
        <v>41973</v>
      </c>
      <c r="C1219">
        <v>11</v>
      </c>
      <c r="D1219">
        <v>2014</v>
      </c>
      <c r="E1219" t="s">
        <v>86</v>
      </c>
      <c r="F1219" t="str">
        <f>SUBSTITUTE(Tab_Calculs[[#This Row],[Compteur]]," ","_")</f>
        <v>Compteur_7</v>
      </c>
      <c r="G1219" t="str">
        <f>T(INDEX(Site!$B$33:$G$40, MATCH(Tab_Calculs[[#This Row],[Compteur]], Site!$B$33:$B$40,0),2))</f>
        <v/>
      </c>
      <c r="H1219" s="3">
        <f t="array" aca="1" ref="H1219" ca="1">MIN(IF(INDIRECT(CONCATENATE(Tab_Calculs[[#This Row],[Colonne1]],"!$B$2:$B$243"))&gt;=Calculs_Consos!$A1219,INDIRECT(CONCATENATE(Tab_Calculs[[#This Row],[Colonne1]],"!$B$2:$B$243"))))</f>
        <v>0</v>
      </c>
      <c r="I1219" s="3">
        <f ca="1">INDEX(INDIRECT(CONCATENATE("Tab_",Tab_Calculs[[#This Row],[Colonne1]])),Tab_Calculs[[#This Row],[index_date_livraison]],1)</f>
        <v>0</v>
      </c>
      <c r="J1219">
        <f ca="1">MATCH(Tab_Calculs[[#This Row],[Date_livraison]],INDIRECT(CONCATENATE("Tab_",Tab_Calculs[[#This Row],[Colonne1]],"[Fin de période]")),0)</f>
        <v>1</v>
      </c>
      <c r="K1219" t="e">
        <f ca="1">INDEX(INDIRECT(CONCATENATE("Tab_",Tab_Calculs[[#This Row],[Colonne1]])),Tab_Calculs[[#This Row],[index_date_livraison]]-1,6)*(MAX(Tab_Calculs[[#This Row],[Début periode livraison]],Tab_Calculs[[#This Row],[Début mois]])-Tab_Calculs[[#This Row],[Début mois]])</f>
        <v>#VALUE!</v>
      </c>
      <c r="L1219" s="94">
        <f ca="1">INDEX(INDIRECT(CONCATENATE("Tab_",Tab_Calculs[[#This Row],[Colonne1]])),Tab_Calculs[[#This Row],[index_date_livraison]],6)*(1+MIN(Tab_Calculs[[#This Row],[Date_livraison]],Tab_Calculs[[#This Row],[fin mois]])-MAX(Tab_Calculs[[#This Row],[Début mois]],Tab_Calculs[[#This Row],[Début periode livraison]]))</f>
        <v>0</v>
      </c>
      <c r="M1219" s="94" t="e">
        <f ca="1">INDEX(INDIRECT(CONCATENATE("Tab_",Tab_Calculs[[#This Row],[Colonne1]])),Tab_Calculs[[#This Row],[index_date_livraison]]+1,6)*(Tab_Calculs[[#This Row],[fin mois]]-MIN(Tab_Calculs[[#This Row],[fin mois]],Tab_Calculs[[#This Row],[Date_livraison]]))</f>
        <v>#VALUE!</v>
      </c>
      <c r="N1219" s="231" t="str">
        <f ca="1">IFERROR(Tab_Calculs[[#This Row],[Ratio_jour_après_livr]]+Tab_Calculs[[#This Row],[Ratio_jour_avant_livr]]+Tab_Calculs[[#This Row],[ratio_avant_debut]],"")</f>
        <v/>
      </c>
      <c r="O1219" t="e">
        <f ca="1">INDEX(INDIRECT(CONCATENATE("Tab_",Tab_Calculs[[#This Row],[Colonne1]])),Tab_Calculs[[#This Row],[index_date_livraison]]-1,7)*(MAX(Tab_Calculs[[#This Row],[Début periode livraison]],Tab_Calculs[[#This Row],[Début mois]])-Tab_Calculs[[#This Row],[Début mois]])</f>
        <v>#VALUE!</v>
      </c>
      <c r="P1219">
        <f ca="1">INDEX(INDIRECT(CONCATENATE("Tab_",Tab_Calculs[[#This Row],[Colonne1]])),Tab_Calculs[[#This Row],[index_date_livraison]],7)*(1+MIN(Tab_Calculs[[#This Row],[Date_livraison]],Tab_Calculs[[#This Row],[fin mois]])-MAX(Tab_Calculs[[#This Row],[Début mois]],Tab_Calculs[[#This Row],[Début periode livraison]]))</f>
        <v>0</v>
      </c>
      <c r="Q1219" t="e">
        <f ca="1">INDEX(INDIRECT(CONCATENATE("Tab_",Tab_Calculs[[#This Row],[Colonne1]])),Tab_Calculs[[#This Row],[index_date_livraison]]+1,7)*(Tab_Calculs[[#This Row],[fin mois]]-MIN(Tab_Calculs[[#This Row],[fin mois]],Tab_Calculs[[#This Row],[Date_livraison]]))</f>
        <v>#VALUE!</v>
      </c>
      <c r="R1219" t="e">
        <f ca="1">Tab_Calculs[[#This Row],[Ratio_Cout_après_livr]]+Tab_Calculs[[#This Row],[Ratio_Cout_avant_livr]]+Tab_Calculs[[#This Row],[Ratio_Cout_avant_debut]]</f>
        <v>#VALUE!</v>
      </c>
      <c r="S1219" t="str">
        <f ca="1">IFERROR(N1219*VLOOKUP(Tab_Calculs[[#This Row],[Colonne1]],Controle_des_données!$B$7:$G$14,6,FALSE),"")</f>
        <v/>
      </c>
      <c r="T1219" t="str">
        <f ca="1">IF(Tab_Calculs[[#This Row],[Combustible ]]="Electricité (kWh)",Tab_Calculs[[#This Row],[Conso_mois_kWh]]*2.3,Tab_Calculs[[#This Row],[Conso_mois_kWh]])</f>
        <v/>
      </c>
      <c r="U1219" t="str">
        <f ca="1">IFERROR(N1219*VLOOKUP(Tab_Calculs[[#This Row],[Colonne1]],Controle_des_données!$B$7:$H$14,7,FALSE),"")</f>
        <v/>
      </c>
      <c r="V1219">
        <f ca="1">IFERROR(Tab_Calculs[[#This Row],[Cout_mois]]/Tab_Calculs[[#This Row],[Conso_mois_kWh]],0)</f>
        <v>0</v>
      </c>
      <c r="W1219" t="str">
        <f>T(VLOOKUP(Tab_Calculs[[#This Row],[Compteur]],Site!$B$33:$G$40,3,FALSE))</f>
        <v/>
      </c>
      <c r="X1219" t="str">
        <f>T(VLOOKUP(Tab_Calculs[[#This Row],[Compteur]],Site!$B$33:$G$40,4,FALSE))</f>
        <v/>
      </c>
      <c r="Y1219" t="str">
        <f>T(VLOOKUP(Tab_Calculs[[#This Row],[Compteur]],Site!$B$33:$G$40,5,FALSE))</f>
        <v/>
      </c>
      <c r="Z1219" t="str">
        <f>T(VLOOKUP(Tab_Calculs[[#This Row],[Compteur]],Site!$B$33:$G$40,6,FALSE))</f>
        <v/>
      </c>
      <c r="AA1219">
        <f>IFERROR(GETPIVOTDATA("DJU(chauffagiste)",BDD_DJU!$P$13,"annee",Tab_Calculs[[#This Row],[ANNEE]],"mois_numero",Tab_Calculs[[#This Row],[MOIS]]),0)</f>
        <v>219.5</v>
      </c>
    </row>
    <row r="1220" spans="1:27" x14ac:dyDescent="0.25">
      <c r="A1220" s="3">
        <f>DATE(Tab_Calculs[[#This Row],[ANNEE]],Tab_Calculs[[#This Row],[MOIS]],1)</f>
        <v>41974</v>
      </c>
      <c r="B1220" s="3">
        <f>EDATE(Tab_Calculs[[#This Row],[Début mois]],1)-1</f>
        <v>42004</v>
      </c>
      <c r="C1220">
        <v>12</v>
      </c>
      <c r="D1220">
        <v>2014</v>
      </c>
      <c r="E1220" t="s">
        <v>86</v>
      </c>
      <c r="F1220" t="str">
        <f>SUBSTITUTE(Tab_Calculs[[#This Row],[Compteur]]," ","_")</f>
        <v>Compteur_7</v>
      </c>
      <c r="G1220" t="str">
        <f>T(INDEX(Site!$B$33:$G$40, MATCH(Tab_Calculs[[#This Row],[Compteur]], Site!$B$33:$B$40,0),2))</f>
        <v/>
      </c>
      <c r="H1220" s="3">
        <f t="array" aca="1" ref="H1220" ca="1">MIN(IF(INDIRECT(CONCATENATE(Tab_Calculs[[#This Row],[Colonne1]],"!$B$2:$B$243"))&gt;=Calculs_Consos!$A1220,INDIRECT(CONCATENATE(Tab_Calculs[[#This Row],[Colonne1]],"!$B$2:$B$243"))))</f>
        <v>0</v>
      </c>
      <c r="I1220" s="3">
        <f ca="1">INDEX(INDIRECT(CONCATENATE("Tab_",Tab_Calculs[[#This Row],[Colonne1]])),Tab_Calculs[[#This Row],[index_date_livraison]],1)</f>
        <v>0</v>
      </c>
      <c r="J1220">
        <f ca="1">MATCH(Tab_Calculs[[#This Row],[Date_livraison]],INDIRECT(CONCATENATE("Tab_",Tab_Calculs[[#This Row],[Colonne1]],"[Fin de période]")),0)</f>
        <v>1</v>
      </c>
      <c r="K1220" t="e">
        <f ca="1">INDEX(INDIRECT(CONCATENATE("Tab_",Tab_Calculs[[#This Row],[Colonne1]])),Tab_Calculs[[#This Row],[index_date_livraison]]-1,6)*(MAX(Tab_Calculs[[#This Row],[Début periode livraison]],Tab_Calculs[[#This Row],[Début mois]])-Tab_Calculs[[#This Row],[Début mois]])</f>
        <v>#VALUE!</v>
      </c>
      <c r="L1220" s="94">
        <f ca="1">INDEX(INDIRECT(CONCATENATE("Tab_",Tab_Calculs[[#This Row],[Colonne1]])),Tab_Calculs[[#This Row],[index_date_livraison]],6)*(1+MIN(Tab_Calculs[[#This Row],[Date_livraison]],Tab_Calculs[[#This Row],[fin mois]])-MAX(Tab_Calculs[[#This Row],[Début mois]],Tab_Calculs[[#This Row],[Début periode livraison]]))</f>
        <v>0</v>
      </c>
      <c r="M1220" s="94" t="e">
        <f ca="1">INDEX(INDIRECT(CONCATENATE("Tab_",Tab_Calculs[[#This Row],[Colonne1]])),Tab_Calculs[[#This Row],[index_date_livraison]]+1,6)*(Tab_Calculs[[#This Row],[fin mois]]-MIN(Tab_Calculs[[#This Row],[fin mois]],Tab_Calculs[[#This Row],[Date_livraison]]))</f>
        <v>#VALUE!</v>
      </c>
      <c r="N1220" s="231" t="str">
        <f ca="1">IFERROR(Tab_Calculs[[#This Row],[Ratio_jour_après_livr]]+Tab_Calculs[[#This Row],[Ratio_jour_avant_livr]]+Tab_Calculs[[#This Row],[ratio_avant_debut]],"")</f>
        <v/>
      </c>
      <c r="O1220" t="e">
        <f ca="1">INDEX(INDIRECT(CONCATENATE("Tab_",Tab_Calculs[[#This Row],[Colonne1]])),Tab_Calculs[[#This Row],[index_date_livraison]]-1,7)*(MAX(Tab_Calculs[[#This Row],[Début periode livraison]],Tab_Calculs[[#This Row],[Début mois]])-Tab_Calculs[[#This Row],[Début mois]])</f>
        <v>#VALUE!</v>
      </c>
      <c r="P1220">
        <f ca="1">INDEX(INDIRECT(CONCATENATE("Tab_",Tab_Calculs[[#This Row],[Colonne1]])),Tab_Calculs[[#This Row],[index_date_livraison]],7)*(1+MIN(Tab_Calculs[[#This Row],[Date_livraison]],Tab_Calculs[[#This Row],[fin mois]])-MAX(Tab_Calculs[[#This Row],[Début mois]],Tab_Calculs[[#This Row],[Début periode livraison]]))</f>
        <v>0</v>
      </c>
      <c r="Q1220" t="e">
        <f ca="1">INDEX(INDIRECT(CONCATENATE("Tab_",Tab_Calculs[[#This Row],[Colonne1]])),Tab_Calculs[[#This Row],[index_date_livraison]]+1,7)*(Tab_Calculs[[#This Row],[fin mois]]-MIN(Tab_Calculs[[#This Row],[fin mois]],Tab_Calculs[[#This Row],[Date_livraison]]))</f>
        <v>#VALUE!</v>
      </c>
      <c r="R1220" t="e">
        <f ca="1">Tab_Calculs[[#This Row],[Ratio_Cout_après_livr]]+Tab_Calculs[[#This Row],[Ratio_Cout_avant_livr]]+Tab_Calculs[[#This Row],[Ratio_Cout_avant_debut]]</f>
        <v>#VALUE!</v>
      </c>
      <c r="S1220" t="str">
        <f ca="1">IFERROR(N1220*VLOOKUP(Tab_Calculs[[#This Row],[Colonne1]],Controle_des_données!$B$7:$G$14,6,FALSE),"")</f>
        <v/>
      </c>
      <c r="T1220" t="str">
        <f ca="1">IF(Tab_Calculs[[#This Row],[Combustible ]]="Electricité (kWh)",Tab_Calculs[[#This Row],[Conso_mois_kWh]]*2.3,Tab_Calculs[[#This Row],[Conso_mois_kWh]])</f>
        <v/>
      </c>
      <c r="U1220" t="str">
        <f ca="1">IFERROR(N1220*VLOOKUP(Tab_Calculs[[#This Row],[Colonne1]],Controle_des_données!$B$7:$H$14,7,FALSE),"")</f>
        <v/>
      </c>
      <c r="V1220">
        <f ca="1">IFERROR(Tab_Calculs[[#This Row],[Cout_mois]]/Tab_Calculs[[#This Row],[Conso_mois_kWh]],0)</f>
        <v>0</v>
      </c>
      <c r="W1220" t="str">
        <f>T(VLOOKUP(Tab_Calculs[[#This Row],[Compteur]],Site!$B$33:$G$40,3,FALSE))</f>
        <v/>
      </c>
      <c r="X1220" t="str">
        <f>T(VLOOKUP(Tab_Calculs[[#This Row],[Compteur]],Site!$B$33:$G$40,4,FALSE))</f>
        <v/>
      </c>
      <c r="Y1220" t="str">
        <f>T(VLOOKUP(Tab_Calculs[[#This Row],[Compteur]],Site!$B$33:$G$40,5,FALSE))</f>
        <v/>
      </c>
      <c r="Z1220" t="str">
        <f>T(VLOOKUP(Tab_Calculs[[#This Row],[Compteur]],Site!$B$33:$G$40,6,FALSE))</f>
        <v/>
      </c>
      <c r="AA1220">
        <f>IFERROR(GETPIVOTDATA("DJU(chauffagiste)",BDD_DJU!$P$13,"annee",Tab_Calculs[[#This Row],[ANNEE]],"mois_numero",Tab_Calculs[[#This Row],[MOIS]]),0)</f>
        <v>374.8</v>
      </c>
    </row>
    <row r="1221" spans="1:27" x14ac:dyDescent="0.25">
      <c r="A1221" s="3">
        <f>DATE(Tab_Calculs[[#This Row],[ANNEE]],Tab_Calculs[[#This Row],[MOIS]],1)</f>
        <v>42005</v>
      </c>
      <c r="B1221" s="3">
        <f>EDATE(Tab_Calculs[[#This Row],[Début mois]],1)-1</f>
        <v>42035</v>
      </c>
      <c r="C1221">
        <v>1</v>
      </c>
      <c r="D1221">
        <f>D1209+1</f>
        <v>2015</v>
      </c>
      <c r="E1221" t="s">
        <v>86</v>
      </c>
      <c r="F1221" t="str">
        <f>SUBSTITUTE(Tab_Calculs[[#This Row],[Compteur]]," ","_")</f>
        <v>Compteur_7</v>
      </c>
      <c r="G1221" t="str">
        <f>T(INDEX(Site!$B$33:$G$40, MATCH(Tab_Calculs[[#This Row],[Compteur]], Site!$B$33:$B$40,0),2))</f>
        <v/>
      </c>
      <c r="H1221" s="3">
        <f t="array" aca="1" ref="H1221" ca="1">MIN(IF(INDIRECT(CONCATENATE(Tab_Calculs[[#This Row],[Colonne1]],"!$B$2:$B$243"))&gt;=Calculs_Consos!$A1221,INDIRECT(CONCATENATE(Tab_Calculs[[#This Row],[Colonne1]],"!$B$2:$B$243"))))</f>
        <v>0</v>
      </c>
      <c r="I1221" s="3">
        <f ca="1">INDEX(INDIRECT(CONCATENATE("Tab_",Tab_Calculs[[#This Row],[Colonne1]])),Tab_Calculs[[#This Row],[index_date_livraison]],1)</f>
        <v>0</v>
      </c>
      <c r="J1221">
        <f ca="1">MATCH(Tab_Calculs[[#This Row],[Date_livraison]],INDIRECT(CONCATENATE("Tab_",Tab_Calculs[[#This Row],[Colonne1]],"[Fin de période]")),0)</f>
        <v>1</v>
      </c>
      <c r="K1221" t="e">
        <f ca="1">INDEX(INDIRECT(CONCATENATE("Tab_",Tab_Calculs[[#This Row],[Colonne1]])),Tab_Calculs[[#This Row],[index_date_livraison]]-1,6)*(MAX(Tab_Calculs[[#This Row],[Début periode livraison]],Tab_Calculs[[#This Row],[Début mois]])-Tab_Calculs[[#This Row],[Début mois]])</f>
        <v>#VALUE!</v>
      </c>
      <c r="L1221" s="94">
        <f ca="1">INDEX(INDIRECT(CONCATENATE("Tab_",Tab_Calculs[[#This Row],[Colonne1]])),Tab_Calculs[[#This Row],[index_date_livraison]],6)*(1+MIN(Tab_Calculs[[#This Row],[Date_livraison]],Tab_Calculs[[#This Row],[fin mois]])-MAX(Tab_Calculs[[#This Row],[Début mois]],Tab_Calculs[[#This Row],[Début periode livraison]]))</f>
        <v>0</v>
      </c>
      <c r="M1221" s="94" t="e">
        <f ca="1">INDEX(INDIRECT(CONCATENATE("Tab_",Tab_Calculs[[#This Row],[Colonne1]])),Tab_Calculs[[#This Row],[index_date_livraison]]+1,6)*(Tab_Calculs[[#This Row],[fin mois]]-MIN(Tab_Calculs[[#This Row],[fin mois]],Tab_Calculs[[#This Row],[Date_livraison]]))</f>
        <v>#VALUE!</v>
      </c>
      <c r="N1221" s="231" t="str">
        <f ca="1">IFERROR(Tab_Calculs[[#This Row],[Ratio_jour_après_livr]]+Tab_Calculs[[#This Row],[Ratio_jour_avant_livr]]+Tab_Calculs[[#This Row],[ratio_avant_debut]],"")</f>
        <v/>
      </c>
      <c r="O1221" t="e">
        <f ca="1">INDEX(INDIRECT(CONCATENATE("Tab_",Tab_Calculs[[#This Row],[Colonne1]])),Tab_Calculs[[#This Row],[index_date_livraison]]-1,7)*(MAX(Tab_Calculs[[#This Row],[Début periode livraison]],Tab_Calculs[[#This Row],[Début mois]])-Tab_Calculs[[#This Row],[Début mois]])</f>
        <v>#VALUE!</v>
      </c>
      <c r="P1221">
        <f ca="1">INDEX(INDIRECT(CONCATENATE("Tab_",Tab_Calculs[[#This Row],[Colonne1]])),Tab_Calculs[[#This Row],[index_date_livraison]],7)*(1+MIN(Tab_Calculs[[#This Row],[Date_livraison]],Tab_Calculs[[#This Row],[fin mois]])-MAX(Tab_Calculs[[#This Row],[Début mois]],Tab_Calculs[[#This Row],[Début periode livraison]]))</f>
        <v>0</v>
      </c>
      <c r="Q1221" t="e">
        <f ca="1">INDEX(INDIRECT(CONCATENATE("Tab_",Tab_Calculs[[#This Row],[Colonne1]])),Tab_Calculs[[#This Row],[index_date_livraison]]+1,7)*(Tab_Calculs[[#This Row],[fin mois]]-MIN(Tab_Calculs[[#This Row],[fin mois]],Tab_Calculs[[#This Row],[Date_livraison]]))</f>
        <v>#VALUE!</v>
      </c>
      <c r="R1221" t="e">
        <f ca="1">Tab_Calculs[[#This Row],[Ratio_Cout_après_livr]]+Tab_Calculs[[#This Row],[Ratio_Cout_avant_livr]]+Tab_Calculs[[#This Row],[Ratio_Cout_avant_debut]]</f>
        <v>#VALUE!</v>
      </c>
      <c r="S1221" t="str">
        <f ca="1">IFERROR(N1221*VLOOKUP(Tab_Calculs[[#This Row],[Colonne1]],Controle_des_données!$B$7:$G$14,6,FALSE),"")</f>
        <v/>
      </c>
      <c r="T1221" t="str">
        <f ca="1">IF(Tab_Calculs[[#This Row],[Combustible ]]="Electricité (kWh)",Tab_Calculs[[#This Row],[Conso_mois_kWh]]*2.3,Tab_Calculs[[#This Row],[Conso_mois_kWh]])</f>
        <v/>
      </c>
      <c r="U1221" t="str">
        <f ca="1">IFERROR(N1221*VLOOKUP(Tab_Calculs[[#This Row],[Colonne1]],Controle_des_données!$B$7:$H$14,7,FALSE),"")</f>
        <v/>
      </c>
      <c r="V1221">
        <f ca="1">IFERROR(Tab_Calculs[[#This Row],[Cout_mois]]/Tab_Calculs[[#This Row],[Conso_mois_kWh]],0)</f>
        <v>0</v>
      </c>
      <c r="W1221" t="str">
        <f>T(VLOOKUP(Tab_Calculs[[#This Row],[Compteur]],Site!$B$33:$G$40,3,FALSE))</f>
        <v/>
      </c>
      <c r="X1221" t="str">
        <f>T(VLOOKUP(Tab_Calculs[[#This Row],[Compteur]],Site!$B$33:$G$40,4,FALSE))</f>
        <v/>
      </c>
      <c r="Y1221" t="str">
        <f>T(VLOOKUP(Tab_Calculs[[#This Row],[Compteur]],Site!$B$33:$G$40,5,FALSE))</f>
        <v/>
      </c>
      <c r="Z1221" t="str">
        <f>T(VLOOKUP(Tab_Calculs[[#This Row],[Compteur]],Site!$B$33:$G$40,6,FALSE))</f>
        <v/>
      </c>
      <c r="AA1221">
        <f>IFERROR(GETPIVOTDATA("DJU(chauffagiste)",BDD_DJU!$P$13,"annee",Tab_Calculs[[#This Row],[ANNEE]],"mois_numero",Tab_Calculs[[#This Row],[MOIS]]),0)</f>
        <v>392.1</v>
      </c>
    </row>
    <row r="1222" spans="1:27" x14ac:dyDescent="0.25">
      <c r="A1222" s="3">
        <f>DATE(Tab_Calculs[[#This Row],[ANNEE]],Tab_Calculs[[#This Row],[MOIS]],1)</f>
        <v>42036</v>
      </c>
      <c r="B1222" s="3">
        <f>EDATE(Tab_Calculs[[#This Row],[Début mois]],1)-1</f>
        <v>42063</v>
      </c>
      <c r="C1222">
        <v>2</v>
      </c>
      <c r="D1222">
        <f t="shared" ref="D1222:D1285" si="42">D1210+1</f>
        <v>2015</v>
      </c>
      <c r="E1222" t="s">
        <v>86</v>
      </c>
      <c r="F1222" t="str">
        <f>SUBSTITUTE(Tab_Calculs[[#This Row],[Compteur]]," ","_")</f>
        <v>Compteur_7</v>
      </c>
      <c r="G1222" t="str">
        <f>T(INDEX(Site!$B$33:$G$40, MATCH(Tab_Calculs[[#This Row],[Compteur]], Site!$B$33:$B$40,0),2))</f>
        <v/>
      </c>
      <c r="H1222" s="3">
        <f t="array" aca="1" ref="H1222" ca="1">MIN(IF(INDIRECT(CONCATENATE(Tab_Calculs[[#This Row],[Colonne1]],"!$B$2:$B$243"))&gt;=Calculs_Consos!$A1222,INDIRECT(CONCATENATE(Tab_Calculs[[#This Row],[Colonne1]],"!$B$2:$B$243"))))</f>
        <v>0</v>
      </c>
      <c r="I1222" s="3">
        <f ca="1">INDEX(INDIRECT(CONCATENATE("Tab_",Tab_Calculs[[#This Row],[Colonne1]])),Tab_Calculs[[#This Row],[index_date_livraison]],1)</f>
        <v>0</v>
      </c>
      <c r="J1222">
        <f ca="1">MATCH(Tab_Calculs[[#This Row],[Date_livraison]],INDIRECT(CONCATENATE("Tab_",Tab_Calculs[[#This Row],[Colonne1]],"[Fin de période]")),0)</f>
        <v>1</v>
      </c>
      <c r="K1222" t="e">
        <f ca="1">INDEX(INDIRECT(CONCATENATE("Tab_",Tab_Calculs[[#This Row],[Colonne1]])),Tab_Calculs[[#This Row],[index_date_livraison]]-1,6)*(MAX(Tab_Calculs[[#This Row],[Début periode livraison]],Tab_Calculs[[#This Row],[Début mois]])-Tab_Calculs[[#This Row],[Début mois]])</f>
        <v>#VALUE!</v>
      </c>
      <c r="L1222" s="94">
        <f ca="1">INDEX(INDIRECT(CONCATENATE("Tab_",Tab_Calculs[[#This Row],[Colonne1]])),Tab_Calculs[[#This Row],[index_date_livraison]],6)*(1+MIN(Tab_Calculs[[#This Row],[Date_livraison]],Tab_Calculs[[#This Row],[fin mois]])-MAX(Tab_Calculs[[#This Row],[Début mois]],Tab_Calculs[[#This Row],[Début periode livraison]]))</f>
        <v>0</v>
      </c>
      <c r="M1222" s="94" t="e">
        <f ca="1">INDEX(INDIRECT(CONCATENATE("Tab_",Tab_Calculs[[#This Row],[Colonne1]])),Tab_Calculs[[#This Row],[index_date_livraison]]+1,6)*(Tab_Calculs[[#This Row],[fin mois]]-MIN(Tab_Calculs[[#This Row],[fin mois]],Tab_Calculs[[#This Row],[Date_livraison]]))</f>
        <v>#VALUE!</v>
      </c>
      <c r="N1222" s="231" t="str">
        <f ca="1">IFERROR(Tab_Calculs[[#This Row],[Ratio_jour_après_livr]]+Tab_Calculs[[#This Row],[Ratio_jour_avant_livr]]+Tab_Calculs[[#This Row],[ratio_avant_debut]],"")</f>
        <v/>
      </c>
      <c r="O1222" t="e">
        <f ca="1">INDEX(INDIRECT(CONCATENATE("Tab_",Tab_Calculs[[#This Row],[Colonne1]])),Tab_Calculs[[#This Row],[index_date_livraison]]-1,7)*(MAX(Tab_Calculs[[#This Row],[Début periode livraison]],Tab_Calculs[[#This Row],[Début mois]])-Tab_Calculs[[#This Row],[Début mois]])</f>
        <v>#VALUE!</v>
      </c>
      <c r="P1222">
        <f ca="1">INDEX(INDIRECT(CONCATENATE("Tab_",Tab_Calculs[[#This Row],[Colonne1]])),Tab_Calculs[[#This Row],[index_date_livraison]],7)*(1+MIN(Tab_Calculs[[#This Row],[Date_livraison]],Tab_Calculs[[#This Row],[fin mois]])-MAX(Tab_Calculs[[#This Row],[Début mois]],Tab_Calculs[[#This Row],[Début periode livraison]]))</f>
        <v>0</v>
      </c>
      <c r="Q1222" t="e">
        <f ca="1">INDEX(INDIRECT(CONCATENATE("Tab_",Tab_Calculs[[#This Row],[Colonne1]])),Tab_Calculs[[#This Row],[index_date_livraison]]+1,7)*(Tab_Calculs[[#This Row],[fin mois]]-MIN(Tab_Calculs[[#This Row],[fin mois]],Tab_Calculs[[#This Row],[Date_livraison]]))</f>
        <v>#VALUE!</v>
      </c>
      <c r="R1222" t="e">
        <f ca="1">Tab_Calculs[[#This Row],[Ratio_Cout_après_livr]]+Tab_Calculs[[#This Row],[Ratio_Cout_avant_livr]]+Tab_Calculs[[#This Row],[Ratio_Cout_avant_debut]]</f>
        <v>#VALUE!</v>
      </c>
      <c r="S1222" t="str">
        <f ca="1">IFERROR(N1222*VLOOKUP(Tab_Calculs[[#This Row],[Colonne1]],Controle_des_données!$B$7:$G$14,6,FALSE),"")</f>
        <v/>
      </c>
      <c r="T1222" t="str">
        <f ca="1">IF(Tab_Calculs[[#This Row],[Combustible ]]="Electricité (kWh)",Tab_Calculs[[#This Row],[Conso_mois_kWh]]*2.3,Tab_Calculs[[#This Row],[Conso_mois_kWh]])</f>
        <v/>
      </c>
      <c r="U1222" t="str">
        <f ca="1">IFERROR(N1222*VLOOKUP(Tab_Calculs[[#This Row],[Colonne1]],Controle_des_données!$B$7:$H$14,7,FALSE),"")</f>
        <v/>
      </c>
      <c r="V1222">
        <f ca="1">IFERROR(Tab_Calculs[[#This Row],[Cout_mois]]/Tab_Calculs[[#This Row],[Conso_mois_kWh]],0)</f>
        <v>0</v>
      </c>
      <c r="W1222" t="str">
        <f>T(VLOOKUP(Tab_Calculs[[#This Row],[Compteur]],Site!$B$33:$G$40,3,FALSE))</f>
        <v/>
      </c>
      <c r="X1222" t="str">
        <f>T(VLOOKUP(Tab_Calculs[[#This Row],[Compteur]],Site!$B$33:$G$40,4,FALSE))</f>
        <v/>
      </c>
      <c r="Y1222" t="str">
        <f>T(VLOOKUP(Tab_Calculs[[#This Row],[Compteur]],Site!$B$33:$G$40,5,FALSE))</f>
        <v/>
      </c>
      <c r="Z1222" t="str">
        <f>T(VLOOKUP(Tab_Calculs[[#This Row],[Compteur]],Site!$B$33:$G$40,6,FALSE))</f>
        <v/>
      </c>
      <c r="AA1222">
        <f>IFERROR(GETPIVOTDATA("DJU(chauffagiste)",BDD_DJU!$P$13,"annee",Tab_Calculs[[#This Row],[ANNEE]],"mois_numero",Tab_Calculs[[#This Row],[MOIS]]),0)</f>
        <v>366.9</v>
      </c>
    </row>
    <row r="1223" spans="1:27" x14ac:dyDescent="0.25">
      <c r="A1223" s="3">
        <f>DATE(Tab_Calculs[[#This Row],[ANNEE]],Tab_Calculs[[#This Row],[MOIS]],1)</f>
        <v>42064</v>
      </c>
      <c r="B1223" s="3">
        <f>EDATE(Tab_Calculs[[#This Row],[Début mois]],1)-1</f>
        <v>42094</v>
      </c>
      <c r="C1223">
        <v>3</v>
      </c>
      <c r="D1223">
        <f t="shared" si="42"/>
        <v>2015</v>
      </c>
      <c r="E1223" t="s">
        <v>86</v>
      </c>
      <c r="F1223" t="str">
        <f>SUBSTITUTE(Tab_Calculs[[#This Row],[Compteur]]," ","_")</f>
        <v>Compteur_7</v>
      </c>
      <c r="G1223" t="str">
        <f>T(INDEX(Site!$B$33:$G$40, MATCH(Tab_Calculs[[#This Row],[Compteur]], Site!$B$33:$B$40,0),2))</f>
        <v/>
      </c>
      <c r="H1223" s="3">
        <f t="array" aca="1" ref="H1223" ca="1">MIN(IF(INDIRECT(CONCATENATE(Tab_Calculs[[#This Row],[Colonne1]],"!$B$2:$B$243"))&gt;=Calculs_Consos!$A1223,INDIRECT(CONCATENATE(Tab_Calculs[[#This Row],[Colonne1]],"!$B$2:$B$243"))))</f>
        <v>0</v>
      </c>
      <c r="I1223" s="3">
        <f ca="1">INDEX(INDIRECT(CONCATENATE("Tab_",Tab_Calculs[[#This Row],[Colonne1]])),Tab_Calculs[[#This Row],[index_date_livraison]],1)</f>
        <v>0</v>
      </c>
      <c r="J1223">
        <f ca="1">MATCH(Tab_Calculs[[#This Row],[Date_livraison]],INDIRECT(CONCATENATE("Tab_",Tab_Calculs[[#This Row],[Colonne1]],"[Fin de période]")),0)</f>
        <v>1</v>
      </c>
      <c r="K1223" t="e">
        <f ca="1">INDEX(INDIRECT(CONCATENATE("Tab_",Tab_Calculs[[#This Row],[Colonne1]])),Tab_Calculs[[#This Row],[index_date_livraison]]-1,6)*(MAX(Tab_Calculs[[#This Row],[Début periode livraison]],Tab_Calculs[[#This Row],[Début mois]])-Tab_Calculs[[#This Row],[Début mois]])</f>
        <v>#VALUE!</v>
      </c>
      <c r="L1223" s="94">
        <f ca="1">INDEX(INDIRECT(CONCATENATE("Tab_",Tab_Calculs[[#This Row],[Colonne1]])),Tab_Calculs[[#This Row],[index_date_livraison]],6)*(1+MIN(Tab_Calculs[[#This Row],[Date_livraison]],Tab_Calculs[[#This Row],[fin mois]])-MAX(Tab_Calculs[[#This Row],[Début mois]],Tab_Calculs[[#This Row],[Début periode livraison]]))</f>
        <v>0</v>
      </c>
      <c r="M1223" s="94" t="e">
        <f ca="1">INDEX(INDIRECT(CONCATENATE("Tab_",Tab_Calculs[[#This Row],[Colonne1]])),Tab_Calculs[[#This Row],[index_date_livraison]]+1,6)*(Tab_Calculs[[#This Row],[fin mois]]-MIN(Tab_Calculs[[#This Row],[fin mois]],Tab_Calculs[[#This Row],[Date_livraison]]))</f>
        <v>#VALUE!</v>
      </c>
      <c r="N1223" s="231" t="str">
        <f ca="1">IFERROR(Tab_Calculs[[#This Row],[Ratio_jour_après_livr]]+Tab_Calculs[[#This Row],[Ratio_jour_avant_livr]]+Tab_Calculs[[#This Row],[ratio_avant_debut]],"")</f>
        <v/>
      </c>
      <c r="O1223" t="e">
        <f ca="1">INDEX(INDIRECT(CONCATENATE("Tab_",Tab_Calculs[[#This Row],[Colonne1]])),Tab_Calculs[[#This Row],[index_date_livraison]]-1,7)*(MAX(Tab_Calculs[[#This Row],[Début periode livraison]],Tab_Calculs[[#This Row],[Début mois]])-Tab_Calculs[[#This Row],[Début mois]])</f>
        <v>#VALUE!</v>
      </c>
      <c r="P1223">
        <f ca="1">INDEX(INDIRECT(CONCATENATE("Tab_",Tab_Calculs[[#This Row],[Colonne1]])),Tab_Calculs[[#This Row],[index_date_livraison]],7)*(1+MIN(Tab_Calculs[[#This Row],[Date_livraison]],Tab_Calculs[[#This Row],[fin mois]])-MAX(Tab_Calculs[[#This Row],[Début mois]],Tab_Calculs[[#This Row],[Début periode livraison]]))</f>
        <v>0</v>
      </c>
      <c r="Q1223" t="e">
        <f ca="1">INDEX(INDIRECT(CONCATENATE("Tab_",Tab_Calculs[[#This Row],[Colonne1]])),Tab_Calculs[[#This Row],[index_date_livraison]]+1,7)*(Tab_Calculs[[#This Row],[fin mois]]-MIN(Tab_Calculs[[#This Row],[fin mois]],Tab_Calculs[[#This Row],[Date_livraison]]))</f>
        <v>#VALUE!</v>
      </c>
      <c r="R1223" t="e">
        <f ca="1">Tab_Calculs[[#This Row],[Ratio_Cout_après_livr]]+Tab_Calculs[[#This Row],[Ratio_Cout_avant_livr]]+Tab_Calculs[[#This Row],[Ratio_Cout_avant_debut]]</f>
        <v>#VALUE!</v>
      </c>
      <c r="S1223" t="str">
        <f ca="1">IFERROR(N1223*VLOOKUP(Tab_Calculs[[#This Row],[Colonne1]],Controle_des_données!$B$7:$G$14,6,FALSE),"")</f>
        <v/>
      </c>
      <c r="T1223" t="str">
        <f ca="1">IF(Tab_Calculs[[#This Row],[Combustible ]]="Electricité (kWh)",Tab_Calculs[[#This Row],[Conso_mois_kWh]]*2.3,Tab_Calculs[[#This Row],[Conso_mois_kWh]])</f>
        <v/>
      </c>
      <c r="U1223" t="str">
        <f ca="1">IFERROR(N1223*VLOOKUP(Tab_Calculs[[#This Row],[Colonne1]],Controle_des_données!$B$7:$H$14,7,FALSE),"")</f>
        <v/>
      </c>
      <c r="V1223">
        <f ca="1">IFERROR(Tab_Calculs[[#This Row],[Cout_mois]]/Tab_Calculs[[#This Row],[Conso_mois_kWh]],0)</f>
        <v>0</v>
      </c>
      <c r="W1223" t="str">
        <f>T(VLOOKUP(Tab_Calculs[[#This Row],[Compteur]],Site!$B$33:$G$40,3,FALSE))</f>
        <v/>
      </c>
      <c r="X1223" t="str">
        <f>T(VLOOKUP(Tab_Calculs[[#This Row],[Compteur]],Site!$B$33:$G$40,4,FALSE))</f>
        <v/>
      </c>
      <c r="Y1223" t="str">
        <f>T(VLOOKUP(Tab_Calculs[[#This Row],[Compteur]],Site!$B$33:$G$40,5,FALSE))</f>
        <v/>
      </c>
      <c r="Z1223" t="str">
        <f>T(VLOOKUP(Tab_Calculs[[#This Row],[Compteur]],Site!$B$33:$G$40,6,FALSE))</f>
        <v/>
      </c>
      <c r="AA1223">
        <f>IFERROR(GETPIVOTDATA("DJU(chauffagiste)",BDD_DJU!$P$13,"annee",Tab_Calculs[[#This Row],[ANNEE]],"mois_numero",Tab_Calculs[[#This Row],[MOIS]]),0)</f>
        <v>303.8</v>
      </c>
    </row>
    <row r="1224" spans="1:27" x14ac:dyDescent="0.25">
      <c r="A1224" s="3">
        <f>DATE(Tab_Calculs[[#This Row],[ANNEE]],Tab_Calculs[[#This Row],[MOIS]],1)</f>
        <v>42095</v>
      </c>
      <c r="B1224" s="3">
        <f>EDATE(Tab_Calculs[[#This Row],[Début mois]],1)-1</f>
        <v>42124</v>
      </c>
      <c r="C1224">
        <v>4</v>
      </c>
      <c r="D1224">
        <f t="shared" si="42"/>
        <v>2015</v>
      </c>
      <c r="E1224" t="s">
        <v>86</v>
      </c>
      <c r="F1224" t="str">
        <f>SUBSTITUTE(Tab_Calculs[[#This Row],[Compteur]]," ","_")</f>
        <v>Compteur_7</v>
      </c>
      <c r="G1224" t="str">
        <f>T(INDEX(Site!$B$33:$G$40, MATCH(Tab_Calculs[[#This Row],[Compteur]], Site!$B$33:$B$40,0),2))</f>
        <v/>
      </c>
      <c r="H1224" s="3">
        <f t="array" aca="1" ref="H1224" ca="1">MIN(IF(INDIRECT(CONCATENATE(Tab_Calculs[[#This Row],[Colonne1]],"!$B$2:$B$243"))&gt;=Calculs_Consos!$A1224,INDIRECT(CONCATENATE(Tab_Calculs[[#This Row],[Colonne1]],"!$B$2:$B$243"))))</f>
        <v>0</v>
      </c>
      <c r="I1224" s="3">
        <f ca="1">INDEX(INDIRECT(CONCATENATE("Tab_",Tab_Calculs[[#This Row],[Colonne1]])),Tab_Calculs[[#This Row],[index_date_livraison]],1)</f>
        <v>0</v>
      </c>
      <c r="J1224">
        <f ca="1">MATCH(Tab_Calculs[[#This Row],[Date_livraison]],INDIRECT(CONCATENATE("Tab_",Tab_Calculs[[#This Row],[Colonne1]],"[Fin de période]")),0)</f>
        <v>1</v>
      </c>
      <c r="K1224" t="e">
        <f ca="1">INDEX(INDIRECT(CONCATENATE("Tab_",Tab_Calculs[[#This Row],[Colonne1]])),Tab_Calculs[[#This Row],[index_date_livraison]]-1,6)*(MAX(Tab_Calculs[[#This Row],[Début periode livraison]],Tab_Calculs[[#This Row],[Début mois]])-Tab_Calculs[[#This Row],[Début mois]])</f>
        <v>#VALUE!</v>
      </c>
      <c r="L1224" s="94">
        <f ca="1">INDEX(INDIRECT(CONCATENATE("Tab_",Tab_Calculs[[#This Row],[Colonne1]])),Tab_Calculs[[#This Row],[index_date_livraison]],6)*(1+MIN(Tab_Calculs[[#This Row],[Date_livraison]],Tab_Calculs[[#This Row],[fin mois]])-MAX(Tab_Calculs[[#This Row],[Début mois]],Tab_Calculs[[#This Row],[Début periode livraison]]))</f>
        <v>0</v>
      </c>
      <c r="M1224" s="94" t="e">
        <f ca="1">INDEX(INDIRECT(CONCATENATE("Tab_",Tab_Calculs[[#This Row],[Colonne1]])),Tab_Calculs[[#This Row],[index_date_livraison]]+1,6)*(Tab_Calculs[[#This Row],[fin mois]]-MIN(Tab_Calculs[[#This Row],[fin mois]],Tab_Calculs[[#This Row],[Date_livraison]]))</f>
        <v>#VALUE!</v>
      </c>
      <c r="N1224" s="231" t="str">
        <f ca="1">IFERROR(Tab_Calculs[[#This Row],[Ratio_jour_après_livr]]+Tab_Calculs[[#This Row],[Ratio_jour_avant_livr]]+Tab_Calculs[[#This Row],[ratio_avant_debut]],"")</f>
        <v/>
      </c>
      <c r="O1224" t="e">
        <f ca="1">INDEX(INDIRECT(CONCATENATE("Tab_",Tab_Calculs[[#This Row],[Colonne1]])),Tab_Calculs[[#This Row],[index_date_livraison]]-1,7)*(MAX(Tab_Calculs[[#This Row],[Début periode livraison]],Tab_Calculs[[#This Row],[Début mois]])-Tab_Calculs[[#This Row],[Début mois]])</f>
        <v>#VALUE!</v>
      </c>
      <c r="P1224">
        <f ca="1">INDEX(INDIRECT(CONCATENATE("Tab_",Tab_Calculs[[#This Row],[Colonne1]])),Tab_Calculs[[#This Row],[index_date_livraison]],7)*(1+MIN(Tab_Calculs[[#This Row],[Date_livraison]],Tab_Calculs[[#This Row],[fin mois]])-MAX(Tab_Calculs[[#This Row],[Début mois]],Tab_Calculs[[#This Row],[Début periode livraison]]))</f>
        <v>0</v>
      </c>
      <c r="Q1224" t="e">
        <f ca="1">INDEX(INDIRECT(CONCATENATE("Tab_",Tab_Calculs[[#This Row],[Colonne1]])),Tab_Calculs[[#This Row],[index_date_livraison]]+1,7)*(Tab_Calculs[[#This Row],[fin mois]]-MIN(Tab_Calculs[[#This Row],[fin mois]],Tab_Calculs[[#This Row],[Date_livraison]]))</f>
        <v>#VALUE!</v>
      </c>
      <c r="R1224" t="e">
        <f ca="1">Tab_Calculs[[#This Row],[Ratio_Cout_après_livr]]+Tab_Calculs[[#This Row],[Ratio_Cout_avant_livr]]+Tab_Calculs[[#This Row],[Ratio_Cout_avant_debut]]</f>
        <v>#VALUE!</v>
      </c>
      <c r="S1224" t="str">
        <f ca="1">IFERROR(N1224*VLOOKUP(Tab_Calculs[[#This Row],[Colonne1]],Controle_des_données!$B$7:$G$14,6,FALSE),"")</f>
        <v/>
      </c>
      <c r="T1224" t="str">
        <f ca="1">IF(Tab_Calculs[[#This Row],[Combustible ]]="Electricité (kWh)",Tab_Calculs[[#This Row],[Conso_mois_kWh]]*2.3,Tab_Calculs[[#This Row],[Conso_mois_kWh]])</f>
        <v/>
      </c>
      <c r="U1224" t="str">
        <f ca="1">IFERROR(N1224*VLOOKUP(Tab_Calculs[[#This Row],[Colonne1]],Controle_des_données!$B$7:$H$14,7,FALSE),"")</f>
        <v/>
      </c>
      <c r="V1224">
        <f ca="1">IFERROR(Tab_Calculs[[#This Row],[Cout_mois]]/Tab_Calculs[[#This Row],[Conso_mois_kWh]],0)</f>
        <v>0</v>
      </c>
      <c r="W1224" t="str">
        <f>T(VLOOKUP(Tab_Calculs[[#This Row],[Compteur]],Site!$B$33:$G$40,3,FALSE))</f>
        <v/>
      </c>
      <c r="X1224" t="str">
        <f>T(VLOOKUP(Tab_Calculs[[#This Row],[Compteur]],Site!$B$33:$G$40,4,FALSE))</f>
        <v/>
      </c>
      <c r="Y1224" t="str">
        <f>T(VLOOKUP(Tab_Calculs[[#This Row],[Compteur]],Site!$B$33:$G$40,5,FALSE))</f>
        <v/>
      </c>
      <c r="Z1224" t="str">
        <f>T(VLOOKUP(Tab_Calculs[[#This Row],[Compteur]],Site!$B$33:$G$40,6,FALSE))</f>
        <v/>
      </c>
      <c r="AA1224">
        <f>IFERROR(GETPIVOTDATA("DJU(chauffagiste)",BDD_DJU!$P$13,"annee",Tab_Calculs[[#This Row],[ANNEE]],"mois_numero",Tab_Calculs[[#This Row],[MOIS]]),0)</f>
        <v>166.6</v>
      </c>
    </row>
    <row r="1225" spans="1:27" x14ac:dyDescent="0.25">
      <c r="A1225" s="3">
        <f>DATE(Tab_Calculs[[#This Row],[ANNEE]],Tab_Calculs[[#This Row],[MOIS]],1)</f>
        <v>42125</v>
      </c>
      <c r="B1225" s="3">
        <f>EDATE(Tab_Calculs[[#This Row],[Début mois]],1)-1</f>
        <v>42155</v>
      </c>
      <c r="C1225">
        <v>5</v>
      </c>
      <c r="D1225">
        <f t="shared" si="42"/>
        <v>2015</v>
      </c>
      <c r="E1225" t="s">
        <v>86</v>
      </c>
      <c r="F1225" t="str">
        <f>SUBSTITUTE(Tab_Calculs[[#This Row],[Compteur]]," ","_")</f>
        <v>Compteur_7</v>
      </c>
      <c r="G1225" t="str">
        <f>T(INDEX(Site!$B$33:$G$40, MATCH(Tab_Calculs[[#This Row],[Compteur]], Site!$B$33:$B$40,0),2))</f>
        <v/>
      </c>
      <c r="H1225" s="3">
        <f t="array" aca="1" ref="H1225" ca="1">MIN(IF(INDIRECT(CONCATENATE(Tab_Calculs[[#This Row],[Colonne1]],"!$B$2:$B$243"))&gt;=Calculs_Consos!$A1225,INDIRECT(CONCATENATE(Tab_Calculs[[#This Row],[Colonne1]],"!$B$2:$B$243"))))</f>
        <v>0</v>
      </c>
      <c r="I1225" s="3">
        <f ca="1">INDEX(INDIRECT(CONCATENATE("Tab_",Tab_Calculs[[#This Row],[Colonne1]])),Tab_Calculs[[#This Row],[index_date_livraison]],1)</f>
        <v>0</v>
      </c>
      <c r="J1225">
        <f ca="1">MATCH(Tab_Calculs[[#This Row],[Date_livraison]],INDIRECT(CONCATENATE("Tab_",Tab_Calculs[[#This Row],[Colonne1]],"[Fin de période]")),0)</f>
        <v>1</v>
      </c>
      <c r="K1225" t="e">
        <f ca="1">INDEX(INDIRECT(CONCATENATE("Tab_",Tab_Calculs[[#This Row],[Colonne1]])),Tab_Calculs[[#This Row],[index_date_livraison]]-1,6)*(MAX(Tab_Calculs[[#This Row],[Début periode livraison]],Tab_Calculs[[#This Row],[Début mois]])-Tab_Calculs[[#This Row],[Début mois]])</f>
        <v>#VALUE!</v>
      </c>
      <c r="L1225" s="94">
        <f ca="1">INDEX(INDIRECT(CONCATENATE("Tab_",Tab_Calculs[[#This Row],[Colonne1]])),Tab_Calculs[[#This Row],[index_date_livraison]],6)*(1+MIN(Tab_Calculs[[#This Row],[Date_livraison]],Tab_Calculs[[#This Row],[fin mois]])-MAX(Tab_Calculs[[#This Row],[Début mois]],Tab_Calculs[[#This Row],[Début periode livraison]]))</f>
        <v>0</v>
      </c>
      <c r="M1225" s="94" t="e">
        <f ca="1">INDEX(INDIRECT(CONCATENATE("Tab_",Tab_Calculs[[#This Row],[Colonne1]])),Tab_Calculs[[#This Row],[index_date_livraison]]+1,6)*(Tab_Calculs[[#This Row],[fin mois]]-MIN(Tab_Calculs[[#This Row],[fin mois]],Tab_Calculs[[#This Row],[Date_livraison]]))</f>
        <v>#VALUE!</v>
      </c>
      <c r="N1225" s="231" t="str">
        <f ca="1">IFERROR(Tab_Calculs[[#This Row],[Ratio_jour_après_livr]]+Tab_Calculs[[#This Row],[Ratio_jour_avant_livr]]+Tab_Calculs[[#This Row],[ratio_avant_debut]],"")</f>
        <v/>
      </c>
      <c r="O1225" t="e">
        <f ca="1">INDEX(INDIRECT(CONCATENATE("Tab_",Tab_Calculs[[#This Row],[Colonne1]])),Tab_Calculs[[#This Row],[index_date_livraison]]-1,7)*(MAX(Tab_Calculs[[#This Row],[Début periode livraison]],Tab_Calculs[[#This Row],[Début mois]])-Tab_Calculs[[#This Row],[Début mois]])</f>
        <v>#VALUE!</v>
      </c>
      <c r="P1225">
        <f ca="1">INDEX(INDIRECT(CONCATENATE("Tab_",Tab_Calculs[[#This Row],[Colonne1]])),Tab_Calculs[[#This Row],[index_date_livraison]],7)*(1+MIN(Tab_Calculs[[#This Row],[Date_livraison]],Tab_Calculs[[#This Row],[fin mois]])-MAX(Tab_Calculs[[#This Row],[Début mois]],Tab_Calculs[[#This Row],[Début periode livraison]]))</f>
        <v>0</v>
      </c>
      <c r="Q1225" t="e">
        <f ca="1">INDEX(INDIRECT(CONCATENATE("Tab_",Tab_Calculs[[#This Row],[Colonne1]])),Tab_Calculs[[#This Row],[index_date_livraison]]+1,7)*(Tab_Calculs[[#This Row],[fin mois]]-MIN(Tab_Calculs[[#This Row],[fin mois]],Tab_Calculs[[#This Row],[Date_livraison]]))</f>
        <v>#VALUE!</v>
      </c>
      <c r="R1225" t="e">
        <f ca="1">Tab_Calculs[[#This Row],[Ratio_Cout_après_livr]]+Tab_Calculs[[#This Row],[Ratio_Cout_avant_livr]]+Tab_Calculs[[#This Row],[Ratio_Cout_avant_debut]]</f>
        <v>#VALUE!</v>
      </c>
      <c r="S1225" t="str">
        <f ca="1">IFERROR(N1225*VLOOKUP(Tab_Calculs[[#This Row],[Colonne1]],Controle_des_données!$B$7:$G$14,6,FALSE),"")</f>
        <v/>
      </c>
      <c r="T1225" t="str">
        <f ca="1">IF(Tab_Calculs[[#This Row],[Combustible ]]="Electricité (kWh)",Tab_Calculs[[#This Row],[Conso_mois_kWh]]*2.3,Tab_Calculs[[#This Row],[Conso_mois_kWh]])</f>
        <v/>
      </c>
      <c r="U1225" t="str">
        <f ca="1">IFERROR(N1225*VLOOKUP(Tab_Calculs[[#This Row],[Colonne1]],Controle_des_données!$B$7:$H$14,7,FALSE),"")</f>
        <v/>
      </c>
      <c r="V1225">
        <f ca="1">IFERROR(Tab_Calculs[[#This Row],[Cout_mois]]/Tab_Calculs[[#This Row],[Conso_mois_kWh]],0)</f>
        <v>0</v>
      </c>
      <c r="W1225" t="str">
        <f>T(VLOOKUP(Tab_Calculs[[#This Row],[Compteur]],Site!$B$33:$G$40,3,FALSE))</f>
        <v/>
      </c>
      <c r="X1225" t="str">
        <f>T(VLOOKUP(Tab_Calculs[[#This Row],[Compteur]],Site!$B$33:$G$40,4,FALSE))</f>
        <v/>
      </c>
      <c r="Y1225" t="str">
        <f>T(VLOOKUP(Tab_Calculs[[#This Row],[Compteur]],Site!$B$33:$G$40,5,FALSE))</f>
        <v/>
      </c>
      <c r="Z1225" t="str">
        <f>T(VLOOKUP(Tab_Calculs[[#This Row],[Compteur]],Site!$B$33:$G$40,6,FALSE))</f>
        <v/>
      </c>
      <c r="AA1225">
        <f>IFERROR(GETPIVOTDATA("DJU(chauffagiste)",BDD_DJU!$P$13,"annee",Tab_Calculs[[#This Row],[ANNEE]],"mois_numero",Tab_Calculs[[#This Row],[MOIS]]),0)</f>
        <v>119.9</v>
      </c>
    </row>
    <row r="1226" spans="1:27" x14ac:dyDescent="0.25">
      <c r="A1226" s="3">
        <f>DATE(Tab_Calculs[[#This Row],[ANNEE]],Tab_Calculs[[#This Row],[MOIS]],1)</f>
        <v>42156</v>
      </c>
      <c r="B1226" s="3">
        <f>EDATE(Tab_Calculs[[#This Row],[Début mois]],1)-1</f>
        <v>42185</v>
      </c>
      <c r="C1226">
        <v>6</v>
      </c>
      <c r="D1226">
        <f t="shared" si="42"/>
        <v>2015</v>
      </c>
      <c r="E1226" t="s">
        <v>86</v>
      </c>
      <c r="F1226" t="str">
        <f>SUBSTITUTE(Tab_Calculs[[#This Row],[Compteur]]," ","_")</f>
        <v>Compteur_7</v>
      </c>
      <c r="G1226" t="str">
        <f>T(INDEX(Site!$B$33:$G$40, MATCH(Tab_Calculs[[#This Row],[Compteur]], Site!$B$33:$B$40,0),2))</f>
        <v/>
      </c>
      <c r="H1226" s="3">
        <f t="array" aca="1" ref="H1226" ca="1">MIN(IF(INDIRECT(CONCATENATE(Tab_Calculs[[#This Row],[Colonne1]],"!$B$2:$B$243"))&gt;=Calculs_Consos!$A1226,INDIRECT(CONCATENATE(Tab_Calculs[[#This Row],[Colonne1]],"!$B$2:$B$243"))))</f>
        <v>0</v>
      </c>
      <c r="I1226" s="3">
        <f ca="1">INDEX(INDIRECT(CONCATENATE("Tab_",Tab_Calculs[[#This Row],[Colonne1]])),Tab_Calculs[[#This Row],[index_date_livraison]],1)</f>
        <v>0</v>
      </c>
      <c r="J1226">
        <f ca="1">MATCH(Tab_Calculs[[#This Row],[Date_livraison]],INDIRECT(CONCATENATE("Tab_",Tab_Calculs[[#This Row],[Colonne1]],"[Fin de période]")),0)</f>
        <v>1</v>
      </c>
      <c r="K1226" t="e">
        <f ca="1">INDEX(INDIRECT(CONCATENATE("Tab_",Tab_Calculs[[#This Row],[Colonne1]])),Tab_Calculs[[#This Row],[index_date_livraison]]-1,6)*(MAX(Tab_Calculs[[#This Row],[Début periode livraison]],Tab_Calculs[[#This Row],[Début mois]])-Tab_Calculs[[#This Row],[Début mois]])</f>
        <v>#VALUE!</v>
      </c>
      <c r="L1226" s="94">
        <f ca="1">INDEX(INDIRECT(CONCATENATE("Tab_",Tab_Calculs[[#This Row],[Colonne1]])),Tab_Calculs[[#This Row],[index_date_livraison]],6)*(1+MIN(Tab_Calculs[[#This Row],[Date_livraison]],Tab_Calculs[[#This Row],[fin mois]])-MAX(Tab_Calculs[[#This Row],[Début mois]],Tab_Calculs[[#This Row],[Début periode livraison]]))</f>
        <v>0</v>
      </c>
      <c r="M1226" s="94" t="e">
        <f ca="1">INDEX(INDIRECT(CONCATENATE("Tab_",Tab_Calculs[[#This Row],[Colonne1]])),Tab_Calculs[[#This Row],[index_date_livraison]]+1,6)*(Tab_Calculs[[#This Row],[fin mois]]-MIN(Tab_Calculs[[#This Row],[fin mois]],Tab_Calculs[[#This Row],[Date_livraison]]))</f>
        <v>#VALUE!</v>
      </c>
      <c r="N1226" s="231" t="str">
        <f ca="1">IFERROR(Tab_Calculs[[#This Row],[Ratio_jour_après_livr]]+Tab_Calculs[[#This Row],[Ratio_jour_avant_livr]]+Tab_Calculs[[#This Row],[ratio_avant_debut]],"")</f>
        <v/>
      </c>
      <c r="O1226" t="e">
        <f ca="1">INDEX(INDIRECT(CONCATENATE("Tab_",Tab_Calculs[[#This Row],[Colonne1]])),Tab_Calculs[[#This Row],[index_date_livraison]]-1,7)*(MAX(Tab_Calculs[[#This Row],[Début periode livraison]],Tab_Calculs[[#This Row],[Début mois]])-Tab_Calculs[[#This Row],[Début mois]])</f>
        <v>#VALUE!</v>
      </c>
      <c r="P1226">
        <f ca="1">INDEX(INDIRECT(CONCATENATE("Tab_",Tab_Calculs[[#This Row],[Colonne1]])),Tab_Calculs[[#This Row],[index_date_livraison]],7)*(1+MIN(Tab_Calculs[[#This Row],[Date_livraison]],Tab_Calculs[[#This Row],[fin mois]])-MAX(Tab_Calculs[[#This Row],[Début mois]],Tab_Calculs[[#This Row],[Début periode livraison]]))</f>
        <v>0</v>
      </c>
      <c r="Q1226" t="e">
        <f ca="1">INDEX(INDIRECT(CONCATENATE("Tab_",Tab_Calculs[[#This Row],[Colonne1]])),Tab_Calculs[[#This Row],[index_date_livraison]]+1,7)*(Tab_Calculs[[#This Row],[fin mois]]-MIN(Tab_Calculs[[#This Row],[fin mois]],Tab_Calculs[[#This Row],[Date_livraison]]))</f>
        <v>#VALUE!</v>
      </c>
      <c r="R1226" t="e">
        <f ca="1">Tab_Calculs[[#This Row],[Ratio_Cout_après_livr]]+Tab_Calculs[[#This Row],[Ratio_Cout_avant_livr]]+Tab_Calculs[[#This Row],[Ratio_Cout_avant_debut]]</f>
        <v>#VALUE!</v>
      </c>
      <c r="S1226" t="str">
        <f ca="1">IFERROR(N1226*VLOOKUP(Tab_Calculs[[#This Row],[Colonne1]],Controle_des_données!$B$7:$G$14,6,FALSE),"")</f>
        <v/>
      </c>
      <c r="T1226" t="str">
        <f ca="1">IF(Tab_Calculs[[#This Row],[Combustible ]]="Electricité (kWh)",Tab_Calculs[[#This Row],[Conso_mois_kWh]]*2.3,Tab_Calculs[[#This Row],[Conso_mois_kWh]])</f>
        <v/>
      </c>
      <c r="U1226" t="str">
        <f ca="1">IFERROR(N1226*VLOOKUP(Tab_Calculs[[#This Row],[Colonne1]],Controle_des_données!$B$7:$H$14,7,FALSE),"")</f>
        <v/>
      </c>
      <c r="V1226">
        <f ca="1">IFERROR(Tab_Calculs[[#This Row],[Cout_mois]]/Tab_Calculs[[#This Row],[Conso_mois_kWh]],0)</f>
        <v>0</v>
      </c>
      <c r="W1226" t="str">
        <f>T(VLOOKUP(Tab_Calculs[[#This Row],[Compteur]],Site!$B$33:$G$40,3,FALSE))</f>
        <v/>
      </c>
      <c r="X1226" t="str">
        <f>T(VLOOKUP(Tab_Calculs[[#This Row],[Compteur]],Site!$B$33:$G$40,4,FALSE))</f>
        <v/>
      </c>
      <c r="Y1226" t="str">
        <f>T(VLOOKUP(Tab_Calculs[[#This Row],[Compteur]],Site!$B$33:$G$40,5,FALSE))</f>
        <v/>
      </c>
      <c r="Z1226" t="str">
        <f>T(VLOOKUP(Tab_Calculs[[#This Row],[Compteur]],Site!$B$33:$G$40,6,FALSE))</f>
        <v/>
      </c>
      <c r="AA1226">
        <f>IFERROR(GETPIVOTDATA("DJU(chauffagiste)",BDD_DJU!$P$13,"annee",Tab_Calculs[[#This Row],[ANNEE]],"mois_numero",Tab_Calculs[[#This Row],[MOIS]]),0)</f>
        <v>51.8</v>
      </c>
    </row>
    <row r="1227" spans="1:27" x14ac:dyDescent="0.25">
      <c r="A1227" s="3">
        <f>DATE(Tab_Calculs[[#This Row],[ANNEE]],Tab_Calculs[[#This Row],[MOIS]],1)</f>
        <v>42186</v>
      </c>
      <c r="B1227" s="3">
        <f>EDATE(Tab_Calculs[[#This Row],[Début mois]],1)-1</f>
        <v>42216</v>
      </c>
      <c r="C1227">
        <v>7</v>
      </c>
      <c r="D1227">
        <f t="shared" si="42"/>
        <v>2015</v>
      </c>
      <c r="E1227" t="s">
        <v>86</v>
      </c>
      <c r="F1227" t="str">
        <f>SUBSTITUTE(Tab_Calculs[[#This Row],[Compteur]]," ","_")</f>
        <v>Compteur_7</v>
      </c>
      <c r="G1227" t="str">
        <f>T(INDEX(Site!$B$33:$G$40, MATCH(Tab_Calculs[[#This Row],[Compteur]], Site!$B$33:$B$40,0),2))</f>
        <v/>
      </c>
      <c r="H1227" s="3">
        <f t="array" aca="1" ref="H1227" ca="1">MIN(IF(INDIRECT(CONCATENATE(Tab_Calculs[[#This Row],[Colonne1]],"!$B$2:$B$243"))&gt;=Calculs_Consos!$A1227,INDIRECT(CONCATENATE(Tab_Calculs[[#This Row],[Colonne1]],"!$B$2:$B$243"))))</f>
        <v>0</v>
      </c>
      <c r="I1227" s="3">
        <f ca="1">INDEX(INDIRECT(CONCATENATE("Tab_",Tab_Calculs[[#This Row],[Colonne1]])),Tab_Calculs[[#This Row],[index_date_livraison]],1)</f>
        <v>0</v>
      </c>
      <c r="J1227">
        <f ca="1">MATCH(Tab_Calculs[[#This Row],[Date_livraison]],INDIRECT(CONCATENATE("Tab_",Tab_Calculs[[#This Row],[Colonne1]],"[Fin de période]")),0)</f>
        <v>1</v>
      </c>
      <c r="K1227" t="e">
        <f ca="1">INDEX(INDIRECT(CONCATENATE("Tab_",Tab_Calculs[[#This Row],[Colonne1]])),Tab_Calculs[[#This Row],[index_date_livraison]]-1,6)*(MAX(Tab_Calculs[[#This Row],[Début periode livraison]],Tab_Calculs[[#This Row],[Début mois]])-Tab_Calculs[[#This Row],[Début mois]])</f>
        <v>#VALUE!</v>
      </c>
      <c r="L1227" s="94">
        <f ca="1">INDEX(INDIRECT(CONCATENATE("Tab_",Tab_Calculs[[#This Row],[Colonne1]])),Tab_Calculs[[#This Row],[index_date_livraison]],6)*(1+MIN(Tab_Calculs[[#This Row],[Date_livraison]],Tab_Calculs[[#This Row],[fin mois]])-MAX(Tab_Calculs[[#This Row],[Début mois]],Tab_Calculs[[#This Row],[Début periode livraison]]))</f>
        <v>0</v>
      </c>
      <c r="M1227" s="94" t="e">
        <f ca="1">INDEX(INDIRECT(CONCATENATE("Tab_",Tab_Calculs[[#This Row],[Colonne1]])),Tab_Calculs[[#This Row],[index_date_livraison]]+1,6)*(Tab_Calculs[[#This Row],[fin mois]]-MIN(Tab_Calculs[[#This Row],[fin mois]],Tab_Calculs[[#This Row],[Date_livraison]]))</f>
        <v>#VALUE!</v>
      </c>
      <c r="N1227" s="231" t="str">
        <f ca="1">IFERROR(Tab_Calculs[[#This Row],[Ratio_jour_après_livr]]+Tab_Calculs[[#This Row],[Ratio_jour_avant_livr]]+Tab_Calculs[[#This Row],[ratio_avant_debut]],"")</f>
        <v/>
      </c>
      <c r="O1227" t="e">
        <f ca="1">INDEX(INDIRECT(CONCATENATE("Tab_",Tab_Calculs[[#This Row],[Colonne1]])),Tab_Calculs[[#This Row],[index_date_livraison]]-1,7)*(MAX(Tab_Calculs[[#This Row],[Début periode livraison]],Tab_Calculs[[#This Row],[Début mois]])-Tab_Calculs[[#This Row],[Début mois]])</f>
        <v>#VALUE!</v>
      </c>
      <c r="P1227">
        <f ca="1">INDEX(INDIRECT(CONCATENATE("Tab_",Tab_Calculs[[#This Row],[Colonne1]])),Tab_Calculs[[#This Row],[index_date_livraison]],7)*(1+MIN(Tab_Calculs[[#This Row],[Date_livraison]],Tab_Calculs[[#This Row],[fin mois]])-MAX(Tab_Calculs[[#This Row],[Début mois]],Tab_Calculs[[#This Row],[Début periode livraison]]))</f>
        <v>0</v>
      </c>
      <c r="Q1227" t="e">
        <f ca="1">INDEX(INDIRECT(CONCATENATE("Tab_",Tab_Calculs[[#This Row],[Colonne1]])),Tab_Calculs[[#This Row],[index_date_livraison]]+1,7)*(Tab_Calculs[[#This Row],[fin mois]]-MIN(Tab_Calculs[[#This Row],[fin mois]],Tab_Calculs[[#This Row],[Date_livraison]]))</f>
        <v>#VALUE!</v>
      </c>
      <c r="R1227" t="e">
        <f ca="1">Tab_Calculs[[#This Row],[Ratio_Cout_après_livr]]+Tab_Calculs[[#This Row],[Ratio_Cout_avant_livr]]+Tab_Calculs[[#This Row],[Ratio_Cout_avant_debut]]</f>
        <v>#VALUE!</v>
      </c>
      <c r="S1227" t="str">
        <f ca="1">IFERROR(N1227*VLOOKUP(Tab_Calculs[[#This Row],[Colonne1]],Controle_des_données!$B$7:$G$14,6,FALSE),"")</f>
        <v/>
      </c>
      <c r="T1227" t="str">
        <f ca="1">IF(Tab_Calculs[[#This Row],[Combustible ]]="Electricité (kWh)",Tab_Calculs[[#This Row],[Conso_mois_kWh]]*2.3,Tab_Calculs[[#This Row],[Conso_mois_kWh]])</f>
        <v/>
      </c>
      <c r="U1227" t="str">
        <f ca="1">IFERROR(N1227*VLOOKUP(Tab_Calculs[[#This Row],[Colonne1]],Controle_des_données!$B$7:$H$14,7,FALSE),"")</f>
        <v/>
      </c>
      <c r="V1227">
        <f ca="1">IFERROR(Tab_Calculs[[#This Row],[Cout_mois]]/Tab_Calculs[[#This Row],[Conso_mois_kWh]],0)</f>
        <v>0</v>
      </c>
      <c r="W1227" t="str">
        <f>T(VLOOKUP(Tab_Calculs[[#This Row],[Compteur]],Site!$B$33:$G$40,3,FALSE))</f>
        <v/>
      </c>
      <c r="X1227" t="str">
        <f>T(VLOOKUP(Tab_Calculs[[#This Row],[Compteur]],Site!$B$33:$G$40,4,FALSE))</f>
        <v/>
      </c>
      <c r="Y1227" t="str">
        <f>T(VLOOKUP(Tab_Calculs[[#This Row],[Compteur]],Site!$B$33:$G$40,5,FALSE))</f>
        <v/>
      </c>
      <c r="Z1227" t="str">
        <f>T(VLOOKUP(Tab_Calculs[[#This Row],[Compteur]],Site!$B$33:$G$40,6,FALSE))</f>
        <v/>
      </c>
      <c r="AA1227">
        <f>IFERROR(GETPIVOTDATA("DJU(chauffagiste)",BDD_DJU!$P$13,"annee",Tab_Calculs[[#This Row],[ANNEE]],"mois_numero",Tab_Calculs[[#This Row],[MOIS]]),0)</f>
        <v>29</v>
      </c>
    </row>
    <row r="1228" spans="1:27" x14ac:dyDescent="0.25">
      <c r="A1228" s="3">
        <f>DATE(Tab_Calculs[[#This Row],[ANNEE]],Tab_Calculs[[#This Row],[MOIS]],1)</f>
        <v>42217</v>
      </c>
      <c r="B1228" s="3">
        <f>EDATE(Tab_Calculs[[#This Row],[Début mois]],1)-1</f>
        <v>42247</v>
      </c>
      <c r="C1228">
        <v>8</v>
      </c>
      <c r="D1228">
        <f t="shared" si="42"/>
        <v>2015</v>
      </c>
      <c r="E1228" t="s">
        <v>86</v>
      </c>
      <c r="F1228" t="str">
        <f>SUBSTITUTE(Tab_Calculs[[#This Row],[Compteur]]," ","_")</f>
        <v>Compteur_7</v>
      </c>
      <c r="G1228" t="str">
        <f>T(INDEX(Site!$B$33:$G$40, MATCH(Tab_Calculs[[#This Row],[Compteur]], Site!$B$33:$B$40,0),2))</f>
        <v/>
      </c>
      <c r="H1228" s="3">
        <f t="array" aca="1" ref="H1228" ca="1">MIN(IF(INDIRECT(CONCATENATE(Tab_Calculs[[#This Row],[Colonne1]],"!$B$2:$B$243"))&gt;=Calculs_Consos!$A1228,INDIRECT(CONCATENATE(Tab_Calculs[[#This Row],[Colonne1]],"!$B$2:$B$243"))))</f>
        <v>0</v>
      </c>
      <c r="I1228" s="3">
        <f ca="1">INDEX(INDIRECT(CONCATENATE("Tab_",Tab_Calculs[[#This Row],[Colonne1]])),Tab_Calculs[[#This Row],[index_date_livraison]],1)</f>
        <v>0</v>
      </c>
      <c r="J1228">
        <f ca="1">MATCH(Tab_Calculs[[#This Row],[Date_livraison]],INDIRECT(CONCATENATE("Tab_",Tab_Calculs[[#This Row],[Colonne1]],"[Fin de période]")),0)</f>
        <v>1</v>
      </c>
      <c r="K1228" t="e">
        <f ca="1">INDEX(INDIRECT(CONCATENATE("Tab_",Tab_Calculs[[#This Row],[Colonne1]])),Tab_Calculs[[#This Row],[index_date_livraison]]-1,6)*(MAX(Tab_Calculs[[#This Row],[Début periode livraison]],Tab_Calculs[[#This Row],[Début mois]])-Tab_Calculs[[#This Row],[Début mois]])</f>
        <v>#VALUE!</v>
      </c>
      <c r="L1228" s="94">
        <f ca="1">INDEX(INDIRECT(CONCATENATE("Tab_",Tab_Calculs[[#This Row],[Colonne1]])),Tab_Calculs[[#This Row],[index_date_livraison]],6)*(1+MIN(Tab_Calculs[[#This Row],[Date_livraison]],Tab_Calculs[[#This Row],[fin mois]])-MAX(Tab_Calculs[[#This Row],[Début mois]],Tab_Calculs[[#This Row],[Début periode livraison]]))</f>
        <v>0</v>
      </c>
      <c r="M1228" s="94" t="e">
        <f ca="1">INDEX(INDIRECT(CONCATENATE("Tab_",Tab_Calculs[[#This Row],[Colonne1]])),Tab_Calculs[[#This Row],[index_date_livraison]]+1,6)*(Tab_Calculs[[#This Row],[fin mois]]-MIN(Tab_Calculs[[#This Row],[fin mois]],Tab_Calculs[[#This Row],[Date_livraison]]))</f>
        <v>#VALUE!</v>
      </c>
      <c r="N1228" s="231" t="str">
        <f ca="1">IFERROR(Tab_Calculs[[#This Row],[Ratio_jour_après_livr]]+Tab_Calculs[[#This Row],[Ratio_jour_avant_livr]]+Tab_Calculs[[#This Row],[ratio_avant_debut]],"")</f>
        <v/>
      </c>
      <c r="O1228" t="e">
        <f ca="1">INDEX(INDIRECT(CONCATENATE("Tab_",Tab_Calculs[[#This Row],[Colonne1]])),Tab_Calculs[[#This Row],[index_date_livraison]]-1,7)*(MAX(Tab_Calculs[[#This Row],[Début periode livraison]],Tab_Calculs[[#This Row],[Début mois]])-Tab_Calculs[[#This Row],[Début mois]])</f>
        <v>#VALUE!</v>
      </c>
      <c r="P1228">
        <f ca="1">INDEX(INDIRECT(CONCATENATE("Tab_",Tab_Calculs[[#This Row],[Colonne1]])),Tab_Calculs[[#This Row],[index_date_livraison]],7)*(1+MIN(Tab_Calculs[[#This Row],[Date_livraison]],Tab_Calculs[[#This Row],[fin mois]])-MAX(Tab_Calculs[[#This Row],[Début mois]],Tab_Calculs[[#This Row],[Début periode livraison]]))</f>
        <v>0</v>
      </c>
      <c r="Q1228" t="e">
        <f ca="1">INDEX(INDIRECT(CONCATENATE("Tab_",Tab_Calculs[[#This Row],[Colonne1]])),Tab_Calculs[[#This Row],[index_date_livraison]]+1,7)*(Tab_Calculs[[#This Row],[fin mois]]-MIN(Tab_Calculs[[#This Row],[fin mois]],Tab_Calculs[[#This Row],[Date_livraison]]))</f>
        <v>#VALUE!</v>
      </c>
      <c r="R1228" t="e">
        <f ca="1">Tab_Calculs[[#This Row],[Ratio_Cout_après_livr]]+Tab_Calculs[[#This Row],[Ratio_Cout_avant_livr]]+Tab_Calculs[[#This Row],[Ratio_Cout_avant_debut]]</f>
        <v>#VALUE!</v>
      </c>
      <c r="S1228" t="str">
        <f ca="1">IFERROR(N1228*VLOOKUP(Tab_Calculs[[#This Row],[Colonne1]],Controle_des_données!$B$7:$G$14,6,FALSE),"")</f>
        <v/>
      </c>
      <c r="T1228" t="str">
        <f ca="1">IF(Tab_Calculs[[#This Row],[Combustible ]]="Electricité (kWh)",Tab_Calculs[[#This Row],[Conso_mois_kWh]]*2.3,Tab_Calculs[[#This Row],[Conso_mois_kWh]])</f>
        <v/>
      </c>
      <c r="U1228" t="str">
        <f ca="1">IFERROR(N1228*VLOOKUP(Tab_Calculs[[#This Row],[Colonne1]],Controle_des_données!$B$7:$H$14,7,FALSE),"")</f>
        <v/>
      </c>
      <c r="V1228">
        <f ca="1">IFERROR(Tab_Calculs[[#This Row],[Cout_mois]]/Tab_Calculs[[#This Row],[Conso_mois_kWh]],0)</f>
        <v>0</v>
      </c>
      <c r="W1228" t="str">
        <f>T(VLOOKUP(Tab_Calculs[[#This Row],[Compteur]],Site!$B$33:$G$40,3,FALSE))</f>
        <v/>
      </c>
      <c r="X1228" t="str">
        <f>T(VLOOKUP(Tab_Calculs[[#This Row],[Compteur]],Site!$B$33:$G$40,4,FALSE))</f>
        <v/>
      </c>
      <c r="Y1228" t="str">
        <f>T(VLOOKUP(Tab_Calculs[[#This Row],[Compteur]],Site!$B$33:$G$40,5,FALSE))</f>
        <v/>
      </c>
      <c r="Z1228" t="str">
        <f>T(VLOOKUP(Tab_Calculs[[#This Row],[Compteur]],Site!$B$33:$G$40,6,FALSE))</f>
        <v/>
      </c>
      <c r="AA1228">
        <f>IFERROR(GETPIVOTDATA("DJU(chauffagiste)",BDD_DJU!$P$13,"annee",Tab_Calculs[[#This Row],[ANNEE]],"mois_numero",Tab_Calculs[[#This Row],[MOIS]]),0)</f>
        <v>32</v>
      </c>
    </row>
    <row r="1229" spans="1:27" x14ac:dyDescent="0.25">
      <c r="A1229" s="3">
        <f>DATE(Tab_Calculs[[#This Row],[ANNEE]],Tab_Calculs[[#This Row],[MOIS]],1)</f>
        <v>42248</v>
      </c>
      <c r="B1229" s="3">
        <f>EDATE(Tab_Calculs[[#This Row],[Début mois]],1)-1</f>
        <v>42277</v>
      </c>
      <c r="C1229">
        <v>9</v>
      </c>
      <c r="D1229">
        <f t="shared" si="42"/>
        <v>2015</v>
      </c>
      <c r="E1229" t="s">
        <v>86</v>
      </c>
      <c r="F1229" t="str">
        <f>SUBSTITUTE(Tab_Calculs[[#This Row],[Compteur]]," ","_")</f>
        <v>Compteur_7</v>
      </c>
      <c r="G1229" t="str">
        <f>T(INDEX(Site!$B$33:$G$40, MATCH(Tab_Calculs[[#This Row],[Compteur]], Site!$B$33:$B$40,0),2))</f>
        <v/>
      </c>
      <c r="H1229" s="3">
        <f t="array" aca="1" ref="H1229" ca="1">MIN(IF(INDIRECT(CONCATENATE(Tab_Calculs[[#This Row],[Colonne1]],"!$B$2:$B$243"))&gt;=Calculs_Consos!$A1229,INDIRECT(CONCATENATE(Tab_Calculs[[#This Row],[Colonne1]],"!$B$2:$B$243"))))</f>
        <v>0</v>
      </c>
      <c r="I1229" s="3">
        <f ca="1">INDEX(INDIRECT(CONCATENATE("Tab_",Tab_Calculs[[#This Row],[Colonne1]])),Tab_Calculs[[#This Row],[index_date_livraison]],1)</f>
        <v>0</v>
      </c>
      <c r="J1229">
        <f ca="1">MATCH(Tab_Calculs[[#This Row],[Date_livraison]],INDIRECT(CONCATENATE("Tab_",Tab_Calculs[[#This Row],[Colonne1]],"[Fin de période]")),0)</f>
        <v>1</v>
      </c>
      <c r="K1229" t="e">
        <f ca="1">INDEX(INDIRECT(CONCATENATE("Tab_",Tab_Calculs[[#This Row],[Colonne1]])),Tab_Calculs[[#This Row],[index_date_livraison]]-1,6)*(MAX(Tab_Calculs[[#This Row],[Début periode livraison]],Tab_Calculs[[#This Row],[Début mois]])-Tab_Calculs[[#This Row],[Début mois]])</f>
        <v>#VALUE!</v>
      </c>
      <c r="L1229" s="94">
        <f ca="1">INDEX(INDIRECT(CONCATENATE("Tab_",Tab_Calculs[[#This Row],[Colonne1]])),Tab_Calculs[[#This Row],[index_date_livraison]],6)*(1+MIN(Tab_Calculs[[#This Row],[Date_livraison]],Tab_Calculs[[#This Row],[fin mois]])-MAX(Tab_Calculs[[#This Row],[Début mois]],Tab_Calculs[[#This Row],[Début periode livraison]]))</f>
        <v>0</v>
      </c>
      <c r="M1229" s="94" t="e">
        <f ca="1">INDEX(INDIRECT(CONCATENATE("Tab_",Tab_Calculs[[#This Row],[Colonne1]])),Tab_Calculs[[#This Row],[index_date_livraison]]+1,6)*(Tab_Calculs[[#This Row],[fin mois]]-MIN(Tab_Calculs[[#This Row],[fin mois]],Tab_Calculs[[#This Row],[Date_livraison]]))</f>
        <v>#VALUE!</v>
      </c>
      <c r="N1229" s="231" t="str">
        <f ca="1">IFERROR(Tab_Calculs[[#This Row],[Ratio_jour_après_livr]]+Tab_Calculs[[#This Row],[Ratio_jour_avant_livr]]+Tab_Calculs[[#This Row],[ratio_avant_debut]],"")</f>
        <v/>
      </c>
      <c r="O1229" t="e">
        <f ca="1">INDEX(INDIRECT(CONCATENATE("Tab_",Tab_Calculs[[#This Row],[Colonne1]])),Tab_Calculs[[#This Row],[index_date_livraison]]-1,7)*(MAX(Tab_Calculs[[#This Row],[Début periode livraison]],Tab_Calculs[[#This Row],[Début mois]])-Tab_Calculs[[#This Row],[Début mois]])</f>
        <v>#VALUE!</v>
      </c>
      <c r="P1229">
        <f ca="1">INDEX(INDIRECT(CONCATENATE("Tab_",Tab_Calculs[[#This Row],[Colonne1]])),Tab_Calculs[[#This Row],[index_date_livraison]],7)*(1+MIN(Tab_Calculs[[#This Row],[Date_livraison]],Tab_Calculs[[#This Row],[fin mois]])-MAX(Tab_Calculs[[#This Row],[Début mois]],Tab_Calculs[[#This Row],[Début periode livraison]]))</f>
        <v>0</v>
      </c>
      <c r="Q1229" t="e">
        <f ca="1">INDEX(INDIRECT(CONCATENATE("Tab_",Tab_Calculs[[#This Row],[Colonne1]])),Tab_Calculs[[#This Row],[index_date_livraison]]+1,7)*(Tab_Calculs[[#This Row],[fin mois]]-MIN(Tab_Calculs[[#This Row],[fin mois]],Tab_Calculs[[#This Row],[Date_livraison]]))</f>
        <v>#VALUE!</v>
      </c>
      <c r="R1229" t="e">
        <f ca="1">Tab_Calculs[[#This Row],[Ratio_Cout_après_livr]]+Tab_Calculs[[#This Row],[Ratio_Cout_avant_livr]]+Tab_Calculs[[#This Row],[Ratio_Cout_avant_debut]]</f>
        <v>#VALUE!</v>
      </c>
      <c r="S1229" t="str">
        <f ca="1">IFERROR(N1229*VLOOKUP(Tab_Calculs[[#This Row],[Colonne1]],Controle_des_données!$B$7:$G$14,6,FALSE),"")</f>
        <v/>
      </c>
      <c r="T1229" t="str">
        <f ca="1">IF(Tab_Calculs[[#This Row],[Combustible ]]="Electricité (kWh)",Tab_Calculs[[#This Row],[Conso_mois_kWh]]*2.3,Tab_Calculs[[#This Row],[Conso_mois_kWh]])</f>
        <v/>
      </c>
      <c r="U1229" t="str">
        <f ca="1">IFERROR(N1229*VLOOKUP(Tab_Calculs[[#This Row],[Colonne1]],Controle_des_données!$B$7:$H$14,7,FALSE),"")</f>
        <v/>
      </c>
      <c r="V1229">
        <f ca="1">IFERROR(Tab_Calculs[[#This Row],[Cout_mois]]/Tab_Calculs[[#This Row],[Conso_mois_kWh]],0)</f>
        <v>0</v>
      </c>
      <c r="W1229" t="str">
        <f>T(VLOOKUP(Tab_Calculs[[#This Row],[Compteur]],Site!$B$33:$G$40,3,FALSE))</f>
        <v/>
      </c>
      <c r="X1229" t="str">
        <f>T(VLOOKUP(Tab_Calculs[[#This Row],[Compteur]],Site!$B$33:$G$40,4,FALSE))</f>
        <v/>
      </c>
      <c r="Y1229" t="str">
        <f>T(VLOOKUP(Tab_Calculs[[#This Row],[Compteur]],Site!$B$33:$G$40,5,FALSE))</f>
        <v/>
      </c>
      <c r="Z1229" t="str">
        <f>T(VLOOKUP(Tab_Calculs[[#This Row],[Compteur]],Site!$B$33:$G$40,6,FALSE))</f>
        <v/>
      </c>
      <c r="AA1229">
        <f>IFERROR(GETPIVOTDATA("DJU(chauffagiste)",BDD_DJU!$P$13,"annee",Tab_Calculs[[#This Row],[ANNEE]],"mois_numero",Tab_Calculs[[#This Row],[MOIS]]),0)</f>
        <v>96.9</v>
      </c>
    </row>
    <row r="1230" spans="1:27" x14ac:dyDescent="0.25">
      <c r="A1230" s="3">
        <f>DATE(Tab_Calculs[[#This Row],[ANNEE]],Tab_Calculs[[#This Row],[MOIS]],1)</f>
        <v>42278</v>
      </c>
      <c r="B1230" s="3">
        <f>EDATE(Tab_Calculs[[#This Row],[Début mois]],1)-1</f>
        <v>42308</v>
      </c>
      <c r="C1230">
        <v>10</v>
      </c>
      <c r="D1230">
        <f t="shared" si="42"/>
        <v>2015</v>
      </c>
      <c r="E1230" t="s">
        <v>86</v>
      </c>
      <c r="F1230" t="str">
        <f>SUBSTITUTE(Tab_Calculs[[#This Row],[Compteur]]," ","_")</f>
        <v>Compteur_7</v>
      </c>
      <c r="G1230" t="str">
        <f>T(INDEX(Site!$B$33:$G$40, MATCH(Tab_Calculs[[#This Row],[Compteur]], Site!$B$33:$B$40,0),2))</f>
        <v/>
      </c>
      <c r="H1230" s="3">
        <f t="array" aca="1" ref="H1230" ca="1">MIN(IF(INDIRECT(CONCATENATE(Tab_Calculs[[#This Row],[Colonne1]],"!$B$2:$B$243"))&gt;=Calculs_Consos!$A1230,INDIRECT(CONCATENATE(Tab_Calculs[[#This Row],[Colonne1]],"!$B$2:$B$243"))))</f>
        <v>0</v>
      </c>
      <c r="I1230" s="3">
        <f ca="1">INDEX(INDIRECT(CONCATENATE("Tab_",Tab_Calculs[[#This Row],[Colonne1]])),Tab_Calculs[[#This Row],[index_date_livraison]],1)</f>
        <v>0</v>
      </c>
      <c r="J1230">
        <f ca="1">MATCH(Tab_Calculs[[#This Row],[Date_livraison]],INDIRECT(CONCATENATE("Tab_",Tab_Calculs[[#This Row],[Colonne1]],"[Fin de période]")),0)</f>
        <v>1</v>
      </c>
      <c r="K1230" t="e">
        <f ca="1">INDEX(INDIRECT(CONCATENATE("Tab_",Tab_Calculs[[#This Row],[Colonne1]])),Tab_Calculs[[#This Row],[index_date_livraison]]-1,6)*(MAX(Tab_Calculs[[#This Row],[Début periode livraison]],Tab_Calculs[[#This Row],[Début mois]])-Tab_Calculs[[#This Row],[Début mois]])</f>
        <v>#VALUE!</v>
      </c>
      <c r="L1230" s="94">
        <f ca="1">INDEX(INDIRECT(CONCATENATE("Tab_",Tab_Calculs[[#This Row],[Colonne1]])),Tab_Calculs[[#This Row],[index_date_livraison]],6)*(1+MIN(Tab_Calculs[[#This Row],[Date_livraison]],Tab_Calculs[[#This Row],[fin mois]])-MAX(Tab_Calculs[[#This Row],[Début mois]],Tab_Calculs[[#This Row],[Début periode livraison]]))</f>
        <v>0</v>
      </c>
      <c r="M1230" s="94" t="e">
        <f ca="1">INDEX(INDIRECT(CONCATENATE("Tab_",Tab_Calculs[[#This Row],[Colonne1]])),Tab_Calculs[[#This Row],[index_date_livraison]]+1,6)*(Tab_Calculs[[#This Row],[fin mois]]-MIN(Tab_Calculs[[#This Row],[fin mois]],Tab_Calculs[[#This Row],[Date_livraison]]))</f>
        <v>#VALUE!</v>
      </c>
      <c r="N1230" s="231" t="str">
        <f ca="1">IFERROR(Tab_Calculs[[#This Row],[Ratio_jour_après_livr]]+Tab_Calculs[[#This Row],[Ratio_jour_avant_livr]]+Tab_Calculs[[#This Row],[ratio_avant_debut]],"")</f>
        <v/>
      </c>
      <c r="O1230" t="e">
        <f ca="1">INDEX(INDIRECT(CONCATENATE("Tab_",Tab_Calculs[[#This Row],[Colonne1]])),Tab_Calculs[[#This Row],[index_date_livraison]]-1,7)*(MAX(Tab_Calculs[[#This Row],[Début periode livraison]],Tab_Calculs[[#This Row],[Début mois]])-Tab_Calculs[[#This Row],[Début mois]])</f>
        <v>#VALUE!</v>
      </c>
      <c r="P1230">
        <f ca="1">INDEX(INDIRECT(CONCATENATE("Tab_",Tab_Calculs[[#This Row],[Colonne1]])),Tab_Calculs[[#This Row],[index_date_livraison]],7)*(1+MIN(Tab_Calculs[[#This Row],[Date_livraison]],Tab_Calculs[[#This Row],[fin mois]])-MAX(Tab_Calculs[[#This Row],[Début mois]],Tab_Calculs[[#This Row],[Début periode livraison]]))</f>
        <v>0</v>
      </c>
      <c r="Q1230" t="e">
        <f ca="1">INDEX(INDIRECT(CONCATENATE("Tab_",Tab_Calculs[[#This Row],[Colonne1]])),Tab_Calculs[[#This Row],[index_date_livraison]]+1,7)*(Tab_Calculs[[#This Row],[fin mois]]-MIN(Tab_Calculs[[#This Row],[fin mois]],Tab_Calculs[[#This Row],[Date_livraison]]))</f>
        <v>#VALUE!</v>
      </c>
      <c r="R1230" t="e">
        <f ca="1">Tab_Calculs[[#This Row],[Ratio_Cout_après_livr]]+Tab_Calculs[[#This Row],[Ratio_Cout_avant_livr]]+Tab_Calculs[[#This Row],[Ratio_Cout_avant_debut]]</f>
        <v>#VALUE!</v>
      </c>
      <c r="S1230" t="str">
        <f ca="1">IFERROR(N1230*VLOOKUP(Tab_Calculs[[#This Row],[Colonne1]],Controle_des_données!$B$7:$G$14,6,FALSE),"")</f>
        <v/>
      </c>
      <c r="T1230" t="str">
        <f ca="1">IF(Tab_Calculs[[#This Row],[Combustible ]]="Electricité (kWh)",Tab_Calculs[[#This Row],[Conso_mois_kWh]]*2.3,Tab_Calculs[[#This Row],[Conso_mois_kWh]])</f>
        <v/>
      </c>
      <c r="U1230" t="str">
        <f ca="1">IFERROR(N1230*VLOOKUP(Tab_Calculs[[#This Row],[Colonne1]],Controle_des_données!$B$7:$H$14,7,FALSE),"")</f>
        <v/>
      </c>
      <c r="V1230">
        <f ca="1">IFERROR(Tab_Calculs[[#This Row],[Cout_mois]]/Tab_Calculs[[#This Row],[Conso_mois_kWh]],0)</f>
        <v>0</v>
      </c>
      <c r="W1230" t="str">
        <f>T(VLOOKUP(Tab_Calculs[[#This Row],[Compteur]],Site!$B$33:$G$40,3,FALSE))</f>
        <v/>
      </c>
      <c r="X1230" t="str">
        <f>T(VLOOKUP(Tab_Calculs[[#This Row],[Compteur]],Site!$B$33:$G$40,4,FALSE))</f>
        <v/>
      </c>
      <c r="Y1230" t="str">
        <f>T(VLOOKUP(Tab_Calculs[[#This Row],[Compteur]],Site!$B$33:$G$40,5,FALSE))</f>
        <v/>
      </c>
      <c r="Z1230" t="str">
        <f>T(VLOOKUP(Tab_Calculs[[#This Row],[Compteur]],Site!$B$33:$G$40,6,FALSE))</f>
        <v/>
      </c>
      <c r="AA1230">
        <f>IFERROR(GETPIVOTDATA("DJU(chauffagiste)",BDD_DJU!$P$13,"annee",Tab_Calculs[[#This Row],[ANNEE]],"mois_numero",Tab_Calculs[[#This Row],[MOIS]]),0)</f>
        <v>181.1</v>
      </c>
    </row>
    <row r="1231" spans="1:27" x14ac:dyDescent="0.25">
      <c r="A1231" s="3">
        <f>DATE(Tab_Calculs[[#This Row],[ANNEE]],Tab_Calculs[[#This Row],[MOIS]],1)</f>
        <v>42309</v>
      </c>
      <c r="B1231" s="3">
        <f>EDATE(Tab_Calculs[[#This Row],[Début mois]],1)-1</f>
        <v>42338</v>
      </c>
      <c r="C1231">
        <v>11</v>
      </c>
      <c r="D1231">
        <f t="shared" si="42"/>
        <v>2015</v>
      </c>
      <c r="E1231" t="s">
        <v>86</v>
      </c>
      <c r="F1231" t="str">
        <f>SUBSTITUTE(Tab_Calculs[[#This Row],[Compteur]]," ","_")</f>
        <v>Compteur_7</v>
      </c>
      <c r="G1231" t="str">
        <f>T(INDEX(Site!$B$33:$G$40, MATCH(Tab_Calculs[[#This Row],[Compteur]], Site!$B$33:$B$40,0),2))</f>
        <v/>
      </c>
      <c r="H1231" s="3">
        <f t="array" aca="1" ref="H1231" ca="1">MIN(IF(INDIRECT(CONCATENATE(Tab_Calculs[[#This Row],[Colonne1]],"!$B$2:$B$243"))&gt;=Calculs_Consos!$A1231,INDIRECT(CONCATENATE(Tab_Calculs[[#This Row],[Colonne1]],"!$B$2:$B$243"))))</f>
        <v>0</v>
      </c>
      <c r="I1231" s="3">
        <f ca="1">INDEX(INDIRECT(CONCATENATE("Tab_",Tab_Calculs[[#This Row],[Colonne1]])),Tab_Calculs[[#This Row],[index_date_livraison]],1)</f>
        <v>0</v>
      </c>
      <c r="J1231">
        <f ca="1">MATCH(Tab_Calculs[[#This Row],[Date_livraison]],INDIRECT(CONCATENATE("Tab_",Tab_Calculs[[#This Row],[Colonne1]],"[Fin de période]")),0)</f>
        <v>1</v>
      </c>
      <c r="K1231" t="e">
        <f ca="1">INDEX(INDIRECT(CONCATENATE("Tab_",Tab_Calculs[[#This Row],[Colonne1]])),Tab_Calculs[[#This Row],[index_date_livraison]]-1,6)*(MAX(Tab_Calculs[[#This Row],[Début periode livraison]],Tab_Calculs[[#This Row],[Début mois]])-Tab_Calculs[[#This Row],[Début mois]])</f>
        <v>#VALUE!</v>
      </c>
      <c r="L1231" s="94">
        <f ca="1">INDEX(INDIRECT(CONCATENATE("Tab_",Tab_Calculs[[#This Row],[Colonne1]])),Tab_Calculs[[#This Row],[index_date_livraison]],6)*(1+MIN(Tab_Calculs[[#This Row],[Date_livraison]],Tab_Calculs[[#This Row],[fin mois]])-MAX(Tab_Calculs[[#This Row],[Début mois]],Tab_Calculs[[#This Row],[Début periode livraison]]))</f>
        <v>0</v>
      </c>
      <c r="M1231" s="94" t="e">
        <f ca="1">INDEX(INDIRECT(CONCATENATE("Tab_",Tab_Calculs[[#This Row],[Colonne1]])),Tab_Calculs[[#This Row],[index_date_livraison]]+1,6)*(Tab_Calculs[[#This Row],[fin mois]]-MIN(Tab_Calculs[[#This Row],[fin mois]],Tab_Calculs[[#This Row],[Date_livraison]]))</f>
        <v>#VALUE!</v>
      </c>
      <c r="N1231" s="231" t="str">
        <f ca="1">IFERROR(Tab_Calculs[[#This Row],[Ratio_jour_après_livr]]+Tab_Calculs[[#This Row],[Ratio_jour_avant_livr]]+Tab_Calculs[[#This Row],[ratio_avant_debut]],"")</f>
        <v/>
      </c>
      <c r="O1231" t="e">
        <f ca="1">INDEX(INDIRECT(CONCATENATE("Tab_",Tab_Calculs[[#This Row],[Colonne1]])),Tab_Calculs[[#This Row],[index_date_livraison]]-1,7)*(MAX(Tab_Calculs[[#This Row],[Début periode livraison]],Tab_Calculs[[#This Row],[Début mois]])-Tab_Calculs[[#This Row],[Début mois]])</f>
        <v>#VALUE!</v>
      </c>
      <c r="P1231">
        <f ca="1">INDEX(INDIRECT(CONCATENATE("Tab_",Tab_Calculs[[#This Row],[Colonne1]])),Tab_Calculs[[#This Row],[index_date_livraison]],7)*(1+MIN(Tab_Calculs[[#This Row],[Date_livraison]],Tab_Calculs[[#This Row],[fin mois]])-MAX(Tab_Calculs[[#This Row],[Début mois]],Tab_Calculs[[#This Row],[Début periode livraison]]))</f>
        <v>0</v>
      </c>
      <c r="Q1231" t="e">
        <f ca="1">INDEX(INDIRECT(CONCATENATE("Tab_",Tab_Calculs[[#This Row],[Colonne1]])),Tab_Calculs[[#This Row],[index_date_livraison]]+1,7)*(Tab_Calculs[[#This Row],[fin mois]]-MIN(Tab_Calculs[[#This Row],[fin mois]],Tab_Calculs[[#This Row],[Date_livraison]]))</f>
        <v>#VALUE!</v>
      </c>
      <c r="R1231" t="e">
        <f ca="1">Tab_Calculs[[#This Row],[Ratio_Cout_après_livr]]+Tab_Calculs[[#This Row],[Ratio_Cout_avant_livr]]+Tab_Calculs[[#This Row],[Ratio_Cout_avant_debut]]</f>
        <v>#VALUE!</v>
      </c>
      <c r="S1231" t="str">
        <f ca="1">IFERROR(N1231*VLOOKUP(Tab_Calculs[[#This Row],[Colonne1]],Controle_des_données!$B$7:$G$14,6,FALSE),"")</f>
        <v/>
      </c>
      <c r="T1231" t="str">
        <f ca="1">IF(Tab_Calculs[[#This Row],[Combustible ]]="Electricité (kWh)",Tab_Calculs[[#This Row],[Conso_mois_kWh]]*2.3,Tab_Calculs[[#This Row],[Conso_mois_kWh]])</f>
        <v/>
      </c>
      <c r="U1231" t="str">
        <f ca="1">IFERROR(N1231*VLOOKUP(Tab_Calculs[[#This Row],[Colonne1]],Controle_des_données!$B$7:$H$14,7,FALSE),"")</f>
        <v/>
      </c>
      <c r="V1231">
        <f ca="1">IFERROR(Tab_Calculs[[#This Row],[Cout_mois]]/Tab_Calculs[[#This Row],[Conso_mois_kWh]],0)</f>
        <v>0</v>
      </c>
      <c r="W1231" t="str">
        <f>T(VLOOKUP(Tab_Calculs[[#This Row],[Compteur]],Site!$B$33:$G$40,3,FALSE))</f>
        <v/>
      </c>
      <c r="X1231" t="str">
        <f>T(VLOOKUP(Tab_Calculs[[#This Row],[Compteur]],Site!$B$33:$G$40,4,FALSE))</f>
        <v/>
      </c>
      <c r="Y1231" t="str">
        <f>T(VLOOKUP(Tab_Calculs[[#This Row],[Compteur]],Site!$B$33:$G$40,5,FALSE))</f>
        <v/>
      </c>
      <c r="Z1231" t="str">
        <f>T(VLOOKUP(Tab_Calculs[[#This Row],[Compteur]],Site!$B$33:$G$40,6,FALSE))</f>
        <v/>
      </c>
      <c r="AA1231">
        <f>IFERROR(GETPIVOTDATA("DJU(chauffagiste)",BDD_DJU!$P$13,"annee",Tab_Calculs[[#This Row],[ANNEE]],"mois_numero",Tab_Calculs[[#This Row],[MOIS]]),0)</f>
        <v>191.1</v>
      </c>
    </row>
    <row r="1232" spans="1:27" x14ac:dyDescent="0.25">
      <c r="A1232" s="3">
        <f>DATE(Tab_Calculs[[#This Row],[ANNEE]],Tab_Calculs[[#This Row],[MOIS]],1)</f>
        <v>42339</v>
      </c>
      <c r="B1232" s="3">
        <f>EDATE(Tab_Calculs[[#This Row],[Début mois]],1)-1</f>
        <v>42369</v>
      </c>
      <c r="C1232">
        <v>12</v>
      </c>
      <c r="D1232">
        <f t="shared" si="42"/>
        <v>2015</v>
      </c>
      <c r="E1232" t="s">
        <v>86</v>
      </c>
      <c r="F1232" t="str">
        <f>SUBSTITUTE(Tab_Calculs[[#This Row],[Compteur]]," ","_")</f>
        <v>Compteur_7</v>
      </c>
      <c r="G1232" t="str">
        <f>T(INDEX(Site!$B$33:$G$40, MATCH(Tab_Calculs[[#This Row],[Compteur]], Site!$B$33:$B$40,0),2))</f>
        <v/>
      </c>
      <c r="H1232" s="3">
        <f t="array" aca="1" ref="H1232" ca="1">MIN(IF(INDIRECT(CONCATENATE(Tab_Calculs[[#This Row],[Colonne1]],"!$B$2:$B$243"))&gt;=Calculs_Consos!$A1232,INDIRECT(CONCATENATE(Tab_Calculs[[#This Row],[Colonne1]],"!$B$2:$B$243"))))</f>
        <v>0</v>
      </c>
      <c r="I1232" s="3">
        <f ca="1">INDEX(INDIRECT(CONCATENATE("Tab_",Tab_Calculs[[#This Row],[Colonne1]])),Tab_Calculs[[#This Row],[index_date_livraison]],1)</f>
        <v>0</v>
      </c>
      <c r="J1232">
        <f ca="1">MATCH(Tab_Calculs[[#This Row],[Date_livraison]],INDIRECT(CONCATENATE("Tab_",Tab_Calculs[[#This Row],[Colonne1]],"[Fin de période]")),0)</f>
        <v>1</v>
      </c>
      <c r="K1232" t="e">
        <f ca="1">INDEX(INDIRECT(CONCATENATE("Tab_",Tab_Calculs[[#This Row],[Colonne1]])),Tab_Calculs[[#This Row],[index_date_livraison]]-1,6)*(MAX(Tab_Calculs[[#This Row],[Début periode livraison]],Tab_Calculs[[#This Row],[Début mois]])-Tab_Calculs[[#This Row],[Début mois]])</f>
        <v>#VALUE!</v>
      </c>
      <c r="L1232" s="94">
        <f ca="1">INDEX(INDIRECT(CONCATENATE("Tab_",Tab_Calculs[[#This Row],[Colonne1]])),Tab_Calculs[[#This Row],[index_date_livraison]],6)*(1+MIN(Tab_Calculs[[#This Row],[Date_livraison]],Tab_Calculs[[#This Row],[fin mois]])-MAX(Tab_Calculs[[#This Row],[Début mois]],Tab_Calculs[[#This Row],[Début periode livraison]]))</f>
        <v>0</v>
      </c>
      <c r="M1232" s="94" t="e">
        <f ca="1">INDEX(INDIRECT(CONCATENATE("Tab_",Tab_Calculs[[#This Row],[Colonne1]])),Tab_Calculs[[#This Row],[index_date_livraison]]+1,6)*(Tab_Calculs[[#This Row],[fin mois]]-MIN(Tab_Calculs[[#This Row],[fin mois]],Tab_Calculs[[#This Row],[Date_livraison]]))</f>
        <v>#VALUE!</v>
      </c>
      <c r="N1232" s="231" t="str">
        <f ca="1">IFERROR(Tab_Calculs[[#This Row],[Ratio_jour_après_livr]]+Tab_Calculs[[#This Row],[Ratio_jour_avant_livr]]+Tab_Calculs[[#This Row],[ratio_avant_debut]],"")</f>
        <v/>
      </c>
      <c r="O1232" t="e">
        <f ca="1">INDEX(INDIRECT(CONCATENATE("Tab_",Tab_Calculs[[#This Row],[Colonne1]])),Tab_Calculs[[#This Row],[index_date_livraison]]-1,7)*(MAX(Tab_Calculs[[#This Row],[Début periode livraison]],Tab_Calculs[[#This Row],[Début mois]])-Tab_Calculs[[#This Row],[Début mois]])</f>
        <v>#VALUE!</v>
      </c>
      <c r="P1232">
        <f ca="1">INDEX(INDIRECT(CONCATENATE("Tab_",Tab_Calculs[[#This Row],[Colonne1]])),Tab_Calculs[[#This Row],[index_date_livraison]],7)*(1+MIN(Tab_Calculs[[#This Row],[Date_livraison]],Tab_Calculs[[#This Row],[fin mois]])-MAX(Tab_Calculs[[#This Row],[Début mois]],Tab_Calculs[[#This Row],[Début periode livraison]]))</f>
        <v>0</v>
      </c>
      <c r="Q1232" t="e">
        <f ca="1">INDEX(INDIRECT(CONCATENATE("Tab_",Tab_Calculs[[#This Row],[Colonne1]])),Tab_Calculs[[#This Row],[index_date_livraison]]+1,7)*(Tab_Calculs[[#This Row],[fin mois]]-MIN(Tab_Calculs[[#This Row],[fin mois]],Tab_Calculs[[#This Row],[Date_livraison]]))</f>
        <v>#VALUE!</v>
      </c>
      <c r="R1232" t="e">
        <f ca="1">Tab_Calculs[[#This Row],[Ratio_Cout_après_livr]]+Tab_Calculs[[#This Row],[Ratio_Cout_avant_livr]]+Tab_Calculs[[#This Row],[Ratio_Cout_avant_debut]]</f>
        <v>#VALUE!</v>
      </c>
      <c r="S1232" t="str">
        <f ca="1">IFERROR(N1232*VLOOKUP(Tab_Calculs[[#This Row],[Colonne1]],Controle_des_données!$B$7:$G$14,6,FALSE),"")</f>
        <v/>
      </c>
      <c r="T1232" t="str">
        <f ca="1">IF(Tab_Calculs[[#This Row],[Combustible ]]="Electricité (kWh)",Tab_Calculs[[#This Row],[Conso_mois_kWh]]*2.3,Tab_Calculs[[#This Row],[Conso_mois_kWh]])</f>
        <v/>
      </c>
      <c r="U1232" t="str">
        <f ca="1">IFERROR(N1232*VLOOKUP(Tab_Calculs[[#This Row],[Colonne1]],Controle_des_données!$B$7:$H$14,7,FALSE),"")</f>
        <v/>
      </c>
      <c r="V1232">
        <f ca="1">IFERROR(Tab_Calculs[[#This Row],[Cout_mois]]/Tab_Calculs[[#This Row],[Conso_mois_kWh]],0)</f>
        <v>0</v>
      </c>
      <c r="W1232" t="str">
        <f>T(VLOOKUP(Tab_Calculs[[#This Row],[Compteur]],Site!$B$33:$G$40,3,FALSE))</f>
        <v/>
      </c>
      <c r="X1232" t="str">
        <f>T(VLOOKUP(Tab_Calculs[[#This Row],[Compteur]],Site!$B$33:$G$40,4,FALSE))</f>
        <v/>
      </c>
      <c r="Y1232" t="str">
        <f>T(VLOOKUP(Tab_Calculs[[#This Row],[Compteur]],Site!$B$33:$G$40,5,FALSE))</f>
        <v/>
      </c>
      <c r="Z1232" t="str">
        <f>T(VLOOKUP(Tab_Calculs[[#This Row],[Compteur]],Site!$B$33:$G$40,6,FALSE))</f>
        <v/>
      </c>
      <c r="AA1232">
        <f>IFERROR(GETPIVOTDATA("DJU(chauffagiste)",BDD_DJU!$P$13,"annee",Tab_Calculs[[#This Row],[ANNEE]],"mois_numero",Tab_Calculs[[#This Row],[MOIS]]),0)</f>
        <v>258.5</v>
      </c>
    </row>
    <row r="1233" spans="1:27" x14ac:dyDescent="0.25">
      <c r="A1233" s="3">
        <f>DATE(Tab_Calculs[[#This Row],[ANNEE]],Tab_Calculs[[#This Row],[MOIS]],1)</f>
        <v>42370</v>
      </c>
      <c r="B1233" s="3">
        <f>EDATE(Tab_Calculs[[#This Row],[Début mois]],1)-1</f>
        <v>42400</v>
      </c>
      <c r="C1233">
        <f>C1221</f>
        <v>1</v>
      </c>
      <c r="D1233">
        <f t="shared" si="42"/>
        <v>2016</v>
      </c>
      <c r="E1233" t="s">
        <v>86</v>
      </c>
      <c r="F1233" t="str">
        <f>SUBSTITUTE(Tab_Calculs[[#This Row],[Compteur]]," ","_")</f>
        <v>Compteur_7</v>
      </c>
      <c r="G1233" t="str">
        <f>T(INDEX(Site!$B$33:$G$40, MATCH(Tab_Calculs[[#This Row],[Compteur]], Site!$B$33:$B$40,0),2))</f>
        <v/>
      </c>
      <c r="H1233" s="3">
        <f t="array" aca="1" ref="H1233" ca="1">MIN(IF(INDIRECT(CONCATENATE(Tab_Calculs[[#This Row],[Colonne1]],"!$B$2:$B$243"))&gt;=Calculs_Consos!$A1233,INDIRECT(CONCATENATE(Tab_Calculs[[#This Row],[Colonne1]],"!$B$2:$B$243"))))</f>
        <v>0</v>
      </c>
      <c r="I1233" s="3">
        <f ca="1">INDEX(INDIRECT(CONCATENATE("Tab_",Tab_Calculs[[#This Row],[Colonne1]])),Tab_Calculs[[#This Row],[index_date_livraison]],1)</f>
        <v>0</v>
      </c>
      <c r="J1233">
        <f ca="1">MATCH(Tab_Calculs[[#This Row],[Date_livraison]],INDIRECT(CONCATENATE("Tab_",Tab_Calculs[[#This Row],[Colonne1]],"[Fin de période]")),0)</f>
        <v>1</v>
      </c>
      <c r="K1233" t="e">
        <f ca="1">INDEX(INDIRECT(CONCATENATE("Tab_",Tab_Calculs[[#This Row],[Colonne1]])),Tab_Calculs[[#This Row],[index_date_livraison]]-1,6)*(MAX(Tab_Calculs[[#This Row],[Début periode livraison]],Tab_Calculs[[#This Row],[Début mois]])-Tab_Calculs[[#This Row],[Début mois]])</f>
        <v>#VALUE!</v>
      </c>
      <c r="L1233" s="94">
        <f ca="1">INDEX(INDIRECT(CONCATENATE("Tab_",Tab_Calculs[[#This Row],[Colonne1]])),Tab_Calculs[[#This Row],[index_date_livraison]],6)*(1+MIN(Tab_Calculs[[#This Row],[Date_livraison]],Tab_Calculs[[#This Row],[fin mois]])-MAX(Tab_Calculs[[#This Row],[Début mois]],Tab_Calculs[[#This Row],[Début periode livraison]]))</f>
        <v>0</v>
      </c>
      <c r="M1233" s="94" t="e">
        <f ca="1">INDEX(INDIRECT(CONCATENATE("Tab_",Tab_Calculs[[#This Row],[Colonne1]])),Tab_Calculs[[#This Row],[index_date_livraison]]+1,6)*(Tab_Calculs[[#This Row],[fin mois]]-MIN(Tab_Calculs[[#This Row],[fin mois]],Tab_Calculs[[#This Row],[Date_livraison]]))</f>
        <v>#VALUE!</v>
      </c>
      <c r="N1233" s="231" t="str">
        <f ca="1">IFERROR(Tab_Calculs[[#This Row],[Ratio_jour_après_livr]]+Tab_Calculs[[#This Row],[Ratio_jour_avant_livr]]+Tab_Calculs[[#This Row],[ratio_avant_debut]],"")</f>
        <v/>
      </c>
      <c r="O1233" t="e">
        <f ca="1">INDEX(INDIRECT(CONCATENATE("Tab_",Tab_Calculs[[#This Row],[Colonne1]])),Tab_Calculs[[#This Row],[index_date_livraison]]-1,7)*(MAX(Tab_Calculs[[#This Row],[Début periode livraison]],Tab_Calculs[[#This Row],[Début mois]])-Tab_Calculs[[#This Row],[Début mois]])</f>
        <v>#VALUE!</v>
      </c>
      <c r="P1233">
        <f ca="1">INDEX(INDIRECT(CONCATENATE("Tab_",Tab_Calculs[[#This Row],[Colonne1]])),Tab_Calculs[[#This Row],[index_date_livraison]],7)*(1+MIN(Tab_Calculs[[#This Row],[Date_livraison]],Tab_Calculs[[#This Row],[fin mois]])-MAX(Tab_Calculs[[#This Row],[Début mois]],Tab_Calculs[[#This Row],[Début periode livraison]]))</f>
        <v>0</v>
      </c>
      <c r="Q1233" t="e">
        <f ca="1">INDEX(INDIRECT(CONCATENATE("Tab_",Tab_Calculs[[#This Row],[Colonne1]])),Tab_Calculs[[#This Row],[index_date_livraison]]+1,7)*(Tab_Calculs[[#This Row],[fin mois]]-MIN(Tab_Calculs[[#This Row],[fin mois]],Tab_Calculs[[#This Row],[Date_livraison]]))</f>
        <v>#VALUE!</v>
      </c>
      <c r="R1233" t="e">
        <f ca="1">Tab_Calculs[[#This Row],[Ratio_Cout_après_livr]]+Tab_Calculs[[#This Row],[Ratio_Cout_avant_livr]]+Tab_Calculs[[#This Row],[Ratio_Cout_avant_debut]]</f>
        <v>#VALUE!</v>
      </c>
      <c r="S1233" t="str">
        <f ca="1">IFERROR(N1233*VLOOKUP(Tab_Calculs[[#This Row],[Colonne1]],Controle_des_données!$B$7:$G$14,6,FALSE),"")</f>
        <v/>
      </c>
      <c r="T1233" t="str">
        <f ca="1">IF(Tab_Calculs[[#This Row],[Combustible ]]="Electricité (kWh)",Tab_Calculs[[#This Row],[Conso_mois_kWh]]*2.3,Tab_Calculs[[#This Row],[Conso_mois_kWh]])</f>
        <v/>
      </c>
      <c r="U1233" t="str">
        <f ca="1">IFERROR(N1233*VLOOKUP(Tab_Calculs[[#This Row],[Colonne1]],Controle_des_données!$B$7:$H$14,7,FALSE),"")</f>
        <v/>
      </c>
      <c r="V1233">
        <f ca="1">IFERROR(Tab_Calculs[[#This Row],[Cout_mois]]/Tab_Calculs[[#This Row],[Conso_mois_kWh]],0)</f>
        <v>0</v>
      </c>
      <c r="W1233" t="str">
        <f>T(VLOOKUP(Tab_Calculs[[#This Row],[Compteur]],Site!$B$33:$G$40,3,FALSE))</f>
        <v/>
      </c>
      <c r="X1233" t="str">
        <f>T(VLOOKUP(Tab_Calculs[[#This Row],[Compteur]],Site!$B$33:$G$40,4,FALSE))</f>
        <v/>
      </c>
      <c r="Y1233" t="str">
        <f>T(VLOOKUP(Tab_Calculs[[#This Row],[Compteur]],Site!$B$33:$G$40,5,FALSE))</f>
        <v/>
      </c>
      <c r="Z1233" t="str">
        <f>T(VLOOKUP(Tab_Calculs[[#This Row],[Compteur]],Site!$B$33:$G$40,6,FALSE))</f>
        <v/>
      </c>
      <c r="AA1233">
        <f>IFERROR(GETPIVOTDATA("DJU(chauffagiste)",BDD_DJU!$P$13,"annee",Tab_Calculs[[#This Row],[ANNEE]],"mois_numero",Tab_Calculs[[#This Row],[MOIS]]),0)</f>
        <v>348.4</v>
      </c>
    </row>
    <row r="1234" spans="1:27" x14ac:dyDescent="0.25">
      <c r="A1234" s="3">
        <f>DATE(Tab_Calculs[[#This Row],[ANNEE]],Tab_Calculs[[#This Row],[MOIS]],1)</f>
        <v>42401</v>
      </c>
      <c r="B1234" s="3">
        <f>EDATE(Tab_Calculs[[#This Row],[Début mois]],1)-1</f>
        <v>42429</v>
      </c>
      <c r="C1234">
        <f t="shared" ref="C1234:C1297" si="43">C1222</f>
        <v>2</v>
      </c>
      <c r="D1234">
        <f t="shared" si="42"/>
        <v>2016</v>
      </c>
      <c r="E1234" t="s">
        <v>86</v>
      </c>
      <c r="F1234" t="str">
        <f>SUBSTITUTE(Tab_Calculs[[#This Row],[Compteur]]," ","_")</f>
        <v>Compteur_7</v>
      </c>
      <c r="G1234" t="str">
        <f>T(INDEX(Site!$B$33:$G$40, MATCH(Tab_Calculs[[#This Row],[Compteur]], Site!$B$33:$B$40,0),2))</f>
        <v/>
      </c>
      <c r="H1234" s="3">
        <f t="array" aca="1" ref="H1234" ca="1">MIN(IF(INDIRECT(CONCATENATE(Tab_Calculs[[#This Row],[Colonne1]],"!$B$2:$B$243"))&gt;=Calculs_Consos!$A1234,INDIRECT(CONCATENATE(Tab_Calculs[[#This Row],[Colonne1]],"!$B$2:$B$243"))))</f>
        <v>0</v>
      </c>
      <c r="I1234" s="3">
        <f ca="1">INDEX(INDIRECT(CONCATENATE("Tab_",Tab_Calculs[[#This Row],[Colonne1]])),Tab_Calculs[[#This Row],[index_date_livraison]],1)</f>
        <v>0</v>
      </c>
      <c r="J1234">
        <f ca="1">MATCH(Tab_Calculs[[#This Row],[Date_livraison]],INDIRECT(CONCATENATE("Tab_",Tab_Calculs[[#This Row],[Colonne1]],"[Fin de période]")),0)</f>
        <v>1</v>
      </c>
      <c r="K1234" t="e">
        <f ca="1">INDEX(INDIRECT(CONCATENATE("Tab_",Tab_Calculs[[#This Row],[Colonne1]])),Tab_Calculs[[#This Row],[index_date_livraison]]-1,6)*(MAX(Tab_Calculs[[#This Row],[Début periode livraison]],Tab_Calculs[[#This Row],[Début mois]])-Tab_Calculs[[#This Row],[Début mois]])</f>
        <v>#VALUE!</v>
      </c>
      <c r="L1234" s="94">
        <f ca="1">INDEX(INDIRECT(CONCATENATE("Tab_",Tab_Calculs[[#This Row],[Colonne1]])),Tab_Calculs[[#This Row],[index_date_livraison]],6)*(1+MIN(Tab_Calculs[[#This Row],[Date_livraison]],Tab_Calculs[[#This Row],[fin mois]])-MAX(Tab_Calculs[[#This Row],[Début mois]],Tab_Calculs[[#This Row],[Début periode livraison]]))</f>
        <v>0</v>
      </c>
      <c r="M1234" s="94" t="e">
        <f ca="1">INDEX(INDIRECT(CONCATENATE("Tab_",Tab_Calculs[[#This Row],[Colonne1]])),Tab_Calculs[[#This Row],[index_date_livraison]]+1,6)*(Tab_Calculs[[#This Row],[fin mois]]-MIN(Tab_Calculs[[#This Row],[fin mois]],Tab_Calculs[[#This Row],[Date_livraison]]))</f>
        <v>#VALUE!</v>
      </c>
      <c r="N1234" s="231" t="str">
        <f ca="1">IFERROR(Tab_Calculs[[#This Row],[Ratio_jour_après_livr]]+Tab_Calculs[[#This Row],[Ratio_jour_avant_livr]]+Tab_Calculs[[#This Row],[ratio_avant_debut]],"")</f>
        <v/>
      </c>
      <c r="O1234" t="e">
        <f ca="1">INDEX(INDIRECT(CONCATENATE("Tab_",Tab_Calculs[[#This Row],[Colonne1]])),Tab_Calculs[[#This Row],[index_date_livraison]]-1,7)*(MAX(Tab_Calculs[[#This Row],[Début periode livraison]],Tab_Calculs[[#This Row],[Début mois]])-Tab_Calculs[[#This Row],[Début mois]])</f>
        <v>#VALUE!</v>
      </c>
      <c r="P1234">
        <f ca="1">INDEX(INDIRECT(CONCATENATE("Tab_",Tab_Calculs[[#This Row],[Colonne1]])),Tab_Calculs[[#This Row],[index_date_livraison]],7)*(1+MIN(Tab_Calculs[[#This Row],[Date_livraison]],Tab_Calculs[[#This Row],[fin mois]])-MAX(Tab_Calculs[[#This Row],[Début mois]],Tab_Calculs[[#This Row],[Début periode livraison]]))</f>
        <v>0</v>
      </c>
      <c r="Q1234" t="e">
        <f ca="1">INDEX(INDIRECT(CONCATENATE("Tab_",Tab_Calculs[[#This Row],[Colonne1]])),Tab_Calculs[[#This Row],[index_date_livraison]]+1,7)*(Tab_Calculs[[#This Row],[fin mois]]-MIN(Tab_Calculs[[#This Row],[fin mois]],Tab_Calculs[[#This Row],[Date_livraison]]))</f>
        <v>#VALUE!</v>
      </c>
      <c r="R1234" t="e">
        <f ca="1">Tab_Calculs[[#This Row],[Ratio_Cout_après_livr]]+Tab_Calculs[[#This Row],[Ratio_Cout_avant_livr]]+Tab_Calculs[[#This Row],[Ratio_Cout_avant_debut]]</f>
        <v>#VALUE!</v>
      </c>
      <c r="S1234" t="str">
        <f ca="1">IFERROR(N1234*VLOOKUP(Tab_Calculs[[#This Row],[Colonne1]],Controle_des_données!$B$7:$G$14,6,FALSE),"")</f>
        <v/>
      </c>
      <c r="T1234" t="str">
        <f ca="1">IF(Tab_Calculs[[#This Row],[Combustible ]]="Electricité (kWh)",Tab_Calculs[[#This Row],[Conso_mois_kWh]]*2.3,Tab_Calculs[[#This Row],[Conso_mois_kWh]])</f>
        <v/>
      </c>
      <c r="U1234" t="str">
        <f ca="1">IFERROR(N1234*VLOOKUP(Tab_Calculs[[#This Row],[Colonne1]],Controle_des_données!$B$7:$H$14,7,FALSE),"")</f>
        <v/>
      </c>
      <c r="V1234">
        <f ca="1">IFERROR(Tab_Calculs[[#This Row],[Cout_mois]]/Tab_Calculs[[#This Row],[Conso_mois_kWh]],0)</f>
        <v>0</v>
      </c>
      <c r="W1234" t="str">
        <f>T(VLOOKUP(Tab_Calculs[[#This Row],[Compteur]],Site!$B$33:$G$40,3,FALSE))</f>
        <v/>
      </c>
      <c r="X1234" t="str">
        <f>T(VLOOKUP(Tab_Calculs[[#This Row],[Compteur]],Site!$B$33:$G$40,4,FALSE))</f>
        <v/>
      </c>
      <c r="Y1234" t="str">
        <f>T(VLOOKUP(Tab_Calculs[[#This Row],[Compteur]],Site!$B$33:$G$40,5,FALSE))</f>
        <v/>
      </c>
      <c r="Z1234" t="str">
        <f>T(VLOOKUP(Tab_Calculs[[#This Row],[Compteur]],Site!$B$33:$G$40,6,FALSE))</f>
        <v/>
      </c>
      <c r="AA1234">
        <f>IFERROR(GETPIVOTDATA("DJU(chauffagiste)",BDD_DJU!$P$13,"annee",Tab_Calculs[[#This Row],[ANNEE]],"mois_numero",Tab_Calculs[[#This Row],[MOIS]]),0)</f>
        <v>321.2</v>
      </c>
    </row>
    <row r="1235" spans="1:27" x14ac:dyDescent="0.25">
      <c r="A1235" s="3">
        <f>DATE(Tab_Calculs[[#This Row],[ANNEE]],Tab_Calculs[[#This Row],[MOIS]],1)</f>
        <v>42430</v>
      </c>
      <c r="B1235" s="3">
        <f>EDATE(Tab_Calculs[[#This Row],[Début mois]],1)-1</f>
        <v>42460</v>
      </c>
      <c r="C1235">
        <f t="shared" si="43"/>
        <v>3</v>
      </c>
      <c r="D1235">
        <f t="shared" si="42"/>
        <v>2016</v>
      </c>
      <c r="E1235" t="s">
        <v>86</v>
      </c>
      <c r="F1235" t="str">
        <f>SUBSTITUTE(Tab_Calculs[[#This Row],[Compteur]]," ","_")</f>
        <v>Compteur_7</v>
      </c>
      <c r="G1235" t="str">
        <f>T(INDEX(Site!$B$33:$G$40, MATCH(Tab_Calculs[[#This Row],[Compteur]], Site!$B$33:$B$40,0),2))</f>
        <v/>
      </c>
      <c r="H1235" s="3">
        <f t="array" aca="1" ref="H1235" ca="1">MIN(IF(INDIRECT(CONCATENATE(Tab_Calculs[[#This Row],[Colonne1]],"!$B$2:$B$243"))&gt;=Calculs_Consos!$A1235,INDIRECT(CONCATENATE(Tab_Calculs[[#This Row],[Colonne1]],"!$B$2:$B$243"))))</f>
        <v>0</v>
      </c>
      <c r="I1235" s="3">
        <f ca="1">INDEX(INDIRECT(CONCATENATE("Tab_",Tab_Calculs[[#This Row],[Colonne1]])),Tab_Calculs[[#This Row],[index_date_livraison]],1)</f>
        <v>0</v>
      </c>
      <c r="J1235">
        <f ca="1">MATCH(Tab_Calculs[[#This Row],[Date_livraison]],INDIRECT(CONCATENATE("Tab_",Tab_Calculs[[#This Row],[Colonne1]],"[Fin de période]")),0)</f>
        <v>1</v>
      </c>
      <c r="K1235" t="e">
        <f ca="1">INDEX(INDIRECT(CONCATENATE("Tab_",Tab_Calculs[[#This Row],[Colonne1]])),Tab_Calculs[[#This Row],[index_date_livraison]]-1,6)*(MAX(Tab_Calculs[[#This Row],[Début periode livraison]],Tab_Calculs[[#This Row],[Début mois]])-Tab_Calculs[[#This Row],[Début mois]])</f>
        <v>#VALUE!</v>
      </c>
      <c r="L1235" s="94">
        <f ca="1">INDEX(INDIRECT(CONCATENATE("Tab_",Tab_Calculs[[#This Row],[Colonne1]])),Tab_Calculs[[#This Row],[index_date_livraison]],6)*(1+MIN(Tab_Calculs[[#This Row],[Date_livraison]],Tab_Calculs[[#This Row],[fin mois]])-MAX(Tab_Calculs[[#This Row],[Début mois]],Tab_Calculs[[#This Row],[Début periode livraison]]))</f>
        <v>0</v>
      </c>
      <c r="M1235" s="94" t="e">
        <f ca="1">INDEX(INDIRECT(CONCATENATE("Tab_",Tab_Calculs[[#This Row],[Colonne1]])),Tab_Calculs[[#This Row],[index_date_livraison]]+1,6)*(Tab_Calculs[[#This Row],[fin mois]]-MIN(Tab_Calculs[[#This Row],[fin mois]],Tab_Calculs[[#This Row],[Date_livraison]]))</f>
        <v>#VALUE!</v>
      </c>
      <c r="N1235" s="231" t="str">
        <f ca="1">IFERROR(Tab_Calculs[[#This Row],[Ratio_jour_après_livr]]+Tab_Calculs[[#This Row],[Ratio_jour_avant_livr]]+Tab_Calculs[[#This Row],[ratio_avant_debut]],"")</f>
        <v/>
      </c>
      <c r="O1235" t="e">
        <f ca="1">INDEX(INDIRECT(CONCATENATE("Tab_",Tab_Calculs[[#This Row],[Colonne1]])),Tab_Calculs[[#This Row],[index_date_livraison]]-1,7)*(MAX(Tab_Calculs[[#This Row],[Début periode livraison]],Tab_Calculs[[#This Row],[Début mois]])-Tab_Calculs[[#This Row],[Début mois]])</f>
        <v>#VALUE!</v>
      </c>
      <c r="P1235">
        <f ca="1">INDEX(INDIRECT(CONCATENATE("Tab_",Tab_Calculs[[#This Row],[Colonne1]])),Tab_Calculs[[#This Row],[index_date_livraison]],7)*(1+MIN(Tab_Calculs[[#This Row],[Date_livraison]],Tab_Calculs[[#This Row],[fin mois]])-MAX(Tab_Calculs[[#This Row],[Début mois]],Tab_Calculs[[#This Row],[Début periode livraison]]))</f>
        <v>0</v>
      </c>
      <c r="Q1235" t="e">
        <f ca="1">INDEX(INDIRECT(CONCATENATE("Tab_",Tab_Calculs[[#This Row],[Colonne1]])),Tab_Calculs[[#This Row],[index_date_livraison]]+1,7)*(Tab_Calculs[[#This Row],[fin mois]]-MIN(Tab_Calculs[[#This Row],[fin mois]],Tab_Calculs[[#This Row],[Date_livraison]]))</f>
        <v>#VALUE!</v>
      </c>
      <c r="R1235" t="e">
        <f ca="1">Tab_Calculs[[#This Row],[Ratio_Cout_après_livr]]+Tab_Calculs[[#This Row],[Ratio_Cout_avant_livr]]+Tab_Calculs[[#This Row],[Ratio_Cout_avant_debut]]</f>
        <v>#VALUE!</v>
      </c>
      <c r="S1235" t="str">
        <f ca="1">IFERROR(N1235*VLOOKUP(Tab_Calculs[[#This Row],[Colonne1]],Controle_des_données!$B$7:$G$14,6,FALSE),"")</f>
        <v/>
      </c>
      <c r="T1235" t="str">
        <f ca="1">IF(Tab_Calculs[[#This Row],[Combustible ]]="Electricité (kWh)",Tab_Calculs[[#This Row],[Conso_mois_kWh]]*2.3,Tab_Calculs[[#This Row],[Conso_mois_kWh]])</f>
        <v/>
      </c>
      <c r="U1235" t="str">
        <f ca="1">IFERROR(N1235*VLOOKUP(Tab_Calculs[[#This Row],[Colonne1]],Controle_des_données!$B$7:$H$14,7,FALSE),"")</f>
        <v/>
      </c>
      <c r="V1235">
        <f ca="1">IFERROR(Tab_Calculs[[#This Row],[Cout_mois]]/Tab_Calculs[[#This Row],[Conso_mois_kWh]],0)</f>
        <v>0</v>
      </c>
      <c r="W1235" t="str">
        <f>T(VLOOKUP(Tab_Calculs[[#This Row],[Compteur]],Site!$B$33:$G$40,3,FALSE))</f>
        <v/>
      </c>
      <c r="X1235" t="str">
        <f>T(VLOOKUP(Tab_Calculs[[#This Row],[Compteur]],Site!$B$33:$G$40,4,FALSE))</f>
        <v/>
      </c>
      <c r="Y1235" t="str">
        <f>T(VLOOKUP(Tab_Calculs[[#This Row],[Compteur]],Site!$B$33:$G$40,5,FALSE))</f>
        <v/>
      </c>
      <c r="Z1235" t="str">
        <f>T(VLOOKUP(Tab_Calculs[[#This Row],[Compteur]],Site!$B$33:$G$40,6,FALSE))</f>
        <v/>
      </c>
      <c r="AA1235">
        <f>IFERROR(GETPIVOTDATA("DJU(chauffagiste)",BDD_DJU!$P$13,"annee",Tab_Calculs[[#This Row],[ANNEE]],"mois_numero",Tab_Calculs[[#This Row],[MOIS]]),0)</f>
        <v>328.3</v>
      </c>
    </row>
    <row r="1236" spans="1:27" x14ac:dyDescent="0.25">
      <c r="A1236" s="3">
        <f>DATE(Tab_Calculs[[#This Row],[ANNEE]],Tab_Calculs[[#This Row],[MOIS]],1)</f>
        <v>42461</v>
      </c>
      <c r="B1236" s="3">
        <f>EDATE(Tab_Calculs[[#This Row],[Début mois]],1)-1</f>
        <v>42490</v>
      </c>
      <c r="C1236">
        <f t="shared" si="43"/>
        <v>4</v>
      </c>
      <c r="D1236">
        <f t="shared" si="42"/>
        <v>2016</v>
      </c>
      <c r="E1236" t="s">
        <v>86</v>
      </c>
      <c r="F1236" t="str">
        <f>SUBSTITUTE(Tab_Calculs[[#This Row],[Compteur]]," ","_")</f>
        <v>Compteur_7</v>
      </c>
      <c r="G1236" t="str">
        <f>T(INDEX(Site!$B$33:$G$40, MATCH(Tab_Calculs[[#This Row],[Compteur]], Site!$B$33:$B$40,0),2))</f>
        <v/>
      </c>
      <c r="H1236" s="3">
        <f t="array" aca="1" ref="H1236" ca="1">MIN(IF(INDIRECT(CONCATENATE(Tab_Calculs[[#This Row],[Colonne1]],"!$B$2:$B$243"))&gt;=Calculs_Consos!$A1236,INDIRECT(CONCATENATE(Tab_Calculs[[#This Row],[Colonne1]],"!$B$2:$B$243"))))</f>
        <v>0</v>
      </c>
      <c r="I1236" s="3">
        <f ca="1">INDEX(INDIRECT(CONCATENATE("Tab_",Tab_Calculs[[#This Row],[Colonne1]])),Tab_Calculs[[#This Row],[index_date_livraison]],1)</f>
        <v>0</v>
      </c>
      <c r="J1236">
        <f ca="1">MATCH(Tab_Calculs[[#This Row],[Date_livraison]],INDIRECT(CONCATENATE("Tab_",Tab_Calculs[[#This Row],[Colonne1]],"[Fin de période]")),0)</f>
        <v>1</v>
      </c>
      <c r="K1236" t="e">
        <f ca="1">INDEX(INDIRECT(CONCATENATE("Tab_",Tab_Calculs[[#This Row],[Colonne1]])),Tab_Calculs[[#This Row],[index_date_livraison]]-1,6)*(MAX(Tab_Calculs[[#This Row],[Début periode livraison]],Tab_Calculs[[#This Row],[Début mois]])-Tab_Calculs[[#This Row],[Début mois]])</f>
        <v>#VALUE!</v>
      </c>
      <c r="L1236" s="94">
        <f ca="1">INDEX(INDIRECT(CONCATENATE("Tab_",Tab_Calculs[[#This Row],[Colonne1]])),Tab_Calculs[[#This Row],[index_date_livraison]],6)*(1+MIN(Tab_Calculs[[#This Row],[Date_livraison]],Tab_Calculs[[#This Row],[fin mois]])-MAX(Tab_Calculs[[#This Row],[Début mois]],Tab_Calculs[[#This Row],[Début periode livraison]]))</f>
        <v>0</v>
      </c>
      <c r="M1236" s="94" t="e">
        <f ca="1">INDEX(INDIRECT(CONCATENATE("Tab_",Tab_Calculs[[#This Row],[Colonne1]])),Tab_Calculs[[#This Row],[index_date_livraison]]+1,6)*(Tab_Calculs[[#This Row],[fin mois]]-MIN(Tab_Calculs[[#This Row],[fin mois]],Tab_Calculs[[#This Row],[Date_livraison]]))</f>
        <v>#VALUE!</v>
      </c>
      <c r="N1236" s="231" t="str">
        <f ca="1">IFERROR(Tab_Calculs[[#This Row],[Ratio_jour_après_livr]]+Tab_Calculs[[#This Row],[Ratio_jour_avant_livr]]+Tab_Calculs[[#This Row],[ratio_avant_debut]],"")</f>
        <v/>
      </c>
      <c r="O1236" t="e">
        <f ca="1">INDEX(INDIRECT(CONCATENATE("Tab_",Tab_Calculs[[#This Row],[Colonne1]])),Tab_Calculs[[#This Row],[index_date_livraison]]-1,7)*(MAX(Tab_Calculs[[#This Row],[Début periode livraison]],Tab_Calculs[[#This Row],[Début mois]])-Tab_Calculs[[#This Row],[Début mois]])</f>
        <v>#VALUE!</v>
      </c>
      <c r="P1236">
        <f ca="1">INDEX(INDIRECT(CONCATENATE("Tab_",Tab_Calculs[[#This Row],[Colonne1]])),Tab_Calculs[[#This Row],[index_date_livraison]],7)*(1+MIN(Tab_Calculs[[#This Row],[Date_livraison]],Tab_Calculs[[#This Row],[fin mois]])-MAX(Tab_Calculs[[#This Row],[Début mois]],Tab_Calculs[[#This Row],[Début periode livraison]]))</f>
        <v>0</v>
      </c>
      <c r="Q1236" t="e">
        <f ca="1">INDEX(INDIRECT(CONCATENATE("Tab_",Tab_Calculs[[#This Row],[Colonne1]])),Tab_Calculs[[#This Row],[index_date_livraison]]+1,7)*(Tab_Calculs[[#This Row],[fin mois]]-MIN(Tab_Calculs[[#This Row],[fin mois]],Tab_Calculs[[#This Row],[Date_livraison]]))</f>
        <v>#VALUE!</v>
      </c>
      <c r="R1236" t="e">
        <f ca="1">Tab_Calculs[[#This Row],[Ratio_Cout_après_livr]]+Tab_Calculs[[#This Row],[Ratio_Cout_avant_livr]]+Tab_Calculs[[#This Row],[Ratio_Cout_avant_debut]]</f>
        <v>#VALUE!</v>
      </c>
      <c r="S1236" t="str">
        <f ca="1">IFERROR(N1236*VLOOKUP(Tab_Calculs[[#This Row],[Colonne1]],Controle_des_données!$B$7:$G$14,6,FALSE),"")</f>
        <v/>
      </c>
      <c r="T1236" t="str">
        <f ca="1">IF(Tab_Calculs[[#This Row],[Combustible ]]="Electricité (kWh)",Tab_Calculs[[#This Row],[Conso_mois_kWh]]*2.3,Tab_Calculs[[#This Row],[Conso_mois_kWh]])</f>
        <v/>
      </c>
      <c r="U1236" t="str">
        <f ca="1">IFERROR(N1236*VLOOKUP(Tab_Calculs[[#This Row],[Colonne1]],Controle_des_données!$B$7:$H$14,7,FALSE),"")</f>
        <v/>
      </c>
      <c r="V1236">
        <f ca="1">IFERROR(Tab_Calculs[[#This Row],[Cout_mois]]/Tab_Calculs[[#This Row],[Conso_mois_kWh]],0)</f>
        <v>0</v>
      </c>
      <c r="W1236" t="str">
        <f>T(VLOOKUP(Tab_Calculs[[#This Row],[Compteur]],Site!$B$33:$G$40,3,FALSE))</f>
        <v/>
      </c>
      <c r="X1236" t="str">
        <f>T(VLOOKUP(Tab_Calculs[[#This Row],[Compteur]],Site!$B$33:$G$40,4,FALSE))</f>
        <v/>
      </c>
      <c r="Y1236" t="str">
        <f>T(VLOOKUP(Tab_Calculs[[#This Row],[Compteur]],Site!$B$33:$G$40,5,FALSE))</f>
        <v/>
      </c>
      <c r="Z1236" t="str">
        <f>T(VLOOKUP(Tab_Calculs[[#This Row],[Compteur]],Site!$B$33:$G$40,6,FALSE))</f>
        <v/>
      </c>
      <c r="AA1236">
        <f>IFERROR(GETPIVOTDATA("DJU(chauffagiste)",BDD_DJU!$P$13,"annee",Tab_Calculs[[#This Row],[ANNEE]],"mois_numero",Tab_Calculs[[#This Row],[MOIS]]),0)</f>
        <v>252.6</v>
      </c>
    </row>
    <row r="1237" spans="1:27" x14ac:dyDescent="0.25">
      <c r="A1237" s="3">
        <f>DATE(Tab_Calculs[[#This Row],[ANNEE]],Tab_Calculs[[#This Row],[MOIS]],1)</f>
        <v>42491</v>
      </c>
      <c r="B1237" s="3">
        <f>EDATE(Tab_Calculs[[#This Row],[Début mois]],1)-1</f>
        <v>42521</v>
      </c>
      <c r="C1237">
        <f t="shared" si="43"/>
        <v>5</v>
      </c>
      <c r="D1237">
        <f t="shared" si="42"/>
        <v>2016</v>
      </c>
      <c r="E1237" t="s">
        <v>86</v>
      </c>
      <c r="F1237" t="str">
        <f>SUBSTITUTE(Tab_Calculs[[#This Row],[Compteur]]," ","_")</f>
        <v>Compteur_7</v>
      </c>
      <c r="G1237" t="str">
        <f>T(INDEX(Site!$B$33:$G$40, MATCH(Tab_Calculs[[#This Row],[Compteur]], Site!$B$33:$B$40,0),2))</f>
        <v/>
      </c>
      <c r="H1237" s="3">
        <f t="array" aca="1" ref="H1237" ca="1">MIN(IF(INDIRECT(CONCATENATE(Tab_Calculs[[#This Row],[Colonne1]],"!$B$2:$B$243"))&gt;=Calculs_Consos!$A1237,INDIRECT(CONCATENATE(Tab_Calculs[[#This Row],[Colonne1]],"!$B$2:$B$243"))))</f>
        <v>0</v>
      </c>
      <c r="I1237" s="3">
        <f ca="1">INDEX(INDIRECT(CONCATENATE("Tab_",Tab_Calculs[[#This Row],[Colonne1]])),Tab_Calculs[[#This Row],[index_date_livraison]],1)</f>
        <v>0</v>
      </c>
      <c r="J1237">
        <f ca="1">MATCH(Tab_Calculs[[#This Row],[Date_livraison]],INDIRECT(CONCATENATE("Tab_",Tab_Calculs[[#This Row],[Colonne1]],"[Fin de période]")),0)</f>
        <v>1</v>
      </c>
      <c r="K1237" t="e">
        <f ca="1">INDEX(INDIRECT(CONCATENATE("Tab_",Tab_Calculs[[#This Row],[Colonne1]])),Tab_Calculs[[#This Row],[index_date_livraison]]-1,6)*(MAX(Tab_Calculs[[#This Row],[Début periode livraison]],Tab_Calculs[[#This Row],[Début mois]])-Tab_Calculs[[#This Row],[Début mois]])</f>
        <v>#VALUE!</v>
      </c>
      <c r="L1237" s="94">
        <f ca="1">INDEX(INDIRECT(CONCATENATE("Tab_",Tab_Calculs[[#This Row],[Colonne1]])),Tab_Calculs[[#This Row],[index_date_livraison]],6)*(1+MIN(Tab_Calculs[[#This Row],[Date_livraison]],Tab_Calculs[[#This Row],[fin mois]])-MAX(Tab_Calculs[[#This Row],[Début mois]],Tab_Calculs[[#This Row],[Début periode livraison]]))</f>
        <v>0</v>
      </c>
      <c r="M1237" s="94" t="e">
        <f ca="1">INDEX(INDIRECT(CONCATENATE("Tab_",Tab_Calculs[[#This Row],[Colonne1]])),Tab_Calculs[[#This Row],[index_date_livraison]]+1,6)*(Tab_Calculs[[#This Row],[fin mois]]-MIN(Tab_Calculs[[#This Row],[fin mois]],Tab_Calculs[[#This Row],[Date_livraison]]))</f>
        <v>#VALUE!</v>
      </c>
      <c r="N1237" s="231" t="str">
        <f ca="1">IFERROR(Tab_Calculs[[#This Row],[Ratio_jour_après_livr]]+Tab_Calculs[[#This Row],[Ratio_jour_avant_livr]]+Tab_Calculs[[#This Row],[ratio_avant_debut]],"")</f>
        <v/>
      </c>
      <c r="O1237" t="e">
        <f ca="1">INDEX(INDIRECT(CONCATENATE("Tab_",Tab_Calculs[[#This Row],[Colonne1]])),Tab_Calculs[[#This Row],[index_date_livraison]]-1,7)*(MAX(Tab_Calculs[[#This Row],[Début periode livraison]],Tab_Calculs[[#This Row],[Début mois]])-Tab_Calculs[[#This Row],[Début mois]])</f>
        <v>#VALUE!</v>
      </c>
      <c r="P1237">
        <f ca="1">INDEX(INDIRECT(CONCATENATE("Tab_",Tab_Calculs[[#This Row],[Colonne1]])),Tab_Calculs[[#This Row],[index_date_livraison]],7)*(1+MIN(Tab_Calculs[[#This Row],[Date_livraison]],Tab_Calculs[[#This Row],[fin mois]])-MAX(Tab_Calculs[[#This Row],[Début mois]],Tab_Calculs[[#This Row],[Début periode livraison]]))</f>
        <v>0</v>
      </c>
      <c r="Q1237" t="e">
        <f ca="1">INDEX(INDIRECT(CONCATENATE("Tab_",Tab_Calculs[[#This Row],[Colonne1]])),Tab_Calculs[[#This Row],[index_date_livraison]]+1,7)*(Tab_Calculs[[#This Row],[fin mois]]-MIN(Tab_Calculs[[#This Row],[fin mois]],Tab_Calculs[[#This Row],[Date_livraison]]))</f>
        <v>#VALUE!</v>
      </c>
      <c r="R1237" t="e">
        <f ca="1">Tab_Calculs[[#This Row],[Ratio_Cout_après_livr]]+Tab_Calculs[[#This Row],[Ratio_Cout_avant_livr]]+Tab_Calculs[[#This Row],[Ratio_Cout_avant_debut]]</f>
        <v>#VALUE!</v>
      </c>
      <c r="S1237" t="str">
        <f ca="1">IFERROR(N1237*VLOOKUP(Tab_Calculs[[#This Row],[Colonne1]],Controle_des_données!$B$7:$G$14,6,FALSE),"")</f>
        <v/>
      </c>
      <c r="T1237" t="str">
        <f ca="1">IF(Tab_Calculs[[#This Row],[Combustible ]]="Electricité (kWh)",Tab_Calculs[[#This Row],[Conso_mois_kWh]]*2.3,Tab_Calculs[[#This Row],[Conso_mois_kWh]])</f>
        <v/>
      </c>
      <c r="U1237" t="str">
        <f ca="1">IFERROR(N1237*VLOOKUP(Tab_Calculs[[#This Row],[Colonne1]],Controle_des_données!$B$7:$H$14,7,FALSE),"")</f>
        <v/>
      </c>
      <c r="V1237">
        <f ca="1">IFERROR(Tab_Calculs[[#This Row],[Cout_mois]]/Tab_Calculs[[#This Row],[Conso_mois_kWh]],0)</f>
        <v>0</v>
      </c>
      <c r="W1237" t="str">
        <f>T(VLOOKUP(Tab_Calculs[[#This Row],[Compteur]],Site!$B$33:$G$40,3,FALSE))</f>
        <v/>
      </c>
      <c r="X1237" t="str">
        <f>T(VLOOKUP(Tab_Calculs[[#This Row],[Compteur]],Site!$B$33:$G$40,4,FALSE))</f>
        <v/>
      </c>
      <c r="Y1237" t="str">
        <f>T(VLOOKUP(Tab_Calculs[[#This Row],[Compteur]],Site!$B$33:$G$40,5,FALSE))</f>
        <v/>
      </c>
      <c r="Z1237" t="str">
        <f>T(VLOOKUP(Tab_Calculs[[#This Row],[Compteur]],Site!$B$33:$G$40,6,FALSE))</f>
        <v/>
      </c>
      <c r="AA1237">
        <f>IFERROR(GETPIVOTDATA("DJU(chauffagiste)",BDD_DJU!$P$13,"annee",Tab_Calculs[[#This Row],[ANNEE]],"mois_numero",Tab_Calculs[[#This Row],[MOIS]]),0)</f>
        <v>124.3</v>
      </c>
    </row>
    <row r="1238" spans="1:27" x14ac:dyDescent="0.25">
      <c r="A1238" s="3">
        <f>DATE(Tab_Calculs[[#This Row],[ANNEE]],Tab_Calculs[[#This Row],[MOIS]],1)</f>
        <v>42522</v>
      </c>
      <c r="B1238" s="3">
        <f>EDATE(Tab_Calculs[[#This Row],[Début mois]],1)-1</f>
        <v>42551</v>
      </c>
      <c r="C1238">
        <f t="shared" si="43"/>
        <v>6</v>
      </c>
      <c r="D1238">
        <f t="shared" si="42"/>
        <v>2016</v>
      </c>
      <c r="E1238" t="s">
        <v>86</v>
      </c>
      <c r="F1238" t="str">
        <f>SUBSTITUTE(Tab_Calculs[[#This Row],[Compteur]]," ","_")</f>
        <v>Compteur_7</v>
      </c>
      <c r="G1238" t="str">
        <f>T(INDEX(Site!$B$33:$G$40, MATCH(Tab_Calculs[[#This Row],[Compteur]], Site!$B$33:$B$40,0),2))</f>
        <v/>
      </c>
      <c r="H1238" s="3">
        <f t="array" aca="1" ref="H1238" ca="1">MIN(IF(INDIRECT(CONCATENATE(Tab_Calculs[[#This Row],[Colonne1]],"!$B$2:$B$243"))&gt;=Calculs_Consos!$A1238,INDIRECT(CONCATENATE(Tab_Calculs[[#This Row],[Colonne1]],"!$B$2:$B$243"))))</f>
        <v>0</v>
      </c>
      <c r="I1238" s="3">
        <f ca="1">INDEX(INDIRECT(CONCATENATE("Tab_",Tab_Calculs[[#This Row],[Colonne1]])),Tab_Calculs[[#This Row],[index_date_livraison]],1)</f>
        <v>0</v>
      </c>
      <c r="J1238">
        <f ca="1">MATCH(Tab_Calculs[[#This Row],[Date_livraison]],INDIRECT(CONCATENATE("Tab_",Tab_Calculs[[#This Row],[Colonne1]],"[Fin de période]")),0)</f>
        <v>1</v>
      </c>
      <c r="K1238" t="e">
        <f ca="1">INDEX(INDIRECT(CONCATENATE("Tab_",Tab_Calculs[[#This Row],[Colonne1]])),Tab_Calculs[[#This Row],[index_date_livraison]]-1,6)*(MAX(Tab_Calculs[[#This Row],[Début periode livraison]],Tab_Calculs[[#This Row],[Début mois]])-Tab_Calculs[[#This Row],[Début mois]])</f>
        <v>#VALUE!</v>
      </c>
      <c r="L1238" s="94">
        <f ca="1">INDEX(INDIRECT(CONCATENATE("Tab_",Tab_Calculs[[#This Row],[Colonne1]])),Tab_Calculs[[#This Row],[index_date_livraison]],6)*(1+MIN(Tab_Calculs[[#This Row],[Date_livraison]],Tab_Calculs[[#This Row],[fin mois]])-MAX(Tab_Calculs[[#This Row],[Début mois]],Tab_Calculs[[#This Row],[Début periode livraison]]))</f>
        <v>0</v>
      </c>
      <c r="M1238" s="94" t="e">
        <f ca="1">INDEX(INDIRECT(CONCATENATE("Tab_",Tab_Calculs[[#This Row],[Colonne1]])),Tab_Calculs[[#This Row],[index_date_livraison]]+1,6)*(Tab_Calculs[[#This Row],[fin mois]]-MIN(Tab_Calculs[[#This Row],[fin mois]],Tab_Calculs[[#This Row],[Date_livraison]]))</f>
        <v>#VALUE!</v>
      </c>
      <c r="N1238" s="231" t="str">
        <f ca="1">IFERROR(Tab_Calculs[[#This Row],[Ratio_jour_après_livr]]+Tab_Calculs[[#This Row],[Ratio_jour_avant_livr]]+Tab_Calculs[[#This Row],[ratio_avant_debut]],"")</f>
        <v/>
      </c>
      <c r="O1238" t="e">
        <f ca="1">INDEX(INDIRECT(CONCATENATE("Tab_",Tab_Calculs[[#This Row],[Colonne1]])),Tab_Calculs[[#This Row],[index_date_livraison]]-1,7)*(MAX(Tab_Calculs[[#This Row],[Début periode livraison]],Tab_Calculs[[#This Row],[Début mois]])-Tab_Calculs[[#This Row],[Début mois]])</f>
        <v>#VALUE!</v>
      </c>
      <c r="P1238">
        <f ca="1">INDEX(INDIRECT(CONCATENATE("Tab_",Tab_Calculs[[#This Row],[Colonne1]])),Tab_Calculs[[#This Row],[index_date_livraison]],7)*(1+MIN(Tab_Calculs[[#This Row],[Date_livraison]],Tab_Calculs[[#This Row],[fin mois]])-MAX(Tab_Calculs[[#This Row],[Début mois]],Tab_Calculs[[#This Row],[Début periode livraison]]))</f>
        <v>0</v>
      </c>
      <c r="Q1238" t="e">
        <f ca="1">INDEX(INDIRECT(CONCATENATE("Tab_",Tab_Calculs[[#This Row],[Colonne1]])),Tab_Calculs[[#This Row],[index_date_livraison]]+1,7)*(Tab_Calculs[[#This Row],[fin mois]]-MIN(Tab_Calculs[[#This Row],[fin mois]],Tab_Calculs[[#This Row],[Date_livraison]]))</f>
        <v>#VALUE!</v>
      </c>
      <c r="R1238" t="e">
        <f ca="1">Tab_Calculs[[#This Row],[Ratio_Cout_après_livr]]+Tab_Calculs[[#This Row],[Ratio_Cout_avant_livr]]+Tab_Calculs[[#This Row],[Ratio_Cout_avant_debut]]</f>
        <v>#VALUE!</v>
      </c>
      <c r="S1238" t="str">
        <f ca="1">IFERROR(N1238*VLOOKUP(Tab_Calculs[[#This Row],[Colonne1]],Controle_des_données!$B$7:$G$14,6,FALSE),"")</f>
        <v/>
      </c>
      <c r="T1238" t="str">
        <f ca="1">IF(Tab_Calculs[[#This Row],[Combustible ]]="Electricité (kWh)",Tab_Calculs[[#This Row],[Conso_mois_kWh]]*2.3,Tab_Calculs[[#This Row],[Conso_mois_kWh]])</f>
        <v/>
      </c>
      <c r="U1238" t="str">
        <f ca="1">IFERROR(N1238*VLOOKUP(Tab_Calculs[[#This Row],[Colonne1]],Controle_des_données!$B$7:$H$14,7,FALSE),"")</f>
        <v/>
      </c>
      <c r="V1238">
        <f ca="1">IFERROR(Tab_Calculs[[#This Row],[Cout_mois]]/Tab_Calculs[[#This Row],[Conso_mois_kWh]],0)</f>
        <v>0</v>
      </c>
      <c r="W1238" t="str">
        <f>T(VLOOKUP(Tab_Calculs[[#This Row],[Compteur]],Site!$B$33:$G$40,3,FALSE))</f>
        <v/>
      </c>
      <c r="X1238" t="str">
        <f>T(VLOOKUP(Tab_Calculs[[#This Row],[Compteur]],Site!$B$33:$G$40,4,FALSE))</f>
        <v/>
      </c>
      <c r="Y1238" t="str">
        <f>T(VLOOKUP(Tab_Calculs[[#This Row],[Compteur]],Site!$B$33:$G$40,5,FALSE))</f>
        <v/>
      </c>
      <c r="Z1238" t="str">
        <f>T(VLOOKUP(Tab_Calculs[[#This Row],[Compteur]],Site!$B$33:$G$40,6,FALSE))</f>
        <v/>
      </c>
      <c r="AA1238">
        <f>IFERROR(GETPIVOTDATA("DJU(chauffagiste)",BDD_DJU!$P$13,"annee",Tab_Calculs[[#This Row],[ANNEE]],"mois_numero",Tab_Calculs[[#This Row],[MOIS]]),0)</f>
        <v>47.7</v>
      </c>
    </row>
    <row r="1239" spans="1:27" x14ac:dyDescent="0.25">
      <c r="A1239" s="3">
        <f>DATE(Tab_Calculs[[#This Row],[ANNEE]],Tab_Calculs[[#This Row],[MOIS]],1)</f>
        <v>42552</v>
      </c>
      <c r="B1239" s="3">
        <f>EDATE(Tab_Calculs[[#This Row],[Début mois]],1)-1</f>
        <v>42582</v>
      </c>
      <c r="C1239">
        <f t="shared" si="43"/>
        <v>7</v>
      </c>
      <c r="D1239">
        <f t="shared" si="42"/>
        <v>2016</v>
      </c>
      <c r="E1239" t="s">
        <v>86</v>
      </c>
      <c r="F1239" t="str">
        <f>SUBSTITUTE(Tab_Calculs[[#This Row],[Compteur]]," ","_")</f>
        <v>Compteur_7</v>
      </c>
      <c r="G1239" t="str">
        <f>T(INDEX(Site!$B$33:$G$40, MATCH(Tab_Calculs[[#This Row],[Compteur]], Site!$B$33:$B$40,0),2))</f>
        <v/>
      </c>
      <c r="H1239" s="3">
        <f t="array" aca="1" ref="H1239" ca="1">MIN(IF(INDIRECT(CONCATENATE(Tab_Calculs[[#This Row],[Colonne1]],"!$B$2:$B$243"))&gt;=Calculs_Consos!$A1239,INDIRECT(CONCATENATE(Tab_Calculs[[#This Row],[Colonne1]],"!$B$2:$B$243"))))</f>
        <v>0</v>
      </c>
      <c r="I1239" s="3">
        <f ca="1">INDEX(INDIRECT(CONCATENATE("Tab_",Tab_Calculs[[#This Row],[Colonne1]])),Tab_Calculs[[#This Row],[index_date_livraison]],1)</f>
        <v>0</v>
      </c>
      <c r="J1239">
        <f ca="1">MATCH(Tab_Calculs[[#This Row],[Date_livraison]],INDIRECT(CONCATENATE("Tab_",Tab_Calculs[[#This Row],[Colonne1]],"[Fin de période]")),0)</f>
        <v>1</v>
      </c>
      <c r="K1239" t="e">
        <f ca="1">INDEX(INDIRECT(CONCATENATE("Tab_",Tab_Calculs[[#This Row],[Colonne1]])),Tab_Calculs[[#This Row],[index_date_livraison]]-1,6)*(MAX(Tab_Calculs[[#This Row],[Début periode livraison]],Tab_Calculs[[#This Row],[Début mois]])-Tab_Calculs[[#This Row],[Début mois]])</f>
        <v>#VALUE!</v>
      </c>
      <c r="L1239" s="94">
        <f ca="1">INDEX(INDIRECT(CONCATENATE("Tab_",Tab_Calculs[[#This Row],[Colonne1]])),Tab_Calculs[[#This Row],[index_date_livraison]],6)*(1+MIN(Tab_Calculs[[#This Row],[Date_livraison]],Tab_Calculs[[#This Row],[fin mois]])-MAX(Tab_Calculs[[#This Row],[Début mois]],Tab_Calculs[[#This Row],[Début periode livraison]]))</f>
        <v>0</v>
      </c>
      <c r="M1239" s="94" t="e">
        <f ca="1">INDEX(INDIRECT(CONCATENATE("Tab_",Tab_Calculs[[#This Row],[Colonne1]])),Tab_Calculs[[#This Row],[index_date_livraison]]+1,6)*(Tab_Calculs[[#This Row],[fin mois]]-MIN(Tab_Calculs[[#This Row],[fin mois]],Tab_Calculs[[#This Row],[Date_livraison]]))</f>
        <v>#VALUE!</v>
      </c>
      <c r="N1239" s="231" t="str">
        <f ca="1">IFERROR(Tab_Calculs[[#This Row],[Ratio_jour_après_livr]]+Tab_Calculs[[#This Row],[Ratio_jour_avant_livr]]+Tab_Calculs[[#This Row],[ratio_avant_debut]],"")</f>
        <v/>
      </c>
      <c r="O1239" t="e">
        <f ca="1">INDEX(INDIRECT(CONCATENATE("Tab_",Tab_Calculs[[#This Row],[Colonne1]])),Tab_Calculs[[#This Row],[index_date_livraison]]-1,7)*(MAX(Tab_Calculs[[#This Row],[Début periode livraison]],Tab_Calculs[[#This Row],[Début mois]])-Tab_Calculs[[#This Row],[Début mois]])</f>
        <v>#VALUE!</v>
      </c>
      <c r="P1239">
        <f ca="1">INDEX(INDIRECT(CONCATENATE("Tab_",Tab_Calculs[[#This Row],[Colonne1]])),Tab_Calculs[[#This Row],[index_date_livraison]],7)*(1+MIN(Tab_Calculs[[#This Row],[Date_livraison]],Tab_Calculs[[#This Row],[fin mois]])-MAX(Tab_Calculs[[#This Row],[Début mois]],Tab_Calculs[[#This Row],[Début periode livraison]]))</f>
        <v>0</v>
      </c>
      <c r="Q1239" t="e">
        <f ca="1">INDEX(INDIRECT(CONCATENATE("Tab_",Tab_Calculs[[#This Row],[Colonne1]])),Tab_Calculs[[#This Row],[index_date_livraison]]+1,7)*(Tab_Calculs[[#This Row],[fin mois]]-MIN(Tab_Calculs[[#This Row],[fin mois]],Tab_Calculs[[#This Row],[Date_livraison]]))</f>
        <v>#VALUE!</v>
      </c>
      <c r="R1239" t="e">
        <f ca="1">Tab_Calculs[[#This Row],[Ratio_Cout_après_livr]]+Tab_Calculs[[#This Row],[Ratio_Cout_avant_livr]]+Tab_Calculs[[#This Row],[Ratio_Cout_avant_debut]]</f>
        <v>#VALUE!</v>
      </c>
      <c r="S1239" t="str">
        <f ca="1">IFERROR(N1239*VLOOKUP(Tab_Calculs[[#This Row],[Colonne1]],Controle_des_données!$B$7:$G$14,6,FALSE),"")</f>
        <v/>
      </c>
      <c r="T1239" t="str">
        <f ca="1">IF(Tab_Calculs[[#This Row],[Combustible ]]="Electricité (kWh)",Tab_Calculs[[#This Row],[Conso_mois_kWh]]*2.3,Tab_Calculs[[#This Row],[Conso_mois_kWh]])</f>
        <v/>
      </c>
      <c r="U1239" t="str">
        <f ca="1">IFERROR(N1239*VLOOKUP(Tab_Calculs[[#This Row],[Colonne1]],Controle_des_données!$B$7:$H$14,7,FALSE),"")</f>
        <v/>
      </c>
      <c r="V1239">
        <f ca="1">IFERROR(Tab_Calculs[[#This Row],[Cout_mois]]/Tab_Calculs[[#This Row],[Conso_mois_kWh]],0)</f>
        <v>0</v>
      </c>
      <c r="W1239" t="str">
        <f>T(VLOOKUP(Tab_Calculs[[#This Row],[Compteur]],Site!$B$33:$G$40,3,FALSE))</f>
        <v/>
      </c>
      <c r="X1239" t="str">
        <f>T(VLOOKUP(Tab_Calculs[[#This Row],[Compteur]],Site!$B$33:$G$40,4,FALSE))</f>
        <v/>
      </c>
      <c r="Y1239" t="str">
        <f>T(VLOOKUP(Tab_Calculs[[#This Row],[Compteur]],Site!$B$33:$G$40,5,FALSE))</f>
        <v/>
      </c>
      <c r="Z1239" t="str">
        <f>T(VLOOKUP(Tab_Calculs[[#This Row],[Compteur]],Site!$B$33:$G$40,6,FALSE))</f>
        <v/>
      </c>
      <c r="AA1239">
        <f>IFERROR(GETPIVOTDATA("DJU(chauffagiste)",BDD_DJU!$P$13,"annee",Tab_Calculs[[#This Row],[ANNEE]],"mois_numero",Tab_Calculs[[#This Row],[MOIS]]),0)</f>
        <v>32.299999999999997</v>
      </c>
    </row>
    <row r="1240" spans="1:27" x14ac:dyDescent="0.25">
      <c r="A1240" s="3">
        <f>DATE(Tab_Calculs[[#This Row],[ANNEE]],Tab_Calculs[[#This Row],[MOIS]],1)</f>
        <v>42583</v>
      </c>
      <c r="B1240" s="3">
        <f>EDATE(Tab_Calculs[[#This Row],[Début mois]],1)-1</f>
        <v>42613</v>
      </c>
      <c r="C1240">
        <f t="shared" si="43"/>
        <v>8</v>
      </c>
      <c r="D1240">
        <f t="shared" si="42"/>
        <v>2016</v>
      </c>
      <c r="E1240" t="s">
        <v>86</v>
      </c>
      <c r="F1240" t="str">
        <f>SUBSTITUTE(Tab_Calculs[[#This Row],[Compteur]]," ","_")</f>
        <v>Compteur_7</v>
      </c>
      <c r="G1240" t="str">
        <f>T(INDEX(Site!$B$33:$G$40, MATCH(Tab_Calculs[[#This Row],[Compteur]], Site!$B$33:$B$40,0),2))</f>
        <v/>
      </c>
      <c r="H1240" s="3">
        <f t="array" aca="1" ref="H1240" ca="1">MIN(IF(INDIRECT(CONCATENATE(Tab_Calculs[[#This Row],[Colonne1]],"!$B$2:$B$243"))&gt;=Calculs_Consos!$A1240,INDIRECT(CONCATENATE(Tab_Calculs[[#This Row],[Colonne1]],"!$B$2:$B$243"))))</f>
        <v>0</v>
      </c>
      <c r="I1240" s="3">
        <f ca="1">INDEX(INDIRECT(CONCATENATE("Tab_",Tab_Calculs[[#This Row],[Colonne1]])),Tab_Calculs[[#This Row],[index_date_livraison]],1)</f>
        <v>0</v>
      </c>
      <c r="J1240">
        <f ca="1">MATCH(Tab_Calculs[[#This Row],[Date_livraison]],INDIRECT(CONCATENATE("Tab_",Tab_Calculs[[#This Row],[Colonne1]],"[Fin de période]")),0)</f>
        <v>1</v>
      </c>
      <c r="K1240" t="e">
        <f ca="1">INDEX(INDIRECT(CONCATENATE("Tab_",Tab_Calculs[[#This Row],[Colonne1]])),Tab_Calculs[[#This Row],[index_date_livraison]]-1,6)*(MAX(Tab_Calculs[[#This Row],[Début periode livraison]],Tab_Calculs[[#This Row],[Début mois]])-Tab_Calculs[[#This Row],[Début mois]])</f>
        <v>#VALUE!</v>
      </c>
      <c r="L1240" s="94">
        <f ca="1">INDEX(INDIRECT(CONCATENATE("Tab_",Tab_Calculs[[#This Row],[Colonne1]])),Tab_Calculs[[#This Row],[index_date_livraison]],6)*(1+MIN(Tab_Calculs[[#This Row],[Date_livraison]],Tab_Calculs[[#This Row],[fin mois]])-MAX(Tab_Calculs[[#This Row],[Début mois]],Tab_Calculs[[#This Row],[Début periode livraison]]))</f>
        <v>0</v>
      </c>
      <c r="M1240" s="94" t="e">
        <f ca="1">INDEX(INDIRECT(CONCATENATE("Tab_",Tab_Calculs[[#This Row],[Colonne1]])),Tab_Calculs[[#This Row],[index_date_livraison]]+1,6)*(Tab_Calculs[[#This Row],[fin mois]]-MIN(Tab_Calculs[[#This Row],[fin mois]],Tab_Calculs[[#This Row],[Date_livraison]]))</f>
        <v>#VALUE!</v>
      </c>
      <c r="N1240" s="231" t="str">
        <f ca="1">IFERROR(Tab_Calculs[[#This Row],[Ratio_jour_après_livr]]+Tab_Calculs[[#This Row],[Ratio_jour_avant_livr]]+Tab_Calculs[[#This Row],[ratio_avant_debut]],"")</f>
        <v/>
      </c>
      <c r="O1240" t="e">
        <f ca="1">INDEX(INDIRECT(CONCATENATE("Tab_",Tab_Calculs[[#This Row],[Colonne1]])),Tab_Calculs[[#This Row],[index_date_livraison]]-1,7)*(MAX(Tab_Calculs[[#This Row],[Début periode livraison]],Tab_Calculs[[#This Row],[Début mois]])-Tab_Calculs[[#This Row],[Début mois]])</f>
        <v>#VALUE!</v>
      </c>
      <c r="P1240">
        <f ca="1">INDEX(INDIRECT(CONCATENATE("Tab_",Tab_Calculs[[#This Row],[Colonne1]])),Tab_Calculs[[#This Row],[index_date_livraison]],7)*(1+MIN(Tab_Calculs[[#This Row],[Date_livraison]],Tab_Calculs[[#This Row],[fin mois]])-MAX(Tab_Calculs[[#This Row],[Début mois]],Tab_Calculs[[#This Row],[Début periode livraison]]))</f>
        <v>0</v>
      </c>
      <c r="Q1240" t="e">
        <f ca="1">INDEX(INDIRECT(CONCATENATE("Tab_",Tab_Calculs[[#This Row],[Colonne1]])),Tab_Calculs[[#This Row],[index_date_livraison]]+1,7)*(Tab_Calculs[[#This Row],[fin mois]]-MIN(Tab_Calculs[[#This Row],[fin mois]],Tab_Calculs[[#This Row],[Date_livraison]]))</f>
        <v>#VALUE!</v>
      </c>
      <c r="R1240" t="e">
        <f ca="1">Tab_Calculs[[#This Row],[Ratio_Cout_après_livr]]+Tab_Calculs[[#This Row],[Ratio_Cout_avant_livr]]+Tab_Calculs[[#This Row],[Ratio_Cout_avant_debut]]</f>
        <v>#VALUE!</v>
      </c>
      <c r="S1240" t="str">
        <f ca="1">IFERROR(N1240*VLOOKUP(Tab_Calculs[[#This Row],[Colonne1]],Controle_des_données!$B$7:$G$14,6,FALSE),"")</f>
        <v/>
      </c>
      <c r="T1240" t="str">
        <f ca="1">IF(Tab_Calculs[[#This Row],[Combustible ]]="Electricité (kWh)",Tab_Calculs[[#This Row],[Conso_mois_kWh]]*2.3,Tab_Calculs[[#This Row],[Conso_mois_kWh]])</f>
        <v/>
      </c>
      <c r="U1240" t="str">
        <f ca="1">IFERROR(N1240*VLOOKUP(Tab_Calculs[[#This Row],[Colonne1]],Controle_des_données!$B$7:$H$14,7,FALSE),"")</f>
        <v/>
      </c>
      <c r="V1240">
        <f ca="1">IFERROR(Tab_Calculs[[#This Row],[Cout_mois]]/Tab_Calculs[[#This Row],[Conso_mois_kWh]],0)</f>
        <v>0</v>
      </c>
      <c r="W1240" t="str">
        <f>T(VLOOKUP(Tab_Calculs[[#This Row],[Compteur]],Site!$B$33:$G$40,3,FALSE))</f>
        <v/>
      </c>
      <c r="X1240" t="str">
        <f>T(VLOOKUP(Tab_Calculs[[#This Row],[Compteur]],Site!$B$33:$G$40,4,FALSE))</f>
        <v/>
      </c>
      <c r="Y1240" t="str">
        <f>T(VLOOKUP(Tab_Calculs[[#This Row],[Compteur]],Site!$B$33:$G$40,5,FALSE))</f>
        <v/>
      </c>
      <c r="Z1240" t="str">
        <f>T(VLOOKUP(Tab_Calculs[[#This Row],[Compteur]],Site!$B$33:$G$40,6,FALSE))</f>
        <v/>
      </c>
      <c r="AA1240">
        <f>IFERROR(GETPIVOTDATA("DJU(chauffagiste)",BDD_DJU!$P$13,"annee",Tab_Calculs[[#This Row],[ANNEE]],"mois_numero",Tab_Calculs[[#This Row],[MOIS]]),0)</f>
        <v>33.799999999999997</v>
      </c>
    </row>
    <row r="1241" spans="1:27" x14ac:dyDescent="0.25">
      <c r="A1241" s="3">
        <f>DATE(Tab_Calculs[[#This Row],[ANNEE]],Tab_Calculs[[#This Row],[MOIS]],1)</f>
        <v>42614</v>
      </c>
      <c r="B1241" s="3">
        <f>EDATE(Tab_Calculs[[#This Row],[Début mois]],1)-1</f>
        <v>42643</v>
      </c>
      <c r="C1241">
        <f t="shared" si="43"/>
        <v>9</v>
      </c>
      <c r="D1241">
        <f t="shared" si="42"/>
        <v>2016</v>
      </c>
      <c r="E1241" t="s">
        <v>86</v>
      </c>
      <c r="F1241" t="str">
        <f>SUBSTITUTE(Tab_Calculs[[#This Row],[Compteur]]," ","_")</f>
        <v>Compteur_7</v>
      </c>
      <c r="G1241" t="str">
        <f>T(INDEX(Site!$B$33:$G$40, MATCH(Tab_Calculs[[#This Row],[Compteur]], Site!$B$33:$B$40,0),2))</f>
        <v/>
      </c>
      <c r="H1241" s="3">
        <f t="array" aca="1" ref="H1241" ca="1">MIN(IF(INDIRECT(CONCATENATE(Tab_Calculs[[#This Row],[Colonne1]],"!$B$2:$B$243"))&gt;=Calculs_Consos!$A1241,INDIRECT(CONCATENATE(Tab_Calculs[[#This Row],[Colonne1]],"!$B$2:$B$243"))))</f>
        <v>0</v>
      </c>
      <c r="I1241" s="3">
        <f ca="1">INDEX(INDIRECT(CONCATENATE("Tab_",Tab_Calculs[[#This Row],[Colonne1]])),Tab_Calculs[[#This Row],[index_date_livraison]],1)</f>
        <v>0</v>
      </c>
      <c r="J1241">
        <f ca="1">MATCH(Tab_Calculs[[#This Row],[Date_livraison]],INDIRECT(CONCATENATE("Tab_",Tab_Calculs[[#This Row],[Colonne1]],"[Fin de période]")),0)</f>
        <v>1</v>
      </c>
      <c r="K1241" t="e">
        <f ca="1">INDEX(INDIRECT(CONCATENATE("Tab_",Tab_Calculs[[#This Row],[Colonne1]])),Tab_Calculs[[#This Row],[index_date_livraison]]-1,6)*(MAX(Tab_Calculs[[#This Row],[Début periode livraison]],Tab_Calculs[[#This Row],[Début mois]])-Tab_Calculs[[#This Row],[Début mois]])</f>
        <v>#VALUE!</v>
      </c>
      <c r="L1241" s="94">
        <f ca="1">INDEX(INDIRECT(CONCATENATE("Tab_",Tab_Calculs[[#This Row],[Colonne1]])),Tab_Calculs[[#This Row],[index_date_livraison]],6)*(1+MIN(Tab_Calculs[[#This Row],[Date_livraison]],Tab_Calculs[[#This Row],[fin mois]])-MAX(Tab_Calculs[[#This Row],[Début mois]],Tab_Calculs[[#This Row],[Début periode livraison]]))</f>
        <v>0</v>
      </c>
      <c r="M1241" s="94" t="e">
        <f ca="1">INDEX(INDIRECT(CONCATENATE("Tab_",Tab_Calculs[[#This Row],[Colonne1]])),Tab_Calculs[[#This Row],[index_date_livraison]]+1,6)*(Tab_Calculs[[#This Row],[fin mois]]-MIN(Tab_Calculs[[#This Row],[fin mois]],Tab_Calculs[[#This Row],[Date_livraison]]))</f>
        <v>#VALUE!</v>
      </c>
      <c r="N1241" s="231" t="str">
        <f ca="1">IFERROR(Tab_Calculs[[#This Row],[Ratio_jour_après_livr]]+Tab_Calculs[[#This Row],[Ratio_jour_avant_livr]]+Tab_Calculs[[#This Row],[ratio_avant_debut]],"")</f>
        <v/>
      </c>
      <c r="O1241" t="e">
        <f ca="1">INDEX(INDIRECT(CONCATENATE("Tab_",Tab_Calculs[[#This Row],[Colonne1]])),Tab_Calculs[[#This Row],[index_date_livraison]]-1,7)*(MAX(Tab_Calculs[[#This Row],[Début periode livraison]],Tab_Calculs[[#This Row],[Début mois]])-Tab_Calculs[[#This Row],[Début mois]])</f>
        <v>#VALUE!</v>
      </c>
      <c r="P1241">
        <f ca="1">INDEX(INDIRECT(CONCATENATE("Tab_",Tab_Calculs[[#This Row],[Colonne1]])),Tab_Calculs[[#This Row],[index_date_livraison]],7)*(1+MIN(Tab_Calculs[[#This Row],[Date_livraison]],Tab_Calculs[[#This Row],[fin mois]])-MAX(Tab_Calculs[[#This Row],[Début mois]],Tab_Calculs[[#This Row],[Début periode livraison]]))</f>
        <v>0</v>
      </c>
      <c r="Q1241" t="e">
        <f ca="1">INDEX(INDIRECT(CONCATENATE("Tab_",Tab_Calculs[[#This Row],[Colonne1]])),Tab_Calculs[[#This Row],[index_date_livraison]]+1,7)*(Tab_Calculs[[#This Row],[fin mois]]-MIN(Tab_Calculs[[#This Row],[fin mois]],Tab_Calculs[[#This Row],[Date_livraison]]))</f>
        <v>#VALUE!</v>
      </c>
      <c r="R1241" t="e">
        <f ca="1">Tab_Calculs[[#This Row],[Ratio_Cout_après_livr]]+Tab_Calculs[[#This Row],[Ratio_Cout_avant_livr]]+Tab_Calculs[[#This Row],[Ratio_Cout_avant_debut]]</f>
        <v>#VALUE!</v>
      </c>
      <c r="S1241" t="str">
        <f ca="1">IFERROR(N1241*VLOOKUP(Tab_Calculs[[#This Row],[Colonne1]],Controle_des_données!$B$7:$G$14,6,FALSE),"")</f>
        <v/>
      </c>
      <c r="T1241" t="str">
        <f ca="1">IF(Tab_Calculs[[#This Row],[Combustible ]]="Electricité (kWh)",Tab_Calculs[[#This Row],[Conso_mois_kWh]]*2.3,Tab_Calculs[[#This Row],[Conso_mois_kWh]])</f>
        <v/>
      </c>
      <c r="U1241" t="str">
        <f ca="1">IFERROR(N1241*VLOOKUP(Tab_Calculs[[#This Row],[Colonne1]],Controle_des_données!$B$7:$H$14,7,FALSE),"")</f>
        <v/>
      </c>
      <c r="V1241">
        <f ca="1">IFERROR(Tab_Calculs[[#This Row],[Cout_mois]]/Tab_Calculs[[#This Row],[Conso_mois_kWh]],0)</f>
        <v>0</v>
      </c>
      <c r="W1241" t="str">
        <f>T(VLOOKUP(Tab_Calculs[[#This Row],[Compteur]],Site!$B$33:$G$40,3,FALSE))</f>
        <v/>
      </c>
      <c r="X1241" t="str">
        <f>T(VLOOKUP(Tab_Calculs[[#This Row],[Compteur]],Site!$B$33:$G$40,4,FALSE))</f>
        <v/>
      </c>
      <c r="Y1241" t="str">
        <f>T(VLOOKUP(Tab_Calculs[[#This Row],[Compteur]],Site!$B$33:$G$40,5,FALSE))</f>
        <v/>
      </c>
      <c r="Z1241" t="str">
        <f>T(VLOOKUP(Tab_Calculs[[#This Row],[Compteur]],Site!$B$33:$G$40,6,FALSE))</f>
        <v/>
      </c>
      <c r="AA1241">
        <f>IFERROR(GETPIVOTDATA("DJU(chauffagiste)",BDD_DJU!$P$13,"annee",Tab_Calculs[[#This Row],[ANNEE]],"mois_numero",Tab_Calculs[[#This Row],[MOIS]]),0)</f>
        <v>43.5</v>
      </c>
    </row>
    <row r="1242" spans="1:27" x14ac:dyDescent="0.25">
      <c r="A1242" s="3">
        <f>DATE(Tab_Calculs[[#This Row],[ANNEE]],Tab_Calculs[[#This Row],[MOIS]],1)</f>
        <v>42644</v>
      </c>
      <c r="B1242" s="3">
        <f>EDATE(Tab_Calculs[[#This Row],[Début mois]],1)-1</f>
        <v>42674</v>
      </c>
      <c r="C1242">
        <f t="shared" si="43"/>
        <v>10</v>
      </c>
      <c r="D1242">
        <f t="shared" si="42"/>
        <v>2016</v>
      </c>
      <c r="E1242" t="s">
        <v>86</v>
      </c>
      <c r="F1242" t="str">
        <f>SUBSTITUTE(Tab_Calculs[[#This Row],[Compteur]]," ","_")</f>
        <v>Compteur_7</v>
      </c>
      <c r="G1242" t="str">
        <f>T(INDEX(Site!$B$33:$G$40, MATCH(Tab_Calculs[[#This Row],[Compteur]], Site!$B$33:$B$40,0),2))</f>
        <v/>
      </c>
      <c r="H1242" s="3">
        <f t="array" aca="1" ref="H1242" ca="1">MIN(IF(INDIRECT(CONCATENATE(Tab_Calculs[[#This Row],[Colonne1]],"!$B$2:$B$243"))&gt;=Calculs_Consos!$A1242,INDIRECT(CONCATENATE(Tab_Calculs[[#This Row],[Colonne1]],"!$B$2:$B$243"))))</f>
        <v>0</v>
      </c>
      <c r="I1242" s="3">
        <f ca="1">INDEX(INDIRECT(CONCATENATE("Tab_",Tab_Calculs[[#This Row],[Colonne1]])),Tab_Calculs[[#This Row],[index_date_livraison]],1)</f>
        <v>0</v>
      </c>
      <c r="J1242">
        <f ca="1">MATCH(Tab_Calculs[[#This Row],[Date_livraison]],INDIRECT(CONCATENATE("Tab_",Tab_Calculs[[#This Row],[Colonne1]],"[Fin de période]")),0)</f>
        <v>1</v>
      </c>
      <c r="K1242" t="e">
        <f ca="1">INDEX(INDIRECT(CONCATENATE("Tab_",Tab_Calculs[[#This Row],[Colonne1]])),Tab_Calculs[[#This Row],[index_date_livraison]]-1,6)*(MAX(Tab_Calculs[[#This Row],[Début periode livraison]],Tab_Calculs[[#This Row],[Début mois]])-Tab_Calculs[[#This Row],[Début mois]])</f>
        <v>#VALUE!</v>
      </c>
      <c r="L1242" s="94">
        <f ca="1">INDEX(INDIRECT(CONCATENATE("Tab_",Tab_Calculs[[#This Row],[Colonne1]])),Tab_Calculs[[#This Row],[index_date_livraison]],6)*(1+MIN(Tab_Calculs[[#This Row],[Date_livraison]],Tab_Calculs[[#This Row],[fin mois]])-MAX(Tab_Calculs[[#This Row],[Début mois]],Tab_Calculs[[#This Row],[Début periode livraison]]))</f>
        <v>0</v>
      </c>
      <c r="M1242" s="94" t="e">
        <f ca="1">INDEX(INDIRECT(CONCATENATE("Tab_",Tab_Calculs[[#This Row],[Colonne1]])),Tab_Calculs[[#This Row],[index_date_livraison]]+1,6)*(Tab_Calculs[[#This Row],[fin mois]]-MIN(Tab_Calculs[[#This Row],[fin mois]],Tab_Calculs[[#This Row],[Date_livraison]]))</f>
        <v>#VALUE!</v>
      </c>
      <c r="N1242" s="231" t="str">
        <f ca="1">IFERROR(Tab_Calculs[[#This Row],[Ratio_jour_après_livr]]+Tab_Calculs[[#This Row],[Ratio_jour_avant_livr]]+Tab_Calculs[[#This Row],[ratio_avant_debut]],"")</f>
        <v/>
      </c>
      <c r="O1242" t="e">
        <f ca="1">INDEX(INDIRECT(CONCATENATE("Tab_",Tab_Calculs[[#This Row],[Colonne1]])),Tab_Calculs[[#This Row],[index_date_livraison]]-1,7)*(MAX(Tab_Calculs[[#This Row],[Début periode livraison]],Tab_Calculs[[#This Row],[Début mois]])-Tab_Calculs[[#This Row],[Début mois]])</f>
        <v>#VALUE!</v>
      </c>
      <c r="P1242">
        <f ca="1">INDEX(INDIRECT(CONCATENATE("Tab_",Tab_Calculs[[#This Row],[Colonne1]])),Tab_Calculs[[#This Row],[index_date_livraison]],7)*(1+MIN(Tab_Calculs[[#This Row],[Date_livraison]],Tab_Calculs[[#This Row],[fin mois]])-MAX(Tab_Calculs[[#This Row],[Début mois]],Tab_Calculs[[#This Row],[Début periode livraison]]))</f>
        <v>0</v>
      </c>
      <c r="Q1242" t="e">
        <f ca="1">INDEX(INDIRECT(CONCATENATE("Tab_",Tab_Calculs[[#This Row],[Colonne1]])),Tab_Calculs[[#This Row],[index_date_livraison]]+1,7)*(Tab_Calculs[[#This Row],[fin mois]]-MIN(Tab_Calculs[[#This Row],[fin mois]],Tab_Calculs[[#This Row],[Date_livraison]]))</f>
        <v>#VALUE!</v>
      </c>
      <c r="R1242" t="e">
        <f ca="1">Tab_Calculs[[#This Row],[Ratio_Cout_après_livr]]+Tab_Calculs[[#This Row],[Ratio_Cout_avant_livr]]+Tab_Calculs[[#This Row],[Ratio_Cout_avant_debut]]</f>
        <v>#VALUE!</v>
      </c>
      <c r="S1242" t="str">
        <f ca="1">IFERROR(N1242*VLOOKUP(Tab_Calculs[[#This Row],[Colonne1]],Controle_des_données!$B$7:$G$14,6,FALSE),"")</f>
        <v/>
      </c>
      <c r="T1242" t="str">
        <f ca="1">IF(Tab_Calculs[[#This Row],[Combustible ]]="Electricité (kWh)",Tab_Calculs[[#This Row],[Conso_mois_kWh]]*2.3,Tab_Calculs[[#This Row],[Conso_mois_kWh]])</f>
        <v/>
      </c>
      <c r="U1242" t="str">
        <f ca="1">IFERROR(N1242*VLOOKUP(Tab_Calculs[[#This Row],[Colonne1]],Controle_des_données!$B$7:$H$14,7,FALSE),"")</f>
        <v/>
      </c>
      <c r="V1242">
        <f ca="1">IFERROR(Tab_Calculs[[#This Row],[Cout_mois]]/Tab_Calculs[[#This Row],[Conso_mois_kWh]],0)</f>
        <v>0</v>
      </c>
      <c r="W1242" t="str">
        <f>T(VLOOKUP(Tab_Calculs[[#This Row],[Compteur]],Site!$B$33:$G$40,3,FALSE))</f>
        <v/>
      </c>
      <c r="X1242" t="str">
        <f>T(VLOOKUP(Tab_Calculs[[#This Row],[Compteur]],Site!$B$33:$G$40,4,FALSE))</f>
        <v/>
      </c>
      <c r="Y1242" t="str">
        <f>T(VLOOKUP(Tab_Calculs[[#This Row],[Compteur]],Site!$B$33:$G$40,5,FALSE))</f>
        <v/>
      </c>
      <c r="Z1242" t="str">
        <f>T(VLOOKUP(Tab_Calculs[[#This Row],[Compteur]],Site!$B$33:$G$40,6,FALSE))</f>
        <v/>
      </c>
      <c r="AA1242">
        <f>IFERROR(GETPIVOTDATA("DJU(chauffagiste)",BDD_DJU!$P$13,"annee",Tab_Calculs[[#This Row],[ANNEE]],"mois_numero",Tab_Calculs[[#This Row],[MOIS]]),0)</f>
        <v>202.6</v>
      </c>
    </row>
    <row r="1243" spans="1:27" x14ac:dyDescent="0.25">
      <c r="A1243" s="3">
        <f>DATE(Tab_Calculs[[#This Row],[ANNEE]],Tab_Calculs[[#This Row],[MOIS]],1)</f>
        <v>42675</v>
      </c>
      <c r="B1243" s="3">
        <f>EDATE(Tab_Calculs[[#This Row],[Début mois]],1)-1</f>
        <v>42704</v>
      </c>
      <c r="C1243">
        <f t="shared" si="43"/>
        <v>11</v>
      </c>
      <c r="D1243">
        <f t="shared" si="42"/>
        <v>2016</v>
      </c>
      <c r="E1243" t="s">
        <v>86</v>
      </c>
      <c r="F1243" t="str">
        <f>SUBSTITUTE(Tab_Calculs[[#This Row],[Compteur]]," ","_")</f>
        <v>Compteur_7</v>
      </c>
      <c r="G1243" t="str">
        <f>T(INDEX(Site!$B$33:$G$40, MATCH(Tab_Calculs[[#This Row],[Compteur]], Site!$B$33:$B$40,0),2))</f>
        <v/>
      </c>
      <c r="H1243" s="3">
        <f t="array" aca="1" ref="H1243" ca="1">MIN(IF(INDIRECT(CONCATENATE(Tab_Calculs[[#This Row],[Colonne1]],"!$B$2:$B$243"))&gt;=Calculs_Consos!$A1243,INDIRECT(CONCATENATE(Tab_Calculs[[#This Row],[Colonne1]],"!$B$2:$B$243"))))</f>
        <v>0</v>
      </c>
      <c r="I1243" s="3">
        <f ca="1">INDEX(INDIRECT(CONCATENATE("Tab_",Tab_Calculs[[#This Row],[Colonne1]])),Tab_Calculs[[#This Row],[index_date_livraison]],1)</f>
        <v>0</v>
      </c>
      <c r="J1243">
        <f ca="1">MATCH(Tab_Calculs[[#This Row],[Date_livraison]],INDIRECT(CONCATENATE("Tab_",Tab_Calculs[[#This Row],[Colonne1]],"[Fin de période]")),0)</f>
        <v>1</v>
      </c>
      <c r="K1243" t="e">
        <f ca="1">INDEX(INDIRECT(CONCATENATE("Tab_",Tab_Calculs[[#This Row],[Colonne1]])),Tab_Calculs[[#This Row],[index_date_livraison]]-1,6)*(MAX(Tab_Calculs[[#This Row],[Début periode livraison]],Tab_Calculs[[#This Row],[Début mois]])-Tab_Calculs[[#This Row],[Début mois]])</f>
        <v>#VALUE!</v>
      </c>
      <c r="L1243" s="94">
        <f ca="1">INDEX(INDIRECT(CONCATENATE("Tab_",Tab_Calculs[[#This Row],[Colonne1]])),Tab_Calculs[[#This Row],[index_date_livraison]],6)*(1+MIN(Tab_Calculs[[#This Row],[Date_livraison]],Tab_Calculs[[#This Row],[fin mois]])-MAX(Tab_Calculs[[#This Row],[Début mois]],Tab_Calculs[[#This Row],[Début periode livraison]]))</f>
        <v>0</v>
      </c>
      <c r="M1243" s="94" t="e">
        <f ca="1">INDEX(INDIRECT(CONCATENATE("Tab_",Tab_Calculs[[#This Row],[Colonne1]])),Tab_Calculs[[#This Row],[index_date_livraison]]+1,6)*(Tab_Calculs[[#This Row],[fin mois]]-MIN(Tab_Calculs[[#This Row],[fin mois]],Tab_Calculs[[#This Row],[Date_livraison]]))</f>
        <v>#VALUE!</v>
      </c>
      <c r="N1243" s="231" t="str">
        <f ca="1">IFERROR(Tab_Calculs[[#This Row],[Ratio_jour_après_livr]]+Tab_Calculs[[#This Row],[Ratio_jour_avant_livr]]+Tab_Calculs[[#This Row],[ratio_avant_debut]],"")</f>
        <v/>
      </c>
      <c r="O1243" t="e">
        <f ca="1">INDEX(INDIRECT(CONCATENATE("Tab_",Tab_Calculs[[#This Row],[Colonne1]])),Tab_Calculs[[#This Row],[index_date_livraison]]-1,7)*(MAX(Tab_Calculs[[#This Row],[Début periode livraison]],Tab_Calculs[[#This Row],[Début mois]])-Tab_Calculs[[#This Row],[Début mois]])</f>
        <v>#VALUE!</v>
      </c>
      <c r="P1243">
        <f ca="1">INDEX(INDIRECT(CONCATENATE("Tab_",Tab_Calculs[[#This Row],[Colonne1]])),Tab_Calculs[[#This Row],[index_date_livraison]],7)*(1+MIN(Tab_Calculs[[#This Row],[Date_livraison]],Tab_Calculs[[#This Row],[fin mois]])-MAX(Tab_Calculs[[#This Row],[Début mois]],Tab_Calculs[[#This Row],[Début periode livraison]]))</f>
        <v>0</v>
      </c>
      <c r="Q1243" t="e">
        <f ca="1">INDEX(INDIRECT(CONCATENATE("Tab_",Tab_Calculs[[#This Row],[Colonne1]])),Tab_Calculs[[#This Row],[index_date_livraison]]+1,7)*(Tab_Calculs[[#This Row],[fin mois]]-MIN(Tab_Calculs[[#This Row],[fin mois]],Tab_Calculs[[#This Row],[Date_livraison]]))</f>
        <v>#VALUE!</v>
      </c>
      <c r="R1243" t="e">
        <f ca="1">Tab_Calculs[[#This Row],[Ratio_Cout_après_livr]]+Tab_Calculs[[#This Row],[Ratio_Cout_avant_livr]]+Tab_Calculs[[#This Row],[Ratio_Cout_avant_debut]]</f>
        <v>#VALUE!</v>
      </c>
      <c r="S1243" t="str">
        <f ca="1">IFERROR(N1243*VLOOKUP(Tab_Calculs[[#This Row],[Colonne1]],Controle_des_données!$B$7:$G$14,6,FALSE),"")</f>
        <v/>
      </c>
      <c r="T1243" t="str">
        <f ca="1">IF(Tab_Calculs[[#This Row],[Combustible ]]="Electricité (kWh)",Tab_Calculs[[#This Row],[Conso_mois_kWh]]*2.3,Tab_Calculs[[#This Row],[Conso_mois_kWh]])</f>
        <v/>
      </c>
      <c r="U1243" t="str">
        <f ca="1">IFERROR(N1243*VLOOKUP(Tab_Calculs[[#This Row],[Colonne1]],Controle_des_données!$B$7:$H$14,7,FALSE),"")</f>
        <v/>
      </c>
      <c r="V1243">
        <f ca="1">IFERROR(Tab_Calculs[[#This Row],[Cout_mois]]/Tab_Calculs[[#This Row],[Conso_mois_kWh]],0)</f>
        <v>0</v>
      </c>
      <c r="W1243" t="str">
        <f>T(VLOOKUP(Tab_Calculs[[#This Row],[Compteur]],Site!$B$33:$G$40,3,FALSE))</f>
        <v/>
      </c>
      <c r="X1243" t="str">
        <f>T(VLOOKUP(Tab_Calculs[[#This Row],[Compteur]],Site!$B$33:$G$40,4,FALSE))</f>
        <v/>
      </c>
      <c r="Y1243" t="str">
        <f>T(VLOOKUP(Tab_Calculs[[#This Row],[Compteur]],Site!$B$33:$G$40,5,FALSE))</f>
        <v/>
      </c>
      <c r="Z1243" t="str">
        <f>T(VLOOKUP(Tab_Calculs[[#This Row],[Compteur]],Site!$B$33:$G$40,6,FALSE))</f>
        <v/>
      </c>
      <c r="AA1243">
        <f>IFERROR(GETPIVOTDATA("DJU(chauffagiste)",BDD_DJU!$P$13,"annee",Tab_Calculs[[#This Row],[ANNEE]],"mois_numero",Tab_Calculs[[#This Row],[MOIS]]),0)</f>
        <v>289.2</v>
      </c>
    </row>
    <row r="1244" spans="1:27" x14ac:dyDescent="0.25">
      <c r="A1244" s="3">
        <f>DATE(Tab_Calculs[[#This Row],[ANNEE]],Tab_Calculs[[#This Row],[MOIS]],1)</f>
        <v>42705</v>
      </c>
      <c r="B1244" s="3">
        <f>EDATE(Tab_Calculs[[#This Row],[Début mois]],1)-1</f>
        <v>42735</v>
      </c>
      <c r="C1244">
        <f t="shared" si="43"/>
        <v>12</v>
      </c>
      <c r="D1244">
        <f t="shared" si="42"/>
        <v>2016</v>
      </c>
      <c r="E1244" t="s">
        <v>86</v>
      </c>
      <c r="F1244" t="str">
        <f>SUBSTITUTE(Tab_Calculs[[#This Row],[Compteur]]," ","_")</f>
        <v>Compteur_7</v>
      </c>
      <c r="G1244" t="str">
        <f>T(INDEX(Site!$B$33:$G$40, MATCH(Tab_Calculs[[#This Row],[Compteur]], Site!$B$33:$B$40,0),2))</f>
        <v/>
      </c>
      <c r="H1244" s="3">
        <f t="array" aca="1" ref="H1244" ca="1">MIN(IF(INDIRECT(CONCATENATE(Tab_Calculs[[#This Row],[Colonne1]],"!$B$2:$B$243"))&gt;=Calculs_Consos!$A1244,INDIRECT(CONCATENATE(Tab_Calculs[[#This Row],[Colonne1]],"!$B$2:$B$243"))))</f>
        <v>0</v>
      </c>
      <c r="I1244" s="3">
        <f ca="1">INDEX(INDIRECT(CONCATENATE("Tab_",Tab_Calculs[[#This Row],[Colonne1]])),Tab_Calculs[[#This Row],[index_date_livraison]],1)</f>
        <v>0</v>
      </c>
      <c r="J1244">
        <f ca="1">MATCH(Tab_Calculs[[#This Row],[Date_livraison]],INDIRECT(CONCATENATE("Tab_",Tab_Calculs[[#This Row],[Colonne1]],"[Fin de période]")),0)</f>
        <v>1</v>
      </c>
      <c r="K1244" t="e">
        <f ca="1">INDEX(INDIRECT(CONCATENATE("Tab_",Tab_Calculs[[#This Row],[Colonne1]])),Tab_Calculs[[#This Row],[index_date_livraison]]-1,6)*(MAX(Tab_Calculs[[#This Row],[Début periode livraison]],Tab_Calculs[[#This Row],[Début mois]])-Tab_Calculs[[#This Row],[Début mois]])</f>
        <v>#VALUE!</v>
      </c>
      <c r="L1244" s="94">
        <f ca="1">INDEX(INDIRECT(CONCATENATE("Tab_",Tab_Calculs[[#This Row],[Colonne1]])),Tab_Calculs[[#This Row],[index_date_livraison]],6)*(1+MIN(Tab_Calculs[[#This Row],[Date_livraison]],Tab_Calculs[[#This Row],[fin mois]])-MAX(Tab_Calculs[[#This Row],[Début mois]],Tab_Calculs[[#This Row],[Début periode livraison]]))</f>
        <v>0</v>
      </c>
      <c r="M1244" s="94" t="e">
        <f ca="1">INDEX(INDIRECT(CONCATENATE("Tab_",Tab_Calculs[[#This Row],[Colonne1]])),Tab_Calculs[[#This Row],[index_date_livraison]]+1,6)*(Tab_Calculs[[#This Row],[fin mois]]-MIN(Tab_Calculs[[#This Row],[fin mois]],Tab_Calculs[[#This Row],[Date_livraison]]))</f>
        <v>#VALUE!</v>
      </c>
      <c r="N1244" s="231" t="str">
        <f ca="1">IFERROR(Tab_Calculs[[#This Row],[Ratio_jour_après_livr]]+Tab_Calculs[[#This Row],[Ratio_jour_avant_livr]]+Tab_Calculs[[#This Row],[ratio_avant_debut]],"")</f>
        <v/>
      </c>
      <c r="O1244" t="e">
        <f ca="1">INDEX(INDIRECT(CONCATENATE("Tab_",Tab_Calculs[[#This Row],[Colonne1]])),Tab_Calculs[[#This Row],[index_date_livraison]]-1,7)*(MAX(Tab_Calculs[[#This Row],[Début periode livraison]],Tab_Calculs[[#This Row],[Début mois]])-Tab_Calculs[[#This Row],[Début mois]])</f>
        <v>#VALUE!</v>
      </c>
      <c r="P1244">
        <f ca="1">INDEX(INDIRECT(CONCATENATE("Tab_",Tab_Calculs[[#This Row],[Colonne1]])),Tab_Calculs[[#This Row],[index_date_livraison]],7)*(1+MIN(Tab_Calculs[[#This Row],[Date_livraison]],Tab_Calculs[[#This Row],[fin mois]])-MAX(Tab_Calculs[[#This Row],[Début mois]],Tab_Calculs[[#This Row],[Début periode livraison]]))</f>
        <v>0</v>
      </c>
      <c r="Q1244" t="e">
        <f ca="1">INDEX(INDIRECT(CONCATENATE("Tab_",Tab_Calculs[[#This Row],[Colonne1]])),Tab_Calculs[[#This Row],[index_date_livraison]]+1,7)*(Tab_Calculs[[#This Row],[fin mois]]-MIN(Tab_Calculs[[#This Row],[fin mois]],Tab_Calculs[[#This Row],[Date_livraison]]))</f>
        <v>#VALUE!</v>
      </c>
      <c r="R1244" t="e">
        <f ca="1">Tab_Calculs[[#This Row],[Ratio_Cout_après_livr]]+Tab_Calculs[[#This Row],[Ratio_Cout_avant_livr]]+Tab_Calculs[[#This Row],[Ratio_Cout_avant_debut]]</f>
        <v>#VALUE!</v>
      </c>
      <c r="S1244" t="str">
        <f ca="1">IFERROR(N1244*VLOOKUP(Tab_Calculs[[#This Row],[Colonne1]],Controle_des_données!$B$7:$G$14,6,FALSE),"")</f>
        <v/>
      </c>
      <c r="T1244" t="str">
        <f ca="1">IF(Tab_Calculs[[#This Row],[Combustible ]]="Electricité (kWh)",Tab_Calculs[[#This Row],[Conso_mois_kWh]]*2.3,Tab_Calculs[[#This Row],[Conso_mois_kWh]])</f>
        <v/>
      </c>
      <c r="U1244" t="str">
        <f ca="1">IFERROR(N1244*VLOOKUP(Tab_Calculs[[#This Row],[Colonne1]],Controle_des_données!$B$7:$H$14,7,FALSE),"")</f>
        <v/>
      </c>
      <c r="V1244">
        <f ca="1">IFERROR(Tab_Calculs[[#This Row],[Cout_mois]]/Tab_Calculs[[#This Row],[Conso_mois_kWh]],0)</f>
        <v>0</v>
      </c>
      <c r="W1244" t="str">
        <f>T(VLOOKUP(Tab_Calculs[[#This Row],[Compteur]],Site!$B$33:$G$40,3,FALSE))</f>
        <v/>
      </c>
      <c r="X1244" t="str">
        <f>T(VLOOKUP(Tab_Calculs[[#This Row],[Compteur]],Site!$B$33:$G$40,4,FALSE))</f>
        <v/>
      </c>
      <c r="Y1244" t="str">
        <f>T(VLOOKUP(Tab_Calculs[[#This Row],[Compteur]],Site!$B$33:$G$40,5,FALSE))</f>
        <v/>
      </c>
      <c r="Z1244" t="str">
        <f>T(VLOOKUP(Tab_Calculs[[#This Row],[Compteur]],Site!$B$33:$G$40,6,FALSE))</f>
        <v/>
      </c>
      <c r="AA1244">
        <f>IFERROR(GETPIVOTDATA("DJU(chauffagiste)",BDD_DJU!$P$13,"annee",Tab_Calculs[[#This Row],[ANNEE]],"mois_numero",Tab_Calculs[[#This Row],[MOIS]]),0)</f>
        <v>370.4</v>
      </c>
    </row>
    <row r="1245" spans="1:27" x14ac:dyDescent="0.25">
      <c r="A1245" s="3">
        <f>DATE(Tab_Calculs[[#This Row],[ANNEE]],Tab_Calculs[[#This Row],[MOIS]],1)</f>
        <v>42736</v>
      </c>
      <c r="B1245" s="3">
        <f>EDATE(Tab_Calculs[[#This Row],[Début mois]],1)-1</f>
        <v>42766</v>
      </c>
      <c r="C1245">
        <f t="shared" si="43"/>
        <v>1</v>
      </c>
      <c r="D1245">
        <f t="shared" si="42"/>
        <v>2017</v>
      </c>
      <c r="E1245" t="s">
        <v>86</v>
      </c>
      <c r="F1245" t="str">
        <f>SUBSTITUTE(Tab_Calculs[[#This Row],[Compteur]]," ","_")</f>
        <v>Compteur_7</v>
      </c>
      <c r="G1245" t="str">
        <f>T(INDEX(Site!$B$33:$G$40, MATCH(Tab_Calculs[[#This Row],[Compteur]], Site!$B$33:$B$40,0),2))</f>
        <v/>
      </c>
      <c r="H1245" s="3">
        <f t="array" aca="1" ref="H1245" ca="1">MIN(IF(INDIRECT(CONCATENATE(Tab_Calculs[[#This Row],[Colonne1]],"!$B$2:$B$243"))&gt;=Calculs_Consos!$A1245,INDIRECT(CONCATENATE(Tab_Calculs[[#This Row],[Colonne1]],"!$B$2:$B$243"))))</f>
        <v>0</v>
      </c>
      <c r="I1245" s="3">
        <f ca="1">INDEX(INDIRECT(CONCATENATE("Tab_",Tab_Calculs[[#This Row],[Colonne1]])),Tab_Calculs[[#This Row],[index_date_livraison]],1)</f>
        <v>0</v>
      </c>
      <c r="J1245">
        <f ca="1">MATCH(Tab_Calculs[[#This Row],[Date_livraison]],INDIRECT(CONCATENATE("Tab_",Tab_Calculs[[#This Row],[Colonne1]],"[Fin de période]")),0)</f>
        <v>1</v>
      </c>
      <c r="K1245" t="e">
        <f ca="1">INDEX(INDIRECT(CONCATENATE("Tab_",Tab_Calculs[[#This Row],[Colonne1]])),Tab_Calculs[[#This Row],[index_date_livraison]]-1,6)*(MAX(Tab_Calculs[[#This Row],[Début periode livraison]],Tab_Calculs[[#This Row],[Début mois]])-Tab_Calculs[[#This Row],[Début mois]])</f>
        <v>#VALUE!</v>
      </c>
      <c r="L1245" s="94">
        <f ca="1">INDEX(INDIRECT(CONCATENATE("Tab_",Tab_Calculs[[#This Row],[Colonne1]])),Tab_Calculs[[#This Row],[index_date_livraison]],6)*(1+MIN(Tab_Calculs[[#This Row],[Date_livraison]],Tab_Calculs[[#This Row],[fin mois]])-MAX(Tab_Calculs[[#This Row],[Début mois]],Tab_Calculs[[#This Row],[Début periode livraison]]))</f>
        <v>0</v>
      </c>
      <c r="M1245" s="94" t="e">
        <f ca="1">INDEX(INDIRECT(CONCATENATE("Tab_",Tab_Calculs[[#This Row],[Colonne1]])),Tab_Calculs[[#This Row],[index_date_livraison]]+1,6)*(Tab_Calculs[[#This Row],[fin mois]]-MIN(Tab_Calculs[[#This Row],[fin mois]],Tab_Calculs[[#This Row],[Date_livraison]]))</f>
        <v>#VALUE!</v>
      </c>
      <c r="N1245" s="231" t="str">
        <f ca="1">IFERROR(Tab_Calculs[[#This Row],[Ratio_jour_après_livr]]+Tab_Calculs[[#This Row],[Ratio_jour_avant_livr]]+Tab_Calculs[[#This Row],[ratio_avant_debut]],"")</f>
        <v/>
      </c>
      <c r="O1245" t="e">
        <f ca="1">INDEX(INDIRECT(CONCATENATE("Tab_",Tab_Calculs[[#This Row],[Colonne1]])),Tab_Calculs[[#This Row],[index_date_livraison]]-1,7)*(MAX(Tab_Calculs[[#This Row],[Début periode livraison]],Tab_Calculs[[#This Row],[Début mois]])-Tab_Calculs[[#This Row],[Début mois]])</f>
        <v>#VALUE!</v>
      </c>
      <c r="P1245">
        <f ca="1">INDEX(INDIRECT(CONCATENATE("Tab_",Tab_Calculs[[#This Row],[Colonne1]])),Tab_Calculs[[#This Row],[index_date_livraison]],7)*(1+MIN(Tab_Calculs[[#This Row],[Date_livraison]],Tab_Calculs[[#This Row],[fin mois]])-MAX(Tab_Calculs[[#This Row],[Début mois]],Tab_Calculs[[#This Row],[Début periode livraison]]))</f>
        <v>0</v>
      </c>
      <c r="Q1245" t="e">
        <f ca="1">INDEX(INDIRECT(CONCATENATE("Tab_",Tab_Calculs[[#This Row],[Colonne1]])),Tab_Calculs[[#This Row],[index_date_livraison]]+1,7)*(Tab_Calculs[[#This Row],[fin mois]]-MIN(Tab_Calculs[[#This Row],[fin mois]],Tab_Calculs[[#This Row],[Date_livraison]]))</f>
        <v>#VALUE!</v>
      </c>
      <c r="R1245" t="e">
        <f ca="1">Tab_Calculs[[#This Row],[Ratio_Cout_après_livr]]+Tab_Calculs[[#This Row],[Ratio_Cout_avant_livr]]+Tab_Calculs[[#This Row],[Ratio_Cout_avant_debut]]</f>
        <v>#VALUE!</v>
      </c>
      <c r="S1245" t="str">
        <f ca="1">IFERROR(N1245*VLOOKUP(Tab_Calculs[[#This Row],[Colonne1]],Controle_des_données!$B$7:$G$14,6,FALSE),"")</f>
        <v/>
      </c>
      <c r="T1245" t="str">
        <f ca="1">IF(Tab_Calculs[[#This Row],[Combustible ]]="Electricité (kWh)",Tab_Calculs[[#This Row],[Conso_mois_kWh]]*2.3,Tab_Calculs[[#This Row],[Conso_mois_kWh]])</f>
        <v/>
      </c>
      <c r="U1245" t="str">
        <f ca="1">IFERROR(N1245*VLOOKUP(Tab_Calculs[[#This Row],[Colonne1]],Controle_des_données!$B$7:$H$14,7,FALSE),"")</f>
        <v/>
      </c>
      <c r="V1245">
        <f ca="1">IFERROR(Tab_Calculs[[#This Row],[Cout_mois]]/Tab_Calculs[[#This Row],[Conso_mois_kWh]],0)</f>
        <v>0</v>
      </c>
      <c r="W1245" t="str">
        <f>T(VLOOKUP(Tab_Calculs[[#This Row],[Compteur]],Site!$B$33:$G$40,3,FALSE))</f>
        <v/>
      </c>
      <c r="X1245" t="str">
        <f>T(VLOOKUP(Tab_Calculs[[#This Row],[Compteur]],Site!$B$33:$G$40,4,FALSE))</f>
        <v/>
      </c>
      <c r="Y1245" t="str">
        <f>T(VLOOKUP(Tab_Calculs[[#This Row],[Compteur]],Site!$B$33:$G$40,5,FALSE))</f>
        <v/>
      </c>
      <c r="Z1245" t="str">
        <f>T(VLOOKUP(Tab_Calculs[[#This Row],[Compteur]],Site!$B$33:$G$40,6,FALSE))</f>
        <v/>
      </c>
      <c r="AA1245">
        <f>IFERROR(GETPIVOTDATA("DJU(chauffagiste)",BDD_DJU!$P$13,"annee",Tab_Calculs[[#This Row],[ANNEE]],"mois_numero",Tab_Calculs[[#This Row],[MOIS]]),0)</f>
        <v>451.9</v>
      </c>
    </row>
    <row r="1246" spans="1:27" x14ac:dyDescent="0.25">
      <c r="A1246" s="3">
        <f>DATE(Tab_Calculs[[#This Row],[ANNEE]],Tab_Calculs[[#This Row],[MOIS]],1)</f>
        <v>42767</v>
      </c>
      <c r="B1246" s="3">
        <f>EDATE(Tab_Calculs[[#This Row],[Début mois]],1)-1</f>
        <v>42794</v>
      </c>
      <c r="C1246">
        <f t="shared" si="43"/>
        <v>2</v>
      </c>
      <c r="D1246">
        <f>D1234+1</f>
        <v>2017</v>
      </c>
      <c r="E1246" t="s">
        <v>86</v>
      </c>
      <c r="F1246" t="str">
        <f>SUBSTITUTE(Tab_Calculs[[#This Row],[Compteur]]," ","_")</f>
        <v>Compteur_7</v>
      </c>
      <c r="G1246" t="str">
        <f>T(INDEX(Site!$B$33:$G$40, MATCH(Tab_Calculs[[#This Row],[Compteur]], Site!$B$33:$B$40,0),2))</f>
        <v/>
      </c>
      <c r="H1246" s="3">
        <f t="array" aca="1" ref="H1246" ca="1">MIN(IF(INDIRECT(CONCATENATE(Tab_Calculs[[#This Row],[Colonne1]],"!$B$2:$B$243"))&gt;=Calculs_Consos!$A1246,INDIRECT(CONCATENATE(Tab_Calculs[[#This Row],[Colonne1]],"!$B$2:$B$243"))))</f>
        <v>0</v>
      </c>
      <c r="I1246" s="3">
        <f ca="1">INDEX(INDIRECT(CONCATENATE("Tab_",Tab_Calculs[[#This Row],[Colonne1]])),Tab_Calculs[[#This Row],[index_date_livraison]],1)</f>
        <v>0</v>
      </c>
      <c r="J1246">
        <f ca="1">MATCH(Tab_Calculs[[#This Row],[Date_livraison]],INDIRECT(CONCATENATE("Tab_",Tab_Calculs[[#This Row],[Colonne1]],"[Fin de période]")),0)</f>
        <v>1</v>
      </c>
      <c r="K1246" t="e">
        <f ca="1">INDEX(INDIRECT(CONCATENATE("Tab_",Tab_Calculs[[#This Row],[Colonne1]])),Tab_Calculs[[#This Row],[index_date_livraison]]-1,6)*(MAX(Tab_Calculs[[#This Row],[Début periode livraison]],Tab_Calculs[[#This Row],[Début mois]])-Tab_Calculs[[#This Row],[Début mois]])</f>
        <v>#VALUE!</v>
      </c>
      <c r="L1246" s="94">
        <f ca="1">INDEX(INDIRECT(CONCATENATE("Tab_",Tab_Calculs[[#This Row],[Colonne1]])),Tab_Calculs[[#This Row],[index_date_livraison]],6)*(1+MIN(Tab_Calculs[[#This Row],[Date_livraison]],Tab_Calculs[[#This Row],[fin mois]])-MAX(Tab_Calculs[[#This Row],[Début mois]],Tab_Calculs[[#This Row],[Début periode livraison]]))</f>
        <v>0</v>
      </c>
      <c r="M1246" s="94" t="e">
        <f ca="1">INDEX(INDIRECT(CONCATENATE("Tab_",Tab_Calculs[[#This Row],[Colonne1]])),Tab_Calculs[[#This Row],[index_date_livraison]]+1,6)*(Tab_Calculs[[#This Row],[fin mois]]-MIN(Tab_Calculs[[#This Row],[fin mois]],Tab_Calculs[[#This Row],[Date_livraison]]))</f>
        <v>#VALUE!</v>
      </c>
      <c r="N1246" s="231" t="str">
        <f ca="1">IFERROR(Tab_Calculs[[#This Row],[Ratio_jour_après_livr]]+Tab_Calculs[[#This Row],[Ratio_jour_avant_livr]]+Tab_Calculs[[#This Row],[ratio_avant_debut]],"")</f>
        <v/>
      </c>
      <c r="O1246" t="e">
        <f ca="1">INDEX(INDIRECT(CONCATENATE("Tab_",Tab_Calculs[[#This Row],[Colonne1]])),Tab_Calculs[[#This Row],[index_date_livraison]]-1,7)*(MAX(Tab_Calculs[[#This Row],[Début periode livraison]],Tab_Calculs[[#This Row],[Début mois]])-Tab_Calculs[[#This Row],[Début mois]])</f>
        <v>#VALUE!</v>
      </c>
      <c r="P1246">
        <f ca="1">INDEX(INDIRECT(CONCATENATE("Tab_",Tab_Calculs[[#This Row],[Colonne1]])),Tab_Calculs[[#This Row],[index_date_livraison]],7)*(1+MIN(Tab_Calculs[[#This Row],[Date_livraison]],Tab_Calculs[[#This Row],[fin mois]])-MAX(Tab_Calculs[[#This Row],[Début mois]],Tab_Calculs[[#This Row],[Début periode livraison]]))</f>
        <v>0</v>
      </c>
      <c r="Q1246" t="e">
        <f ca="1">INDEX(INDIRECT(CONCATENATE("Tab_",Tab_Calculs[[#This Row],[Colonne1]])),Tab_Calculs[[#This Row],[index_date_livraison]]+1,7)*(Tab_Calculs[[#This Row],[fin mois]]-MIN(Tab_Calculs[[#This Row],[fin mois]],Tab_Calculs[[#This Row],[Date_livraison]]))</f>
        <v>#VALUE!</v>
      </c>
      <c r="R1246" t="e">
        <f ca="1">Tab_Calculs[[#This Row],[Ratio_Cout_après_livr]]+Tab_Calculs[[#This Row],[Ratio_Cout_avant_livr]]+Tab_Calculs[[#This Row],[Ratio_Cout_avant_debut]]</f>
        <v>#VALUE!</v>
      </c>
      <c r="S1246" t="str">
        <f ca="1">IFERROR(N1246*VLOOKUP(Tab_Calculs[[#This Row],[Colonne1]],Controle_des_données!$B$7:$G$14,6,FALSE),"")</f>
        <v/>
      </c>
      <c r="T1246" t="str">
        <f ca="1">IF(Tab_Calculs[[#This Row],[Combustible ]]="Electricité (kWh)",Tab_Calculs[[#This Row],[Conso_mois_kWh]]*2.3,Tab_Calculs[[#This Row],[Conso_mois_kWh]])</f>
        <v/>
      </c>
      <c r="U1246" t="str">
        <f ca="1">IFERROR(N1246*VLOOKUP(Tab_Calculs[[#This Row],[Colonne1]],Controle_des_données!$B$7:$H$14,7,FALSE),"")</f>
        <v/>
      </c>
      <c r="V1246">
        <f ca="1">IFERROR(Tab_Calculs[[#This Row],[Cout_mois]]/Tab_Calculs[[#This Row],[Conso_mois_kWh]],0)</f>
        <v>0</v>
      </c>
      <c r="W1246" t="str">
        <f>T(VLOOKUP(Tab_Calculs[[#This Row],[Compteur]],Site!$B$33:$G$40,3,FALSE))</f>
        <v/>
      </c>
      <c r="X1246" t="str">
        <f>T(VLOOKUP(Tab_Calculs[[#This Row],[Compteur]],Site!$B$33:$G$40,4,FALSE))</f>
        <v/>
      </c>
      <c r="Y1246" t="str">
        <f>T(VLOOKUP(Tab_Calculs[[#This Row],[Compteur]],Site!$B$33:$G$40,5,FALSE))</f>
        <v/>
      </c>
      <c r="Z1246" t="str">
        <f>T(VLOOKUP(Tab_Calculs[[#This Row],[Compteur]],Site!$B$33:$G$40,6,FALSE))</f>
        <v/>
      </c>
      <c r="AA1246">
        <f>IFERROR(GETPIVOTDATA("DJU(chauffagiste)",BDD_DJU!$P$13,"annee",Tab_Calculs[[#This Row],[ANNEE]],"mois_numero",Tab_Calculs[[#This Row],[MOIS]]),0)</f>
        <v>287.8</v>
      </c>
    </row>
    <row r="1247" spans="1:27" x14ac:dyDescent="0.25">
      <c r="A1247" s="3">
        <f>DATE(Tab_Calculs[[#This Row],[ANNEE]],Tab_Calculs[[#This Row],[MOIS]],1)</f>
        <v>42795</v>
      </c>
      <c r="B1247" s="3">
        <f>EDATE(Tab_Calculs[[#This Row],[Début mois]],1)-1</f>
        <v>42825</v>
      </c>
      <c r="C1247">
        <f t="shared" si="43"/>
        <v>3</v>
      </c>
      <c r="D1247">
        <f t="shared" si="42"/>
        <v>2017</v>
      </c>
      <c r="E1247" t="s">
        <v>86</v>
      </c>
      <c r="F1247" t="str">
        <f>SUBSTITUTE(Tab_Calculs[[#This Row],[Compteur]]," ","_")</f>
        <v>Compteur_7</v>
      </c>
      <c r="G1247" t="str">
        <f>T(INDEX(Site!$B$33:$G$40, MATCH(Tab_Calculs[[#This Row],[Compteur]], Site!$B$33:$B$40,0),2))</f>
        <v/>
      </c>
      <c r="H1247" s="3">
        <f t="array" aca="1" ref="H1247" ca="1">MIN(IF(INDIRECT(CONCATENATE(Tab_Calculs[[#This Row],[Colonne1]],"!$B$2:$B$243"))&gt;=Calculs_Consos!$A1247,INDIRECT(CONCATENATE(Tab_Calculs[[#This Row],[Colonne1]],"!$B$2:$B$243"))))</f>
        <v>0</v>
      </c>
      <c r="I1247" s="3">
        <f ca="1">INDEX(INDIRECT(CONCATENATE("Tab_",Tab_Calculs[[#This Row],[Colonne1]])),Tab_Calculs[[#This Row],[index_date_livraison]],1)</f>
        <v>0</v>
      </c>
      <c r="J1247">
        <f ca="1">MATCH(Tab_Calculs[[#This Row],[Date_livraison]],INDIRECT(CONCATENATE("Tab_",Tab_Calculs[[#This Row],[Colonne1]],"[Fin de période]")),0)</f>
        <v>1</v>
      </c>
      <c r="K1247" t="e">
        <f ca="1">INDEX(INDIRECT(CONCATENATE("Tab_",Tab_Calculs[[#This Row],[Colonne1]])),Tab_Calculs[[#This Row],[index_date_livraison]]-1,6)*(MAX(Tab_Calculs[[#This Row],[Début periode livraison]],Tab_Calculs[[#This Row],[Début mois]])-Tab_Calculs[[#This Row],[Début mois]])</f>
        <v>#VALUE!</v>
      </c>
      <c r="L1247" s="94">
        <f ca="1">INDEX(INDIRECT(CONCATENATE("Tab_",Tab_Calculs[[#This Row],[Colonne1]])),Tab_Calculs[[#This Row],[index_date_livraison]],6)*(1+MIN(Tab_Calculs[[#This Row],[Date_livraison]],Tab_Calculs[[#This Row],[fin mois]])-MAX(Tab_Calculs[[#This Row],[Début mois]],Tab_Calculs[[#This Row],[Début periode livraison]]))</f>
        <v>0</v>
      </c>
      <c r="M1247" s="94" t="e">
        <f ca="1">INDEX(INDIRECT(CONCATENATE("Tab_",Tab_Calculs[[#This Row],[Colonne1]])),Tab_Calculs[[#This Row],[index_date_livraison]]+1,6)*(Tab_Calculs[[#This Row],[fin mois]]-MIN(Tab_Calculs[[#This Row],[fin mois]],Tab_Calculs[[#This Row],[Date_livraison]]))</f>
        <v>#VALUE!</v>
      </c>
      <c r="N1247" s="231" t="str">
        <f ca="1">IFERROR(Tab_Calculs[[#This Row],[Ratio_jour_après_livr]]+Tab_Calculs[[#This Row],[Ratio_jour_avant_livr]]+Tab_Calculs[[#This Row],[ratio_avant_debut]],"")</f>
        <v/>
      </c>
      <c r="O1247" t="e">
        <f ca="1">INDEX(INDIRECT(CONCATENATE("Tab_",Tab_Calculs[[#This Row],[Colonne1]])),Tab_Calculs[[#This Row],[index_date_livraison]]-1,7)*(MAX(Tab_Calculs[[#This Row],[Début periode livraison]],Tab_Calculs[[#This Row],[Début mois]])-Tab_Calculs[[#This Row],[Début mois]])</f>
        <v>#VALUE!</v>
      </c>
      <c r="P1247">
        <f ca="1">INDEX(INDIRECT(CONCATENATE("Tab_",Tab_Calculs[[#This Row],[Colonne1]])),Tab_Calculs[[#This Row],[index_date_livraison]],7)*(1+MIN(Tab_Calculs[[#This Row],[Date_livraison]],Tab_Calculs[[#This Row],[fin mois]])-MAX(Tab_Calculs[[#This Row],[Début mois]],Tab_Calculs[[#This Row],[Début periode livraison]]))</f>
        <v>0</v>
      </c>
      <c r="Q1247" t="e">
        <f ca="1">INDEX(INDIRECT(CONCATENATE("Tab_",Tab_Calculs[[#This Row],[Colonne1]])),Tab_Calculs[[#This Row],[index_date_livraison]]+1,7)*(Tab_Calculs[[#This Row],[fin mois]]-MIN(Tab_Calculs[[#This Row],[fin mois]],Tab_Calculs[[#This Row],[Date_livraison]]))</f>
        <v>#VALUE!</v>
      </c>
      <c r="R1247" t="e">
        <f ca="1">Tab_Calculs[[#This Row],[Ratio_Cout_après_livr]]+Tab_Calculs[[#This Row],[Ratio_Cout_avant_livr]]+Tab_Calculs[[#This Row],[Ratio_Cout_avant_debut]]</f>
        <v>#VALUE!</v>
      </c>
      <c r="S1247" t="str">
        <f ca="1">IFERROR(N1247*VLOOKUP(Tab_Calculs[[#This Row],[Colonne1]],Controle_des_données!$B$7:$G$14,6,FALSE),"")</f>
        <v/>
      </c>
      <c r="T1247" t="str">
        <f ca="1">IF(Tab_Calculs[[#This Row],[Combustible ]]="Electricité (kWh)",Tab_Calculs[[#This Row],[Conso_mois_kWh]]*2.3,Tab_Calculs[[#This Row],[Conso_mois_kWh]])</f>
        <v/>
      </c>
      <c r="U1247" t="str">
        <f ca="1">IFERROR(N1247*VLOOKUP(Tab_Calculs[[#This Row],[Colonne1]],Controle_des_données!$B$7:$H$14,7,FALSE),"")</f>
        <v/>
      </c>
      <c r="V1247">
        <f ca="1">IFERROR(Tab_Calculs[[#This Row],[Cout_mois]]/Tab_Calculs[[#This Row],[Conso_mois_kWh]],0)</f>
        <v>0</v>
      </c>
      <c r="W1247" t="str">
        <f>T(VLOOKUP(Tab_Calculs[[#This Row],[Compteur]],Site!$B$33:$G$40,3,FALSE))</f>
        <v/>
      </c>
      <c r="X1247" t="str">
        <f>T(VLOOKUP(Tab_Calculs[[#This Row],[Compteur]],Site!$B$33:$G$40,4,FALSE))</f>
        <v/>
      </c>
      <c r="Y1247" t="str">
        <f>T(VLOOKUP(Tab_Calculs[[#This Row],[Compteur]],Site!$B$33:$G$40,5,FALSE))</f>
        <v/>
      </c>
      <c r="Z1247" t="str">
        <f>T(VLOOKUP(Tab_Calculs[[#This Row],[Compteur]],Site!$B$33:$G$40,6,FALSE))</f>
        <v/>
      </c>
      <c r="AA1247">
        <f>IFERROR(GETPIVOTDATA("DJU(chauffagiste)",BDD_DJU!$P$13,"annee",Tab_Calculs[[#This Row],[ANNEE]],"mois_numero",Tab_Calculs[[#This Row],[MOIS]]),0)</f>
        <v>226.3</v>
      </c>
    </row>
    <row r="1248" spans="1:27" x14ac:dyDescent="0.25">
      <c r="A1248" s="3">
        <f>DATE(Tab_Calculs[[#This Row],[ANNEE]],Tab_Calculs[[#This Row],[MOIS]],1)</f>
        <v>42826</v>
      </c>
      <c r="B1248" s="3">
        <f>EDATE(Tab_Calculs[[#This Row],[Début mois]],1)-1</f>
        <v>42855</v>
      </c>
      <c r="C1248">
        <f t="shared" si="43"/>
        <v>4</v>
      </c>
      <c r="D1248">
        <f t="shared" si="42"/>
        <v>2017</v>
      </c>
      <c r="E1248" t="s">
        <v>86</v>
      </c>
      <c r="F1248" t="str">
        <f>SUBSTITUTE(Tab_Calculs[[#This Row],[Compteur]]," ","_")</f>
        <v>Compteur_7</v>
      </c>
      <c r="G1248" t="str">
        <f>T(INDEX(Site!$B$33:$G$40, MATCH(Tab_Calculs[[#This Row],[Compteur]], Site!$B$33:$B$40,0),2))</f>
        <v/>
      </c>
      <c r="H1248" s="3">
        <f t="array" aca="1" ref="H1248" ca="1">MIN(IF(INDIRECT(CONCATENATE(Tab_Calculs[[#This Row],[Colonne1]],"!$B$2:$B$243"))&gt;=Calculs_Consos!$A1248,INDIRECT(CONCATENATE(Tab_Calculs[[#This Row],[Colonne1]],"!$B$2:$B$243"))))</f>
        <v>0</v>
      </c>
      <c r="I1248" s="3">
        <f ca="1">INDEX(INDIRECT(CONCATENATE("Tab_",Tab_Calculs[[#This Row],[Colonne1]])),Tab_Calculs[[#This Row],[index_date_livraison]],1)</f>
        <v>0</v>
      </c>
      <c r="J1248">
        <f ca="1">MATCH(Tab_Calculs[[#This Row],[Date_livraison]],INDIRECT(CONCATENATE("Tab_",Tab_Calculs[[#This Row],[Colonne1]],"[Fin de période]")),0)</f>
        <v>1</v>
      </c>
      <c r="K1248" t="e">
        <f ca="1">INDEX(INDIRECT(CONCATENATE("Tab_",Tab_Calculs[[#This Row],[Colonne1]])),Tab_Calculs[[#This Row],[index_date_livraison]]-1,6)*(MAX(Tab_Calculs[[#This Row],[Début periode livraison]],Tab_Calculs[[#This Row],[Début mois]])-Tab_Calculs[[#This Row],[Début mois]])</f>
        <v>#VALUE!</v>
      </c>
      <c r="L1248" s="94">
        <f ca="1">INDEX(INDIRECT(CONCATENATE("Tab_",Tab_Calculs[[#This Row],[Colonne1]])),Tab_Calculs[[#This Row],[index_date_livraison]],6)*(1+MIN(Tab_Calculs[[#This Row],[Date_livraison]],Tab_Calculs[[#This Row],[fin mois]])-MAX(Tab_Calculs[[#This Row],[Début mois]],Tab_Calculs[[#This Row],[Début periode livraison]]))</f>
        <v>0</v>
      </c>
      <c r="M1248" s="94" t="e">
        <f ca="1">INDEX(INDIRECT(CONCATENATE("Tab_",Tab_Calculs[[#This Row],[Colonne1]])),Tab_Calculs[[#This Row],[index_date_livraison]]+1,6)*(Tab_Calculs[[#This Row],[fin mois]]-MIN(Tab_Calculs[[#This Row],[fin mois]],Tab_Calculs[[#This Row],[Date_livraison]]))</f>
        <v>#VALUE!</v>
      </c>
      <c r="N1248" s="231" t="str">
        <f ca="1">IFERROR(Tab_Calculs[[#This Row],[Ratio_jour_après_livr]]+Tab_Calculs[[#This Row],[Ratio_jour_avant_livr]]+Tab_Calculs[[#This Row],[ratio_avant_debut]],"")</f>
        <v/>
      </c>
      <c r="O1248" t="e">
        <f ca="1">INDEX(INDIRECT(CONCATENATE("Tab_",Tab_Calculs[[#This Row],[Colonne1]])),Tab_Calculs[[#This Row],[index_date_livraison]]-1,7)*(MAX(Tab_Calculs[[#This Row],[Début periode livraison]],Tab_Calculs[[#This Row],[Début mois]])-Tab_Calculs[[#This Row],[Début mois]])</f>
        <v>#VALUE!</v>
      </c>
      <c r="P1248">
        <f ca="1">INDEX(INDIRECT(CONCATENATE("Tab_",Tab_Calculs[[#This Row],[Colonne1]])),Tab_Calculs[[#This Row],[index_date_livraison]],7)*(1+MIN(Tab_Calculs[[#This Row],[Date_livraison]],Tab_Calculs[[#This Row],[fin mois]])-MAX(Tab_Calculs[[#This Row],[Début mois]],Tab_Calculs[[#This Row],[Début periode livraison]]))</f>
        <v>0</v>
      </c>
      <c r="Q1248" t="e">
        <f ca="1">INDEX(INDIRECT(CONCATENATE("Tab_",Tab_Calculs[[#This Row],[Colonne1]])),Tab_Calculs[[#This Row],[index_date_livraison]]+1,7)*(Tab_Calculs[[#This Row],[fin mois]]-MIN(Tab_Calculs[[#This Row],[fin mois]],Tab_Calculs[[#This Row],[Date_livraison]]))</f>
        <v>#VALUE!</v>
      </c>
      <c r="R1248" t="e">
        <f ca="1">Tab_Calculs[[#This Row],[Ratio_Cout_après_livr]]+Tab_Calculs[[#This Row],[Ratio_Cout_avant_livr]]+Tab_Calculs[[#This Row],[Ratio_Cout_avant_debut]]</f>
        <v>#VALUE!</v>
      </c>
      <c r="S1248" t="str">
        <f ca="1">IFERROR(N1248*VLOOKUP(Tab_Calculs[[#This Row],[Colonne1]],Controle_des_données!$B$7:$G$14,6,FALSE),"")</f>
        <v/>
      </c>
      <c r="T1248" t="str">
        <f ca="1">IF(Tab_Calculs[[#This Row],[Combustible ]]="Electricité (kWh)",Tab_Calculs[[#This Row],[Conso_mois_kWh]]*2.3,Tab_Calculs[[#This Row],[Conso_mois_kWh]])</f>
        <v/>
      </c>
      <c r="U1248" t="str">
        <f ca="1">IFERROR(N1248*VLOOKUP(Tab_Calculs[[#This Row],[Colonne1]],Controle_des_données!$B$7:$H$14,7,FALSE),"")</f>
        <v/>
      </c>
      <c r="V1248">
        <f ca="1">IFERROR(Tab_Calculs[[#This Row],[Cout_mois]]/Tab_Calculs[[#This Row],[Conso_mois_kWh]],0)</f>
        <v>0</v>
      </c>
      <c r="W1248" t="str">
        <f>T(VLOOKUP(Tab_Calculs[[#This Row],[Compteur]],Site!$B$33:$G$40,3,FALSE))</f>
        <v/>
      </c>
      <c r="X1248" t="str">
        <f>T(VLOOKUP(Tab_Calculs[[#This Row],[Compteur]],Site!$B$33:$G$40,4,FALSE))</f>
        <v/>
      </c>
      <c r="Y1248" t="str">
        <f>T(VLOOKUP(Tab_Calculs[[#This Row],[Compteur]],Site!$B$33:$G$40,5,FALSE))</f>
        <v/>
      </c>
      <c r="Z1248" t="str">
        <f>T(VLOOKUP(Tab_Calculs[[#This Row],[Compteur]],Site!$B$33:$G$40,6,FALSE))</f>
        <v/>
      </c>
      <c r="AA1248">
        <f>IFERROR(GETPIVOTDATA("DJU(chauffagiste)",BDD_DJU!$P$13,"annee",Tab_Calculs[[#This Row],[ANNEE]],"mois_numero",Tab_Calculs[[#This Row],[MOIS]]),0)</f>
        <v>227.8</v>
      </c>
    </row>
    <row r="1249" spans="1:27" x14ac:dyDescent="0.25">
      <c r="A1249" s="3">
        <f>DATE(Tab_Calculs[[#This Row],[ANNEE]],Tab_Calculs[[#This Row],[MOIS]],1)</f>
        <v>42856</v>
      </c>
      <c r="B1249" s="3">
        <f>EDATE(Tab_Calculs[[#This Row],[Début mois]],1)-1</f>
        <v>42886</v>
      </c>
      <c r="C1249">
        <f t="shared" si="43"/>
        <v>5</v>
      </c>
      <c r="D1249">
        <f t="shared" si="42"/>
        <v>2017</v>
      </c>
      <c r="E1249" t="s">
        <v>86</v>
      </c>
      <c r="F1249" t="str">
        <f>SUBSTITUTE(Tab_Calculs[[#This Row],[Compteur]]," ","_")</f>
        <v>Compteur_7</v>
      </c>
      <c r="G1249" t="str">
        <f>T(INDEX(Site!$B$33:$G$40, MATCH(Tab_Calculs[[#This Row],[Compteur]], Site!$B$33:$B$40,0),2))</f>
        <v/>
      </c>
      <c r="H1249" s="3">
        <f t="array" aca="1" ref="H1249" ca="1">MIN(IF(INDIRECT(CONCATENATE(Tab_Calculs[[#This Row],[Colonne1]],"!$B$2:$B$243"))&gt;=Calculs_Consos!$A1249,INDIRECT(CONCATENATE(Tab_Calculs[[#This Row],[Colonne1]],"!$B$2:$B$243"))))</f>
        <v>0</v>
      </c>
      <c r="I1249" s="3">
        <f ca="1">INDEX(INDIRECT(CONCATENATE("Tab_",Tab_Calculs[[#This Row],[Colonne1]])),Tab_Calculs[[#This Row],[index_date_livraison]],1)</f>
        <v>0</v>
      </c>
      <c r="J1249">
        <f ca="1">MATCH(Tab_Calculs[[#This Row],[Date_livraison]],INDIRECT(CONCATENATE("Tab_",Tab_Calculs[[#This Row],[Colonne1]],"[Fin de période]")),0)</f>
        <v>1</v>
      </c>
      <c r="K1249" t="e">
        <f ca="1">INDEX(INDIRECT(CONCATENATE("Tab_",Tab_Calculs[[#This Row],[Colonne1]])),Tab_Calculs[[#This Row],[index_date_livraison]]-1,6)*(MAX(Tab_Calculs[[#This Row],[Début periode livraison]],Tab_Calculs[[#This Row],[Début mois]])-Tab_Calculs[[#This Row],[Début mois]])</f>
        <v>#VALUE!</v>
      </c>
      <c r="L1249" s="94">
        <f ca="1">INDEX(INDIRECT(CONCATENATE("Tab_",Tab_Calculs[[#This Row],[Colonne1]])),Tab_Calculs[[#This Row],[index_date_livraison]],6)*(1+MIN(Tab_Calculs[[#This Row],[Date_livraison]],Tab_Calculs[[#This Row],[fin mois]])-MAX(Tab_Calculs[[#This Row],[Début mois]],Tab_Calculs[[#This Row],[Début periode livraison]]))</f>
        <v>0</v>
      </c>
      <c r="M1249" s="94" t="e">
        <f ca="1">INDEX(INDIRECT(CONCATENATE("Tab_",Tab_Calculs[[#This Row],[Colonne1]])),Tab_Calculs[[#This Row],[index_date_livraison]]+1,6)*(Tab_Calculs[[#This Row],[fin mois]]-MIN(Tab_Calculs[[#This Row],[fin mois]],Tab_Calculs[[#This Row],[Date_livraison]]))</f>
        <v>#VALUE!</v>
      </c>
      <c r="N1249" s="231" t="str">
        <f ca="1">IFERROR(Tab_Calculs[[#This Row],[Ratio_jour_après_livr]]+Tab_Calculs[[#This Row],[Ratio_jour_avant_livr]]+Tab_Calculs[[#This Row],[ratio_avant_debut]],"")</f>
        <v/>
      </c>
      <c r="O1249" t="e">
        <f ca="1">INDEX(INDIRECT(CONCATENATE("Tab_",Tab_Calculs[[#This Row],[Colonne1]])),Tab_Calculs[[#This Row],[index_date_livraison]]-1,7)*(MAX(Tab_Calculs[[#This Row],[Début periode livraison]],Tab_Calculs[[#This Row],[Début mois]])-Tab_Calculs[[#This Row],[Début mois]])</f>
        <v>#VALUE!</v>
      </c>
      <c r="P1249">
        <f ca="1">INDEX(INDIRECT(CONCATENATE("Tab_",Tab_Calculs[[#This Row],[Colonne1]])),Tab_Calculs[[#This Row],[index_date_livraison]],7)*(1+MIN(Tab_Calculs[[#This Row],[Date_livraison]],Tab_Calculs[[#This Row],[fin mois]])-MAX(Tab_Calculs[[#This Row],[Début mois]],Tab_Calculs[[#This Row],[Début periode livraison]]))</f>
        <v>0</v>
      </c>
      <c r="Q1249" t="e">
        <f ca="1">INDEX(INDIRECT(CONCATENATE("Tab_",Tab_Calculs[[#This Row],[Colonne1]])),Tab_Calculs[[#This Row],[index_date_livraison]]+1,7)*(Tab_Calculs[[#This Row],[fin mois]]-MIN(Tab_Calculs[[#This Row],[fin mois]],Tab_Calculs[[#This Row],[Date_livraison]]))</f>
        <v>#VALUE!</v>
      </c>
      <c r="R1249" t="e">
        <f ca="1">Tab_Calculs[[#This Row],[Ratio_Cout_après_livr]]+Tab_Calculs[[#This Row],[Ratio_Cout_avant_livr]]+Tab_Calculs[[#This Row],[Ratio_Cout_avant_debut]]</f>
        <v>#VALUE!</v>
      </c>
      <c r="S1249" t="str">
        <f ca="1">IFERROR(N1249*VLOOKUP(Tab_Calculs[[#This Row],[Colonne1]],Controle_des_données!$B$7:$G$14,6,FALSE),"")</f>
        <v/>
      </c>
      <c r="T1249" t="str">
        <f ca="1">IF(Tab_Calculs[[#This Row],[Combustible ]]="Electricité (kWh)",Tab_Calculs[[#This Row],[Conso_mois_kWh]]*2.3,Tab_Calculs[[#This Row],[Conso_mois_kWh]])</f>
        <v/>
      </c>
      <c r="U1249" t="str">
        <f ca="1">IFERROR(N1249*VLOOKUP(Tab_Calculs[[#This Row],[Colonne1]],Controle_des_données!$B$7:$H$14,7,FALSE),"")</f>
        <v/>
      </c>
      <c r="V1249">
        <f ca="1">IFERROR(Tab_Calculs[[#This Row],[Cout_mois]]/Tab_Calculs[[#This Row],[Conso_mois_kWh]],0)</f>
        <v>0</v>
      </c>
      <c r="W1249" t="str">
        <f>T(VLOOKUP(Tab_Calculs[[#This Row],[Compteur]],Site!$B$33:$G$40,3,FALSE))</f>
        <v/>
      </c>
      <c r="X1249" t="str">
        <f>T(VLOOKUP(Tab_Calculs[[#This Row],[Compteur]],Site!$B$33:$G$40,4,FALSE))</f>
        <v/>
      </c>
      <c r="Y1249" t="str">
        <f>T(VLOOKUP(Tab_Calculs[[#This Row],[Compteur]],Site!$B$33:$G$40,5,FALSE))</f>
        <v/>
      </c>
      <c r="Z1249" t="str">
        <f>T(VLOOKUP(Tab_Calculs[[#This Row],[Compteur]],Site!$B$33:$G$40,6,FALSE))</f>
        <v/>
      </c>
      <c r="AA1249">
        <f>IFERROR(GETPIVOTDATA("DJU(chauffagiste)",BDD_DJU!$P$13,"annee",Tab_Calculs[[#This Row],[ANNEE]],"mois_numero",Tab_Calculs[[#This Row],[MOIS]]),0)</f>
        <v>98</v>
      </c>
    </row>
    <row r="1250" spans="1:27" x14ac:dyDescent="0.25">
      <c r="A1250" s="3">
        <f>DATE(Tab_Calculs[[#This Row],[ANNEE]],Tab_Calculs[[#This Row],[MOIS]],1)</f>
        <v>42887</v>
      </c>
      <c r="B1250" s="3">
        <f>EDATE(Tab_Calculs[[#This Row],[Début mois]],1)-1</f>
        <v>42916</v>
      </c>
      <c r="C1250">
        <f t="shared" si="43"/>
        <v>6</v>
      </c>
      <c r="D1250">
        <f t="shared" si="42"/>
        <v>2017</v>
      </c>
      <c r="E1250" t="s">
        <v>86</v>
      </c>
      <c r="F1250" t="str">
        <f>SUBSTITUTE(Tab_Calculs[[#This Row],[Compteur]]," ","_")</f>
        <v>Compteur_7</v>
      </c>
      <c r="G1250" t="str">
        <f>T(INDEX(Site!$B$33:$G$40, MATCH(Tab_Calculs[[#This Row],[Compteur]], Site!$B$33:$B$40,0),2))</f>
        <v/>
      </c>
      <c r="H1250" s="3">
        <f t="array" aca="1" ref="H1250" ca="1">MIN(IF(INDIRECT(CONCATENATE(Tab_Calculs[[#This Row],[Colonne1]],"!$B$2:$B$243"))&gt;=Calculs_Consos!$A1250,INDIRECT(CONCATENATE(Tab_Calculs[[#This Row],[Colonne1]],"!$B$2:$B$243"))))</f>
        <v>0</v>
      </c>
      <c r="I1250" s="3">
        <f ca="1">INDEX(INDIRECT(CONCATENATE("Tab_",Tab_Calculs[[#This Row],[Colonne1]])),Tab_Calculs[[#This Row],[index_date_livraison]],1)</f>
        <v>0</v>
      </c>
      <c r="J1250">
        <f ca="1">MATCH(Tab_Calculs[[#This Row],[Date_livraison]],INDIRECT(CONCATENATE("Tab_",Tab_Calculs[[#This Row],[Colonne1]],"[Fin de période]")),0)</f>
        <v>1</v>
      </c>
      <c r="K1250" t="e">
        <f ca="1">INDEX(INDIRECT(CONCATENATE("Tab_",Tab_Calculs[[#This Row],[Colonne1]])),Tab_Calculs[[#This Row],[index_date_livraison]]-1,6)*(MAX(Tab_Calculs[[#This Row],[Début periode livraison]],Tab_Calculs[[#This Row],[Début mois]])-Tab_Calculs[[#This Row],[Début mois]])</f>
        <v>#VALUE!</v>
      </c>
      <c r="L1250" s="94">
        <f ca="1">INDEX(INDIRECT(CONCATENATE("Tab_",Tab_Calculs[[#This Row],[Colonne1]])),Tab_Calculs[[#This Row],[index_date_livraison]],6)*(1+MIN(Tab_Calculs[[#This Row],[Date_livraison]],Tab_Calculs[[#This Row],[fin mois]])-MAX(Tab_Calculs[[#This Row],[Début mois]],Tab_Calculs[[#This Row],[Début periode livraison]]))</f>
        <v>0</v>
      </c>
      <c r="M1250" s="94" t="e">
        <f ca="1">INDEX(INDIRECT(CONCATENATE("Tab_",Tab_Calculs[[#This Row],[Colonne1]])),Tab_Calculs[[#This Row],[index_date_livraison]]+1,6)*(Tab_Calculs[[#This Row],[fin mois]]-MIN(Tab_Calculs[[#This Row],[fin mois]],Tab_Calculs[[#This Row],[Date_livraison]]))</f>
        <v>#VALUE!</v>
      </c>
      <c r="N1250" s="231" t="str">
        <f ca="1">IFERROR(Tab_Calculs[[#This Row],[Ratio_jour_après_livr]]+Tab_Calculs[[#This Row],[Ratio_jour_avant_livr]]+Tab_Calculs[[#This Row],[ratio_avant_debut]],"")</f>
        <v/>
      </c>
      <c r="O1250" t="e">
        <f ca="1">INDEX(INDIRECT(CONCATENATE("Tab_",Tab_Calculs[[#This Row],[Colonne1]])),Tab_Calculs[[#This Row],[index_date_livraison]]-1,7)*(MAX(Tab_Calculs[[#This Row],[Début periode livraison]],Tab_Calculs[[#This Row],[Début mois]])-Tab_Calculs[[#This Row],[Début mois]])</f>
        <v>#VALUE!</v>
      </c>
      <c r="P1250">
        <f ca="1">INDEX(INDIRECT(CONCATENATE("Tab_",Tab_Calculs[[#This Row],[Colonne1]])),Tab_Calculs[[#This Row],[index_date_livraison]],7)*(1+MIN(Tab_Calculs[[#This Row],[Date_livraison]],Tab_Calculs[[#This Row],[fin mois]])-MAX(Tab_Calculs[[#This Row],[Début mois]],Tab_Calculs[[#This Row],[Début periode livraison]]))</f>
        <v>0</v>
      </c>
      <c r="Q1250" t="e">
        <f ca="1">INDEX(INDIRECT(CONCATENATE("Tab_",Tab_Calculs[[#This Row],[Colonne1]])),Tab_Calculs[[#This Row],[index_date_livraison]]+1,7)*(Tab_Calculs[[#This Row],[fin mois]]-MIN(Tab_Calculs[[#This Row],[fin mois]],Tab_Calculs[[#This Row],[Date_livraison]]))</f>
        <v>#VALUE!</v>
      </c>
      <c r="R1250" t="e">
        <f ca="1">Tab_Calculs[[#This Row],[Ratio_Cout_après_livr]]+Tab_Calculs[[#This Row],[Ratio_Cout_avant_livr]]+Tab_Calculs[[#This Row],[Ratio_Cout_avant_debut]]</f>
        <v>#VALUE!</v>
      </c>
      <c r="S1250" t="str">
        <f ca="1">IFERROR(N1250*VLOOKUP(Tab_Calculs[[#This Row],[Colonne1]],Controle_des_données!$B$7:$G$14,6,FALSE),"")</f>
        <v/>
      </c>
      <c r="T1250" t="str">
        <f ca="1">IF(Tab_Calculs[[#This Row],[Combustible ]]="Electricité (kWh)",Tab_Calculs[[#This Row],[Conso_mois_kWh]]*2.3,Tab_Calculs[[#This Row],[Conso_mois_kWh]])</f>
        <v/>
      </c>
      <c r="U1250" t="str">
        <f ca="1">IFERROR(N1250*VLOOKUP(Tab_Calculs[[#This Row],[Colonne1]],Controle_des_données!$B$7:$H$14,7,FALSE),"")</f>
        <v/>
      </c>
      <c r="V1250">
        <f ca="1">IFERROR(Tab_Calculs[[#This Row],[Cout_mois]]/Tab_Calculs[[#This Row],[Conso_mois_kWh]],0)</f>
        <v>0</v>
      </c>
      <c r="W1250" t="str">
        <f>T(VLOOKUP(Tab_Calculs[[#This Row],[Compteur]],Site!$B$33:$G$40,3,FALSE))</f>
        <v/>
      </c>
      <c r="X1250" t="str">
        <f>T(VLOOKUP(Tab_Calculs[[#This Row],[Compteur]],Site!$B$33:$G$40,4,FALSE))</f>
        <v/>
      </c>
      <c r="Y1250" t="str">
        <f>T(VLOOKUP(Tab_Calculs[[#This Row],[Compteur]],Site!$B$33:$G$40,5,FALSE))</f>
        <v/>
      </c>
      <c r="Z1250" t="str">
        <f>T(VLOOKUP(Tab_Calculs[[#This Row],[Compteur]],Site!$B$33:$G$40,6,FALSE))</f>
        <v/>
      </c>
      <c r="AA1250">
        <f>IFERROR(GETPIVOTDATA("DJU(chauffagiste)",BDD_DJU!$P$13,"annee",Tab_Calculs[[#This Row],[ANNEE]],"mois_numero",Tab_Calculs[[#This Row],[MOIS]]),0)</f>
        <v>30.9</v>
      </c>
    </row>
    <row r="1251" spans="1:27" x14ac:dyDescent="0.25">
      <c r="A1251" s="3">
        <f>DATE(Tab_Calculs[[#This Row],[ANNEE]],Tab_Calculs[[#This Row],[MOIS]],1)</f>
        <v>42917</v>
      </c>
      <c r="B1251" s="3">
        <f>EDATE(Tab_Calculs[[#This Row],[Début mois]],1)-1</f>
        <v>42947</v>
      </c>
      <c r="C1251">
        <f t="shared" si="43"/>
        <v>7</v>
      </c>
      <c r="D1251">
        <f t="shared" si="42"/>
        <v>2017</v>
      </c>
      <c r="E1251" t="s">
        <v>86</v>
      </c>
      <c r="F1251" t="str">
        <f>SUBSTITUTE(Tab_Calculs[[#This Row],[Compteur]]," ","_")</f>
        <v>Compteur_7</v>
      </c>
      <c r="G1251" t="str">
        <f>T(INDEX(Site!$B$33:$G$40, MATCH(Tab_Calculs[[#This Row],[Compteur]], Site!$B$33:$B$40,0),2))</f>
        <v/>
      </c>
      <c r="H1251" s="3">
        <f t="array" aca="1" ref="H1251" ca="1">MIN(IF(INDIRECT(CONCATENATE(Tab_Calculs[[#This Row],[Colonne1]],"!$B$2:$B$243"))&gt;=Calculs_Consos!$A1251,INDIRECT(CONCATENATE(Tab_Calculs[[#This Row],[Colonne1]],"!$B$2:$B$243"))))</f>
        <v>0</v>
      </c>
      <c r="I1251" s="3">
        <f ca="1">INDEX(INDIRECT(CONCATENATE("Tab_",Tab_Calculs[[#This Row],[Colonne1]])),Tab_Calculs[[#This Row],[index_date_livraison]],1)</f>
        <v>0</v>
      </c>
      <c r="J1251">
        <f ca="1">MATCH(Tab_Calculs[[#This Row],[Date_livraison]],INDIRECT(CONCATENATE("Tab_",Tab_Calculs[[#This Row],[Colonne1]],"[Fin de période]")),0)</f>
        <v>1</v>
      </c>
      <c r="K1251" t="e">
        <f ca="1">INDEX(INDIRECT(CONCATENATE("Tab_",Tab_Calculs[[#This Row],[Colonne1]])),Tab_Calculs[[#This Row],[index_date_livraison]]-1,6)*(MAX(Tab_Calculs[[#This Row],[Début periode livraison]],Tab_Calculs[[#This Row],[Début mois]])-Tab_Calculs[[#This Row],[Début mois]])</f>
        <v>#VALUE!</v>
      </c>
      <c r="L1251" s="94">
        <f ca="1">INDEX(INDIRECT(CONCATENATE("Tab_",Tab_Calculs[[#This Row],[Colonne1]])),Tab_Calculs[[#This Row],[index_date_livraison]],6)*(1+MIN(Tab_Calculs[[#This Row],[Date_livraison]],Tab_Calculs[[#This Row],[fin mois]])-MAX(Tab_Calculs[[#This Row],[Début mois]],Tab_Calculs[[#This Row],[Début periode livraison]]))</f>
        <v>0</v>
      </c>
      <c r="M1251" s="94" t="e">
        <f ca="1">INDEX(INDIRECT(CONCATENATE("Tab_",Tab_Calculs[[#This Row],[Colonne1]])),Tab_Calculs[[#This Row],[index_date_livraison]]+1,6)*(Tab_Calculs[[#This Row],[fin mois]]-MIN(Tab_Calculs[[#This Row],[fin mois]],Tab_Calculs[[#This Row],[Date_livraison]]))</f>
        <v>#VALUE!</v>
      </c>
      <c r="N1251" s="231" t="str">
        <f ca="1">IFERROR(Tab_Calculs[[#This Row],[Ratio_jour_après_livr]]+Tab_Calculs[[#This Row],[Ratio_jour_avant_livr]]+Tab_Calculs[[#This Row],[ratio_avant_debut]],"")</f>
        <v/>
      </c>
      <c r="O1251" t="e">
        <f ca="1">INDEX(INDIRECT(CONCATENATE("Tab_",Tab_Calculs[[#This Row],[Colonne1]])),Tab_Calculs[[#This Row],[index_date_livraison]]-1,7)*(MAX(Tab_Calculs[[#This Row],[Début periode livraison]],Tab_Calculs[[#This Row],[Début mois]])-Tab_Calculs[[#This Row],[Début mois]])</f>
        <v>#VALUE!</v>
      </c>
      <c r="P1251">
        <f ca="1">INDEX(INDIRECT(CONCATENATE("Tab_",Tab_Calculs[[#This Row],[Colonne1]])),Tab_Calculs[[#This Row],[index_date_livraison]],7)*(1+MIN(Tab_Calculs[[#This Row],[Date_livraison]],Tab_Calculs[[#This Row],[fin mois]])-MAX(Tab_Calculs[[#This Row],[Début mois]],Tab_Calculs[[#This Row],[Début periode livraison]]))</f>
        <v>0</v>
      </c>
      <c r="Q1251" t="e">
        <f ca="1">INDEX(INDIRECT(CONCATENATE("Tab_",Tab_Calculs[[#This Row],[Colonne1]])),Tab_Calculs[[#This Row],[index_date_livraison]]+1,7)*(Tab_Calculs[[#This Row],[fin mois]]-MIN(Tab_Calculs[[#This Row],[fin mois]],Tab_Calculs[[#This Row],[Date_livraison]]))</f>
        <v>#VALUE!</v>
      </c>
      <c r="R1251" t="e">
        <f ca="1">Tab_Calculs[[#This Row],[Ratio_Cout_après_livr]]+Tab_Calculs[[#This Row],[Ratio_Cout_avant_livr]]+Tab_Calculs[[#This Row],[Ratio_Cout_avant_debut]]</f>
        <v>#VALUE!</v>
      </c>
      <c r="S1251" t="str">
        <f ca="1">IFERROR(N1251*VLOOKUP(Tab_Calculs[[#This Row],[Colonne1]],Controle_des_données!$B$7:$G$14,6,FALSE),"")</f>
        <v/>
      </c>
      <c r="T1251" t="str">
        <f ca="1">IF(Tab_Calculs[[#This Row],[Combustible ]]="Electricité (kWh)",Tab_Calculs[[#This Row],[Conso_mois_kWh]]*2.3,Tab_Calculs[[#This Row],[Conso_mois_kWh]])</f>
        <v/>
      </c>
      <c r="U1251" t="str">
        <f ca="1">IFERROR(N1251*VLOOKUP(Tab_Calculs[[#This Row],[Colonne1]],Controle_des_données!$B$7:$H$14,7,FALSE),"")</f>
        <v/>
      </c>
      <c r="V1251">
        <f ca="1">IFERROR(Tab_Calculs[[#This Row],[Cout_mois]]/Tab_Calculs[[#This Row],[Conso_mois_kWh]],0)</f>
        <v>0</v>
      </c>
      <c r="W1251" t="str">
        <f>T(VLOOKUP(Tab_Calculs[[#This Row],[Compteur]],Site!$B$33:$G$40,3,FALSE))</f>
        <v/>
      </c>
      <c r="X1251" t="str">
        <f>T(VLOOKUP(Tab_Calculs[[#This Row],[Compteur]],Site!$B$33:$G$40,4,FALSE))</f>
        <v/>
      </c>
      <c r="Y1251" t="str">
        <f>T(VLOOKUP(Tab_Calculs[[#This Row],[Compteur]],Site!$B$33:$G$40,5,FALSE))</f>
        <v/>
      </c>
      <c r="Z1251" t="str">
        <f>T(VLOOKUP(Tab_Calculs[[#This Row],[Compteur]],Site!$B$33:$G$40,6,FALSE))</f>
        <v/>
      </c>
      <c r="AA1251">
        <f>IFERROR(GETPIVOTDATA("DJU(chauffagiste)",BDD_DJU!$P$13,"annee",Tab_Calculs[[#This Row],[ANNEE]],"mois_numero",Tab_Calculs[[#This Row],[MOIS]]),0)</f>
        <v>23.6</v>
      </c>
    </row>
    <row r="1252" spans="1:27" x14ac:dyDescent="0.25">
      <c r="A1252" s="3">
        <f>DATE(Tab_Calculs[[#This Row],[ANNEE]],Tab_Calculs[[#This Row],[MOIS]],1)</f>
        <v>42948</v>
      </c>
      <c r="B1252" s="3">
        <f>EDATE(Tab_Calculs[[#This Row],[Début mois]],1)-1</f>
        <v>42978</v>
      </c>
      <c r="C1252">
        <f t="shared" si="43"/>
        <v>8</v>
      </c>
      <c r="D1252">
        <f t="shared" si="42"/>
        <v>2017</v>
      </c>
      <c r="E1252" t="s">
        <v>86</v>
      </c>
      <c r="F1252" t="str">
        <f>SUBSTITUTE(Tab_Calculs[[#This Row],[Compteur]]," ","_")</f>
        <v>Compteur_7</v>
      </c>
      <c r="G1252" t="str">
        <f>T(INDEX(Site!$B$33:$G$40, MATCH(Tab_Calculs[[#This Row],[Compteur]], Site!$B$33:$B$40,0),2))</f>
        <v/>
      </c>
      <c r="H1252" s="3">
        <f t="array" aca="1" ref="H1252" ca="1">MIN(IF(INDIRECT(CONCATENATE(Tab_Calculs[[#This Row],[Colonne1]],"!$B$2:$B$243"))&gt;=Calculs_Consos!$A1252,INDIRECT(CONCATENATE(Tab_Calculs[[#This Row],[Colonne1]],"!$B$2:$B$243"))))</f>
        <v>0</v>
      </c>
      <c r="I1252" s="3">
        <f ca="1">INDEX(INDIRECT(CONCATENATE("Tab_",Tab_Calculs[[#This Row],[Colonne1]])),Tab_Calculs[[#This Row],[index_date_livraison]],1)</f>
        <v>0</v>
      </c>
      <c r="J1252">
        <f ca="1">MATCH(Tab_Calculs[[#This Row],[Date_livraison]],INDIRECT(CONCATENATE("Tab_",Tab_Calculs[[#This Row],[Colonne1]],"[Fin de période]")),0)</f>
        <v>1</v>
      </c>
      <c r="K1252" t="e">
        <f ca="1">INDEX(INDIRECT(CONCATENATE("Tab_",Tab_Calculs[[#This Row],[Colonne1]])),Tab_Calculs[[#This Row],[index_date_livraison]]-1,6)*(MAX(Tab_Calculs[[#This Row],[Début periode livraison]],Tab_Calculs[[#This Row],[Début mois]])-Tab_Calculs[[#This Row],[Début mois]])</f>
        <v>#VALUE!</v>
      </c>
      <c r="L1252" s="94">
        <f ca="1">INDEX(INDIRECT(CONCATENATE("Tab_",Tab_Calculs[[#This Row],[Colonne1]])),Tab_Calculs[[#This Row],[index_date_livraison]],6)*(1+MIN(Tab_Calculs[[#This Row],[Date_livraison]],Tab_Calculs[[#This Row],[fin mois]])-MAX(Tab_Calculs[[#This Row],[Début mois]],Tab_Calculs[[#This Row],[Début periode livraison]]))</f>
        <v>0</v>
      </c>
      <c r="M1252" s="94" t="e">
        <f ca="1">INDEX(INDIRECT(CONCATENATE("Tab_",Tab_Calculs[[#This Row],[Colonne1]])),Tab_Calculs[[#This Row],[index_date_livraison]]+1,6)*(Tab_Calculs[[#This Row],[fin mois]]-MIN(Tab_Calculs[[#This Row],[fin mois]],Tab_Calculs[[#This Row],[Date_livraison]]))</f>
        <v>#VALUE!</v>
      </c>
      <c r="N1252" s="231" t="str">
        <f ca="1">IFERROR(Tab_Calculs[[#This Row],[Ratio_jour_après_livr]]+Tab_Calculs[[#This Row],[Ratio_jour_avant_livr]]+Tab_Calculs[[#This Row],[ratio_avant_debut]],"")</f>
        <v/>
      </c>
      <c r="O1252" t="e">
        <f ca="1">INDEX(INDIRECT(CONCATENATE("Tab_",Tab_Calculs[[#This Row],[Colonne1]])),Tab_Calculs[[#This Row],[index_date_livraison]]-1,7)*(MAX(Tab_Calculs[[#This Row],[Début periode livraison]],Tab_Calculs[[#This Row],[Début mois]])-Tab_Calculs[[#This Row],[Début mois]])</f>
        <v>#VALUE!</v>
      </c>
      <c r="P1252">
        <f ca="1">INDEX(INDIRECT(CONCATENATE("Tab_",Tab_Calculs[[#This Row],[Colonne1]])),Tab_Calculs[[#This Row],[index_date_livraison]],7)*(1+MIN(Tab_Calculs[[#This Row],[Date_livraison]],Tab_Calculs[[#This Row],[fin mois]])-MAX(Tab_Calculs[[#This Row],[Début mois]],Tab_Calculs[[#This Row],[Début periode livraison]]))</f>
        <v>0</v>
      </c>
      <c r="Q1252" t="e">
        <f ca="1">INDEX(INDIRECT(CONCATENATE("Tab_",Tab_Calculs[[#This Row],[Colonne1]])),Tab_Calculs[[#This Row],[index_date_livraison]]+1,7)*(Tab_Calculs[[#This Row],[fin mois]]-MIN(Tab_Calculs[[#This Row],[fin mois]],Tab_Calculs[[#This Row],[Date_livraison]]))</f>
        <v>#VALUE!</v>
      </c>
      <c r="R1252" t="e">
        <f ca="1">Tab_Calculs[[#This Row],[Ratio_Cout_après_livr]]+Tab_Calculs[[#This Row],[Ratio_Cout_avant_livr]]+Tab_Calculs[[#This Row],[Ratio_Cout_avant_debut]]</f>
        <v>#VALUE!</v>
      </c>
      <c r="S1252" t="str">
        <f ca="1">IFERROR(N1252*VLOOKUP(Tab_Calculs[[#This Row],[Colonne1]],Controle_des_données!$B$7:$G$14,6,FALSE),"")</f>
        <v/>
      </c>
      <c r="T1252" t="str">
        <f ca="1">IF(Tab_Calculs[[#This Row],[Combustible ]]="Electricité (kWh)",Tab_Calculs[[#This Row],[Conso_mois_kWh]]*2.3,Tab_Calculs[[#This Row],[Conso_mois_kWh]])</f>
        <v/>
      </c>
      <c r="U1252" t="str">
        <f ca="1">IFERROR(N1252*VLOOKUP(Tab_Calculs[[#This Row],[Colonne1]],Controle_des_données!$B$7:$H$14,7,FALSE),"")</f>
        <v/>
      </c>
      <c r="V1252">
        <f ca="1">IFERROR(Tab_Calculs[[#This Row],[Cout_mois]]/Tab_Calculs[[#This Row],[Conso_mois_kWh]],0)</f>
        <v>0</v>
      </c>
      <c r="W1252" t="str">
        <f>T(VLOOKUP(Tab_Calculs[[#This Row],[Compteur]],Site!$B$33:$G$40,3,FALSE))</f>
        <v/>
      </c>
      <c r="X1252" t="str">
        <f>T(VLOOKUP(Tab_Calculs[[#This Row],[Compteur]],Site!$B$33:$G$40,4,FALSE))</f>
        <v/>
      </c>
      <c r="Y1252" t="str">
        <f>T(VLOOKUP(Tab_Calculs[[#This Row],[Compteur]],Site!$B$33:$G$40,5,FALSE))</f>
        <v/>
      </c>
      <c r="Z1252" t="str">
        <f>T(VLOOKUP(Tab_Calculs[[#This Row],[Compteur]],Site!$B$33:$G$40,6,FALSE))</f>
        <v/>
      </c>
      <c r="AA1252">
        <f>IFERROR(GETPIVOTDATA("DJU(chauffagiste)",BDD_DJU!$P$13,"annee",Tab_Calculs[[#This Row],[ANNEE]],"mois_numero",Tab_Calculs[[#This Row],[MOIS]]),0)</f>
        <v>32.200000000000003</v>
      </c>
    </row>
    <row r="1253" spans="1:27" x14ac:dyDescent="0.25">
      <c r="A1253" s="3">
        <f>DATE(Tab_Calculs[[#This Row],[ANNEE]],Tab_Calculs[[#This Row],[MOIS]],1)</f>
        <v>42979</v>
      </c>
      <c r="B1253" s="3">
        <f>EDATE(Tab_Calculs[[#This Row],[Début mois]],1)-1</f>
        <v>43008</v>
      </c>
      <c r="C1253">
        <f t="shared" si="43"/>
        <v>9</v>
      </c>
      <c r="D1253">
        <f t="shared" si="42"/>
        <v>2017</v>
      </c>
      <c r="E1253" t="s">
        <v>86</v>
      </c>
      <c r="F1253" t="str">
        <f>SUBSTITUTE(Tab_Calculs[[#This Row],[Compteur]]," ","_")</f>
        <v>Compteur_7</v>
      </c>
      <c r="G1253" t="str">
        <f>T(INDEX(Site!$B$33:$G$40, MATCH(Tab_Calculs[[#This Row],[Compteur]], Site!$B$33:$B$40,0),2))</f>
        <v/>
      </c>
      <c r="H1253" s="3">
        <f t="array" aca="1" ref="H1253" ca="1">MIN(IF(INDIRECT(CONCATENATE(Tab_Calculs[[#This Row],[Colonne1]],"!$B$2:$B$243"))&gt;=Calculs_Consos!$A1253,INDIRECT(CONCATENATE(Tab_Calculs[[#This Row],[Colonne1]],"!$B$2:$B$243"))))</f>
        <v>0</v>
      </c>
      <c r="I1253" s="3">
        <f ca="1">INDEX(INDIRECT(CONCATENATE("Tab_",Tab_Calculs[[#This Row],[Colonne1]])),Tab_Calculs[[#This Row],[index_date_livraison]],1)</f>
        <v>0</v>
      </c>
      <c r="J1253">
        <f ca="1">MATCH(Tab_Calculs[[#This Row],[Date_livraison]],INDIRECT(CONCATENATE("Tab_",Tab_Calculs[[#This Row],[Colonne1]],"[Fin de période]")),0)</f>
        <v>1</v>
      </c>
      <c r="K1253" t="e">
        <f ca="1">INDEX(INDIRECT(CONCATENATE("Tab_",Tab_Calculs[[#This Row],[Colonne1]])),Tab_Calculs[[#This Row],[index_date_livraison]]-1,6)*(MAX(Tab_Calculs[[#This Row],[Début periode livraison]],Tab_Calculs[[#This Row],[Début mois]])-Tab_Calculs[[#This Row],[Début mois]])</f>
        <v>#VALUE!</v>
      </c>
      <c r="L1253" s="94">
        <f ca="1">INDEX(INDIRECT(CONCATENATE("Tab_",Tab_Calculs[[#This Row],[Colonne1]])),Tab_Calculs[[#This Row],[index_date_livraison]],6)*(1+MIN(Tab_Calculs[[#This Row],[Date_livraison]],Tab_Calculs[[#This Row],[fin mois]])-MAX(Tab_Calculs[[#This Row],[Début mois]],Tab_Calculs[[#This Row],[Début periode livraison]]))</f>
        <v>0</v>
      </c>
      <c r="M1253" s="94" t="e">
        <f ca="1">INDEX(INDIRECT(CONCATENATE("Tab_",Tab_Calculs[[#This Row],[Colonne1]])),Tab_Calculs[[#This Row],[index_date_livraison]]+1,6)*(Tab_Calculs[[#This Row],[fin mois]]-MIN(Tab_Calculs[[#This Row],[fin mois]],Tab_Calculs[[#This Row],[Date_livraison]]))</f>
        <v>#VALUE!</v>
      </c>
      <c r="N1253" s="231" t="str">
        <f ca="1">IFERROR(Tab_Calculs[[#This Row],[Ratio_jour_après_livr]]+Tab_Calculs[[#This Row],[Ratio_jour_avant_livr]]+Tab_Calculs[[#This Row],[ratio_avant_debut]],"")</f>
        <v/>
      </c>
      <c r="O1253" t="e">
        <f ca="1">INDEX(INDIRECT(CONCATENATE("Tab_",Tab_Calculs[[#This Row],[Colonne1]])),Tab_Calculs[[#This Row],[index_date_livraison]]-1,7)*(MAX(Tab_Calculs[[#This Row],[Début periode livraison]],Tab_Calculs[[#This Row],[Début mois]])-Tab_Calculs[[#This Row],[Début mois]])</f>
        <v>#VALUE!</v>
      </c>
      <c r="P1253">
        <f ca="1">INDEX(INDIRECT(CONCATENATE("Tab_",Tab_Calculs[[#This Row],[Colonne1]])),Tab_Calculs[[#This Row],[index_date_livraison]],7)*(1+MIN(Tab_Calculs[[#This Row],[Date_livraison]],Tab_Calculs[[#This Row],[fin mois]])-MAX(Tab_Calculs[[#This Row],[Début mois]],Tab_Calculs[[#This Row],[Début periode livraison]]))</f>
        <v>0</v>
      </c>
      <c r="Q1253" t="e">
        <f ca="1">INDEX(INDIRECT(CONCATENATE("Tab_",Tab_Calculs[[#This Row],[Colonne1]])),Tab_Calculs[[#This Row],[index_date_livraison]]+1,7)*(Tab_Calculs[[#This Row],[fin mois]]-MIN(Tab_Calculs[[#This Row],[fin mois]],Tab_Calculs[[#This Row],[Date_livraison]]))</f>
        <v>#VALUE!</v>
      </c>
      <c r="R1253" t="e">
        <f ca="1">Tab_Calculs[[#This Row],[Ratio_Cout_après_livr]]+Tab_Calculs[[#This Row],[Ratio_Cout_avant_livr]]+Tab_Calculs[[#This Row],[Ratio_Cout_avant_debut]]</f>
        <v>#VALUE!</v>
      </c>
      <c r="S1253" t="str">
        <f ca="1">IFERROR(N1253*VLOOKUP(Tab_Calculs[[#This Row],[Colonne1]],Controle_des_données!$B$7:$G$14,6,FALSE),"")</f>
        <v/>
      </c>
      <c r="T1253" t="str">
        <f ca="1">IF(Tab_Calculs[[#This Row],[Combustible ]]="Electricité (kWh)",Tab_Calculs[[#This Row],[Conso_mois_kWh]]*2.3,Tab_Calculs[[#This Row],[Conso_mois_kWh]])</f>
        <v/>
      </c>
      <c r="U1253" t="str">
        <f ca="1">IFERROR(N1253*VLOOKUP(Tab_Calculs[[#This Row],[Colonne1]],Controle_des_données!$B$7:$H$14,7,FALSE),"")</f>
        <v/>
      </c>
      <c r="V1253">
        <f ca="1">IFERROR(Tab_Calculs[[#This Row],[Cout_mois]]/Tab_Calculs[[#This Row],[Conso_mois_kWh]],0)</f>
        <v>0</v>
      </c>
      <c r="W1253" t="str">
        <f>T(VLOOKUP(Tab_Calculs[[#This Row],[Compteur]],Site!$B$33:$G$40,3,FALSE))</f>
        <v/>
      </c>
      <c r="X1253" t="str">
        <f>T(VLOOKUP(Tab_Calculs[[#This Row],[Compteur]],Site!$B$33:$G$40,4,FALSE))</f>
        <v/>
      </c>
      <c r="Y1253" t="str">
        <f>T(VLOOKUP(Tab_Calculs[[#This Row],[Compteur]],Site!$B$33:$G$40,5,FALSE))</f>
        <v/>
      </c>
      <c r="Z1253" t="str">
        <f>T(VLOOKUP(Tab_Calculs[[#This Row],[Compteur]],Site!$B$33:$G$40,6,FALSE))</f>
        <v/>
      </c>
      <c r="AA1253">
        <f>IFERROR(GETPIVOTDATA("DJU(chauffagiste)",BDD_DJU!$P$13,"annee",Tab_Calculs[[#This Row],[ANNEE]],"mois_numero",Tab_Calculs[[#This Row],[MOIS]]),0)</f>
        <v>82.3</v>
      </c>
    </row>
    <row r="1254" spans="1:27" x14ac:dyDescent="0.25">
      <c r="A1254" s="3">
        <f>DATE(Tab_Calculs[[#This Row],[ANNEE]],Tab_Calculs[[#This Row],[MOIS]],1)</f>
        <v>43009</v>
      </c>
      <c r="B1254" s="3">
        <f>EDATE(Tab_Calculs[[#This Row],[Début mois]],1)-1</f>
        <v>43039</v>
      </c>
      <c r="C1254">
        <f t="shared" si="43"/>
        <v>10</v>
      </c>
      <c r="D1254">
        <f t="shared" si="42"/>
        <v>2017</v>
      </c>
      <c r="E1254" t="s">
        <v>86</v>
      </c>
      <c r="F1254" t="str">
        <f>SUBSTITUTE(Tab_Calculs[[#This Row],[Compteur]]," ","_")</f>
        <v>Compteur_7</v>
      </c>
      <c r="G1254" t="str">
        <f>T(INDEX(Site!$B$33:$G$40, MATCH(Tab_Calculs[[#This Row],[Compteur]], Site!$B$33:$B$40,0),2))</f>
        <v/>
      </c>
      <c r="H1254" s="3">
        <f t="array" aca="1" ref="H1254" ca="1">MIN(IF(INDIRECT(CONCATENATE(Tab_Calculs[[#This Row],[Colonne1]],"!$B$2:$B$243"))&gt;=Calculs_Consos!$A1254,INDIRECT(CONCATENATE(Tab_Calculs[[#This Row],[Colonne1]],"!$B$2:$B$243"))))</f>
        <v>0</v>
      </c>
      <c r="I1254" s="3">
        <f ca="1">INDEX(INDIRECT(CONCATENATE("Tab_",Tab_Calculs[[#This Row],[Colonne1]])),Tab_Calculs[[#This Row],[index_date_livraison]],1)</f>
        <v>0</v>
      </c>
      <c r="J1254">
        <f ca="1">MATCH(Tab_Calculs[[#This Row],[Date_livraison]],INDIRECT(CONCATENATE("Tab_",Tab_Calculs[[#This Row],[Colonne1]],"[Fin de période]")),0)</f>
        <v>1</v>
      </c>
      <c r="K1254" t="e">
        <f ca="1">INDEX(INDIRECT(CONCATENATE("Tab_",Tab_Calculs[[#This Row],[Colonne1]])),Tab_Calculs[[#This Row],[index_date_livraison]]-1,6)*(MAX(Tab_Calculs[[#This Row],[Début periode livraison]],Tab_Calculs[[#This Row],[Début mois]])-Tab_Calculs[[#This Row],[Début mois]])</f>
        <v>#VALUE!</v>
      </c>
      <c r="L1254" s="94">
        <f ca="1">INDEX(INDIRECT(CONCATENATE("Tab_",Tab_Calculs[[#This Row],[Colonne1]])),Tab_Calculs[[#This Row],[index_date_livraison]],6)*(1+MIN(Tab_Calculs[[#This Row],[Date_livraison]],Tab_Calculs[[#This Row],[fin mois]])-MAX(Tab_Calculs[[#This Row],[Début mois]],Tab_Calculs[[#This Row],[Début periode livraison]]))</f>
        <v>0</v>
      </c>
      <c r="M1254" s="94" t="e">
        <f ca="1">INDEX(INDIRECT(CONCATENATE("Tab_",Tab_Calculs[[#This Row],[Colonne1]])),Tab_Calculs[[#This Row],[index_date_livraison]]+1,6)*(Tab_Calculs[[#This Row],[fin mois]]-MIN(Tab_Calculs[[#This Row],[fin mois]],Tab_Calculs[[#This Row],[Date_livraison]]))</f>
        <v>#VALUE!</v>
      </c>
      <c r="N1254" s="231" t="str">
        <f ca="1">IFERROR(Tab_Calculs[[#This Row],[Ratio_jour_après_livr]]+Tab_Calculs[[#This Row],[Ratio_jour_avant_livr]]+Tab_Calculs[[#This Row],[ratio_avant_debut]],"")</f>
        <v/>
      </c>
      <c r="O1254" t="e">
        <f ca="1">INDEX(INDIRECT(CONCATENATE("Tab_",Tab_Calculs[[#This Row],[Colonne1]])),Tab_Calculs[[#This Row],[index_date_livraison]]-1,7)*(MAX(Tab_Calculs[[#This Row],[Début periode livraison]],Tab_Calculs[[#This Row],[Début mois]])-Tab_Calculs[[#This Row],[Début mois]])</f>
        <v>#VALUE!</v>
      </c>
      <c r="P1254">
        <f ca="1">INDEX(INDIRECT(CONCATENATE("Tab_",Tab_Calculs[[#This Row],[Colonne1]])),Tab_Calculs[[#This Row],[index_date_livraison]],7)*(1+MIN(Tab_Calculs[[#This Row],[Date_livraison]],Tab_Calculs[[#This Row],[fin mois]])-MAX(Tab_Calculs[[#This Row],[Début mois]],Tab_Calculs[[#This Row],[Début periode livraison]]))</f>
        <v>0</v>
      </c>
      <c r="Q1254" t="e">
        <f ca="1">INDEX(INDIRECT(CONCATENATE("Tab_",Tab_Calculs[[#This Row],[Colonne1]])),Tab_Calculs[[#This Row],[index_date_livraison]]+1,7)*(Tab_Calculs[[#This Row],[fin mois]]-MIN(Tab_Calculs[[#This Row],[fin mois]],Tab_Calculs[[#This Row],[Date_livraison]]))</f>
        <v>#VALUE!</v>
      </c>
      <c r="R1254" t="e">
        <f ca="1">Tab_Calculs[[#This Row],[Ratio_Cout_après_livr]]+Tab_Calculs[[#This Row],[Ratio_Cout_avant_livr]]+Tab_Calculs[[#This Row],[Ratio_Cout_avant_debut]]</f>
        <v>#VALUE!</v>
      </c>
      <c r="S1254" t="str">
        <f ca="1">IFERROR(N1254*VLOOKUP(Tab_Calculs[[#This Row],[Colonne1]],Controle_des_données!$B$7:$G$14,6,FALSE),"")</f>
        <v/>
      </c>
      <c r="T1254" t="str">
        <f ca="1">IF(Tab_Calculs[[#This Row],[Combustible ]]="Electricité (kWh)",Tab_Calculs[[#This Row],[Conso_mois_kWh]]*2.3,Tab_Calculs[[#This Row],[Conso_mois_kWh]])</f>
        <v/>
      </c>
      <c r="U1254" t="str">
        <f ca="1">IFERROR(N1254*VLOOKUP(Tab_Calculs[[#This Row],[Colonne1]],Controle_des_données!$B$7:$H$14,7,FALSE),"")</f>
        <v/>
      </c>
      <c r="V1254">
        <f ca="1">IFERROR(Tab_Calculs[[#This Row],[Cout_mois]]/Tab_Calculs[[#This Row],[Conso_mois_kWh]],0)</f>
        <v>0</v>
      </c>
      <c r="W1254" t="str">
        <f>T(VLOOKUP(Tab_Calculs[[#This Row],[Compteur]],Site!$B$33:$G$40,3,FALSE))</f>
        <v/>
      </c>
      <c r="X1254" t="str">
        <f>T(VLOOKUP(Tab_Calculs[[#This Row],[Compteur]],Site!$B$33:$G$40,4,FALSE))</f>
        <v/>
      </c>
      <c r="Y1254" t="str">
        <f>T(VLOOKUP(Tab_Calculs[[#This Row],[Compteur]],Site!$B$33:$G$40,5,FALSE))</f>
        <v/>
      </c>
      <c r="Z1254" t="str">
        <f>T(VLOOKUP(Tab_Calculs[[#This Row],[Compteur]],Site!$B$33:$G$40,6,FALSE))</f>
        <v/>
      </c>
      <c r="AA1254">
        <f>IFERROR(GETPIVOTDATA("DJU(chauffagiste)",BDD_DJU!$P$13,"annee",Tab_Calculs[[#This Row],[ANNEE]],"mois_numero",Tab_Calculs[[#This Row],[MOIS]]),0)</f>
        <v>126.4</v>
      </c>
    </row>
    <row r="1255" spans="1:27" x14ac:dyDescent="0.25">
      <c r="A1255" s="3">
        <f>DATE(Tab_Calculs[[#This Row],[ANNEE]],Tab_Calculs[[#This Row],[MOIS]],1)</f>
        <v>43040</v>
      </c>
      <c r="B1255" s="3">
        <f>EDATE(Tab_Calculs[[#This Row],[Début mois]],1)-1</f>
        <v>43069</v>
      </c>
      <c r="C1255">
        <f t="shared" si="43"/>
        <v>11</v>
      </c>
      <c r="D1255">
        <f t="shared" si="42"/>
        <v>2017</v>
      </c>
      <c r="E1255" t="s">
        <v>86</v>
      </c>
      <c r="F1255" t="str">
        <f>SUBSTITUTE(Tab_Calculs[[#This Row],[Compteur]]," ","_")</f>
        <v>Compteur_7</v>
      </c>
      <c r="G1255" t="str">
        <f>T(INDEX(Site!$B$33:$G$40, MATCH(Tab_Calculs[[#This Row],[Compteur]], Site!$B$33:$B$40,0),2))</f>
        <v/>
      </c>
      <c r="H1255" s="3">
        <f t="array" aca="1" ref="H1255" ca="1">MIN(IF(INDIRECT(CONCATENATE(Tab_Calculs[[#This Row],[Colonne1]],"!$B$2:$B$243"))&gt;=Calculs_Consos!$A1255,INDIRECT(CONCATENATE(Tab_Calculs[[#This Row],[Colonne1]],"!$B$2:$B$243"))))</f>
        <v>0</v>
      </c>
      <c r="I1255" s="3">
        <f ca="1">INDEX(INDIRECT(CONCATENATE("Tab_",Tab_Calculs[[#This Row],[Colonne1]])),Tab_Calculs[[#This Row],[index_date_livraison]],1)</f>
        <v>0</v>
      </c>
      <c r="J1255">
        <f ca="1">MATCH(Tab_Calculs[[#This Row],[Date_livraison]],INDIRECT(CONCATENATE("Tab_",Tab_Calculs[[#This Row],[Colonne1]],"[Fin de période]")),0)</f>
        <v>1</v>
      </c>
      <c r="K1255" t="e">
        <f ca="1">INDEX(INDIRECT(CONCATENATE("Tab_",Tab_Calculs[[#This Row],[Colonne1]])),Tab_Calculs[[#This Row],[index_date_livraison]]-1,6)*(MAX(Tab_Calculs[[#This Row],[Début periode livraison]],Tab_Calculs[[#This Row],[Début mois]])-Tab_Calculs[[#This Row],[Début mois]])</f>
        <v>#VALUE!</v>
      </c>
      <c r="L1255" s="94">
        <f ca="1">INDEX(INDIRECT(CONCATENATE("Tab_",Tab_Calculs[[#This Row],[Colonne1]])),Tab_Calculs[[#This Row],[index_date_livraison]],6)*(1+MIN(Tab_Calculs[[#This Row],[Date_livraison]],Tab_Calculs[[#This Row],[fin mois]])-MAX(Tab_Calculs[[#This Row],[Début mois]],Tab_Calculs[[#This Row],[Début periode livraison]]))</f>
        <v>0</v>
      </c>
      <c r="M1255" s="94" t="e">
        <f ca="1">INDEX(INDIRECT(CONCATENATE("Tab_",Tab_Calculs[[#This Row],[Colonne1]])),Tab_Calculs[[#This Row],[index_date_livraison]]+1,6)*(Tab_Calculs[[#This Row],[fin mois]]-MIN(Tab_Calculs[[#This Row],[fin mois]],Tab_Calculs[[#This Row],[Date_livraison]]))</f>
        <v>#VALUE!</v>
      </c>
      <c r="N1255" s="231" t="str">
        <f ca="1">IFERROR(Tab_Calculs[[#This Row],[Ratio_jour_après_livr]]+Tab_Calculs[[#This Row],[Ratio_jour_avant_livr]]+Tab_Calculs[[#This Row],[ratio_avant_debut]],"")</f>
        <v/>
      </c>
      <c r="O1255" t="e">
        <f ca="1">INDEX(INDIRECT(CONCATENATE("Tab_",Tab_Calculs[[#This Row],[Colonne1]])),Tab_Calculs[[#This Row],[index_date_livraison]]-1,7)*(MAX(Tab_Calculs[[#This Row],[Début periode livraison]],Tab_Calculs[[#This Row],[Début mois]])-Tab_Calculs[[#This Row],[Début mois]])</f>
        <v>#VALUE!</v>
      </c>
      <c r="P1255">
        <f ca="1">INDEX(INDIRECT(CONCATENATE("Tab_",Tab_Calculs[[#This Row],[Colonne1]])),Tab_Calculs[[#This Row],[index_date_livraison]],7)*(1+MIN(Tab_Calculs[[#This Row],[Date_livraison]],Tab_Calculs[[#This Row],[fin mois]])-MAX(Tab_Calculs[[#This Row],[Début mois]],Tab_Calculs[[#This Row],[Début periode livraison]]))</f>
        <v>0</v>
      </c>
      <c r="Q1255" t="e">
        <f ca="1">INDEX(INDIRECT(CONCATENATE("Tab_",Tab_Calculs[[#This Row],[Colonne1]])),Tab_Calculs[[#This Row],[index_date_livraison]]+1,7)*(Tab_Calculs[[#This Row],[fin mois]]-MIN(Tab_Calculs[[#This Row],[fin mois]],Tab_Calculs[[#This Row],[Date_livraison]]))</f>
        <v>#VALUE!</v>
      </c>
      <c r="R1255" t="e">
        <f ca="1">Tab_Calculs[[#This Row],[Ratio_Cout_après_livr]]+Tab_Calculs[[#This Row],[Ratio_Cout_avant_livr]]+Tab_Calculs[[#This Row],[Ratio_Cout_avant_debut]]</f>
        <v>#VALUE!</v>
      </c>
      <c r="S1255" t="str">
        <f ca="1">IFERROR(N1255*VLOOKUP(Tab_Calculs[[#This Row],[Colonne1]],Controle_des_données!$B$7:$G$14,6,FALSE),"")</f>
        <v/>
      </c>
      <c r="T1255" t="str">
        <f ca="1">IF(Tab_Calculs[[#This Row],[Combustible ]]="Electricité (kWh)",Tab_Calculs[[#This Row],[Conso_mois_kWh]]*2.3,Tab_Calculs[[#This Row],[Conso_mois_kWh]])</f>
        <v/>
      </c>
      <c r="U1255" t="str">
        <f ca="1">IFERROR(N1255*VLOOKUP(Tab_Calculs[[#This Row],[Colonne1]],Controle_des_données!$B$7:$H$14,7,FALSE),"")</f>
        <v/>
      </c>
      <c r="V1255">
        <f ca="1">IFERROR(Tab_Calculs[[#This Row],[Cout_mois]]/Tab_Calculs[[#This Row],[Conso_mois_kWh]],0)</f>
        <v>0</v>
      </c>
      <c r="W1255" t="str">
        <f>T(VLOOKUP(Tab_Calculs[[#This Row],[Compteur]],Site!$B$33:$G$40,3,FALSE))</f>
        <v/>
      </c>
      <c r="X1255" t="str">
        <f>T(VLOOKUP(Tab_Calculs[[#This Row],[Compteur]],Site!$B$33:$G$40,4,FALSE))</f>
        <v/>
      </c>
      <c r="Y1255" t="str">
        <f>T(VLOOKUP(Tab_Calculs[[#This Row],[Compteur]],Site!$B$33:$G$40,5,FALSE))</f>
        <v/>
      </c>
      <c r="Z1255" t="str">
        <f>T(VLOOKUP(Tab_Calculs[[#This Row],[Compteur]],Site!$B$33:$G$40,6,FALSE))</f>
        <v/>
      </c>
      <c r="AA1255">
        <f>IFERROR(GETPIVOTDATA("DJU(chauffagiste)",BDD_DJU!$P$13,"annee",Tab_Calculs[[#This Row],[ANNEE]],"mois_numero",Tab_Calculs[[#This Row],[MOIS]]),0)</f>
        <v>289.89999999999998</v>
      </c>
    </row>
    <row r="1256" spans="1:27" x14ac:dyDescent="0.25">
      <c r="A1256" s="3">
        <f>DATE(Tab_Calculs[[#This Row],[ANNEE]],Tab_Calculs[[#This Row],[MOIS]],1)</f>
        <v>43070</v>
      </c>
      <c r="B1256" s="3">
        <f>EDATE(Tab_Calculs[[#This Row],[Début mois]],1)-1</f>
        <v>43100</v>
      </c>
      <c r="C1256">
        <f t="shared" si="43"/>
        <v>12</v>
      </c>
      <c r="D1256">
        <f t="shared" si="42"/>
        <v>2017</v>
      </c>
      <c r="E1256" t="s">
        <v>86</v>
      </c>
      <c r="F1256" t="str">
        <f>SUBSTITUTE(Tab_Calculs[[#This Row],[Compteur]]," ","_")</f>
        <v>Compteur_7</v>
      </c>
      <c r="G1256" t="str">
        <f>T(INDEX(Site!$B$33:$G$40, MATCH(Tab_Calculs[[#This Row],[Compteur]], Site!$B$33:$B$40,0),2))</f>
        <v/>
      </c>
      <c r="H1256" s="3">
        <f t="array" aca="1" ref="H1256" ca="1">MIN(IF(INDIRECT(CONCATENATE(Tab_Calculs[[#This Row],[Colonne1]],"!$B$2:$B$243"))&gt;=Calculs_Consos!$A1256,INDIRECT(CONCATENATE(Tab_Calculs[[#This Row],[Colonne1]],"!$B$2:$B$243"))))</f>
        <v>0</v>
      </c>
      <c r="I1256" s="3">
        <f ca="1">INDEX(INDIRECT(CONCATENATE("Tab_",Tab_Calculs[[#This Row],[Colonne1]])),Tab_Calculs[[#This Row],[index_date_livraison]],1)</f>
        <v>0</v>
      </c>
      <c r="J1256">
        <f ca="1">MATCH(Tab_Calculs[[#This Row],[Date_livraison]],INDIRECT(CONCATENATE("Tab_",Tab_Calculs[[#This Row],[Colonne1]],"[Fin de période]")),0)</f>
        <v>1</v>
      </c>
      <c r="K1256" t="e">
        <f ca="1">INDEX(INDIRECT(CONCATENATE("Tab_",Tab_Calculs[[#This Row],[Colonne1]])),Tab_Calculs[[#This Row],[index_date_livraison]]-1,6)*(MAX(Tab_Calculs[[#This Row],[Début periode livraison]],Tab_Calculs[[#This Row],[Début mois]])-Tab_Calculs[[#This Row],[Début mois]])</f>
        <v>#VALUE!</v>
      </c>
      <c r="L1256" s="94">
        <f ca="1">INDEX(INDIRECT(CONCATENATE("Tab_",Tab_Calculs[[#This Row],[Colonne1]])),Tab_Calculs[[#This Row],[index_date_livraison]],6)*(1+MIN(Tab_Calculs[[#This Row],[Date_livraison]],Tab_Calculs[[#This Row],[fin mois]])-MAX(Tab_Calculs[[#This Row],[Début mois]],Tab_Calculs[[#This Row],[Début periode livraison]]))</f>
        <v>0</v>
      </c>
      <c r="M1256" s="94" t="e">
        <f ca="1">INDEX(INDIRECT(CONCATENATE("Tab_",Tab_Calculs[[#This Row],[Colonne1]])),Tab_Calculs[[#This Row],[index_date_livraison]]+1,6)*(Tab_Calculs[[#This Row],[fin mois]]-MIN(Tab_Calculs[[#This Row],[fin mois]],Tab_Calculs[[#This Row],[Date_livraison]]))</f>
        <v>#VALUE!</v>
      </c>
      <c r="N1256" s="231" t="str">
        <f ca="1">IFERROR(Tab_Calculs[[#This Row],[Ratio_jour_après_livr]]+Tab_Calculs[[#This Row],[Ratio_jour_avant_livr]]+Tab_Calculs[[#This Row],[ratio_avant_debut]],"")</f>
        <v/>
      </c>
      <c r="O1256" t="e">
        <f ca="1">INDEX(INDIRECT(CONCATENATE("Tab_",Tab_Calculs[[#This Row],[Colonne1]])),Tab_Calculs[[#This Row],[index_date_livraison]]-1,7)*(MAX(Tab_Calculs[[#This Row],[Début periode livraison]],Tab_Calculs[[#This Row],[Début mois]])-Tab_Calculs[[#This Row],[Début mois]])</f>
        <v>#VALUE!</v>
      </c>
      <c r="P1256">
        <f ca="1">INDEX(INDIRECT(CONCATENATE("Tab_",Tab_Calculs[[#This Row],[Colonne1]])),Tab_Calculs[[#This Row],[index_date_livraison]],7)*(1+MIN(Tab_Calculs[[#This Row],[Date_livraison]],Tab_Calculs[[#This Row],[fin mois]])-MAX(Tab_Calculs[[#This Row],[Début mois]],Tab_Calculs[[#This Row],[Début periode livraison]]))</f>
        <v>0</v>
      </c>
      <c r="Q1256" t="e">
        <f ca="1">INDEX(INDIRECT(CONCATENATE("Tab_",Tab_Calculs[[#This Row],[Colonne1]])),Tab_Calculs[[#This Row],[index_date_livraison]]+1,7)*(Tab_Calculs[[#This Row],[fin mois]]-MIN(Tab_Calculs[[#This Row],[fin mois]],Tab_Calculs[[#This Row],[Date_livraison]]))</f>
        <v>#VALUE!</v>
      </c>
      <c r="R1256" t="e">
        <f ca="1">Tab_Calculs[[#This Row],[Ratio_Cout_après_livr]]+Tab_Calculs[[#This Row],[Ratio_Cout_avant_livr]]+Tab_Calculs[[#This Row],[Ratio_Cout_avant_debut]]</f>
        <v>#VALUE!</v>
      </c>
      <c r="S1256" t="str">
        <f ca="1">IFERROR(N1256*VLOOKUP(Tab_Calculs[[#This Row],[Colonne1]],Controle_des_données!$B$7:$G$14,6,FALSE),"")</f>
        <v/>
      </c>
      <c r="T1256" t="str">
        <f ca="1">IF(Tab_Calculs[[#This Row],[Combustible ]]="Electricité (kWh)",Tab_Calculs[[#This Row],[Conso_mois_kWh]]*2.3,Tab_Calculs[[#This Row],[Conso_mois_kWh]])</f>
        <v/>
      </c>
      <c r="U1256" t="str">
        <f ca="1">IFERROR(N1256*VLOOKUP(Tab_Calculs[[#This Row],[Colonne1]],Controle_des_données!$B$7:$H$14,7,FALSE),"")</f>
        <v/>
      </c>
      <c r="V1256">
        <f ca="1">IFERROR(Tab_Calculs[[#This Row],[Cout_mois]]/Tab_Calculs[[#This Row],[Conso_mois_kWh]],0)</f>
        <v>0</v>
      </c>
      <c r="W1256" t="str">
        <f>T(VLOOKUP(Tab_Calculs[[#This Row],[Compteur]],Site!$B$33:$G$40,3,FALSE))</f>
        <v/>
      </c>
      <c r="X1256" t="str">
        <f>T(VLOOKUP(Tab_Calculs[[#This Row],[Compteur]],Site!$B$33:$G$40,4,FALSE))</f>
        <v/>
      </c>
      <c r="Y1256" t="str">
        <f>T(VLOOKUP(Tab_Calculs[[#This Row],[Compteur]],Site!$B$33:$G$40,5,FALSE))</f>
        <v/>
      </c>
      <c r="Z1256" t="str">
        <f>T(VLOOKUP(Tab_Calculs[[#This Row],[Compteur]],Site!$B$33:$G$40,6,FALSE))</f>
        <v/>
      </c>
      <c r="AA1256">
        <f>IFERROR(GETPIVOTDATA("DJU(chauffagiste)",BDD_DJU!$P$13,"annee",Tab_Calculs[[#This Row],[ANNEE]],"mois_numero",Tab_Calculs[[#This Row],[MOIS]]),0)</f>
        <v>366.2</v>
      </c>
    </row>
    <row r="1257" spans="1:27" x14ac:dyDescent="0.25">
      <c r="A1257" s="3">
        <f>DATE(Tab_Calculs[[#This Row],[ANNEE]],Tab_Calculs[[#This Row],[MOIS]],1)</f>
        <v>43101</v>
      </c>
      <c r="B1257" s="3">
        <f>EDATE(Tab_Calculs[[#This Row],[Début mois]],1)-1</f>
        <v>43131</v>
      </c>
      <c r="C1257">
        <f t="shared" si="43"/>
        <v>1</v>
      </c>
      <c r="D1257">
        <f t="shared" si="42"/>
        <v>2018</v>
      </c>
      <c r="E1257" t="s">
        <v>86</v>
      </c>
      <c r="F1257" t="str">
        <f>SUBSTITUTE(Tab_Calculs[[#This Row],[Compteur]]," ","_")</f>
        <v>Compteur_7</v>
      </c>
      <c r="G1257" t="str">
        <f>T(INDEX(Site!$B$33:$G$40, MATCH(Tab_Calculs[[#This Row],[Compteur]], Site!$B$33:$B$40,0),2))</f>
        <v/>
      </c>
      <c r="H1257" s="3">
        <f t="array" aca="1" ref="H1257" ca="1">MIN(IF(INDIRECT(CONCATENATE(Tab_Calculs[[#This Row],[Colonne1]],"!$B$2:$B$243"))&gt;=Calculs_Consos!$A1257,INDIRECT(CONCATENATE(Tab_Calculs[[#This Row],[Colonne1]],"!$B$2:$B$243"))))</f>
        <v>0</v>
      </c>
      <c r="I1257" s="3">
        <f ca="1">INDEX(INDIRECT(CONCATENATE("Tab_",Tab_Calculs[[#This Row],[Colonne1]])),Tab_Calculs[[#This Row],[index_date_livraison]],1)</f>
        <v>0</v>
      </c>
      <c r="J1257">
        <f ca="1">MATCH(Tab_Calculs[[#This Row],[Date_livraison]],INDIRECT(CONCATENATE("Tab_",Tab_Calculs[[#This Row],[Colonne1]],"[Fin de période]")),0)</f>
        <v>1</v>
      </c>
      <c r="K1257" t="e">
        <f ca="1">INDEX(INDIRECT(CONCATENATE("Tab_",Tab_Calculs[[#This Row],[Colonne1]])),Tab_Calculs[[#This Row],[index_date_livraison]]-1,6)*(MAX(Tab_Calculs[[#This Row],[Début periode livraison]],Tab_Calculs[[#This Row],[Début mois]])-Tab_Calculs[[#This Row],[Début mois]])</f>
        <v>#VALUE!</v>
      </c>
      <c r="L1257" s="94">
        <f ca="1">INDEX(INDIRECT(CONCATENATE("Tab_",Tab_Calculs[[#This Row],[Colonne1]])),Tab_Calculs[[#This Row],[index_date_livraison]],6)*(1+MIN(Tab_Calculs[[#This Row],[Date_livraison]],Tab_Calculs[[#This Row],[fin mois]])-MAX(Tab_Calculs[[#This Row],[Début mois]],Tab_Calculs[[#This Row],[Début periode livraison]]))</f>
        <v>0</v>
      </c>
      <c r="M1257" s="94" t="e">
        <f ca="1">INDEX(INDIRECT(CONCATENATE("Tab_",Tab_Calculs[[#This Row],[Colonne1]])),Tab_Calculs[[#This Row],[index_date_livraison]]+1,6)*(Tab_Calculs[[#This Row],[fin mois]]-MIN(Tab_Calculs[[#This Row],[fin mois]],Tab_Calculs[[#This Row],[Date_livraison]]))</f>
        <v>#VALUE!</v>
      </c>
      <c r="N1257" s="231" t="str">
        <f ca="1">IFERROR(Tab_Calculs[[#This Row],[Ratio_jour_après_livr]]+Tab_Calculs[[#This Row],[Ratio_jour_avant_livr]]+Tab_Calculs[[#This Row],[ratio_avant_debut]],"")</f>
        <v/>
      </c>
      <c r="O1257" t="e">
        <f ca="1">INDEX(INDIRECT(CONCATENATE("Tab_",Tab_Calculs[[#This Row],[Colonne1]])),Tab_Calculs[[#This Row],[index_date_livraison]]-1,7)*(MAX(Tab_Calculs[[#This Row],[Début periode livraison]],Tab_Calculs[[#This Row],[Début mois]])-Tab_Calculs[[#This Row],[Début mois]])</f>
        <v>#VALUE!</v>
      </c>
      <c r="P1257">
        <f ca="1">INDEX(INDIRECT(CONCATENATE("Tab_",Tab_Calculs[[#This Row],[Colonne1]])),Tab_Calculs[[#This Row],[index_date_livraison]],7)*(1+MIN(Tab_Calculs[[#This Row],[Date_livraison]],Tab_Calculs[[#This Row],[fin mois]])-MAX(Tab_Calculs[[#This Row],[Début mois]],Tab_Calculs[[#This Row],[Début periode livraison]]))</f>
        <v>0</v>
      </c>
      <c r="Q1257" t="e">
        <f ca="1">INDEX(INDIRECT(CONCATENATE("Tab_",Tab_Calculs[[#This Row],[Colonne1]])),Tab_Calculs[[#This Row],[index_date_livraison]]+1,7)*(Tab_Calculs[[#This Row],[fin mois]]-MIN(Tab_Calculs[[#This Row],[fin mois]],Tab_Calculs[[#This Row],[Date_livraison]]))</f>
        <v>#VALUE!</v>
      </c>
      <c r="R1257" t="e">
        <f ca="1">Tab_Calculs[[#This Row],[Ratio_Cout_après_livr]]+Tab_Calculs[[#This Row],[Ratio_Cout_avant_livr]]+Tab_Calculs[[#This Row],[Ratio_Cout_avant_debut]]</f>
        <v>#VALUE!</v>
      </c>
      <c r="S1257" t="str">
        <f ca="1">IFERROR(N1257*VLOOKUP(Tab_Calculs[[#This Row],[Colonne1]],Controle_des_données!$B$7:$G$14,6,FALSE),"")</f>
        <v/>
      </c>
      <c r="T1257" t="str">
        <f ca="1">IF(Tab_Calculs[[#This Row],[Combustible ]]="Electricité (kWh)",Tab_Calculs[[#This Row],[Conso_mois_kWh]]*2.3,Tab_Calculs[[#This Row],[Conso_mois_kWh]])</f>
        <v/>
      </c>
      <c r="U1257" t="str">
        <f ca="1">IFERROR(N1257*VLOOKUP(Tab_Calculs[[#This Row],[Colonne1]],Controle_des_données!$B$7:$H$14,7,FALSE),"")</f>
        <v/>
      </c>
      <c r="V1257">
        <f ca="1">IFERROR(Tab_Calculs[[#This Row],[Cout_mois]]/Tab_Calculs[[#This Row],[Conso_mois_kWh]],0)</f>
        <v>0</v>
      </c>
      <c r="W1257" t="str">
        <f>T(VLOOKUP(Tab_Calculs[[#This Row],[Compteur]],Site!$B$33:$G$40,3,FALSE))</f>
        <v/>
      </c>
      <c r="X1257" t="str">
        <f>T(VLOOKUP(Tab_Calculs[[#This Row],[Compteur]],Site!$B$33:$G$40,4,FALSE))</f>
        <v/>
      </c>
      <c r="Y1257" t="str">
        <f>T(VLOOKUP(Tab_Calculs[[#This Row],[Compteur]],Site!$B$33:$G$40,5,FALSE))</f>
        <v/>
      </c>
      <c r="Z1257" t="str">
        <f>T(VLOOKUP(Tab_Calculs[[#This Row],[Compteur]],Site!$B$33:$G$40,6,FALSE))</f>
        <v/>
      </c>
      <c r="AA1257">
        <f>IFERROR(GETPIVOTDATA("DJU(chauffagiste)",BDD_DJU!$P$13,"annee",Tab_Calculs[[#This Row],[ANNEE]],"mois_numero",Tab_Calculs[[#This Row],[MOIS]]),0)</f>
        <v>298.60000000000002</v>
      </c>
    </row>
    <row r="1258" spans="1:27" x14ac:dyDescent="0.25">
      <c r="A1258" s="3">
        <f>DATE(Tab_Calculs[[#This Row],[ANNEE]],Tab_Calculs[[#This Row],[MOIS]],1)</f>
        <v>43132</v>
      </c>
      <c r="B1258" s="3">
        <f>EDATE(Tab_Calculs[[#This Row],[Début mois]],1)-1</f>
        <v>43159</v>
      </c>
      <c r="C1258">
        <f t="shared" si="43"/>
        <v>2</v>
      </c>
      <c r="D1258">
        <f t="shared" si="42"/>
        <v>2018</v>
      </c>
      <c r="E1258" t="s">
        <v>86</v>
      </c>
      <c r="F1258" t="str">
        <f>SUBSTITUTE(Tab_Calculs[[#This Row],[Compteur]]," ","_")</f>
        <v>Compteur_7</v>
      </c>
      <c r="G1258" t="str">
        <f>T(INDEX(Site!$B$33:$G$40, MATCH(Tab_Calculs[[#This Row],[Compteur]], Site!$B$33:$B$40,0),2))</f>
        <v/>
      </c>
      <c r="H1258" s="3">
        <f t="array" aca="1" ref="H1258" ca="1">MIN(IF(INDIRECT(CONCATENATE(Tab_Calculs[[#This Row],[Colonne1]],"!$B$2:$B$243"))&gt;=Calculs_Consos!$A1258,INDIRECT(CONCATENATE(Tab_Calculs[[#This Row],[Colonne1]],"!$B$2:$B$243"))))</f>
        <v>0</v>
      </c>
      <c r="I1258" s="3">
        <f ca="1">INDEX(INDIRECT(CONCATENATE("Tab_",Tab_Calculs[[#This Row],[Colonne1]])),Tab_Calculs[[#This Row],[index_date_livraison]],1)</f>
        <v>0</v>
      </c>
      <c r="J1258">
        <f ca="1">MATCH(Tab_Calculs[[#This Row],[Date_livraison]],INDIRECT(CONCATENATE("Tab_",Tab_Calculs[[#This Row],[Colonne1]],"[Fin de période]")),0)</f>
        <v>1</v>
      </c>
      <c r="K1258" t="e">
        <f ca="1">INDEX(INDIRECT(CONCATENATE("Tab_",Tab_Calculs[[#This Row],[Colonne1]])),Tab_Calculs[[#This Row],[index_date_livraison]]-1,6)*(MAX(Tab_Calculs[[#This Row],[Début periode livraison]],Tab_Calculs[[#This Row],[Début mois]])-Tab_Calculs[[#This Row],[Début mois]])</f>
        <v>#VALUE!</v>
      </c>
      <c r="L1258" s="94">
        <f ca="1">INDEX(INDIRECT(CONCATENATE("Tab_",Tab_Calculs[[#This Row],[Colonne1]])),Tab_Calculs[[#This Row],[index_date_livraison]],6)*(1+MIN(Tab_Calculs[[#This Row],[Date_livraison]],Tab_Calculs[[#This Row],[fin mois]])-MAX(Tab_Calculs[[#This Row],[Début mois]],Tab_Calculs[[#This Row],[Début periode livraison]]))</f>
        <v>0</v>
      </c>
      <c r="M1258" s="94" t="e">
        <f ca="1">INDEX(INDIRECT(CONCATENATE("Tab_",Tab_Calculs[[#This Row],[Colonne1]])),Tab_Calculs[[#This Row],[index_date_livraison]]+1,6)*(Tab_Calculs[[#This Row],[fin mois]]-MIN(Tab_Calculs[[#This Row],[fin mois]],Tab_Calculs[[#This Row],[Date_livraison]]))</f>
        <v>#VALUE!</v>
      </c>
      <c r="N1258" s="231" t="str">
        <f ca="1">IFERROR(Tab_Calculs[[#This Row],[Ratio_jour_après_livr]]+Tab_Calculs[[#This Row],[Ratio_jour_avant_livr]]+Tab_Calculs[[#This Row],[ratio_avant_debut]],"")</f>
        <v/>
      </c>
      <c r="O1258" t="e">
        <f ca="1">INDEX(INDIRECT(CONCATENATE("Tab_",Tab_Calculs[[#This Row],[Colonne1]])),Tab_Calculs[[#This Row],[index_date_livraison]]-1,7)*(MAX(Tab_Calculs[[#This Row],[Début periode livraison]],Tab_Calculs[[#This Row],[Début mois]])-Tab_Calculs[[#This Row],[Début mois]])</f>
        <v>#VALUE!</v>
      </c>
      <c r="P1258">
        <f ca="1">INDEX(INDIRECT(CONCATENATE("Tab_",Tab_Calculs[[#This Row],[Colonne1]])),Tab_Calculs[[#This Row],[index_date_livraison]],7)*(1+MIN(Tab_Calculs[[#This Row],[Date_livraison]],Tab_Calculs[[#This Row],[fin mois]])-MAX(Tab_Calculs[[#This Row],[Début mois]],Tab_Calculs[[#This Row],[Début periode livraison]]))</f>
        <v>0</v>
      </c>
      <c r="Q1258" t="e">
        <f ca="1">INDEX(INDIRECT(CONCATENATE("Tab_",Tab_Calculs[[#This Row],[Colonne1]])),Tab_Calculs[[#This Row],[index_date_livraison]]+1,7)*(Tab_Calculs[[#This Row],[fin mois]]-MIN(Tab_Calculs[[#This Row],[fin mois]],Tab_Calculs[[#This Row],[Date_livraison]]))</f>
        <v>#VALUE!</v>
      </c>
      <c r="R1258" t="e">
        <f ca="1">Tab_Calculs[[#This Row],[Ratio_Cout_après_livr]]+Tab_Calculs[[#This Row],[Ratio_Cout_avant_livr]]+Tab_Calculs[[#This Row],[Ratio_Cout_avant_debut]]</f>
        <v>#VALUE!</v>
      </c>
      <c r="S1258" t="str">
        <f ca="1">IFERROR(N1258*VLOOKUP(Tab_Calculs[[#This Row],[Colonne1]],Controle_des_données!$B$7:$G$14,6,FALSE),"")</f>
        <v/>
      </c>
      <c r="T1258" t="str">
        <f ca="1">IF(Tab_Calculs[[#This Row],[Combustible ]]="Electricité (kWh)",Tab_Calculs[[#This Row],[Conso_mois_kWh]]*2.3,Tab_Calculs[[#This Row],[Conso_mois_kWh]])</f>
        <v/>
      </c>
      <c r="U1258" t="str">
        <f ca="1">IFERROR(N1258*VLOOKUP(Tab_Calculs[[#This Row],[Colonne1]],Controle_des_données!$B$7:$H$14,7,FALSE),"")</f>
        <v/>
      </c>
      <c r="V1258">
        <f ca="1">IFERROR(Tab_Calculs[[#This Row],[Cout_mois]]/Tab_Calculs[[#This Row],[Conso_mois_kWh]],0)</f>
        <v>0</v>
      </c>
      <c r="W1258" t="str">
        <f>T(VLOOKUP(Tab_Calculs[[#This Row],[Compteur]],Site!$B$33:$G$40,3,FALSE))</f>
        <v/>
      </c>
      <c r="X1258" t="str">
        <f>T(VLOOKUP(Tab_Calculs[[#This Row],[Compteur]],Site!$B$33:$G$40,4,FALSE))</f>
        <v/>
      </c>
      <c r="Y1258" t="str">
        <f>T(VLOOKUP(Tab_Calculs[[#This Row],[Compteur]],Site!$B$33:$G$40,5,FALSE))</f>
        <v/>
      </c>
      <c r="Z1258" t="str">
        <f>T(VLOOKUP(Tab_Calculs[[#This Row],[Compteur]],Site!$B$33:$G$40,6,FALSE))</f>
        <v/>
      </c>
      <c r="AA1258">
        <f>IFERROR(GETPIVOTDATA("DJU(chauffagiste)",BDD_DJU!$P$13,"annee",Tab_Calculs[[#This Row],[ANNEE]],"mois_numero",Tab_Calculs[[#This Row],[MOIS]]),0)</f>
        <v>415.2</v>
      </c>
    </row>
    <row r="1259" spans="1:27" x14ac:dyDescent="0.25">
      <c r="A1259" s="3">
        <f>DATE(Tab_Calculs[[#This Row],[ANNEE]],Tab_Calculs[[#This Row],[MOIS]],1)</f>
        <v>43160</v>
      </c>
      <c r="B1259" s="3">
        <f>EDATE(Tab_Calculs[[#This Row],[Début mois]],1)-1</f>
        <v>43190</v>
      </c>
      <c r="C1259">
        <f t="shared" si="43"/>
        <v>3</v>
      </c>
      <c r="D1259">
        <f t="shared" si="42"/>
        <v>2018</v>
      </c>
      <c r="E1259" t="s">
        <v>86</v>
      </c>
      <c r="F1259" t="str">
        <f>SUBSTITUTE(Tab_Calculs[[#This Row],[Compteur]]," ","_")</f>
        <v>Compteur_7</v>
      </c>
      <c r="G1259" t="str">
        <f>T(INDEX(Site!$B$33:$G$40, MATCH(Tab_Calculs[[#This Row],[Compteur]], Site!$B$33:$B$40,0),2))</f>
        <v/>
      </c>
      <c r="H1259" s="3">
        <f t="array" aca="1" ref="H1259" ca="1">MIN(IF(INDIRECT(CONCATENATE(Tab_Calculs[[#This Row],[Colonne1]],"!$B$2:$B$243"))&gt;=Calculs_Consos!$A1259,INDIRECT(CONCATENATE(Tab_Calculs[[#This Row],[Colonne1]],"!$B$2:$B$243"))))</f>
        <v>0</v>
      </c>
      <c r="I1259" s="3">
        <f ca="1">INDEX(INDIRECT(CONCATENATE("Tab_",Tab_Calculs[[#This Row],[Colonne1]])),Tab_Calculs[[#This Row],[index_date_livraison]],1)</f>
        <v>0</v>
      </c>
      <c r="J1259">
        <f ca="1">MATCH(Tab_Calculs[[#This Row],[Date_livraison]],INDIRECT(CONCATENATE("Tab_",Tab_Calculs[[#This Row],[Colonne1]],"[Fin de période]")),0)</f>
        <v>1</v>
      </c>
      <c r="K1259" t="e">
        <f ca="1">INDEX(INDIRECT(CONCATENATE("Tab_",Tab_Calculs[[#This Row],[Colonne1]])),Tab_Calculs[[#This Row],[index_date_livraison]]-1,6)*(MAX(Tab_Calculs[[#This Row],[Début periode livraison]],Tab_Calculs[[#This Row],[Début mois]])-Tab_Calculs[[#This Row],[Début mois]])</f>
        <v>#VALUE!</v>
      </c>
      <c r="L1259" s="94">
        <f ca="1">INDEX(INDIRECT(CONCATENATE("Tab_",Tab_Calculs[[#This Row],[Colonne1]])),Tab_Calculs[[#This Row],[index_date_livraison]],6)*(1+MIN(Tab_Calculs[[#This Row],[Date_livraison]],Tab_Calculs[[#This Row],[fin mois]])-MAX(Tab_Calculs[[#This Row],[Début mois]],Tab_Calculs[[#This Row],[Début periode livraison]]))</f>
        <v>0</v>
      </c>
      <c r="M1259" s="94" t="e">
        <f ca="1">INDEX(INDIRECT(CONCATENATE("Tab_",Tab_Calculs[[#This Row],[Colonne1]])),Tab_Calculs[[#This Row],[index_date_livraison]]+1,6)*(Tab_Calculs[[#This Row],[fin mois]]-MIN(Tab_Calculs[[#This Row],[fin mois]],Tab_Calculs[[#This Row],[Date_livraison]]))</f>
        <v>#VALUE!</v>
      </c>
      <c r="N1259" s="231" t="str">
        <f ca="1">IFERROR(Tab_Calculs[[#This Row],[Ratio_jour_après_livr]]+Tab_Calculs[[#This Row],[Ratio_jour_avant_livr]]+Tab_Calculs[[#This Row],[ratio_avant_debut]],"")</f>
        <v/>
      </c>
      <c r="O1259" t="e">
        <f ca="1">INDEX(INDIRECT(CONCATENATE("Tab_",Tab_Calculs[[#This Row],[Colonne1]])),Tab_Calculs[[#This Row],[index_date_livraison]]-1,7)*(MAX(Tab_Calculs[[#This Row],[Début periode livraison]],Tab_Calculs[[#This Row],[Début mois]])-Tab_Calculs[[#This Row],[Début mois]])</f>
        <v>#VALUE!</v>
      </c>
      <c r="P1259">
        <f ca="1">INDEX(INDIRECT(CONCATENATE("Tab_",Tab_Calculs[[#This Row],[Colonne1]])),Tab_Calculs[[#This Row],[index_date_livraison]],7)*(1+MIN(Tab_Calculs[[#This Row],[Date_livraison]],Tab_Calculs[[#This Row],[fin mois]])-MAX(Tab_Calculs[[#This Row],[Début mois]],Tab_Calculs[[#This Row],[Début periode livraison]]))</f>
        <v>0</v>
      </c>
      <c r="Q1259" t="e">
        <f ca="1">INDEX(INDIRECT(CONCATENATE("Tab_",Tab_Calculs[[#This Row],[Colonne1]])),Tab_Calculs[[#This Row],[index_date_livraison]]+1,7)*(Tab_Calculs[[#This Row],[fin mois]]-MIN(Tab_Calculs[[#This Row],[fin mois]],Tab_Calculs[[#This Row],[Date_livraison]]))</f>
        <v>#VALUE!</v>
      </c>
      <c r="R1259" t="e">
        <f ca="1">Tab_Calculs[[#This Row],[Ratio_Cout_après_livr]]+Tab_Calculs[[#This Row],[Ratio_Cout_avant_livr]]+Tab_Calculs[[#This Row],[Ratio_Cout_avant_debut]]</f>
        <v>#VALUE!</v>
      </c>
      <c r="S1259" t="str">
        <f ca="1">IFERROR(N1259*VLOOKUP(Tab_Calculs[[#This Row],[Colonne1]],Controle_des_données!$B$7:$G$14,6,FALSE),"")</f>
        <v/>
      </c>
      <c r="T1259" t="str">
        <f ca="1">IF(Tab_Calculs[[#This Row],[Combustible ]]="Electricité (kWh)",Tab_Calculs[[#This Row],[Conso_mois_kWh]]*2.3,Tab_Calculs[[#This Row],[Conso_mois_kWh]])</f>
        <v/>
      </c>
      <c r="U1259" t="str">
        <f ca="1">IFERROR(N1259*VLOOKUP(Tab_Calculs[[#This Row],[Colonne1]],Controle_des_données!$B$7:$H$14,7,FALSE),"")</f>
        <v/>
      </c>
      <c r="V1259">
        <f ca="1">IFERROR(Tab_Calculs[[#This Row],[Cout_mois]]/Tab_Calculs[[#This Row],[Conso_mois_kWh]],0)</f>
        <v>0</v>
      </c>
      <c r="W1259" t="str">
        <f>T(VLOOKUP(Tab_Calculs[[#This Row],[Compteur]],Site!$B$33:$G$40,3,FALSE))</f>
        <v/>
      </c>
      <c r="X1259" t="str">
        <f>T(VLOOKUP(Tab_Calculs[[#This Row],[Compteur]],Site!$B$33:$G$40,4,FALSE))</f>
        <v/>
      </c>
      <c r="Y1259" t="str">
        <f>T(VLOOKUP(Tab_Calculs[[#This Row],[Compteur]],Site!$B$33:$G$40,5,FALSE))</f>
        <v/>
      </c>
      <c r="Z1259" t="str">
        <f>T(VLOOKUP(Tab_Calculs[[#This Row],[Compteur]],Site!$B$33:$G$40,6,FALSE))</f>
        <v/>
      </c>
      <c r="AA1259">
        <f>IFERROR(GETPIVOTDATA("DJU(chauffagiste)",BDD_DJU!$P$13,"annee",Tab_Calculs[[#This Row],[ANNEE]],"mois_numero",Tab_Calculs[[#This Row],[MOIS]]),0)</f>
        <v>305.39999999999998</v>
      </c>
    </row>
    <row r="1260" spans="1:27" x14ac:dyDescent="0.25">
      <c r="A1260" s="3">
        <f>DATE(Tab_Calculs[[#This Row],[ANNEE]],Tab_Calculs[[#This Row],[MOIS]],1)</f>
        <v>43191</v>
      </c>
      <c r="B1260" s="3">
        <f>EDATE(Tab_Calculs[[#This Row],[Début mois]],1)-1</f>
        <v>43220</v>
      </c>
      <c r="C1260">
        <f t="shared" si="43"/>
        <v>4</v>
      </c>
      <c r="D1260">
        <f t="shared" si="42"/>
        <v>2018</v>
      </c>
      <c r="E1260" t="s">
        <v>86</v>
      </c>
      <c r="F1260" t="str">
        <f>SUBSTITUTE(Tab_Calculs[[#This Row],[Compteur]]," ","_")</f>
        <v>Compteur_7</v>
      </c>
      <c r="G1260" t="str">
        <f>T(INDEX(Site!$B$33:$G$40, MATCH(Tab_Calculs[[#This Row],[Compteur]], Site!$B$33:$B$40,0),2))</f>
        <v/>
      </c>
      <c r="H1260" s="3">
        <f t="array" aca="1" ref="H1260" ca="1">MIN(IF(INDIRECT(CONCATENATE(Tab_Calculs[[#This Row],[Colonne1]],"!$B$2:$B$243"))&gt;=Calculs_Consos!$A1260,INDIRECT(CONCATENATE(Tab_Calculs[[#This Row],[Colonne1]],"!$B$2:$B$243"))))</f>
        <v>0</v>
      </c>
      <c r="I1260" s="3">
        <f ca="1">INDEX(INDIRECT(CONCATENATE("Tab_",Tab_Calculs[[#This Row],[Colonne1]])),Tab_Calculs[[#This Row],[index_date_livraison]],1)</f>
        <v>0</v>
      </c>
      <c r="J1260">
        <f ca="1">MATCH(Tab_Calculs[[#This Row],[Date_livraison]],INDIRECT(CONCATENATE("Tab_",Tab_Calculs[[#This Row],[Colonne1]],"[Fin de période]")),0)</f>
        <v>1</v>
      </c>
      <c r="K1260" t="e">
        <f ca="1">INDEX(INDIRECT(CONCATENATE("Tab_",Tab_Calculs[[#This Row],[Colonne1]])),Tab_Calculs[[#This Row],[index_date_livraison]]-1,6)*(MAX(Tab_Calculs[[#This Row],[Début periode livraison]],Tab_Calculs[[#This Row],[Début mois]])-Tab_Calculs[[#This Row],[Début mois]])</f>
        <v>#VALUE!</v>
      </c>
      <c r="L1260" s="94">
        <f ca="1">INDEX(INDIRECT(CONCATENATE("Tab_",Tab_Calculs[[#This Row],[Colonne1]])),Tab_Calculs[[#This Row],[index_date_livraison]],6)*(1+MIN(Tab_Calculs[[#This Row],[Date_livraison]],Tab_Calculs[[#This Row],[fin mois]])-MAX(Tab_Calculs[[#This Row],[Début mois]],Tab_Calculs[[#This Row],[Début periode livraison]]))</f>
        <v>0</v>
      </c>
      <c r="M1260" s="94" t="e">
        <f ca="1">INDEX(INDIRECT(CONCATENATE("Tab_",Tab_Calculs[[#This Row],[Colonne1]])),Tab_Calculs[[#This Row],[index_date_livraison]]+1,6)*(Tab_Calculs[[#This Row],[fin mois]]-MIN(Tab_Calculs[[#This Row],[fin mois]],Tab_Calculs[[#This Row],[Date_livraison]]))</f>
        <v>#VALUE!</v>
      </c>
      <c r="N1260" s="231" t="str">
        <f ca="1">IFERROR(Tab_Calculs[[#This Row],[Ratio_jour_après_livr]]+Tab_Calculs[[#This Row],[Ratio_jour_avant_livr]]+Tab_Calculs[[#This Row],[ratio_avant_debut]],"")</f>
        <v/>
      </c>
      <c r="O1260" t="e">
        <f ca="1">INDEX(INDIRECT(CONCATENATE("Tab_",Tab_Calculs[[#This Row],[Colonne1]])),Tab_Calculs[[#This Row],[index_date_livraison]]-1,7)*(MAX(Tab_Calculs[[#This Row],[Début periode livraison]],Tab_Calculs[[#This Row],[Début mois]])-Tab_Calculs[[#This Row],[Début mois]])</f>
        <v>#VALUE!</v>
      </c>
      <c r="P1260">
        <f ca="1">INDEX(INDIRECT(CONCATENATE("Tab_",Tab_Calculs[[#This Row],[Colonne1]])),Tab_Calculs[[#This Row],[index_date_livraison]],7)*(1+MIN(Tab_Calculs[[#This Row],[Date_livraison]],Tab_Calculs[[#This Row],[fin mois]])-MAX(Tab_Calculs[[#This Row],[Début mois]],Tab_Calculs[[#This Row],[Début periode livraison]]))</f>
        <v>0</v>
      </c>
      <c r="Q1260" t="e">
        <f ca="1">INDEX(INDIRECT(CONCATENATE("Tab_",Tab_Calculs[[#This Row],[Colonne1]])),Tab_Calculs[[#This Row],[index_date_livraison]]+1,7)*(Tab_Calculs[[#This Row],[fin mois]]-MIN(Tab_Calculs[[#This Row],[fin mois]],Tab_Calculs[[#This Row],[Date_livraison]]))</f>
        <v>#VALUE!</v>
      </c>
      <c r="R1260" t="e">
        <f ca="1">Tab_Calculs[[#This Row],[Ratio_Cout_après_livr]]+Tab_Calculs[[#This Row],[Ratio_Cout_avant_livr]]+Tab_Calculs[[#This Row],[Ratio_Cout_avant_debut]]</f>
        <v>#VALUE!</v>
      </c>
      <c r="S1260" t="str">
        <f ca="1">IFERROR(N1260*VLOOKUP(Tab_Calculs[[#This Row],[Colonne1]],Controle_des_données!$B$7:$G$14,6,FALSE),"")</f>
        <v/>
      </c>
      <c r="T1260" t="str">
        <f ca="1">IF(Tab_Calculs[[#This Row],[Combustible ]]="Electricité (kWh)",Tab_Calculs[[#This Row],[Conso_mois_kWh]]*2.3,Tab_Calculs[[#This Row],[Conso_mois_kWh]])</f>
        <v/>
      </c>
      <c r="U1260" t="str">
        <f ca="1">IFERROR(N1260*VLOOKUP(Tab_Calculs[[#This Row],[Colonne1]],Controle_des_données!$B$7:$H$14,7,FALSE),"")</f>
        <v/>
      </c>
      <c r="V1260">
        <f ca="1">IFERROR(Tab_Calculs[[#This Row],[Cout_mois]]/Tab_Calculs[[#This Row],[Conso_mois_kWh]],0)</f>
        <v>0</v>
      </c>
      <c r="W1260" t="str">
        <f>T(VLOOKUP(Tab_Calculs[[#This Row],[Compteur]],Site!$B$33:$G$40,3,FALSE))</f>
        <v/>
      </c>
      <c r="X1260" t="str">
        <f>T(VLOOKUP(Tab_Calculs[[#This Row],[Compteur]],Site!$B$33:$G$40,4,FALSE))</f>
        <v/>
      </c>
      <c r="Y1260" t="str">
        <f>T(VLOOKUP(Tab_Calculs[[#This Row],[Compteur]],Site!$B$33:$G$40,5,FALSE))</f>
        <v/>
      </c>
      <c r="Z1260" t="str">
        <f>T(VLOOKUP(Tab_Calculs[[#This Row],[Compteur]],Site!$B$33:$G$40,6,FALSE))</f>
        <v/>
      </c>
      <c r="AA1260">
        <f>IFERROR(GETPIVOTDATA("DJU(chauffagiste)",BDD_DJU!$P$13,"annee",Tab_Calculs[[#This Row],[ANNEE]],"mois_numero",Tab_Calculs[[#This Row],[MOIS]]),0)</f>
        <v>152.19999999999999</v>
      </c>
    </row>
    <row r="1261" spans="1:27" x14ac:dyDescent="0.25">
      <c r="A1261" s="3">
        <f>DATE(Tab_Calculs[[#This Row],[ANNEE]],Tab_Calculs[[#This Row],[MOIS]],1)</f>
        <v>43221</v>
      </c>
      <c r="B1261" s="3">
        <f>EDATE(Tab_Calculs[[#This Row],[Début mois]],1)-1</f>
        <v>43251</v>
      </c>
      <c r="C1261">
        <f t="shared" si="43"/>
        <v>5</v>
      </c>
      <c r="D1261">
        <f t="shared" si="42"/>
        <v>2018</v>
      </c>
      <c r="E1261" t="s">
        <v>86</v>
      </c>
      <c r="F1261" t="str">
        <f>SUBSTITUTE(Tab_Calculs[[#This Row],[Compteur]]," ","_")</f>
        <v>Compteur_7</v>
      </c>
      <c r="G1261" t="str">
        <f>T(INDEX(Site!$B$33:$G$40, MATCH(Tab_Calculs[[#This Row],[Compteur]], Site!$B$33:$B$40,0),2))</f>
        <v/>
      </c>
      <c r="H1261" s="3">
        <f t="array" aca="1" ref="H1261" ca="1">MIN(IF(INDIRECT(CONCATENATE(Tab_Calculs[[#This Row],[Colonne1]],"!$B$2:$B$243"))&gt;=Calculs_Consos!$A1261,INDIRECT(CONCATENATE(Tab_Calculs[[#This Row],[Colonne1]],"!$B$2:$B$243"))))</f>
        <v>0</v>
      </c>
      <c r="I1261" s="3">
        <f ca="1">INDEX(INDIRECT(CONCATENATE("Tab_",Tab_Calculs[[#This Row],[Colonne1]])),Tab_Calculs[[#This Row],[index_date_livraison]],1)</f>
        <v>0</v>
      </c>
      <c r="J1261">
        <f ca="1">MATCH(Tab_Calculs[[#This Row],[Date_livraison]],INDIRECT(CONCATENATE("Tab_",Tab_Calculs[[#This Row],[Colonne1]],"[Fin de période]")),0)</f>
        <v>1</v>
      </c>
      <c r="K1261" t="e">
        <f ca="1">INDEX(INDIRECT(CONCATENATE("Tab_",Tab_Calculs[[#This Row],[Colonne1]])),Tab_Calculs[[#This Row],[index_date_livraison]]-1,6)*(MAX(Tab_Calculs[[#This Row],[Début periode livraison]],Tab_Calculs[[#This Row],[Début mois]])-Tab_Calculs[[#This Row],[Début mois]])</f>
        <v>#VALUE!</v>
      </c>
      <c r="L1261" s="94">
        <f ca="1">INDEX(INDIRECT(CONCATENATE("Tab_",Tab_Calculs[[#This Row],[Colonne1]])),Tab_Calculs[[#This Row],[index_date_livraison]],6)*(1+MIN(Tab_Calculs[[#This Row],[Date_livraison]],Tab_Calculs[[#This Row],[fin mois]])-MAX(Tab_Calculs[[#This Row],[Début mois]],Tab_Calculs[[#This Row],[Début periode livraison]]))</f>
        <v>0</v>
      </c>
      <c r="M1261" s="94" t="e">
        <f ca="1">INDEX(INDIRECT(CONCATENATE("Tab_",Tab_Calculs[[#This Row],[Colonne1]])),Tab_Calculs[[#This Row],[index_date_livraison]]+1,6)*(Tab_Calculs[[#This Row],[fin mois]]-MIN(Tab_Calculs[[#This Row],[fin mois]],Tab_Calculs[[#This Row],[Date_livraison]]))</f>
        <v>#VALUE!</v>
      </c>
      <c r="N1261" s="231" t="str">
        <f ca="1">IFERROR(Tab_Calculs[[#This Row],[Ratio_jour_après_livr]]+Tab_Calculs[[#This Row],[Ratio_jour_avant_livr]]+Tab_Calculs[[#This Row],[ratio_avant_debut]],"")</f>
        <v/>
      </c>
      <c r="O1261" t="e">
        <f ca="1">INDEX(INDIRECT(CONCATENATE("Tab_",Tab_Calculs[[#This Row],[Colonne1]])),Tab_Calculs[[#This Row],[index_date_livraison]]-1,7)*(MAX(Tab_Calculs[[#This Row],[Début periode livraison]],Tab_Calculs[[#This Row],[Début mois]])-Tab_Calculs[[#This Row],[Début mois]])</f>
        <v>#VALUE!</v>
      </c>
      <c r="P1261">
        <f ca="1">INDEX(INDIRECT(CONCATENATE("Tab_",Tab_Calculs[[#This Row],[Colonne1]])),Tab_Calculs[[#This Row],[index_date_livraison]],7)*(1+MIN(Tab_Calculs[[#This Row],[Date_livraison]],Tab_Calculs[[#This Row],[fin mois]])-MAX(Tab_Calculs[[#This Row],[Début mois]],Tab_Calculs[[#This Row],[Début periode livraison]]))</f>
        <v>0</v>
      </c>
      <c r="Q1261" t="e">
        <f ca="1">INDEX(INDIRECT(CONCATENATE("Tab_",Tab_Calculs[[#This Row],[Colonne1]])),Tab_Calculs[[#This Row],[index_date_livraison]]+1,7)*(Tab_Calculs[[#This Row],[fin mois]]-MIN(Tab_Calculs[[#This Row],[fin mois]],Tab_Calculs[[#This Row],[Date_livraison]]))</f>
        <v>#VALUE!</v>
      </c>
      <c r="R1261" t="e">
        <f ca="1">Tab_Calculs[[#This Row],[Ratio_Cout_après_livr]]+Tab_Calculs[[#This Row],[Ratio_Cout_avant_livr]]+Tab_Calculs[[#This Row],[Ratio_Cout_avant_debut]]</f>
        <v>#VALUE!</v>
      </c>
      <c r="S1261" t="str">
        <f ca="1">IFERROR(N1261*VLOOKUP(Tab_Calculs[[#This Row],[Colonne1]],Controle_des_données!$B$7:$G$14,6,FALSE),"")</f>
        <v/>
      </c>
      <c r="T1261" t="str">
        <f ca="1">IF(Tab_Calculs[[#This Row],[Combustible ]]="Electricité (kWh)",Tab_Calculs[[#This Row],[Conso_mois_kWh]]*2.3,Tab_Calculs[[#This Row],[Conso_mois_kWh]])</f>
        <v/>
      </c>
      <c r="U1261" t="str">
        <f ca="1">IFERROR(N1261*VLOOKUP(Tab_Calculs[[#This Row],[Colonne1]],Controle_des_données!$B$7:$H$14,7,FALSE),"")</f>
        <v/>
      </c>
      <c r="V1261">
        <f ca="1">IFERROR(Tab_Calculs[[#This Row],[Cout_mois]]/Tab_Calculs[[#This Row],[Conso_mois_kWh]],0)</f>
        <v>0</v>
      </c>
      <c r="W1261" t="str">
        <f>T(VLOOKUP(Tab_Calculs[[#This Row],[Compteur]],Site!$B$33:$G$40,3,FALSE))</f>
        <v/>
      </c>
      <c r="X1261" t="str">
        <f>T(VLOOKUP(Tab_Calculs[[#This Row],[Compteur]],Site!$B$33:$G$40,4,FALSE))</f>
        <v/>
      </c>
      <c r="Y1261" t="str">
        <f>T(VLOOKUP(Tab_Calculs[[#This Row],[Compteur]],Site!$B$33:$G$40,5,FALSE))</f>
        <v/>
      </c>
      <c r="Z1261" t="str">
        <f>T(VLOOKUP(Tab_Calculs[[#This Row],[Compteur]],Site!$B$33:$G$40,6,FALSE))</f>
        <v/>
      </c>
      <c r="AA1261">
        <f>IFERROR(GETPIVOTDATA("DJU(chauffagiste)",BDD_DJU!$P$13,"annee",Tab_Calculs[[#This Row],[ANNEE]],"mois_numero",Tab_Calculs[[#This Row],[MOIS]]),0)</f>
        <v>95.8</v>
      </c>
    </row>
    <row r="1262" spans="1:27" x14ac:dyDescent="0.25">
      <c r="A1262" s="3">
        <f>DATE(Tab_Calculs[[#This Row],[ANNEE]],Tab_Calculs[[#This Row],[MOIS]],1)</f>
        <v>43252</v>
      </c>
      <c r="B1262" s="3">
        <f>EDATE(Tab_Calculs[[#This Row],[Début mois]],1)-1</f>
        <v>43281</v>
      </c>
      <c r="C1262">
        <f t="shared" si="43"/>
        <v>6</v>
      </c>
      <c r="D1262">
        <f t="shared" si="42"/>
        <v>2018</v>
      </c>
      <c r="E1262" t="s">
        <v>86</v>
      </c>
      <c r="F1262" t="str">
        <f>SUBSTITUTE(Tab_Calculs[[#This Row],[Compteur]]," ","_")</f>
        <v>Compteur_7</v>
      </c>
      <c r="G1262" t="str">
        <f>T(INDEX(Site!$B$33:$G$40, MATCH(Tab_Calculs[[#This Row],[Compteur]], Site!$B$33:$B$40,0),2))</f>
        <v/>
      </c>
      <c r="H1262" s="3">
        <f t="array" aca="1" ref="H1262" ca="1">MIN(IF(INDIRECT(CONCATENATE(Tab_Calculs[[#This Row],[Colonne1]],"!$B$2:$B$243"))&gt;=Calculs_Consos!$A1262,INDIRECT(CONCATENATE(Tab_Calculs[[#This Row],[Colonne1]],"!$B$2:$B$243"))))</f>
        <v>0</v>
      </c>
      <c r="I1262" s="3">
        <f ca="1">INDEX(INDIRECT(CONCATENATE("Tab_",Tab_Calculs[[#This Row],[Colonne1]])),Tab_Calculs[[#This Row],[index_date_livraison]],1)</f>
        <v>0</v>
      </c>
      <c r="J1262">
        <f ca="1">MATCH(Tab_Calculs[[#This Row],[Date_livraison]],INDIRECT(CONCATENATE("Tab_",Tab_Calculs[[#This Row],[Colonne1]],"[Fin de période]")),0)</f>
        <v>1</v>
      </c>
      <c r="K1262" t="e">
        <f ca="1">INDEX(INDIRECT(CONCATENATE("Tab_",Tab_Calculs[[#This Row],[Colonne1]])),Tab_Calculs[[#This Row],[index_date_livraison]]-1,6)*(MAX(Tab_Calculs[[#This Row],[Début periode livraison]],Tab_Calculs[[#This Row],[Début mois]])-Tab_Calculs[[#This Row],[Début mois]])</f>
        <v>#VALUE!</v>
      </c>
      <c r="L1262" s="94">
        <f ca="1">INDEX(INDIRECT(CONCATENATE("Tab_",Tab_Calculs[[#This Row],[Colonne1]])),Tab_Calculs[[#This Row],[index_date_livraison]],6)*(1+MIN(Tab_Calculs[[#This Row],[Date_livraison]],Tab_Calculs[[#This Row],[fin mois]])-MAX(Tab_Calculs[[#This Row],[Début mois]],Tab_Calculs[[#This Row],[Début periode livraison]]))</f>
        <v>0</v>
      </c>
      <c r="M1262" s="94" t="e">
        <f ca="1">INDEX(INDIRECT(CONCATENATE("Tab_",Tab_Calculs[[#This Row],[Colonne1]])),Tab_Calculs[[#This Row],[index_date_livraison]]+1,6)*(Tab_Calculs[[#This Row],[fin mois]]-MIN(Tab_Calculs[[#This Row],[fin mois]],Tab_Calculs[[#This Row],[Date_livraison]]))</f>
        <v>#VALUE!</v>
      </c>
      <c r="N1262" s="231" t="str">
        <f ca="1">IFERROR(Tab_Calculs[[#This Row],[Ratio_jour_après_livr]]+Tab_Calculs[[#This Row],[Ratio_jour_avant_livr]]+Tab_Calculs[[#This Row],[ratio_avant_debut]],"")</f>
        <v/>
      </c>
      <c r="O1262" t="e">
        <f ca="1">INDEX(INDIRECT(CONCATENATE("Tab_",Tab_Calculs[[#This Row],[Colonne1]])),Tab_Calculs[[#This Row],[index_date_livraison]]-1,7)*(MAX(Tab_Calculs[[#This Row],[Début periode livraison]],Tab_Calculs[[#This Row],[Début mois]])-Tab_Calculs[[#This Row],[Début mois]])</f>
        <v>#VALUE!</v>
      </c>
      <c r="P1262">
        <f ca="1">INDEX(INDIRECT(CONCATENATE("Tab_",Tab_Calculs[[#This Row],[Colonne1]])),Tab_Calculs[[#This Row],[index_date_livraison]],7)*(1+MIN(Tab_Calculs[[#This Row],[Date_livraison]],Tab_Calculs[[#This Row],[fin mois]])-MAX(Tab_Calculs[[#This Row],[Début mois]],Tab_Calculs[[#This Row],[Début periode livraison]]))</f>
        <v>0</v>
      </c>
      <c r="Q1262" t="e">
        <f ca="1">INDEX(INDIRECT(CONCATENATE("Tab_",Tab_Calculs[[#This Row],[Colonne1]])),Tab_Calculs[[#This Row],[index_date_livraison]]+1,7)*(Tab_Calculs[[#This Row],[fin mois]]-MIN(Tab_Calculs[[#This Row],[fin mois]],Tab_Calculs[[#This Row],[Date_livraison]]))</f>
        <v>#VALUE!</v>
      </c>
      <c r="R1262" t="e">
        <f ca="1">Tab_Calculs[[#This Row],[Ratio_Cout_après_livr]]+Tab_Calculs[[#This Row],[Ratio_Cout_avant_livr]]+Tab_Calculs[[#This Row],[Ratio_Cout_avant_debut]]</f>
        <v>#VALUE!</v>
      </c>
      <c r="S1262" t="str">
        <f ca="1">IFERROR(N1262*VLOOKUP(Tab_Calculs[[#This Row],[Colonne1]],Controle_des_données!$B$7:$G$14,6,FALSE),"")</f>
        <v/>
      </c>
      <c r="T1262" t="str">
        <f ca="1">IF(Tab_Calculs[[#This Row],[Combustible ]]="Electricité (kWh)",Tab_Calculs[[#This Row],[Conso_mois_kWh]]*2.3,Tab_Calculs[[#This Row],[Conso_mois_kWh]])</f>
        <v/>
      </c>
      <c r="U1262" t="str">
        <f ca="1">IFERROR(N1262*VLOOKUP(Tab_Calculs[[#This Row],[Colonne1]],Controle_des_données!$B$7:$H$14,7,FALSE),"")</f>
        <v/>
      </c>
      <c r="V1262">
        <f ca="1">IFERROR(Tab_Calculs[[#This Row],[Cout_mois]]/Tab_Calculs[[#This Row],[Conso_mois_kWh]],0)</f>
        <v>0</v>
      </c>
      <c r="W1262" t="str">
        <f>T(VLOOKUP(Tab_Calculs[[#This Row],[Compteur]],Site!$B$33:$G$40,3,FALSE))</f>
        <v/>
      </c>
      <c r="X1262" t="str">
        <f>T(VLOOKUP(Tab_Calculs[[#This Row],[Compteur]],Site!$B$33:$G$40,4,FALSE))</f>
        <v/>
      </c>
      <c r="Y1262" t="str">
        <f>T(VLOOKUP(Tab_Calculs[[#This Row],[Compteur]],Site!$B$33:$G$40,5,FALSE))</f>
        <v/>
      </c>
      <c r="Z1262" t="str">
        <f>T(VLOOKUP(Tab_Calculs[[#This Row],[Compteur]],Site!$B$33:$G$40,6,FALSE))</f>
        <v/>
      </c>
      <c r="AA1262">
        <f>IFERROR(GETPIVOTDATA("DJU(chauffagiste)",BDD_DJU!$P$13,"annee",Tab_Calculs[[#This Row],[ANNEE]],"mois_numero",Tab_Calculs[[#This Row],[MOIS]]),0)</f>
        <v>25.4</v>
      </c>
    </row>
    <row r="1263" spans="1:27" x14ac:dyDescent="0.25">
      <c r="A1263" s="3">
        <f>DATE(Tab_Calculs[[#This Row],[ANNEE]],Tab_Calculs[[#This Row],[MOIS]],1)</f>
        <v>43282</v>
      </c>
      <c r="B1263" s="3">
        <f>EDATE(Tab_Calculs[[#This Row],[Début mois]],1)-1</f>
        <v>43312</v>
      </c>
      <c r="C1263">
        <f t="shared" si="43"/>
        <v>7</v>
      </c>
      <c r="D1263">
        <f t="shared" si="42"/>
        <v>2018</v>
      </c>
      <c r="E1263" t="s">
        <v>86</v>
      </c>
      <c r="F1263" t="str">
        <f>SUBSTITUTE(Tab_Calculs[[#This Row],[Compteur]]," ","_")</f>
        <v>Compteur_7</v>
      </c>
      <c r="G1263" t="str">
        <f>T(INDEX(Site!$B$33:$G$40, MATCH(Tab_Calculs[[#This Row],[Compteur]], Site!$B$33:$B$40,0),2))</f>
        <v/>
      </c>
      <c r="H1263" s="3">
        <f t="array" aca="1" ref="H1263" ca="1">MIN(IF(INDIRECT(CONCATENATE(Tab_Calculs[[#This Row],[Colonne1]],"!$B$2:$B$243"))&gt;=Calculs_Consos!$A1263,INDIRECT(CONCATENATE(Tab_Calculs[[#This Row],[Colonne1]],"!$B$2:$B$243"))))</f>
        <v>0</v>
      </c>
      <c r="I1263" s="3">
        <f ca="1">INDEX(INDIRECT(CONCATENATE("Tab_",Tab_Calculs[[#This Row],[Colonne1]])),Tab_Calculs[[#This Row],[index_date_livraison]],1)</f>
        <v>0</v>
      </c>
      <c r="J1263">
        <f ca="1">MATCH(Tab_Calculs[[#This Row],[Date_livraison]],INDIRECT(CONCATENATE("Tab_",Tab_Calculs[[#This Row],[Colonne1]],"[Fin de période]")),0)</f>
        <v>1</v>
      </c>
      <c r="K1263" t="e">
        <f ca="1">INDEX(INDIRECT(CONCATENATE("Tab_",Tab_Calculs[[#This Row],[Colonne1]])),Tab_Calculs[[#This Row],[index_date_livraison]]-1,6)*(MAX(Tab_Calculs[[#This Row],[Début periode livraison]],Tab_Calculs[[#This Row],[Début mois]])-Tab_Calculs[[#This Row],[Début mois]])</f>
        <v>#VALUE!</v>
      </c>
      <c r="L1263" s="94">
        <f ca="1">INDEX(INDIRECT(CONCATENATE("Tab_",Tab_Calculs[[#This Row],[Colonne1]])),Tab_Calculs[[#This Row],[index_date_livraison]],6)*(1+MIN(Tab_Calculs[[#This Row],[Date_livraison]],Tab_Calculs[[#This Row],[fin mois]])-MAX(Tab_Calculs[[#This Row],[Début mois]],Tab_Calculs[[#This Row],[Début periode livraison]]))</f>
        <v>0</v>
      </c>
      <c r="M1263" s="94" t="e">
        <f ca="1">INDEX(INDIRECT(CONCATENATE("Tab_",Tab_Calculs[[#This Row],[Colonne1]])),Tab_Calculs[[#This Row],[index_date_livraison]]+1,6)*(Tab_Calculs[[#This Row],[fin mois]]-MIN(Tab_Calculs[[#This Row],[fin mois]],Tab_Calculs[[#This Row],[Date_livraison]]))</f>
        <v>#VALUE!</v>
      </c>
      <c r="N1263" s="231" t="str">
        <f ca="1">IFERROR(Tab_Calculs[[#This Row],[Ratio_jour_après_livr]]+Tab_Calculs[[#This Row],[Ratio_jour_avant_livr]]+Tab_Calculs[[#This Row],[ratio_avant_debut]],"")</f>
        <v/>
      </c>
      <c r="O1263" t="e">
        <f ca="1">INDEX(INDIRECT(CONCATENATE("Tab_",Tab_Calculs[[#This Row],[Colonne1]])),Tab_Calculs[[#This Row],[index_date_livraison]]-1,7)*(MAX(Tab_Calculs[[#This Row],[Début periode livraison]],Tab_Calculs[[#This Row],[Début mois]])-Tab_Calculs[[#This Row],[Début mois]])</f>
        <v>#VALUE!</v>
      </c>
      <c r="P1263">
        <f ca="1">INDEX(INDIRECT(CONCATENATE("Tab_",Tab_Calculs[[#This Row],[Colonne1]])),Tab_Calculs[[#This Row],[index_date_livraison]],7)*(1+MIN(Tab_Calculs[[#This Row],[Date_livraison]],Tab_Calculs[[#This Row],[fin mois]])-MAX(Tab_Calculs[[#This Row],[Début mois]],Tab_Calculs[[#This Row],[Début periode livraison]]))</f>
        <v>0</v>
      </c>
      <c r="Q1263" t="e">
        <f ca="1">INDEX(INDIRECT(CONCATENATE("Tab_",Tab_Calculs[[#This Row],[Colonne1]])),Tab_Calculs[[#This Row],[index_date_livraison]]+1,7)*(Tab_Calculs[[#This Row],[fin mois]]-MIN(Tab_Calculs[[#This Row],[fin mois]],Tab_Calculs[[#This Row],[Date_livraison]]))</f>
        <v>#VALUE!</v>
      </c>
      <c r="R1263" t="e">
        <f ca="1">Tab_Calculs[[#This Row],[Ratio_Cout_après_livr]]+Tab_Calculs[[#This Row],[Ratio_Cout_avant_livr]]+Tab_Calculs[[#This Row],[Ratio_Cout_avant_debut]]</f>
        <v>#VALUE!</v>
      </c>
      <c r="S1263" t="str">
        <f ca="1">IFERROR(N1263*VLOOKUP(Tab_Calculs[[#This Row],[Colonne1]],Controle_des_données!$B$7:$G$14,6,FALSE),"")</f>
        <v/>
      </c>
      <c r="T1263" t="str">
        <f ca="1">IF(Tab_Calculs[[#This Row],[Combustible ]]="Electricité (kWh)",Tab_Calculs[[#This Row],[Conso_mois_kWh]]*2.3,Tab_Calculs[[#This Row],[Conso_mois_kWh]])</f>
        <v/>
      </c>
      <c r="U1263" t="str">
        <f ca="1">IFERROR(N1263*VLOOKUP(Tab_Calculs[[#This Row],[Colonne1]],Controle_des_données!$B$7:$H$14,7,FALSE),"")</f>
        <v/>
      </c>
      <c r="V1263">
        <f ca="1">IFERROR(Tab_Calculs[[#This Row],[Cout_mois]]/Tab_Calculs[[#This Row],[Conso_mois_kWh]],0)</f>
        <v>0</v>
      </c>
      <c r="W1263" t="str">
        <f>T(VLOOKUP(Tab_Calculs[[#This Row],[Compteur]],Site!$B$33:$G$40,3,FALSE))</f>
        <v/>
      </c>
      <c r="X1263" t="str">
        <f>T(VLOOKUP(Tab_Calculs[[#This Row],[Compteur]],Site!$B$33:$G$40,4,FALSE))</f>
        <v/>
      </c>
      <c r="Y1263" t="str">
        <f>T(VLOOKUP(Tab_Calculs[[#This Row],[Compteur]],Site!$B$33:$G$40,5,FALSE))</f>
        <v/>
      </c>
      <c r="Z1263" t="str">
        <f>T(VLOOKUP(Tab_Calculs[[#This Row],[Compteur]],Site!$B$33:$G$40,6,FALSE))</f>
        <v/>
      </c>
      <c r="AA1263">
        <f>IFERROR(GETPIVOTDATA("DJU(chauffagiste)",BDD_DJU!$P$13,"annee",Tab_Calculs[[#This Row],[ANNEE]],"mois_numero",Tab_Calculs[[#This Row],[MOIS]]),0)</f>
        <v>5.9</v>
      </c>
    </row>
    <row r="1264" spans="1:27" x14ac:dyDescent="0.25">
      <c r="A1264" s="3">
        <f>DATE(Tab_Calculs[[#This Row],[ANNEE]],Tab_Calculs[[#This Row],[MOIS]],1)</f>
        <v>43313</v>
      </c>
      <c r="B1264" s="3">
        <f>EDATE(Tab_Calculs[[#This Row],[Début mois]],1)-1</f>
        <v>43343</v>
      </c>
      <c r="C1264">
        <f t="shared" si="43"/>
        <v>8</v>
      </c>
      <c r="D1264">
        <f t="shared" si="42"/>
        <v>2018</v>
      </c>
      <c r="E1264" t="s">
        <v>86</v>
      </c>
      <c r="F1264" t="str">
        <f>SUBSTITUTE(Tab_Calculs[[#This Row],[Compteur]]," ","_")</f>
        <v>Compteur_7</v>
      </c>
      <c r="G1264" t="str">
        <f>T(INDEX(Site!$B$33:$G$40, MATCH(Tab_Calculs[[#This Row],[Compteur]], Site!$B$33:$B$40,0),2))</f>
        <v/>
      </c>
      <c r="H1264" s="3">
        <f t="array" aca="1" ref="H1264" ca="1">MIN(IF(INDIRECT(CONCATENATE(Tab_Calculs[[#This Row],[Colonne1]],"!$B$2:$B$243"))&gt;=Calculs_Consos!$A1264,INDIRECT(CONCATENATE(Tab_Calculs[[#This Row],[Colonne1]],"!$B$2:$B$243"))))</f>
        <v>0</v>
      </c>
      <c r="I1264" s="3">
        <f ca="1">INDEX(INDIRECT(CONCATENATE("Tab_",Tab_Calculs[[#This Row],[Colonne1]])),Tab_Calculs[[#This Row],[index_date_livraison]],1)</f>
        <v>0</v>
      </c>
      <c r="J1264">
        <f ca="1">MATCH(Tab_Calculs[[#This Row],[Date_livraison]],INDIRECT(CONCATENATE("Tab_",Tab_Calculs[[#This Row],[Colonne1]],"[Fin de période]")),0)</f>
        <v>1</v>
      </c>
      <c r="K1264" t="e">
        <f ca="1">INDEX(INDIRECT(CONCATENATE("Tab_",Tab_Calculs[[#This Row],[Colonne1]])),Tab_Calculs[[#This Row],[index_date_livraison]]-1,6)*(MAX(Tab_Calculs[[#This Row],[Début periode livraison]],Tab_Calculs[[#This Row],[Début mois]])-Tab_Calculs[[#This Row],[Début mois]])</f>
        <v>#VALUE!</v>
      </c>
      <c r="L1264" s="94">
        <f ca="1">INDEX(INDIRECT(CONCATENATE("Tab_",Tab_Calculs[[#This Row],[Colonne1]])),Tab_Calculs[[#This Row],[index_date_livraison]],6)*(1+MIN(Tab_Calculs[[#This Row],[Date_livraison]],Tab_Calculs[[#This Row],[fin mois]])-MAX(Tab_Calculs[[#This Row],[Début mois]],Tab_Calculs[[#This Row],[Début periode livraison]]))</f>
        <v>0</v>
      </c>
      <c r="M1264" s="94" t="e">
        <f ca="1">INDEX(INDIRECT(CONCATENATE("Tab_",Tab_Calculs[[#This Row],[Colonne1]])),Tab_Calculs[[#This Row],[index_date_livraison]]+1,6)*(Tab_Calculs[[#This Row],[fin mois]]-MIN(Tab_Calculs[[#This Row],[fin mois]],Tab_Calculs[[#This Row],[Date_livraison]]))</f>
        <v>#VALUE!</v>
      </c>
      <c r="N1264" s="231" t="str">
        <f ca="1">IFERROR(Tab_Calculs[[#This Row],[Ratio_jour_après_livr]]+Tab_Calculs[[#This Row],[Ratio_jour_avant_livr]]+Tab_Calculs[[#This Row],[ratio_avant_debut]],"")</f>
        <v/>
      </c>
      <c r="O1264" t="e">
        <f ca="1">INDEX(INDIRECT(CONCATENATE("Tab_",Tab_Calculs[[#This Row],[Colonne1]])),Tab_Calculs[[#This Row],[index_date_livraison]]-1,7)*(MAX(Tab_Calculs[[#This Row],[Début periode livraison]],Tab_Calculs[[#This Row],[Début mois]])-Tab_Calculs[[#This Row],[Début mois]])</f>
        <v>#VALUE!</v>
      </c>
      <c r="P1264">
        <f ca="1">INDEX(INDIRECT(CONCATENATE("Tab_",Tab_Calculs[[#This Row],[Colonne1]])),Tab_Calculs[[#This Row],[index_date_livraison]],7)*(1+MIN(Tab_Calculs[[#This Row],[Date_livraison]],Tab_Calculs[[#This Row],[fin mois]])-MAX(Tab_Calculs[[#This Row],[Début mois]],Tab_Calculs[[#This Row],[Début periode livraison]]))</f>
        <v>0</v>
      </c>
      <c r="Q1264" t="e">
        <f ca="1">INDEX(INDIRECT(CONCATENATE("Tab_",Tab_Calculs[[#This Row],[Colonne1]])),Tab_Calculs[[#This Row],[index_date_livraison]]+1,7)*(Tab_Calculs[[#This Row],[fin mois]]-MIN(Tab_Calculs[[#This Row],[fin mois]],Tab_Calculs[[#This Row],[Date_livraison]]))</f>
        <v>#VALUE!</v>
      </c>
      <c r="R1264" t="e">
        <f ca="1">Tab_Calculs[[#This Row],[Ratio_Cout_après_livr]]+Tab_Calculs[[#This Row],[Ratio_Cout_avant_livr]]+Tab_Calculs[[#This Row],[Ratio_Cout_avant_debut]]</f>
        <v>#VALUE!</v>
      </c>
      <c r="S1264" t="str">
        <f ca="1">IFERROR(N1264*VLOOKUP(Tab_Calculs[[#This Row],[Colonne1]],Controle_des_données!$B$7:$G$14,6,FALSE),"")</f>
        <v/>
      </c>
      <c r="T1264" t="str">
        <f ca="1">IF(Tab_Calculs[[#This Row],[Combustible ]]="Electricité (kWh)",Tab_Calculs[[#This Row],[Conso_mois_kWh]]*2.3,Tab_Calculs[[#This Row],[Conso_mois_kWh]])</f>
        <v/>
      </c>
      <c r="U1264" t="str">
        <f ca="1">IFERROR(N1264*VLOOKUP(Tab_Calculs[[#This Row],[Colonne1]],Controle_des_données!$B$7:$H$14,7,FALSE),"")</f>
        <v/>
      </c>
      <c r="V1264">
        <f ca="1">IFERROR(Tab_Calculs[[#This Row],[Cout_mois]]/Tab_Calculs[[#This Row],[Conso_mois_kWh]],0)</f>
        <v>0</v>
      </c>
      <c r="W1264" t="str">
        <f>T(VLOOKUP(Tab_Calculs[[#This Row],[Compteur]],Site!$B$33:$G$40,3,FALSE))</f>
        <v/>
      </c>
      <c r="X1264" t="str">
        <f>T(VLOOKUP(Tab_Calculs[[#This Row],[Compteur]],Site!$B$33:$G$40,4,FALSE))</f>
        <v/>
      </c>
      <c r="Y1264" t="str">
        <f>T(VLOOKUP(Tab_Calculs[[#This Row],[Compteur]],Site!$B$33:$G$40,5,FALSE))</f>
        <v/>
      </c>
      <c r="Z1264" t="str">
        <f>T(VLOOKUP(Tab_Calculs[[#This Row],[Compteur]],Site!$B$33:$G$40,6,FALSE))</f>
        <v/>
      </c>
      <c r="AA1264">
        <f>IFERROR(GETPIVOTDATA("DJU(chauffagiste)",BDD_DJU!$P$13,"annee",Tab_Calculs[[#This Row],[ANNEE]],"mois_numero",Tab_Calculs[[#This Row],[MOIS]]),0)</f>
        <v>26</v>
      </c>
    </row>
    <row r="1265" spans="1:27" x14ac:dyDescent="0.25">
      <c r="A1265" s="3">
        <f>DATE(Tab_Calculs[[#This Row],[ANNEE]],Tab_Calculs[[#This Row],[MOIS]],1)</f>
        <v>43344</v>
      </c>
      <c r="B1265" s="3">
        <f>EDATE(Tab_Calculs[[#This Row],[Début mois]],1)-1</f>
        <v>43373</v>
      </c>
      <c r="C1265">
        <f t="shared" si="43"/>
        <v>9</v>
      </c>
      <c r="D1265">
        <f>D1253+1</f>
        <v>2018</v>
      </c>
      <c r="E1265" t="s">
        <v>86</v>
      </c>
      <c r="F1265" t="str">
        <f>SUBSTITUTE(Tab_Calculs[[#This Row],[Compteur]]," ","_")</f>
        <v>Compteur_7</v>
      </c>
      <c r="G1265" t="str">
        <f>T(INDEX(Site!$B$33:$G$40, MATCH(Tab_Calculs[[#This Row],[Compteur]], Site!$B$33:$B$40,0),2))</f>
        <v/>
      </c>
      <c r="H1265" s="3">
        <f t="array" aca="1" ref="H1265" ca="1">MIN(IF(INDIRECT(CONCATENATE(Tab_Calculs[[#This Row],[Colonne1]],"!$B$2:$B$243"))&gt;=Calculs_Consos!$A1265,INDIRECT(CONCATENATE(Tab_Calculs[[#This Row],[Colonne1]],"!$B$2:$B$243"))))</f>
        <v>0</v>
      </c>
      <c r="I1265" s="3">
        <f ca="1">INDEX(INDIRECT(CONCATENATE("Tab_",Tab_Calculs[[#This Row],[Colonne1]])),Tab_Calculs[[#This Row],[index_date_livraison]],1)</f>
        <v>0</v>
      </c>
      <c r="J1265">
        <f ca="1">MATCH(Tab_Calculs[[#This Row],[Date_livraison]],INDIRECT(CONCATENATE("Tab_",Tab_Calculs[[#This Row],[Colonne1]],"[Fin de période]")),0)</f>
        <v>1</v>
      </c>
      <c r="K1265" t="e">
        <f ca="1">INDEX(INDIRECT(CONCATENATE("Tab_",Tab_Calculs[[#This Row],[Colonne1]])),Tab_Calculs[[#This Row],[index_date_livraison]]-1,6)*(MAX(Tab_Calculs[[#This Row],[Début periode livraison]],Tab_Calculs[[#This Row],[Début mois]])-Tab_Calculs[[#This Row],[Début mois]])</f>
        <v>#VALUE!</v>
      </c>
      <c r="L1265" s="94">
        <f ca="1">INDEX(INDIRECT(CONCATENATE("Tab_",Tab_Calculs[[#This Row],[Colonne1]])),Tab_Calculs[[#This Row],[index_date_livraison]],6)*(1+MIN(Tab_Calculs[[#This Row],[Date_livraison]],Tab_Calculs[[#This Row],[fin mois]])-MAX(Tab_Calculs[[#This Row],[Début mois]],Tab_Calculs[[#This Row],[Début periode livraison]]))</f>
        <v>0</v>
      </c>
      <c r="M1265" s="94" t="e">
        <f ca="1">INDEX(INDIRECT(CONCATENATE("Tab_",Tab_Calculs[[#This Row],[Colonne1]])),Tab_Calculs[[#This Row],[index_date_livraison]]+1,6)*(Tab_Calculs[[#This Row],[fin mois]]-MIN(Tab_Calculs[[#This Row],[fin mois]],Tab_Calculs[[#This Row],[Date_livraison]]))</f>
        <v>#VALUE!</v>
      </c>
      <c r="N1265" s="231" t="str">
        <f ca="1">IFERROR(Tab_Calculs[[#This Row],[Ratio_jour_après_livr]]+Tab_Calculs[[#This Row],[Ratio_jour_avant_livr]]+Tab_Calculs[[#This Row],[ratio_avant_debut]],"")</f>
        <v/>
      </c>
      <c r="O1265" t="e">
        <f ca="1">INDEX(INDIRECT(CONCATENATE("Tab_",Tab_Calculs[[#This Row],[Colonne1]])),Tab_Calculs[[#This Row],[index_date_livraison]]-1,7)*(MAX(Tab_Calculs[[#This Row],[Début periode livraison]],Tab_Calculs[[#This Row],[Début mois]])-Tab_Calculs[[#This Row],[Début mois]])</f>
        <v>#VALUE!</v>
      </c>
      <c r="P1265">
        <f ca="1">INDEX(INDIRECT(CONCATENATE("Tab_",Tab_Calculs[[#This Row],[Colonne1]])),Tab_Calculs[[#This Row],[index_date_livraison]],7)*(1+MIN(Tab_Calculs[[#This Row],[Date_livraison]],Tab_Calculs[[#This Row],[fin mois]])-MAX(Tab_Calculs[[#This Row],[Début mois]],Tab_Calculs[[#This Row],[Début periode livraison]]))</f>
        <v>0</v>
      </c>
      <c r="Q1265" t="e">
        <f ca="1">INDEX(INDIRECT(CONCATENATE("Tab_",Tab_Calculs[[#This Row],[Colonne1]])),Tab_Calculs[[#This Row],[index_date_livraison]]+1,7)*(Tab_Calculs[[#This Row],[fin mois]]-MIN(Tab_Calculs[[#This Row],[fin mois]],Tab_Calculs[[#This Row],[Date_livraison]]))</f>
        <v>#VALUE!</v>
      </c>
      <c r="R1265" t="e">
        <f ca="1">Tab_Calculs[[#This Row],[Ratio_Cout_après_livr]]+Tab_Calculs[[#This Row],[Ratio_Cout_avant_livr]]+Tab_Calculs[[#This Row],[Ratio_Cout_avant_debut]]</f>
        <v>#VALUE!</v>
      </c>
      <c r="S1265" t="str">
        <f ca="1">IFERROR(N1265*VLOOKUP(Tab_Calculs[[#This Row],[Colonne1]],Controle_des_données!$B$7:$G$14,6,FALSE),"")</f>
        <v/>
      </c>
      <c r="T1265" t="str">
        <f ca="1">IF(Tab_Calculs[[#This Row],[Combustible ]]="Electricité (kWh)",Tab_Calculs[[#This Row],[Conso_mois_kWh]]*2.3,Tab_Calculs[[#This Row],[Conso_mois_kWh]])</f>
        <v/>
      </c>
      <c r="U1265" t="str">
        <f ca="1">IFERROR(N1265*VLOOKUP(Tab_Calculs[[#This Row],[Colonne1]],Controle_des_données!$B$7:$H$14,7,FALSE),"")</f>
        <v/>
      </c>
      <c r="V1265">
        <f ca="1">IFERROR(Tab_Calculs[[#This Row],[Cout_mois]]/Tab_Calculs[[#This Row],[Conso_mois_kWh]],0)</f>
        <v>0</v>
      </c>
      <c r="W1265" t="str">
        <f>T(VLOOKUP(Tab_Calculs[[#This Row],[Compteur]],Site!$B$33:$G$40,3,FALSE))</f>
        <v/>
      </c>
      <c r="X1265" t="str">
        <f>T(VLOOKUP(Tab_Calculs[[#This Row],[Compteur]],Site!$B$33:$G$40,4,FALSE))</f>
        <v/>
      </c>
      <c r="Y1265" t="str">
        <f>T(VLOOKUP(Tab_Calculs[[#This Row],[Compteur]],Site!$B$33:$G$40,5,FALSE))</f>
        <v/>
      </c>
      <c r="Z1265" t="str">
        <f>T(VLOOKUP(Tab_Calculs[[#This Row],[Compteur]],Site!$B$33:$G$40,6,FALSE))</f>
        <v/>
      </c>
      <c r="AA1265">
        <f>IFERROR(GETPIVOTDATA("DJU(chauffagiste)",BDD_DJU!$P$13,"annee",Tab_Calculs[[#This Row],[ANNEE]],"mois_numero",Tab_Calculs[[#This Row],[MOIS]]),0)</f>
        <v>73.599999999999994</v>
      </c>
    </row>
    <row r="1266" spans="1:27" x14ac:dyDescent="0.25">
      <c r="A1266" s="3">
        <f>DATE(Tab_Calculs[[#This Row],[ANNEE]],Tab_Calculs[[#This Row],[MOIS]],1)</f>
        <v>43374</v>
      </c>
      <c r="B1266" s="3">
        <f>EDATE(Tab_Calculs[[#This Row],[Début mois]],1)-1</f>
        <v>43404</v>
      </c>
      <c r="C1266">
        <f t="shared" si="43"/>
        <v>10</v>
      </c>
      <c r="D1266">
        <f t="shared" si="42"/>
        <v>2018</v>
      </c>
      <c r="E1266" t="s">
        <v>86</v>
      </c>
      <c r="F1266" t="str">
        <f>SUBSTITUTE(Tab_Calculs[[#This Row],[Compteur]]," ","_")</f>
        <v>Compteur_7</v>
      </c>
      <c r="G1266" t="str">
        <f>T(INDEX(Site!$B$33:$G$40, MATCH(Tab_Calculs[[#This Row],[Compteur]], Site!$B$33:$B$40,0),2))</f>
        <v/>
      </c>
      <c r="H1266" s="3">
        <f t="array" aca="1" ref="H1266" ca="1">MIN(IF(INDIRECT(CONCATENATE(Tab_Calculs[[#This Row],[Colonne1]],"!$B$2:$B$243"))&gt;=Calculs_Consos!$A1266,INDIRECT(CONCATENATE(Tab_Calculs[[#This Row],[Colonne1]],"!$B$2:$B$243"))))</f>
        <v>0</v>
      </c>
      <c r="I1266" s="3">
        <f ca="1">INDEX(INDIRECT(CONCATENATE("Tab_",Tab_Calculs[[#This Row],[Colonne1]])),Tab_Calculs[[#This Row],[index_date_livraison]],1)</f>
        <v>0</v>
      </c>
      <c r="J1266">
        <f ca="1">MATCH(Tab_Calculs[[#This Row],[Date_livraison]],INDIRECT(CONCATENATE("Tab_",Tab_Calculs[[#This Row],[Colonne1]],"[Fin de période]")),0)</f>
        <v>1</v>
      </c>
      <c r="K1266" t="e">
        <f ca="1">INDEX(INDIRECT(CONCATENATE("Tab_",Tab_Calculs[[#This Row],[Colonne1]])),Tab_Calculs[[#This Row],[index_date_livraison]]-1,6)*(MAX(Tab_Calculs[[#This Row],[Début periode livraison]],Tab_Calculs[[#This Row],[Début mois]])-Tab_Calculs[[#This Row],[Début mois]])</f>
        <v>#VALUE!</v>
      </c>
      <c r="L1266" s="94">
        <f ca="1">INDEX(INDIRECT(CONCATENATE("Tab_",Tab_Calculs[[#This Row],[Colonne1]])),Tab_Calculs[[#This Row],[index_date_livraison]],6)*(1+MIN(Tab_Calculs[[#This Row],[Date_livraison]],Tab_Calculs[[#This Row],[fin mois]])-MAX(Tab_Calculs[[#This Row],[Début mois]],Tab_Calculs[[#This Row],[Début periode livraison]]))</f>
        <v>0</v>
      </c>
      <c r="M1266" s="94" t="e">
        <f ca="1">INDEX(INDIRECT(CONCATENATE("Tab_",Tab_Calculs[[#This Row],[Colonne1]])),Tab_Calculs[[#This Row],[index_date_livraison]]+1,6)*(Tab_Calculs[[#This Row],[fin mois]]-MIN(Tab_Calculs[[#This Row],[fin mois]],Tab_Calculs[[#This Row],[Date_livraison]]))</f>
        <v>#VALUE!</v>
      </c>
      <c r="N1266" s="231" t="str">
        <f ca="1">IFERROR(Tab_Calculs[[#This Row],[Ratio_jour_après_livr]]+Tab_Calculs[[#This Row],[Ratio_jour_avant_livr]]+Tab_Calculs[[#This Row],[ratio_avant_debut]],"")</f>
        <v/>
      </c>
      <c r="O1266" t="e">
        <f ca="1">INDEX(INDIRECT(CONCATENATE("Tab_",Tab_Calculs[[#This Row],[Colonne1]])),Tab_Calculs[[#This Row],[index_date_livraison]]-1,7)*(MAX(Tab_Calculs[[#This Row],[Début periode livraison]],Tab_Calculs[[#This Row],[Début mois]])-Tab_Calculs[[#This Row],[Début mois]])</f>
        <v>#VALUE!</v>
      </c>
      <c r="P1266">
        <f ca="1">INDEX(INDIRECT(CONCATENATE("Tab_",Tab_Calculs[[#This Row],[Colonne1]])),Tab_Calculs[[#This Row],[index_date_livraison]],7)*(1+MIN(Tab_Calculs[[#This Row],[Date_livraison]],Tab_Calculs[[#This Row],[fin mois]])-MAX(Tab_Calculs[[#This Row],[Début mois]],Tab_Calculs[[#This Row],[Début periode livraison]]))</f>
        <v>0</v>
      </c>
      <c r="Q1266" t="e">
        <f ca="1">INDEX(INDIRECT(CONCATENATE("Tab_",Tab_Calculs[[#This Row],[Colonne1]])),Tab_Calculs[[#This Row],[index_date_livraison]]+1,7)*(Tab_Calculs[[#This Row],[fin mois]]-MIN(Tab_Calculs[[#This Row],[fin mois]],Tab_Calculs[[#This Row],[Date_livraison]]))</f>
        <v>#VALUE!</v>
      </c>
      <c r="R1266" t="e">
        <f ca="1">Tab_Calculs[[#This Row],[Ratio_Cout_après_livr]]+Tab_Calculs[[#This Row],[Ratio_Cout_avant_livr]]+Tab_Calculs[[#This Row],[Ratio_Cout_avant_debut]]</f>
        <v>#VALUE!</v>
      </c>
      <c r="S1266" t="str">
        <f ca="1">IFERROR(N1266*VLOOKUP(Tab_Calculs[[#This Row],[Colonne1]],Controle_des_données!$B$7:$G$14,6,FALSE),"")</f>
        <v/>
      </c>
      <c r="T1266" t="str">
        <f ca="1">IF(Tab_Calculs[[#This Row],[Combustible ]]="Electricité (kWh)",Tab_Calculs[[#This Row],[Conso_mois_kWh]]*2.3,Tab_Calculs[[#This Row],[Conso_mois_kWh]])</f>
        <v/>
      </c>
      <c r="U1266" t="str">
        <f ca="1">IFERROR(N1266*VLOOKUP(Tab_Calculs[[#This Row],[Colonne1]],Controle_des_données!$B$7:$H$14,7,FALSE),"")</f>
        <v/>
      </c>
      <c r="V1266">
        <f ca="1">IFERROR(Tab_Calculs[[#This Row],[Cout_mois]]/Tab_Calculs[[#This Row],[Conso_mois_kWh]],0)</f>
        <v>0</v>
      </c>
      <c r="W1266" t="str">
        <f>T(VLOOKUP(Tab_Calculs[[#This Row],[Compteur]],Site!$B$33:$G$40,3,FALSE))</f>
        <v/>
      </c>
      <c r="X1266" t="str">
        <f>T(VLOOKUP(Tab_Calculs[[#This Row],[Compteur]],Site!$B$33:$G$40,4,FALSE))</f>
        <v/>
      </c>
      <c r="Y1266" t="str">
        <f>T(VLOOKUP(Tab_Calculs[[#This Row],[Compteur]],Site!$B$33:$G$40,5,FALSE))</f>
        <v/>
      </c>
      <c r="Z1266" t="str">
        <f>T(VLOOKUP(Tab_Calculs[[#This Row],[Compteur]],Site!$B$33:$G$40,6,FALSE))</f>
        <v/>
      </c>
      <c r="AA1266">
        <f>IFERROR(GETPIVOTDATA("DJU(chauffagiste)",BDD_DJU!$P$13,"annee",Tab_Calculs[[#This Row],[ANNEE]],"mois_numero",Tab_Calculs[[#This Row],[MOIS]]),0)</f>
        <v>157.5</v>
      </c>
    </row>
    <row r="1267" spans="1:27" x14ac:dyDescent="0.25">
      <c r="A1267" s="3">
        <f>DATE(Tab_Calculs[[#This Row],[ANNEE]],Tab_Calculs[[#This Row],[MOIS]],1)</f>
        <v>43405</v>
      </c>
      <c r="B1267" s="3">
        <f>EDATE(Tab_Calculs[[#This Row],[Début mois]],1)-1</f>
        <v>43434</v>
      </c>
      <c r="C1267">
        <f t="shared" si="43"/>
        <v>11</v>
      </c>
      <c r="D1267">
        <f t="shared" si="42"/>
        <v>2018</v>
      </c>
      <c r="E1267" t="s">
        <v>86</v>
      </c>
      <c r="F1267" t="str">
        <f>SUBSTITUTE(Tab_Calculs[[#This Row],[Compteur]]," ","_")</f>
        <v>Compteur_7</v>
      </c>
      <c r="G1267" t="str">
        <f>T(INDEX(Site!$B$33:$G$40, MATCH(Tab_Calculs[[#This Row],[Compteur]], Site!$B$33:$B$40,0),2))</f>
        <v/>
      </c>
      <c r="H1267" s="3">
        <f t="array" aca="1" ref="H1267" ca="1">MIN(IF(INDIRECT(CONCATENATE(Tab_Calculs[[#This Row],[Colonne1]],"!$B$2:$B$243"))&gt;=Calculs_Consos!$A1267,INDIRECT(CONCATENATE(Tab_Calculs[[#This Row],[Colonne1]],"!$B$2:$B$243"))))</f>
        <v>0</v>
      </c>
      <c r="I1267" s="3">
        <f ca="1">INDEX(INDIRECT(CONCATENATE("Tab_",Tab_Calculs[[#This Row],[Colonne1]])),Tab_Calculs[[#This Row],[index_date_livraison]],1)</f>
        <v>0</v>
      </c>
      <c r="J1267">
        <f ca="1">MATCH(Tab_Calculs[[#This Row],[Date_livraison]],INDIRECT(CONCATENATE("Tab_",Tab_Calculs[[#This Row],[Colonne1]],"[Fin de période]")),0)</f>
        <v>1</v>
      </c>
      <c r="K1267" t="e">
        <f ca="1">INDEX(INDIRECT(CONCATENATE("Tab_",Tab_Calculs[[#This Row],[Colonne1]])),Tab_Calculs[[#This Row],[index_date_livraison]]-1,6)*(MAX(Tab_Calculs[[#This Row],[Début periode livraison]],Tab_Calculs[[#This Row],[Début mois]])-Tab_Calculs[[#This Row],[Début mois]])</f>
        <v>#VALUE!</v>
      </c>
      <c r="L1267" s="94">
        <f ca="1">INDEX(INDIRECT(CONCATENATE("Tab_",Tab_Calculs[[#This Row],[Colonne1]])),Tab_Calculs[[#This Row],[index_date_livraison]],6)*(1+MIN(Tab_Calculs[[#This Row],[Date_livraison]],Tab_Calculs[[#This Row],[fin mois]])-MAX(Tab_Calculs[[#This Row],[Début mois]],Tab_Calculs[[#This Row],[Début periode livraison]]))</f>
        <v>0</v>
      </c>
      <c r="M1267" s="94" t="e">
        <f ca="1">INDEX(INDIRECT(CONCATENATE("Tab_",Tab_Calculs[[#This Row],[Colonne1]])),Tab_Calculs[[#This Row],[index_date_livraison]]+1,6)*(Tab_Calculs[[#This Row],[fin mois]]-MIN(Tab_Calculs[[#This Row],[fin mois]],Tab_Calculs[[#This Row],[Date_livraison]]))</f>
        <v>#VALUE!</v>
      </c>
      <c r="N1267" s="231" t="str">
        <f ca="1">IFERROR(Tab_Calculs[[#This Row],[Ratio_jour_après_livr]]+Tab_Calculs[[#This Row],[Ratio_jour_avant_livr]]+Tab_Calculs[[#This Row],[ratio_avant_debut]],"")</f>
        <v/>
      </c>
      <c r="O1267" t="e">
        <f ca="1">INDEX(INDIRECT(CONCATENATE("Tab_",Tab_Calculs[[#This Row],[Colonne1]])),Tab_Calculs[[#This Row],[index_date_livraison]]-1,7)*(MAX(Tab_Calculs[[#This Row],[Début periode livraison]],Tab_Calculs[[#This Row],[Début mois]])-Tab_Calculs[[#This Row],[Début mois]])</f>
        <v>#VALUE!</v>
      </c>
      <c r="P1267">
        <f ca="1">INDEX(INDIRECT(CONCATENATE("Tab_",Tab_Calculs[[#This Row],[Colonne1]])),Tab_Calculs[[#This Row],[index_date_livraison]],7)*(1+MIN(Tab_Calculs[[#This Row],[Date_livraison]],Tab_Calculs[[#This Row],[fin mois]])-MAX(Tab_Calculs[[#This Row],[Début mois]],Tab_Calculs[[#This Row],[Début periode livraison]]))</f>
        <v>0</v>
      </c>
      <c r="Q1267" t="e">
        <f ca="1">INDEX(INDIRECT(CONCATENATE("Tab_",Tab_Calculs[[#This Row],[Colonne1]])),Tab_Calculs[[#This Row],[index_date_livraison]]+1,7)*(Tab_Calculs[[#This Row],[fin mois]]-MIN(Tab_Calculs[[#This Row],[fin mois]],Tab_Calculs[[#This Row],[Date_livraison]]))</f>
        <v>#VALUE!</v>
      </c>
      <c r="R1267" t="e">
        <f ca="1">Tab_Calculs[[#This Row],[Ratio_Cout_après_livr]]+Tab_Calculs[[#This Row],[Ratio_Cout_avant_livr]]+Tab_Calculs[[#This Row],[Ratio_Cout_avant_debut]]</f>
        <v>#VALUE!</v>
      </c>
      <c r="S1267" t="str">
        <f ca="1">IFERROR(N1267*VLOOKUP(Tab_Calculs[[#This Row],[Colonne1]],Controle_des_données!$B$7:$G$14,6,FALSE),"")</f>
        <v/>
      </c>
      <c r="T1267" t="str">
        <f ca="1">IF(Tab_Calculs[[#This Row],[Combustible ]]="Electricité (kWh)",Tab_Calculs[[#This Row],[Conso_mois_kWh]]*2.3,Tab_Calculs[[#This Row],[Conso_mois_kWh]])</f>
        <v/>
      </c>
      <c r="U1267" t="str">
        <f ca="1">IFERROR(N1267*VLOOKUP(Tab_Calculs[[#This Row],[Colonne1]],Controle_des_données!$B$7:$H$14,7,FALSE),"")</f>
        <v/>
      </c>
      <c r="V1267">
        <f ca="1">IFERROR(Tab_Calculs[[#This Row],[Cout_mois]]/Tab_Calculs[[#This Row],[Conso_mois_kWh]],0)</f>
        <v>0</v>
      </c>
      <c r="W1267" t="str">
        <f>T(VLOOKUP(Tab_Calculs[[#This Row],[Compteur]],Site!$B$33:$G$40,3,FALSE))</f>
        <v/>
      </c>
      <c r="X1267" t="str">
        <f>T(VLOOKUP(Tab_Calculs[[#This Row],[Compteur]],Site!$B$33:$G$40,4,FALSE))</f>
        <v/>
      </c>
      <c r="Y1267" t="str">
        <f>T(VLOOKUP(Tab_Calculs[[#This Row],[Compteur]],Site!$B$33:$G$40,5,FALSE))</f>
        <v/>
      </c>
      <c r="Z1267" t="str">
        <f>T(VLOOKUP(Tab_Calculs[[#This Row],[Compteur]],Site!$B$33:$G$40,6,FALSE))</f>
        <v/>
      </c>
      <c r="AA1267">
        <f>IFERROR(GETPIVOTDATA("DJU(chauffagiste)",BDD_DJU!$P$13,"annee",Tab_Calculs[[#This Row],[ANNEE]],"mois_numero",Tab_Calculs[[#This Row],[MOIS]]),0)</f>
        <v>278</v>
      </c>
    </row>
    <row r="1268" spans="1:27" x14ac:dyDescent="0.25">
      <c r="A1268" s="3">
        <f>DATE(Tab_Calculs[[#This Row],[ANNEE]],Tab_Calculs[[#This Row],[MOIS]],1)</f>
        <v>43435</v>
      </c>
      <c r="B1268" s="3">
        <f>EDATE(Tab_Calculs[[#This Row],[Début mois]],1)-1</f>
        <v>43465</v>
      </c>
      <c r="C1268">
        <f t="shared" si="43"/>
        <v>12</v>
      </c>
      <c r="D1268">
        <f t="shared" si="42"/>
        <v>2018</v>
      </c>
      <c r="E1268" t="s">
        <v>86</v>
      </c>
      <c r="F1268" t="str">
        <f>SUBSTITUTE(Tab_Calculs[[#This Row],[Compteur]]," ","_")</f>
        <v>Compteur_7</v>
      </c>
      <c r="G1268" t="str">
        <f>T(INDEX(Site!$B$33:$G$40, MATCH(Tab_Calculs[[#This Row],[Compteur]], Site!$B$33:$B$40,0),2))</f>
        <v/>
      </c>
      <c r="H1268" s="3">
        <f t="array" aca="1" ref="H1268" ca="1">MIN(IF(INDIRECT(CONCATENATE(Tab_Calculs[[#This Row],[Colonne1]],"!$B$2:$B$243"))&gt;=Calculs_Consos!$A1268,INDIRECT(CONCATENATE(Tab_Calculs[[#This Row],[Colonne1]],"!$B$2:$B$243"))))</f>
        <v>0</v>
      </c>
      <c r="I1268" s="3">
        <f ca="1">INDEX(INDIRECT(CONCATENATE("Tab_",Tab_Calculs[[#This Row],[Colonne1]])),Tab_Calculs[[#This Row],[index_date_livraison]],1)</f>
        <v>0</v>
      </c>
      <c r="J1268">
        <f ca="1">MATCH(Tab_Calculs[[#This Row],[Date_livraison]],INDIRECT(CONCATENATE("Tab_",Tab_Calculs[[#This Row],[Colonne1]],"[Fin de période]")),0)</f>
        <v>1</v>
      </c>
      <c r="K1268" t="e">
        <f ca="1">INDEX(INDIRECT(CONCATENATE("Tab_",Tab_Calculs[[#This Row],[Colonne1]])),Tab_Calculs[[#This Row],[index_date_livraison]]-1,6)*(MAX(Tab_Calculs[[#This Row],[Début periode livraison]],Tab_Calculs[[#This Row],[Début mois]])-Tab_Calculs[[#This Row],[Début mois]])</f>
        <v>#VALUE!</v>
      </c>
      <c r="L1268" s="94">
        <f ca="1">INDEX(INDIRECT(CONCATENATE("Tab_",Tab_Calculs[[#This Row],[Colonne1]])),Tab_Calculs[[#This Row],[index_date_livraison]],6)*(1+MIN(Tab_Calculs[[#This Row],[Date_livraison]],Tab_Calculs[[#This Row],[fin mois]])-MAX(Tab_Calculs[[#This Row],[Début mois]],Tab_Calculs[[#This Row],[Début periode livraison]]))</f>
        <v>0</v>
      </c>
      <c r="M1268" s="94" t="e">
        <f ca="1">INDEX(INDIRECT(CONCATENATE("Tab_",Tab_Calculs[[#This Row],[Colonne1]])),Tab_Calculs[[#This Row],[index_date_livraison]]+1,6)*(Tab_Calculs[[#This Row],[fin mois]]-MIN(Tab_Calculs[[#This Row],[fin mois]],Tab_Calculs[[#This Row],[Date_livraison]]))</f>
        <v>#VALUE!</v>
      </c>
      <c r="N1268" s="231" t="str">
        <f ca="1">IFERROR(Tab_Calculs[[#This Row],[Ratio_jour_après_livr]]+Tab_Calculs[[#This Row],[Ratio_jour_avant_livr]]+Tab_Calculs[[#This Row],[ratio_avant_debut]],"")</f>
        <v/>
      </c>
      <c r="O1268" t="e">
        <f ca="1">INDEX(INDIRECT(CONCATENATE("Tab_",Tab_Calculs[[#This Row],[Colonne1]])),Tab_Calculs[[#This Row],[index_date_livraison]]-1,7)*(MAX(Tab_Calculs[[#This Row],[Début periode livraison]],Tab_Calculs[[#This Row],[Début mois]])-Tab_Calculs[[#This Row],[Début mois]])</f>
        <v>#VALUE!</v>
      </c>
      <c r="P1268">
        <f ca="1">INDEX(INDIRECT(CONCATENATE("Tab_",Tab_Calculs[[#This Row],[Colonne1]])),Tab_Calculs[[#This Row],[index_date_livraison]],7)*(1+MIN(Tab_Calculs[[#This Row],[Date_livraison]],Tab_Calculs[[#This Row],[fin mois]])-MAX(Tab_Calculs[[#This Row],[Début mois]],Tab_Calculs[[#This Row],[Début periode livraison]]))</f>
        <v>0</v>
      </c>
      <c r="Q1268" t="e">
        <f ca="1">INDEX(INDIRECT(CONCATENATE("Tab_",Tab_Calculs[[#This Row],[Colonne1]])),Tab_Calculs[[#This Row],[index_date_livraison]]+1,7)*(Tab_Calculs[[#This Row],[fin mois]]-MIN(Tab_Calculs[[#This Row],[fin mois]],Tab_Calculs[[#This Row],[Date_livraison]]))</f>
        <v>#VALUE!</v>
      </c>
      <c r="R1268" t="e">
        <f ca="1">Tab_Calculs[[#This Row],[Ratio_Cout_après_livr]]+Tab_Calculs[[#This Row],[Ratio_Cout_avant_livr]]+Tab_Calculs[[#This Row],[Ratio_Cout_avant_debut]]</f>
        <v>#VALUE!</v>
      </c>
      <c r="S1268" t="str">
        <f ca="1">IFERROR(N1268*VLOOKUP(Tab_Calculs[[#This Row],[Colonne1]],Controle_des_données!$B$7:$G$14,6,FALSE),"")</f>
        <v/>
      </c>
      <c r="T1268" t="str">
        <f ca="1">IF(Tab_Calculs[[#This Row],[Combustible ]]="Electricité (kWh)",Tab_Calculs[[#This Row],[Conso_mois_kWh]]*2.3,Tab_Calculs[[#This Row],[Conso_mois_kWh]])</f>
        <v/>
      </c>
      <c r="U1268" t="str">
        <f ca="1">IFERROR(N1268*VLOOKUP(Tab_Calculs[[#This Row],[Colonne1]],Controle_des_données!$B$7:$H$14,7,FALSE),"")</f>
        <v/>
      </c>
      <c r="V1268">
        <f ca="1">IFERROR(Tab_Calculs[[#This Row],[Cout_mois]]/Tab_Calculs[[#This Row],[Conso_mois_kWh]],0)</f>
        <v>0</v>
      </c>
      <c r="W1268" t="str">
        <f>T(VLOOKUP(Tab_Calculs[[#This Row],[Compteur]],Site!$B$33:$G$40,3,FALSE))</f>
        <v/>
      </c>
      <c r="X1268" t="str">
        <f>T(VLOOKUP(Tab_Calculs[[#This Row],[Compteur]],Site!$B$33:$G$40,4,FALSE))</f>
        <v/>
      </c>
      <c r="Y1268" t="str">
        <f>T(VLOOKUP(Tab_Calculs[[#This Row],[Compteur]],Site!$B$33:$G$40,5,FALSE))</f>
        <v/>
      </c>
      <c r="Z1268" t="str">
        <f>T(VLOOKUP(Tab_Calculs[[#This Row],[Compteur]],Site!$B$33:$G$40,6,FALSE))</f>
        <v/>
      </c>
      <c r="AA1268">
        <f>IFERROR(GETPIVOTDATA("DJU(chauffagiste)",BDD_DJU!$P$13,"annee",Tab_Calculs[[#This Row],[ANNEE]],"mois_numero",Tab_Calculs[[#This Row],[MOIS]]),0)</f>
        <v>319.2</v>
      </c>
    </row>
    <row r="1269" spans="1:27" x14ac:dyDescent="0.25">
      <c r="A1269" s="3">
        <f>DATE(Tab_Calculs[[#This Row],[ANNEE]],Tab_Calculs[[#This Row],[MOIS]],1)</f>
        <v>43466</v>
      </c>
      <c r="B1269" s="3">
        <f>EDATE(Tab_Calculs[[#This Row],[Début mois]],1)-1</f>
        <v>43496</v>
      </c>
      <c r="C1269">
        <f t="shared" si="43"/>
        <v>1</v>
      </c>
      <c r="D1269">
        <f t="shared" si="42"/>
        <v>2019</v>
      </c>
      <c r="E1269" t="s">
        <v>86</v>
      </c>
      <c r="F1269" t="str">
        <f>SUBSTITUTE(Tab_Calculs[[#This Row],[Compteur]]," ","_")</f>
        <v>Compteur_7</v>
      </c>
      <c r="G1269" t="str">
        <f>T(INDEX(Site!$B$33:$G$40, MATCH(Tab_Calculs[[#This Row],[Compteur]], Site!$B$33:$B$40,0),2))</f>
        <v/>
      </c>
      <c r="H1269" s="3">
        <f t="array" aca="1" ref="H1269" ca="1">MIN(IF(INDIRECT(CONCATENATE(Tab_Calculs[[#This Row],[Colonne1]],"!$B$2:$B$243"))&gt;=Calculs_Consos!$A1269,INDIRECT(CONCATENATE(Tab_Calculs[[#This Row],[Colonne1]],"!$B$2:$B$243"))))</f>
        <v>0</v>
      </c>
      <c r="I1269" s="3">
        <f ca="1">INDEX(INDIRECT(CONCATENATE("Tab_",Tab_Calculs[[#This Row],[Colonne1]])),Tab_Calculs[[#This Row],[index_date_livraison]],1)</f>
        <v>0</v>
      </c>
      <c r="J1269">
        <f ca="1">MATCH(Tab_Calculs[[#This Row],[Date_livraison]],INDIRECT(CONCATENATE("Tab_",Tab_Calculs[[#This Row],[Colonne1]],"[Fin de période]")),0)</f>
        <v>1</v>
      </c>
      <c r="K1269" t="e">
        <f ca="1">INDEX(INDIRECT(CONCATENATE("Tab_",Tab_Calculs[[#This Row],[Colonne1]])),Tab_Calculs[[#This Row],[index_date_livraison]]-1,6)*(MAX(Tab_Calculs[[#This Row],[Début periode livraison]],Tab_Calculs[[#This Row],[Début mois]])-Tab_Calculs[[#This Row],[Début mois]])</f>
        <v>#VALUE!</v>
      </c>
      <c r="L1269" s="94">
        <f ca="1">INDEX(INDIRECT(CONCATENATE("Tab_",Tab_Calculs[[#This Row],[Colonne1]])),Tab_Calculs[[#This Row],[index_date_livraison]],6)*(1+MIN(Tab_Calculs[[#This Row],[Date_livraison]],Tab_Calculs[[#This Row],[fin mois]])-MAX(Tab_Calculs[[#This Row],[Début mois]],Tab_Calculs[[#This Row],[Début periode livraison]]))</f>
        <v>0</v>
      </c>
      <c r="M1269" s="94" t="e">
        <f ca="1">INDEX(INDIRECT(CONCATENATE("Tab_",Tab_Calculs[[#This Row],[Colonne1]])),Tab_Calculs[[#This Row],[index_date_livraison]]+1,6)*(Tab_Calculs[[#This Row],[fin mois]]-MIN(Tab_Calculs[[#This Row],[fin mois]],Tab_Calculs[[#This Row],[Date_livraison]]))</f>
        <v>#VALUE!</v>
      </c>
      <c r="N1269" s="231" t="str">
        <f ca="1">IFERROR(Tab_Calculs[[#This Row],[Ratio_jour_après_livr]]+Tab_Calculs[[#This Row],[Ratio_jour_avant_livr]]+Tab_Calculs[[#This Row],[ratio_avant_debut]],"")</f>
        <v/>
      </c>
      <c r="O1269" t="e">
        <f ca="1">INDEX(INDIRECT(CONCATENATE("Tab_",Tab_Calculs[[#This Row],[Colonne1]])),Tab_Calculs[[#This Row],[index_date_livraison]]-1,7)*(MAX(Tab_Calculs[[#This Row],[Début periode livraison]],Tab_Calculs[[#This Row],[Début mois]])-Tab_Calculs[[#This Row],[Début mois]])</f>
        <v>#VALUE!</v>
      </c>
      <c r="P1269">
        <f ca="1">INDEX(INDIRECT(CONCATENATE("Tab_",Tab_Calculs[[#This Row],[Colonne1]])),Tab_Calculs[[#This Row],[index_date_livraison]],7)*(1+MIN(Tab_Calculs[[#This Row],[Date_livraison]],Tab_Calculs[[#This Row],[fin mois]])-MAX(Tab_Calculs[[#This Row],[Début mois]],Tab_Calculs[[#This Row],[Début periode livraison]]))</f>
        <v>0</v>
      </c>
      <c r="Q1269" t="e">
        <f ca="1">INDEX(INDIRECT(CONCATENATE("Tab_",Tab_Calculs[[#This Row],[Colonne1]])),Tab_Calculs[[#This Row],[index_date_livraison]]+1,7)*(Tab_Calculs[[#This Row],[fin mois]]-MIN(Tab_Calculs[[#This Row],[fin mois]],Tab_Calculs[[#This Row],[Date_livraison]]))</f>
        <v>#VALUE!</v>
      </c>
      <c r="R1269" t="e">
        <f ca="1">Tab_Calculs[[#This Row],[Ratio_Cout_après_livr]]+Tab_Calculs[[#This Row],[Ratio_Cout_avant_livr]]+Tab_Calculs[[#This Row],[Ratio_Cout_avant_debut]]</f>
        <v>#VALUE!</v>
      </c>
      <c r="S1269" t="str">
        <f ca="1">IFERROR(N1269*VLOOKUP(Tab_Calculs[[#This Row],[Colonne1]],Controle_des_données!$B$7:$G$14,6,FALSE),"")</f>
        <v/>
      </c>
      <c r="T1269" t="str">
        <f ca="1">IF(Tab_Calculs[[#This Row],[Combustible ]]="Electricité (kWh)",Tab_Calculs[[#This Row],[Conso_mois_kWh]]*2.3,Tab_Calculs[[#This Row],[Conso_mois_kWh]])</f>
        <v/>
      </c>
      <c r="U1269" t="str">
        <f ca="1">IFERROR(N1269*VLOOKUP(Tab_Calculs[[#This Row],[Colonne1]],Controle_des_données!$B$7:$H$14,7,FALSE),"")</f>
        <v/>
      </c>
      <c r="V1269">
        <f ca="1">IFERROR(Tab_Calculs[[#This Row],[Cout_mois]]/Tab_Calculs[[#This Row],[Conso_mois_kWh]],0)</f>
        <v>0</v>
      </c>
      <c r="W1269" t="str">
        <f>T(VLOOKUP(Tab_Calculs[[#This Row],[Compteur]],Site!$B$33:$G$40,3,FALSE))</f>
        <v/>
      </c>
      <c r="X1269" t="str">
        <f>T(VLOOKUP(Tab_Calculs[[#This Row],[Compteur]],Site!$B$33:$G$40,4,FALSE))</f>
        <v/>
      </c>
      <c r="Y1269" t="str">
        <f>T(VLOOKUP(Tab_Calculs[[#This Row],[Compteur]],Site!$B$33:$G$40,5,FALSE))</f>
        <v/>
      </c>
      <c r="Z1269" t="str">
        <f>T(VLOOKUP(Tab_Calculs[[#This Row],[Compteur]],Site!$B$33:$G$40,6,FALSE))</f>
        <v/>
      </c>
      <c r="AA1269">
        <f>IFERROR(GETPIVOTDATA("DJU(chauffagiste)",BDD_DJU!$P$13,"annee",Tab_Calculs[[#This Row],[ANNEE]],"mois_numero",Tab_Calculs[[#This Row],[MOIS]]),0)</f>
        <v>402.2</v>
      </c>
    </row>
    <row r="1270" spans="1:27" x14ac:dyDescent="0.25">
      <c r="A1270" s="3">
        <f>DATE(Tab_Calculs[[#This Row],[ANNEE]],Tab_Calculs[[#This Row],[MOIS]],1)</f>
        <v>43497</v>
      </c>
      <c r="B1270" s="3">
        <f>EDATE(Tab_Calculs[[#This Row],[Début mois]],1)-1</f>
        <v>43524</v>
      </c>
      <c r="C1270">
        <f t="shared" si="43"/>
        <v>2</v>
      </c>
      <c r="D1270">
        <f t="shared" si="42"/>
        <v>2019</v>
      </c>
      <c r="E1270" t="s">
        <v>86</v>
      </c>
      <c r="F1270" t="str">
        <f>SUBSTITUTE(Tab_Calculs[[#This Row],[Compteur]]," ","_")</f>
        <v>Compteur_7</v>
      </c>
      <c r="G1270" t="str">
        <f>T(INDEX(Site!$B$33:$G$40, MATCH(Tab_Calculs[[#This Row],[Compteur]], Site!$B$33:$B$40,0),2))</f>
        <v/>
      </c>
      <c r="H1270" s="3">
        <f t="array" aca="1" ref="H1270" ca="1">MIN(IF(INDIRECT(CONCATENATE(Tab_Calculs[[#This Row],[Colonne1]],"!$B$2:$B$243"))&gt;=Calculs_Consos!$A1270,INDIRECT(CONCATENATE(Tab_Calculs[[#This Row],[Colonne1]],"!$B$2:$B$243"))))</f>
        <v>0</v>
      </c>
      <c r="I1270" s="3">
        <f ca="1">INDEX(INDIRECT(CONCATENATE("Tab_",Tab_Calculs[[#This Row],[Colonne1]])),Tab_Calculs[[#This Row],[index_date_livraison]],1)</f>
        <v>0</v>
      </c>
      <c r="J1270">
        <f ca="1">MATCH(Tab_Calculs[[#This Row],[Date_livraison]],INDIRECT(CONCATENATE("Tab_",Tab_Calculs[[#This Row],[Colonne1]],"[Fin de période]")),0)</f>
        <v>1</v>
      </c>
      <c r="K1270" t="e">
        <f ca="1">INDEX(INDIRECT(CONCATENATE("Tab_",Tab_Calculs[[#This Row],[Colonne1]])),Tab_Calculs[[#This Row],[index_date_livraison]]-1,6)*(MAX(Tab_Calculs[[#This Row],[Début periode livraison]],Tab_Calculs[[#This Row],[Début mois]])-Tab_Calculs[[#This Row],[Début mois]])</f>
        <v>#VALUE!</v>
      </c>
      <c r="L1270" s="94">
        <f ca="1">INDEX(INDIRECT(CONCATENATE("Tab_",Tab_Calculs[[#This Row],[Colonne1]])),Tab_Calculs[[#This Row],[index_date_livraison]],6)*(1+MIN(Tab_Calculs[[#This Row],[Date_livraison]],Tab_Calculs[[#This Row],[fin mois]])-MAX(Tab_Calculs[[#This Row],[Début mois]],Tab_Calculs[[#This Row],[Début periode livraison]]))</f>
        <v>0</v>
      </c>
      <c r="M1270" s="94" t="e">
        <f ca="1">INDEX(INDIRECT(CONCATENATE("Tab_",Tab_Calculs[[#This Row],[Colonne1]])),Tab_Calculs[[#This Row],[index_date_livraison]]+1,6)*(Tab_Calculs[[#This Row],[fin mois]]-MIN(Tab_Calculs[[#This Row],[fin mois]],Tab_Calculs[[#This Row],[Date_livraison]]))</f>
        <v>#VALUE!</v>
      </c>
      <c r="N1270" s="231" t="str">
        <f ca="1">IFERROR(Tab_Calculs[[#This Row],[Ratio_jour_après_livr]]+Tab_Calculs[[#This Row],[Ratio_jour_avant_livr]]+Tab_Calculs[[#This Row],[ratio_avant_debut]],"")</f>
        <v/>
      </c>
      <c r="O1270" t="e">
        <f ca="1">INDEX(INDIRECT(CONCATENATE("Tab_",Tab_Calculs[[#This Row],[Colonne1]])),Tab_Calculs[[#This Row],[index_date_livraison]]-1,7)*(MAX(Tab_Calculs[[#This Row],[Début periode livraison]],Tab_Calculs[[#This Row],[Début mois]])-Tab_Calculs[[#This Row],[Début mois]])</f>
        <v>#VALUE!</v>
      </c>
      <c r="P1270">
        <f ca="1">INDEX(INDIRECT(CONCATENATE("Tab_",Tab_Calculs[[#This Row],[Colonne1]])),Tab_Calculs[[#This Row],[index_date_livraison]],7)*(1+MIN(Tab_Calculs[[#This Row],[Date_livraison]],Tab_Calculs[[#This Row],[fin mois]])-MAX(Tab_Calculs[[#This Row],[Début mois]],Tab_Calculs[[#This Row],[Début periode livraison]]))</f>
        <v>0</v>
      </c>
      <c r="Q1270" t="e">
        <f ca="1">INDEX(INDIRECT(CONCATENATE("Tab_",Tab_Calculs[[#This Row],[Colonne1]])),Tab_Calculs[[#This Row],[index_date_livraison]]+1,7)*(Tab_Calculs[[#This Row],[fin mois]]-MIN(Tab_Calculs[[#This Row],[fin mois]],Tab_Calculs[[#This Row],[Date_livraison]]))</f>
        <v>#VALUE!</v>
      </c>
      <c r="R1270" t="e">
        <f ca="1">Tab_Calculs[[#This Row],[Ratio_Cout_après_livr]]+Tab_Calculs[[#This Row],[Ratio_Cout_avant_livr]]+Tab_Calculs[[#This Row],[Ratio_Cout_avant_debut]]</f>
        <v>#VALUE!</v>
      </c>
      <c r="S1270" t="str">
        <f ca="1">IFERROR(N1270*VLOOKUP(Tab_Calculs[[#This Row],[Colonne1]],Controle_des_données!$B$7:$G$14,6,FALSE),"")</f>
        <v/>
      </c>
      <c r="T1270" t="str">
        <f ca="1">IF(Tab_Calculs[[#This Row],[Combustible ]]="Electricité (kWh)",Tab_Calculs[[#This Row],[Conso_mois_kWh]]*2.3,Tab_Calculs[[#This Row],[Conso_mois_kWh]])</f>
        <v/>
      </c>
      <c r="U1270" t="str">
        <f ca="1">IFERROR(N1270*VLOOKUP(Tab_Calculs[[#This Row],[Colonne1]],Controle_des_données!$B$7:$H$14,7,FALSE),"")</f>
        <v/>
      </c>
      <c r="V1270">
        <f ca="1">IFERROR(Tab_Calculs[[#This Row],[Cout_mois]]/Tab_Calculs[[#This Row],[Conso_mois_kWh]],0)</f>
        <v>0</v>
      </c>
      <c r="W1270" t="str">
        <f>T(VLOOKUP(Tab_Calculs[[#This Row],[Compteur]],Site!$B$33:$G$40,3,FALSE))</f>
        <v/>
      </c>
      <c r="X1270" t="str">
        <f>T(VLOOKUP(Tab_Calculs[[#This Row],[Compteur]],Site!$B$33:$G$40,4,FALSE))</f>
        <v/>
      </c>
      <c r="Y1270" t="str">
        <f>T(VLOOKUP(Tab_Calculs[[#This Row],[Compteur]],Site!$B$33:$G$40,5,FALSE))</f>
        <v/>
      </c>
      <c r="Z1270" t="str">
        <f>T(VLOOKUP(Tab_Calculs[[#This Row],[Compteur]],Site!$B$33:$G$40,6,FALSE))</f>
        <v/>
      </c>
      <c r="AA1270">
        <f>IFERROR(GETPIVOTDATA("DJU(chauffagiste)",BDD_DJU!$P$13,"annee",Tab_Calculs[[#This Row],[ANNEE]],"mois_numero",Tab_Calculs[[#This Row],[MOIS]]),0)</f>
        <v>297.3</v>
      </c>
    </row>
    <row r="1271" spans="1:27" x14ac:dyDescent="0.25">
      <c r="A1271" s="3">
        <f>DATE(Tab_Calculs[[#This Row],[ANNEE]],Tab_Calculs[[#This Row],[MOIS]],1)</f>
        <v>43525</v>
      </c>
      <c r="B1271" s="3">
        <f>EDATE(Tab_Calculs[[#This Row],[Début mois]],1)-1</f>
        <v>43555</v>
      </c>
      <c r="C1271">
        <f t="shared" si="43"/>
        <v>3</v>
      </c>
      <c r="D1271">
        <f t="shared" si="42"/>
        <v>2019</v>
      </c>
      <c r="E1271" t="s">
        <v>86</v>
      </c>
      <c r="F1271" t="str">
        <f>SUBSTITUTE(Tab_Calculs[[#This Row],[Compteur]]," ","_")</f>
        <v>Compteur_7</v>
      </c>
      <c r="G1271" t="str">
        <f>T(INDEX(Site!$B$33:$G$40, MATCH(Tab_Calculs[[#This Row],[Compteur]], Site!$B$33:$B$40,0),2))</f>
        <v/>
      </c>
      <c r="H1271" s="3">
        <f t="array" aca="1" ref="H1271" ca="1">MIN(IF(INDIRECT(CONCATENATE(Tab_Calculs[[#This Row],[Colonne1]],"!$B$2:$B$243"))&gt;=Calculs_Consos!$A1271,INDIRECT(CONCATENATE(Tab_Calculs[[#This Row],[Colonne1]],"!$B$2:$B$243"))))</f>
        <v>0</v>
      </c>
      <c r="I1271" s="3">
        <f ca="1">INDEX(INDIRECT(CONCATENATE("Tab_",Tab_Calculs[[#This Row],[Colonne1]])),Tab_Calculs[[#This Row],[index_date_livraison]],1)</f>
        <v>0</v>
      </c>
      <c r="J1271">
        <f ca="1">MATCH(Tab_Calculs[[#This Row],[Date_livraison]],INDIRECT(CONCATENATE("Tab_",Tab_Calculs[[#This Row],[Colonne1]],"[Fin de période]")),0)</f>
        <v>1</v>
      </c>
      <c r="K1271" t="e">
        <f ca="1">INDEX(INDIRECT(CONCATENATE("Tab_",Tab_Calculs[[#This Row],[Colonne1]])),Tab_Calculs[[#This Row],[index_date_livraison]]-1,6)*(MAX(Tab_Calculs[[#This Row],[Début periode livraison]],Tab_Calculs[[#This Row],[Début mois]])-Tab_Calculs[[#This Row],[Début mois]])</f>
        <v>#VALUE!</v>
      </c>
      <c r="L1271" s="94">
        <f ca="1">INDEX(INDIRECT(CONCATENATE("Tab_",Tab_Calculs[[#This Row],[Colonne1]])),Tab_Calculs[[#This Row],[index_date_livraison]],6)*(1+MIN(Tab_Calculs[[#This Row],[Date_livraison]],Tab_Calculs[[#This Row],[fin mois]])-MAX(Tab_Calculs[[#This Row],[Début mois]],Tab_Calculs[[#This Row],[Début periode livraison]]))</f>
        <v>0</v>
      </c>
      <c r="M1271" s="94" t="e">
        <f ca="1">INDEX(INDIRECT(CONCATENATE("Tab_",Tab_Calculs[[#This Row],[Colonne1]])),Tab_Calculs[[#This Row],[index_date_livraison]]+1,6)*(Tab_Calculs[[#This Row],[fin mois]]-MIN(Tab_Calculs[[#This Row],[fin mois]],Tab_Calculs[[#This Row],[Date_livraison]]))</f>
        <v>#VALUE!</v>
      </c>
      <c r="N1271" s="231" t="str">
        <f ca="1">IFERROR(Tab_Calculs[[#This Row],[Ratio_jour_après_livr]]+Tab_Calculs[[#This Row],[Ratio_jour_avant_livr]]+Tab_Calculs[[#This Row],[ratio_avant_debut]],"")</f>
        <v/>
      </c>
      <c r="O1271" t="e">
        <f ca="1">INDEX(INDIRECT(CONCATENATE("Tab_",Tab_Calculs[[#This Row],[Colonne1]])),Tab_Calculs[[#This Row],[index_date_livraison]]-1,7)*(MAX(Tab_Calculs[[#This Row],[Début periode livraison]],Tab_Calculs[[#This Row],[Début mois]])-Tab_Calculs[[#This Row],[Début mois]])</f>
        <v>#VALUE!</v>
      </c>
      <c r="P1271">
        <f ca="1">INDEX(INDIRECT(CONCATENATE("Tab_",Tab_Calculs[[#This Row],[Colonne1]])),Tab_Calculs[[#This Row],[index_date_livraison]],7)*(1+MIN(Tab_Calculs[[#This Row],[Date_livraison]],Tab_Calculs[[#This Row],[fin mois]])-MAX(Tab_Calculs[[#This Row],[Début mois]],Tab_Calculs[[#This Row],[Début periode livraison]]))</f>
        <v>0</v>
      </c>
      <c r="Q1271" t="e">
        <f ca="1">INDEX(INDIRECT(CONCATENATE("Tab_",Tab_Calculs[[#This Row],[Colonne1]])),Tab_Calculs[[#This Row],[index_date_livraison]]+1,7)*(Tab_Calculs[[#This Row],[fin mois]]-MIN(Tab_Calculs[[#This Row],[fin mois]],Tab_Calculs[[#This Row],[Date_livraison]]))</f>
        <v>#VALUE!</v>
      </c>
      <c r="R1271" t="e">
        <f ca="1">Tab_Calculs[[#This Row],[Ratio_Cout_après_livr]]+Tab_Calculs[[#This Row],[Ratio_Cout_avant_livr]]+Tab_Calculs[[#This Row],[Ratio_Cout_avant_debut]]</f>
        <v>#VALUE!</v>
      </c>
      <c r="S1271" t="str">
        <f ca="1">IFERROR(N1271*VLOOKUP(Tab_Calculs[[#This Row],[Colonne1]],Controle_des_données!$B$7:$G$14,6,FALSE),"")</f>
        <v/>
      </c>
      <c r="T1271" t="str">
        <f ca="1">IF(Tab_Calculs[[#This Row],[Combustible ]]="Electricité (kWh)",Tab_Calculs[[#This Row],[Conso_mois_kWh]]*2.3,Tab_Calculs[[#This Row],[Conso_mois_kWh]])</f>
        <v/>
      </c>
      <c r="U1271" t="str">
        <f ca="1">IFERROR(N1271*VLOOKUP(Tab_Calculs[[#This Row],[Colonne1]],Controle_des_données!$B$7:$H$14,7,FALSE),"")</f>
        <v/>
      </c>
      <c r="V1271">
        <f ca="1">IFERROR(Tab_Calculs[[#This Row],[Cout_mois]]/Tab_Calculs[[#This Row],[Conso_mois_kWh]],0)</f>
        <v>0</v>
      </c>
      <c r="W1271" t="str">
        <f>T(VLOOKUP(Tab_Calculs[[#This Row],[Compteur]],Site!$B$33:$G$40,3,FALSE))</f>
        <v/>
      </c>
      <c r="X1271" t="str">
        <f>T(VLOOKUP(Tab_Calculs[[#This Row],[Compteur]],Site!$B$33:$G$40,4,FALSE))</f>
        <v/>
      </c>
      <c r="Y1271" t="str">
        <f>T(VLOOKUP(Tab_Calculs[[#This Row],[Compteur]],Site!$B$33:$G$40,5,FALSE))</f>
        <v/>
      </c>
      <c r="Z1271" t="str">
        <f>T(VLOOKUP(Tab_Calculs[[#This Row],[Compteur]],Site!$B$33:$G$40,6,FALSE))</f>
        <v/>
      </c>
      <c r="AA1271">
        <f>IFERROR(GETPIVOTDATA("DJU(chauffagiste)",BDD_DJU!$P$13,"annee",Tab_Calculs[[#This Row],[ANNEE]],"mois_numero",Tab_Calculs[[#This Row],[MOIS]]),0)</f>
        <v>260.39999999999998</v>
      </c>
    </row>
    <row r="1272" spans="1:27" x14ac:dyDescent="0.25">
      <c r="A1272" s="3">
        <f>DATE(Tab_Calculs[[#This Row],[ANNEE]],Tab_Calculs[[#This Row],[MOIS]],1)</f>
        <v>43556</v>
      </c>
      <c r="B1272" s="3">
        <f>EDATE(Tab_Calculs[[#This Row],[Début mois]],1)-1</f>
        <v>43585</v>
      </c>
      <c r="C1272">
        <f t="shared" si="43"/>
        <v>4</v>
      </c>
      <c r="D1272">
        <f t="shared" si="42"/>
        <v>2019</v>
      </c>
      <c r="E1272" t="s">
        <v>86</v>
      </c>
      <c r="F1272" t="str">
        <f>SUBSTITUTE(Tab_Calculs[[#This Row],[Compteur]]," ","_")</f>
        <v>Compteur_7</v>
      </c>
      <c r="G1272" t="str">
        <f>T(INDEX(Site!$B$33:$G$40, MATCH(Tab_Calculs[[#This Row],[Compteur]], Site!$B$33:$B$40,0),2))</f>
        <v/>
      </c>
      <c r="H1272" s="3">
        <f t="array" aca="1" ref="H1272" ca="1">MIN(IF(INDIRECT(CONCATENATE(Tab_Calculs[[#This Row],[Colonne1]],"!$B$2:$B$243"))&gt;=Calculs_Consos!$A1272,INDIRECT(CONCATENATE(Tab_Calculs[[#This Row],[Colonne1]],"!$B$2:$B$243"))))</f>
        <v>0</v>
      </c>
      <c r="I1272" s="3">
        <f ca="1">INDEX(INDIRECT(CONCATENATE("Tab_",Tab_Calculs[[#This Row],[Colonne1]])),Tab_Calculs[[#This Row],[index_date_livraison]],1)</f>
        <v>0</v>
      </c>
      <c r="J1272">
        <f ca="1">MATCH(Tab_Calculs[[#This Row],[Date_livraison]],INDIRECT(CONCATENATE("Tab_",Tab_Calculs[[#This Row],[Colonne1]],"[Fin de période]")),0)</f>
        <v>1</v>
      </c>
      <c r="K1272" t="e">
        <f ca="1">INDEX(INDIRECT(CONCATENATE("Tab_",Tab_Calculs[[#This Row],[Colonne1]])),Tab_Calculs[[#This Row],[index_date_livraison]]-1,6)*(MAX(Tab_Calculs[[#This Row],[Début periode livraison]],Tab_Calculs[[#This Row],[Début mois]])-Tab_Calculs[[#This Row],[Début mois]])</f>
        <v>#VALUE!</v>
      </c>
      <c r="L1272" s="94">
        <f ca="1">INDEX(INDIRECT(CONCATENATE("Tab_",Tab_Calculs[[#This Row],[Colonne1]])),Tab_Calculs[[#This Row],[index_date_livraison]],6)*(1+MIN(Tab_Calculs[[#This Row],[Date_livraison]],Tab_Calculs[[#This Row],[fin mois]])-MAX(Tab_Calculs[[#This Row],[Début mois]],Tab_Calculs[[#This Row],[Début periode livraison]]))</f>
        <v>0</v>
      </c>
      <c r="M1272" s="94" t="e">
        <f ca="1">INDEX(INDIRECT(CONCATENATE("Tab_",Tab_Calculs[[#This Row],[Colonne1]])),Tab_Calculs[[#This Row],[index_date_livraison]]+1,6)*(Tab_Calculs[[#This Row],[fin mois]]-MIN(Tab_Calculs[[#This Row],[fin mois]],Tab_Calculs[[#This Row],[Date_livraison]]))</f>
        <v>#VALUE!</v>
      </c>
      <c r="N1272" s="231" t="str">
        <f ca="1">IFERROR(Tab_Calculs[[#This Row],[Ratio_jour_après_livr]]+Tab_Calculs[[#This Row],[Ratio_jour_avant_livr]]+Tab_Calculs[[#This Row],[ratio_avant_debut]],"")</f>
        <v/>
      </c>
      <c r="O1272" t="e">
        <f ca="1">INDEX(INDIRECT(CONCATENATE("Tab_",Tab_Calculs[[#This Row],[Colonne1]])),Tab_Calculs[[#This Row],[index_date_livraison]]-1,7)*(MAX(Tab_Calculs[[#This Row],[Début periode livraison]],Tab_Calculs[[#This Row],[Début mois]])-Tab_Calculs[[#This Row],[Début mois]])</f>
        <v>#VALUE!</v>
      </c>
      <c r="P1272">
        <f ca="1">INDEX(INDIRECT(CONCATENATE("Tab_",Tab_Calculs[[#This Row],[Colonne1]])),Tab_Calculs[[#This Row],[index_date_livraison]],7)*(1+MIN(Tab_Calculs[[#This Row],[Date_livraison]],Tab_Calculs[[#This Row],[fin mois]])-MAX(Tab_Calculs[[#This Row],[Début mois]],Tab_Calculs[[#This Row],[Début periode livraison]]))</f>
        <v>0</v>
      </c>
      <c r="Q1272" t="e">
        <f ca="1">INDEX(INDIRECT(CONCATENATE("Tab_",Tab_Calculs[[#This Row],[Colonne1]])),Tab_Calculs[[#This Row],[index_date_livraison]]+1,7)*(Tab_Calculs[[#This Row],[fin mois]]-MIN(Tab_Calculs[[#This Row],[fin mois]],Tab_Calculs[[#This Row],[Date_livraison]]))</f>
        <v>#VALUE!</v>
      </c>
      <c r="R1272" t="e">
        <f ca="1">Tab_Calculs[[#This Row],[Ratio_Cout_après_livr]]+Tab_Calculs[[#This Row],[Ratio_Cout_avant_livr]]+Tab_Calculs[[#This Row],[Ratio_Cout_avant_debut]]</f>
        <v>#VALUE!</v>
      </c>
      <c r="S1272" t="str">
        <f ca="1">IFERROR(N1272*VLOOKUP(Tab_Calculs[[#This Row],[Colonne1]],Controle_des_données!$B$7:$G$14,6,FALSE),"")</f>
        <v/>
      </c>
      <c r="T1272" t="str">
        <f ca="1">IF(Tab_Calculs[[#This Row],[Combustible ]]="Electricité (kWh)",Tab_Calculs[[#This Row],[Conso_mois_kWh]]*2.3,Tab_Calculs[[#This Row],[Conso_mois_kWh]])</f>
        <v/>
      </c>
      <c r="U1272" t="str">
        <f ca="1">IFERROR(N1272*VLOOKUP(Tab_Calculs[[#This Row],[Colonne1]],Controle_des_données!$B$7:$H$14,7,FALSE),"")</f>
        <v/>
      </c>
      <c r="V1272">
        <f ca="1">IFERROR(Tab_Calculs[[#This Row],[Cout_mois]]/Tab_Calculs[[#This Row],[Conso_mois_kWh]],0)</f>
        <v>0</v>
      </c>
      <c r="W1272" t="str">
        <f>T(VLOOKUP(Tab_Calculs[[#This Row],[Compteur]],Site!$B$33:$G$40,3,FALSE))</f>
        <v/>
      </c>
      <c r="X1272" t="str">
        <f>T(VLOOKUP(Tab_Calculs[[#This Row],[Compteur]],Site!$B$33:$G$40,4,FALSE))</f>
        <v/>
      </c>
      <c r="Y1272" t="str">
        <f>T(VLOOKUP(Tab_Calculs[[#This Row],[Compteur]],Site!$B$33:$G$40,5,FALSE))</f>
        <v/>
      </c>
      <c r="Z1272" t="str">
        <f>T(VLOOKUP(Tab_Calculs[[#This Row],[Compteur]],Site!$B$33:$G$40,6,FALSE))</f>
        <v/>
      </c>
      <c r="AA1272">
        <f>IFERROR(GETPIVOTDATA("DJU(chauffagiste)",BDD_DJU!$P$13,"annee",Tab_Calculs[[#This Row],[ANNEE]],"mois_numero",Tab_Calculs[[#This Row],[MOIS]]),0)</f>
        <v>201.4</v>
      </c>
    </row>
    <row r="1273" spans="1:27" x14ac:dyDescent="0.25">
      <c r="A1273" s="3">
        <f>DATE(Tab_Calculs[[#This Row],[ANNEE]],Tab_Calculs[[#This Row],[MOIS]],1)</f>
        <v>43586</v>
      </c>
      <c r="B1273" s="3">
        <f>EDATE(Tab_Calculs[[#This Row],[Début mois]],1)-1</f>
        <v>43616</v>
      </c>
      <c r="C1273">
        <f t="shared" si="43"/>
        <v>5</v>
      </c>
      <c r="D1273">
        <f t="shared" si="42"/>
        <v>2019</v>
      </c>
      <c r="E1273" t="s">
        <v>86</v>
      </c>
      <c r="F1273" t="str">
        <f>SUBSTITUTE(Tab_Calculs[[#This Row],[Compteur]]," ","_")</f>
        <v>Compteur_7</v>
      </c>
      <c r="G1273" t="str">
        <f>T(INDEX(Site!$B$33:$G$40, MATCH(Tab_Calculs[[#This Row],[Compteur]], Site!$B$33:$B$40,0),2))</f>
        <v/>
      </c>
      <c r="H1273" s="3">
        <f t="array" aca="1" ref="H1273" ca="1">MIN(IF(INDIRECT(CONCATENATE(Tab_Calculs[[#This Row],[Colonne1]],"!$B$2:$B$243"))&gt;=Calculs_Consos!$A1273,INDIRECT(CONCATENATE(Tab_Calculs[[#This Row],[Colonne1]],"!$B$2:$B$243"))))</f>
        <v>0</v>
      </c>
      <c r="I1273" s="3">
        <f ca="1">INDEX(INDIRECT(CONCATENATE("Tab_",Tab_Calculs[[#This Row],[Colonne1]])),Tab_Calculs[[#This Row],[index_date_livraison]],1)</f>
        <v>0</v>
      </c>
      <c r="J1273">
        <f ca="1">MATCH(Tab_Calculs[[#This Row],[Date_livraison]],INDIRECT(CONCATENATE("Tab_",Tab_Calculs[[#This Row],[Colonne1]],"[Fin de période]")),0)</f>
        <v>1</v>
      </c>
      <c r="K1273" t="e">
        <f ca="1">INDEX(INDIRECT(CONCATENATE("Tab_",Tab_Calculs[[#This Row],[Colonne1]])),Tab_Calculs[[#This Row],[index_date_livraison]]-1,6)*(MAX(Tab_Calculs[[#This Row],[Début periode livraison]],Tab_Calculs[[#This Row],[Début mois]])-Tab_Calculs[[#This Row],[Début mois]])</f>
        <v>#VALUE!</v>
      </c>
      <c r="L1273" s="94">
        <f ca="1">INDEX(INDIRECT(CONCATENATE("Tab_",Tab_Calculs[[#This Row],[Colonne1]])),Tab_Calculs[[#This Row],[index_date_livraison]],6)*(1+MIN(Tab_Calculs[[#This Row],[Date_livraison]],Tab_Calculs[[#This Row],[fin mois]])-MAX(Tab_Calculs[[#This Row],[Début mois]],Tab_Calculs[[#This Row],[Début periode livraison]]))</f>
        <v>0</v>
      </c>
      <c r="M1273" s="94" t="e">
        <f ca="1">INDEX(INDIRECT(CONCATENATE("Tab_",Tab_Calculs[[#This Row],[Colonne1]])),Tab_Calculs[[#This Row],[index_date_livraison]]+1,6)*(Tab_Calculs[[#This Row],[fin mois]]-MIN(Tab_Calculs[[#This Row],[fin mois]],Tab_Calculs[[#This Row],[Date_livraison]]))</f>
        <v>#VALUE!</v>
      </c>
      <c r="N1273" s="231" t="str">
        <f ca="1">IFERROR(Tab_Calculs[[#This Row],[Ratio_jour_après_livr]]+Tab_Calculs[[#This Row],[Ratio_jour_avant_livr]]+Tab_Calculs[[#This Row],[ratio_avant_debut]],"")</f>
        <v/>
      </c>
      <c r="O1273" t="e">
        <f ca="1">INDEX(INDIRECT(CONCATENATE("Tab_",Tab_Calculs[[#This Row],[Colonne1]])),Tab_Calculs[[#This Row],[index_date_livraison]]-1,7)*(MAX(Tab_Calculs[[#This Row],[Début periode livraison]],Tab_Calculs[[#This Row],[Début mois]])-Tab_Calculs[[#This Row],[Début mois]])</f>
        <v>#VALUE!</v>
      </c>
      <c r="P1273">
        <f ca="1">INDEX(INDIRECT(CONCATENATE("Tab_",Tab_Calculs[[#This Row],[Colonne1]])),Tab_Calculs[[#This Row],[index_date_livraison]],7)*(1+MIN(Tab_Calculs[[#This Row],[Date_livraison]],Tab_Calculs[[#This Row],[fin mois]])-MAX(Tab_Calculs[[#This Row],[Début mois]],Tab_Calculs[[#This Row],[Début periode livraison]]))</f>
        <v>0</v>
      </c>
      <c r="Q1273" t="e">
        <f ca="1">INDEX(INDIRECT(CONCATENATE("Tab_",Tab_Calculs[[#This Row],[Colonne1]])),Tab_Calculs[[#This Row],[index_date_livraison]]+1,7)*(Tab_Calculs[[#This Row],[fin mois]]-MIN(Tab_Calculs[[#This Row],[fin mois]],Tab_Calculs[[#This Row],[Date_livraison]]))</f>
        <v>#VALUE!</v>
      </c>
      <c r="R1273" t="e">
        <f ca="1">Tab_Calculs[[#This Row],[Ratio_Cout_après_livr]]+Tab_Calculs[[#This Row],[Ratio_Cout_avant_livr]]+Tab_Calculs[[#This Row],[Ratio_Cout_avant_debut]]</f>
        <v>#VALUE!</v>
      </c>
      <c r="S1273" t="str">
        <f ca="1">IFERROR(N1273*VLOOKUP(Tab_Calculs[[#This Row],[Colonne1]],Controle_des_données!$B$7:$G$14,6,FALSE),"")</f>
        <v/>
      </c>
      <c r="T1273" t="str">
        <f ca="1">IF(Tab_Calculs[[#This Row],[Combustible ]]="Electricité (kWh)",Tab_Calculs[[#This Row],[Conso_mois_kWh]]*2.3,Tab_Calculs[[#This Row],[Conso_mois_kWh]])</f>
        <v/>
      </c>
      <c r="U1273" t="str">
        <f ca="1">IFERROR(N1273*VLOOKUP(Tab_Calculs[[#This Row],[Colonne1]],Controle_des_données!$B$7:$H$14,7,FALSE),"")</f>
        <v/>
      </c>
      <c r="V1273">
        <f ca="1">IFERROR(Tab_Calculs[[#This Row],[Cout_mois]]/Tab_Calculs[[#This Row],[Conso_mois_kWh]],0)</f>
        <v>0</v>
      </c>
      <c r="W1273" t="str">
        <f>T(VLOOKUP(Tab_Calculs[[#This Row],[Compteur]],Site!$B$33:$G$40,3,FALSE))</f>
        <v/>
      </c>
      <c r="X1273" t="str">
        <f>T(VLOOKUP(Tab_Calculs[[#This Row],[Compteur]],Site!$B$33:$G$40,4,FALSE))</f>
        <v/>
      </c>
      <c r="Y1273" t="str">
        <f>T(VLOOKUP(Tab_Calculs[[#This Row],[Compteur]],Site!$B$33:$G$40,5,FALSE))</f>
        <v/>
      </c>
      <c r="Z1273" t="str">
        <f>T(VLOOKUP(Tab_Calculs[[#This Row],[Compteur]],Site!$B$33:$G$40,6,FALSE))</f>
        <v/>
      </c>
      <c r="AA1273">
        <f>IFERROR(GETPIVOTDATA("DJU(chauffagiste)",BDD_DJU!$P$13,"annee",Tab_Calculs[[#This Row],[ANNEE]],"mois_numero",Tab_Calculs[[#This Row],[MOIS]]),0)</f>
        <v>147.9</v>
      </c>
    </row>
    <row r="1274" spans="1:27" x14ac:dyDescent="0.25">
      <c r="A1274" s="3">
        <f>DATE(Tab_Calculs[[#This Row],[ANNEE]],Tab_Calculs[[#This Row],[MOIS]],1)</f>
        <v>43617</v>
      </c>
      <c r="B1274" s="3">
        <f>EDATE(Tab_Calculs[[#This Row],[Début mois]],1)-1</f>
        <v>43646</v>
      </c>
      <c r="C1274">
        <f t="shared" si="43"/>
        <v>6</v>
      </c>
      <c r="D1274">
        <f t="shared" si="42"/>
        <v>2019</v>
      </c>
      <c r="E1274" t="s">
        <v>86</v>
      </c>
      <c r="F1274" t="str">
        <f>SUBSTITUTE(Tab_Calculs[[#This Row],[Compteur]]," ","_")</f>
        <v>Compteur_7</v>
      </c>
      <c r="G1274" t="str">
        <f>T(INDEX(Site!$B$33:$G$40, MATCH(Tab_Calculs[[#This Row],[Compteur]], Site!$B$33:$B$40,0),2))</f>
        <v/>
      </c>
      <c r="H1274" s="3">
        <f t="array" aca="1" ref="H1274" ca="1">MIN(IF(INDIRECT(CONCATENATE(Tab_Calculs[[#This Row],[Colonne1]],"!$B$2:$B$243"))&gt;=Calculs_Consos!$A1274,INDIRECT(CONCATENATE(Tab_Calculs[[#This Row],[Colonne1]],"!$B$2:$B$243"))))</f>
        <v>0</v>
      </c>
      <c r="I1274" s="3">
        <f ca="1">INDEX(INDIRECT(CONCATENATE("Tab_",Tab_Calculs[[#This Row],[Colonne1]])),Tab_Calculs[[#This Row],[index_date_livraison]],1)</f>
        <v>0</v>
      </c>
      <c r="J1274">
        <f ca="1">MATCH(Tab_Calculs[[#This Row],[Date_livraison]],INDIRECT(CONCATENATE("Tab_",Tab_Calculs[[#This Row],[Colonne1]],"[Fin de période]")),0)</f>
        <v>1</v>
      </c>
      <c r="K1274" t="e">
        <f ca="1">INDEX(INDIRECT(CONCATENATE("Tab_",Tab_Calculs[[#This Row],[Colonne1]])),Tab_Calculs[[#This Row],[index_date_livraison]]-1,6)*(MAX(Tab_Calculs[[#This Row],[Début periode livraison]],Tab_Calculs[[#This Row],[Début mois]])-Tab_Calculs[[#This Row],[Début mois]])</f>
        <v>#VALUE!</v>
      </c>
      <c r="L1274" s="94">
        <f ca="1">INDEX(INDIRECT(CONCATENATE("Tab_",Tab_Calculs[[#This Row],[Colonne1]])),Tab_Calculs[[#This Row],[index_date_livraison]],6)*(1+MIN(Tab_Calculs[[#This Row],[Date_livraison]],Tab_Calculs[[#This Row],[fin mois]])-MAX(Tab_Calculs[[#This Row],[Début mois]],Tab_Calculs[[#This Row],[Début periode livraison]]))</f>
        <v>0</v>
      </c>
      <c r="M1274" s="94" t="e">
        <f ca="1">INDEX(INDIRECT(CONCATENATE("Tab_",Tab_Calculs[[#This Row],[Colonne1]])),Tab_Calculs[[#This Row],[index_date_livraison]]+1,6)*(Tab_Calculs[[#This Row],[fin mois]]-MIN(Tab_Calculs[[#This Row],[fin mois]],Tab_Calculs[[#This Row],[Date_livraison]]))</f>
        <v>#VALUE!</v>
      </c>
      <c r="N1274" s="231" t="str">
        <f ca="1">IFERROR(Tab_Calculs[[#This Row],[Ratio_jour_après_livr]]+Tab_Calculs[[#This Row],[Ratio_jour_avant_livr]]+Tab_Calculs[[#This Row],[ratio_avant_debut]],"")</f>
        <v/>
      </c>
      <c r="O1274" t="e">
        <f ca="1">INDEX(INDIRECT(CONCATENATE("Tab_",Tab_Calculs[[#This Row],[Colonne1]])),Tab_Calculs[[#This Row],[index_date_livraison]]-1,7)*(MAX(Tab_Calculs[[#This Row],[Début periode livraison]],Tab_Calculs[[#This Row],[Début mois]])-Tab_Calculs[[#This Row],[Début mois]])</f>
        <v>#VALUE!</v>
      </c>
      <c r="P1274">
        <f ca="1">INDEX(INDIRECT(CONCATENATE("Tab_",Tab_Calculs[[#This Row],[Colonne1]])),Tab_Calculs[[#This Row],[index_date_livraison]],7)*(1+MIN(Tab_Calculs[[#This Row],[Date_livraison]],Tab_Calculs[[#This Row],[fin mois]])-MAX(Tab_Calculs[[#This Row],[Début mois]],Tab_Calculs[[#This Row],[Début periode livraison]]))</f>
        <v>0</v>
      </c>
      <c r="Q1274" t="e">
        <f ca="1">INDEX(INDIRECT(CONCATENATE("Tab_",Tab_Calculs[[#This Row],[Colonne1]])),Tab_Calculs[[#This Row],[index_date_livraison]]+1,7)*(Tab_Calculs[[#This Row],[fin mois]]-MIN(Tab_Calculs[[#This Row],[fin mois]],Tab_Calculs[[#This Row],[Date_livraison]]))</f>
        <v>#VALUE!</v>
      </c>
      <c r="R1274" t="e">
        <f ca="1">Tab_Calculs[[#This Row],[Ratio_Cout_après_livr]]+Tab_Calculs[[#This Row],[Ratio_Cout_avant_livr]]+Tab_Calculs[[#This Row],[Ratio_Cout_avant_debut]]</f>
        <v>#VALUE!</v>
      </c>
      <c r="S1274" t="str">
        <f ca="1">IFERROR(N1274*VLOOKUP(Tab_Calculs[[#This Row],[Colonne1]],Controle_des_données!$B$7:$G$14,6,FALSE),"")</f>
        <v/>
      </c>
      <c r="T1274" t="str">
        <f ca="1">IF(Tab_Calculs[[#This Row],[Combustible ]]="Electricité (kWh)",Tab_Calculs[[#This Row],[Conso_mois_kWh]]*2.3,Tab_Calculs[[#This Row],[Conso_mois_kWh]])</f>
        <v/>
      </c>
      <c r="U1274" t="str">
        <f ca="1">IFERROR(N1274*VLOOKUP(Tab_Calculs[[#This Row],[Colonne1]],Controle_des_données!$B$7:$H$14,7,FALSE),"")</f>
        <v/>
      </c>
      <c r="V1274">
        <f ca="1">IFERROR(Tab_Calculs[[#This Row],[Cout_mois]]/Tab_Calculs[[#This Row],[Conso_mois_kWh]],0)</f>
        <v>0</v>
      </c>
      <c r="W1274" t="str">
        <f>T(VLOOKUP(Tab_Calculs[[#This Row],[Compteur]],Site!$B$33:$G$40,3,FALSE))</f>
        <v/>
      </c>
      <c r="X1274" t="str">
        <f>T(VLOOKUP(Tab_Calculs[[#This Row],[Compteur]],Site!$B$33:$G$40,4,FALSE))</f>
        <v/>
      </c>
      <c r="Y1274" t="str">
        <f>T(VLOOKUP(Tab_Calculs[[#This Row],[Compteur]],Site!$B$33:$G$40,5,FALSE))</f>
        <v/>
      </c>
      <c r="Z1274" t="str">
        <f>T(VLOOKUP(Tab_Calculs[[#This Row],[Compteur]],Site!$B$33:$G$40,6,FALSE))</f>
        <v/>
      </c>
      <c r="AA1274">
        <f>IFERROR(GETPIVOTDATA("DJU(chauffagiste)",BDD_DJU!$P$13,"annee",Tab_Calculs[[#This Row],[ANNEE]],"mois_numero",Tab_Calculs[[#This Row],[MOIS]]),0)</f>
        <v>54.1</v>
      </c>
    </row>
    <row r="1275" spans="1:27" x14ac:dyDescent="0.25">
      <c r="A1275" s="3">
        <f>DATE(Tab_Calculs[[#This Row],[ANNEE]],Tab_Calculs[[#This Row],[MOIS]],1)</f>
        <v>43647</v>
      </c>
      <c r="B1275" s="3">
        <f>EDATE(Tab_Calculs[[#This Row],[Début mois]],1)-1</f>
        <v>43677</v>
      </c>
      <c r="C1275">
        <f t="shared" si="43"/>
        <v>7</v>
      </c>
      <c r="D1275">
        <f t="shared" si="42"/>
        <v>2019</v>
      </c>
      <c r="E1275" t="s">
        <v>86</v>
      </c>
      <c r="F1275" t="str">
        <f>SUBSTITUTE(Tab_Calculs[[#This Row],[Compteur]]," ","_")</f>
        <v>Compteur_7</v>
      </c>
      <c r="G1275" t="str">
        <f>T(INDEX(Site!$B$33:$G$40, MATCH(Tab_Calculs[[#This Row],[Compteur]], Site!$B$33:$B$40,0),2))</f>
        <v/>
      </c>
      <c r="H1275" s="3">
        <f t="array" aca="1" ref="H1275" ca="1">MIN(IF(INDIRECT(CONCATENATE(Tab_Calculs[[#This Row],[Colonne1]],"!$B$2:$B$243"))&gt;=Calculs_Consos!$A1275,INDIRECT(CONCATENATE(Tab_Calculs[[#This Row],[Colonne1]],"!$B$2:$B$243"))))</f>
        <v>0</v>
      </c>
      <c r="I1275" s="3">
        <f ca="1">INDEX(INDIRECT(CONCATENATE("Tab_",Tab_Calculs[[#This Row],[Colonne1]])),Tab_Calculs[[#This Row],[index_date_livraison]],1)</f>
        <v>0</v>
      </c>
      <c r="J1275">
        <f ca="1">MATCH(Tab_Calculs[[#This Row],[Date_livraison]],INDIRECT(CONCATENATE("Tab_",Tab_Calculs[[#This Row],[Colonne1]],"[Fin de période]")),0)</f>
        <v>1</v>
      </c>
      <c r="K1275" t="e">
        <f ca="1">INDEX(INDIRECT(CONCATENATE("Tab_",Tab_Calculs[[#This Row],[Colonne1]])),Tab_Calculs[[#This Row],[index_date_livraison]]-1,6)*(MAX(Tab_Calculs[[#This Row],[Début periode livraison]],Tab_Calculs[[#This Row],[Début mois]])-Tab_Calculs[[#This Row],[Début mois]])</f>
        <v>#VALUE!</v>
      </c>
      <c r="L1275" s="94">
        <f ca="1">INDEX(INDIRECT(CONCATENATE("Tab_",Tab_Calculs[[#This Row],[Colonne1]])),Tab_Calculs[[#This Row],[index_date_livraison]],6)*(1+MIN(Tab_Calculs[[#This Row],[Date_livraison]],Tab_Calculs[[#This Row],[fin mois]])-MAX(Tab_Calculs[[#This Row],[Début mois]],Tab_Calculs[[#This Row],[Début periode livraison]]))</f>
        <v>0</v>
      </c>
      <c r="M1275" s="94" t="e">
        <f ca="1">INDEX(INDIRECT(CONCATENATE("Tab_",Tab_Calculs[[#This Row],[Colonne1]])),Tab_Calculs[[#This Row],[index_date_livraison]]+1,6)*(Tab_Calculs[[#This Row],[fin mois]]-MIN(Tab_Calculs[[#This Row],[fin mois]],Tab_Calculs[[#This Row],[Date_livraison]]))</f>
        <v>#VALUE!</v>
      </c>
      <c r="N1275" s="231" t="str">
        <f ca="1">IFERROR(Tab_Calculs[[#This Row],[Ratio_jour_après_livr]]+Tab_Calculs[[#This Row],[Ratio_jour_avant_livr]]+Tab_Calculs[[#This Row],[ratio_avant_debut]],"")</f>
        <v/>
      </c>
      <c r="O1275" t="e">
        <f ca="1">INDEX(INDIRECT(CONCATENATE("Tab_",Tab_Calculs[[#This Row],[Colonne1]])),Tab_Calculs[[#This Row],[index_date_livraison]]-1,7)*(MAX(Tab_Calculs[[#This Row],[Début periode livraison]],Tab_Calculs[[#This Row],[Début mois]])-Tab_Calculs[[#This Row],[Début mois]])</f>
        <v>#VALUE!</v>
      </c>
      <c r="P1275">
        <f ca="1">INDEX(INDIRECT(CONCATENATE("Tab_",Tab_Calculs[[#This Row],[Colonne1]])),Tab_Calculs[[#This Row],[index_date_livraison]],7)*(1+MIN(Tab_Calculs[[#This Row],[Date_livraison]],Tab_Calculs[[#This Row],[fin mois]])-MAX(Tab_Calculs[[#This Row],[Début mois]],Tab_Calculs[[#This Row],[Début periode livraison]]))</f>
        <v>0</v>
      </c>
      <c r="Q1275" t="e">
        <f ca="1">INDEX(INDIRECT(CONCATENATE("Tab_",Tab_Calculs[[#This Row],[Colonne1]])),Tab_Calculs[[#This Row],[index_date_livraison]]+1,7)*(Tab_Calculs[[#This Row],[fin mois]]-MIN(Tab_Calculs[[#This Row],[fin mois]],Tab_Calculs[[#This Row],[Date_livraison]]))</f>
        <v>#VALUE!</v>
      </c>
      <c r="R1275" t="e">
        <f ca="1">Tab_Calculs[[#This Row],[Ratio_Cout_après_livr]]+Tab_Calculs[[#This Row],[Ratio_Cout_avant_livr]]+Tab_Calculs[[#This Row],[Ratio_Cout_avant_debut]]</f>
        <v>#VALUE!</v>
      </c>
      <c r="S1275" t="str">
        <f ca="1">IFERROR(N1275*VLOOKUP(Tab_Calculs[[#This Row],[Colonne1]],Controle_des_données!$B$7:$G$14,6,FALSE),"")</f>
        <v/>
      </c>
      <c r="T1275" t="str">
        <f ca="1">IF(Tab_Calculs[[#This Row],[Combustible ]]="Electricité (kWh)",Tab_Calculs[[#This Row],[Conso_mois_kWh]]*2.3,Tab_Calculs[[#This Row],[Conso_mois_kWh]])</f>
        <v/>
      </c>
      <c r="U1275" t="str">
        <f ca="1">IFERROR(N1275*VLOOKUP(Tab_Calculs[[#This Row],[Colonne1]],Controle_des_données!$B$7:$H$14,7,FALSE),"")</f>
        <v/>
      </c>
      <c r="V1275">
        <f ca="1">IFERROR(Tab_Calculs[[#This Row],[Cout_mois]]/Tab_Calculs[[#This Row],[Conso_mois_kWh]],0)</f>
        <v>0</v>
      </c>
      <c r="W1275" t="str">
        <f>T(VLOOKUP(Tab_Calculs[[#This Row],[Compteur]],Site!$B$33:$G$40,3,FALSE))</f>
        <v/>
      </c>
      <c r="X1275" t="str">
        <f>T(VLOOKUP(Tab_Calculs[[#This Row],[Compteur]],Site!$B$33:$G$40,4,FALSE))</f>
        <v/>
      </c>
      <c r="Y1275" t="str">
        <f>T(VLOOKUP(Tab_Calculs[[#This Row],[Compteur]],Site!$B$33:$G$40,5,FALSE))</f>
        <v/>
      </c>
      <c r="Z1275" t="str">
        <f>T(VLOOKUP(Tab_Calculs[[#This Row],[Compteur]],Site!$B$33:$G$40,6,FALSE))</f>
        <v/>
      </c>
      <c r="AA1275">
        <f>IFERROR(GETPIVOTDATA("DJU(chauffagiste)",BDD_DJU!$P$13,"annee",Tab_Calculs[[#This Row],[ANNEE]],"mois_numero",Tab_Calculs[[#This Row],[MOIS]]),0)</f>
        <v>15.5</v>
      </c>
    </row>
    <row r="1276" spans="1:27" x14ac:dyDescent="0.25">
      <c r="A1276" s="3">
        <f>DATE(Tab_Calculs[[#This Row],[ANNEE]],Tab_Calculs[[#This Row],[MOIS]],1)</f>
        <v>43678</v>
      </c>
      <c r="B1276" s="3">
        <f>EDATE(Tab_Calculs[[#This Row],[Début mois]],1)-1</f>
        <v>43708</v>
      </c>
      <c r="C1276">
        <f t="shared" si="43"/>
        <v>8</v>
      </c>
      <c r="D1276">
        <f t="shared" si="42"/>
        <v>2019</v>
      </c>
      <c r="E1276" t="s">
        <v>86</v>
      </c>
      <c r="F1276" t="str">
        <f>SUBSTITUTE(Tab_Calculs[[#This Row],[Compteur]]," ","_")</f>
        <v>Compteur_7</v>
      </c>
      <c r="G1276" t="str">
        <f>T(INDEX(Site!$B$33:$G$40, MATCH(Tab_Calculs[[#This Row],[Compteur]], Site!$B$33:$B$40,0),2))</f>
        <v/>
      </c>
      <c r="H1276" s="3">
        <f t="array" aca="1" ref="H1276" ca="1">MIN(IF(INDIRECT(CONCATENATE(Tab_Calculs[[#This Row],[Colonne1]],"!$B$2:$B$243"))&gt;=Calculs_Consos!$A1276,INDIRECT(CONCATENATE(Tab_Calculs[[#This Row],[Colonne1]],"!$B$2:$B$243"))))</f>
        <v>0</v>
      </c>
      <c r="I1276" s="3">
        <f ca="1">INDEX(INDIRECT(CONCATENATE("Tab_",Tab_Calculs[[#This Row],[Colonne1]])),Tab_Calculs[[#This Row],[index_date_livraison]],1)</f>
        <v>0</v>
      </c>
      <c r="J1276">
        <f ca="1">MATCH(Tab_Calculs[[#This Row],[Date_livraison]],INDIRECT(CONCATENATE("Tab_",Tab_Calculs[[#This Row],[Colonne1]],"[Fin de période]")),0)</f>
        <v>1</v>
      </c>
      <c r="K1276" t="e">
        <f ca="1">INDEX(INDIRECT(CONCATENATE("Tab_",Tab_Calculs[[#This Row],[Colonne1]])),Tab_Calculs[[#This Row],[index_date_livraison]]-1,6)*(MAX(Tab_Calculs[[#This Row],[Début periode livraison]],Tab_Calculs[[#This Row],[Début mois]])-Tab_Calculs[[#This Row],[Début mois]])</f>
        <v>#VALUE!</v>
      </c>
      <c r="L1276" s="94">
        <f ca="1">INDEX(INDIRECT(CONCATENATE("Tab_",Tab_Calculs[[#This Row],[Colonne1]])),Tab_Calculs[[#This Row],[index_date_livraison]],6)*(1+MIN(Tab_Calculs[[#This Row],[Date_livraison]],Tab_Calculs[[#This Row],[fin mois]])-MAX(Tab_Calculs[[#This Row],[Début mois]],Tab_Calculs[[#This Row],[Début periode livraison]]))</f>
        <v>0</v>
      </c>
      <c r="M1276" s="94" t="e">
        <f ca="1">INDEX(INDIRECT(CONCATENATE("Tab_",Tab_Calculs[[#This Row],[Colonne1]])),Tab_Calculs[[#This Row],[index_date_livraison]]+1,6)*(Tab_Calculs[[#This Row],[fin mois]]-MIN(Tab_Calculs[[#This Row],[fin mois]],Tab_Calculs[[#This Row],[Date_livraison]]))</f>
        <v>#VALUE!</v>
      </c>
      <c r="N1276" s="231" t="str">
        <f ca="1">IFERROR(Tab_Calculs[[#This Row],[Ratio_jour_après_livr]]+Tab_Calculs[[#This Row],[Ratio_jour_avant_livr]]+Tab_Calculs[[#This Row],[ratio_avant_debut]],"")</f>
        <v/>
      </c>
      <c r="O1276" t="e">
        <f ca="1">INDEX(INDIRECT(CONCATENATE("Tab_",Tab_Calculs[[#This Row],[Colonne1]])),Tab_Calculs[[#This Row],[index_date_livraison]]-1,7)*(MAX(Tab_Calculs[[#This Row],[Début periode livraison]],Tab_Calculs[[#This Row],[Début mois]])-Tab_Calculs[[#This Row],[Début mois]])</f>
        <v>#VALUE!</v>
      </c>
      <c r="P1276">
        <f ca="1">INDEX(INDIRECT(CONCATENATE("Tab_",Tab_Calculs[[#This Row],[Colonne1]])),Tab_Calculs[[#This Row],[index_date_livraison]],7)*(1+MIN(Tab_Calculs[[#This Row],[Date_livraison]],Tab_Calculs[[#This Row],[fin mois]])-MAX(Tab_Calculs[[#This Row],[Début mois]],Tab_Calculs[[#This Row],[Début periode livraison]]))</f>
        <v>0</v>
      </c>
      <c r="Q1276" t="e">
        <f ca="1">INDEX(INDIRECT(CONCATENATE("Tab_",Tab_Calculs[[#This Row],[Colonne1]])),Tab_Calculs[[#This Row],[index_date_livraison]]+1,7)*(Tab_Calculs[[#This Row],[fin mois]]-MIN(Tab_Calculs[[#This Row],[fin mois]],Tab_Calculs[[#This Row],[Date_livraison]]))</f>
        <v>#VALUE!</v>
      </c>
      <c r="R1276" t="e">
        <f ca="1">Tab_Calculs[[#This Row],[Ratio_Cout_après_livr]]+Tab_Calculs[[#This Row],[Ratio_Cout_avant_livr]]+Tab_Calculs[[#This Row],[Ratio_Cout_avant_debut]]</f>
        <v>#VALUE!</v>
      </c>
      <c r="S1276" t="str">
        <f ca="1">IFERROR(N1276*VLOOKUP(Tab_Calculs[[#This Row],[Colonne1]],Controle_des_données!$B$7:$G$14,6,FALSE),"")</f>
        <v/>
      </c>
      <c r="T1276" t="str">
        <f ca="1">IF(Tab_Calculs[[#This Row],[Combustible ]]="Electricité (kWh)",Tab_Calculs[[#This Row],[Conso_mois_kWh]]*2.3,Tab_Calculs[[#This Row],[Conso_mois_kWh]])</f>
        <v/>
      </c>
      <c r="U1276" t="str">
        <f ca="1">IFERROR(N1276*VLOOKUP(Tab_Calculs[[#This Row],[Colonne1]],Controle_des_données!$B$7:$H$14,7,FALSE),"")</f>
        <v/>
      </c>
      <c r="V1276">
        <f ca="1">IFERROR(Tab_Calculs[[#This Row],[Cout_mois]]/Tab_Calculs[[#This Row],[Conso_mois_kWh]],0)</f>
        <v>0</v>
      </c>
      <c r="W1276" t="str">
        <f>T(VLOOKUP(Tab_Calculs[[#This Row],[Compteur]],Site!$B$33:$G$40,3,FALSE))</f>
        <v/>
      </c>
      <c r="X1276" t="str">
        <f>T(VLOOKUP(Tab_Calculs[[#This Row],[Compteur]],Site!$B$33:$G$40,4,FALSE))</f>
        <v/>
      </c>
      <c r="Y1276" t="str">
        <f>T(VLOOKUP(Tab_Calculs[[#This Row],[Compteur]],Site!$B$33:$G$40,5,FALSE))</f>
        <v/>
      </c>
      <c r="Z1276" t="str">
        <f>T(VLOOKUP(Tab_Calculs[[#This Row],[Compteur]],Site!$B$33:$G$40,6,FALSE))</f>
        <v/>
      </c>
      <c r="AA1276">
        <f>IFERROR(GETPIVOTDATA("DJU(chauffagiste)",BDD_DJU!$P$13,"annee",Tab_Calculs[[#This Row],[ANNEE]],"mois_numero",Tab_Calculs[[#This Row],[MOIS]]),0)</f>
        <v>30.2</v>
      </c>
    </row>
    <row r="1277" spans="1:27" x14ac:dyDescent="0.25">
      <c r="A1277" s="3">
        <f>DATE(Tab_Calculs[[#This Row],[ANNEE]],Tab_Calculs[[#This Row],[MOIS]],1)</f>
        <v>43709</v>
      </c>
      <c r="B1277" s="3">
        <f>EDATE(Tab_Calculs[[#This Row],[Début mois]],1)-1</f>
        <v>43738</v>
      </c>
      <c r="C1277">
        <f t="shared" si="43"/>
        <v>9</v>
      </c>
      <c r="D1277">
        <f t="shared" si="42"/>
        <v>2019</v>
      </c>
      <c r="E1277" t="s">
        <v>86</v>
      </c>
      <c r="F1277" t="str">
        <f>SUBSTITUTE(Tab_Calculs[[#This Row],[Compteur]]," ","_")</f>
        <v>Compteur_7</v>
      </c>
      <c r="G1277" t="str">
        <f>T(INDEX(Site!$B$33:$G$40, MATCH(Tab_Calculs[[#This Row],[Compteur]], Site!$B$33:$B$40,0),2))</f>
        <v/>
      </c>
      <c r="H1277" s="3">
        <f t="array" aca="1" ref="H1277" ca="1">MIN(IF(INDIRECT(CONCATENATE(Tab_Calculs[[#This Row],[Colonne1]],"!$B$2:$B$243"))&gt;=Calculs_Consos!$A1277,INDIRECT(CONCATENATE(Tab_Calculs[[#This Row],[Colonne1]],"!$B$2:$B$243"))))</f>
        <v>0</v>
      </c>
      <c r="I1277" s="3">
        <f ca="1">INDEX(INDIRECT(CONCATENATE("Tab_",Tab_Calculs[[#This Row],[Colonne1]])),Tab_Calculs[[#This Row],[index_date_livraison]],1)</f>
        <v>0</v>
      </c>
      <c r="J1277">
        <f ca="1">MATCH(Tab_Calculs[[#This Row],[Date_livraison]],INDIRECT(CONCATENATE("Tab_",Tab_Calculs[[#This Row],[Colonne1]],"[Fin de période]")),0)</f>
        <v>1</v>
      </c>
      <c r="K1277" t="e">
        <f ca="1">INDEX(INDIRECT(CONCATENATE("Tab_",Tab_Calculs[[#This Row],[Colonne1]])),Tab_Calculs[[#This Row],[index_date_livraison]]-1,6)*(MAX(Tab_Calculs[[#This Row],[Début periode livraison]],Tab_Calculs[[#This Row],[Début mois]])-Tab_Calculs[[#This Row],[Début mois]])</f>
        <v>#VALUE!</v>
      </c>
      <c r="L1277" s="94">
        <f ca="1">INDEX(INDIRECT(CONCATENATE("Tab_",Tab_Calculs[[#This Row],[Colonne1]])),Tab_Calculs[[#This Row],[index_date_livraison]],6)*(1+MIN(Tab_Calculs[[#This Row],[Date_livraison]],Tab_Calculs[[#This Row],[fin mois]])-MAX(Tab_Calculs[[#This Row],[Début mois]],Tab_Calculs[[#This Row],[Début periode livraison]]))</f>
        <v>0</v>
      </c>
      <c r="M1277" s="94" t="e">
        <f ca="1">INDEX(INDIRECT(CONCATENATE("Tab_",Tab_Calculs[[#This Row],[Colonne1]])),Tab_Calculs[[#This Row],[index_date_livraison]]+1,6)*(Tab_Calculs[[#This Row],[fin mois]]-MIN(Tab_Calculs[[#This Row],[fin mois]],Tab_Calculs[[#This Row],[Date_livraison]]))</f>
        <v>#VALUE!</v>
      </c>
      <c r="N1277" s="231" t="str">
        <f ca="1">IFERROR(Tab_Calculs[[#This Row],[Ratio_jour_après_livr]]+Tab_Calculs[[#This Row],[Ratio_jour_avant_livr]]+Tab_Calculs[[#This Row],[ratio_avant_debut]],"")</f>
        <v/>
      </c>
      <c r="O1277" t="e">
        <f ca="1">INDEX(INDIRECT(CONCATENATE("Tab_",Tab_Calculs[[#This Row],[Colonne1]])),Tab_Calculs[[#This Row],[index_date_livraison]]-1,7)*(MAX(Tab_Calculs[[#This Row],[Début periode livraison]],Tab_Calculs[[#This Row],[Début mois]])-Tab_Calculs[[#This Row],[Début mois]])</f>
        <v>#VALUE!</v>
      </c>
      <c r="P1277">
        <f ca="1">INDEX(INDIRECT(CONCATENATE("Tab_",Tab_Calculs[[#This Row],[Colonne1]])),Tab_Calculs[[#This Row],[index_date_livraison]],7)*(1+MIN(Tab_Calculs[[#This Row],[Date_livraison]],Tab_Calculs[[#This Row],[fin mois]])-MAX(Tab_Calculs[[#This Row],[Début mois]],Tab_Calculs[[#This Row],[Début periode livraison]]))</f>
        <v>0</v>
      </c>
      <c r="Q1277" t="e">
        <f ca="1">INDEX(INDIRECT(CONCATENATE("Tab_",Tab_Calculs[[#This Row],[Colonne1]])),Tab_Calculs[[#This Row],[index_date_livraison]]+1,7)*(Tab_Calculs[[#This Row],[fin mois]]-MIN(Tab_Calculs[[#This Row],[fin mois]],Tab_Calculs[[#This Row],[Date_livraison]]))</f>
        <v>#VALUE!</v>
      </c>
      <c r="R1277" t="e">
        <f ca="1">Tab_Calculs[[#This Row],[Ratio_Cout_après_livr]]+Tab_Calculs[[#This Row],[Ratio_Cout_avant_livr]]+Tab_Calculs[[#This Row],[Ratio_Cout_avant_debut]]</f>
        <v>#VALUE!</v>
      </c>
      <c r="S1277" t="str">
        <f ca="1">IFERROR(N1277*VLOOKUP(Tab_Calculs[[#This Row],[Colonne1]],Controle_des_données!$B$7:$G$14,6,FALSE),"")</f>
        <v/>
      </c>
      <c r="T1277" t="str">
        <f ca="1">IF(Tab_Calculs[[#This Row],[Combustible ]]="Electricité (kWh)",Tab_Calculs[[#This Row],[Conso_mois_kWh]]*2.3,Tab_Calculs[[#This Row],[Conso_mois_kWh]])</f>
        <v/>
      </c>
      <c r="U1277" t="str">
        <f ca="1">IFERROR(N1277*VLOOKUP(Tab_Calculs[[#This Row],[Colonne1]],Controle_des_données!$B$7:$H$14,7,FALSE),"")</f>
        <v/>
      </c>
      <c r="V1277">
        <f ca="1">IFERROR(Tab_Calculs[[#This Row],[Cout_mois]]/Tab_Calculs[[#This Row],[Conso_mois_kWh]],0)</f>
        <v>0</v>
      </c>
      <c r="W1277" t="str">
        <f>T(VLOOKUP(Tab_Calculs[[#This Row],[Compteur]],Site!$B$33:$G$40,3,FALSE))</f>
        <v/>
      </c>
      <c r="X1277" t="str">
        <f>T(VLOOKUP(Tab_Calculs[[#This Row],[Compteur]],Site!$B$33:$G$40,4,FALSE))</f>
        <v/>
      </c>
      <c r="Y1277" t="str">
        <f>T(VLOOKUP(Tab_Calculs[[#This Row],[Compteur]],Site!$B$33:$G$40,5,FALSE))</f>
        <v/>
      </c>
      <c r="Z1277" t="str">
        <f>T(VLOOKUP(Tab_Calculs[[#This Row],[Compteur]],Site!$B$33:$G$40,6,FALSE))</f>
        <v/>
      </c>
      <c r="AA1277">
        <f>IFERROR(GETPIVOTDATA("DJU(chauffagiste)",BDD_DJU!$P$13,"annee",Tab_Calculs[[#This Row],[ANNEE]],"mois_numero",Tab_Calculs[[#This Row],[MOIS]]),0)</f>
        <v>64.7</v>
      </c>
    </row>
    <row r="1278" spans="1:27" x14ac:dyDescent="0.25">
      <c r="A1278" s="3">
        <f>DATE(Tab_Calculs[[#This Row],[ANNEE]],Tab_Calculs[[#This Row],[MOIS]],1)</f>
        <v>43739</v>
      </c>
      <c r="B1278" s="3">
        <f>EDATE(Tab_Calculs[[#This Row],[Début mois]],1)-1</f>
        <v>43769</v>
      </c>
      <c r="C1278">
        <f t="shared" si="43"/>
        <v>10</v>
      </c>
      <c r="D1278">
        <f t="shared" si="42"/>
        <v>2019</v>
      </c>
      <c r="E1278" t="s">
        <v>86</v>
      </c>
      <c r="F1278" t="str">
        <f>SUBSTITUTE(Tab_Calculs[[#This Row],[Compteur]]," ","_")</f>
        <v>Compteur_7</v>
      </c>
      <c r="G1278" t="str">
        <f>T(INDEX(Site!$B$33:$G$40, MATCH(Tab_Calculs[[#This Row],[Compteur]], Site!$B$33:$B$40,0),2))</f>
        <v/>
      </c>
      <c r="H1278" s="3">
        <f t="array" aca="1" ref="H1278" ca="1">MIN(IF(INDIRECT(CONCATENATE(Tab_Calculs[[#This Row],[Colonne1]],"!$B$2:$B$243"))&gt;=Calculs_Consos!$A1278,INDIRECT(CONCATENATE(Tab_Calculs[[#This Row],[Colonne1]],"!$B$2:$B$243"))))</f>
        <v>0</v>
      </c>
      <c r="I1278" s="3">
        <f ca="1">INDEX(INDIRECT(CONCATENATE("Tab_",Tab_Calculs[[#This Row],[Colonne1]])),Tab_Calculs[[#This Row],[index_date_livraison]],1)</f>
        <v>0</v>
      </c>
      <c r="J1278">
        <f ca="1">MATCH(Tab_Calculs[[#This Row],[Date_livraison]],INDIRECT(CONCATENATE("Tab_",Tab_Calculs[[#This Row],[Colonne1]],"[Fin de période]")),0)</f>
        <v>1</v>
      </c>
      <c r="K1278" t="e">
        <f ca="1">INDEX(INDIRECT(CONCATENATE("Tab_",Tab_Calculs[[#This Row],[Colonne1]])),Tab_Calculs[[#This Row],[index_date_livraison]]-1,6)*(MAX(Tab_Calculs[[#This Row],[Début periode livraison]],Tab_Calculs[[#This Row],[Début mois]])-Tab_Calculs[[#This Row],[Début mois]])</f>
        <v>#VALUE!</v>
      </c>
      <c r="L1278" s="94">
        <f ca="1">INDEX(INDIRECT(CONCATENATE("Tab_",Tab_Calculs[[#This Row],[Colonne1]])),Tab_Calculs[[#This Row],[index_date_livraison]],6)*(1+MIN(Tab_Calculs[[#This Row],[Date_livraison]],Tab_Calculs[[#This Row],[fin mois]])-MAX(Tab_Calculs[[#This Row],[Début mois]],Tab_Calculs[[#This Row],[Début periode livraison]]))</f>
        <v>0</v>
      </c>
      <c r="M1278" s="94" t="e">
        <f ca="1">INDEX(INDIRECT(CONCATENATE("Tab_",Tab_Calculs[[#This Row],[Colonne1]])),Tab_Calculs[[#This Row],[index_date_livraison]]+1,6)*(Tab_Calculs[[#This Row],[fin mois]]-MIN(Tab_Calculs[[#This Row],[fin mois]],Tab_Calculs[[#This Row],[Date_livraison]]))</f>
        <v>#VALUE!</v>
      </c>
      <c r="N1278" s="231" t="str">
        <f ca="1">IFERROR(Tab_Calculs[[#This Row],[Ratio_jour_après_livr]]+Tab_Calculs[[#This Row],[Ratio_jour_avant_livr]]+Tab_Calculs[[#This Row],[ratio_avant_debut]],"")</f>
        <v/>
      </c>
      <c r="O1278" t="e">
        <f ca="1">INDEX(INDIRECT(CONCATENATE("Tab_",Tab_Calculs[[#This Row],[Colonne1]])),Tab_Calculs[[#This Row],[index_date_livraison]]-1,7)*(MAX(Tab_Calculs[[#This Row],[Début periode livraison]],Tab_Calculs[[#This Row],[Début mois]])-Tab_Calculs[[#This Row],[Début mois]])</f>
        <v>#VALUE!</v>
      </c>
      <c r="P1278">
        <f ca="1">INDEX(INDIRECT(CONCATENATE("Tab_",Tab_Calculs[[#This Row],[Colonne1]])),Tab_Calculs[[#This Row],[index_date_livraison]],7)*(1+MIN(Tab_Calculs[[#This Row],[Date_livraison]],Tab_Calculs[[#This Row],[fin mois]])-MAX(Tab_Calculs[[#This Row],[Début mois]],Tab_Calculs[[#This Row],[Début periode livraison]]))</f>
        <v>0</v>
      </c>
      <c r="Q1278" t="e">
        <f ca="1">INDEX(INDIRECT(CONCATENATE("Tab_",Tab_Calculs[[#This Row],[Colonne1]])),Tab_Calculs[[#This Row],[index_date_livraison]]+1,7)*(Tab_Calculs[[#This Row],[fin mois]]-MIN(Tab_Calculs[[#This Row],[fin mois]],Tab_Calculs[[#This Row],[Date_livraison]]))</f>
        <v>#VALUE!</v>
      </c>
      <c r="R1278" t="e">
        <f ca="1">Tab_Calculs[[#This Row],[Ratio_Cout_après_livr]]+Tab_Calculs[[#This Row],[Ratio_Cout_avant_livr]]+Tab_Calculs[[#This Row],[Ratio_Cout_avant_debut]]</f>
        <v>#VALUE!</v>
      </c>
      <c r="S1278" t="str">
        <f ca="1">IFERROR(N1278*VLOOKUP(Tab_Calculs[[#This Row],[Colonne1]],Controle_des_données!$B$7:$G$14,6,FALSE),"")</f>
        <v/>
      </c>
      <c r="T1278" t="str">
        <f ca="1">IF(Tab_Calculs[[#This Row],[Combustible ]]="Electricité (kWh)",Tab_Calculs[[#This Row],[Conso_mois_kWh]]*2.3,Tab_Calculs[[#This Row],[Conso_mois_kWh]])</f>
        <v/>
      </c>
      <c r="U1278" t="str">
        <f ca="1">IFERROR(N1278*VLOOKUP(Tab_Calculs[[#This Row],[Colonne1]],Controle_des_données!$B$7:$H$14,7,FALSE),"")</f>
        <v/>
      </c>
      <c r="V1278">
        <f ca="1">IFERROR(Tab_Calculs[[#This Row],[Cout_mois]]/Tab_Calculs[[#This Row],[Conso_mois_kWh]],0)</f>
        <v>0</v>
      </c>
      <c r="W1278" t="str">
        <f>T(VLOOKUP(Tab_Calculs[[#This Row],[Compteur]],Site!$B$33:$G$40,3,FALSE))</f>
        <v/>
      </c>
      <c r="X1278" t="str">
        <f>T(VLOOKUP(Tab_Calculs[[#This Row],[Compteur]],Site!$B$33:$G$40,4,FALSE))</f>
        <v/>
      </c>
      <c r="Y1278" t="str">
        <f>T(VLOOKUP(Tab_Calculs[[#This Row],[Compteur]],Site!$B$33:$G$40,5,FALSE))</f>
        <v/>
      </c>
      <c r="Z1278" t="str">
        <f>T(VLOOKUP(Tab_Calculs[[#This Row],[Compteur]],Site!$B$33:$G$40,6,FALSE))</f>
        <v/>
      </c>
      <c r="AA1278">
        <f>IFERROR(GETPIVOTDATA("DJU(chauffagiste)",BDD_DJU!$P$13,"annee",Tab_Calculs[[#This Row],[ANNEE]],"mois_numero",Tab_Calculs[[#This Row],[MOIS]]),0)</f>
        <v>128.80000000000001</v>
      </c>
    </row>
    <row r="1279" spans="1:27" x14ac:dyDescent="0.25">
      <c r="A1279" s="3">
        <f>DATE(Tab_Calculs[[#This Row],[ANNEE]],Tab_Calculs[[#This Row],[MOIS]],1)</f>
        <v>43770</v>
      </c>
      <c r="B1279" s="3">
        <f>EDATE(Tab_Calculs[[#This Row],[Début mois]],1)-1</f>
        <v>43799</v>
      </c>
      <c r="C1279">
        <f t="shared" si="43"/>
        <v>11</v>
      </c>
      <c r="D1279">
        <f t="shared" si="42"/>
        <v>2019</v>
      </c>
      <c r="E1279" t="s">
        <v>86</v>
      </c>
      <c r="F1279" t="str">
        <f>SUBSTITUTE(Tab_Calculs[[#This Row],[Compteur]]," ","_")</f>
        <v>Compteur_7</v>
      </c>
      <c r="G1279" t="str">
        <f>T(INDEX(Site!$B$33:$G$40, MATCH(Tab_Calculs[[#This Row],[Compteur]], Site!$B$33:$B$40,0),2))</f>
        <v/>
      </c>
      <c r="H1279" s="3">
        <f t="array" aca="1" ref="H1279" ca="1">MIN(IF(INDIRECT(CONCATENATE(Tab_Calculs[[#This Row],[Colonne1]],"!$B$2:$B$243"))&gt;=Calculs_Consos!$A1279,INDIRECT(CONCATENATE(Tab_Calculs[[#This Row],[Colonne1]],"!$B$2:$B$243"))))</f>
        <v>0</v>
      </c>
      <c r="I1279" s="3">
        <f ca="1">INDEX(INDIRECT(CONCATENATE("Tab_",Tab_Calculs[[#This Row],[Colonne1]])),Tab_Calculs[[#This Row],[index_date_livraison]],1)</f>
        <v>0</v>
      </c>
      <c r="J1279">
        <f ca="1">MATCH(Tab_Calculs[[#This Row],[Date_livraison]],INDIRECT(CONCATENATE("Tab_",Tab_Calculs[[#This Row],[Colonne1]],"[Fin de période]")),0)</f>
        <v>1</v>
      </c>
      <c r="K1279" t="e">
        <f ca="1">INDEX(INDIRECT(CONCATENATE("Tab_",Tab_Calculs[[#This Row],[Colonne1]])),Tab_Calculs[[#This Row],[index_date_livraison]]-1,6)*(MAX(Tab_Calculs[[#This Row],[Début periode livraison]],Tab_Calculs[[#This Row],[Début mois]])-Tab_Calculs[[#This Row],[Début mois]])</f>
        <v>#VALUE!</v>
      </c>
      <c r="L1279" s="94">
        <f ca="1">INDEX(INDIRECT(CONCATENATE("Tab_",Tab_Calculs[[#This Row],[Colonne1]])),Tab_Calculs[[#This Row],[index_date_livraison]],6)*(1+MIN(Tab_Calculs[[#This Row],[Date_livraison]],Tab_Calculs[[#This Row],[fin mois]])-MAX(Tab_Calculs[[#This Row],[Début mois]],Tab_Calculs[[#This Row],[Début periode livraison]]))</f>
        <v>0</v>
      </c>
      <c r="M1279" s="94" t="e">
        <f ca="1">INDEX(INDIRECT(CONCATENATE("Tab_",Tab_Calculs[[#This Row],[Colonne1]])),Tab_Calculs[[#This Row],[index_date_livraison]]+1,6)*(Tab_Calculs[[#This Row],[fin mois]]-MIN(Tab_Calculs[[#This Row],[fin mois]],Tab_Calculs[[#This Row],[Date_livraison]]))</f>
        <v>#VALUE!</v>
      </c>
      <c r="N1279" s="231" t="str">
        <f ca="1">IFERROR(Tab_Calculs[[#This Row],[Ratio_jour_après_livr]]+Tab_Calculs[[#This Row],[Ratio_jour_avant_livr]]+Tab_Calculs[[#This Row],[ratio_avant_debut]],"")</f>
        <v/>
      </c>
      <c r="O1279" t="e">
        <f ca="1">INDEX(INDIRECT(CONCATENATE("Tab_",Tab_Calculs[[#This Row],[Colonne1]])),Tab_Calculs[[#This Row],[index_date_livraison]]-1,7)*(MAX(Tab_Calculs[[#This Row],[Début periode livraison]],Tab_Calculs[[#This Row],[Début mois]])-Tab_Calculs[[#This Row],[Début mois]])</f>
        <v>#VALUE!</v>
      </c>
      <c r="P1279">
        <f ca="1">INDEX(INDIRECT(CONCATENATE("Tab_",Tab_Calculs[[#This Row],[Colonne1]])),Tab_Calculs[[#This Row],[index_date_livraison]],7)*(1+MIN(Tab_Calculs[[#This Row],[Date_livraison]],Tab_Calculs[[#This Row],[fin mois]])-MAX(Tab_Calculs[[#This Row],[Début mois]],Tab_Calculs[[#This Row],[Début periode livraison]]))</f>
        <v>0</v>
      </c>
      <c r="Q1279" t="e">
        <f ca="1">INDEX(INDIRECT(CONCATENATE("Tab_",Tab_Calculs[[#This Row],[Colonne1]])),Tab_Calculs[[#This Row],[index_date_livraison]]+1,7)*(Tab_Calculs[[#This Row],[fin mois]]-MIN(Tab_Calculs[[#This Row],[fin mois]],Tab_Calculs[[#This Row],[Date_livraison]]))</f>
        <v>#VALUE!</v>
      </c>
      <c r="R1279" t="e">
        <f ca="1">Tab_Calculs[[#This Row],[Ratio_Cout_après_livr]]+Tab_Calculs[[#This Row],[Ratio_Cout_avant_livr]]+Tab_Calculs[[#This Row],[Ratio_Cout_avant_debut]]</f>
        <v>#VALUE!</v>
      </c>
      <c r="S1279" t="str">
        <f ca="1">IFERROR(N1279*VLOOKUP(Tab_Calculs[[#This Row],[Colonne1]],Controle_des_données!$B$7:$G$14,6,FALSE),"")</f>
        <v/>
      </c>
      <c r="T1279" t="str">
        <f ca="1">IF(Tab_Calculs[[#This Row],[Combustible ]]="Electricité (kWh)",Tab_Calculs[[#This Row],[Conso_mois_kWh]]*2.3,Tab_Calculs[[#This Row],[Conso_mois_kWh]])</f>
        <v/>
      </c>
      <c r="U1279" t="str">
        <f ca="1">IFERROR(N1279*VLOOKUP(Tab_Calculs[[#This Row],[Colonne1]],Controle_des_données!$B$7:$H$14,7,FALSE),"")</f>
        <v/>
      </c>
      <c r="V1279">
        <f ca="1">IFERROR(Tab_Calculs[[#This Row],[Cout_mois]]/Tab_Calculs[[#This Row],[Conso_mois_kWh]],0)</f>
        <v>0</v>
      </c>
      <c r="W1279" t="str">
        <f>T(VLOOKUP(Tab_Calculs[[#This Row],[Compteur]],Site!$B$33:$G$40,3,FALSE))</f>
        <v/>
      </c>
      <c r="X1279" t="str">
        <f>T(VLOOKUP(Tab_Calculs[[#This Row],[Compteur]],Site!$B$33:$G$40,4,FALSE))</f>
        <v/>
      </c>
      <c r="Y1279" t="str">
        <f>T(VLOOKUP(Tab_Calculs[[#This Row],[Compteur]],Site!$B$33:$G$40,5,FALSE))</f>
        <v/>
      </c>
      <c r="Z1279" t="str">
        <f>T(VLOOKUP(Tab_Calculs[[#This Row],[Compteur]],Site!$B$33:$G$40,6,FALSE))</f>
        <v/>
      </c>
      <c r="AA1279">
        <f>IFERROR(GETPIVOTDATA("DJU(chauffagiste)",BDD_DJU!$P$13,"annee",Tab_Calculs[[#This Row],[ANNEE]],"mois_numero",Tab_Calculs[[#This Row],[MOIS]]),0)</f>
        <v>293.10000000000002</v>
      </c>
    </row>
    <row r="1280" spans="1:27" x14ac:dyDescent="0.25">
      <c r="A1280" s="3">
        <f>DATE(Tab_Calculs[[#This Row],[ANNEE]],Tab_Calculs[[#This Row],[MOIS]],1)</f>
        <v>43800</v>
      </c>
      <c r="B1280" s="3">
        <f>EDATE(Tab_Calculs[[#This Row],[Début mois]],1)-1</f>
        <v>43830</v>
      </c>
      <c r="C1280">
        <f t="shared" si="43"/>
        <v>12</v>
      </c>
      <c r="D1280">
        <f t="shared" si="42"/>
        <v>2019</v>
      </c>
      <c r="E1280" t="s">
        <v>86</v>
      </c>
      <c r="F1280" t="str">
        <f>SUBSTITUTE(Tab_Calculs[[#This Row],[Compteur]]," ","_")</f>
        <v>Compteur_7</v>
      </c>
      <c r="G1280" t="str">
        <f>T(INDEX(Site!$B$33:$G$40, MATCH(Tab_Calculs[[#This Row],[Compteur]], Site!$B$33:$B$40,0),2))</f>
        <v/>
      </c>
      <c r="H1280" s="3">
        <f t="array" aca="1" ref="H1280" ca="1">MIN(IF(INDIRECT(CONCATENATE(Tab_Calculs[[#This Row],[Colonne1]],"!$B$2:$B$243"))&gt;=Calculs_Consos!$A1280,INDIRECT(CONCATENATE(Tab_Calculs[[#This Row],[Colonne1]],"!$B$2:$B$243"))))</f>
        <v>0</v>
      </c>
      <c r="I1280" s="3">
        <f ca="1">INDEX(INDIRECT(CONCATENATE("Tab_",Tab_Calculs[[#This Row],[Colonne1]])),Tab_Calculs[[#This Row],[index_date_livraison]],1)</f>
        <v>0</v>
      </c>
      <c r="J1280">
        <f ca="1">MATCH(Tab_Calculs[[#This Row],[Date_livraison]],INDIRECT(CONCATENATE("Tab_",Tab_Calculs[[#This Row],[Colonne1]],"[Fin de période]")),0)</f>
        <v>1</v>
      </c>
      <c r="K1280" t="e">
        <f ca="1">INDEX(INDIRECT(CONCATENATE("Tab_",Tab_Calculs[[#This Row],[Colonne1]])),Tab_Calculs[[#This Row],[index_date_livraison]]-1,6)*(MAX(Tab_Calculs[[#This Row],[Début periode livraison]],Tab_Calculs[[#This Row],[Début mois]])-Tab_Calculs[[#This Row],[Début mois]])</f>
        <v>#VALUE!</v>
      </c>
      <c r="L1280" s="94">
        <f ca="1">INDEX(INDIRECT(CONCATENATE("Tab_",Tab_Calculs[[#This Row],[Colonne1]])),Tab_Calculs[[#This Row],[index_date_livraison]],6)*(1+MIN(Tab_Calculs[[#This Row],[Date_livraison]],Tab_Calculs[[#This Row],[fin mois]])-MAX(Tab_Calculs[[#This Row],[Début mois]],Tab_Calculs[[#This Row],[Début periode livraison]]))</f>
        <v>0</v>
      </c>
      <c r="M1280" s="94" t="e">
        <f ca="1">INDEX(INDIRECT(CONCATENATE("Tab_",Tab_Calculs[[#This Row],[Colonne1]])),Tab_Calculs[[#This Row],[index_date_livraison]]+1,6)*(Tab_Calculs[[#This Row],[fin mois]]-MIN(Tab_Calculs[[#This Row],[fin mois]],Tab_Calculs[[#This Row],[Date_livraison]]))</f>
        <v>#VALUE!</v>
      </c>
      <c r="N1280" s="231" t="str">
        <f ca="1">IFERROR(Tab_Calculs[[#This Row],[Ratio_jour_après_livr]]+Tab_Calculs[[#This Row],[Ratio_jour_avant_livr]]+Tab_Calculs[[#This Row],[ratio_avant_debut]],"")</f>
        <v/>
      </c>
      <c r="O1280" t="e">
        <f ca="1">INDEX(INDIRECT(CONCATENATE("Tab_",Tab_Calculs[[#This Row],[Colonne1]])),Tab_Calculs[[#This Row],[index_date_livraison]]-1,7)*(MAX(Tab_Calculs[[#This Row],[Début periode livraison]],Tab_Calculs[[#This Row],[Début mois]])-Tab_Calculs[[#This Row],[Début mois]])</f>
        <v>#VALUE!</v>
      </c>
      <c r="P1280">
        <f ca="1">INDEX(INDIRECT(CONCATENATE("Tab_",Tab_Calculs[[#This Row],[Colonne1]])),Tab_Calculs[[#This Row],[index_date_livraison]],7)*(1+MIN(Tab_Calculs[[#This Row],[Date_livraison]],Tab_Calculs[[#This Row],[fin mois]])-MAX(Tab_Calculs[[#This Row],[Début mois]],Tab_Calculs[[#This Row],[Début periode livraison]]))</f>
        <v>0</v>
      </c>
      <c r="Q1280" t="e">
        <f ca="1">INDEX(INDIRECT(CONCATENATE("Tab_",Tab_Calculs[[#This Row],[Colonne1]])),Tab_Calculs[[#This Row],[index_date_livraison]]+1,7)*(Tab_Calculs[[#This Row],[fin mois]]-MIN(Tab_Calculs[[#This Row],[fin mois]],Tab_Calculs[[#This Row],[Date_livraison]]))</f>
        <v>#VALUE!</v>
      </c>
      <c r="R1280" t="e">
        <f ca="1">Tab_Calculs[[#This Row],[Ratio_Cout_après_livr]]+Tab_Calculs[[#This Row],[Ratio_Cout_avant_livr]]+Tab_Calculs[[#This Row],[Ratio_Cout_avant_debut]]</f>
        <v>#VALUE!</v>
      </c>
      <c r="S1280" t="str">
        <f ca="1">IFERROR(N1280*VLOOKUP(Tab_Calculs[[#This Row],[Colonne1]],Controle_des_données!$B$7:$G$14,6,FALSE),"")</f>
        <v/>
      </c>
      <c r="T1280" t="str">
        <f ca="1">IF(Tab_Calculs[[#This Row],[Combustible ]]="Electricité (kWh)",Tab_Calculs[[#This Row],[Conso_mois_kWh]]*2.3,Tab_Calculs[[#This Row],[Conso_mois_kWh]])</f>
        <v/>
      </c>
      <c r="U1280" t="str">
        <f ca="1">IFERROR(N1280*VLOOKUP(Tab_Calculs[[#This Row],[Colonne1]],Controle_des_données!$B$7:$H$14,7,FALSE),"")</f>
        <v/>
      </c>
      <c r="V1280">
        <f ca="1">IFERROR(Tab_Calculs[[#This Row],[Cout_mois]]/Tab_Calculs[[#This Row],[Conso_mois_kWh]],0)</f>
        <v>0</v>
      </c>
      <c r="W1280" t="str">
        <f>T(VLOOKUP(Tab_Calculs[[#This Row],[Compteur]],Site!$B$33:$G$40,3,FALSE))</f>
        <v/>
      </c>
      <c r="X1280" t="str">
        <f>T(VLOOKUP(Tab_Calculs[[#This Row],[Compteur]],Site!$B$33:$G$40,4,FALSE))</f>
        <v/>
      </c>
      <c r="Y1280" t="str">
        <f>T(VLOOKUP(Tab_Calculs[[#This Row],[Compteur]],Site!$B$33:$G$40,5,FALSE))</f>
        <v/>
      </c>
      <c r="Z1280" t="str">
        <f>T(VLOOKUP(Tab_Calculs[[#This Row],[Compteur]],Site!$B$33:$G$40,6,FALSE))</f>
        <v/>
      </c>
      <c r="AA1280">
        <f>IFERROR(GETPIVOTDATA("DJU(chauffagiste)",BDD_DJU!$P$13,"annee",Tab_Calculs[[#This Row],[ANNEE]],"mois_numero",Tab_Calculs[[#This Row],[MOIS]]),0)</f>
        <v>323</v>
      </c>
    </row>
    <row r="1281" spans="1:27" x14ac:dyDescent="0.25">
      <c r="A1281" s="3">
        <f>DATE(Tab_Calculs[[#This Row],[ANNEE]],Tab_Calculs[[#This Row],[MOIS]],1)</f>
        <v>43831</v>
      </c>
      <c r="B1281" s="3">
        <f>EDATE(Tab_Calculs[[#This Row],[Début mois]],1)-1</f>
        <v>43861</v>
      </c>
      <c r="C1281">
        <f t="shared" si="43"/>
        <v>1</v>
      </c>
      <c r="D1281">
        <f t="shared" si="42"/>
        <v>2020</v>
      </c>
      <c r="E1281" t="s">
        <v>86</v>
      </c>
      <c r="F1281" t="str">
        <f>SUBSTITUTE(Tab_Calculs[[#This Row],[Compteur]]," ","_")</f>
        <v>Compteur_7</v>
      </c>
      <c r="G1281" t="str">
        <f>T(INDEX(Site!$B$33:$G$40, MATCH(Tab_Calculs[[#This Row],[Compteur]], Site!$B$33:$B$40,0),2))</f>
        <v/>
      </c>
      <c r="H1281" s="3">
        <f t="array" aca="1" ref="H1281" ca="1">MIN(IF(INDIRECT(CONCATENATE(Tab_Calculs[[#This Row],[Colonne1]],"!$B$2:$B$243"))&gt;=Calculs_Consos!$A1281,INDIRECT(CONCATENATE(Tab_Calculs[[#This Row],[Colonne1]],"!$B$2:$B$243"))))</f>
        <v>0</v>
      </c>
      <c r="I1281" s="3">
        <f ca="1">INDEX(INDIRECT(CONCATENATE("Tab_",Tab_Calculs[[#This Row],[Colonne1]])),Tab_Calculs[[#This Row],[index_date_livraison]],1)</f>
        <v>0</v>
      </c>
      <c r="J1281">
        <f ca="1">MATCH(Tab_Calculs[[#This Row],[Date_livraison]],INDIRECT(CONCATENATE("Tab_",Tab_Calculs[[#This Row],[Colonne1]],"[Fin de période]")),0)</f>
        <v>1</v>
      </c>
      <c r="K1281" t="e">
        <f ca="1">INDEX(INDIRECT(CONCATENATE("Tab_",Tab_Calculs[[#This Row],[Colonne1]])),Tab_Calculs[[#This Row],[index_date_livraison]]-1,6)*(MAX(Tab_Calculs[[#This Row],[Début periode livraison]],Tab_Calculs[[#This Row],[Début mois]])-Tab_Calculs[[#This Row],[Début mois]])</f>
        <v>#VALUE!</v>
      </c>
      <c r="L1281" s="94">
        <f ca="1">INDEX(INDIRECT(CONCATENATE("Tab_",Tab_Calculs[[#This Row],[Colonne1]])),Tab_Calculs[[#This Row],[index_date_livraison]],6)*(1+MIN(Tab_Calculs[[#This Row],[Date_livraison]],Tab_Calculs[[#This Row],[fin mois]])-MAX(Tab_Calculs[[#This Row],[Début mois]],Tab_Calculs[[#This Row],[Début periode livraison]]))</f>
        <v>0</v>
      </c>
      <c r="M1281" s="94" t="e">
        <f ca="1">INDEX(INDIRECT(CONCATENATE("Tab_",Tab_Calculs[[#This Row],[Colonne1]])),Tab_Calculs[[#This Row],[index_date_livraison]]+1,6)*(Tab_Calculs[[#This Row],[fin mois]]-MIN(Tab_Calculs[[#This Row],[fin mois]],Tab_Calculs[[#This Row],[Date_livraison]]))</f>
        <v>#VALUE!</v>
      </c>
      <c r="N1281" s="231" t="str">
        <f ca="1">IFERROR(Tab_Calculs[[#This Row],[Ratio_jour_après_livr]]+Tab_Calculs[[#This Row],[Ratio_jour_avant_livr]]+Tab_Calculs[[#This Row],[ratio_avant_debut]],"")</f>
        <v/>
      </c>
      <c r="O1281" t="e">
        <f ca="1">INDEX(INDIRECT(CONCATENATE("Tab_",Tab_Calculs[[#This Row],[Colonne1]])),Tab_Calculs[[#This Row],[index_date_livraison]]-1,7)*(MAX(Tab_Calculs[[#This Row],[Début periode livraison]],Tab_Calculs[[#This Row],[Début mois]])-Tab_Calculs[[#This Row],[Début mois]])</f>
        <v>#VALUE!</v>
      </c>
      <c r="P1281">
        <f ca="1">INDEX(INDIRECT(CONCATENATE("Tab_",Tab_Calculs[[#This Row],[Colonne1]])),Tab_Calculs[[#This Row],[index_date_livraison]],7)*(1+MIN(Tab_Calculs[[#This Row],[Date_livraison]],Tab_Calculs[[#This Row],[fin mois]])-MAX(Tab_Calculs[[#This Row],[Début mois]],Tab_Calculs[[#This Row],[Début periode livraison]]))</f>
        <v>0</v>
      </c>
      <c r="Q1281" t="e">
        <f ca="1">INDEX(INDIRECT(CONCATENATE("Tab_",Tab_Calculs[[#This Row],[Colonne1]])),Tab_Calculs[[#This Row],[index_date_livraison]]+1,7)*(Tab_Calculs[[#This Row],[fin mois]]-MIN(Tab_Calculs[[#This Row],[fin mois]],Tab_Calculs[[#This Row],[Date_livraison]]))</f>
        <v>#VALUE!</v>
      </c>
      <c r="R1281" t="e">
        <f ca="1">Tab_Calculs[[#This Row],[Ratio_Cout_après_livr]]+Tab_Calculs[[#This Row],[Ratio_Cout_avant_livr]]+Tab_Calculs[[#This Row],[Ratio_Cout_avant_debut]]</f>
        <v>#VALUE!</v>
      </c>
      <c r="S1281" t="str">
        <f ca="1">IFERROR(N1281*VLOOKUP(Tab_Calculs[[#This Row],[Colonne1]],Controle_des_données!$B$7:$G$14,6,FALSE),"")</f>
        <v/>
      </c>
      <c r="T1281" t="str">
        <f ca="1">IF(Tab_Calculs[[#This Row],[Combustible ]]="Electricité (kWh)",Tab_Calculs[[#This Row],[Conso_mois_kWh]]*2.3,Tab_Calculs[[#This Row],[Conso_mois_kWh]])</f>
        <v/>
      </c>
      <c r="U1281" t="str">
        <f ca="1">IFERROR(N1281*VLOOKUP(Tab_Calculs[[#This Row],[Colonne1]],Controle_des_données!$B$7:$H$14,7,FALSE),"")</f>
        <v/>
      </c>
      <c r="V1281">
        <f ca="1">IFERROR(Tab_Calculs[[#This Row],[Cout_mois]]/Tab_Calculs[[#This Row],[Conso_mois_kWh]],0)</f>
        <v>0</v>
      </c>
      <c r="W1281" t="str">
        <f>T(VLOOKUP(Tab_Calculs[[#This Row],[Compteur]],Site!$B$33:$G$40,3,FALSE))</f>
        <v/>
      </c>
      <c r="X1281" t="str">
        <f>T(VLOOKUP(Tab_Calculs[[#This Row],[Compteur]],Site!$B$33:$G$40,4,FALSE))</f>
        <v/>
      </c>
      <c r="Y1281" t="str">
        <f>T(VLOOKUP(Tab_Calculs[[#This Row],[Compteur]],Site!$B$33:$G$40,5,FALSE))</f>
        <v/>
      </c>
      <c r="Z1281" t="str">
        <f>T(VLOOKUP(Tab_Calculs[[#This Row],[Compteur]],Site!$B$33:$G$40,6,FALSE))</f>
        <v/>
      </c>
      <c r="AA1281">
        <f>IFERROR(GETPIVOTDATA("DJU(chauffagiste)",BDD_DJU!$P$13,"annee",Tab_Calculs[[#This Row],[ANNEE]],"mois_numero",Tab_Calculs[[#This Row],[MOIS]]),0)</f>
        <v>331.5</v>
      </c>
    </row>
    <row r="1282" spans="1:27" x14ac:dyDescent="0.25">
      <c r="A1282" s="3">
        <f>DATE(Tab_Calculs[[#This Row],[ANNEE]],Tab_Calculs[[#This Row],[MOIS]],1)</f>
        <v>43862</v>
      </c>
      <c r="B1282" s="3">
        <f>EDATE(Tab_Calculs[[#This Row],[Début mois]],1)-1</f>
        <v>43890</v>
      </c>
      <c r="C1282">
        <f t="shared" si="43"/>
        <v>2</v>
      </c>
      <c r="D1282">
        <f t="shared" si="42"/>
        <v>2020</v>
      </c>
      <c r="E1282" t="s">
        <v>86</v>
      </c>
      <c r="F1282" t="str">
        <f>SUBSTITUTE(Tab_Calculs[[#This Row],[Compteur]]," ","_")</f>
        <v>Compteur_7</v>
      </c>
      <c r="G1282" t="str">
        <f>T(INDEX(Site!$B$33:$G$40, MATCH(Tab_Calculs[[#This Row],[Compteur]], Site!$B$33:$B$40,0),2))</f>
        <v/>
      </c>
      <c r="H1282" s="3">
        <f t="array" aca="1" ref="H1282" ca="1">MIN(IF(INDIRECT(CONCATENATE(Tab_Calculs[[#This Row],[Colonne1]],"!$B$2:$B$243"))&gt;=Calculs_Consos!$A1282,INDIRECT(CONCATENATE(Tab_Calculs[[#This Row],[Colonne1]],"!$B$2:$B$243"))))</f>
        <v>0</v>
      </c>
      <c r="I1282" s="3">
        <f ca="1">INDEX(INDIRECT(CONCATENATE("Tab_",Tab_Calculs[[#This Row],[Colonne1]])),Tab_Calculs[[#This Row],[index_date_livraison]],1)</f>
        <v>0</v>
      </c>
      <c r="J1282">
        <f ca="1">MATCH(Tab_Calculs[[#This Row],[Date_livraison]],INDIRECT(CONCATENATE("Tab_",Tab_Calculs[[#This Row],[Colonne1]],"[Fin de période]")),0)</f>
        <v>1</v>
      </c>
      <c r="K1282" t="e">
        <f ca="1">INDEX(INDIRECT(CONCATENATE("Tab_",Tab_Calculs[[#This Row],[Colonne1]])),Tab_Calculs[[#This Row],[index_date_livraison]]-1,6)*(MAX(Tab_Calculs[[#This Row],[Début periode livraison]],Tab_Calculs[[#This Row],[Début mois]])-Tab_Calculs[[#This Row],[Début mois]])</f>
        <v>#VALUE!</v>
      </c>
      <c r="L1282" s="94">
        <f ca="1">INDEX(INDIRECT(CONCATENATE("Tab_",Tab_Calculs[[#This Row],[Colonne1]])),Tab_Calculs[[#This Row],[index_date_livraison]],6)*(1+MIN(Tab_Calculs[[#This Row],[Date_livraison]],Tab_Calculs[[#This Row],[fin mois]])-MAX(Tab_Calculs[[#This Row],[Début mois]],Tab_Calculs[[#This Row],[Début periode livraison]]))</f>
        <v>0</v>
      </c>
      <c r="M1282" s="94" t="e">
        <f ca="1">INDEX(INDIRECT(CONCATENATE("Tab_",Tab_Calculs[[#This Row],[Colonne1]])),Tab_Calculs[[#This Row],[index_date_livraison]]+1,6)*(Tab_Calculs[[#This Row],[fin mois]]-MIN(Tab_Calculs[[#This Row],[fin mois]],Tab_Calculs[[#This Row],[Date_livraison]]))</f>
        <v>#VALUE!</v>
      </c>
      <c r="N1282" s="231" t="str">
        <f ca="1">IFERROR(Tab_Calculs[[#This Row],[Ratio_jour_après_livr]]+Tab_Calculs[[#This Row],[Ratio_jour_avant_livr]]+Tab_Calculs[[#This Row],[ratio_avant_debut]],"")</f>
        <v/>
      </c>
      <c r="O1282" t="e">
        <f ca="1">INDEX(INDIRECT(CONCATENATE("Tab_",Tab_Calculs[[#This Row],[Colonne1]])),Tab_Calculs[[#This Row],[index_date_livraison]]-1,7)*(MAX(Tab_Calculs[[#This Row],[Début periode livraison]],Tab_Calculs[[#This Row],[Début mois]])-Tab_Calculs[[#This Row],[Début mois]])</f>
        <v>#VALUE!</v>
      </c>
      <c r="P1282">
        <f ca="1">INDEX(INDIRECT(CONCATENATE("Tab_",Tab_Calculs[[#This Row],[Colonne1]])),Tab_Calculs[[#This Row],[index_date_livraison]],7)*(1+MIN(Tab_Calculs[[#This Row],[Date_livraison]],Tab_Calculs[[#This Row],[fin mois]])-MAX(Tab_Calculs[[#This Row],[Début mois]],Tab_Calculs[[#This Row],[Début periode livraison]]))</f>
        <v>0</v>
      </c>
      <c r="Q1282" t="e">
        <f ca="1">INDEX(INDIRECT(CONCATENATE("Tab_",Tab_Calculs[[#This Row],[Colonne1]])),Tab_Calculs[[#This Row],[index_date_livraison]]+1,7)*(Tab_Calculs[[#This Row],[fin mois]]-MIN(Tab_Calculs[[#This Row],[fin mois]],Tab_Calculs[[#This Row],[Date_livraison]]))</f>
        <v>#VALUE!</v>
      </c>
      <c r="R1282" t="e">
        <f ca="1">Tab_Calculs[[#This Row],[Ratio_Cout_après_livr]]+Tab_Calculs[[#This Row],[Ratio_Cout_avant_livr]]+Tab_Calculs[[#This Row],[Ratio_Cout_avant_debut]]</f>
        <v>#VALUE!</v>
      </c>
      <c r="S1282" t="str">
        <f ca="1">IFERROR(N1282*VLOOKUP(Tab_Calculs[[#This Row],[Colonne1]],Controle_des_données!$B$7:$G$14,6,FALSE),"")</f>
        <v/>
      </c>
      <c r="T1282" t="str">
        <f ca="1">IF(Tab_Calculs[[#This Row],[Combustible ]]="Electricité (kWh)",Tab_Calculs[[#This Row],[Conso_mois_kWh]]*2.3,Tab_Calculs[[#This Row],[Conso_mois_kWh]])</f>
        <v/>
      </c>
      <c r="U1282" t="str">
        <f ca="1">IFERROR(N1282*VLOOKUP(Tab_Calculs[[#This Row],[Colonne1]],Controle_des_données!$B$7:$H$14,7,FALSE),"")</f>
        <v/>
      </c>
      <c r="V1282">
        <f ca="1">IFERROR(Tab_Calculs[[#This Row],[Cout_mois]]/Tab_Calculs[[#This Row],[Conso_mois_kWh]],0)</f>
        <v>0</v>
      </c>
      <c r="W1282" t="str">
        <f>T(VLOOKUP(Tab_Calculs[[#This Row],[Compteur]],Site!$B$33:$G$40,3,FALSE))</f>
        <v/>
      </c>
      <c r="X1282" t="str">
        <f>T(VLOOKUP(Tab_Calculs[[#This Row],[Compteur]],Site!$B$33:$G$40,4,FALSE))</f>
        <v/>
      </c>
      <c r="Y1282" t="str">
        <f>T(VLOOKUP(Tab_Calculs[[#This Row],[Compteur]],Site!$B$33:$G$40,5,FALSE))</f>
        <v/>
      </c>
      <c r="Z1282" t="str">
        <f>T(VLOOKUP(Tab_Calculs[[#This Row],[Compteur]],Site!$B$33:$G$40,6,FALSE))</f>
        <v/>
      </c>
      <c r="AA1282">
        <f>IFERROR(GETPIVOTDATA("DJU(chauffagiste)",BDD_DJU!$P$13,"annee",Tab_Calculs[[#This Row],[ANNEE]],"mois_numero",Tab_Calculs[[#This Row],[MOIS]]),0)</f>
        <v>251.6</v>
      </c>
    </row>
    <row r="1283" spans="1:27" x14ac:dyDescent="0.25">
      <c r="A1283" s="3">
        <f>DATE(Tab_Calculs[[#This Row],[ANNEE]],Tab_Calculs[[#This Row],[MOIS]],1)</f>
        <v>43891</v>
      </c>
      <c r="B1283" s="3">
        <f>EDATE(Tab_Calculs[[#This Row],[Début mois]],1)-1</f>
        <v>43921</v>
      </c>
      <c r="C1283">
        <f t="shared" si="43"/>
        <v>3</v>
      </c>
      <c r="D1283">
        <f>D1271+1</f>
        <v>2020</v>
      </c>
      <c r="E1283" t="s">
        <v>86</v>
      </c>
      <c r="F1283" t="str">
        <f>SUBSTITUTE(Tab_Calculs[[#This Row],[Compteur]]," ","_")</f>
        <v>Compteur_7</v>
      </c>
      <c r="G1283" t="str">
        <f>T(INDEX(Site!$B$33:$G$40, MATCH(Tab_Calculs[[#This Row],[Compteur]], Site!$B$33:$B$40,0),2))</f>
        <v/>
      </c>
      <c r="H1283" s="3">
        <f t="array" aca="1" ref="H1283" ca="1">MIN(IF(INDIRECT(CONCATENATE(Tab_Calculs[[#This Row],[Colonne1]],"!$B$2:$B$243"))&gt;=Calculs_Consos!$A1283,INDIRECT(CONCATENATE(Tab_Calculs[[#This Row],[Colonne1]],"!$B$2:$B$243"))))</f>
        <v>0</v>
      </c>
      <c r="I1283" s="3">
        <f ca="1">INDEX(INDIRECT(CONCATENATE("Tab_",Tab_Calculs[[#This Row],[Colonne1]])),Tab_Calculs[[#This Row],[index_date_livraison]],1)</f>
        <v>0</v>
      </c>
      <c r="J1283">
        <f ca="1">MATCH(Tab_Calculs[[#This Row],[Date_livraison]],INDIRECT(CONCATENATE("Tab_",Tab_Calculs[[#This Row],[Colonne1]],"[Fin de période]")),0)</f>
        <v>1</v>
      </c>
      <c r="K1283" t="e">
        <f ca="1">INDEX(INDIRECT(CONCATENATE("Tab_",Tab_Calculs[[#This Row],[Colonne1]])),Tab_Calculs[[#This Row],[index_date_livraison]]-1,6)*(MAX(Tab_Calculs[[#This Row],[Début periode livraison]],Tab_Calculs[[#This Row],[Début mois]])-Tab_Calculs[[#This Row],[Début mois]])</f>
        <v>#VALUE!</v>
      </c>
      <c r="L1283" s="94">
        <f ca="1">INDEX(INDIRECT(CONCATENATE("Tab_",Tab_Calculs[[#This Row],[Colonne1]])),Tab_Calculs[[#This Row],[index_date_livraison]],6)*(1+MIN(Tab_Calculs[[#This Row],[Date_livraison]],Tab_Calculs[[#This Row],[fin mois]])-MAX(Tab_Calculs[[#This Row],[Début mois]],Tab_Calculs[[#This Row],[Début periode livraison]]))</f>
        <v>0</v>
      </c>
      <c r="M1283" s="94" t="e">
        <f ca="1">INDEX(INDIRECT(CONCATENATE("Tab_",Tab_Calculs[[#This Row],[Colonne1]])),Tab_Calculs[[#This Row],[index_date_livraison]]+1,6)*(Tab_Calculs[[#This Row],[fin mois]]-MIN(Tab_Calculs[[#This Row],[fin mois]],Tab_Calculs[[#This Row],[Date_livraison]]))</f>
        <v>#VALUE!</v>
      </c>
      <c r="N1283" s="231" t="str">
        <f ca="1">IFERROR(Tab_Calculs[[#This Row],[Ratio_jour_après_livr]]+Tab_Calculs[[#This Row],[Ratio_jour_avant_livr]]+Tab_Calculs[[#This Row],[ratio_avant_debut]],"")</f>
        <v/>
      </c>
      <c r="O1283" t="e">
        <f ca="1">INDEX(INDIRECT(CONCATENATE("Tab_",Tab_Calculs[[#This Row],[Colonne1]])),Tab_Calculs[[#This Row],[index_date_livraison]]-1,7)*(MAX(Tab_Calculs[[#This Row],[Début periode livraison]],Tab_Calculs[[#This Row],[Début mois]])-Tab_Calculs[[#This Row],[Début mois]])</f>
        <v>#VALUE!</v>
      </c>
      <c r="P1283">
        <f ca="1">INDEX(INDIRECT(CONCATENATE("Tab_",Tab_Calculs[[#This Row],[Colonne1]])),Tab_Calculs[[#This Row],[index_date_livraison]],7)*(1+MIN(Tab_Calculs[[#This Row],[Date_livraison]],Tab_Calculs[[#This Row],[fin mois]])-MAX(Tab_Calculs[[#This Row],[Début mois]],Tab_Calculs[[#This Row],[Début periode livraison]]))</f>
        <v>0</v>
      </c>
      <c r="Q1283" t="e">
        <f ca="1">INDEX(INDIRECT(CONCATENATE("Tab_",Tab_Calculs[[#This Row],[Colonne1]])),Tab_Calculs[[#This Row],[index_date_livraison]]+1,7)*(Tab_Calculs[[#This Row],[fin mois]]-MIN(Tab_Calculs[[#This Row],[fin mois]],Tab_Calculs[[#This Row],[Date_livraison]]))</f>
        <v>#VALUE!</v>
      </c>
      <c r="R1283" t="e">
        <f ca="1">Tab_Calculs[[#This Row],[Ratio_Cout_après_livr]]+Tab_Calculs[[#This Row],[Ratio_Cout_avant_livr]]+Tab_Calculs[[#This Row],[Ratio_Cout_avant_debut]]</f>
        <v>#VALUE!</v>
      </c>
      <c r="S1283" t="str">
        <f ca="1">IFERROR(N1283*VLOOKUP(Tab_Calculs[[#This Row],[Colonne1]],Controle_des_données!$B$7:$G$14,6,FALSE),"")</f>
        <v/>
      </c>
      <c r="T1283" t="str">
        <f ca="1">IF(Tab_Calculs[[#This Row],[Combustible ]]="Electricité (kWh)",Tab_Calculs[[#This Row],[Conso_mois_kWh]]*2.3,Tab_Calculs[[#This Row],[Conso_mois_kWh]])</f>
        <v/>
      </c>
      <c r="U1283" t="str">
        <f ca="1">IFERROR(N1283*VLOOKUP(Tab_Calculs[[#This Row],[Colonne1]],Controle_des_données!$B$7:$H$14,7,FALSE),"")</f>
        <v/>
      </c>
      <c r="V1283">
        <f ca="1">IFERROR(Tab_Calculs[[#This Row],[Cout_mois]]/Tab_Calculs[[#This Row],[Conso_mois_kWh]],0)</f>
        <v>0</v>
      </c>
      <c r="W1283" t="str">
        <f>T(VLOOKUP(Tab_Calculs[[#This Row],[Compteur]],Site!$B$33:$G$40,3,FALSE))</f>
        <v/>
      </c>
      <c r="X1283" t="str">
        <f>T(VLOOKUP(Tab_Calculs[[#This Row],[Compteur]],Site!$B$33:$G$40,4,FALSE))</f>
        <v/>
      </c>
      <c r="Y1283" t="str">
        <f>T(VLOOKUP(Tab_Calculs[[#This Row],[Compteur]],Site!$B$33:$G$40,5,FALSE))</f>
        <v/>
      </c>
      <c r="Z1283" t="str">
        <f>T(VLOOKUP(Tab_Calculs[[#This Row],[Compteur]],Site!$B$33:$G$40,6,FALSE))</f>
        <v/>
      </c>
      <c r="AA1283">
        <f>IFERROR(GETPIVOTDATA("DJU(chauffagiste)",BDD_DJU!$P$13,"annee",Tab_Calculs[[#This Row],[ANNEE]],"mois_numero",Tab_Calculs[[#This Row],[MOIS]]),0)</f>
        <v>272.60000000000002</v>
      </c>
    </row>
    <row r="1284" spans="1:27" x14ac:dyDescent="0.25">
      <c r="A1284" s="3">
        <f>DATE(Tab_Calculs[[#This Row],[ANNEE]],Tab_Calculs[[#This Row],[MOIS]],1)</f>
        <v>43922</v>
      </c>
      <c r="B1284" s="3">
        <f>EDATE(Tab_Calculs[[#This Row],[Début mois]],1)-1</f>
        <v>43951</v>
      </c>
      <c r="C1284">
        <f t="shared" si="43"/>
        <v>4</v>
      </c>
      <c r="D1284">
        <f t="shared" si="42"/>
        <v>2020</v>
      </c>
      <c r="E1284" t="s">
        <v>86</v>
      </c>
      <c r="F1284" t="str">
        <f>SUBSTITUTE(Tab_Calculs[[#This Row],[Compteur]]," ","_")</f>
        <v>Compteur_7</v>
      </c>
      <c r="G1284" t="str">
        <f>T(INDEX(Site!$B$33:$G$40, MATCH(Tab_Calculs[[#This Row],[Compteur]], Site!$B$33:$B$40,0),2))</f>
        <v/>
      </c>
      <c r="H1284" s="3">
        <f t="array" aca="1" ref="H1284" ca="1">MIN(IF(INDIRECT(CONCATENATE(Tab_Calculs[[#This Row],[Colonne1]],"!$B$2:$B$243"))&gt;=Calculs_Consos!$A1284,INDIRECT(CONCATENATE(Tab_Calculs[[#This Row],[Colonne1]],"!$B$2:$B$243"))))</f>
        <v>0</v>
      </c>
      <c r="I1284" s="3">
        <f ca="1">INDEX(INDIRECT(CONCATENATE("Tab_",Tab_Calculs[[#This Row],[Colonne1]])),Tab_Calculs[[#This Row],[index_date_livraison]],1)</f>
        <v>0</v>
      </c>
      <c r="J1284">
        <f ca="1">MATCH(Tab_Calculs[[#This Row],[Date_livraison]],INDIRECT(CONCATENATE("Tab_",Tab_Calculs[[#This Row],[Colonne1]],"[Fin de période]")),0)</f>
        <v>1</v>
      </c>
      <c r="K1284" t="e">
        <f ca="1">INDEX(INDIRECT(CONCATENATE("Tab_",Tab_Calculs[[#This Row],[Colonne1]])),Tab_Calculs[[#This Row],[index_date_livraison]]-1,6)*(MAX(Tab_Calculs[[#This Row],[Début periode livraison]],Tab_Calculs[[#This Row],[Début mois]])-Tab_Calculs[[#This Row],[Début mois]])</f>
        <v>#VALUE!</v>
      </c>
      <c r="L1284" s="94">
        <f ca="1">INDEX(INDIRECT(CONCATENATE("Tab_",Tab_Calculs[[#This Row],[Colonne1]])),Tab_Calculs[[#This Row],[index_date_livraison]],6)*(1+MIN(Tab_Calculs[[#This Row],[Date_livraison]],Tab_Calculs[[#This Row],[fin mois]])-MAX(Tab_Calculs[[#This Row],[Début mois]],Tab_Calculs[[#This Row],[Début periode livraison]]))</f>
        <v>0</v>
      </c>
      <c r="M1284" s="94" t="e">
        <f ca="1">INDEX(INDIRECT(CONCATENATE("Tab_",Tab_Calculs[[#This Row],[Colonne1]])),Tab_Calculs[[#This Row],[index_date_livraison]]+1,6)*(Tab_Calculs[[#This Row],[fin mois]]-MIN(Tab_Calculs[[#This Row],[fin mois]],Tab_Calculs[[#This Row],[Date_livraison]]))</f>
        <v>#VALUE!</v>
      </c>
      <c r="N1284" s="231" t="str">
        <f ca="1">IFERROR(Tab_Calculs[[#This Row],[Ratio_jour_après_livr]]+Tab_Calculs[[#This Row],[Ratio_jour_avant_livr]]+Tab_Calculs[[#This Row],[ratio_avant_debut]],"")</f>
        <v/>
      </c>
      <c r="O1284" t="e">
        <f ca="1">INDEX(INDIRECT(CONCATENATE("Tab_",Tab_Calculs[[#This Row],[Colonne1]])),Tab_Calculs[[#This Row],[index_date_livraison]]-1,7)*(MAX(Tab_Calculs[[#This Row],[Début periode livraison]],Tab_Calculs[[#This Row],[Début mois]])-Tab_Calculs[[#This Row],[Début mois]])</f>
        <v>#VALUE!</v>
      </c>
      <c r="P1284">
        <f ca="1">INDEX(INDIRECT(CONCATENATE("Tab_",Tab_Calculs[[#This Row],[Colonne1]])),Tab_Calculs[[#This Row],[index_date_livraison]],7)*(1+MIN(Tab_Calculs[[#This Row],[Date_livraison]],Tab_Calculs[[#This Row],[fin mois]])-MAX(Tab_Calculs[[#This Row],[Début mois]],Tab_Calculs[[#This Row],[Début periode livraison]]))</f>
        <v>0</v>
      </c>
      <c r="Q1284" t="e">
        <f ca="1">INDEX(INDIRECT(CONCATENATE("Tab_",Tab_Calculs[[#This Row],[Colonne1]])),Tab_Calculs[[#This Row],[index_date_livraison]]+1,7)*(Tab_Calculs[[#This Row],[fin mois]]-MIN(Tab_Calculs[[#This Row],[fin mois]],Tab_Calculs[[#This Row],[Date_livraison]]))</f>
        <v>#VALUE!</v>
      </c>
      <c r="R1284" t="e">
        <f ca="1">Tab_Calculs[[#This Row],[Ratio_Cout_après_livr]]+Tab_Calculs[[#This Row],[Ratio_Cout_avant_livr]]+Tab_Calculs[[#This Row],[Ratio_Cout_avant_debut]]</f>
        <v>#VALUE!</v>
      </c>
      <c r="S1284" t="str">
        <f ca="1">IFERROR(N1284*VLOOKUP(Tab_Calculs[[#This Row],[Colonne1]],Controle_des_données!$B$7:$G$14,6,FALSE),"")</f>
        <v/>
      </c>
      <c r="T1284" t="str">
        <f ca="1">IF(Tab_Calculs[[#This Row],[Combustible ]]="Electricité (kWh)",Tab_Calculs[[#This Row],[Conso_mois_kWh]]*2.3,Tab_Calculs[[#This Row],[Conso_mois_kWh]])</f>
        <v/>
      </c>
      <c r="U1284" t="str">
        <f ca="1">IFERROR(N1284*VLOOKUP(Tab_Calculs[[#This Row],[Colonne1]],Controle_des_données!$B$7:$H$14,7,FALSE),"")</f>
        <v/>
      </c>
      <c r="V1284">
        <f ca="1">IFERROR(Tab_Calculs[[#This Row],[Cout_mois]]/Tab_Calculs[[#This Row],[Conso_mois_kWh]],0)</f>
        <v>0</v>
      </c>
      <c r="W1284" t="str">
        <f>T(VLOOKUP(Tab_Calculs[[#This Row],[Compteur]],Site!$B$33:$G$40,3,FALSE))</f>
        <v/>
      </c>
      <c r="X1284" t="str">
        <f>T(VLOOKUP(Tab_Calculs[[#This Row],[Compteur]],Site!$B$33:$G$40,4,FALSE))</f>
        <v/>
      </c>
      <c r="Y1284" t="str">
        <f>T(VLOOKUP(Tab_Calculs[[#This Row],[Compteur]],Site!$B$33:$G$40,5,FALSE))</f>
        <v/>
      </c>
      <c r="Z1284" t="str">
        <f>T(VLOOKUP(Tab_Calculs[[#This Row],[Compteur]],Site!$B$33:$G$40,6,FALSE))</f>
        <v/>
      </c>
      <c r="AA1284">
        <f>IFERROR(GETPIVOTDATA("DJU(chauffagiste)",BDD_DJU!$P$13,"annee",Tab_Calculs[[#This Row],[ANNEE]],"mois_numero",Tab_Calculs[[#This Row],[MOIS]]),0)</f>
        <v>126.3</v>
      </c>
    </row>
    <row r="1285" spans="1:27" x14ac:dyDescent="0.25">
      <c r="A1285" s="3">
        <f>DATE(Tab_Calculs[[#This Row],[ANNEE]],Tab_Calculs[[#This Row],[MOIS]],1)</f>
        <v>43952</v>
      </c>
      <c r="B1285" s="3">
        <f>EDATE(Tab_Calculs[[#This Row],[Début mois]],1)-1</f>
        <v>43982</v>
      </c>
      <c r="C1285">
        <f t="shared" si="43"/>
        <v>5</v>
      </c>
      <c r="D1285">
        <f t="shared" si="42"/>
        <v>2020</v>
      </c>
      <c r="E1285" t="s">
        <v>86</v>
      </c>
      <c r="F1285" t="str">
        <f>SUBSTITUTE(Tab_Calculs[[#This Row],[Compteur]]," ","_")</f>
        <v>Compteur_7</v>
      </c>
      <c r="G1285" t="str">
        <f>T(INDEX(Site!$B$33:$G$40, MATCH(Tab_Calculs[[#This Row],[Compteur]], Site!$B$33:$B$40,0),2))</f>
        <v/>
      </c>
      <c r="H1285" s="3">
        <f t="array" aca="1" ref="H1285" ca="1">MIN(IF(INDIRECT(CONCATENATE(Tab_Calculs[[#This Row],[Colonne1]],"!$B$2:$B$243"))&gt;=Calculs_Consos!$A1285,INDIRECT(CONCATENATE(Tab_Calculs[[#This Row],[Colonne1]],"!$B$2:$B$243"))))</f>
        <v>0</v>
      </c>
      <c r="I1285" s="3">
        <f ca="1">INDEX(INDIRECT(CONCATENATE("Tab_",Tab_Calculs[[#This Row],[Colonne1]])),Tab_Calculs[[#This Row],[index_date_livraison]],1)</f>
        <v>0</v>
      </c>
      <c r="J1285">
        <f ca="1">MATCH(Tab_Calculs[[#This Row],[Date_livraison]],INDIRECT(CONCATENATE("Tab_",Tab_Calculs[[#This Row],[Colonne1]],"[Fin de période]")),0)</f>
        <v>1</v>
      </c>
      <c r="K1285" t="e">
        <f ca="1">INDEX(INDIRECT(CONCATENATE("Tab_",Tab_Calculs[[#This Row],[Colonne1]])),Tab_Calculs[[#This Row],[index_date_livraison]]-1,6)*(MAX(Tab_Calculs[[#This Row],[Début periode livraison]],Tab_Calculs[[#This Row],[Début mois]])-Tab_Calculs[[#This Row],[Début mois]])</f>
        <v>#VALUE!</v>
      </c>
      <c r="L1285" s="94">
        <f ca="1">INDEX(INDIRECT(CONCATENATE("Tab_",Tab_Calculs[[#This Row],[Colonne1]])),Tab_Calculs[[#This Row],[index_date_livraison]],6)*(1+MIN(Tab_Calculs[[#This Row],[Date_livraison]],Tab_Calculs[[#This Row],[fin mois]])-MAX(Tab_Calculs[[#This Row],[Début mois]],Tab_Calculs[[#This Row],[Début periode livraison]]))</f>
        <v>0</v>
      </c>
      <c r="M1285" s="94" t="e">
        <f ca="1">INDEX(INDIRECT(CONCATENATE("Tab_",Tab_Calculs[[#This Row],[Colonne1]])),Tab_Calculs[[#This Row],[index_date_livraison]]+1,6)*(Tab_Calculs[[#This Row],[fin mois]]-MIN(Tab_Calculs[[#This Row],[fin mois]],Tab_Calculs[[#This Row],[Date_livraison]]))</f>
        <v>#VALUE!</v>
      </c>
      <c r="N1285" s="231" t="str">
        <f ca="1">IFERROR(Tab_Calculs[[#This Row],[Ratio_jour_après_livr]]+Tab_Calculs[[#This Row],[Ratio_jour_avant_livr]]+Tab_Calculs[[#This Row],[ratio_avant_debut]],"")</f>
        <v/>
      </c>
      <c r="O1285" t="e">
        <f ca="1">INDEX(INDIRECT(CONCATENATE("Tab_",Tab_Calculs[[#This Row],[Colonne1]])),Tab_Calculs[[#This Row],[index_date_livraison]]-1,7)*(MAX(Tab_Calculs[[#This Row],[Début periode livraison]],Tab_Calculs[[#This Row],[Début mois]])-Tab_Calculs[[#This Row],[Début mois]])</f>
        <v>#VALUE!</v>
      </c>
      <c r="P1285">
        <f ca="1">INDEX(INDIRECT(CONCATENATE("Tab_",Tab_Calculs[[#This Row],[Colonne1]])),Tab_Calculs[[#This Row],[index_date_livraison]],7)*(1+MIN(Tab_Calculs[[#This Row],[Date_livraison]],Tab_Calculs[[#This Row],[fin mois]])-MAX(Tab_Calculs[[#This Row],[Début mois]],Tab_Calculs[[#This Row],[Début periode livraison]]))</f>
        <v>0</v>
      </c>
      <c r="Q1285" t="e">
        <f ca="1">INDEX(INDIRECT(CONCATENATE("Tab_",Tab_Calculs[[#This Row],[Colonne1]])),Tab_Calculs[[#This Row],[index_date_livraison]]+1,7)*(Tab_Calculs[[#This Row],[fin mois]]-MIN(Tab_Calculs[[#This Row],[fin mois]],Tab_Calculs[[#This Row],[Date_livraison]]))</f>
        <v>#VALUE!</v>
      </c>
      <c r="R1285" t="e">
        <f ca="1">Tab_Calculs[[#This Row],[Ratio_Cout_après_livr]]+Tab_Calculs[[#This Row],[Ratio_Cout_avant_livr]]+Tab_Calculs[[#This Row],[Ratio_Cout_avant_debut]]</f>
        <v>#VALUE!</v>
      </c>
      <c r="S1285" t="str">
        <f ca="1">IFERROR(N1285*VLOOKUP(Tab_Calculs[[#This Row],[Colonne1]],Controle_des_données!$B$7:$G$14,6,FALSE),"")</f>
        <v/>
      </c>
      <c r="T1285" t="str">
        <f ca="1">IF(Tab_Calculs[[#This Row],[Combustible ]]="Electricité (kWh)",Tab_Calculs[[#This Row],[Conso_mois_kWh]]*2.3,Tab_Calculs[[#This Row],[Conso_mois_kWh]])</f>
        <v/>
      </c>
      <c r="U1285" t="str">
        <f ca="1">IFERROR(N1285*VLOOKUP(Tab_Calculs[[#This Row],[Colonne1]],Controle_des_données!$B$7:$H$14,7,FALSE),"")</f>
        <v/>
      </c>
      <c r="V1285">
        <f ca="1">IFERROR(Tab_Calculs[[#This Row],[Cout_mois]]/Tab_Calculs[[#This Row],[Conso_mois_kWh]],0)</f>
        <v>0</v>
      </c>
      <c r="W1285" t="str">
        <f>T(VLOOKUP(Tab_Calculs[[#This Row],[Compteur]],Site!$B$33:$G$40,3,FALSE))</f>
        <v/>
      </c>
      <c r="X1285" t="str">
        <f>T(VLOOKUP(Tab_Calculs[[#This Row],[Compteur]],Site!$B$33:$G$40,4,FALSE))</f>
        <v/>
      </c>
      <c r="Y1285" t="str">
        <f>T(VLOOKUP(Tab_Calculs[[#This Row],[Compteur]],Site!$B$33:$G$40,5,FALSE))</f>
        <v/>
      </c>
      <c r="Z1285" t="str">
        <f>T(VLOOKUP(Tab_Calculs[[#This Row],[Compteur]],Site!$B$33:$G$40,6,FALSE))</f>
        <v/>
      </c>
      <c r="AA1285">
        <f>IFERROR(GETPIVOTDATA("DJU(chauffagiste)",BDD_DJU!$P$13,"annee",Tab_Calculs[[#This Row],[ANNEE]],"mois_numero",Tab_Calculs[[#This Row],[MOIS]]),0)</f>
        <v>91.8</v>
      </c>
    </row>
    <row r="1286" spans="1:27" x14ac:dyDescent="0.25">
      <c r="A1286" s="3">
        <f>DATE(Tab_Calculs[[#This Row],[ANNEE]],Tab_Calculs[[#This Row],[MOIS]],1)</f>
        <v>43983</v>
      </c>
      <c r="B1286" s="3">
        <f>EDATE(Tab_Calculs[[#This Row],[Début mois]],1)-1</f>
        <v>44012</v>
      </c>
      <c r="C1286">
        <f t="shared" si="43"/>
        <v>6</v>
      </c>
      <c r="D1286">
        <f t="shared" ref="D1286:D1303" si="44">D1274+1</f>
        <v>2020</v>
      </c>
      <c r="E1286" t="s">
        <v>86</v>
      </c>
      <c r="F1286" t="str">
        <f>SUBSTITUTE(Tab_Calculs[[#This Row],[Compteur]]," ","_")</f>
        <v>Compteur_7</v>
      </c>
      <c r="G1286" t="str">
        <f>T(INDEX(Site!$B$33:$G$40, MATCH(Tab_Calculs[[#This Row],[Compteur]], Site!$B$33:$B$40,0),2))</f>
        <v/>
      </c>
      <c r="H1286" s="3">
        <f t="array" aca="1" ref="H1286" ca="1">MIN(IF(INDIRECT(CONCATENATE(Tab_Calculs[[#This Row],[Colonne1]],"!$B$2:$B$243"))&gt;=Calculs_Consos!$A1286,INDIRECT(CONCATENATE(Tab_Calculs[[#This Row],[Colonne1]],"!$B$2:$B$243"))))</f>
        <v>0</v>
      </c>
      <c r="I1286" s="3">
        <f ca="1">INDEX(INDIRECT(CONCATENATE("Tab_",Tab_Calculs[[#This Row],[Colonne1]])),Tab_Calculs[[#This Row],[index_date_livraison]],1)</f>
        <v>0</v>
      </c>
      <c r="J1286">
        <f ca="1">MATCH(Tab_Calculs[[#This Row],[Date_livraison]],INDIRECT(CONCATENATE("Tab_",Tab_Calculs[[#This Row],[Colonne1]],"[Fin de période]")),0)</f>
        <v>1</v>
      </c>
      <c r="K1286" t="e">
        <f ca="1">INDEX(INDIRECT(CONCATENATE("Tab_",Tab_Calculs[[#This Row],[Colonne1]])),Tab_Calculs[[#This Row],[index_date_livraison]]-1,6)*(MAX(Tab_Calculs[[#This Row],[Début periode livraison]],Tab_Calculs[[#This Row],[Début mois]])-Tab_Calculs[[#This Row],[Début mois]])</f>
        <v>#VALUE!</v>
      </c>
      <c r="L1286" s="94">
        <f ca="1">INDEX(INDIRECT(CONCATENATE("Tab_",Tab_Calculs[[#This Row],[Colonne1]])),Tab_Calculs[[#This Row],[index_date_livraison]],6)*(1+MIN(Tab_Calculs[[#This Row],[Date_livraison]],Tab_Calculs[[#This Row],[fin mois]])-MAX(Tab_Calculs[[#This Row],[Début mois]],Tab_Calculs[[#This Row],[Début periode livraison]]))</f>
        <v>0</v>
      </c>
      <c r="M1286" s="94" t="e">
        <f ca="1">INDEX(INDIRECT(CONCATENATE("Tab_",Tab_Calculs[[#This Row],[Colonne1]])),Tab_Calculs[[#This Row],[index_date_livraison]]+1,6)*(Tab_Calculs[[#This Row],[fin mois]]-MIN(Tab_Calculs[[#This Row],[fin mois]],Tab_Calculs[[#This Row],[Date_livraison]]))</f>
        <v>#VALUE!</v>
      </c>
      <c r="N1286" s="231" t="str">
        <f ca="1">IFERROR(Tab_Calculs[[#This Row],[Ratio_jour_après_livr]]+Tab_Calculs[[#This Row],[Ratio_jour_avant_livr]]+Tab_Calculs[[#This Row],[ratio_avant_debut]],"")</f>
        <v/>
      </c>
      <c r="O1286" t="e">
        <f ca="1">INDEX(INDIRECT(CONCATENATE("Tab_",Tab_Calculs[[#This Row],[Colonne1]])),Tab_Calculs[[#This Row],[index_date_livraison]]-1,7)*(MAX(Tab_Calculs[[#This Row],[Début periode livraison]],Tab_Calculs[[#This Row],[Début mois]])-Tab_Calculs[[#This Row],[Début mois]])</f>
        <v>#VALUE!</v>
      </c>
      <c r="P1286">
        <f ca="1">INDEX(INDIRECT(CONCATENATE("Tab_",Tab_Calculs[[#This Row],[Colonne1]])),Tab_Calculs[[#This Row],[index_date_livraison]],7)*(1+MIN(Tab_Calculs[[#This Row],[Date_livraison]],Tab_Calculs[[#This Row],[fin mois]])-MAX(Tab_Calculs[[#This Row],[Début mois]],Tab_Calculs[[#This Row],[Début periode livraison]]))</f>
        <v>0</v>
      </c>
      <c r="Q1286" t="e">
        <f ca="1">INDEX(INDIRECT(CONCATENATE("Tab_",Tab_Calculs[[#This Row],[Colonne1]])),Tab_Calculs[[#This Row],[index_date_livraison]]+1,7)*(Tab_Calculs[[#This Row],[fin mois]]-MIN(Tab_Calculs[[#This Row],[fin mois]],Tab_Calculs[[#This Row],[Date_livraison]]))</f>
        <v>#VALUE!</v>
      </c>
      <c r="R1286" t="e">
        <f ca="1">Tab_Calculs[[#This Row],[Ratio_Cout_après_livr]]+Tab_Calculs[[#This Row],[Ratio_Cout_avant_livr]]+Tab_Calculs[[#This Row],[Ratio_Cout_avant_debut]]</f>
        <v>#VALUE!</v>
      </c>
      <c r="S1286" t="str">
        <f ca="1">IFERROR(N1286*VLOOKUP(Tab_Calculs[[#This Row],[Colonne1]],Controle_des_données!$B$7:$G$14,6,FALSE),"")</f>
        <v/>
      </c>
      <c r="T1286" t="str">
        <f ca="1">IF(Tab_Calculs[[#This Row],[Combustible ]]="Electricité (kWh)",Tab_Calculs[[#This Row],[Conso_mois_kWh]]*2.3,Tab_Calculs[[#This Row],[Conso_mois_kWh]])</f>
        <v/>
      </c>
      <c r="U1286" t="str">
        <f ca="1">IFERROR(N1286*VLOOKUP(Tab_Calculs[[#This Row],[Colonne1]],Controle_des_données!$B$7:$H$14,7,FALSE),"")</f>
        <v/>
      </c>
      <c r="V1286">
        <f ca="1">IFERROR(Tab_Calculs[[#This Row],[Cout_mois]]/Tab_Calculs[[#This Row],[Conso_mois_kWh]],0)</f>
        <v>0</v>
      </c>
      <c r="W1286" t="str">
        <f>T(VLOOKUP(Tab_Calculs[[#This Row],[Compteur]],Site!$B$33:$G$40,3,FALSE))</f>
        <v/>
      </c>
      <c r="X1286" t="str">
        <f>T(VLOOKUP(Tab_Calculs[[#This Row],[Compteur]],Site!$B$33:$G$40,4,FALSE))</f>
        <v/>
      </c>
      <c r="Y1286" t="str">
        <f>T(VLOOKUP(Tab_Calculs[[#This Row],[Compteur]],Site!$B$33:$G$40,5,FALSE))</f>
        <v/>
      </c>
      <c r="Z1286" t="str">
        <f>T(VLOOKUP(Tab_Calculs[[#This Row],[Compteur]],Site!$B$33:$G$40,6,FALSE))</f>
        <v/>
      </c>
      <c r="AA1286">
        <f>IFERROR(GETPIVOTDATA("DJU(chauffagiste)",BDD_DJU!$P$13,"annee",Tab_Calculs[[#This Row],[ANNEE]],"mois_numero",Tab_Calculs[[#This Row],[MOIS]]),0)</f>
        <v>55.6</v>
      </c>
    </row>
    <row r="1287" spans="1:27" x14ac:dyDescent="0.25">
      <c r="A1287" s="3">
        <f>DATE(Tab_Calculs[[#This Row],[ANNEE]],Tab_Calculs[[#This Row],[MOIS]],1)</f>
        <v>44013</v>
      </c>
      <c r="B1287" s="3">
        <f>EDATE(Tab_Calculs[[#This Row],[Début mois]],1)-1</f>
        <v>44043</v>
      </c>
      <c r="C1287">
        <f t="shared" si="43"/>
        <v>7</v>
      </c>
      <c r="D1287">
        <f t="shared" si="44"/>
        <v>2020</v>
      </c>
      <c r="E1287" t="s">
        <v>86</v>
      </c>
      <c r="F1287" t="str">
        <f>SUBSTITUTE(Tab_Calculs[[#This Row],[Compteur]]," ","_")</f>
        <v>Compteur_7</v>
      </c>
      <c r="G1287" t="str">
        <f>T(INDEX(Site!$B$33:$G$40, MATCH(Tab_Calculs[[#This Row],[Compteur]], Site!$B$33:$B$40,0),2))</f>
        <v/>
      </c>
      <c r="H1287" s="3">
        <f t="array" aca="1" ref="H1287" ca="1">MIN(IF(INDIRECT(CONCATENATE(Tab_Calculs[[#This Row],[Colonne1]],"!$B$2:$B$243"))&gt;=Calculs_Consos!$A1287,INDIRECT(CONCATENATE(Tab_Calculs[[#This Row],[Colonne1]],"!$B$2:$B$243"))))</f>
        <v>0</v>
      </c>
      <c r="I1287" s="3">
        <f ca="1">INDEX(INDIRECT(CONCATENATE("Tab_",Tab_Calculs[[#This Row],[Colonne1]])),Tab_Calculs[[#This Row],[index_date_livraison]],1)</f>
        <v>0</v>
      </c>
      <c r="J1287">
        <f ca="1">MATCH(Tab_Calculs[[#This Row],[Date_livraison]],INDIRECT(CONCATENATE("Tab_",Tab_Calculs[[#This Row],[Colonne1]],"[Fin de période]")),0)</f>
        <v>1</v>
      </c>
      <c r="K1287" t="e">
        <f ca="1">INDEX(INDIRECT(CONCATENATE("Tab_",Tab_Calculs[[#This Row],[Colonne1]])),Tab_Calculs[[#This Row],[index_date_livraison]]-1,6)*(MAX(Tab_Calculs[[#This Row],[Début periode livraison]],Tab_Calculs[[#This Row],[Début mois]])-Tab_Calculs[[#This Row],[Début mois]])</f>
        <v>#VALUE!</v>
      </c>
      <c r="L1287" s="94">
        <f ca="1">INDEX(INDIRECT(CONCATENATE("Tab_",Tab_Calculs[[#This Row],[Colonne1]])),Tab_Calculs[[#This Row],[index_date_livraison]],6)*(1+MIN(Tab_Calculs[[#This Row],[Date_livraison]],Tab_Calculs[[#This Row],[fin mois]])-MAX(Tab_Calculs[[#This Row],[Début mois]],Tab_Calculs[[#This Row],[Début periode livraison]]))</f>
        <v>0</v>
      </c>
      <c r="M1287" s="94" t="e">
        <f ca="1">INDEX(INDIRECT(CONCATENATE("Tab_",Tab_Calculs[[#This Row],[Colonne1]])),Tab_Calculs[[#This Row],[index_date_livraison]]+1,6)*(Tab_Calculs[[#This Row],[fin mois]]-MIN(Tab_Calculs[[#This Row],[fin mois]],Tab_Calculs[[#This Row],[Date_livraison]]))</f>
        <v>#VALUE!</v>
      </c>
      <c r="N1287" s="231" t="str">
        <f ca="1">IFERROR(Tab_Calculs[[#This Row],[Ratio_jour_après_livr]]+Tab_Calculs[[#This Row],[Ratio_jour_avant_livr]]+Tab_Calculs[[#This Row],[ratio_avant_debut]],"")</f>
        <v/>
      </c>
      <c r="O1287" t="e">
        <f ca="1">INDEX(INDIRECT(CONCATENATE("Tab_",Tab_Calculs[[#This Row],[Colonne1]])),Tab_Calculs[[#This Row],[index_date_livraison]]-1,7)*(MAX(Tab_Calculs[[#This Row],[Début periode livraison]],Tab_Calculs[[#This Row],[Début mois]])-Tab_Calculs[[#This Row],[Début mois]])</f>
        <v>#VALUE!</v>
      </c>
      <c r="P1287">
        <f ca="1">INDEX(INDIRECT(CONCATENATE("Tab_",Tab_Calculs[[#This Row],[Colonne1]])),Tab_Calculs[[#This Row],[index_date_livraison]],7)*(1+MIN(Tab_Calculs[[#This Row],[Date_livraison]],Tab_Calculs[[#This Row],[fin mois]])-MAX(Tab_Calculs[[#This Row],[Début mois]],Tab_Calculs[[#This Row],[Début periode livraison]]))</f>
        <v>0</v>
      </c>
      <c r="Q1287" t="e">
        <f ca="1">INDEX(INDIRECT(CONCATENATE("Tab_",Tab_Calculs[[#This Row],[Colonne1]])),Tab_Calculs[[#This Row],[index_date_livraison]]+1,7)*(Tab_Calculs[[#This Row],[fin mois]]-MIN(Tab_Calculs[[#This Row],[fin mois]],Tab_Calculs[[#This Row],[Date_livraison]]))</f>
        <v>#VALUE!</v>
      </c>
      <c r="R1287" t="e">
        <f ca="1">Tab_Calculs[[#This Row],[Ratio_Cout_après_livr]]+Tab_Calculs[[#This Row],[Ratio_Cout_avant_livr]]+Tab_Calculs[[#This Row],[Ratio_Cout_avant_debut]]</f>
        <v>#VALUE!</v>
      </c>
      <c r="S1287" t="str">
        <f ca="1">IFERROR(N1287*VLOOKUP(Tab_Calculs[[#This Row],[Colonne1]],Controle_des_données!$B$7:$G$14,6,FALSE),"")</f>
        <v/>
      </c>
      <c r="T1287" t="str">
        <f ca="1">IF(Tab_Calculs[[#This Row],[Combustible ]]="Electricité (kWh)",Tab_Calculs[[#This Row],[Conso_mois_kWh]]*2.3,Tab_Calculs[[#This Row],[Conso_mois_kWh]])</f>
        <v/>
      </c>
      <c r="U1287" t="str">
        <f ca="1">IFERROR(N1287*VLOOKUP(Tab_Calculs[[#This Row],[Colonne1]],Controle_des_données!$B$7:$H$14,7,FALSE),"")</f>
        <v/>
      </c>
      <c r="V1287">
        <f ca="1">IFERROR(Tab_Calculs[[#This Row],[Cout_mois]]/Tab_Calculs[[#This Row],[Conso_mois_kWh]],0)</f>
        <v>0</v>
      </c>
      <c r="W1287" t="str">
        <f>T(VLOOKUP(Tab_Calculs[[#This Row],[Compteur]],Site!$B$33:$G$40,3,FALSE))</f>
        <v/>
      </c>
      <c r="X1287" t="str">
        <f>T(VLOOKUP(Tab_Calculs[[#This Row],[Compteur]],Site!$B$33:$G$40,4,FALSE))</f>
        <v/>
      </c>
      <c r="Y1287" t="str">
        <f>T(VLOOKUP(Tab_Calculs[[#This Row],[Compteur]],Site!$B$33:$G$40,5,FALSE))</f>
        <v/>
      </c>
      <c r="Z1287" t="str">
        <f>T(VLOOKUP(Tab_Calculs[[#This Row],[Compteur]],Site!$B$33:$G$40,6,FALSE))</f>
        <v/>
      </c>
      <c r="AA1287">
        <f>IFERROR(GETPIVOTDATA("DJU(chauffagiste)",BDD_DJU!$P$13,"annee",Tab_Calculs[[#This Row],[ANNEE]],"mois_numero",Tab_Calculs[[#This Row],[MOIS]]),0)</f>
        <v>32.299999999999997</v>
      </c>
    </row>
    <row r="1288" spans="1:27" x14ac:dyDescent="0.25">
      <c r="A1288" s="3">
        <f>DATE(Tab_Calculs[[#This Row],[ANNEE]],Tab_Calculs[[#This Row],[MOIS]],1)</f>
        <v>44044</v>
      </c>
      <c r="B1288" s="3">
        <f>EDATE(Tab_Calculs[[#This Row],[Début mois]],1)-1</f>
        <v>44074</v>
      </c>
      <c r="C1288">
        <f t="shared" si="43"/>
        <v>8</v>
      </c>
      <c r="D1288">
        <f t="shared" si="44"/>
        <v>2020</v>
      </c>
      <c r="E1288" t="s">
        <v>86</v>
      </c>
      <c r="F1288" t="str">
        <f>SUBSTITUTE(Tab_Calculs[[#This Row],[Compteur]]," ","_")</f>
        <v>Compteur_7</v>
      </c>
      <c r="G1288" t="str">
        <f>T(INDEX(Site!$B$33:$G$40, MATCH(Tab_Calculs[[#This Row],[Compteur]], Site!$B$33:$B$40,0),2))</f>
        <v/>
      </c>
      <c r="H1288" s="3">
        <f t="array" aca="1" ref="H1288" ca="1">MIN(IF(INDIRECT(CONCATENATE(Tab_Calculs[[#This Row],[Colonne1]],"!$B$2:$B$243"))&gt;=Calculs_Consos!$A1288,INDIRECT(CONCATENATE(Tab_Calculs[[#This Row],[Colonne1]],"!$B$2:$B$243"))))</f>
        <v>0</v>
      </c>
      <c r="I1288" s="3">
        <f ca="1">INDEX(INDIRECT(CONCATENATE("Tab_",Tab_Calculs[[#This Row],[Colonne1]])),Tab_Calculs[[#This Row],[index_date_livraison]],1)</f>
        <v>0</v>
      </c>
      <c r="J1288">
        <f ca="1">MATCH(Tab_Calculs[[#This Row],[Date_livraison]],INDIRECT(CONCATENATE("Tab_",Tab_Calculs[[#This Row],[Colonne1]],"[Fin de période]")),0)</f>
        <v>1</v>
      </c>
      <c r="K1288" t="e">
        <f ca="1">INDEX(INDIRECT(CONCATENATE("Tab_",Tab_Calculs[[#This Row],[Colonne1]])),Tab_Calculs[[#This Row],[index_date_livraison]]-1,6)*(MAX(Tab_Calculs[[#This Row],[Début periode livraison]],Tab_Calculs[[#This Row],[Début mois]])-Tab_Calculs[[#This Row],[Début mois]])</f>
        <v>#VALUE!</v>
      </c>
      <c r="L1288" s="94">
        <f ca="1">INDEX(INDIRECT(CONCATENATE("Tab_",Tab_Calculs[[#This Row],[Colonne1]])),Tab_Calculs[[#This Row],[index_date_livraison]],6)*(1+MIN(Tab_Calculs[[#This Row],[Date_livraison]],Tab_Calculs[[#This Row],[fin mois]])-MAX(Tab_Calculs[[#This Row],[Début mois]],Tab_Calculs[[#This Row],[Début periode livraison]]))</f>
        <v>0</v>
      </c>
      <c r="M1288" s="94" t="e">
        <f ca="1">INDEX(INDIRECT(CONCATENATE("Tab_",Tab_Calculs[[#This Row],[Colonne1]])),Tab_Calculs[[#This Row],[index_date_livraison]]+1,6)*(Tab_Calculs[[#This Row],[fin mois]]-MIN(Tab_Calculs[[#This Row],[fin mois]],Tab_Calculs[[#This Row],[Date_livraison]]))</f>
        <v>#VALUE!</v>
      </c>
      <c r="N1288" s="231" t="str">
        <f ca="1">IFERROR(Tab_Calculs[[#This Row],[Ratio_jour_après_livr]]+Tab_Calculs[[#This Row],[Ratio_jour_avant_livr]]+Tab_Calculs[[#This Row],[ratio_avant_debut]],"")</f>
        <v/>
      </c>
      <c r="O1288" t="e">
        <f ca="1">INDEX(INDIRECT(CONCATENATE("Tab_",Tab_Calculs[[#This Row],[Colonne1]])),Tab_Calculs[[#This Row],[index_date_livraison]]-1,7)*(MAX(Tab_Calculs[[#This Row],[Début periode livraison]],Tab_Calculs[[#This Row],[Début mois]])-Tab_Calculs[[#This Row],[Début mois]])</f>
        <v>#VALUE!</v>
      </c>
      <c r="P1288">
        <f ca="1">INDEX(INDIRECT(CONCATENATE("Tab_",Tab_Calculs[[#This Row],[Colonne1]])),Tab_Calculs[[#This Row],[index_date_livraison]],7)*(1+MIN(Tab_Calculs[[#This Row],[Date_livraison]],Tab_Calculs[[#This Row],[fin mois]])-MAX(Tab_Calculs[[#This Row],[Début mois]],Tab_Calculs[[#This Row],[Début periode livraison]]))</f>
        <v>0</v>
      </c>
      <c r="Q1288" t="e">
        <f ca="1">INDEX(INDIRECT(CONCATENATE("Tab_",Tab_Calculs[[#This Row],[Colonne1]])),Tab_Calculs[[#This Row],[index_date_livraison]]+1,7)*(Tab_Calculs[[#This Row],[fin mois]]-MIN(Tab_Calculs[[#This Row],[fin mois]],Tab_Calculs[[#This Row],[Date_livraison]]))</f>
        <v>#VALUE!</v>
      </c>
      <c r="R1288" t="e">
        <f ca="1">Tab_Calculs[[#This Row],[Ratio_Cout_après_livr]]+Tab_Calculs[[#This Row],[Ratio_Cout_avant_livr]]+Tab_Calculs[[#This Row],[Ratio_Cout_avant_debut]]</f>
        <v>#VALUE!</v>
      </c>
      <c r="S1288" t="str">
        <f ca="1">IFERROR(N1288*VLOOKUP(Tab_Calculs[[#This Row],[Colonne1]],Controle_des_données!$B$7:$G$14,6,FALSE),"")</f>
        <v/>
      </c>
      <c r="T1288" t="str">
        <f ca="1">IF(Tab_Calculs[[#This Row],[Combustible ]]="Electricité (kWh)",Tab_Calculs[[#This Row],[Conso_mois_kWh]]*2.3,Tab_Calculs[[#This Row],[Conso_mois_kWh]])</f>
        <v/>
      </c>
      <c r="U1288" t="str">
        <f ca="1">IFERROR(N1288*VLOOKUP(Tab_Calculs[[#This Row],[Colonne1]],Controle_des_données!$B$7:$H$14,7,FALSE),"")</f>
        <v/>
      </c>
      <c r="V1288">
        <f ca="1">IFERROR(Tab_Calculs[[#This Row],[Cout_mois]]/Tab_Calculs[[#This Row],[Conso_mois_kWh]],0)</f>
        <v>0</v>
      </c>
      <c r="W1288" t="str">
        <f>T(VLOOKUP(Tab_Calculs[[#This Row],[Compteur]],Site!$B$33:$G$40,3,FALSE))</f>
        <v/>
      </c>
      <c r="X1288" t="str">
        <f>T(VLOOKUP(Tab_Calculs[[#This Row],[Compteur]],Site!$B$33:$G$40,4,FALSE))</f>
        <v/>
      </c>
      <c r="Y1288" t="str">
        <f>T(VLOOKUP(Tab_Calculs[[#This Row],[Compteur]],Site!$B$33:$G$40,5,FALSE))</f>
        <v/>
      </c>
      <c r="Z1288" t="str">
        <f>T(VLOOKUP(Tab_Calculs[[#This Row],[Compteur]],Site!$B$33:$G$40,6,FALSE))</f>
        <v/>
      </c>
      <c r="AA1288">
        <f>IFERROR(GETPIVOTDATA("DJU(chauffagiste)",BDD_DJU!$P$13,"annee",Tab_Calculs[[#This Row],[ANNEE]],"mois_numero",Tab_Calculs[[#This Row],[MOIS]]),0)</f>
        <v>27.8</v>
      </c>
    </row>
    <row r="1289" spans="1:27" x14ac:dyDescent="0.25">
      <c r="A1289" s="3">
        <f>DATE(Tab_Calculs[[#This Row],[ANNEE]],Tab_Calculs[[#This Row],[MOIS]],1)</f>
        <v>44075</v>
      </c>
      <c r="B1289" s="3">
        <f>EDATE(Tab_Calculs[[#This Row],[Début mois]],1)-1</f>
        <v>44104</v>
      </c>
      <c r="C1289">
        <f t="shared" si="43"/>
        <v>9</v>
      </c>
      <c r="D1289">
        <f t="shared" si="44"/>
        <v>2020</v>
      </c>
      <c r="E1289" t="s">
        <v>86</v>
      </c>
      <c r="F1289" t="str">
        <f>SUBSTITUTE(Tab_Calculs[[#This Row],[Compteur]]," ","_")</f>
        <v>Compteur_7</v>
      </c>
      <c r="G1289" t="str">
        <f>T(INDEX(Site!$B$33:$G$40, MATCH(Tab_Calculs[[#This Row],[Compteur]], Site!$B$33:$B$40,0),2))</f>
        <v/>
      </c>
      <c r="H1289" s="3">
        <f t="array" aca="1" ref="H1289" ca="1">MIN(IF(INDIRECT(CONCATENATE(Tab_Calculs[[#This Row],[Colonne1]],"!$B$2:$B$243"))&gt;=Calculs_Consos!$A1289,INDIRECT(CONCATENATE(Tab_Calculs[[#This Row],[Colonne1]],"!$B$2:$B$243"))))</f>
        <v>0</v>
      </c>
      <c r="I1289" s="3">
        <f ca="1">INDEX(INDIRECT(CONCATENATE("Tab_",Tab_Calculs[[#This Row],[Colonne1]])),Tab_Calculs[[#This Row],[index_date_livraison]],1)</f>
        <v>0</v>
      </c>
      <c r="J1289">
        <f ca="1">MATCH(Tab_Calculs[[#This Row],[Date_livraison]],INDIRECT(CONCATENATE("Tab_",Tab_Calculs[[#This Row],[Colonne1]],"[Fin de période]")),0)</f>
        <v>1</v>
      </c>
      <c r="K1289" t="e">
        <f ca="1">INDEX(INDIRECT(CONCATENATE("Tab_",Tab_Calculs[[#This Row],[Colonne1]])),Tab_Calculs[[#This Row],[index_date_livraison]]-1,6)*(MAX(Tab_Calculs[[#This Row],[Début periode livraison]],Tab_Calculs[[#This Row],[Début mois]])-Tab_Calculs[[#This Row],[Début mois]])</f>
        <v>#VALUE!</v>
      </c>
      <c r="L1289" s="94">
        <f ca="1">INDEX(INDIRECT(CONCATENATE("Tab_",Tab_Calculs[[#This Row],[Colonne1]])),Tab_Calculs[[#This Row],[index_date_livraison]],6)*(1+MIN(Tab_Calculs[[#This Row],[Date_livraison]],Tab_Calculs[[#This Row],[fin mois]])-MAX(Tab_Calculs[[#This Row],[Début mois]],Tab_Calculs[[#This Row],[Début periode livraison]]))</f>
        <v>0</v>
      </c>
      <c r="M1289" s="94" t="e">
        <f ca="1">INDEX(INDIRECT(CONCATENATE("Tab_",Tab_Calculs[[#This Row],[Colonne1]])),Tab_Calculs[[#This Row],[index_date_livraison]]+1,6)*(Tab_Calculs[[#This Row],[fin mois]]-MIN(Tab_Calculs[[#This Row],[fin mois]],Tab_Calculs[[#This Row],[Date_livraison]]))</f>
        <v>#VALUE!</v>
      </c>
      <c r="N1289" s="231" t="str">
        <f ca="1">IFERROR(Tab_Calculs[[#This Row],[Ratio_jour_après_livr]]+Tab_Calculs[[#This Row],[Ratio_jour_avant_livr]]+Tab_Calculs[[#This Row],[ratio_avant_debut]],"")</f>
        <v/>
      </c>
      <c r="O1289" t="e">
        <f ca="1">INDEX(INDIRECT(CONCATENATE("Tab_",Tab_Calculs[[#This Row],[Colonne1]])),Tab_Calculs[[#This Row],[index_date_livraison]]-1,7)*(MAX(Tab_Calculs[[#This Row],[Début periode livraison]],Tab_Calculs[[#This Row],[Début mois]])-Tab_Calculs[[#This Row],[Début mois]])</f>
        <v>#VALUE!</v>
      </c>
      <c r="P1289">
        <f ca="1">INDEX(INDIRECT(CONCATENATE("Tab_",Tab_Calculs[[#This Row],[Colonne1]])),Tab_Calculs[[#This Row],[index_date_livraison]],7)*(1+MIN(Tab_Calculs[[#This Row],[Date_livraison]],Tab_Calculs[[#This Row],[fin mois]])-MAX(Tab_Calculs[[#This Row],[Début mois]],Tab_Calculs[[#This Row],[Début periode livraison]]))</f>
        <v>0</v>
      </c>
      <c r="Q1289" t="e">
        <f ca="1">INDEX(INDIRECT(CONCATENATE("Tab_",Tab_Calculs[[#This Row],[Colonne1]])),Tab_Calculs[[#This Row],[index_date_livraison]]+1,7)*(Tab_Calculs[[#This Row],[fin mois]]-MIN(Tab_Calculs[[#This Row],[fin mois]],Tab_Calculs[[#This Row],[Date_livraison]]))</f>
        <v>#VALUE!</v>
      </c>
      <c r="R1289" t="e">
        <f ca="1">Tab_Calculs[[#This Row],[Ratio_Cout_après_livr]]+Tab_Calculs[[#This Row],[Ratio_Cout_avant_livr]]+Tab_Calculs[[#This Row],[Ratio_Cout_avant_debut]]</f>
        <v>#VALUE!</v>
      </c>
      <c r="S1289" t="str">
        <f ca="1">IFERROR(N1289*VLOOKUP(Tab_Calculs[[#This Row],[Colonne1]],Controle_des_données!$B$7:$G$14,6,FALSE),"")</f>
        <v/>
      </c>
      <c r="T1289" t="str">
        <f ca="1">IF(Tab_Calculs[[#This Row],[Combustible ]]="Electricité (kWh)",Tab_Calculs[[#This Row],[Conso_mois_kWh]]*2.3,Tab_Calculs[[#This Row],[Conso_mois_kWh]])</f>
        <v/>
      </c>
      <c r="U1289" t="str">
        <f ca="1">IFERROR(N1289*VLOOKUP(Tab_Calculs[[#This Row],[Colonne1]],Controle_des_données!$B$7:$H$14,7,FALSE),"")</f>
        <v/>
      </c>
      <c r="V1289">
        <f ca="1">IFERROR(Tab_Calculs[[#This Row],[Cout_mois]]/Tab_Calculs[[#This Row],[Conso_mois_kWh]],0)</f>
        <v>0</v>
      </c>
      <c r="W1289" t="str">
        <f>T(VLOOKUP(Tab_Calculs[[#This Row],[Compteur]],Site!$B$33:$G$40,3,FALSE))</f>
        <v/>
      </c>
      <c r="X1289" t="str">
        <f>T(VLOOKUP(Tab_Calculs[[#This Row],[Compteur]],Site!$B$33:$G$40,4,FALSE))</f>
        <v/>
      </c>
      <c r="Y1289" t="str">
        <f>T(VLOOKUP(Tab_Calculs[[#This Row],[Compteur]],Site!$B$33:$G$40,5,FALSE))</f>
        <v/>
      </c>
      <c r="Z1289" t="str">
        <f>T(VLOOKUP(Tab_Calculs[[#This Row],[Compteur]],Site!$B$33:$G$40,6,FALSE))</f>
        <v/>
      </c>
      <c r="AA1289">
        <f>IFERROR(GETPIVOTDATA("DJU(chauffagiste)",BDD_DJU!$P$13,"annee",Tab_Calculs[[#This Row],[ANNEE]],"mois_numero",Tab_Calculs[[#This Row],[MOIS]]),0)</f>
        <v>56.6</v>
      </c>
    </row>
    <row r="1290" spans="1:27" x14ac:dyDescent="0.25">
      <c r="A1290" s="3">
        <f>DATE(Tab_Calculs[[#This Row],[ANNEE]],Tab_Calculs[[#This Row],[MOIS]],1)</f>
        <v>44105</v>
      </c>
      <c r="B1290" s="3">
        <f>EDATE(Tab_Calculs[[#This Row],[Début mois]],1)-1</f>
        <v>44135</v>
      </c>
      <c r="C1290">
        <f t="shared" si="43"/>
        <v>10</v>
      </c>
      <c r="D1290">
        <f t="shared" si="44"/>
        <v>2020</v>
      </c>
      <c r="E1290" t="s">
        <v>86</v>
      </c>
      <c r="F1290" t="str">
        <f>SUBSTITUTE(Tab_Calculs[[#This Row],[Compteur]]," ","_")</f>
        <v>Compteur_7</v>
      </c>
      <c r="G1290" t="str">
        <f>T(INDEX(Site!$B$33:$G$40, MATCH(Tab_Calculs[[#This Row],[Compteur]], Site!$B$33:$B$40,0),2))</f>
        <v/>
      </c>
      <c r="H1290" s="3">
        <f t="array" aca="1" ref="H1290" ca="1">MIN(IF(INDIRECT(CONCATENATE(Tab_Calculs[[#This Row],[Colonne1]],"!$B$2:$B$243"))&gt;=Calculs_Consos!$A1290,INDIRECT(CONCATENATE(Tab_Calculs[[#This Row],[Colonne1]],"!$B$2:$B$243"))))</f>
        <v>0</v>
      </c>
      <c r="I1290" s="3">
        <f ca="1">INDEX(INDIRECT(CONCATENATE("Tab_",Tab_Calculs[[#This Row],[Colonne1]])),Tab_Calculs[[#This Row],[index_date_livraison]],1)</f>
        <v>0</v>
      </c>
      <c r="J1290">
        <f ca="1">MATCH(Tab_Calculs[[#This Row],[Date_livraison]],INDIRECT(CONCATENATE("Tab_",Tab_Calculs[[#This Row],[Colonne1]],"[Fin de période]")),0)</f>
        <v>1</v>
      </c>
      <c r="K1290" t="e">
        <f ca="1">INDEX(INDIRECT(CONCATENATE("Tab_",Tab_Calculs[[#This Row],[Colonne1]])),Tab_Calculs[[#This Row],[index_date_livraison]]-1,6)*(MAX(Tab_Calculs[[#This Row],[Début periode livraison]],Tab_Calculs[[#This Row],[Début mois]])-Tab_Calculs[[#This Row],[Début mois]])</f>
        <v>#VALUE!</v>
      </c>
      <c r="L1290" s="94">
        <f ca="1">INDEX(INDIRECT(CONCATENATE("Tab_",Tab_Calculs[[#This Row],[Colonne1]])),Tab_Calculs[[#This Row],[index_date_livraison]],6)*(1+MIN(Tab_Calculs[[#This Row],[Date_livraison]],Tab_Calculs[[#This Row],[fin mois]])-MAX(Tab_Calculs[[#This Row],[Début mois]],Tab_Calculs[[#This Row],[Début periode livraison]]))</f>
        <v>0</v>
      </c>
      <c r="M1290" s="94" t="e">
        <f ca="1">INDEX(INDIRECT(CONCATENATE("Tab_",Tab_Calculs[[#This Row],[Colonne1]])),Tab_Calculs[[#This Row],[index_date_livraison]]+1,6)*(Tab_Calculs[[#This Row],[fin mois]]-MIN(Tab_Calculs[[#This Row],[fin mois]],Tab_Calculs[[#This Row],[Date_livraison]]))</f>
        <v>#VALUE!</v>
      </c>
      <c r="N1290" s="231" t="str">
        <f ca="1">IFERROR(Tab_Calculs[[#This Row],[Ratio_jour_après_livr]]+Tab_Calculs[[#This Row],[Ratio_jour_avant_livr]]+Tab_Calculs[[#This Row],[ratio_avant_debut]],"")</f>
        <v/>
      </c>
      <c r="O1290" t="e">
        <f ca="1">INDEX(INDIRECT(CONCATENATE("Tab_",Tab_Calculs[[#This Row],[Colonne1]])),Tab_Calculs[[#This Row],[index_date_livraison]]-1,7)*(MAX(Tab_Calculs[[#This Row],[Début periode livraison]],Tab_Calculs[[#This Row],[Début mois]])-Tab_Calculs[[#This Row],[Début mois]])</f>
        <v>#VALUE!</v>
      </c>
      <c r="P1290">
        <f ca="1">INDEX(INDIRECT(CONCATENATE("Tab_",Tab_Calculs[[#This Row],[Colonne1]])),Tab_Calculs[[#This Row],[index_date_livraison]],7)*(1+MIN(Tab_Calculs[[#This Row],[Date_livraison]],Tab_Calculs[[#This Row],[fin mois]])-MAX(Tab_Calculs[[#This Row],[Début mois]],Tab_Calculs[[#This Row],[Début periode livraison]]))</f>
        <v>0</v>
      </c>
      <c r="Q1290" t="e">
        <f ca="1">INDEX(INDIRECT(CONCATENATE("Tab_",Tab_Calculs[[#This Row],[Colonne1]])),Tab_Calculs[[#This Row],[index_date_livraison]]+1,7)*(Tab_Calculs[[#This Row],[fin mois]]-MIN(Tab_Calculs[[#This Row],[fin mois]],Tab_Calculs[[#This Row],[Date_livraison]]))</f>
        <v>#VALUE!</v>
      </c>
      <c r="R1290" t="e">
        <f ca="1">Tab_Calculs[[#This Row],[Ratio_Cout_après_livr]]+Tab_Calculs[[#This Row],[Ratio_Cout_avant_livr]]+Tab_Calculs[[#This Row],[Ratio_Cout_avant_debut]]</f>
        <v>#VALUE!</v>
      </c>
      <c r="S1290" t="str">
        <f ca="1">IFERROR(N1290*VLOOKUP(Tab_Calculs[[#This Row],[Colonne1]],Controle_des_données!$B$7:$G$14,6,FALSE),"")</f>
        <v/>
      </c>
      <c r="T1290" t="str">
        <f ca="1">IF(Tab_Calculs[[#This Row],[Combustible ]]="Electricité (kWh)",Tab_Calculs[[#This Row],[Conso_mois_kWh]]*2.3,Tab_Calculs[[#This Row],[Conso_mois_kWh]])</f>
        <v/>
      </c>
      <c r="U1290" t="str">
        <f ca="1">IFERROR(N1290*VLOOKUP(Tab_Calculs[[#This Row],[Colonne1]],Controle_des_données!$B$7:$H$14,7,FALSE),"")</f>
        <v/>
      </c>
      <c r="V1290">
        <f ca="1">IFERROR(Tab_Calculs[[#This Row],[Cout_mois]]/Tab_Calculs[[#This Row],[Conso_mois_kWh]],0)</f>
        <v>0</v>
      </c>
      <c r="W1290" t="str">
        <f>T(VLOOKUP(Tab_Calculs[[#This Row],[Compteur]],Site!$B$33:$G$40,3,FALSE))</f>
        <v/>
      </c>
      <c r="X1290" t="str">
        <f>T(VLOOKUP(Tab_Calculs[[#This Row],[Compteur]],Site!$B$33:$G$40,4,FALSE))</f>
        <v/>
      </c>
      <c r="Y1290" t="str">
        <f>T(VLOOKUP(Tab_Calculs[[#This Row],[Compteur]],Site!$B$33:$G$40,5,FALSE))</f>
        <v/>
      </c>
      <c r="Z1290" t="str">
        <f>T(VLOOKUP(Tab_Calculs[[#This Row],[Compteur]],Site!$B$33:$G$40,6,FALSE))</f>
        <v/>
      </c>
      <c r="AA1290">
        <f>IFERROR(GETPIVOTDATA("DJU(chauffagiste)",BDD_DJU!$P$13,"annee",Tab_Calculs[[#This Row],[ANNEE]],"mois_numero",Tab_Calculs[[#This Row],[MOIS]]),0)</f>
        <v>159.30000000000001</v>
      </c>
    </row>
    <row r="1291" spans="1:27" x14ac:dyDescent="0.25">
      <c r="A1291" s="3">
        <f>DATE(Tab_Calculs[[#This Row],[ANNEE]],Tab_Calculs[[#This Row],[MOIS]],1)</f>
        <v>44136</v>
      </c>
      <c r="B1291" s="3">
        <f>EDATE(Tab_Calculs[[#This Row],[Début mois]],1)-1</f>
        <v>44165</v>
      </c>
      <c r="C1291">
        <f t="shared" si="43"/>
        <v>11</v>
      </c>
      <c r="D1291">
        <f t="shared" si="44"/>
        <v>2020</v>
      </c>
      <c r="E1291" t="s">
        <v>86</v>
      </c>
      <c r="F1291" t="str">
        <f>SUBSTITUTE(Tab_Calculs[[#This Row],[Compteur]]," ","_")</f>
        <v>Compteur_7</v>
      </c>
      <c r="G1291" t="str">
        <f>T(INDEX(Site!$B$33:$G$40, MATCH(Tab_Calculs[[#This Row],[Compteur]], Site!$B$33:$B$40,0),2))</f>
        <v/>
      </c>
      <c r="H1291" s="3">
        <f t="array" aca="1" ref="H1291" ca="1">MIN(IF(INDIRECT(CONCATENATE(Tab_Calculs[[#This Row],[Colonne1]],"!$B$2:$B$243"))&gt;=Calculs_Consos!$A1291,INDIRECT(CONCATENATE(Tab_Calculs[[#This Row],[Colonne1]],"!$B$2:$B$243"))))</f>
        <v>0</v>
      </c>
      <c r="I1291" s="3">
        <f ca="1">INDEX(INDIRECT(CONCATENATE("Tab_",Tab_Calculs[[#This Row],[Colonne1]])),Tab_Calculs[[#This Row],[index_date_livraison]],1)</f>
        <v>0</v>
      </c>
      <c r="J1291">
        <f ca="1">MATCH(Tab_Calculs[[#This Row],[Date_livraison]],INDIRECT(CONCATENATE("Tab_",Tab_Calculs[[#This Row],[Colonne1]],"[Fin de période]")),0)</f>
        <v>1</v>
      </c>
      <c r="K1291" t="e">
        <f ca="1">INDEX(INDIRECT(CONCATENATE("Tab_",Tab_Calculs[[#This Row],[Colonne1]])),Tab_Calculs[[#This Row],[index_date_livraison]]-1,6)*(MAX(Tab_Calculs[[#This Row],[Début periode livraison]],Tab_Calculs[[#This Row],[Début mois]])-Tab_Calculs[[#This Row],[Début mois]])</f>
        <v>#VALUE!</v>
      </c>
      <c r="L1291" s="94">
        <f ca="1">INDEX(INDIRECT(CONCATENATE("Tab_",Tab_Calculs[[#This Row],[Colonne1]])),Tab_Calculs[[#This Row],[index_date_livraison]],6)*(1+MIN(Tab_Calculs[[#This Row],[Date_livraison]],Tab_Calculs[[#This Row],[fin mois]])-MAX(Tab_Calculs[[#This Row],[Début mois]],Tab_Calculs[[#This Row],[Début periode livraison]]))</f>
        <v>0</v>
      </c>
      <c r="M1291" s="94" t="e">
        <f ca="1">INDEX(INDIRECT(CONCATENATE("Tab_",Tab_Calculs[[#This Row],[Colonne1]])),Tab_Calculs[[#This Row],[index_date_livraison]]+1,6)*(Tab_Calculs[[#This Row],[fin mois]]-MIN(Tab_Calculs[[#This Row],[fin mois]],Tab_Calculs[[#This Row],[Date_livraison]]))</f>
        <v>#VALUE!</v>
      </c>
      <c r="N1291" s="231" t="str">
        <f ca="1">IFERROR(Tab_Calculs[[#This Row],[Ratio_jour_après_livr]]+Tab_Calculs[[#This Row],[Ratio_jour_avant_livr]]+Tab_Calculs[[#This Row],[ratio_avant_debut]],"")</f>
        <v/>
      </c>
      <c r="O1291" t="e">
        <f ca="1">INDEX(INDIRECT(CONCATENATE("Tab_",Tab_Calculs[[#This Row],[Colonne1]])),Tab_Calculs[[#This Row],[index_date_livraison]]-1,7)*(MAX(Tab_Calculs[[#This Row],[Début periode livraison]],Tab_Calculs[[#This Row],[Début mois]])-Tab_Calculs[[#This Row],[Début mois]])</f>
        <v>#VALUE!</v>
      </c>
      <c r="P1291">
        <f ca="1">INDEX(INDIRECT(CONCATENATE("Tab_",Tab_Calculs[[#This Row],[Colonne1]])),Tab_Calculs[[#This Row],[index_date_livraison]],7)*(1+MIN(Tab_Calculs[[#This Row],[Date_livraison]],Tab_Calculs[[#This Row],[fin mois]])-MAX(Tab_Calculs[[#This Row],[Début mois]],Tab_Calculs[[#This Row],[Début periode livraison]]))</f>
        <v>0</v>
      </c>
      <c r="Q1291" t="e">
        <f ca="1">INDEX(INDIRECT(CONCATENATE("Tab_",Tab_Calculs[[#This Row],[Colonne1]])),Tab_Calculs[[#This Row],[index_date_livraison]]+1,7)*(Tab_Calculs[[#This Row],[fin mois]]-MIN(Tab_Calculs[[#This Row],[fin mois]],Tab_Calculs[[#This Row],[Date_livraison]]))</f>
        <v>#VALUE!</v>
      </c>
      <c r="R1291" t="e">
        <f ca="1">Tab_Calculs[[#This Row],[Ratio_Cout_après_livr]]+Tab_Calculs[[#This Row],[Ratio_Cout_avant_livr]]+Tab_Calculs[[#This Row],[Ratio_Cout_avant_debut]]</f>
        <v>#VALUE!</v>
      </c>
      <c r="S1291" t="str">
        <f ca="1">IFERROR(N1291*VLOOKUP(Tab_Calculs[[#This Row],[Colonne1]],Controle_des_données!$B$7:$G$14,6,FALSE),"")</f>
        <v/>
      </c>
      <c r="T1291" t="str">
        <f ca="1">IF(Tab_Calculs[[#This Row],[Combustible ]]="Electricité (kWh)",Tab_Calculs[[#This Row],[Conso_mois_kWh]]*2.3,Tab_Calculs[[#This Row],[Conso_mois_kWh]])</f>
        <v/>
      </c>
      <c r="U1291" t="str">
        <f ca="1">IFERROR(N1291*VLOOKUP(Tab_Calculs[[#This Row],[Colonne1]],Controle_des_données!$B$7:$H$14,7,FALSE),"")</f>
        <v/>
      </c>
      <c r="V1291">
        <f ca="1">IFERROR(Tab_Calculs[[#This Row],[Cout_mois]]/Tab_Calculs[[#This Row],[Conso_mois_kWh]],0)</f>
        <v>0</v>
      </c>
      <c r="W1291" t="str">
        <f>T(VLOOKUP(Tab_Calculs[[#This Row],[Compteur]],Site!$B$33:$G$40,3,FALSE))</f>
        <v/>
      </c>
      <c r="X1291" t="str">
        <f>T(VLOOKUP(Tab_Calculs[[#This Row],[Compteur]],Site!$B$33:$G$40,4,FALSE))</f>
        <v/>
      </c>
      <c r="Y1291" t="str">
        <f>T(VLOOKUP(Tab_Calculs[[#This Row],[Compteur]],Site!$B$33:$G$40,5,FALSE))</f>
        <v/>
      </c>
      <c r="Z1291" t="str">
        <f>T(VLOOKUP(Tab_Calculs[[#This Row],[Compteur]],Site!$B$33:$G$40,6,FALSE))</f>
        <v/>
      </c>
      <c r="AA1291">
        <f>IFERROR(GETPIVOTDATA("DJU(chauffagiste)",BDD_DJU!$P$13,"annee",Tab_Calculs[[#This Row],[ANNEE]],"mois_numero",Tab_Calculs[[#This Row],[MOIS]]),0)</f>
        <v>237.3</v>
      </c>
    </row>
    <row r="1292" spans="1:27" x14ac:dyDescent="0.25">
      <c r="A1292" s="3">
        <f>DATE(Tab_Calculs[[#This Row],[ANNEE]],Tab_Calculs[[#This Row],[MOIS]],1)</f>
        <v>44166</v>
      </c>
      <c r="B1292" s="3">
        <f>EDATE(Tab_Calculs[[#This Row],[Début mois]],1)-1</f>
        <v>44196</v>
      </c>
      <c r="C1292">
        <f t="shared" si="43"/>
        <v>12</v>
      </c>
      <c r="D1292">
        <f t="shared" si="44"/>
        <v>2020</v>
      </c>
      <c r="E1292" t="s">
        <v>86</v>
      </c>
      <c r="F1292" t="str">
        <f>SUBSTITUTE(Tab_Calculs[[#This Row],[Compteur]]," ","_")</f>
        <v>Compteur_7</v>
      </c>
      <c r="G1292" t="str">
        <f>T(INDEX(Site!$B$33:$G$40, MATCH(Tab_Calculs[[#This Row],[Compteur]], Site!$B$33:$B$40,0),2))</f>
        <v/>
      </c>
      <c r="H1292" s="3">
        <f t="array" aca="1" ref="H1292" ca="1">MIN(IF(INDIRECT(CONCATENATE(Tab_Calculs[[#This Row],[Colonne1]],"!$B$2:$B$243"))&gt;=Calculs_Consos!$A1292,INDIRECT(CONCATENATE(Tab_Calculs[[#This Row],[Colonne1]],"!$B$2:$B$243"))))</f>
        <v>0</v>
      </c>
      <c r="I1292" s="3">
        <f ca="1">INDEX(INDIRECT(CONCATENATE("Tab_",Tab_Calculs[[#This Row],[Colonne1]])),Tab_Calculs[[#This Row],[index_date_livraison]],1)</f>
        <v>0</v>
      </c>
      <c r="J1292">
        <f ca="1">MATCH(Tab_Calculs[[#This Row],[Date_livraison]],INDIRECT(CONCATENATE("Tab_",Tab_Calculs[[#This Row],[Colonne1]],"[Fin de période]")),0)</f>
        <v>1</v>
      </c>
      <c r="K1292" t="e">
        <f ca="1">INDEX(INDIRECT(CONCATENATE("Tab_",Tab_Calculs[[#This Row],[Colonne1]])),Tab_Calculs[[#This Row],[index_date_livraison]]-1,6)*(MAX(Tab_Calculs[[#This Row],[Début periode livraison]],Tab_Calculs[[#This Row],[Début mois]])-Tab_Calculs[[#This Row],[Début mois]])</f>
        <v>#VALUE!</v>
      </c>
      <c r="L1292" s="94">
        <f ca="1">INDEX(INDIRECT(CONCATENATE("Tab_",Tab_Calculs[[#This Row],[Colonne1]])),Tab_Calculs[[#This Row],[index_date_livraison]],6)*(1+MIN(Tab_Calculs[[#This Row],[Date_livraison]],Tab_Calculs[[#This Row],[fin mois]])-MAX(Tab_Calculs[[#This Row],[Début mois]],Tab_Calculs[[#This Row],[Début periode livraison]]))</f>
        <v>0</v>
      </c>
      <c r="M1292" s="94" t="e">
        <f ca="1">INDEX(INDIRECT(CONCATENATE("Tab_",Tab_Calculs[[#This Row],[Colonne1]])),Tab_Calculs[[#This Row],[index_date_livraison]]+1,6)*(Tab_Calculs[[#This Row],[fin mois]]-MIN(Tab_Calculs[[#This Row],[fin mois]],Tab_Calculs[[#This Row],[Date_livraison]]))</f>
        <v>#VALUE!</v>
      </c>
      <c r="N1292" s="231" t="str">
        <f ca="1">IFERROR(Tab_Calculs[[#This Row],[Ratio_jour_après_livr]]+Tab_Calculs[[#This Row],[Ratio_jour_avant_livr]]+Tab_Calculs[[#This Row],[ratio_avant_debut]],"")</f>
        <v/>
      </c>
      <c r="O1292" t="e">
        <f ca="1">INDEX(INDIRECT(CONCATENATE("Tab_",Tab_Calculs[[#This Row],[Colonne1]])),Tab_Calculs[[#This Row],[index_date_livraison]]-1,7)*(MAX(Tab_Calculs[[#This Row],[Début periode livraison]],Tab_Calculs[[#This Row],[Début mois]])-Tab_Calculs[[#This Row],[Début mois]])</f>
        <v>#VALUE!</v>
      </c>
      <c r="P1292">
        <f ca="1">INDEX(INDIRECT(CONCATENATE("Tab_",Tab_Calculs[[#This Row],[Colonne1]])),Tab_Calculs[[#This Row],[index_date_livraison]],7)*(1+MIN(Tab_Calculs[[#This Row],[Date_livraison]],Tab_Calculs[[#This Row],[fin mois]])-MAX(Tab_Calculs[[#This Row],[Début mois]],Tab_Calculs[[#This Row],[Début periode livraison]]))</f>
        <v>0</v>
      </c>
      <c r="Q1292" t="e">
        <f ca="1">INDEX(INDIRECT(CONCATENATE("Tab_",Tab_Calculs[[#This Row],[Colonne1]])),Tab_Calculs[[#This Row],[index_date_livraison]]+1,7)*(Tab_Calculs[[#This Row],[fin mois]]-MIN(Tab_Calculs[[#This Row],[fin mois]],Tab_Calculs[[#This Row],[Date_livraison]]))</f>
        <v>#VALUE!</v>
      </c>
      <c r="R1292" t="e">
        <f ca="1">Tab_Calculs[[#This Row],[Ratio_Cout_après_livr]]+Tab_Calculs[[#This Row],[Ratio_Cout_avant_livr]]+Tab_Calculs[[#This Row],[Ratio_Cout_avant_debut]]</f>
        <v>#VALUE!</v>
      </c>
      <c r="S1292" t="str">
        <f ca="1">IFERROR(N1292*VLOOKUP(Tab_Calculs[[#This Row],[Colonne1]],Controle_des_données!$B$7:$G$14,6,FALSE),"")</f>
        <v/>
      </c>
      <c r="T1292" t="str">
        <f ca="1">IF(Tab_Calculs[[#This Row],[Combustible ]]="Electricité (kWh)",Tab_Calculs[[#This Row],[Conso_mois_kWh]]*2.3,Tab_Calculs[[#This Row],[Conso_mois_kWh]])</f>
        <v/>
      </c>
      <c r="U1292" t="str">
        <f ca="1">IFERROR(N1292*VLOOKUP(Tab_Calculs[[#This Row],[Colonne1]],Controle_des_données!$B$7:$H$14,7,FALSE),"")</f>
        <v/>
      </c>
      <c r="V1292">
        <f ca="1">IFERROR(Tab_Calculs[[#This Row],[Cout_mois]]/Tab_Calculs[[#This Row],[Conso_mois_kWh]],0)</f>
        <v>0</v>
      </c>
      <c r="W1292" t="str">
        <f>T(VLOOKUP(Tab_Calculs[[#This Row],[Compteur]],Site!$B$33:$G$40,3,FALSE))</f>
        <v/>
      </c>
      <c r="X1292" t="str">
        <f>T(VLOOKUP(Tab_Calculs[[#This Row],[Compteur]],Site!$B$33:$G$40,4,FALSE))</f>
        <v/>
      </c>
      <c r="Y1292" t="str">
        <f>T(VLOOKUP(Tab_Calculs[[#This Row],[Compteur]],Site!$B$33:$G$40,5,FALSE))</f>
        <v/>
      </c>
      <c r="Z1292" t="str">
        <f>T(VLOOKUP(Tab_Calculs[[#This Row],[Compteur]],Site!$B$33:$G$40,6,FALSE))</f>
        <v/>
      </c>
      <c r="AA1292">
        <f>IFERROR(GETPIVOTDATA("DJU(chauffagiste)",BDD_DJU!$P$13,"annee",Tab_Calculs[[#This Row],[ANNEE]],"mois_numero",Tab_Calculs[[#This Row],[MOIS]]),0)</f>
        <v>334.4</v>
      </c>
    </row>
    <row r="1293" spans="1:27" x14ac:dyDescent="0.25">
      <c r="A1293" s="3">
        <f>DATE(Tab_Calculs[[#This Row],[ANNEE]],Tab_Calculs[[#This Row],[MOIS]],1)</f>
        <v>44197</v>
      </c>
      <c r="B1293" s="3">
        <f>EDATE(Tab_Calculs[[#This Row],[Début mois]],1)-1</f>
        <v>44227</v>
      </c>
      <c r="C1293">
        <f t="shared" si="43"/>
        <v>1</v>
      </c>
      <c r="D1293">
        <f t="shared" si="44"/>
        <v>2021</v>
      </c>
      <c r="E1293" t="s">
        <v>86</v>
      </c>
      <c r="F1293" t="str">
        <f>SUBSTITUTE(Tab_Calculs[[#This Row],[Compteur]]," ","_")</f>
        <v>Compteur_7</v>
      </c>
      <c r="G1293" t="str">
        <f>T(INDEX(Site!$B$33:$G$40, MATCH(Tab_Calculs[[#This Row],[Compteur]], Site!$B$33:$B$40,0),2))</f>
        <v/>
      </c>
      <c r="H1293" s="3">
        <f t="array" aca="1" ref="H1293" ca="1">MIN(IF(INDIRECT(CONCATENATE(Tab_Calculs[[#This Row],[Colonne1]],"!$B$2:$B$243"))&gt;=Calculs_Consos!$A1293,INDIRECT(CONCATENATE(Tab_Calculs[[#This Row],[Colonne1]],"!$B$2:$B$243"))))</f>
        <v>0</v>
      </c>
      <c r="I1293" s="3">
        <f ca="1">INDEX(INDIRECT(CONCATENATE("Tab_",Tab_Calculs[[#This Row],[Colonne1]])),Tab_Calculs[[#This Row],[index_date_livraison]],1)</f>
        <v>0</v>
      </c>
      <c r="J1293">
        <f ca="1">MATCH(Tab_Calculs[[#This Row],[Date_livraison]],INDIRECT(CONCATENATE("Tab_",Tab_Calculs[[#This Row],[Colonne1]],"[Fin de période]")),0)</f>
        <v>1</v>
      </c>
      <c r="K1293" t="e">
        <f ca="1">INDEX(INDIRECT(CONCATENATE("Tab_",Tab_Calculs[[#This Row],[Colonne1]])),Tab_Calculs[[#This Row],[index_date_livraison]]-1,6)*(MAX(Tab_Calculs[[#This Row],[Début periode livraison]],Tab_Calculs[[#This Row],[Début mois]])-Tab_Calculs[[#This Row],[Début mois]])</f>
        <v>#VALUE!</v>
      </c>
      <c r="L1293" s="94">
        <f ca="1">INDEX(INDIRECT(CONCATENATE("Tab_",Tab_Calculs[[#This Row],[Colonne1]])),Tab_Calculs[[#This Row],[index_date_livraison]],6)*(1+MIN(Tab_Calculs[[#This Row],[Date_livraison]],Tab_Calculs[[#This Row],[fin mois]])-MAX(Tab_Calculs[[#This Row],[Début mois]],Tab_Calculs[[#This Row],[Début periode livraison]]))</f>
        <v>0</v>
      </c>
      <c r="M1293" s="94" t="e">
        <f ca="1">INDEX(INDIRECT(CONCATENATE("Tab_",Tab_Calculs[[#This Row],[Colonne1]])),Tab_Calculs[[#This Row],[index_date_livraison]]+1,6)*(Tab_Calculs[[#This Row],[fin mois]]-MIN(Tab_Calculs[[#This Row],[fin mois]],Tab_Calculs[[#This Row],[Date_livraison]]))</f>
        <v>#VALUE!</v>
      </c>
      <c r="N1293" s="231" t="str">
        <f ca="1">IFERROR(Tab_Calculs[[#This Row],[Ratio_jour_après_livr]]+Tab_Calculs[[#This Row],[Ratio_jour_avant_livr]]+Tab_Calculs[[#This Row],[ratio_avant_debut]],"")</f>
        <v/>
      </c>
      <c r="O1293" t="e">
        <f ca="1">INDEX(INDIRECT(CONCATENATE("Tab_",Tab_Calculs[[#This Row],[Colonne1]])),Tab_Calculs[[#This Row],[index_date_livraison]]-1,7)*(MAX(Tab_Calculs[[#This Row],[Début periode livraison]],Tab_Calculs[[#This Row],[Début mois]])-Tab_Calculs[[#This Row],[Début mois]])</f>
        <v>#VALUE!</v>
      </c>
      <c r="P1293">
        <f ca="1">INDEX(INDIRECT(CONCATENATE("Tab_",Tab_Calculs[[#This Row],[Colonne1]])),Tab_Calculs[[#This Row],[index_date_livraison]],7)*(1+MIN(Tab_Calculs[[#This Row],[Date_livraison]],Tab_Calculs[[#This Row],[fin mois]])-MAX(Tab_Calculs[[#This Row],[Début mois]],Tab_Calculs[[#This Row],[Début periode livraison]]))</f>
        <v>0</v>
      </c>
      <c r="Q1293" t="e">
        <f ca="1">INDEX(INDIRECT(CONCATENATE("Tab_",Tab_Calculs[[#This Row],[Colonne1]])),Tab_Calculs[[#This Row],[index_date_livraison]]+1,7)*(Tab_Calculs[[#This Row],[fin mois]]-MIN(Tab_Calculs[[#This Row],[fin mois]],Tab_Calculs[[#This Row],[Date_livraison]]))</f>
        <v>#VALUE!</v>
      </c>
      <c r="R1293" t="e">
        <f ca="1">Tab_Calculs[[#This Row],[Ratio_Cout_après_livr]]+Tab_Calculs[[#This Row],[Ratio_Cout_avant_livr]]+Tab_Calculs[[#This Row],[Ratio_Cout_avant_debut]]</f>
        <v>#VALUE!</v>
      </c>
      <c r="S1293" t="str">
        <f ca="1">IFERROR(N1293*VLOOKUP(Tab_Calculs[[#This Row],[Colonne1]],Controle_des_données!$B$7:$G$14,6,FALSE),"")</f>
        <v/>
      </c>
      <c r="T1293" t="str">
        <f ca="1">IF(Tab_Calculs[[#This Row],[Combustible ]]="Electricité (kWh)",Tab_Calculs[[#This Row],[Conso_mois_kWh]]*2.3,Tab_Calculs[[#This Row],[Conso_mois_kWh]])</f>
        <v/>
      </c>
      <c r="U1293" t="str">
        <f ca="1">IFERROR(N1293*VLOOKUP(Tab_Calculs[[#This Row],[Colonne1]],Controle_des_données!$B$7:$H$14,7,FALSE),"")</f>
        <v/>
      </c>
      <c r="V1293">
        <f ca="1">IFERROR(Tab_Calculs[[#This Row],[Cout_mois]]/Tab_Calculs[[#This Row],[Conso_mois_kWh]],0)</f>
        <v>0</v>
      </c>
      <c r="W1293" t="str">
        <f>T(VLOOKUP(Tab_Calculs[[#This Row],[Compteur]],Site!$B$33:$G$40,3,FALSE))</f>
        <v/>
      </c>
      <c r="X1293" t="str">
        <f>T(VLOOKUP(Tab_Calculs[[#This Row],[Compteur]],Site!$B$33:$G$40,4,FALSE))</f>
        <v/>
      </c>
      <c r="Y1293" t="str">
        <f>T(VLOOKUP(Tab_Calculs[[#This Row],[Compteur]],Site!$B$33:$G$40,5,FALSE))</f>
        <v/>
      </c>
      <c r="Z1293" t="str">
        <f>T(VLOOKUP(Tab_Calculs[[#This Row],[Compteur]],Site!$B$33:$G$40,6,FALSE))</f>
        <v/>
      </c>
      <c r="AA1293">
        <f>IFERROR(GETPIVOTDATA("DJU(chauffagiste)",BDD_DJU!$P$13,"annee",Tab_Calculs[[#This Row],[ANNEE]],"mois_numero",Tab_Calculs[[#This Row],[MOIS]]),0)</f>
        <v>380.1</v>
      </c>
    </row>
    <row r="1294" spans="1:27" x14ac:dyDescent="0.25">
      <c r="A1294" s="3">
        <f>DATE(Tab_Calculs[[#This Row],[ANNEE]],Tab_Calculs[[#This Row],[MOIS]],1)</f>
        <v>44228</v>
      </c>
      <c r="B1294" s="3">
        <f>EDATE(Tab_Calculs[[#This Row],[Début mois]],1)-1</f>
        <v>44255</v>
      </c>
      <c r="C1294">
        <f t="shared" si="43"/>
        <v>2</v>
      </c>
      <c r="D1294">
        <f t="shared" si="44"/>
        <v>2021</v>
      </c>
      <c r="E1294" t="s">
        <v>86</v>
      </c>
      <c r="F1294" t="str">
        <f>SUBSTITUTE(Tab_Calculs[[#This Row],[Compteur]]," ","_")</f>
        <v>Compteur_7</v>
      </c>
      <c r="G1294" t="str">
        <f>T(INDEX(Site!$B$33:$G$40, MATCH(Tab_Calculs[[#This Row],[Compteur]], Site!$B$33:$B$40,0),2))</f>
        <v/>
      </c>
      <c r="H1294" s="3">
        <f t="array" aca="1" ref="H1294" ca="1">MIN(IF(INDIRECT(CONCATENATE(Tab_Calculs[[#This Row],[Colonne1]],"!$B$2:$B$243"))&gt;=Calculs_Consos!$A1294,INDIRECT(CONCATENATE(Tab_Calculs[[#This Row],[Colonne1]],"!$B$2:$B$243"))))</f>
        <v>0</v>
      </c>
      <c r="I1294" s="3">
        <f ca="1">INDEX(INDIRECT(CONCATENATE("Tab_",Tab_Calculs[[#This Row],[Colonne1]])),Tab_Calculs[[#This Row],[index_date_livraison]],1)</f>
        <v>0</v>
      </c>
      <c r="J1294">
        <f ca="1">MATCH(Tab_Calculs[[#This Row],[Date_livraison]],INDIRECT(CONCATENATE("Tab_",Tab_Calculs[[#This Row],[Colonne1]],"[Fin de période]")),0)</f>
        <v>1</v>
      </c>
      <c r="K1294" t="e">
        <f ca="1">INDEX(INDIRECT(CONCATENATE("Tab_",Tab_Calculs[[#This Row],[Colonne1]])),Tab_Calculs[[#This Row],[index_date_livraison]]-1,6)*(MAX(Tab_Calculs[[#This Row],[Début periode livraison]],Tab_Calculs[[#This Row],[Début mois]])-Tab_Calculs[[#This Row],[Début mois]])</f>
        <v>#VALUE!</v>
      </c>
      <c r="L1294" s="94">
        <f ca="1">INDEX(INDIRECT(CONCATENATE("Tab_",Tab_Calculs[[#This Row],[Colonne1]])),Tab_Calculs[[#This Row],[index_date_livraison]],6)*(1+MIN(Tab_Calculs[[#This Row],[Date_livraison]],Tab_Calculs[[#This Row],[fin mois]])-MAX(Tab_Calculs[[#This Row],[Début mois]],Tab_Calculs[[#This Row],[Début periode livraison]]))</f>
        <v>0</v>
      </c>
      <c r="M1294" s="94" t="e">
        <f ca="1">INDEX(INDIRECT(CONCATENATE("Tab_",Tab_Calculs[[#This Row],[Colonne1]])),Tab_Calculs[[#This Row],[index_date_livraison]]+1,6)*(Tab_Calculs[[#This Row],[fin mois]]-MIN(Tab_Calculs[[#This Row],[fin mois]],Tab_Calculs[[#This Row],[Date_livraison]]))</f>
        <v>#VALUE!</v>
      </c>
      <c r="N1294" s="231" t="str">
        <f ca="1">IFERROR(Tab_Calculs[[#This Row],[Ratio_jour_après_livr]]+Tab_Calculs[[#This Row],[Ratio_jour_avant_livr]]+Tab_Calculs[[#This Row],[ratio_avant_debut]],"")</f>
        <v/>
      </c>
      <c r="O1294" t="e">
        <f ca="1">INDEX(INDIRECT(CONCATENATE("Tab_",Tab_Calculs[[#This Row],[Colonne1]])),Tab_Calculs[[#This Row],[index_date_livraison]]-1,7)*(MAX(Tab_Calculs[[#This Row],[Début periode livraison]],Tab_Calculs[[#This Row],[Début mois]])-Tab_Calculs[[#This Row],[Début mois]])</f>
        <v>#VALUE!</v>
      </c>
      <c r="P1294">
        <f ca="1">INDEX(INDIRECT(CONCATENATE("Tab_",Tab_Calculs[[#This Row],[Colonne1]])),Tab_Calculs[[#This Row],[index_date_livraison]],7)*(1+MIN(Tab_Calculs[[#This Row],[Date_livraison]],Tab_Calculs[[#This Row],[fin mois]])-MAX(Tab_Calculs[[#This Row],[Début mois]],Tab_Calculs[[#This Row],[Début periode livraison]]))</f>
        <v>0</v>
      </c>
      <c r="Q1294" t="e">
        <f ca="1">INDEX(INDIRECT(CONCATENATE("Tab_",Tab_Calculs[[#This Row],[Colonne1]])),Tab_Calculs[[#This Row],[index_date_livraison]]+1,7)*(Tab_Calculs[[#This Row],[fin mois]]-MIN(Tab_Calculs[[#This Row],[fin mois]],Tab_Calculs[[#This Row],[Date_livraison]]))</f>
        <v>#VALUE!</v>
      </c>
      <c r="R1294" t="e">
        <f ca="1">Tab_Calculs[[#This Row],[Ratio_Cout_après_livr]]+Tab_Calculs[[#This Row],[Ratio_Cout_avant_livr]]+Tab_Calculs[[#This Row],[Ratio_Cout_avant_debut]]</f>
        <v>#VALUE!</v>
      </c>
      <c r="S1294" t="str">
        <f ca="1">IFERROR(N1294*VLOOKUP(Tab_Calculs[[#This Row],[Colonne1]],Controle_des_données!$B$7:$G$14,6,FALSE),"")</f>
        <v/>
      </c>
      <c r="T1294" t="str">
        <f ca="1">IF(Tab_Calculs[[#This Row],[Combustible ]]="Electricité (kWh)",Tab_Calculs[[#This Row],[Conso_mois_kWh]]*2.3,Tab_Calculs[[#This Row],[Conso_mois_kWh]])</f>
        <v/>
      </c>
      <c r="U1294" t="str">
        <f ca="1">IFERROR(N1294*VLOOKUP(Tab_Calculs[[#This Row],[Colonne1]],Controle_des_données!$B$7:$H$14,7,FALSE),"")</f>
        <v/>
      </c>
      <c r="V1294">
        <f ca="1">IFERROR(Tab_Calculs[[#This Row],[Cout_mois]]/Tab_Calculs[[#This Row],[Conso_mois_kWh]],0)</f>
        <v>0</v>
      </c>
      <c r="W1294" t="str">
        <f>T(VLOOKUP(Tab_Calculs[[#This Row],[Compteur]],Site!$B$33:$G$40,3,FALSE))</f>
        <v/>
      </c>
      <c r="X1294" t="str">
        <f>T(VLOOKUP(Tab_Calculs[[#This Row],[Compteur]],Site!$B$33:$G$40,4,FALSE))</f>
        <v/>
      </c>
      <c r="Y1294" t="str">
        <f>T(VLOOKUP(Tab_Calculs[[#This Row],[Compteur]],Site!$B$33:$G$40,5,FALSE))</f>
        <v/>
      </c>
      <c r="Z1294" t="str">
        <f>T(VLOOKUP(Tab_Calculs[[#This Row],[Compteur]],Site!$B$33:$G$40,6,FALSE))</f>
        <v/>
      </c>
      <c r="AA1294">
        <f>IFERROR(GETPIVOTDATA("DJU(chauffagiste)",BDD_DJU!$P$13,"annee",Tab_Calculs[[#This Row],[ANNEE]],"mois_numero",Tab_Calculs[[#This Row],[MOIS]]),0)</f>
        <v>299.5</v>
      </c>
    </row>
    <row r="1295" spans="1:27" x14ac:dyDescent="0.25">
      <c r="A1295" s="3">
        <f>DATE(Tab_Calculs[[#This Row],[ANNEE]],Tab_Calculs[[#This Row],[MOIS]],1)</f>
        <v>44256</v>
      </c>
      <c r="B1295" s="3">
        <f>EDATE(Tab_Calculs[[#This Row],[Début mois]],1)-1</f>
        <v>44286</v>
      </c>
      <c r="C1295">
        <f t="shared" si="43"/>
        <v>3</v>
      </c>
      <c r="D1295">
        <f t="shared" si="44"/>
        <v>2021</v>
      </c>
      <c r="E1295" t="s">
        <v>86</v>
      </c>
      <c r="F1295" t="str">
        <f>SUBSTITUTE(Tab_Calculs[[#This Row],[Compteur]]," ","_")</f>
        <v>Compteur_7</v>
      </c>
      <c r="G1295" t="str">
        <f>T(INDEX(Site!$B$33:$G$40, MATCH(Tab_Calculs[[#This Row],[Compteur]], Site!$B$33:$B$40,0),2))</f>
        <v/>
      </c>
      <c r="H1295" s="3">
        <f t="array" aca="1" ref="H1295" ca="1">MIN(IF(INDIRECT(CONCATENATE(Tab_Calculs[[#This Row],[Colonne1]],"!$B$2:$B$243"))&gt;=Calculs_Consos!$A1295,INDIRECT(CONCATENATE(Tab_Calculs[[#This Row],[Colonne1]],"!$B$2:$B$243"))))</f>
        <v>0</v>
      </c>
      <c r="I1295" s="3">
        <f ca="1">INDEX(INDIRECT(CONCATENATE("Tab_",Tab_Calculs[[#This Row],[Colonne1]])),Tab_Calculs[[#This Row],[index_date_livraison]],1)</f>
        <v>0</v>
      </c>
      <c r="J1295">
        <f ca="1">MATCH(Tab_Calculs[[#This Row],[Date_livraison]],INDIRECT(CONCATENATE("Tab_",Tab_Calculs[[#This Row],[Colonne1]],"[Fin de période]")),0)</f>
        <v>1</v>
      </c>
      <c r="K1295" t="e">
        <f ca="1">INDEX(INDIRECT(CONCATENATE("Tab_",Tab_Calculs[[#This Row],[Colonne1]])),Tab_Calculs[[#This Row],[index_date_livraison]]-1,6)*(MAX(Tab_Calculs[[#This Row],[Début periode livraison]],Tab_Calculs[[#This Row],[Début mois]])-Tab_Calculs[[#This Row],[Début mois]])</f>
        <v>#VALUE!</v>
      </c>
      <c r="L1295" s="94">
        <f ca="1">INDEX(INDIRECT(CONCATENATE("Tab_",Tab_Calculs[[#This Row],[Colonne1]])),Tab_Calculs[[#This Row],[index_date_livraison]],6)*(1+MIN(Tab_Calculs[[#This Row],[Date_livraison]],Tab_Calculs[[#This Row],[fin mois]])-MAX(Tab_Calculs[[#This Row],[Début mois]],Tab_Calculs[[#This Row],[Début periode livraison]]))</f>
        <v>0</v>
      </c>
      <c r="M1295" s="94" t="e">
        <f ca="1">INDEX(INDIRECT(CONCATENATE("Tab_",Tab_Calculs[[#This Row],[Colonne1]])),Tab_Calculs[[#This Row],[index_date_livraison]]+1,6)*(Tab_Calculs[[#This Row],[fin mois]]-MIN(Tab_Calculs[[#This Row],[fin mois]],Tab_Calculs[[#This Row],[Date_livraison]]))</f>
        <v>#VALUE!</v>
      </c>
      <c r="N1295" s="231" t="str">
        <f ca="1">IFERROR(Tab_Calculs[[#This Row],[Ratio_jour_après_livr]]+Tab_Calculs[[#This Row],[Ratio_jour_avant_livr]]+Tab_Calculs[[#This Row],[ratio_avant_debut]],"")</f>
        <v/>
      </c>
      <c r="O1295" t="e">
        <f ca="1">INDEX(INDIRECT(CONCATENATE("Tab_",Tab_Calculs[[#This Row],[Colonne1]])),Tab_Calculs[[#This Row],[index_date_livraison]]-1,7)*(MAX(Tab_Calculs[[#This Row],[Début periode livraison]],Tab_Calculs[[#This Row],[Début mois]])-Tab_Calculs[[#This Row],[Début mois]])</f>
        <v>#VALUE!</v>
      </c>
      <c r="P1295">
        <f ca="1">INDEX(INDIRECT(CONCATENATE("Tab_",Tab_Calculs[[#This Row],[Colonne1]])),Tab_Calculs[[#This Row],[index_date_livraison]],7)*(1+MIN(Tab_Calculs[[#This Row],[Date_livraison]],Tab_Calculs[[#This Row],[fin mois]])-MAX(Tab_Calculs[[#This Row],[Début mois]],Tab_Calculs[[#This Row],[Début periode livraison]]))</f>
        <v>0</v>
      </c>
      <c r="Q1295" t="e">
        <f ca="1">INDEX(INDIRECT(CONCATENATE("Tab_",Tab_Calculs[[#This Row],[Colonne1]])),Tab_Calculs[[#This Row],[index_date_livraison]]+1,7)*(Tab_Calculs[[#This Row],[fin mois]]-MIN(Tab_Calculs[[#This Row],[fin mois]],Tab_Calculs[[#This Row],[Date_livraison]]))</f>
        <v>#VALUE!</v>
      </c>
      <c r="R1295" t="e">
        <f ca="1">Tab_Calculs[[#This Row],[Ratio_Cout_après_livr]]+Tab_Calculs[[#This Row],[Ratio_Cout_avant_livr]]+Tab_Calculs[[#This Row],[Ratio_Cout_avant_debut]]</f>
        <v>#VALUE!</v>
      </c>
      <c r="S1295" t="str">
        <f ca="1">IFERROR(N1295*VLOOKUP(Tab_Calculs[[#This Row],[Colonne1]],Controle_des_données!$B$7:$G$14,6,FALSE),"")</f>
        <v/>
      </c>
      <c r="T1295" t="str">
        <f ca="1">IF(Tab_Calculs[[#This Row],[Combustible ]]="Electricité (kWh)",Tab_Calculs[[#This Row],[Conso_mois_kWh]]*2.3,Tab_Calculs[[#This Row],[Conso_mois_kWh]])</f>
        <v/>
      </c>
      <c r="U1295" t="str">
        <f ca="1">IFERROR(N1295*VLOOKUP(Tab_Calculs[[#This Row],[Colonne1]],Controle_des_données!$B$7:$H$14,7,FALSE),"")</f>
        <v/>
      </c>
      <c r="V1295">
        <f ca="1">IFERROR(Tab_Calculs[[#This Row],[Cout_mois]]/Tab_Calculs[[#This Row],[Conso_mois_kWh]],0)</f>
        <v>0</v>
      </c>
      <c r="W1295" t="str">
        <f>T(VLOOKUP(Tab_Calculs[[#This Row],[Compteur]],Site!$B$33:$G$40,3,FALSE))</f>
        <v/>
      </c>
      <c r="X1295" t="str">
        <f>T(VLOOKUP(Tab_Calculs[[#This Row],[Compteur]],Site!$B$33:$G$40,4,FALSE))</f>
        <v/>
      </c>
      <c r="Y1295" t="str">
        <f>T(VLOOKUP(Tab_Calculs[[#This Row],[Compteur]],Site!$B$33:$G$40,5,FALSE))</f>
        <v/>
      </c>
      <c r="Z1295" t="str">
        <f>T(VLOOKUP(Tab_Calculs[[#This Row],[Compteur]],Site!$B$33:$G$40,6,FALSE))</f>
        <v/>
      </c>
      <c r="AA1295">
        <f>IFERROR(GETPIVOTDATA("DJU(chauffagiste)",BDD_DJU!$P$13,"annee",Tab_Calculs[[#This Row],[ANNEE]],"mois_numero",Tab_Calculs[[#This Row],[MOIS]]),0)</f>
        <v>303.89999999999998</v>
      </c>
    </row>
    <row r="1296" spans="1:27" x14ac:dyDescent="0.25">
      <c r="A1296" s="3">
        <f>DATE(Tab_Calculs[[#This Row],[ANNEE]],Tab_Calculs[[#This Row],[MOIS]],1)</f>
        <v>44287</v>
      </c>
      <c r="B1296" s="3">
        <f>EDATE(Tab_Calculs[[#This Row],[Début mois]],1)-1</f>
        <v>44316</v>
      </c>
      <c r="C1296">
        <f t="shared" si="43"/>
        <v>4</v>
      </c>
      <c r="D1296">
        <f t="shared" si="44"/>
        <v>2021</v>
      </c>
      <c r="E1296" t="s">
        <v>86</v>
      </c>
      <c r="F1296" t="str">
        <f>SUBSTITUTE(Tab_Calculs[[#This Row],[Compteur]]," ","_")</f>
        <v>Compteur_7</v>
      </c>
      <c r="G1296" t="str">
        <f>T(INDEX(Site!$B$33:$G$40, MATCH(Tab_Calculs[[#This Row],[Compteur]], Site!$B$33:$B$40,0),2))</f>
        <v/>
      </c>
      <c r="H1296" s="3">
        <f t="array" aca="1" ref="H1296" ca="1">MIN(IF(INDIRECT(CONCATENATE(Tab_Calculs[[#This Row],[Colonne1]],"!$B$2:$B$243"))&gt;=Calculs_Consos!$A1296,INDIRECT(CONCATENATE(Tab_Calculs[[#This Row],[Colonne1]],"!$B$2:$B$243"))))</f>
        <v>0</v>
      </c>
      <c r="I1296" s="3">
        <f ca="1">INDEX(INDIRECT(CONCATENATE("Tab_",Tab_Calculs[[#This Row],[Colonne1]])),Tab_Calculs[[#This Row],[index_date_livraison]],1)</f>
        <v>0</v>
      </c>
      <c r="J1296">
        <f ca="1">MATCH(Tab_Calculs[[#This Row],[Date_livraison]],INDIRECT(CONCATENATE("Tab_",Tab_Calculs[[#This Row],[Colonne1]],"[Fin de période]")),0)</f>
        <v>1</v>
      </c>
      <c r="K1296" t="e">
        <f ca="1">INDEX(INDIRECT(CONCATENATE("Tab_",Tab_Calculs[[#This Row],[Colonne1]])),Tab_Calculs[[#This Row],[index_date_livraison]]-1,6)*(MAX(Tab_Calculs[[#This Row],[Début periode livraison]],Tab_Calculs[[#This Row],[Début mois]])-Tab_Calculs[[#This Row],[Début mois]])</f>
        <v>#VALUE!</v>
      </c>
      <c r="L1296" s="94">
        <f ca="1">INDEX(INDIRECT(CONCATENATE("Tab_",Tab_Calculs[[#This Row],[Colonne1]])),Tab_Calculs[[#This Row],[index_date_livraison]],6)*(1+MIN(Tab_Calculs[[#This Row],[Date_livraison]],Tab_Calculs[[#This Row],[fin mois]])-MAX(Tab_Calculs[[#This Row],[Début mois]],Tab_Calculs[[#This Row],[Début periode livraison]]))</f>
        <v>0</v>
      </c>
      <c r="M1296" s="94" t="e">
        <f ca="1">INDEX(INDIRECT(CONCATENATE("Tab_",Tab_Calculs[[#This Row],[Colonne1]])),Tab_Calculs[[#This Row],[index_date_livraison]]+1,6)*(Tab_Calculs[[#This Row],[fin mois]]-MIN(Tab_Calculs[[#This Row],[fin mois]],Tab_Calculs[[#This Row],[Date_livraison]]))</f>
        <v>#VALUE!</v>
      </c>
      <c r="N1296" s="231" t="str">
        <f ca="1">IFERROR(Tab_Calculs[[#This Row],[Ratio_jour_après_livr]]+Tab_Calculs[[#This Row],[Ratio_jour_avant_livr]]+Tab_Calculs[[#This Row],[ratio_avant_debut]],"")</f>
        <v/>
      </c>
      <c r="O1296" t="e">
        <f ca="1">INDEX(INDIRECT(CONCATENATE("Tab_",Tab_Calculs[[#This Row],[Colonne1]])),Tab_Calculs[[#This Row],[index_date_livraison]]-1,7)*(MAX(Tab_Calculs[[#This Row],[Début periode livraison]],Tab_Calculs[[#This Row],[Début mois]])-Tab_Calculs[[#This Row],[Début mois]])</f>
        <v>#VALUE!</v>
      </c>
      <c r="P1296">
        <f ca="1">INDEX(INDIRECT(CONCATENATE("Tab_",Tab_Calculs[[#This Row],[Colonne1]])),Tab_Calculs[[#This Row],[index_date_livraison]],7)*(1+MIN(Tab_Calculs[[#This Row],[Date_livraison]],Tab_Calculs[[#This Row],[fin mois]])-MAX(Tab_Calculs[[#This Row],[Début mois]],Tab_Calculs[[#This Row],[Début periode livraison]]))</f>
        <v>0</v>
      </c>
      <c r="Q1296" t="e">
        <f ca="1">INDEX(INDIRECT(CONCATENATE("Tab_",Tab_Calculs[[#This Row],[Colonne1]])),Tab_Calculs[[#This Row],[index_date_livraison]]+1,7)*(Tab_Calculs[[#This Row],[fin mois]]-MIN(Tab_Calculs[[#This Row],[fin mois]],Tab_Calculs[[#This Row],[Date_livraison]]))</f>
        <v>#VALUE!</v>
      </c>
      <c r="R1296" t="e">
        <f ca="1">Tab_Calculs[[#This Row],[Ratio_Cout_après_livr]]+Tab_Calculs[[#This Row],[Ratio_Cout_avant_livr]]+Tab_Calculs[[#This Row],[Ratio_Cout_avant_debut]]</f>
        <v>#VALUE!</v>
      </c>
      <c r="S1296" t="str">
        <f ca="1">IFERROR(N1296*VLOOKUP(Tab_Calculs[[#This Row],[Colonne1]],Controle_des_données!$B$7:$G$14,6,FALSE),"")</f>
        <v/>
      </c>
      <c r="T1296" t="str">
        <f ca="1">IF(Tab_Calculs[[#This Row],[Combustible ]]="Electricité (kWh)",Tab_Calculs[[#This Row],[Conso_mois_kWh]]*2.3,Tab_Calculs[[#This Row],[Conso_mois_kWh]])</f>
        <v/>
      </c>
      <c r="U1296" t="str">
        <f ca="1">IFERROR(N1296*VLOOKUP(Tab_Calculs[[#This Row],[Colonne1]],Controle_des_données!$B$7:$H$14,7,FALSE),"")</f>
        <v/>
      </c>
      <c r="V1296">
        <f ca="1">IFERROR(Tab_Calculs[[#This Row],[Cout_mois]]/Tab_Calculs[[#This Row],[Conso_mois_kWh]],0)</f>
        <v>0</v>
      </c>
      <c r="W1296" t="str">
        <f>T(VLOOKUP(Tab_Calculs[[#This Row],[Compteur]],Site!$B$33:$G$40,3,FALSE))</f>
        <v/>
      </c>
      <c r="X1296" t="str">
        <f>T(VLOOKUP(Tab_Calculs[[#This Row],[Compteur]],Site!$B$33:$G$40,4,FALSE))</f>
        <v/>
      </c>
      <c r="Y1296" t="str">
        <f>T(VLOOKUP(Tab_Calculs[[#This Row],[Compteur]],Site!$B$33:$G$40,5,FALSE))</f>
        <v/>
      </c>
      <c r="Z1296" t="str">
        <f>T(VLOOKUP(Tab_Calculs[[#This Row],[Compteur]],Site!$B$33:$G$40,6,FALSE))</f>
        <v/>
      </c>
      <c r="AA1296">
        <f>IFERROR(GETPIVOTDATA("DJU(chauffagiste)",BDD_DJU!$P$13,"annee",Tab_Calculs[[#This Row],[ANNEE]],"mois_numero",Tab_Calculs[[#This Row],[MOIS]]),0)</f>
        <v>242.8</v>
      </c>
    </row>
    <row r="1297" spans="1:27" x14ac:dyDescent="0.25">
      <c r="A1297" s="3">
        <f>DATE(Tab_Calculs[[#This Row],[ANNEE]],Tab_Calculs[[#This Row],[MOIS]],1)</f>
        <v>44317</v>
      </c>
      <c r="B1297" s="3">
        <f>EDATE(Tab_Calculs[[#This Row],[Début mois]],1)-1</f>
        <v>44347</v>
      </c>
      <c r="C1297">
        <f t="shared" si="43"/>
        <v>5</v>
      </c>
      <c r="D1297">
        <f t="shared" si="44"/>
        <v>2021</v>
      </c>
      <c r="E1297" t="s">
        <v>86</v>
      </c>
      <c r="F1297" t="str">
        <f>SUBSTITUTE(Tab_Calculs[[#This Row],[Compteur]]," ","_")</f>
        <v>Compteur_7</v>
      </c>
      <c r="G1297" t="str">
        <f>T(INDEX(Site!$B$33:$G$40, MATCH(Tab_Calculs[[#This Row],[Compteur]], Site!$B$33:$B$40,0),2))</f>
        <v/>
      </c>
      <c r="H1297" s="3">
        <f t="array" aca="1" ref="H1297" ca="1">MIN(IF(INDIRECT(CONCATENATE(Tab_Calculs[[#This Row],[Colonne1]],"!$B$2:$B$243"))&gt;=Calculs_Consos!$A1297,INDIRECT(CONCATENATE(Tab_Calculs[[#This Row],[Colonne1]],"!$B$2:$B$243"))))</f>
        <v>0</v>
      </c>
      <c r="I1297" s="3">
        <f ca="1">INDEX(INDIRECT(CONCATENATE("Tab_",Tab_Calculs[[#This Row],[Colonne1]])),Tab_Calculs[[#This Row],[index_date_livraison]],1)</f>
        <v>0</v>
      </c>
      <c r="J1297">
        <f ca="1">MATCH(Tab_Calculs[[#This Row],[Date_livraison]],INDIRECT(CONCATENATE("Tab_",Tab_Calculs[[#This Row],[Colonne1]],"[Fin de période]")),0)</f>
        <v>1</v>
      </c>
      <c r="K1297" t="e">
        <f ca="1">INDEX(INDIRECT(CONCATENATE("Tab_",Tab_Calculs[[#This Row],[Colonne1]])),Tab_Calculs[[#This Row],[index_date_livraison]]-1,6)*(MAX(Tab_Calculs[[#This Row],[Début periode livraison]],Tab_Calculs[[#This Row],[Début mois]])-Tab_Calculs[[#This Row],[Début mois]])</f>
        <v>#VALUE!</v>
      </c>
      <c r="L1297" s="94">
        <f ca="1">INDEX(INDIRECT(CONCATENATE("Tab_",Tab_Calculs[[#This Row],[Colonne1]])),Tab_Calculs[[#This Row],[index_date_livraison]],6)*(1+MIN(Tab_Calculs[[#This Row],[Date_livraison]],Tab_Calculs[[#This Row],[fin mois]])-MAX(Tab_Calculs[[#This Row],[Début mois]],Tab_Calculs[[#This Row],[Début periode livraison]]))</f>
        <v>0</v>
      </c>
      <c r="M1297" s="94" t="e">
        <f ca="1">INDEX(INDIRECT(CONCATENATE("Tab_",Tab_Calculs[[#This Row],[Colonne1]])),Tab_Calculs[[#This Row],[index_date_livraison]]+1,6)*(Tab_Calculs[[#This Row],[fin mois]]-MIN(Tab_Calculs[[#This Row],[fin mois]],Tab_Calculs[[#This Row],[Date_livraison]]))</f>
        <v>#VALUE!</v>
      </c>
      <c r="N1297" s="231" t="str">
        <f ca="1">IFERROR(Tab_Calculs[[#This Row],[Ratio_jour_après_livr]]+Tab_Calculs[[#This Row],[Ratio_jour_avant_livr]]+Tab_Calculs[[#This Row],[ratio_avant_debut]],"")</f>
        <v/>
      </c>
      <c r="O1297" t="e">
        <f ca="1">INDEX(INDIRECT(CONCATENATE("Tab_",Tab_Calculs[[#This Row],[Colonne1]])),Tab_Calculs[[#This Row],[index_date_livraison]]-1,7)*(MAX(Tab_Calculs[[#This Row],[Début periode livraison]],Tab_Calculs[[#This Row],[Début mois]])-Tab_Calculs[[#This Row],[Début mois]])</f>
        <v>#VALUE!</v>
      </c>
      <c r="P1297">
        <f ca="1">INDEX(INDIRECT(CONCATENATE("Tab_",Tab_Calculs[[#This Row],[Colonne1]])),Tab_Calculs[[#This Row],[index_date_livraison]],7)*(1+MIN(Tab_Calculs[[#This Row],[Date_livraison]],Tab_Calculs[[#This Row],[fin mois]])-MAX(Tab_Calculs[[#This Row],[Début mois]],Tab_Calculs[[#This Row],[Début periode livraison]]))</f>
        <v>0</v>
      </c>
      <c r="Q1297" t="e">
        <f ca="1">INDEX(INDIRECT(CONCATENATE("Tab_",Tab_Calculs[[#This Row],[Colonne1]])),Tab_Calculs[[#This Row],[index_date_livraison]]+1,7)*(Tab_Calculs[[#This Row],[fin mois]]-MIN(Tab_Calculs[[#This Row],[fin mois]],Tab_Calculs[[#This Row],[Date_livraison]]))</f>
        <v>#VALUE!</v>
      </c>
      <c r="R1297" t="e">
        <f ca="1">Tab_Calculs[[#This Row],[Ratio_Cout_après_livr]]+Tab_Calculs[[#This Row],[Ratio_Cout_avant_livr]]+Tab_Calculs[[#This Row],[Ratio_Cout_avant_debut]]</f>
        <v>#VALUE!</v>
      </c>
      <c r="S1297" t="str">
        <f ca="1">IFERROR(N1297*VLOOKUP(Tab_Calculs[[#This Row],[Colonne1]],Controle_des_données!$B$7:$G$14,6,FALSE),"")</f>
        <v/>
      </c>
      <c r="T1297" t="str">
        <f ca="1">IF(Tab_Calculs[[#This Row],[Combustible ]]="Electricité (kWh)",Tab_Calculs[[#This Row],[Conso_mois_kWh]]*2.3,Tab_Calculs[[#This Row],[Conso_mois_kWh]])</f>
        <v/>
      </c>
      <c r="U1297" t="str">
        <f ca="1">IFERROR(N1297*VLOOKUP(Tab_Calculs[[#This Row],[Colonne1]],Controle_des_données!$B$7:$H$14,7,FALSE),"")</f>
        <v/>
      </c>
      <c r="V1297">
        <f ca="1">IFERROR(Tab_Calculs[[#This Row],[Cout_mois]]/Tab_Calculs[[#This Row],[Conso_mois_kWh]],0)</f>
        <v>0</v>
      </c>
      <c r="W1297" t="str">
        <f>T(VLOOKUP(Tab_Calculs[[#This Row],[Compteur]],Site!$B$33:$G$40,3,FALSE))</f>
        <v/>
      </c>
      <c r="X1297" t="str">
        <f>T(VLOOKUP(Tab_Calculs[[#This Row],[Compteur]],Site!$B$33:$G$40,4,FALSE))</f>
        <v/>
      </c>
      <c r="Y1297" t="str">
        <f>T(VLOOKUP(Tab_Calculs[[#This Row],[Compteur]],Site!$B$33:$G$40,5,FALSE))</f>
        <v/>
      </c>
      <c r="Z1297" t="str">
        <f>T(VLOOKUP(Tab_Calculs[[#This Row],[Compteur]],Site!$B$33:$G$40,6,FALSE))</f>
        <v/>
      </c>
      <c r="AA1297">
        <f>IFERROR(GETPIVOTDATA("DJU(chauffagiste)",BDD_DJU!$P$13,"annee",Tab_Calculs[[#This Row],[ANNEE]],"mois_numero",Tab_Calculs[[#This Row],[MOIS]]),0)</f>
        <v>159.4</v>
      </c>
    </row>
    <row r="1298" spans="1:27" x14ac:dyDescent="0.25">
      <c r="A1298" s="3">
        <f>DATE(Tab_Calculs[[#This Row],[ANNEE]],Tab_Calculs[[#This Row],[MOIS]],1)</f>
        <v>44348</v>
      </c>
      <c r="B1298" s="3">
        <f>EDATE(Tab_Calculs[[#This Row],[Début mois]],1)-1</f>
        <v>44377</v>
      </c>
      <c r="C1298">
        <f t="shared" ref="C1298:C1352" si="45">C1286</f>
        <v>6</v>
      </c>
      <c r="D1298">
        <f t="shared" si="44"/>
        <v>2021</v>
      </c>
      <c r="E1298" t="s">
        <v>86</v>
      </c>
      <c r="F1298" t="str">
        <f>SUBSTITUTE(Tab_Calculs[[#This Row],[Compteur]]," ","_")</f>
        <v>Compteur_7</v>
      </c>
      <c r="G1298" t="str">
        <f>T(INDEX(Site!$B$33:$G$40, MATCH(Tab_Calculs[[#This Row],[Compteur]], Site!$B$33:$B$40,0),2))</f>
        <v/>
      </c>
      <c r="H1298" s="3">
        <f t="array" aca="1" ref="H1298" ca="1">MIN(IF(INDIRECT(CONCATENATE(Tab_Calculs[[#This Row],[Colonne1]],"!$B$2:$B$243"))&gt;=Calculs_Consos!$A1298,INDIRECT(CONCATENATE(Tab_Calculs[[#This Row],[Colonne1]],"!$B$2:$B$243"))))</f>
        <v>0</v>
      </c>
      <c r="I1298" s="3">
        <f ca="1">INDEX(INDIRECT(CONCATENATE("Tab_",Tab_Calculs[[#This Row],[Colonne1]])),Tab_Calculs[[#This Row],[index_date_livraison]],1)</f>
        <v>0</v>
      </c>
      <c r="J1298">
        <f ca="1">MATCH(Tab_Calculs[[#This Row],[Date_livraison]],INDIRECT(CONCATENATE("Tab_",Tab_Calculs[[#This Row],[Colonne1]],"[Fin de période]")),0)</f>
        <v>1</v>
      </c>
      <c r="K1298" t="e">
        <f ca="1">INDEX(INDIRECT(CONCATENATE("Tab_",Tab_Calculs[[#This Row],[Colonne1]])),Tab_Calculs[[#This Row],[index_date_livraison]]-1,6)*(MAX(Tab_Calculs[[#This Row],[Début periode livraison]],Tab_Calculs[[#This Row],[Début mois]])-Tab_Calculs[[#This Row],[Début mois]])</f>
        <v>#VALUE!</v>
      </c>
      <c r="L1298" s="94">
        <f ca="1">INDEX(INDIRECT(CONCATENATE("Tab_",Tab_Calculs[[#This Row],[Colonne1]])),Tab_Calculs[[#This Row],[index_date_livraison]],6)*(1+MIN(Tab_Calculs[[#This Row],[Date_livraison]],Tab_Calculs[[#This Row],[fin mois]])-MAX(Tab_Calculs[[#This Row],[Début mois]],Tab_Calculs[[#This Row],[Début periode livraison]]))</f>
        <v>0</v>
      </c>
      <c r="M1298" s="94" t="e">
        <f ca="1">INDEX(INDIRECT(CONCATENATE("Tab_",Tab_Calculs[[#This Row],[Colonne1]])),Tab_Calculs[[#This Row],[index_date_livraison]]+1,6)*(Tab_Calculs[[#This Row],[fin mois]]-MIN(Tab_Calculs[[#This Row],[fin mois]],Tab_Calculs[[#This Row],[Date_livraison]]))</f>
        <v>#VALUE!</v>
      </c>
      <c r="N1298" s="231" t="str">
        <f ca="1">IFERROR(Tab_Calculs[[#This Row],[Ratio_jour_après_livr]]+Tab_Calculs[[#This Row],[Ratio_jour_avant_livr]]+Tab_Calculs[[#This Row],[ratio_avant_debut]],"")</f>
        <v/>
      </c>
      <c r="O1298" t="e">
        <f ca="1">INDEX(INDIRECT(CONCATENATE("Tab_",Tab_Calculs[[#This Row],[Colonne1]])),Tab_Calculs[[#This Row],[index_date_livraison]]-1,7)*(MAX(Tab_Calculs[[#This Row],[Début periode livraison]],Tab_Calculs[[#This Row],[Début mois]])-Tab_Calculs[[#This Row],[Début mois]])</f>
        <v>#VALUE!</v>
      </c>
      <c r="P1298">
        <f ca="1">INDEX(INDIRECT(CONCATENATE("Tab_",Tab_Calculs[[#This Row],[Colonne1]])),Tab_Calculs[[#This Row],[index_date_livraison]],7)*(1+MIN(Tab_Calculs[[#This Row],[Date_livraison]],Tab_Calculs[[#This Row],[fin mois]])-MAX(Tab_Calculs[[#This Row],[Début mois]],Tab_Calculs[[#This Row],[Début periode livraison]]))</f>
        <v>0</v>
      </c>
      <c r="Q1298" t="e">
        <f ca="1">INDEX(INDIRECT(CONCATENATE("Tab_",Tab_Calculs[[#This Row],[Colonne1]])),Tab_Calculs[[#This Row],[index_date_livraison]]+1,7)*(Tab_Calculs[[#This Row],[fin mois]]-MIN(Tab_Calculs[[#This Row],[fin mois]],Tab_Calculs[[#This Row],[Date_livraison]]))</f>
        <v>#VALUE!</v>
      </c>
      <c r="R1298" t="e">
        <f ca="1">Tab_Calculs[[#This Row],[Ratio_Cout_après_livr]]+Tab_Calculs[[#This Row],[Ratio_Cout_avant_livr]]+Tab_Calculs[[#This Row],[Ratio_Cout_avant_debut]]</f>
        <v>#VALUE!</v>
      </c>
      <c r="S1298" t="str">
        <f ca="1">IFERROR(N1298*VLOOKUP(Tab_Calculs[[#This Row],[Colonne1]],Controle_des_données!$B$7:$G$14,6,FALSE),"")</f>
        <v/>
      </c>
      <c r="T1298" t="str">
        <f ca="1">IF(Tab_Calculs[[#This Row],[Combustible ]]="Electricité (kWh)",Tab_Calculs[[#This Row],[Conso_mois_kWh]]*2.3,Tab_Calculs[[#This Row],[Conso_mois_kWh]])</f>
        <v/>
      </c>
      <c r="U1298" t="str">
        <f ca="1">IFERROR(N1298*VLOOKUP(Tab_Calculs[[#This Row],[Colonne1]],Controle_des_données!$B$7:$H$14,7,FALSE),"")</f>
        <v/>
      </c>
      <c r="V1298">
        <f ca="1">IFERROR(Tab_Calculs[[#This Row],[Cout_mois]]/Tab_Calculs[[#This Row],[Conso_mois_kWh]],0)</f>
        <v>0</v>
      </c>
      <c r="W1298" t="str">
        <f>T(VLOOKUP(Tab_Calculs[[#This Row],[Compteur]],Site!$B$33:$G$40,3,FALSE))</f>
        <v/>
      </c>
      <c r="X1298" t="str">
        <f>T(VLOOKUP(Tab_Calculs[[#This Row],[Compteur]],Site!$B$33:$G$40,4,FALSE))</f>
        <v/>
      </c>
      <c r="Y1298" t="str">
        <f>T(VLOOKUP(Tab_Calculs[[#This Row],[Compteur]],Site!$B$33:$G$40,5,FALSE))</f>
        <v/>
      </c>
      <c r="Z1298" t="str">
        <f>T(VLOOKUP(Tab_Calculs[[#This Row],[Compteur]],Site!$B$33:$G$40,6,FALSE))</f>
        <v/>
      </c>
      <c r="AA1298">
        <f>IFERROR(GETPIVOTDATA("DJU(chauffagiste)",BDD_DJU!$P$13,"annee",Tab_Calculs[[#This Row],[ANNEE]],"mois_numero",Tab_Calculs[[#This Row],[MOIS]]),0)</f>
        <v>29.9</v>
      </c>
    </row>
    <row r="1299" spans="1:27" x14ac:dyDescent="0.25">
      <c r="A1299" s="3">
        <f>DATE(Tab_Calculs[[#This Row],[ANNEE]],Tab_Calculs[[#This Row],[MOIS]],1)</f>
        <v>44378</v>
      </c>
      <c r="B1299" s="3">
        <f>EDATE(Tab_Calculs[[#This Row],[Début mois]],1)-1</f>
        <v>44408</v>
      </c>
      <c r="C1299">
        <f t="shared" si="45"/>
        <v>7</v>
      </c>
      <c r="D1299">
        <f t="shared" si="44"/>
        <v>2021</v>
      </c>
      <c r="E1299" t="s">
        <v>86</v>
      </c>
      <c r="F1299" t="str">
        <f>SUBSTITUTE(Tab_Calculs[[#This Row],[Compteur]]," ","_")</f>
        <v>Compteur_7</v>
      </c>
      <c r="G1299" t="str">
        <f>T(INDEX(Site!$B$33:$G$40, MATCH(Tab_Calculs[[#This Row],[Compteur]], Site!$B$33:$B$40,0),2))</f>
        <v/>
      </c>
      <c r="H1299" s="3">
        <f t="array" aca="1" ref="H1299" ca="1">MIN(IF(INDIRECT(CONCATENATE(Tab_Calculs[[#This Row],[Colonne1]],"!$B$2:$B$243"))&gt;=Calculs_Consos!$A1299,INDIRECT(CONCATENATE(Tab_Calculs[[#This Row],[Colonne1]],"!$B$2:$B$243"))))</f>
        <v>0</v>
      </c>
      <c r="I1299" s="3">
        <f ca="1">INDEX(INDIRECT(CONCATENATE("Tab_",Tab_Calculs[[#This Row],[Colonne1]])),Tab_Calculs[[#This Row],[index_date_livraison]],1)</f>
        <v>0</v>
      </c>
      <c r="J1299">
        <f ca="1">MATCH(Tab_Calculs[[#This Row],[Date_livraison]],INDIRECT(CONCATENATE("Tab_",Tab_Calculs[[#This Row],[Colonne1]],"[Fin de période]")),0)</f>
        <v>1</v>
      </c>
      <c r="K1299" t="e">
        <f ca="1">INDEX(INDIRECT(CONCATENATE("Tab_",Tab_Calculs[[#This Row],[Colonne1]])),Tab_Calculs[[#This Row],[index_date_livraison]]-1,6)*(MAX(Tab_Calculs[[#This Row],[Début periode livraison]],Tab_Calculs[[#This Row],[Début mois]])-Tab_Calculs[[#This Row],[Début mois]])</f>
        <v>#VALUE!</v>
      </c>
      <c r="L1299" s="94">
        <f ca="1">INDEX(INDIRECT(CONCATENATE("Tab_",Tab_Calculs[[#This Row],[Colonne1]])),Tab_Calculs[[#This Row],[index_date_livraison]],6)*(1+MIN(Tab_Calculs[[#This Row],[Date_livraison]],Tab_Calculs[[#This Row],[fin mois]])-MAX(Tab_Calculs[[#This Row],[Début mois]],Tab_Calculs[[#This Row],[Début periode livraison]]))</f>
        <v>0</v>
      </c>
      <c r="M1299" s="94" t="e">
        <f ca="1">INDEX(INDIRECT(CONCATENATE("Tab_",Tab_Calculs[[#This Row],[Colonne1]])),Tab_Calculs[[#This Row],[index_date_livraison]]+1,6)*(Tab_Calculs[[#This Row],[fin mois]]-MIN(Tab_Calculs[[#This Row],[fin mois]],Tab_Calculs[[#This Row],[Date_livraison]]))</f>
        <v>#VALUE!</v>
      </c>
      <c r="N1299" s="231" t="str">
        <f ca="1">IFERROR(Tab_Calculs[[#This Row],[Ratio_jour_après_livr]]+Tab_Calculs[[#This Row],[Ratio_jour_avant_livr]]+Tab_Calculs[[#This Row],[ratio_avant_debut]],"")</f>
        <v/>
      </c>
      <c r="O1299" t="e">
        <f ca="1">INDEX(INDIRECT(CONCATENATE("Tab_",Tab_Calculs[[#This Row],[Colonne1]])),Tab_Calculs[[#This Row],[index_date_livraison]]-1,7)*(MAX(Tab_Calculs[[#This Row],[Début periode livraison]],Tab_Calculs[[#This Row],[Début mois]])-Tab_Calculs[[#This Row],[Début mois]])</f>
        <v>#VALUE!</v>
      </c>
      <c r="P1299">
        <f ca="1">INDEX(INDIRECT(CONCATENATE("Tab_",Tab_Calculs[[#This Row],[Colonne1]])),Tab_Calculs[[#This Row],[index_date_livraison]],7)*(1+MIN(Tab_Calculs[[#This Row],[Date_livraison]],Tab_Calculs[[#This Row],[fin mois]])-MAX(Tab_Calculs[[#This Row],[Début mois]],Tab_Calculs[[#This Row],[Début periode livraison]]))</f>
        <v>0</v>
      </c>
      <c r="Q1299" t="e">
        <f ca="1">INDEX(INDIRECT(CONCATENATE("Tab_",Tab_Calculs[[#This Row],[Colonne1]])),Tab_Calculs[[#This Row],[index_date_livraison]]+1,7)*(Tab_Calculs[[#This Row],[fin mois]]-MIN(Tab_Calculs[[#This Row],[fin mois]],Tab_Calculs[[#This Row],[Date_livraison]]))</f>
        <v>#VALUE!</v>
      </c>
      <c r="R1299" t="e">
        <f ca="1">Tab_Calculs[[#This Row],[Ratio_Cout_après_livr]]+Tab_Calculs[[#This Row],[Ratio_Cout_avant_livr]]+Tab_Calculs[[#This Row],[Ratio_Cout_avant_debut]]</f>
        <v>#VALUE!</v>
      </c>
      <c r="S1299" t="str">
        <f ca="1">IFERROR(N1299*VLOOKUP(Tab_Calculs[[#This Row],[Colonne1]],Controle_des_données!$B$7:$G$14,6,FALSE),"")</f>
        <v/>
      </c>
      <c r="T1299" t="str">
        <f ca="1">IF(Tab_Calculs[[#This Row],[Combustible ]]="Electricité (kWh)",Tab_Calculs[[#This Row],[Conso_mois_kWh]]*2.3,Tab_Calculs[[#This Row],[Conso_mois_kWh]])</f>
        <v/>
      </c>
      <c r="U1299" t="str">
        <f ca="1">IFERROR(N1299*VLOOKUP(Tab_Calculs[[#This Row],[Colonne1]],Controle_des_données!$B$7:$H$14,7,FALSE),"")</f>
        <v/>
      </c>
      <c r="V1299">
        <f ca="1">IFERROR(Tab_Calculs[[#This Row],[Cout_mois]]/Tab_Calculs[[#This Row],[Conso_mois_kWh]],0)</f>
        <v>0</v>
      </c>
      <c r="W1299" t="str">
        <f>T(VLOOKUP(Tab_Calculs[[#This Row],[Compteur]],Site!$B$33:$G$40,3,FALSE))</f>
        <v/>
      </c>
      <c r="X1299" t="str">
        <f>T(VLOOKUP(Tab_Calculs[[#This Row],[Compteur]],Site!$B$33:$G$40,4,FALSE))</f>
        <v/>
      </c>
      <c r="Y1299" t="str">
        <f>T(VLOOKUP(Tab_Calculs[[#This Row],[Compteur]],Site!$B$33:$G$40,5,FALSE))</f>
        <v/>
      </c>
      <c r="Z1299" t="str">
        <f>T(VLOOKUP(Tab_Calculs[[#This Row],[Compteur]],Site!$B$33:$G$40,6,FALSE))</f>
        <v/>
      </c>
      <c r="AA1299">
        <f>IFERROR(GETPIVOTDATA("DJU(chauffagiste)",BDD_DJU!$P$13,"annee",Tab_Calculs[[#This Row],[ANNEE]],"mois_numero",Tab_Calculs[[#This Row],[MOIS]]),0)</f>
        <v>22.4</v>
      </c>
    </row>
    <row r="1300" spans="1:27" x14ac:dyDescent="0.25">
      <c r="A1300" s="3">
        <f>DATE(Tab_Calculs[[#This Row],[ANNEE]],Tab_Calculs[[#This Row],[MOIS]],1)</f>
        <v>44409</v>
      </c>
      <c r="B1300" s="3">
        <f>EDATE(Tab_Calculs[[#This Row],[Début mois]],1)-1</f>
        <v>44439</v>
      </c>
      <c r="C1300">
        <f t="shared" si="45"/>
        <v>8</v>
      </c>
      <c r="D1300">
        <f t="shared" si="44"/>
        <v>2021</v>
      </c>
      <c r="E1300" t="s">
        <v>86</v>
      </c>
      <c r="F1300" t="str">
        <f>SUBSTITUTE(Tab_Calculs[[#This Row],[Compteur]]," ","_")</f>
        <v>Compteur_7</v>
      </c>
      <c r="G1300" t="str">
        <f>T(INDEX(Site!$B$33:$G$40, MATCH(Tab_Calculs[[#This Row],[Compteur]], Site!$B$33:$B$40,0),2))</f>
        <v/>
      </c>
      <c r="H1300" s="3">
        <f t="array" aca="1" ref="H1300" ca="1">MIN(IF(INDIRECT(CONCATENATE(Tab_Calculs[[#This Row],[Colonne1]],"!$B$2:$B$243"))&gt;=Calculs_Consos!$A1300,INDIRECT(CONCATENATE(Tab_Calculs[[#This Row],[Colonne1]],"!$B$2:$B$243"))))</f>
        <v>0</v>
      </c>
      <c r="I1300" s="3">
        <f ca="1">INDEX(INDIRECT(CONCATENATE("Tab_",Tab_Calculs[[#This Row],[Colonne1]])),Tab_Calculs[[#This Row],[index_date_livraison]],1)</f>
        <v>0</v>
      </c>
      <c r="J1300">
        <f ca="1">MATCH(Tab_Calculs[[#This Row],[Date_livraison]],INDIRECT(CONCATENATE("Tab_",Tab_Calculs[[#This Row],[Colonne1]],"[Fin de période]")),0)</f>
        <v>1</v>
      </c>
      <c r="K1300" t="e">
        <f ca="1">INDEX(INDIRECT(CONCATENATE("Tab_",Tab_Calculs[[#This Row],[Colonne1]])),Tab_Calculs[[#This Row],[index_date_livraison]]-1,6)*(MAX(Tab_Calculs[[#This Row],[Début periode livraison]],Tab_Calculs[[#This Row],[Début mois]])-Tab_Calculs[[#This Row],[Début mois]])</f>
        <v>#VALUE!</v>
      </c>
      <c r="L1300" s="94">
        <f ca="1">INDEX(INDIRECT(CONCATENATE("Tab_",Tab_Calculs[[#This Row],[Colonne1]])),Tab_Calculs[[#This Row],[index_date_livraison]],6)*(1+MIN(Tab_Calculs[[#This Row],[Date_livraison]],Tab_Calculs[[#This Row],[fin mois]])-MAX(Tab_Calculs[[#This Row],[Début mois]],Tab_Calculs[[#This Row],[Début periode livraison]]))</f>
        <v>0</v>
      </c>
      <c r="M1300" s="94" t="e">
        <f ca="1">INDEX(INDIRECT(CONCATENATE("Tab_",Tab_Calculs[[#This Row],[Colonne1]])),Tab_Calculs[[#This Row],[index_date_livraison]]+1,6)*(Tab_Calculs[[#This Row],[fin mois]]-MIN(Tab_Calculs[[#This Row],[fin mois]],Tab_Calculs[[#This Row],[Date_livraison]]))</f>
        <v>#VALUE!</v>
      </c>
      <c r="N1300" s="231" t="str">
        <f ca="1">IFERROR(Tab_Calculs[[#This Row],[Ratio_jour_après_livr]]+Tab_Calculs[[#This Row],[Ratio_jour_avant_livr]]+Tab_Calculs[[#This Row],[ratio_avant_debut]],"")</f>
        <v/>
      </c>
      <c r="O1300" t="e">
        <f ca="1">INDEX(INDIRECT(CONCATENATE("Tab_",Tab_Calculs[[#This Row],[Colonne1]])),Tab_Calculs[[#This Row],[index_date_livraison]]-1,7)*(MAX(Tab_Calculs[[#This Row],[Début periode livraison]],Tab_Calculs[[#This Row],[Début mois]])-Tab_Calculs[[#This Row],[Début mois]])</f>
        <v>#VALUE!</v>
      </c>
      <c r="P1300">
        <f ca="1">INDEX(INDIRECT(CONCATENATE("Tab_",Tab_Calculs[[#This Row],[Colonne1]])),Tab_Calculs[[#This Row],[index_date_livraison]],7)*(1+MIN(Tab_Calculs[[#This Row],[Date_livraison]],Tab_Calculs[[#This Row],[fin mois]])-MAX(Tab_Calculs[[#This Row],[Début mois]],Tab_Calculs[[#This Row],[Début periode livraison]]))</f>
        <v>0</v>
      </c>
      <c r="Q1300" t="e">
        <f ca="1">INDEX(INDIRECT(CONCATENATE("Tab_",Tab_Calculs[[#This Row],[Colonne1]])),Tab_Calculs[[#This Row],[index_date_livraison]]+1,7)*(Tab_Calculs[[#This Row],[fin mois]]-MIN(Tab_Calculs[[#This Row],[fin mois]],Tab_Calculs[[#This Row],[Date_livraison]]))</f>
        <v>#VALUE!</v>
      </c>
      <c r="R1300" t="e">
        <f ca="1">Tab_Calculs[[#This Row],[Ratio_Cout_après_livr]]+Tab_Calculs[[#This Row],[Ratio_Cout_avant_livr]]+Tab_Calculs[[#This Row],[Ratio_Cout_avant_debut]]</f>
        <v>#VALUE!</v>
      </c>
      <c r="S1300" t="str">
        <f ca="1">IFERROR(N1300*VLOOKUP(Tab_Calculs[[#This Row],[Colonne1]],Controle_des_données!$B$7:$G$14,6,FALSE),"")</f>
        <v/>
      </c>
      <c r="T1300" t="str">
        <f ca="1">IF(Tab_Calculs[[#This Row],[Combustible ]]="Electricité (kWh)",Tab_Calculs[[#This Row],[Conso_mois_kWh]]*2.3,Tab_Calculs[[#This Row],[Conso_mois_kWh]])</f>
        <v/>
      </c>
      <c r="U1300" t="str">
        <f ca="1">IFERROR(N1300*VLOOKUP(Tab_Calculs[[#This Row],[Colonne1]],Controle_des_données!$B$7:$H$14,7,FALSE),"")</f>
        <v/>
      </c>
      <c r="V1300">
        <f ca="1">IFERROR(Tab_Calculs[[#This Row],[Cout_mois]]/Tab_Calculs[[#This Row],[Conso_mois_kWh]],0)</f>
        <v>0</v>
      </c>
      <c r="W1300" t="str">
        <f>T(VLOOKUP(Tab_Calculs[[#This Row],[Compteur]],Site!$B$33:$G$40,3,FALSE))</f>
        <v/>
      </c>
      <c r="X1300" t="str">
        <f>T(VLOOKUP(Tab_Calculs[[#This Row],[Compteur]],Site!$B$33:$G$40,4,FALSE))</f>
        <v/>
      </c>
      <c r="Y1300" t="str">
        <f>T(VLOOKUP(Tab_Calculs[[#This Row],[Compteur]],Site!$B$33:$G$40,5,FALSE))</f>
        <v/>
      </c>
      <c r="Z1300" t="str">
        <f>T(VLOOKUP(Tab_Calculs[[#This Row],[Compteur]],Site!$B$33:$G$40,6,FALSE))</f>
        <v/>
      </c>
      <c r="AA1300">
        <f>IFERROR(GETPIVOTDATA("DJU(chauffagiste)",BDD_DJU!$P$13,"annee",Tab_Calculs[[#This Row],[ANNEE]],"mois_numero",Tab_Calculs[[#This Row],[MOIS]]),0)</f>
        <v>35.9</v>
      </c>
    </row>
    <row r="1301" spans="1:27" x14ac:dyDescent="0.25">
      <c r="A1301" s="3">
        <f>DATE(Tab_Calculs[[#This Row],[ANNEE]],Tab_Calculs[[#This Row],[MOIS]],1)</f>
        <v>44440</v>
      </c>
      <c r="B1301" s="3">
        <f>EDATE(Tab_Calculs[[#This Row],[Début mois]],1)-1</f>
        <v>44469</v>
      </c>
      <c r="C1301">
        <f t="shared" si="45"/>
        <v>9</v>
      </c>
      <c r="D1301">
        <f t="shared" si="44"/>
        <v>2021</v>
      </c>
      <c r="E1301" t="s">
        <v>86</v>
      </c>
      <c r="F1301" t="str">
        <f>SUBSTITUTE(Tab_Calculs[[#This Row],[Compteur]]," ","_")</f>
        <v>Compteur_7</v>
      </c>
      <c r="G1301" t="str">
        <f>T(INDEX(Site!$B$33:$G$40, MATCH(Tab_Calculs[[#This Row],[Compteur]], Site!$B$33:$B$40,0),2))</f>
        <v/>
      </c>
      <c r="H1301" s="3">
        <f t="array" aca="1" ref="H1301" ca="1">MIN(IF(INDIRECT(CONCATENATE(Tab_Calculs[[#This Row],[Colonne1]],"!$B$2:$B$243"))&gt;=Calculs_Consos!$A1301,INDIRECT(CONCATENATE(Tab_Calculs[[#This Row],[Colonne1]],"!$B$2:$B$243"))))</f>
        <v>0</v>
      </c>
      <c r="I1301" s="3">
        <f ca="1">INDEX(INDIRECT(CONCATENATE("Tab_",Tab_Calculs[[#This Row],[Colonne1]])),Tab_Calculs[[#This Row],[index_date_livraison]],1)</f>
        <v>0</v>
      </c>
      <c r="J1301">
        <f ca="1">MATCH(Tab_Calculs[[#This Row],[Date_livraison]],INDIRECT(CONCATENATE("Tab_",Tab_Calculs[[#This Row],[Colonne1]],"[Fin de période]")),0)</f>
        <v>1</v>
      </c>
      <c r="K1301" t="e">
        <f ca="1">INDEX(INDIRECT(CONCATENATE("Tab_",Tab_Calculs[[#This Row],[Colonne1]])),Tab_Calculs[[#This Row],[index_date_livraison]]-1,6)*(MAX(Tab_Calculs[[#This Row],[Début periode livraison]],Tab_Calculs[[#This Row],[Début mois]])-Tab_Calculs[[#This Row],[Début mois]])</f>
        <v>#VALUE!</v>
      </c>
      <c r="L1301" s="94">
        <f ca="1">INDEX(INDIRECT(CONCATENATE("Tab_",Tab_Calculs[[#This Row],[Colonne1]])),Tab_Calculs[[#This Row],[index_date_livraison]],6)*(1+MIN(Tab_Calculs[[#This Row],[Date_livraison]],Tab_Calculs[[#This Row],[fin mois]])-MAX(Tab_Calculs[[#This Row],[Début mois]],Tab_Calculs[[#This Row],[Début periode livraison]]))</f>
        <v>0</v>
      </c>
      <c r="M1301" s="94" t="e">
        <f ca="1">INDEX(INDIRECT(CONCATENATE("Tab_",Tab_Calculs[[#This Row],[Colonne1]])),Tab_Calculs[[#This Row],[index_date_livraison]]+1,6)*(Tab_Calculs[[#This Row],[fin mois]]-MIN(Tab_Calculs[[#This Row],[fin mois]],Tab_Calculs[[#This Row],[Date_livraison]]))</f>
        <v>#VALUE!</v>
      </c>
      <c r="N1301" s="231" t="str">
        <f ca="1">IFERROR(Tab_Calculs[[#This Row],[Ratio_jour_après_livr]]+Tab_Calculs[[#This Row],[Ratio_jour_avant_livr]]+Tab_Calculs[[#This Row],[ratio_avant_debut]],"")</f>
        <v/>
      </c>
      <c r="O1301" t="e">
        <f ca="1">INDEX(INDIRECT(CONCATENATE("Tab_",Tab_Calculs[[#This Row],[Colonne1]])),Tab_Calculs[[#This Row],[index_date_livraison]]-1,7)*(MAX(Tab_Calculs[[#This Row],[Début periode livraison]],Tab_Calculs[[#This Row],[Début mois]])-Tab_Calculs[[#This Row],[Début mois]])</f>
        <v>#VALUE!</v>
      </c>
      <c r="P1301">
        <f ca="1">INDEX(INDIRECT(CONCATENATE("Tab_",Tab_Calculs[[#This Row],[Colonne1]])),Tab_Calculs[[#This Row],[index_date_livraison]],7)*(1+MIN(Tab_Calculs[[#This Row],[Date_livraison]],Tab_Calculs[[#This Row],[fin mois]])-MAX(Tab_Calculs[[#This Row],[Début mois]],Tab_Calculs[[#This Row],[Début periode livraison]]))</f>
        <v>0</v>
      </c>
      <c r="Q1301" t="e">
        <f ca="1">INDEX(INDIRECT(CONCATENATE("Tab_",Tab_Calculs[[#This Row],[Colonne1]])),Tab_Calculs[[#This Row],[index_date_livraison]]+1,7)*(Tab_Calculs[[#This Row],[fin mois]]-MIN(Tab_Calculs[[#This Row],[fin mois]],Tab_Calculs[[#This Row],[Date_livraison]]))</f>
        <v>#VALUE!</v>
      </c>
      <c r="R1301" t="e">
        <f ca="1">Tab_Calculs[[#This Row],[Ratio_Cout_après_livr]]+Tab_Calculs[[#This Row],[Ratio_Cout_avant_livr]]+Tab_Calculs[[#This Row],[Ratio_Cout_avant_debut]]</f>
        <v>#VALUE!</v>
      </c>
      <c r="S1301" t="str">
        <f ca="1">IFERROR(N1301*VLOOKUP(Tab_Calculs[[#This Row],[Colonne1]],Controle_des_données!$B$7:$G$14,6,FALSE),"")</f>
        <v/>
      </c>
      <c r="T1301" t="str">
        <f ca="1">IF(Tab_Calculs[[#This Row],[Combustible ]]="Electricité (kWh)",Tab_Calculs[[#This Row],[Conso_mois_kWh]]*2.3,Tab_Calculs[[#This Row],[Conso_mois_kWh]])</f>
        <v/>
      </c>
      <c r="U1301" t="str">
        <f ca="1">IFERROR(N1301*VLOOKUP(Tab_Calculs[[#This Row],[Colonne1]],Controle_des_données!$B$7:$H$14,7,FALSE),"")</f>
        <v/>
      </c>
      <c r="V1301">
        <f ca="1">IFERROR(Tab_Calculs[[#This Row],[Cout_mois]]/Tab_Calculs[[#This Row],[Conso_mois_kWh]],0)</f>
        <v>0</v>
      </c>
      <c r="W1301" t="str">
        <f>T(VLOOKUP(Tab_Calculs[[#This Row],[Compteur]],Site!$B$33:$G$40,3,FALSE))</f>
        <v/>
      </c>
      <c r="X1301" t="str">
        <f>T(VLOOKUP(Tab_Calculs[[#This Row],[Compteur]],Site!$B$33:$G$40,4,FALSE))</f>
        <v/>
      </c>
      <c r="Y1301" t="str">
        <f>T(VLOOKUP(Tab_Calculs[[#This Row],[Compteur]],Site!$B$33:$G$40,5,FALSE))</f>
        <v/>
      </c>
      <c r="Z1301" t="str">
        <f>T(VLOOKUP(Tab_Calculs[[#This Row],[Compteur]],Site!$B$33:$G$40,6,FALSE))</f>
        <v/>
      </c>
      <c r="AA1301">
        <f>IFERROR(GETPIVOTDATA("DJU(chauffagiste)",BDD_DJU!$P$13,"annee",Tab_Calculs[[#This Row],[ANNEE]],"mois_numero",Tab_Calculs[[#This Row],[MOIS]]),0)</f>
        <v>47.8</v>
      </c>
    </row>
    <row r="1302" spans="1:27" x14ac:dyDescent="0.25">
      <c r="A1302" s="3">
        <f>DATE(Tab_Calculs[[#This Row],[ANNEE]],Tab_Calculs[[#This Row],[MOIS]],1)</f>
        <v>44470</v>
      </c>
      <c r="B1302" s="3">
        <f>EDATE(Tab_Calculs[[#This Row],[Début mois]],1)-1</f>
        <v>44500</v>
      </c>
      <c r="C1302">
        <f t="shared" si="45"/>
        <v>10</v>
      </c>
      <c r="D1302">
        <f t="shared" si="44"/>
        <v>2021</v>
      </c>
      <c r="E1302" t="s">
        <v>86</v>
      </c>
      <c r="F1302" t="str">
        <f>SUBSTITUTE(Tab_Calculs[[#This Row],[Compteur]]," ","_")</f>
        <v>Compteur_7</v>
      </c>
      <c r="G1302" t="str">
        <f>T(INDEX(Site!$B$33:$G$40, MATCH(Tab_Calculs[[#This Row],[Compteur]], Site!$B$33:$B$40,0),2))</f>
        <v/>
      </c>
      <c r="H1302" s="3">
        <f t="array" aca="1" ref="H1302" ca="1">MIN(IF(INDIRECT(CONCATENATE(Tab_Calculs[[#This Row],[Colonne1]],"!$B$2:$B$243"))&gt;=Calculs_Consos!$A1302,INDIRECT(CONCATENATE(Tab_Calculs[[#This Row],[Colonne1]],"!$B$2:$B$243"))))</f>
        <v>0</v>
      </c>
      <c r="I1302" s="3">
        <f ca="1">INDEX(INDIRECT(CONCATENATE("Tab_",Tab_Calculs[[#This Row],[Colonne1]])),Tab_Calculs[[#This Row],[index_date_livraison]],1)</f>
        <v>0</v>
      </c>
      <c r="J1302">
        <f ca="1">MATCH(Tab_Calculs[[#This Row],[Date_livraison]],INDIRECT(CONCATENATE("Tab_",Tab_Calculs[[#This Row],[Colonne1]],"[Fin de période]")),0)</f>
        <v>1</v>
      </c>
      <c r="K1302" t="e">
        <f ca="1">INDEX(INDIRECT(CONCATENATE("Tab_",Tab_Calculs[[#This Row],[Colonne1]])),Tab_Calculs[[#This Row],[index_date_livraison]]-1,6)*(MAX(Tab_Calculs[[#This Row],[Début periode livraison]],Tab_Calculs[[#This Row],[Début mois]])-Tab_Calculs[[#This Row],[Début mois]])</f>
        <v>#VALUE!</v>
      </c>
      <c r="L1302" s="94">
        <f ca="1">INDEX(INDIRECT(CONCATENATE("Tab_",Tab_Calculs[[#This Row],[Colonne1]])),Tab_Calculs[[#This Row],[index_date_livraison]],6)*(1+MIN(Tab_Calculs[[#This Row],[Date_livraison]],Tab_Calculs[[#This Row],[fin mois]])-MAX(Tab_Calculs[[#This Row],[Début mois]],Tab_Calculs[[#This Row],[Début periode livraison]]))</f>
        <v>0</v>
      </c>
      <c r="M1302" s="94" t="e">
        <f ca="1">INDEX(INDIRECT(CONCATENATE("Tab_",Tab_Calculs[[#This Row],[Colonne1]])),Tab_Calculs[[#This Row],[index_date_livraison]]+1,6)*(Tab_Calculs[[#This Row],[fin mois]]-MIN(Tab_Calculs[[#This Row],[fin mois]],Tab_Calculs[[#This Row],[Date_livraison]]))</f>
        <v>#VALUE!</v>
      </c>
      <c r="N1302" s="231" t="str">
        <f ca="1">IFERROR(Tab_Calculs[[#This Row],[Ratio_jour_après_livr]]+Tab_Calculs[[#This Row],[Ratio_jour_avant_livr]]+Tab_Calculs[[#This Row],[ratio_avant_debut]],"")</f>
        <v/>
      </c>
      <c r="O1302" t="e">
        <f ca="1">INDEX(INDIRECT(CONCATENATE("Tab_",Tab_Calculs[[#This Row],[Colonne1]])),Tab_Calculs[[#This Row],[index_date_livraison]]-1,7)*(MAX(Tab_Calculs[[#This Row],[Début periode livraison]],Tab_Calculs[[#This Row],[Début mois]])-Tab_Calculs[[#This Row],[Début mois]])</f>
        <v>#VALUE!</v>
      </c>
      <c r="P1302">
        <f ca="1">INDEX(INDIRECT(CONCATENATE("Tab_",Tab_Calculs[[#This Row],[Colonne1]])),Tab_Calculs[[#This Row],[index_date_livraison]],7)*(1+MIN(Tab_Calculs[[#This Row],[Date_livraison]],Tab_Calculs[[#This Row],[fin mois]])-MAX(Tab_Calculs[[#This Row],[Début mois]],Tab_Calculs[[#This Row],[Début periode livraison]]))</f>
        <v>0</v>
      </c>
      <c r="Q1302" t="e">
        <f ca="1">INDEX(INDIRECT(CONCATENATE("Tab_",Tab_Calculs[[#This Row],[Colonne1]])),Tab_Calculs[[#This Row],[index_date_livraison]]+1,7)*(Tab_Calculs[[#This Row],[fin mois]]-MIN(Tab_Calculs[[#This Row],[fin mois]],Tab_Calculs[[#This Row],[Date_livraison]]))</f>
        <v>#VALUE!</v>
      </c>
      <c r="R1302" t="e">
        <f ca="1">Tab_Calculs[[#This Row],[Ratio_Cout_après_livr]]+Tab_Calculs[[#This Row],[Ratio_Cout_avant_livr]]+Tab_Calculs[[#This Row],[Ratio_Cout_avant_debut]]</f>
        <v>#VALUE!</v>
      </c>
      <c r="S1302" t="str">
        <f ca="1">IFERROR(N1302*VLOOKUP(Tab_Calculs[[#This Row],[Colonne1]],Controle_des_données!$B$7:$G$14,6,FALSE),"")</f>
        <v/>
      </c>
      <c r="T1302" t="str">
        <f ca="1">IF(Tab_Calculs[[#This Row],[Combustible ]]="Electricité (kWh)",Tab_Calculs[[#This Row],[Conso_mois_kWh]]*2.3,Tab_Calculs[[#This Row],[Conso_mois_kWh]])</f>
        <v/>
      </c>
      <c r="U1302" t="str">
        <f ca="1">IFERROR(N1302*VLOOKUP(Tab_Calculs[[#This Row],[Colonne1]],Controle_des_données!$B$7:$H$14,7,FALSE),"")</f>
        <v/>
      </c>
      <c r="V1302">
        <f ca="1">IFERROR(Tab_Calculs[[#This Row],[Cout_mois]]/Tab_Calculs[[#This Row],[Conso_mois_kWh]],0)</f>
        <v>0</v>
      </c>
      <c r="W1302" t="str">
        <f>T(VLOOKUP(Tab_Calculs[[#This Row],[Compteur]],Site!$B$33:$G$40,3,FALSE))</f>
        <v/>
      </c>
      <c r="X1302" t="str">
        <f>T(VLOOKUP(Tab_Calculs[[#This Row],[Compteur]],Site!$B$33:$G$40,4,FALSE))</f>
        <v/>
      </c>
      <c r="Y1302" t="str">
        <f>T(VLOOKUP(Tab_Calculs[[#This Row],[Compteur]],Site!$B$33:$G$40,5,FALSE))</f>
        <v/>
      </c>
      <c r="Z1302" t="str">
        <f>T(VLOOKUP(Tab_Calculs[[#This Row],[Compteur]],Site!$B$33:$G$40,6,FALSE))</f>
        <v/>
      </c>
      <c r="AA1302">
        <f>IFERROR(GETPIVOTDATA("DJU(chauffagiste)",BDD_DJU!$P$13,"annee",Tab_Calculs[[#This Row],[ANNEE]],"mois_numero",Tab_Calculs[[#This Row],[MOIS]]),0)</f>
        <v>170.5</v>
      </c>
    </row>
    <row r="1303" spans="1:27" x14ac:dyDescent="0.25">
      <c r="A1303" s="3">
        <f>DATE(Tab_Calculs[[#This Row],[ANNEE]],Tab_Calculs[[#This Row],[MOIS]],1)</f>
        <v>44501</v>
      </c>
      <c r="B1303" s="3">
        <f>EDATE(Tab_Calculs[[#This Row],[Début mois]],1)-1</f>
        <v>44530</v>
      </c>
      <c r="C1303">
        <f t="shared" si="45"/>
        <v>11</v>
      </c>
      <c r="D1303">
        <f t="shared" si="44"/>
        <v>2021</v>
      </c>
      <c r="E1303" t="s">
        <v>86</v>
      </c>
      <c r="F1303" t="str">
        <f>SUBSTITUTE(Tab_Calculs[[#This Row],[Compteur]]," ","_")</f>
        <v>Compteur_7</v>
      </c>
      <c r="G1303" t="str">
        <f>T(INDEX(Site!$B$33:$G$40, MATCH(Tab_Calculs[[#This Row],[Compteur]], Site!$B$33:$B$40,0),2))</f>
        <v/>
      </c>
      <c r="H1303" s="3">
        <f t="array" aca="1" ref="H1303" ca="1">MIN(IF(INDIRECT(CONCATENATE(Tab_Calculs[[#This Row],[Colonne1]],"!$B$2:$B$243"))&gt;=Calculs_Consos!$A1303,INDIRECT(CONCATENATE(Tab_Calculs[[#This Row],[Colonne1]],"!$B$2:$B$243"))))</f>
        <v>0</v>
      </c>
      <c r="I1303" s="3">
        <f ca="1">INDEX(INDIRECT(CONCATENATE("Tab_",Tab_Calculs[[#This Row],[Colonne1]])),Tab_Calculs[[#This Row],[index_date_livraison]],1)</f>
        <v>0</v>
      </c>
      <c r="J1303">
        <f ca="1">MATCH(Tab_Calculs[[#This Row],[Date_livraison]],INDIRECT(CONCATENATE("Tab_",Tab_Calculs[[#This Row],[Colonne1]],"[Fin de période]")),0)</f>
        <v>1</v>
      </c>
      <c r="K1303" t="e">
        <f ca="1">INDEX(INDIRECT(CONCATENATE("Tab_",Tab_Calculs[[#This Row],[Colonne1]])),Tab_Calculs[[#This Row],[index_date_livraison]]-1,6)*(MAX(Tab_Calculs[[#This Row],[Début periode livraison]],Tab_Calculs[[#This Row],[Début mois]])-Tab_Calculs[[#This Row],[Début mois]])</f>
        <v>#VALUE!</v>
      </c>
      <c r="L1303" s="94">
        <f ca="1">INDEX(INDIRECT(CONCATENATE("Tab_",Tab_Calculs[[#This Row],[Colonne1]])),Tab_Calculs[[#This Row],[index_date_livraison]],6)*(1+MIN(Tab_Calculs[[#This Row],[Date_livraison]],Tab_Calculs[[#This Row],[fin mois]])-MAX(Tab_Calculs[[#This Row],[Début mois]],Tab_Calculs[[#This Row],[Début periode livraison]]))</f>
        <v>0</v>
      </c>
      <c r="M1303" s="94" t="e">
        <f ca="1">INDEX(INDIRECT(CONCATENATE("Tab_",Tab_Calculs[[#This Row],[Colonne1]])),Tab_Calculs[[#This Row],[index_date_livraison]]+1,6)*(Tab_Calculs[[#This Row],[fin mois]]-MIN(Tab_Calculs[[#This Row],[fin mois]],Tab_Calculs[[#This Row],[Date_livraison]]))</f>
        <v>#VALUE!</v>
      </c>
      <c r="N1303" s="231" t="str">
        <f ca="1">IFERROR(Tab_Calculs[[#This Row],[Ratio_jour_après_livr]]+Tab_Calculs[[#This Row],[Ratio_jour_avant_livr]]+Tab_Calculs[[#This Row],[ratio_avant_debut]],"")</f>
        <v/>
      </c>
      <c r="O1303" t="e">
        <f ca="1">INDEX(INDIRECT(CONCATENATE("Tab_",Tab_Calculs[[#This Row],[Colonne1]])),Tab_Calculs[[#This Row],[index_date_livraison]]-1,7)*(MAX(Tab_Calculs[[#This Row],[Début periode livraison]],Tab_Calculs[[#This Row],[Début mois]])-Tab_Calculs[[#This Row],[Début mois]])</f>
        <v>#VALUE!</v>
      </c>
      <c r="P1303">
        <f ca="1">INDEX(INDIRECT(CONCATENATE("Tab_",Tab_Calculs[[#This Row],[Colonne1]])),Tab_Calculs[[#This Row],[index_date_livraison]],7)*(1+MIN(Tab_Calculs[[#This Row],[Date_livraison]],Tab_Calculs[[#This Row],[fin mois]])-MAX(Tab_Calculs[[#This Row],[Début mois]],Tab_Calculs[[#This Row],[Début periode livraison]]))</f>
        <v>0</v>
      </c>
      <c r="Q1303" t="e">
        <f ca="1">INDEX(INDIRECT(CONCATENATE("Tab_",Tab_Calculs[[#This Row],[Colonne1]])),Tab_Calculs[[#This Row],[index_date_livraison]]+1,7)*(Tab_Calculs[[#This Row],[fin mois]]-MIN(Tab_Calculs[[#This Row],[fin mois]],Tab_Calculs[[#This Row],[Date_livraison]]))</f>
        <v>#VALUE!</v>
      </c>
      <c r="R1303" t="e">
        <f ca="1">Tab_Calculs[[#This Row],[Ratio_Cout_après_livr]]+Tab_Calculs[[#This Row],[Ratio_Cout_avant_livr]]+Tab_Calculs[[#This Row],[Ratio_Cout_avant_debut]]</f>
        <v>#VALUE!</v>
      </c>
      <c r="S1303" t="str">
        <f ca="1">IFERROR(N1303*VLOOKUP(Tab_Calculs[[#This Row],[Colonne1]],Controle_des_données!$B$7:$G$14,6,FALSE),"")</f>
        <v/>
      </c>
      <c r="T1303" t="str">
        <f ca="1">IF(Tab_Calculs[[#This Row],[Combustible ]]="Electricité (kWh)",Tab_Calculs[[#This Row],[Conso_mois_kWh]]*2.3,Tab_Calculs[[#This Row],[Conso_mois_kWh]])</f>
        <v/>
      </c>
      <c r="U1303" t="str">
        <f ca="1">IFERROR(N1303*VLOOKUP(Tab_Calculs[[#This Row],[Colonne1]],Controle_des_données!$B$7:$H$14,7,FALSE),"")</f>
        <v/>
      </c>
      <c r="V1303">
        <f ca="1">IFERROR(Tab_Calculs[[#This Row],[Cout_mois]]/Tab_Calculs[[#This Row],[Conso_mois_kWh]],0)</f>
        <v>0</v>
      </c>
      <c r="W1303" t="str">
        <f>T(VLOOKUP(Tab_Calculs[[#This Row],[Compteur]],Site!$B$33:$G$40,3,FALSE))</f>
        <v/>
      </c>
      <c r="X1303" t="str">
        <f>T(VLOOKUP(Tab_Calculs[[#This Row],[Compteur]],Site!$B$33:$G$40,4,FALSE))</f>
        <v/>
      </c>
      <c r="Y1303" t="str">
        <f>T(VLOOKUP(Tab_Calculs[[#This Row],[Compteur]],Site!$B$33:$G$40,5,FALSE))</f>
        <v/>
      </c>
      <c r="Z1303" t="str">
        <f>T(VLOOKUP(Tab_Calculs[[#This Row],[Compteur]],Site!$B$33:$G$40,6,FALSE))</f>
        <v/>
      </c>
      <c r="AA1303">
        <f>IFERROR(GETPIVOTDATA("DJU(chauffagiste)",BDD_DJU!$P$13,"annee",Tab_Calculs[[#This Row],[ANNEE]],"mois_numero",Tab_Calculs[[#This Row],[MOIS]]),0)</f>
        <v>326.8</v>
      </c>
    </row>
    <row r="1304" spans="1:27" x14ac:dyDescent="0.25">
      <c r="A1304" s="3">
        <f>DATE(Tab_Calculs[[#This Row],[ANNEE]],Tab_Calculs[[#This Row],[MOIS]],1)</f>
        <v>44531</v>
      </c>
      <c r="B1304" s="3">
        <f>EDATE(Tab_Calculs[[#This Row],[Début mois]],1)-1</f>
        <v>44561</v>
      </c>
      <c r="C1304">
        <f t="shared" si="45"/>
        <v>12</v>
      </c>
      <c r="D1304">
        <f>D1292+1</f>
        <v>2021</v>
      </c>
      <c r="E1304" t="s">
        <v>86</v>
      </c>
      <c r="F1304" t="str">
        <f>SUBSTITUTE(Tab_Calculs[[#This Row],[Compteur]]," ","_")</f>
        <v>Compteur_7</v>
      </c>
      <c r="G1304" t="str">
        <f>T(INDEX(Site!$B$33:$G$40, MATCH(Tab_Calculs[[#This Row],[Compteur]], Site!$B$33:$B$40,0),2))</f>
        <v/>
      </c>
      <c r="H1304" s="3">
        <f t="array" aca="1" ref="H1304" ca="1">MIN(IF(INDIRECT(CONCATENATE(Tab_Calculs[[#This Row],[Colonne1]],"!$B$2:$B$243"))&gt;=Calculs_Consos!$A1304,INDIRECT(CONCATENATE(Tab_Calculs[[#This Row],[Colonne1]],"!$B$2:$B$243"))))</f>
        <v>0</v>
      </c>
      <c r="I1304" s="3">
        <f ca="1">INDEX(INDIRECT(CONCATENATE("Tab_",Tab_Calculs[[#This Row],[Colonne1]])),Tab_Calculs[[#This Row],[index_date_livraison]],1)</f>
        <v>0</v>
      </c>
      <c r="J1304">
        <f ca="1">MATCH(Tab_Calculs[[#This Row],[Date_livraison]],INDIRECT(CONCATENATE("Tab_",Tab_Calculs[[#This Row],[Colonne1]],"[Fin de période]")),0)</f>
        <v>1</v>
      </c>
      <c r="K1304" t="e">
        <f ca="1">INDEX(INDIRECT(CONCATENATE("Tab_",Tab_Calculs[[#This Row],[Colonne1]])),Tab_Calculs[[#This Row],[index_date_livraison]]-1,6)*(MAX(Tab_Calculs[[#This Row],[Début periode livraison]],Tab_Calculs[[#This Row],[Début mois]])-Tab_Calculs[[#This Row],[Début mois]])</f>
        <v>#VALUE!</v>
      </c>
      <c r="L1304" s="94">
        <f ca="1">INDEX(INDIRECT(CONCATENATE("Tab_",Tab_Calculs[[#This Row],[Colonne1]])),Tab_Calculs[[#This Row],[index_date_livraison]],6)*(1+MIN(Tab_Calculs[[#This Row],[Date_livraison]],Tab_Calculs[[#This Row],[fin mois]])-MAX(Tab_Calculs[[#This Row],[Début mois]],Tab_Calculs[[#This Row],[Début periode livraison]]))</f>
        <v>0</v>
      </c>
      <c r="M1304" s="94" t="e">
        <f ca="1">INDEX(INDIRECT(CONCATENATE("Tab_",Tab_Calculs[[#This Row],[Colonne1]])),Tab_Calculs[[#This Row],[index_date_livraison]]+1,6)*(Tab_Calculs[[#This Row],[fin mois]]-MIN(Tab_Calculs[[#This Row],[fin mois]],Tab_Calculs[[#This Row],[Date_livraison]]))</f>
        <v>#VALUE!</v>
      </c>
      <c r="N1304" s="231" t="str">
        <f ca="1">IFERROR(Tab_Calculs[[#This Row],[Ratio_jour_après_livr]]+Tab_Calculs[[#This Row],[Ratio_jour_avant_livr]]+Tab_Calculs[[#This Row],[ratio_avant_debut]],"")</f>
        <v/>
      </c>
      <c r="O1304" t="e">
        <f ca="1">INDEX(INDIRECT(CONCATENATE("Tab_",Tab_Calculs[[#This Row],[Colonne1]])),Tab_Calculs[[#This Row],[index_date_livraison]]-1,7)*(MAX(Tab_Calculs[[#This Row],[Début periode livraison]],Tab_Calculs[[#This Row],[Début mois]])-Tab_Calculs[[#This Row],[Début mois]])</f>
        <v>#VALUE!</v>
      </c>
      <c r="P1304">
        <f ca="1">INDEX(INDIRECT(CONCATENATE("Tab_",Tab_Calculs[[#This Row],[Colonne1]])),Tab_Calculs[[#This Row],[index_date_livraison]],7)*(1+MIN(Tab_Calculs[[#This Row],[Date_livraison]],Tab_Calculs[[#This Row],[fin mois]])-MAX(Tab_Calculs[[#This Row],[Début mois]],Tab_Calculs[[#This Row],[Début periode livraison]]))</f>
        <v>0</v>
      </c>
      <c r="Q1304" t="e">
        <f ca="1">INDEX(INDIRECT(CONCATENATE("Tab_",Tab_Calculs[[#This Row],[Colonne1]])),Tab_Calculs[[#This Row],[index_date_livraison]]+1,7)*(Tab_Calculs[[#This Row],[fin mois]]-MIN(Tab_Calculs[[#This Row],[fin mois]],Tab_Calculs[[#This Row],[Date_livraison]]))</f>
        <v>#VALUE!</v>
      </c>
      <c r="R1304" t="e">
        <f ca="1">Tab_Calculs[[#This Row],[Ratio_Cout_après_livr]]+Tab_Calculs[[#This Row],[Ratio_Cout_avant_livr]]+Tab_Calculs[[#This Row],[Ratio_Cout_avant_debut]]</f>
        <v>#VALUE!</v>
      </c>
      <c r="S1304" t="str">
        <f ca="1">IFERROR(N1304*VLOOKUP(Tab_Calculs[[#This Row],[Colonne1]],Controle_des_données!$B$7:$G$14,6,FALSE),"")</f>
        <v/>
      </c>
      <c r="T1304" t="str">
        <f ca="1">IF(Tab_Calculs[[#This Row],[Combustible ]]="Electricité (kWh)",Tab_Calculs[[#This Row],[Conso_mois_kWh]]*2.3,Tab_Calculs[[#This Row],[Conso_mois_kWh]])</f>
        <v/>
      </c>
      <c r="U1304" t="str">
        <f ca="1">IFERROR(N1304*VLOOKUP(Tab_Calculs[[#This Row],[Colonne1]],Controle_des_données!$B$7:$H$14,7,FALSE),"")</f>
        <v/>
      </c>
      <c r="V1304">
        <f ca="1">IFERROR(Tab_Calculs[[#This Row],[Cout_mois]]/Tab_Calculs[[#This Row],[Conso_mois_kWh]],0)</f>
        <v>0</v>
      </c>
      <c r="W1304" t="str">
        <f>T(VLOOKUP(Tab_Calculs[[#This Row],[Compteur]],Site!$B$33:$G$40,3,FALSE))</f>
        <v/>
      </c>
      <c r="X1304" t="str">
        <f>T(VLOOKUP(Tab_Calculs[[#This Row],[Compteur]],Site!$B$33:$G$40,4,FALSE))</f>
        <v/>
      </c>
      <c r="Y1304" t="str">
        <f>T(VLOOKUP(Tab_Calculs[[#This Row],[Compteur]],Site!$B$33:$G$40,5,FALSE))</f>
        <v/>
      </c>
      <c r="Z1304" t="str">
        <f>T(VLOOKUP(Tab_Calculs[[#This Row],[Compteur]],Site!$B$33:$G$40,6,FALSE))</f>
        <v/>
      </c>
      <c r="AA1304">
        <f>IFERROR(GETPIVOTDATA("DJU(chauffagiste)",BDD_DJU!$P$13,"annee",Tab_Calculs[[#This Row],[ANNEE]],"mois_numero",Tab_Calculs[[#This Row],[MOIS]]),0)</f>
        <v>336.7</v>
      </c>
    </row>
    <row r="1305" spans="1:27" x14ac:dyDescent="0.25">
      <c r="A1305" s="3">
        <f>DATE(Tab_Calculs[[#This Row],[ANNEE]],Tab_Calculs[[#This Row],[MOIS]],1)</f>
        <v>44562</v>
      </c>
      <c r="B1305" s="3">
        <f>EDATE(Tab_Calculs[[#This Row],[Début mois]],1)-1</f>
        <v>44592</v>
      </c>
      <c r="C1305">
        <f t="shared" si="45"/>
        <v>1</v>
      </c>
      <c r="D1305">
        <f t="shared" ref="D1305:D1317" si="46">D1293+1</f>
        <v>2022</v>
      </c>
      <c r="E1305" t="s">
        <v>86</v>
      </c>
      <c r="F1305" t="str">
        <f>SUBSTITUTE(Tab_Calculs[[#This Row],[Compteur]]," ","_")</f>
        <v>Compteur_7</v>
      </c>
      <c r="G1305" t="str">
        <f>T(INDEX(Site!$B$33:$G$40, MATCH(Tab_Calculs[[#This Row],[Compteur]], Site!$B$33:$B$40,0),2))</f>
        <v/>
      </c>
      <c r="H1305" s="3">
        <f t="array" aca="1" ref="H1305" ca="1">MIN(IF(INDIRECT(CONCATENATE(Tab_Calculs[[#This Row],[Colonne1]],"!$B$2:$B$243"))&gt;=Calculs_Consos!$A1305,INDIRECT(CONCATENATE(Tab_Calculs[[#This Row],[Colonne1]],"!$B$2:$B$243"))))</f>
        <v>0</v>
      </c>
      <c r="I1305" s="3">
        <f ca="1">INDEX(INDIRECT(CONCATENATE("Tab_",Tab_Calculs[[#This Row],[Colonne1]])),Tab_Calculs[[#This Row],[index_date_livraison]],1)</f>
        <v>0</v>
      </c>
      <c r="J1305">
        <f ca="1">MATCH(Tab_Calculs[[#This Row],[Date_livraison]],INDIRECT(CONCATENATE("Tab_",Tab_Calculs[[#This Row],[Colonne1]],"[Fin de période]")),0)</f>
        <v>1</v>
      </c>
      <c r="K1305" t="e">
        <f ca="1">INDEX(INDIRECT(CONCATENATE("Tab_",Tab_Calculs[[#This Row],[Colonne1]])),Tab_Calculs[[#This Row],[index_date_livraison]]-1,6)*(MAX(Tab_Calculs[[#This Row],[Début periode livraison]],Tab_Calculs[[#This Row],[Début mois]])-Tab_Calculs[[#This Row],[Début mois]])</f>
        <v>#VALUE!</v>
      </c>
      <c r="L1305" s="94">
        <f ca="1">INDEX(INDIRECT(CONCATENATE("Tab_",Tab_Calculs[[#This Row],[Colonne1]])),Tab_Calculs[[#This Row],[index_date_livraison]],6)*(1+MIN(Tab_Calculs[[#This Row],[Date_livraison]],Tab_Calculs[[#This Row],[fin mois]])-MAX(Tab_Calculs[[#This Row],[Début mois]],Tab_Calculs[[#This Row],[Début periode livraison]]))</f>
        <v>0</v>
      </c>
      <c r="M1305" s="94" t="e">
        <f ca="1">INDEX(INDIRECT(CONCATENATE("Tab_",Tab_Calculs[[#This Row],[Colonne1]])),Tab_Calculs[[#This Row],[index_date_livraison]]+1,6)*(Tab_Calculs[[#This Row],[fin mois]]-MIN(Tab_Calculs[[#This Row],[fin mois]],Tab_Calculs[[#This Row],[Date_livraison]]))</f>
        <v>#VALUE!</v>
      </c>
      <c r="N1305" s="231" t="str">
        <f ca="1">IFERROR(Tab_Calculs[[#This Row],[Ratio_jour_après_livr]]+Tab_Calculs[[#This Row],[Ratio_jour_avant_livr]]+Tab_Calculs[[#This Row],[ratio_avant_debut]],"")</f>
        <v/>
      </c>
      <c r="O1305" t="e">
        <f ca="1">INDEX(INDIRECT(CONCATENATE("Tab_",Tab_Calculs[[#This Row],[Colonne1]])),Tab_Calculs[[#This Row],[index_date_livraison]]-1,7)*(MAX(Tab_Calculs[[#This Row],[Début periode livraison]],Tab_Calculs[[#This Row],[Début mois]])-Tab_Calculs[[#This Row],[Début mois]])</f>
        <v>#VALUE!</v>
      </c>
      <c r="P1305">
        <f ca="1">INDEX(INDIRECT(CONCATENATE("Tab_",Tab_Calculs[[#This Row],[Colonne1]])),Tab_Calculs[[#This Row],[index_date_livraison]],7)*(1+MIN(Tab_Calculs[[#This Row],[Date_livraison]],Tab_Calculs[[#This Row],[fin mois]])-MAX(Tab_Calculs[[#This Row],[Début mois]],Tab_Calculs[[#This Row],[Début periode livraison]]))</f>
        <v>0</v>
      </c>
      <c r="Q1305" t="e">
        <f ca="1">INDEX(INDIRECT(CONCATENATE("Tab_",Tab_Calculs[[#This Row],[Colonne1]])),Tab_Calculs[[#This Row],[index_date_livraison]]+1,7)*(Tab_Calculs[[#This Row],[fin mois]]-MIN(Tab_Calculs[[#This Row],[fin mois]],Tab_Calculs[[#This Row],[Date_livraison]]))</f>
        <v>#VALUE!</v>
      </c>
      <c r="R1305" t="e">
        <f ca="1">Tab_Calculs[[#This Row],[Ratio_Cout_après_livr]]+Tab_Calculs[[#This Row],[Ratio_Cout_avant_livr]]+Tab_Calculs[[#This Row],[Ratio_Cout_avant_debut]]</f>
        <v>#VALUE!</v>
      </c>
      <c r="S1305" t="str">
        <f ca="1">IFERROR(N1305*VLOOKUP(Tab_Calculs[[#This Row],[Colonne1]],Controle_des_données!$B$7:$G$14,6,FALSE),"")</f>
        <v/>
      </c>
      <c r="T1305" t="str">
        <f ca="1">IF(Tab_Calculs[[#This Row],[Combustible ]]="Electricité (kWh)",Tab_Calculs[[#This Row],[Conso_mois_kWh]]*2.3,Tab_Calculs[[#This Row],[Conso_mois_kWh]])</f>
        <v/>
      </c>
      <c r="U1305" t="str">
        <f ca="1">IFERROR(N1305*VLOOKUP(Tab_Calculs[[#This Row],[Colonne1]],Controle_des_données!$B$7:$H$14,7,FALSE),"")</f>
        <v/>
      </c>
      <c r="V1305">
        <f ca="1">IFERROR(Tab_Calculs[[#This Row],[Cout_mois]]/Tab_Calculs[[#This Row],[Conso_mois_kWh]],0)</f>
        <v>0</v>
      </c>
      <c r="W1305" t="str">
        <f>T(VLOOKUP(Tab_Calculs[[#This Row],[Compteur]],Site!$B$33:$G$40,3,FALSE))</f>
        <v/>
      </c>
      <c r="X1305" t="str">
        <f>T(VLOOKUP(Tab_Calculs[[#This Row],[Compteur]],Site!$B$33:$G$40,4,FALSE))</f>
        <v/>
      </c>
      <c r="Y1305" t="str">
        <f>T(VLOOKUP(Tab_Calculs[[#This Row],[Compteur]],Site!$B$33:$G$40,5,FALSE))</f>
        <v/>
      </c>
      <c r="Z1305" t="str">
        <f>T(VLOOKUP(Tab_Calculs[[#This Row],[Compteur]],Site!$B$33:$G$40,6,FALSE))</f>
        <v/>
      </c>
      <c r="AA1305">
        <f>IFERROR(GETPIVOTDATA("DJU(chauffagiste)",BDD_DJU!$P$13,"annee",Tab_Calculs[[#This Row],[ANNEE]],"mois_numero",Tab_Calculs[[#This Row],[MOIS]]),0)</f>
        <v>396.3</v>
      </c>
    </row>
    <row r="1306" spans="1:27" x14ac:dyDescent="0.25">
      <c r="A1306" s="3">
        <f>DATE(Tab_Calculs[[#This Row],[ANNEE]],Tab_Calculs[[#This Row],[MOIS]],1)</f>
        <v>44593</v>
      </c>
      <c r="B1306" s="3">
        <f>EDATE(Tab_Calculs[[#This Row],[Début mois]],1)-1</f>
        <v>44620</v>
      </c>
      <c r="C1306">
        <f t="shared" si="45"/>
        <v>2</v>
      </c>
      <c r="D1306">
        <f t="shared" si="46"/>
        <v>2022</v>
      </c>
      <c r="E1306" t="s">
        <v>86</v>
      </c>
      <c r="F1306" t="str">
        <f>SUBSTITUTE(Tab_Calculs[[#This Row],[Compteur]]," ","_")</f>
        <v>Compteur_7</v>
      </c>
      <c r="G1306" t="str">
        <f>T(INDEX(Site!$B$33:$G$40, MATCH(Tab_Calculs[[#This Row],[Compteur]], Site!$B$33:$B$40,0),2))</f>
        <v/>
      </c>
      <c r="H1306" s="3">
        <f t="array" aca="1" ref="H1306" ca="1">MIN(IF(INDIRECT(CONCATENATE(Tab_Calculs[[#This Row],[Colonne1]],"!$B$2:$B$243"))&gt;=Calculs_Consos!$A1306,INDIRECT(CONCATENATE(Tab_Calculs[[#This Row],[Colonne1]],"!$B$2:$B$243"))))</f>
        <v>0</v>
      </c>
      <c r="I1306" s="3">
        <f ca="1">INDEX(INDIRECT(CONCATENATE("Tab_",Tab_Calculs[[#This Row],[Colonne1]])),Tab_Calculs[[#This Row],[index_date_livraison]],1)</f>
        <v>0</v>
      </c>
      <c r="J1306">
        <f ca="1">MATCH(Tab_Calculs[[#This Row],[Date_livraison]],INDIRECT(CONCATENATE("Tab_",Tab_Calculs[[#This Row],[Colonne1]],"[Fin de période]")),0)</f>
        <v>1</v>
      </c>
      <c r="K1306" t="e">
        <f ca="1">INDEX(INDIRECT(CONCATENATE("Tab_",Tab_Calculs[[#This Row],[Colonne1]])),Tab_Calculs[[#This Row],[index_date_livraison]]-1,6)*(MAX(Tab_Calculs[[#This Row],[Début periode livraison]],Tab_Calculs[[#This Row],[Début mois]])-Tab_Calculs[[#This Row],[Début mois]])</f>
        <v>#VALUE!</v>
      </c>
      <c r="L1306" s="94">
        <f ca="1">INDEX(INDIRECT(CONCATENATE("Tab_",Tab_Calculs[[#This Row],[Colonne1]])),Tab_Calculs[[#This Row],[index_date_livraison]],6)*(1+MIN(Tab_Calculs[[#This Row],[Date_livraison]],Tab_Calculs[[#This Row],[fin mois]])-MAX(Tab_Calculs[[#This Row],[Début mois]],Tab_Calculs[[#This Row],[Début periode livraison]]))</f>
        <v>0</v>
      </c>
      <c r="M1306" s="94" t="e">
        <f ca="1">INDEX(INDIRECT(CONCATENATE("Tab_",Tab_Calculs[[#This Row],[Colonne1]])),Tab_Calculs[[#This Row],[index_date_livraison]]+1,6)*(Tab_Calculs[[#This Row],[fin mois]]-MIN(Tab_Calculs[[#This Row],[fin mois]],Tab_Calculs[[#This Row],[Date_livraison]]))</f>
        <v>#VALUE!</v>
      </c>
      <c r="N1306" s="231" t="str">
        <f ca="1">IFERROR(Tab_Calculs[[#This Row],[Ratio_jour_après_livr]]+Tab_Calculs[[#This Row],[Ratio_jour_avant_livr]]+Tab_Calculs[[#This Row],[ratio_avant_debut]],"")</f>
        <v/>
      </c>
      <c r="O1306" t="e">
        <f ca="1">INDEX(INDIRECT(CONCATENATE("Tab_",Tab_Calculs[[#This Row],[Colonne1]])),Tab_Calculs[[#This Row],[index_date_livraison]]-1,7)*(MAX(Tab_Calculs[[#This Row],[Début periode livraison]],Tab_Calculs[[#This Row],[Début mois]])-Tab_Calculs[[#This Row],[Début mois]])</f>
        <v>#VALUE!</v>
      </c>
      <c r="P1306">
        <f ca="1">INDEX(INDIRECT(CONCATENATE("Tab_",Tab_Calculs[[#This Row],[Colonne1]])),Tab_Calculs[[#This Row],[index_date_livraison]],7)*(1+MIN(Tab_Calculs[[#This Row],[Date_livraison]],Tab_Calculs[[#This Row],[fin mois]])-MAX(Tab_Calculs[[#This Row],[Début mois]],Tab_Calculs[[#This Row],[Début periode livraison]]))</f>
        <v>0</v>
      </c>
      <c r="Q1306" t="e">
        <f ca="1">INDEX(INDIRECT(CONCATENATE("Tab_",Tab_Calculs[[#This Row],[Colonne1]])),Tab_Calculs[[#This Row],[index_date_livraison]]+1,7)*(Tab_Calculs[[#This Row],[fin mois]]-MIN(Tab_Calculs[[#This Row],[fin mois]],Tab_Calculs[[#This Row],[Date_livraison]]))</f>
        <v>#VALUE!</v>
      </c>
      <c r="R1306" t="e">
        <f ca="1">Tab_Calculs[[#This Row],[Ratio_Cout_après_livr]]+Tab_Calculs[[#This Row],[Ratio_Cout_avant_livr]]+Tab_Calculs[[#This Row],[Ratio_Cout_avant_debut]]</f>
        <v>#VALUE!</v>
      </c>
      <c r="S1306" t="str">
        <f ca="1">IFERROR(N1306*VLOOKUP(Tab_Calculs[[#This Row],[Colonne1]],Controle_des_données!$B$7:$G$14,6,FALSE),"")</f>
        <v/>
      </c>
      <c r="T1306" t="str">
        <f ca="1">IF(Tab_Calculs[[#This Row],[Combustible ]]="Electricité (kWh)",Tab_Calculs[[#This Row],[Conso_mois_kWh]]*2.3,Tab_Calculs[[#This Row],[Conso_mois_kWh]])</f>
        <v/>
      </c>
      <c r="U1306" t="str">
        <f ca="1">IFERROR(N1306*VLOOKUP(Tab_Calculs[[#This Row],[Colonne1]],Controle_des_données!$B$7:$H$14,7,FALSE),"")</f>
        <v/>
      </c>
      <c r="V1306">
        <f ca="1">IFERROR(Tab_Calculs[[#This Row],[Cout_mois]]/Tab_Calculs[[#This Row],[Conso_mois_kWh]],0)</f>
        <v>0</v>
      </c>
      <c r="W1306" t="str">
        <f>T(VLOOKUP(Tab_Calculs[[#This Row],[Compteur]],Site!$B$33:$G$40,3,FALSE))</f>
        <v/>
      </c>
      <c r="X1306" t="str">
        <f>T(VLOOKUP(Tab_Calculs[[#This Row],[Compteur]],Site!$B$33:$G$40,4,FALSE))</f>
        <v/>
      </c>
      <c r="Y1306" t="str">
        <f>T(VLOOKUP(Tab_Calculs[[#This Row],[Compteur]],Site!$B$33:$G$40,5,FALSE))</f>
        <v/>
      </c>
      <c r="Z1306" t="str">
        <f>T(VLOOKUP(Tab_Calculs[[#This Row],[Compteur]],Site!$B$33:$G$40,6,FALSE))</f>
        <v/>
      </c>
      <c r="AA1306">
        <f>IFERROR(GETPIVOTDATA("DJU(chauffagiste)",BDD_DJU!$P$13,"annee",Tab_Calculs[[#This Row],[ANNEE]],"mois_numero",Tab_Calculs[[#This Row],[MOIS]]),0)</f>
        <v>286.10000000000002</v>
      </c>
    </row>
    <row r="1307" spans="1:27" x14ac:dyDescent="0.25">
      <c r="A1307" s="3">
        <f>DATE(Tab_Calculs[[#This Row],[ANNEE]],Tab_Calculs[[#This Row],[MOIS]],1)</f>
        <v>44621</v>
      </c>
      <c r="B1307" s="3">
        <f>EDATE(Tab_Calculs[[#This Row],[Début mois]],1)-1</f>
        <v>44651</v>
      </c>
      <c r="C1307">
        <f t="shared" si="45"/>
        <v>3</v>
      </c>
      <c r="D1307">
        <f t="shared" si="46"/>
        <v>2022</v>
      </c>
      <c r="E1307" t="s">
        <v>86</v>
      </c>
      <c r="F1307" t="str">
        <f>SUBSTITUTE(Tab_Calculs[[#This Row],[Compteur]]," ","_")</f>
        <v>Compteur_7</v>
      </c>
      <c r="G1307" t="str">
        <f>T(INDEX(Site!$B$33:$G$40, MATCH(Tab_Calculs[[#This Row],[Compteur]], Site!$B$33:$B$40,0),2))</f>
        <v/>
      </c>
      <c r="H1307" s="3">
        <f t="array" aca="1" ref="H1307" ca="1">MIN(IF(INDIRECT(CONCATENATE(Tab_Calculs[[#This Row],[Colonne1]],"!$B$2:$B$243"))&gt;=Calculs_Consos!$A1307,INDIRECT(CONCATENATE(Tab_Calculs[[#This Row],[Colonne1]],"!$B$2:$B$243"))))</f>
        <v>0</v>
      </c>
      <c r="I1307" s="3">
        <f ca="1">INDEX(INDIRECT(CONCATENATE("Tab_",Tab_Calculs[[#This Row],[Colonne1]])),Tab_Calculs[[#This Row],[index_date_livraison]],1)</f>
        <v>0</v>
      </c>
      <c r="J1307">
        <f ca="1">MATCH(Tab_Calculs[[#This Row],[Date_livraison]],INDIRECT(CONCATENATE("Tab_",Tab_Calculs[[#This Row],[Colonne1]],"[Fin de période]")),0)</f>
        <v>1</v>
      </c>
      <c r="K1307" t="e">
        <f ca="1">INDEX(INDIRECT(CONCATENATE("Tab_",Tab_Calculs[[#This Row],[Colonne1]])),Tab_Calculs[[#This Row],[index_date_livraison]]-1,6)*(MAX(Tab_Calculs[[#This Row],[Début periode livraison]],Tab_Calculs[[#This Row],[Début mois]])-Tab_Calculs[[#This Row],[Début mois]])</f>
        <v>#VALUE!</v>
      </c>
      <c r="L1307" s="94">
        <f ca="1">INDEX(INDIRECT(CONCATENATE("Tab_",Tab_Calculs[[#This Row],[Colonne1]])),Tab_Calculs[[#This Row],[index_date_livraison]],6)*(1+MIN(Tab_Calculs[[#This Row],[Date_livraison]],Tab_Calculs[[#This Row],[fin mois]])-MAX(Tab_Calculs[[#This Row],[Début mois]],Tab_Calculs[[#This Row],[Début periode livraison]]))</f>
        <v>0</v>
      </c>
      <c r="M1307" s="94" t="e">
        <f ca="1">INDEX(INDIRECT(CONCATENATE("Tab_",Tab_Calculs[[#This Row],[Colonne1]])),Tab_Calculs[[#This Row],[index_date_livraison]]+1,6)*(Tab_Calculs[[#This Row],[fin mois]]-MIN(Tab_Calculs[[#This Row],[fin mois]],Tab_Calculs[[#This Row],[Date_livraison]]))</f>
        <v>#VALUE!</v>
      </c>
      <c r="N1307" s="231" t="str">
        <f ca="1">IFERROR(Tab_Calculs[[#This Row],[Ratio_jour_après_livr]]+Tab_Calculs[[#This Row],[Ratio_jour_avant_livr]]+Tab_Calculs[[#This Row],[ratio_avant_debut]],"")</f>
        <v/>
      </c>
      <c r="O1307" t="e">
        <f ca="1">INDEX(INDIRECT(CONCATENATE("Tab_",Tab_Calculs[[#This Row],[Colonne1]])),Tab_Calculs[[#This Row],[index_date_livraison]]-1,7)*(MAX(Tab_Calculs[[#This Row],[Début periode livraison]],Tab_Calculs[[#This Row],[Début mois]])-Tab_Calculs[[#This Row],[Début mois]])</f>
        <v>#VALUE!</v>
      </c>
      <c r="P1307">
        <f ca="1">INDEX(INDIRECT(CONCATENATE("Tab_",Tab_Calculs[[#This Row],[Colonne1]])),Tab_Calculs[[#This Row],[index_date_livraison]],7)*(1+MIN(Tab_Calculs[[#This Row],[Date_livraison]],Tab_Calculs[[#This Row],[fin mois]])-MAX(Tab_Calculs[[#This Row],[Début mois]],Tab_Calculs[[#This Row],[Début periode livraison]]))</f>
        <v>0</v>
      </c>
      <c r="Q1307" t="e">
        <f ca="1">INDEX(INDIRECT(CONCATENATE("Tab_",Tab_Calculs[[#This Row],[Colonne1]])),Tab_Calculs[[#This Row],[index_date_livraison]]+1,7)*(Tab_Calculs[[#This Row],[fin mois]]-MIN(Tab_Calculs[[#This Row],[fin mois]],Tab_Calculs[[#This Row],[Date_livraison]]))</f>
        <v>#VALUE!</v>
      </c>
      <c r="R1307" t="e">
        <f ca="1">Tab_Calculs[[#This Row],[Ratio_Cout_après_livr]]+Tab_Calculs[[#This Row],[Ratio_Cout_avant_livr]]+Tab_Calculs[[#This Row],[Ratio_Cout_avant_debut]]</f>
        <v>#VALUE!</v>
      </c>
      <c r="S1307" t="str">
        <f ca="1">IFERROR(N1307*VLOOKUP(Tab_Calculs[[#This Row],[Colonne1]],Controle_des_données!$B$7:$G$14,6,FALSE),"")</f>
        <v/>
      </c>
      <c r="T1307" t="str">
        <f ca="1">IF(Tab_Calculs[[#This Row],[Combustible ]]="Electricité (kWh)",Tab_Calculs[[#This Row],[Conso_mois_kWh]]*2.3,Tab_Calculs[[#This Row],[Conso_mois_kWh]])</f>
        <v/>
      </c>
      <c r="U1307" t="str">
        <f ca="1">IFERROR(N1307*VLOOKUP(Tab_Calculs[[#This Row],[Colonne1]],Controle_des_données!$B$7:$H$14,7,FALSE),"")</f>
        <v/>
      </c>
      <c r="V1307">
        <f ca="1">IFERROR(Tab_Calculs[[#This Row],[Cout_mois]]/Tab_Calculs[[#This Row],[Conso_mois_kWh]],0)</f>
        <v>0</v>
      </c>
      <c r="W1307" t="str">
        <f>T(VLOOKUP(Tab_Calculs[[#This Row],[Compteur]],Site!$B$33:$G$40,3,FALSE))</f>
        <v/>
      </c>
      <c r="X1307" t="str">
        <f>T(VLOOKUP(Tab_Calculs[[#This Row],[Compteur]],Site!$B$33:$G$40,4,FALSE))</f>
        <v/>
      </c>
      <c r="Y1307" t="str">
        <f>T(VLOOKUP(Tab_Calculs[[#This Row],[Compteur]],Site!$B$33:$G$40,5,FALSE))</f>
        <v/>
      </c>
      <c r="Z1307" t="str">
        <f>T(VLOOKUP(Tab_Calculs[[#This Row],[Compteur]],Site!$B$33:$G$40,6,FALSE))</f>
        <v/>
      </c>
      <c r="AA1307">
        <f>IFERROR(GETPIVOTDATA("DJU(chauffagiste)",BDD_DJU!$P$13,"annee",Tab_Calculs[[#This Row],[ANNEE]],"mois_numero",Tab_Calculs[[#This Row],[MOIS]]),0)</f>
        <v>239.8</v>
      </c>
    </row>
    <row r="1308" spans="1:27" x14ac:dyDescent="0.25">
      <c r="A1308" s="3">
        <f>DATE(Tab_Calculs[[#This Row],[ANNEE]],Tab_Calculs[[#This Row],[MOIS]],1)</f>
        <v>44652</v>
      </c>
      <c r="B1308" s="3">
        <f>EDATE(Tab_Calculs[[#This Row],[Début mois]],1)-1</f>
        <v>44681</v>
      </c>
      <c r="C1308">
        <f t="shared" si="45"/>
        <v>4</v>
      </c>
      <c r="D1308">
        <f t="shared" si="46"/>
        <v>2022</v>
      </c>
      <c r="E1308" t="s">
        <v>86</v>
      </c>
      <c r="F1308" t="str">
        <f>SUBSTITUTE(Tab_Calculs[[#This Row],[Compteur]]," ","_")</f>
        <v>Compteur_7</v>
      </c>
      <c r="G1308" t="str">
        <f>T(INDEX(Site!$B$33:$G$40, MATCH(Tab_Calculs[[#This Row],[Compteur]], Site!$B$33:$B$40,0),2))</f>
        <v/>
      </c>
      <c r="H1308" s="3">
        <f t="array" aca="1" ref="H1308" ca="1">MIN(IF(INDIRECT(CONCATENATE(Tab_Calculs[[#This Row],[Colonne1]],"!$B$2:$B$243"))&gt;=Calculs_Consos!$A1308,INDIRECT(CONCATENATE(Tab_Calculs[[#This Row],[Colonne1]],"!$B$2:$B$243"))))</f>
        <v>0</v>
      </c>
      <c r="I1308" s="3">
        <f ca="1">INDEX(INDIRECT(CONCATENATE("Tab_",Tab_Calculs[[#This Row],[Colonne1]])),Tab_Calculs[[#This Row],[index_date_livraison]],1)</f>
        <v>0</v>
      </c>
      <c r="J1308">
        <f ca="1">MATCH(Tab_Calculs[[#This Row],[Date_livraison]],INDIRECT(CONCATENATE("Tab_",Tab_Calculs[[#This Row],[Colonne1]],"[Fin de période]")),0)</f>
        <v>1</v>
      </c>
      <c r="K1308" t="e">
        <f ca="1">INDEX(INDIRECT(CONCATENATE("Tab_",Tab_Calculs[[#This Row],[Colonne1]])),Tab_Calculs[[#This Row],[index_date_livraison]]-1,6)*(MAX(Tab_Calculs[[#This Row],[Début periode livraison]],Tab_Calculs[[#This Row],[Début mois]])-Tab_Calculs[[#This Row],[Début mois]])</f>
        <v>#VALUE!</v>
      </c>
      <c r="L1308" s="94">
        <f ca="1">INDEX(INDIRECT(CONCATENATE("Tab_",Tab_Calculs[[#This Row],[Colonne1]])),Tab_Calculs[[#This Row],[index_date_livraison]],6)*(1+MIN(Tab_Calculs[[#This Row],[Date_livraison]],Tab_Calculs[[#This Row],[fin mois]])-MAX(Tab_Calculs[[#This Row],[Début mois]],Tab_Calculs[[#This Row],[Début periode livraison]]))</f>
        <v>0</v>
      </c>
      <c r="M1308" s="94" t="e">
        <f ca="1">INDEX(INDIRECT(CONCATENATE("Tab_",Tab_Calculs[[#This Row],[Colonne1]])),Tab_Calculs[[#This Row],[index_date_livraison]]+1,6)*(Tab_Calculs[[#This Row],[fin mois]]-MIN(Tab_Calculs[[#This Row],[fin mois]],Tab_Calculs[[#This Row],[Date_livraison]]))</f>
        <v>#VALUE!</v>
      </c>
      <c r="N1308" s="231" t="str">
        <f ca="1">IFERROR(Tab_Calculs[[#This Row],[Ratio_jour_après_livr]]+Tab_Calculs[[#This Row],[Ratio_jour_avant_livr]]+Tab_Calculs[[#This Row],[ratio_avant_debut]],"")</f>
        <v/>
      </c>
      <c r="O1308" t="e">
        <f ca="1">INDEX(INDIRECT(CONCATENATE("Tab_",Tab_Calculs[[#This Row],[Colonne1]])),Tab_Calculs[[#This Row],[index_date_livraison]]-1,7)*(MAX(Tab_Calculs[[#This Row],[Début periode livraison]],Tab_Calculs[[#This Row],[Début mois]])-Tab_Calculs[[#This Row],[Début mois]])</f>
        <v>#VALUE!</v>
      </c>
      <c r="P1308">
        <f ca="1">INDEX(INDIRECT(CONCATENATE("Tab_",Tab_Calculs[[#This Row],[Colonne1]])),Tab_Calculs[[#This Row],[index_date_livraison]],7)*(1+MIN(Tab_Calculs[[#This Row],[Date_livraison]],Tab_Calculs[[#This Row],[fin mois]])-MAX(Tab_Calculs[[#This Row],[Début mois]],Tab_Calculs[[#This Row],[Début periode livraison]]))</f>
        <v>0</v>
      </c>
      <c r="Q1308" t="e">
        <f ca="1">INDEX(INDIRECT(CONCATENATE("Tab_",Tab_Calculs[[#This Row],[Colonne1]])),Tab_Calculs[[#This Row],[index_date_livraison]]+1,7)*(Tab_Calculs[[#This Row],[fin mois]]-MIN(Tab_Calculs[[#This Row],[fin mois]],Tab_Calculs[[#This Row],[Date_livraison]]))</f>
        <v>#VALUE!</v>
      </c>
      <c r="R1308" t="e">
        <f ca="1">Tab_Calculs[[#This Row],[Ratio_Cout_après_livr]]+Tab_Calculs[[#This Row],[Ratio_Cout_avant_livr]]+Tab_Calculs[[#This Row],[Ratio_Cout_avant_debut]]</f>
        <v>#VALUE!</v>
      </c>
      <c r="S1308" t="str">
        <f ca="1">IFERROR(N1308*VLOOKUP(Tab_Calculs[[#This Row],[Colonne1]],Controle_des_données!$B$7:$G$14,6,FALSE),"")</f>
        <v/>
      </c>
      <c r="T1308" t="str">
        <f ca="1">IF(Tab_Calculs[[#This Row],[Combustible ]]="Electricité (kWh)",Tab_Calculs[[#This Row],[Conso_mois_kWh]]*2.3,Tab_Calculs[[#This Row],[Conso_mois_kWh]])</f>
        <v/>
      </c>
      <c r="U1308" t="str">
        <f ca="1">IFERROR(N1308*VLOOKUP(Tab_Calculs[[#This Row],[Colonne1]],Controle_des_données!$B$7:$H$14,7,FALSE),"")</f>
        <v/>
      </c>
      <c r="V1308">
        <f ca="1">IFERROR(Tab_Calculs[[#This Row],[Cout_mois]]/Tab_Calculs[[#This Row],[Conso_mois_kWh]],0)</f>
        <v>0</v>
      </c>
      <c r="W1308" t="str">
        <f>T(VLOOKUP(Tab_Calculs[[#This Row],[Compteur]],Site!$B$33:$G$40,3,FALSE))</f>
        <v/>
      </c>
      <c r="X1308" t="str">
        <f>T(VLOOKUP(Tab_Calculs[[#This Row],[Compteur]],Site!$B$33:$G$40,4,FALSE))</f>
        <v/>
      </c>
      <c r="Y1308" t="str">
        <f>T(VLOOKUP(Tab_Calculs[[#This Row],[Compteur]],Site!$B$33:$G$40,5,FALSE))</f>
        <v/>
      </c>
      <c r="Z1308" t="str">
        <f>T(VLOOKUP(Tab_Calculs[[#This Row],[Compteur]],Site!$B$33:$G$40,6,FALSE))</f>
        <v/>
      </c>
      <c r="AA1308">
        <f>IFERROR(GETPIVOTDATA("DJU(chauffagiste)",BDD_DJU!$P$13,"annee",Tab_Calculs[[#This Row],[ANNEE]],"mois_numero",Tab_Calculs[[#This Row],[MOIS]]),0)</f>
        <v>192.3</v>
      </c>
    </row>
    <row r="1309" spans="1:27" x14ac:dyDescent="0.25">
      <c r="A1309" s="3">
        <f>DATE(Tab_Calculs[[#This Row],[ANNEE]],Tab_Calculs[[#This Row],[MOIS]],1)</f>
        <v>44682</v>
      </c>
      <c r="B1309" s="3">
        <f>EDATE(Tab_Calculs[[#This Row],[Début mois]],1)-1</f>
        <v>44712</v>
      </c>
      <c r="C1309">
        <f t="shared" si="45"/>
        <v>5</v>
      </c>
      <c r="D1309">
        <f t="shared" si="46"/>
        <v>2022</v>
      </c>
      <c r="E1309" t="s">
        <v>86</v>
      </c>
      <c r="F1309" t="str">
        <f>SUBSTITUTE(Tab_Calculs[[#This Row],[Compteur]]," ","_")</f>
        <v>Compteur_7</v>
      </c>
      <c r="G1309" t="str">
        <f>T(INDEX(Site!$B$33:$G$40, MATCH(Tab_Calculs[[#This Row],[Compteur]], Site!$B$33:$B$40,0),2))</f>
        <v/>
      </c>
      <c r="H1309" s="3">
        <f t="array" aca="1" ref="H1309" ca="1">MIN(IF(INDIRECT(CONCATENATE(Tab_Calculs[[#This Row],[Colonne1]],"!$B$2:$B$243"))&gt;=Calculs_Consos!$A1309,INDIRECT(CONCATENATE(Tab_Calculs[[#This Row],[Colonne1]],"!$B$2:$B$243"))))</f>
        <v>0</v>
      </c>
      <c r="I1309" s="3">
        <f ca="1">INDEX(INDIRECT(CONCATENATE("Tab_",Tab_Calculs[[#This Row],[Colonne1]])),Tab_Calculs[[#This Row],[index_date_livraison]],1)</f>
        <v>0</v>
      </c>
      <c r="J1309">
        <f ca="1">MATCH(Tab_Calculs[[#This Row],[Date_livraison]],INDIRECT(CONCATENATE("Tab_",Tab_Calculs[[#This Row],[Colonne1]],"[Fin de période]")),0)</f>
        <v>1</v>
      </c>
      <c r="K1309" t="e">
        <f ca="1">INDEX(INDIRECT(CONCATENATE("Tab_",Tab_Calculs[[#This Row],[Colonne1]])),Tab_Calculs[[#This Row],[index_date_livraison]]-1,6)*(MAX(Tab_Calculs[[#This Row],[Début periode livraison]],Tab_Calculs[[#This Row],[Début mois]])-Tab_Calculs[[#This Row],[Début mois]])</f>
        <v>#VALUE!</v>
      </c>
      <c r="L1309" s="94">
        <f ca="1">INDEX(INDIRECT(CONCATENATE("Tab_",Tab_Calculs[[#This Row],[Colonne1]])),Tab_Calculs[[#This Row],[index_date_livraison]],6)*(1+MIN(Tab_Calculs[[#This Row],[Date_livraison]],Tab_Calculs[[#This Row],[fin mois]])-MAX(Tab_Calculs[[#This Row],[Début mois]],Tab_Calculs[[#This Row],[Début periode livraison]]))</f>
        <v>0</v>
      </c>
      <c r="M1309" s="94" t="e">
        <f ca="1">INDEX(INDIRECT(CONCATENATE("Tab_",Tab_Calculs[[#This Row],[Colonne1]])),Tab_Calculs[[#This Row],[index_date_livraison]]+1,6)*(Tab_Calculs[[#This Row],[fin mois]]-MIN(Tab_Calculs[[#This Row],[fin mois]],Tab_Calculs[[#This Row],[Date_livraison]]))</f>
        <v>#VALUE!</v>
      </c>
      <c r="N1309" s="231" t="str">
        <f ca="1">IFERROR(Tab_Calculs[[#This Row],[Ratio_jour_après_livr]]+Tab_Calculs[[#This Row],[Ratio_jour_avant_livr]]+Tab_Calculs[[#This Row],[ratio_avant_debut]],"")</f>
        <v/>
      </c>
      <c r="O1309" t="e">
        <f ca="1">INDEX(INDIRECT(CONCATENATE("Tab_",Tab_Calculs[[#This Row],[Colonne1]])),Tab_Calculs[[#This Row],[index_date_livraison]]-1,7)*(MAX(Tab_Calculs[[#This Row],[Début periode livraison]],Tab_Calculs[[#This Row],[Début mois]])-Tab_Calculs[[#This Row],[Début mois]])</f>
        <v>#VALUE!</v>
      </c>
      <c r="P1309">
        <f ca="1">INDEX(INDIRECT(CONCATENATE("Tab_",Tab_Calculs[[#This Row],[Colonne1]])),Tab_Calculs[[#This Row],[index_date_livraison]],7)*(1+MIN(Tab_Calculs[[#This Row],[Date_livraison]],Tab_Calculs[[#This Row],[fin mois]])-MAX(Tab_Calculs[[#This Row],[Début mois]],Tab_Calculs[[#This Row],[Début periode livraison]]))</f>
        <v>0</v>
      </c>
      <c r="Q1309" t="e">
        <f ca="1">INDEX(INDIRECT(CONCATENATE("Tab_",Tab_Calculs[[#This Row],[Colonne1]])),Tab_Calculs[[#This Row],[index_date_livraison]]+1,7)*(Tab_Calculs[[#This Row],[fin mois]]-MIN(Tab_Calculs[[#This Row],[fin mois]],Tab_Calculs[[#This Row],[Date_livraison]]))</f>
        <v>#VALUE!</v>
      </c>
      <c r="R1309" t="e">
        <f ca="1">Tab_Calculs[[#This Row],[Ratio_Cout_après_livr]]+Tab_Calculs[[#This Row],[Ratio_Cout_avant_livr]]+Tab_Calculs[[#This Row],[Ratio_Cout_avant_debut]]</f>
        <v>#VALUE!</v>
      </c>
      <c r="S1309" t="str">
        <f ca="1">IFERROR(N1309*VLOOKUP(Tab_Calculs[[#This Row],[Colonne1]],Controle_des_données!$B$7:$G$14,6,FALSE),"")</f>
        <v/>
      </c>
      <c r="T1309" t="str">
        <f ca="1">IF(Tab_Calculs[[#This Row],[Combustible ]]="Electricité (kWh)",Tab_Calculs[[#This Row],[Conso_mois_kWh]]*2.3,Tab_Calculs[[#This Row],[Conso_mois_kWh]])</f>
        <v/>
      </c>
      <c r="U1309" t="str">
        <f ca="1">IFERROR(N1309*VLOOKUP(Tab_Calculs[[#This Row],[Colonne1]],Controle_des_données!$B$7:$H$14,7,FALSE),"")</f>
        <v/>
      </c>
      <c r="V1309">
        <f ca="1">IFERROR(Tab_Calculs[[#This Row],[Cout_mois]]/Tab_Calculs[[#This Row],[Conso_mois_kWh]],0)</f>
        <v>0</v>
      </c>
      <c r="W1309" t="str">
        <f>T(VLOOKUP(Tab_Calculs[[#This Row],[Compteur]],Site!$B$33:$G$40,3,FALSE))</f>
        <v/>
      </c>
      <c r="X1309" t="str">
        <f>T(VLOOKUP(Tab_Calculs[[#This Row],[Compteur]],Site!$B$33:$G$40,4,FALSE))</f>
        <v/>
      </c>
      <c r="Y1309" t="str">
        <f>T(VLOOKUP(Tab_Calculs[[#This Row],[Compteur]],Site!$B$33:$G$40,5,FALSE))</f>
        <v/>
      </c>
      <c r="Z1309" t="str">
        <f>T(VLOOKUP(Tab_Calculs[[#This Row],[Compteur]],Site!$B$33:$G$40,6,FALSE))</f>
        <v/>
      </c>
      <c r="AA1309">
        <f>IFERROR(GETPIVOTDATA("DJU(chauffagiste)",BDD_DJU!$P$13,"annee",Tab_Calculs[[#This Row],[ANNEE]],"mois_numero",Tab_Calculs[[#This Row],[MOIS]]),0)</f>
        <v>81.8</v>
      </c>
    </row>
    <row r="1310" spans="1:27" x14ac:dyDescent="0.25">
      <c r="A1310" s="3">
        <f>DATE(Tab_Calculs[[#This Row],[ANNEE]],Tab_Calculs[[#This Row],[MOIS]],1)</f>
        <v>44713</v>
      </c>
      <c r="B1310" s="3">
        <f>EDATE(Tab_Calculs[[#This Row],[Début mois]],1)-1</f>
        <v>44742</v>
      </c>
      <c r="C1310">
        <f t="shared" si="45"/>
        <v>6</v>
      </c>
      <c r="D1310">
        <f t="shared" si="46"/>
        <v>2022</v>
      </c>
      <c r="E1310" t="s">
        <v>86</v>
      </c>
      <c r="F1310" t="str">
        <f>SUBSTITUTE(Tab_Calculs[[#This Row],[Compteur]]," ","_")</f>
        <v>Compteur_7</v>
      </c>
      <c r="G1310" t="str">
        <f>T(INDEX(Site!$B$33:$G$40, MATCH(Tab_Calculs[[#This Row],[Compteur]], Site!$B$33:$B$40,0),2))</f>
        <v/>
      </c>
      <c r="H1310" s="3">
        <f t="array" aca="1" ref="H1310" ca="1">MIN(IF(INDIRECT(CONCATENATE(Tab_Calculs[[#This Row],[Colonne1]],"!$B$2:$B$243"))&gt;=Calculs_Consos!$A1310,INDIRECT(CONCATENATE(Tab_Calculs[[#This Row],[Colonne1]],"!$B$2:$B$243"))))</f>
        <v>0</v>
      </c>
      <c r="I1310" s="3">
        <f ca="1">INDEX(INDIRECT(CONCATENATE("Tab_",Tab_Calculs[[#This Row],[Colonne1]])),Tab_Calculs[[#This Row],[index_date_livraison]],1)</f>
        <v>0</v>
      </c>
      <c r="J1310">
        <f ca="1">MATCH(Tab_Calculs[[#This Row],[Date_livraison]],INDIRECT(CONCATENATE("Tab_",Tab_Calculs[[#This Row],[Colonne1]],"[Fin de période]")),0)</f>
        <v>1</v>
      </c>
      <c r="K1310" t="e">
        <f ca="1">INDEX(INDIRECT(CONCATENATE("Tab_",Tab_Calculs[[#This Row],[Colonne1]])),Tab_Calculs[[#This Row],[index_date_livraison]]-1,6)*(MAX(Tab_Calculs[[#This Row],[Début periode livraison]],Tab_Calculs[[#This Row],[Début mois]])-Tab_Calculs[[#This Row],[Début mois]])</f>
        <v>#VALUE!</v>
      </c>
      <c r="L1310" s="94">
        <f ca="1">INDEX(INDIRECT(CONCATENATE("Tab_",Tab_Calculs[[#This Row],[Colonne1]])),Tab_Calculs[[#This Row],[index_date_livraison]],6)*(1+MIN(Tab_Calculs[[#This Row],[Date_livraison]],Tab_Calculs[[#This Row],[fin mois]])-MAX(Tab_Calculs[[#This Row],[Début mois]],Tab_Calculs[[#This Row],[Début periode livraison]]))</f>
        <v>0</v>
      </c>
      <c r="M1310" s="94" t="e">
        <f ca="1">INDEX(INDIRECT(CONCATENATE("Tab_",Tab_Calculs[[#This Row],[Colonne1]])),Tab_Calculs[[#This Row],[index_date_livraison]]+1,6)*(Tab_Calculs[[#This Row],[fin mois]]-MIN(Tab_Calculs[[#This Row],[fin mois]],Tab_Calculs[[#This Row],[Date_livraison]]))</f>
        <v>#VALUE!</v>
      </c>
      <c r="N1310" s="231" t="str">
        <f ca="1">IFERROR(Tab_Calculs[[#This Row],[Ratio_jour_après_livr]]+Tab_Calculs[[#This Row],[Ratio_jour_avant_livr]]+Tab_Calculs[[#This Row],[ratio_avant_debut]],"")</f>
        <v/>
      </c>
      <c r="O1310" t="e">
        <f ca="1">INDEX(INDIRECT(CONCATENATE("Tab_",Tab_Calculs[[#This Row],[Colonne1]])),Tab_Calculs[[#This Row],[index_date_livraison]]-1,7)*(MAX(Tab_Calculs[[#This Row],[Début periode livraison]],Tab_Calculs[[#This Row],[Début mois]])-Tab_Calculs[[#This Row],[Début mois]])</f>
        <v>#VALUE!</v>
      </c>
      <c r="P1310">
        <f ca="1">INDEX(INDIRECT(CONCATENATE("Tab_",Tab_Calculs[[#This Row],[Colonne1]])),Tab_Calculs[[#This Row],[index_date_livraison]],7)*(1+MIN(Tab_Calculs[[#This Row],[Date_livraison]],Tab_Calculs[[#This Row],[fin mois]])-MAX(Tab_Calculs[[#This Row],[Début mois]],Tab_Calculs[[#This Row],[Début periode livraison]]))</f>
        <v>0</v>
      </c>
      <c r="Q1310" t="e">
        <f ca="1">INDEX(INDIRECT(CONCATENATE("Tab_",Tab_Calculs[[#This Row],[Colonne1]])),Tab_Calculs[[#This Row],[index_date_livraison]]+1,7)*(Tab_Calculs[[#This Row],[fin mois]]-MIN(Tab_Calculs[[#This Row],[fin mois]],Tab_Calculs[[#This Row],[Date_livraison]]))</f>
        <v>#VALUE!</v>
      </c>
      <c r="R1310" t="e">
        <f ca="1">Tab_Calculs[[#This Row],[Ratio_Cout_après_livr]]+Tab_Calculs[[#This Row],[Ratio_Cout_avant_livr]]+Tab_Calculs[[#This Row],[Ratio_Cout_avant_debut]]</f>
        <v>#VALUE!</v>
      </c>
      <c r="S1310" t="str">
        <f ca="1">IFERROR(N1310*VLOOKUP(Tab_Calculs[[#This Row],[Colonne1]],Controle_des_données!$B$7:$G$14,6,FALSE),"")</f>
        <v/>
      </c>
      <c r="T1310" t="str">
        <f ca="1">IF(Tab_Calculs[[#This Row],[Combustible ]]="Electricité (kWh)",Tab_Calculs[[#This Row],[Conso_mois_kWh]]*2.3,Tab_Calculs[[#This Row],[Conso_mois_kWh]])</f>
        <v/>
      </c>
      <c r="U1310" t="str">
        <f ca="1">IFERROR(N1310*VLOOKUP(Tab_Calculs[[#This Row],[Colonne1]],Controle_des_données!$B$7:$H$14,7,FALSE),"")</f>
        <v/>
      </c>
      <c r="V1310">
        <f ca="1">IFERROR(Tab_Calculs[[#This Row],[Cout_mois]]/Tab_Calculs[[#This Row],[Conso_mois_kWh]],0)</f>
        <v>0</v>
      </c>
      <c r="W1310" t="str">
        <f>T(VLOOKUP(Tab_Calculs[[#This Row],[Compteur]],Site!$B$33:$G$40,3,FALSE))</f>
        <v/>
      </c>
      <c r="X1310" t="str">
        <f>T(VLOOKUP(Tab_Calculs[[#This Row],[Compteur]],Site!$B$33:$G$40,4,FALSE))</f>
        <v/>
      </c>
      <c r="Y1310" t="str">
        <f>T(VLOOKUP(Tab_Calculs[[#This Row],[Compteur]],Site!$B$33:$G$40,5,FALSE))</f>
        <v/>
      </c>
      <c r="Z1310" t="str">
        <f>T(VLOOKUP(Tab_Calculs[[#This Row],[Compteur]],Site!$B$33:$G$40,6,FALSE))</f>
        <v/>
      </c>
      <c r="AA1310">
        <f>IFERROR(GETPIVOTDATA("DJU(chauffagiste)",BDD_DJU!$P$13,"annee",Tab_Calculs[[#This Row],[ANNEE]],"mois_numero",Tab_Calculs[[#This Row],[MOIS]]),0)</f>
        <v>35.5</v>
      </c>
    </row>
    <row r="1311" spans="1:27" x14ac:dyDescent="0.25">
      <c r="A1311" s="3">
        <f>DATE(Tab_Calculs[[#This Row],[ANNEE]],Tab_Calculs[[#This Row],[MOIS]],1)</f>
        <v>44743</v>
      </c>
      <c r="B1311" s="3">
        <f>EDATE(Tab_Calculs[[#This Row],[Début mois]],1)-1</f>
        <v>44773</v>
      </c>
      <c r="C1311">
        <f t="shared" si="45"/>
        <v>7</v>
      </c>
      <c r="D1311">
        <f t="shared" si="46"/>
        <v>2022</v>
      </c>
      <c r="E1311" t="s">
        <v>86</v>
      </c>
      <c r="F1311" t="str">
        <f>SUBSTITUTE(Tab_Calculs[[#This Row],[Compteur]]," ","_")</f>
        <v>Compteur_7</v>
      </c>
      <c r="G1311" t="str">
        <f>T(INDEX(Site!$B$33:$G$40, MATCH(Tab_Calculs[[#This Row],[Compteur]], Site!$B$33:$B$40,0),2))</f>
        <v/>
      </c>
      <c r="H1311" s="3">
        <f t="array" aca="1" ref="H1311" ca="1">MIN(IF(INDIRECT(CONCATENATE(Tab_Calculs[[#This Row],[Colonne1]],"!$B$2:$B$243"))&gt;=Calculs_Consos!$A1311,INDIRECT(CONCATENATE(Tab_Calculs[[#This Row],[Colonne1]],"!$B$2:$B$243"))))</f>
        <v>0</v>
      </c>
      <c r="I1311" s="3">
        <f ca="1">INDEX(INDIRECT(CONCATENATE("Tab_",Tab_Calculs[[#This Row],[Colonne1]])),Tab_Calculs[[#This Row],[index_date_livraison]],1)</f>
        <v>0</v>
      </c>
      <c r="J1311">
        <f ca="1">MATCH(Tab_Calculs[[#This Row],[Date_livraison]],INDIRECT(CONCATENATE("Tab_",Tab_Calculs[[#This Row],[Colonne1]],"[Fin de période]")),0)</f>
        <v>1</v>
      </c>
      <c r="K1311" t="e">
        <f ca="1">INDEX(INDIRECT(CONCATENATE("Tab_",Tab_Calculs[[#This Row],[Colonne1]])),Tab_Calculs[[#This Row],[index_date_livraison]]-1,6)*(MAX(Tab_Calculs[[#This Row],[Début periode livraison]],Tab_Calculs[[#This Row],[Début mois]])-Tab_Calculs[[#This Row],[Début mois]])</f>
        <v>#VALUE!</v>
      </c>
      <c r="L1311" s="94">
        <f ca="1">INDEX(INDIRECT(CONCATENATE("Tab_",Tab_Calculs[[#This Row],[Colonne1]])),Tab_Calculs[[#This Row],[index_date_livraison]],6)*(1+MIN(Tab_Calculs[[#This Row],[Date_livraison]],Tab_Calculs[[#This Row],[fin mois]])-MAX(Tab_Calculs[[#This Row],[Début mois]],Tab_Calculs[[#This Row],[Début periode livraison]]))</f>
        <v>0</v>
      </c>
      <c r="M1311" s="94" t="e">
        <f ca="1">INDEX(INDIRECT(CONCATENATE("Tab_",Tab_Calculs[[#This Row],[Colonne1]])),Tab_Calculs[[#This Row],[index_date_livraison]]+1,6)*(Tab_Calculs[[#This Row],[fin mois]]-MIN(Tab_Calculs[[#This Row],[fin mois]],Tab_Calculs[[#This Row],[Date_livraison]]))</f>
        <v>#VALUE!</v>
      </c>
      <c r="N1311" s="231" t="str">
        <f ca="1">IFERROR(Tab_Calculs[[#This Row],[Ratio_jour_après_livr]]+Tab_Calculs[[#This Row],[Ratio_jour_avant_livr]]+Tab_Calculs[[#This Row],[ratio_avant_debut]],"")</f>
        <v/>
      </c>
      <c r="O1311" t="e">
        <f ca="1">INDEX(INDIRECT(CONCATENATE("Tab_",Tab_Calculs[[#This Row],[Colonne1]])),Tab_Calculs[[#This Row],[index_date_livraison]]-1,7)*(MAX(Tab_Calculs[[#This Row],[Début periode livraison]],Tab_Calculs[[#This Row],[Début mois]])-Tab_Calculs[[#This Row],[Début mois]])</f>
        <v>#VALUE!</v>
      </c>
      <c r="P1311">
        <f ca="1">INDEX(INDIRECT(CONCATENATE("Tab_",Tab_Calculs[[#This Row],[Colonne1]])),Tab_Calculs[[#This Row],[index_date_livraison]],7)*(1+MIN(Tab_Calculs[[#This Row],[Date_livraison]],Tab_Calculs[[#This Row],[fin mois]])-MAX(Tab_Calculs[[#This Row],[Début mois]],Tab_Calculs[[#This Row],[Début periode livraison]]))</f>
        <v>0</v>
      </c>
      <c r="Q1311" t="e">
        <f ca="1">INDEX(INDIRECT(CONCATENATE("Tab_",Tab_Calculs[[#This Row],[Colonne1]])),Tab_Calculs[[#This Row],[index_date_livraison]]+1,7)*(Tab_Calculs[[#This Row],[fin mois]]-MIN(Tab_Calculs[[#This Row],[fin mois]],Tab_Calculs[[#This Row],[Date_livraison]]))</f>
        <v>#VALUE!</v>
      </c>
      <c r="R1311" t="e">
        <f ca="1">Tab_Calculs[[#This Row],[Ratio_Cout_après_livr]]+Tab_Calculs[[#This Row],[Ratio_Cout_avant_livr]]+Tab_Calculs[[#This Row],[Ratio_Cout_avant_debut]]</f>
        <v>#VALUE!</v>
      </c>
      <c r="S1311" t="str">
        <f ca="1">IFERROR(N1311*VLOOKUP(Tab_Calculs[[#This Row],[Colonne1]],Controle_des_données!$B$7:$G$14,6,FALSE),"")</f>
        <v/>
      </c>
      <c r="T1311" t="str">
        <f ca="1">IF(Tab_Calculs[[#This Row],[Combustible ]]="Electricité (kWh)",Tab_Calculs[[#This Row],[Conso_mois_kWh]]*2.3,Tab_Calculs[[#This Row],[Conso_mois_kWh]])</f>
        <v/>
      </c>
      <c r="U1311" t="str">
        <f ca="1">IFERROR(N1311*VLOOKUP(Tab_Calculs[[#This Row],[Colonne1]],Controle_des_données!$B$7:$H$14,7,FALSE),"")</f>
        <v/>
      </c>
      <c r="V1311">
        <f ca="1">IFERROR(Tab_Calculs[[#This Row],[Cout_mois]]/Tab_Calculs[[#This Row],[Conso_mois_kWh]],0)</f>
        <v>0</v>
      </c>
      <c r="W1311" t="str">
        <f>T(VLOOKUP(Tab_Calculs[[#This Row],[Compteur]],Site!$B$33:$G$40,3,FALSE))</f>
        <v/>
      </c>
      <c r="X1311" t="str">
        <f>T(VLOOKUP(Tab_Calculs[[#This Row],[Compteur]],Site!$B$33:$G$40,4,FALSE))</f>
        <v/>
      </c>
      <c r="Y1311" t="str">
        <f>T(VLOOKUP(Tab_Calculs[[#This Row],[Compteur]],Site!$B$33:$G$40,5,FALSE))</f>
        <v/>
      </c>
      <c r="Z1311" t="str">
        <f>T(VLOOKUP(Tab_Calculs[[#This Row],[Compteur]],Site!$B$33:$G$40,6,FALSE))</f>
        <v/>
      </c>
      <c r="AA1311">
        <f>IFERROR(GETPIVOTDATA("DJU(chauffagiste)",BDD_DJU!$P$13,"annee",Tab_Calculs[[#This Row],[ANNEE]],"mois_numero",Tab_Calculs[[#This Row],[MOIS]]),0)</f>
        <v>18.8</v>
      </c>
    </row>
    <row r="1312" spans="1:27" x14ac:dyDescent="0.25">
      <c r="A1312" s="3">
        <f>DATE(Tab_Calculs[[#This Row],[ANNEE]],Tab_Calculs[[#This Row],[MOIS]],1)</f>
        <v>44774</v>
      </c>
      <c r="B1312" s="3">
        <f>EDATE(Tab_Calculs[[#This Row],[Début mois]],1)-1</f>
        <v>44804</v>
      </c>
      <c r="C1312">
        <f t="shared" si="45"/>
        <v>8</v>
      </c>
      <c r="D1312">
        <f t="shared" si="46"/>
        <v>2022</v>
      </c>
      <c r="E1312" t="s">
        <v>86</v>
      </c>
      <c r="F1312" t="str">
        <f>SUBSTITUTE(Tab_Calculs[[#This Row],[Compteur]]," ","_")</f>
        <v>Compteur_7</v>
      </c>
      <c r="G1312" t="str">
        <f>T(INDEX(Site!$B$33:$G$40, MATCH(Tab_Calculs[[#This Row],[Compteur]], Site!$B$33:$B$40,0),2))</f>
        <v/>
      </c>
      <c r="H1312" s="3">
        <f t="array" aca="1" ref="H1312" ca="1">MIN(IF(INDIRECT(CONCATENATE(Tab_Calculs[[#This Row],[Colonne1]],"!$B$2:$B$243"))&gt;=Calculs_Consos!$A1312,INDIRECT(CONCATENATE(Tab_Calculs[[#This Row],[Colonne1]],"!$B$2:$B$243"))))</f>
        <v>0</v>
      </c>
      <c r="I1312" s="3">
        <f ca="1">INDEX(INDIRECT(CONCATENATE("Tab_",Tab_Calculs[[#This Row],[Colonne1]])),Tab_Calculs[[#This Row],[index_date_livraison]],1)</f>
        <v>0</v>
      </c>
      <c r="J1312">
        <f ca="1">MATCH(Tab_Calculs[[#This Row],[Date_livraison]],INDIRECT(CONCATENATE("Tab_",Tab_Calculs[[#This Row],[Colonne1]],"[Fin de période]")),0)</f>
        <v>1</v>
      </c>
      <c r="K1312" t="e">
        <f ca="1">INDEX(INDIRECT(CONCATENATE("Tab_",Tab_Calculs[[#This Row],[Colonne1]])),Tab_Calculs[[#This Row],[index_date_livraison]]-1,6)*(MAX(Tab_Calculs[[#This Row],[Début periode livraison]],Tab_Calculs[[#This Row],[Début mois]])-Tab_Calculs[[#This Row],[Début mois]])</f>
        <v>#VALUE!</v>
      </c>
      <c r="L1312" s="94">
        <f ca="1">INDEX(INDIRECT(CONCATENATE("Tab_",Tab_Calculs[[#This Row],[Colonne1]])),Tab_Calculs[[#This Row],[index_date_livraison]],6)*(1+MIN(Tab_Calculs[[#This Row],[Date_livraison]],Tab_Calculs[[#This Row],[fin mois]])-MAX(Tab_Calculs[[#This Row],[Début mois]],Tab_Calculs[[#This Row],[Début periode livraison]]))</f>
        <v>0</v>
      </c>
      <c r="M1312" s="94" t="e">
        <f ca="1">INDEX(INDIRECT(CONCATENATE("Tab_",Tab_Calculs[[#This Row],[Colonne1]])),Tab_Calculs[[#This Row],[index_date_livraison]]+1,6)*(Tab_Calculs[[#This Row],[fin mois]]-MIN(Tab_Calculs[[#This Row],[fin mois]],Tab_Calculs[[#This Row],[Date_livraison]]))</f>
        <v>#VALUE!</v>
      </c>
      <c r="N1312" s="231" t="str">
        <f ca="1">IFERROR(Tab_Calculs[[#This Row],[Ratio_jour_après_livr]]+Tab_Calculs[[#This Row],[Ratio_jour_avant_livr]]+Tab_Calculs[[#This Row],[ratio_avant_debut]],"")</f>
        <v/>
      </c>
      <c r="O1312" t="e">
        <f ca="1">INDEX(INDIRECT(CONCATENATE("Tab_",Tab_Calculs[[#This Row],[Colonne1]])),Tab_Calculs[[#This Row],[index_date_livraison]]-1,7)*(MAX(Tab_Calculs[[#This Row],[Début periode livraison]],Tab_Calculs[[#This Row],[Début mois]])-Tab_Calculs[[#This Row],[Début mois]])</f>
        <v>#VALUE!</v>
      </c>
      <c r="P1312">
        <f ca="1">INDEX(INDIRECT(CONCATENATE("Tab_",Tab_Calculs[[#This Row],[Colonne1]])),Tab_Calculs[[#This Row],[index_date_livraison]],7)*(1+MIN(Tab_Calculs[[#This Row],[Date_livraison]],Tab_Calculs[[#This Row],[fin mois]])-MAX(Tab_Calculs[[#This Row],[Début mois]],Tab_Calculs[[#This Row],[Début periode livraison]]))</f>
        <v>0</v>
      </c>
      <c r="Q1312" t="e">
        <f ca="1">INDEX(INDIRECT(CONCATENATE("Tab_",Tab_Calculs[[#This Row],[Colonne1]])),Tab_Calculs[[#This Row],[index_date_livraison]]+1,7)*(Tab_Calculs[[#This Row],[fin mois]]-MIN(Tab_Calculs[[#This Row],[fin mois]],Tab_Calculs[[#This Row],[Date_livraison]]))</f>
        <v>#VALUE!</v>
      </c>
      <c r="R1312" t="e">
        <f ca="1">Tab_Calculs[[#This Row],[Ratio_Cout_après_livr]]+Tab_Calculs[[#This Row],[Ratio_Cout_avant_livr]]+Tab_Calculs[[#This Row],[Ratio_Cout_avant_debut]]</f>
        <v>#VALUE!</v>
      </c>
      <c r="S1312" t="str">
        <f ca="1">IFERROR(N1312*VLOOKUP(Tab_Calculs[[#This Row],[Colonne1]],Controle_des_données!$B$7:$G$14,6,FALSE),"")</f>
        <v/>
      </c>
      <c r="T1312" t="str">
        <f ca="1">IF(Tab_Calculs[[#This Row],[Combustible ]]="Electricité (kWh)",Tab_Calculs[[#This Row],[Conso_mois_kWh]]*2.3,Tab_Calculs[[#This Row],[Conso_mois_kWh]])</f>
        <v/>
      </c>
      <c r="U1312" t="str">
        <f ca="1">IFERROR(N1312*VLOOKUP(Tab_Calculs[[#This Row],[Colonne1]],Controle_des_données!$B$7:$H$14,7,FALSE),"")</f>
        <v/>
      </c>
      <c r="V1312">
        <f ca="1">IFERROR(Tab_Calculs[[#This Row],[Cout_mois]]/Tab_Calculs[[#This Row],[Conso_mois_kWh]],0)</f>
        <v>0</v>
      </c>
      <c r="W1312" t="str">
        <f>T(VLOOKUP(Tab_Calculs[[#This Row],[Compteur]],Site!$B$33:$G$40,3,FALSE))</f>
        <v/>
      </c>
      <c r="X1312" t="str">
        <f>T(VLOOKUP(Tab_Calculs[[#This Row],[Compteur]],Site!$B$33:$G$40,4,FALSE))</f>
        <v/>
      </c>
      <c r="Y1312" t="str">
        <f>T(VLOOKUP(Tab_Calculs[[#This Row],[Compteur]],Site!$B$33:$G$40,5,FALSE))</f>
        <v/>
      </c>
      <c r="Z1312" t="str">
        <f>T(VLOOKUP(Tab_Calculs[[#This Row],[Compteur]],Site!$B$33:$G$40,6,FALSE))</f>
        <v/>
      </c>
      <c r="AA1312">
        <f>IFERROR(GETPIVOTDATA("DJU(chauffagiste)",BDD_DJU!$P$13,"annee",Tab_Calculs[[#This Row],[ANNEE]],"mois_numero",Tab_Calculs[[#This Row],[MOIS]]),0)</f>
        <v>10.7</v>
      </c>
    </row>
    <row r="1313" spans="1:27" x14ac:dyDescent="0.25">
      <c r="A1313" s="3">
        <f>DATE(Tab_Calculs[[#This Row],[ANNEE]],Tab_Calculs[[#This Row],[MOIS]],1)</f>
        <v>44805</v>
      </c>
      <c r="B1313" s="3">
        <f>EDATE(Tab_Calculs[[#This Row],[Début mois]],1)-1</f>
        <v>44834</v>
      </c>
      <c r="C1313">
        <f t="shared" si="45"/>
        <v>9</v>
      </c>
      <c r="D1313">
        <f t="shared" si="46"/>
        <v>2022</v>
      </c>
      <c r="E1313" t="s">
        <v>86</v>
      </c>
      <c r="F1313" t="str">
        <f>SUBSTITUTE(Tab_Calculs[[#This Row],[Compteur]]," ","_")</f>
        <v>Compteur_7</v>
      </c>
      <c r="G1313" t="str">
        <f>T(INDEX(Site!$B$33:$G$40, MATCH(Tab_Calculs[[#This Row],[Compteur]], Site!$B$33:$B$40,0),2))</f>
        <v/>
      </c>
      <c r="H1313" s="3">
        <f t="array" aca="1" ref="H1313" ca="1">MIN(IF(INDIRECT(CONCATENATE(Tab_Calculs[[#This Row],[Colonne1]],"!$B$2:$B$243"))&gt;=Calculs_Consos!$A1313,INDIRECT(CONCATENATE(Tab_Calculs[[#This Row],[Colonne1]],"!$B$2:$B$243"))))</f>
        <v>0</v>
      </c>
      <c r="I1313" s="3">
        <f ca="1">INDEX(INDIRECT(CONCATENATE("Tab_",Tab_Calculs[[#This Row],[Colonne1]])),Tab_Calculs[[#This Row],[index_date_livraison]],1)</f>
        <v>0</v>
      </c>
      <c r="J1313">
        <f ca="1">MATCH(Tab_Calculs[[#This Row],[Date_livraison]],INDIRECT(CONCATENATE("Tab_",Tab_Calculs[[#This Row],[Colonne1]],"[Fin de période]")),0)</f>
        <v>1</v>
      </c>
      <c r="K1313" t="e">
        <f ca="1">INDEX(INDIRECT(CONCATENATE("Tab_",Tab_Calculs[[#This Row],[Colonne1]])),Tab_Calculs[[#This Row],[index_date_livraison]]-1,6)*(MAX(Tab_Calculs[[#This Row],[Début periode livraison]],Tab_Calculs[[#This Row],[Début mois]])-Tab_Calculs[[#This Row],[Début mois]])</f>
        <v>#VALUE!</v>
      </c>
      <c r="L1313" s="94">
        <f ca="1">INDEX(INDIRECT(CONCATENATE("Tab_",Tab_Calculs[[#This Row],[Colonne1]])),Tab_Calculs[[#This Row],[index_date_livraison]],6)*(1+MIN(Tab_Calculs[[#This Row],[Date_livraison]],Tab_Calculs[[#This Row],[fin mois]])-MAX(Tab_Calculs[[#This Row],[Début mois]],Tab_Calculs[[#This Row],[Début periode livraison]]))</f>
        <v>0</v>
      </c>
      <c r="M1313" s="94" t="e">
        <f ca="1">INDEX(INDIRECT(CONCATENATE("Tab_",Tab_Calculs[[#This Row],[Colonne1]])),Tab_Calculs[[#This Row],[index_date_livraison]]+1,6)*(Tab_Calculs[[#This Row],[fin mois]]-MIN(Tab_Calculs[[#This Row],[fin mois]],Tab_Calculs[[#This Row],[Date_livraison]]))</f>
        <v>#VALUE!</v>
      </c>
      <c r="N1313" s="231" t="str">
        <f ca="1">IFERROR(Tab_Calculs[[#This Row],[Ratio_jour_après_livr]]+Tab_Calculs[[#This Row],[Ratio_jour_avant_livr]]+Tab_Calculs[[#This Row],[ratio_avant_debut]],"")</f>
        <v/>
      </c>
      <c r="O1313" t="e">
        <f ca="1">INDEX(INDIRECT(CONCATENATE("Tab_",Tab_Calculs[[#This Row],[Colonne1]])),Tab_Calculs[[#This Row],[index_date_livraison]]-1,7)*(MAX(Tab_Calculs[[#This Row],[Début periode livraison]],Tab_Calculs[[#This Row],[Début mois]])-Tab_Calculs[[#This Row],[Début mois]])</f>
        <v>#VALUE!</v>
      </c>
      <c r="P1313">
        <f ca="1">INDEX(INDIRECT(CONCATENATE("Tab_",Tab_Calculs[[#This Row],[Colonne1]])),Tab_Calculs[[#This Row],[index_date_livraison]],7)*(1+MIN(Tab_Calculs[[#This Row],[Date_livraison]],Tab_Calculs[[#This Row],[fin mois]])-MAX(Tab_Calculs[[#This Row],[Début mois]],Tab_Calculs[[#This Row],[Début periode livraison]]))</f>
        <v>0</v>
      </c>
      <c r="Q1313" t="e">
        <f ca="1">INDEX(INDIRECT(CONCATENATE("Tab_",Tab_Calculs[[#This Row],[Colonne1]])),Tab_Calculs[[#This Row],[index_date_livraison]]+1,7)*(Tab_Calculs[[#This Row],[fin mois]]-MIN(Tab_Calculs[[#This Row],[fin mois]],Tab_Calculs[[#This Row],[Date_livraison]]))</f>
        <v>#VALUE!</v>
      </c>
      <c r="R1313" t="e">
        <f ca="1">Tab_Calculs[[#This Row],[Ratio_Cout_après_livr]]+Tab_Calculs[[#This Row],[Ratio_Cout_avant_livr]]+Tab_Calculs[[#This Row],[Ratio_Cout_avant_debut]]</f>
        <v>#VALUE!</v>
      </c>
      <c r="S1313" t="str">
        <f ca="1">IFERROR(N1313*VLOOKUP(Tab_Calculs[[#This Row],[Colonne1]],Controle_des_données!$B$7:$G$14,6,FALSE),"")</f>
        <v/>
      </c>
      <c r="T1313" t="str">
        <f ca="1">IF(Tab_Calculs[[#This Row],[Combustible ]]="Electricité (kWh)",Tab_Calculs[[#This Row],[Conso_mois_kWh]]*2.3,Tab_Calculs[[#This Row],[Conso_mois_kWh]])</f>
        <v/>
      </c>
      <c r="U1313" t="str">
        <f ca="1">IFERROR(N1313*VLOOKUP(Tab_Calculs[[#This Row],[Colonne1]],Controle_des_données!$B$7:$H$14,7,FALSE),"")</f>
        <v/>
      </c>
      <c r="V1313">
        <f ca="1">IFERROR(Tab_Calculs[[#This Row],[Cout_mois]]/Tab_Calculs[[#This Row],[Conso_mois_kWh]],0)</f>
        <v>0</v>
      </c>
      <c r="W1313" t="str">
        <f>T(VLOOKUP(Tab_Calculs[[#This Row],[Compteur]],Site!$B$33:$G$40,3,FALSE))</f>
        <v/>
      </c>
      <c r="X1313" t="str">
        <f>T(VLOOKUP(Tab_Calculs[[#This Row],[Compteur]],Site!$B$33:$G$40,4,FALSE))</f>
        <v/>
      </c>
      <c r="Y1313" t="str">
        <f>T(VLOOKUP(Tab_Calculs[[#This Row],[Compteur]],Site!$B$33:$G$40,5,FALSE))</f>
        <v/>
      </c>
      <c r="Z1313" t="str">
        <f>T(VLOOKUP(Tab_Calculs[[#This Row],[Compteur]],Site!$B$33:$G$40,6,FALSE))</f>
        <v/>
      </c>
      <c r="AA1313">
        <f>IFERROR(GETPIVOTDATA("DJU(chauffagiste)",BDD_DJU!$P$13,"annee",Tab_Calculs[[#This Row],[ANNEE]],"mois_numero",Tab_Calculs[[#This Row],[MOIS]]),0)</f>
        <v>74.7</v>
      </c>
    </row>
    <row r="1314" spans="1:27" x14ac:dyDescent="0.25">
      <c r="A1314" s="3">
        <f>DATE(Tab_Calculs[[#This Row],[ANNEE]],Tab_Calculs[[#This Row],[MOIS]],1)</f>
        <v>44835</v>
      </c>
      <c r="B1314" s="3">
        <f>EDATE(Tab_Calculs[[#This Row],[Début mois]],1)-1</f>
        <v>44865</v>
      </c>
      <c r="C1314">
        <f t="shared" si="45"/>
        <v>10</v>
      </c>
      <c r="D1314">
        <f t="shared" si="46"/>
        <v>2022</v>
      </c>
      <c r="E1314" t="s">
        <v>86</v>
      </c>
      <c r="F1314" t="str">
        <f>SUBSTITUTE(Tab_Calculs[[#This Row],[Compteur]]," ","_")</f>
        <v>Compteur_7</v>
      </c>
      <c r="G1314" t="str">
        <f>T(INDEX(Site!$B$33:$G$40, MATCH(Tab_Calculs[[#This Row],[Compteur]], Site!$B$33:$B$40,0),2))</f>
        <v/>
      </c>
      <c r="H1314" s="3">
        <f t="array" aca="1" ref="H1314" ca="1">MIN(IF(INDIRECT(CONCATENATE(Tab_Calculs[[#This Row],[Colonne1]],"!$B$2:$B$243"))&gt;=Calculs_Consos!$A1314,INDIRECT(CONCATENATE(Tab_Calculs[[#This Row],[Colonne1]],"!$B$2:$B$243"))))</f>
        <v>0</v>
      </c>
      <c r="I1314" s="3">
        <f ca="1">INDEX(INDIRECT(CONCATENATE("Tab_",Tab_Calculs[[#This Row],[Colonne1]])),Tab_Calculs[[#This Row],[index_date_livraison]],1)</f>
        <v>0</v>
      </c>
      <c r="J1314">
        <f ca="1">MATCH(Tab_Calculs[[#This Row],[Date_livraison]],INDIRECT(CONCATENATE("Tab_",Tab_Calculs[[#This Row],[Colonne1]],"[Fin de période]")),0)</f>
        <v>1</v>
      </c>
      <c r="K1314" t="e">
        <f ca="1">INDEX(INDIRECT(CONCATENATE("Tab_",Tab_Calculs[[#This Row],[Colonne1]])),Tab_Calculs[[#This Row],[index_date_livraison]]-1,6)*(MAX(Tab_Calculs[[#This Row],[Début periode livraison]],Tab_Calculs[[#This Row],[Début mois]])-Tab_Calculs[[#This Row],[Début mois]])</f>
        <v>#VALUE!</v>
      </c>
      <c r="L1314" s="94">
        <f ca="1">INDEX(INDIRECT(CONCATENATE("Tab_",Tab_Calculs[[#This Row],[Colonne1]])),Tab_Calculs[[#This Row],[index_date_livraison]],6)*(1+MIN(Tab_Calculs[[#This Row],[Date_livraison]],Tab_Calculs[[#This Row],[fin mois]])-MAX(Tab_Calculs[[#This Row],[Début mois]],Tab_Calculs[[#This Row],[Début periode livraison]]))</f>
        <v>0</v>
      </c>
      <c r="M1314" s="94" t="e">
        <f ca="1">INDEX(INDIRECT(CONCATENATE("Tab_",Tab_Calculs[[#This Row],[Colonne1]])),Tab_Calculs[[#This Row],[index_date_livraison]]+1,6)*(Tab_Calculs[[#This Row],[fin mois]]-MIN(Tab_Calculs[[#This Row],[fin mois]],Tab_Calculs[[#This Row],[Date_livraison]]))</f>
        <v>#VALUE!</v>
      </c>
      <c r="N1314" s="231" t="str">
        <f ca="1">IFERROR(Tab_Calculs[[#This Row],[Ratio_jour_après_livr]]+Tab_Calculs[[#This Row],[Ratio_jour_avant_livr]]+Tab_Calculs[[#This Row],[ratio_avant_debut]],"")</f>
        <v/>
      </c>
      <c r="O1314" t="e">
        <f ca="1">INDEX(INDIRECT(CONCATENATE("Tab_",Tab_Calculs[[#This Row],[Colonne1]])),Tab_Calculs[[#This Row],[index_date_livraison]]-1,7)*(MAX(Tab_Calculs[[#This Row],[Début periode livraison]],Tab_Calculs[[#This Row],[Début mois]])-Tab_Calculs[[#This Row],[Début mois]])</f>
        <v>#VALUE!</v>
      </c>
      <c r="P1314">
        <f ca="1">INDEX(INDIRECT(CONCATENATE("Tab_",Tab_Calculs[[#This Row],[Colonne1]])),Tab_Calculs[[#This Row],[index_date_livraison]],7)*(1+MIN(Tab_Calculs[[#This Row],[Date_livraison]],Tab_Calculs[[#This Row],[fin mois]])-MAX(Tab_Calculs[[#This Row],[Début mois]],Tab_Calculs[[#This Row],[Début periode livraison]]))</f>
        <v>0</v>
      </c>
      <c r="Q1314" t="e">
        <f ca="1">INDEX(INDIRECT(CONCATENATE("Tab_",Tab_Calculs[[#This Row],[Colonne1]])),Tab_Calculs[[#This Row],[index_date_livraison]]+1,7)*(Tab_Calculs[[#This Row],[fin mois]]-MIN(Tab_Calculs[[#This Row],[fin mois]],Tab_Calculs[[#This Row],[Date_livraison]]))</f>
        <v>#VALUE!</v>
      </c>
      <c r="R1314" t="e">
        <f ca="1">Tab_Calculs[[#This Row],[Ratio_Cout_après_livr]]+Tab_Calculs[[#This Row],[Ratio_Cout_avant_livr]]+Tab_Calculs[[#This Row],[Ratio_Cout_avant_debut]]</f>
        <v>#VALUE!</v>
      </c>
      <c r="S1314" t="str">
        <f ca="1">IFERROR(N1314*VLOOKUP(Tab_Calculs[[#This Row],[Colonne1]],Controle_des_données!$B$7:$G$14,6,FALSE),"")</f>
        <v/>
      </c>
      <c r="T1314" t="str">
        <f ca="1">IF(Tab_Calculs[[#This Row],[Combustible ]]="Electricité (kWh)",Tab_Calculs[[#This Row],[Conso_mois_kWh]]*2.3,Tab_Calculs[[#This Row],[Conso_mois_kWh]])</f>
        <v/>
      </c>
      <c r="U1314" t="str">
        <f ca="1">IFERROR(N1314*VLOOKUP(Tab_Calculs[[#This Row],[Colonne1]],Controle_des_données!$B$7:$H$14,7,FALSE),"")</f>
        <v/>
      </c>
      <c r="V1314">
        <f ca="1">IFERROR(Tab_Calculs[[#This Row],[Cout_mois]]/Tab_Calculs[[#This Row],[Conso_mois_kWh]],0)</f>
        <v>0</v>
      </c>
      <c r="W1314" t="str">
        <f>T(VLOOKUP(Tab_Calculs[[#This Row],[Compteur]],Site!$B$33:$G$40,3,FALSE))</f>
        <v/>
      </c>
      <c r="X1314" t="str">
        <f>T(VLOOKUP(Tab_Calculs[[#This Row],[Compteur]],Site!$B$33:$G$40,4,FALSE))</f>
        <v/>
      </c>
      <c r="Y1314" t="str">
        <f>T(VLOOKUP(Tab_Calculs[[#This Row],[Compteur]],Site!$B$33:$G$40,5,FALSE))</f>
        <v/>
      </c>
      <c r="Z1314" t="str">
        <f>T(VLOOKUP(Tab_Calculs[[#This Row],[Compteur]],Site!$B$33:$G$40,6,FALSE))</f>
        <v/>
      </c>
      <c r="AA1314">
        <f>IFERROR(GETPIVOTDATA("DJU(chauffagiste)",BDD_DJU!$P$13,"annee",Tab_Calculs[[#This Row],[ANNEE]],"mois_numero",Tab_Calculs[[#This Row],[MOIS]]),0)</f>
        <v>73</v>
      </c>
    </row>
    <row r="1315" spans="1:27" x14ac:dyDescent="0.25">
      <c r="A1315" s="3">
        <f>DATE(Tab_Calculs[[#This Row],[ANNEE]],Tab_Calculs[[#This Row],[MOIS]],1)</f>
        <v>44866</v>
      </c>
      <c r="B1315" s="3">
        <f>EDATE(Tab_Calculs[[#This Row],[Début mois]],1)-1</f>
        <v>44895</v>
      </c>
      <c r="C1315">
        <f t="shared" si="45"/>
        <v>11</v>
      </c>
      <c r="D1315">
        <f t="shared" si="46"/>
        <v>2022</v>
      </c>
      <c r="E1315" t="s">
        <v>86</v>
      </c>
      <c r="F1315" t="str">
        <f>SUBSTITUTE(Tab_Calculs[[#This Row],[Compteur]]," ","_")</f>
        <v>Compteur_7</v>
      </c>
      <c r="G1315" t="str">
        <f>T(INDEX(Site!$B$33:$G$40, MATCH(Tab_Calculs[[#This Row],[Compteur]], Site!$B$33:$B$40,0),2))</f>
        <v/>
      </c>
      <c r="H1315" s="3">
        <f t="array" aca="1" ref="H1315" ca="1">MIN(IF(INDIRECT(CONCATENATE(Tab_Calculs[[#This Row],[Colonne1]],"!$B$2:$B$243"))&gt;=Calculs_Consos!$A1315,INDIRECT(CONCATENATE(Tab_Calculs[[#This Row],[Colonne1]],"!$B$2:$B$243"))))</f>
        <v>0</v>
      </c>
      <c r="I1315" s="3">
        <f ca="1">INDEX(INDIRECT(CONCATENATE("Tab_",Tab_Calculs[[#This Row],[Colonne1]])),Tab_Calculs[[#This Row],[index_date_livraison]],1)</f>
        <v>0</v>
      </c>
      <c r="J1315">
        <f ca="1">MATCH(Tab_Calculs[[#This Row],[Date_livraison]],INDIRECT(CONCATENATE("Tab_",Tab_Calculs[[#This Row],[Colonne1]],"[Fin de période]")),0)</f>
        <v>1</v>
      </c>
      <c r="K1315" t="e">
        <f ca="1">INDEX(INDIRECT(CONCATENATE("Tab_",Tab_Calculs[[#This Row],[Colonne1]])),Tab_Calculs[[#This Row],[index_date_livraison]]-1,6)*(MAX(Tab_Calculs[[#This Row],[Début periode livraison]],Tab_Calculs[[#This Row],[Début mois]])-Tab_Calculs[[#This Row],[Début mois]])</f>
        <v>#VALUE!</v>
      </c>
      <c r="L1315" s="94">
        <f ca="1">INDEX(INDIRECT(CONCATENATE("Tab_",Tab_Calculs[[#This Row],[Colonne1]])),Tab_Calculs[[#This Row],[index_date_livraison]],6)*(1+MIN(Tab_Calculs[[#This Row],[Date_livraison]],Tab_Calculs[[#This Row],[fin mois]])-MAX(Tab_Calculs[[#This Row],[Début mois]],Tab_Calculs[[#This Row],[Début periode livraison]]))</f>
        <v>0</v>
      </c>
      <c r="M1315" s="94" t="e">
        <f ca="1">INDEX(INDIRECT(CONCATENATE("Tab_",Tab_Calculs[[#This Row],[Colonne1]])),Tab_Calculs[[#This Row],[index_date_livraison]]+1,6)*(Tab_Calculs[[#This Row],[fin mois]]-MIN(Tab_Calculs[[#This Row],[fin mois]],Tab_Calculs[[#This Row],[Date_livraison]]))</f>
        <v>#VALUE!</v>
      </c>
      <c r="N1315" s="231" t="str">
        <f ca="1">IFERROR(Tab_Calculs[[#This Row],[Ratio_jour_après_livr]]+Tab_Calculs[[#This Row],[Ratio_jour_avant_livr]]+Tab_Calculs[[#This Row],[ratio_avant_debut]],"")</f>
        <v/>
      </c>
      <c r="O1315" t="e">
        <f ca="1">INDEX(INDIRECT(CONCATENATE("Tab_",Tab_Calculs[[#This Row],[Colonne1]])),Tab_Calculs[[#This Row],[index_date_livraison]]-1,7)*(MAX(Tab_Calculs[[#This Row],[Début periode livraison]],Tab_Calculs[[#This Row],[Début mois]])-Tab_Calculs[[#This Row],[Début mois]])</f>
        <v>#VALUE!</v>
      </c>
      <c r="P1315">
        <f ca="1">INDEX(INDIRECT(CONCATENATE("Tab_",Tab_Calculs[[#This Row],[Colonne1]])),Tab_Calculs[[#This Row],[index_date_livraison]],7)*(1+MIN(Tab_Calculs[[#This Row],[Date_livraison]],Tab_Calculs[[#This Row],[fin mois]])-MAX(Tab_Calculs[[#This Row],[Début mois]],Tab_Calculs[[#This Row],[Début periode livraison]]))</f>
        <v>0</v>
      </c>
      <c r="Q1315" t="e">
        <f ca="1">INDEX(INDIRECT(CONCATENATE("Tab_",Tab_Calculs[[#This Row],[Colonne1]])),Tab_Calculs[[#This Row],[index_date_livraison]]+1,7)*(Tab_Calculs[[#This Row],[fin mois]]-MIN(Tab_Calculs[[#This Row],[fin mois]],Tab_Calculs[[#This Row],[Date_livraison]]))</f>
        <v>#VALUE!</v>
      </c>
      <c r="R1315" t="e">
        <f ca="1">Tab_Calculs[[#This Row],[Ratio_Cout_après_livr]]+Tab_Calculs[[#This Row],[Ratio_Cout_avant_livr]]+Tab_Calculs[[#This Row],[Ratio_Cout_avant_debut]]</f>
        <v>#VALUE!</v>
      </c>
      <c r="S1315" t="str">
        <f ca="1">IFERROR(N1315*VLOOKUP(Tab_Calculs[[#This Row],[Colonne1]],Controle_des_données!$B$7:$G$14,6,FALSE),"")</f>
        <v/>
      </c>
      <c r="T1315" t="str">
        <f ca="1">IF(Tab_Calculs[[#This Row],[Combustible ]]="Electricité (kWh)",Tab_Calculs[[#This Row],[Conso_mois_kWh]]*2.3,Tab_Calculs[[#This Row],[Conso_mois_kWh]])</f>
        <v/>
      </c>
      <c r="U1315" t="str">
        <f ca="1">IFERROR(N1315*VLOOKUP(Tab_Calculs[[#This Row],[Colonne1]],Controle_des_données!$B$7:$H$14,7,FALSE),"")</f>
        <v/>
      </c>
      <c r="V1315">
        <f ca="1">IFERROR(Tab_Calculs[[#This Row],[Cout_mois]]/Tab_Calculs[[#This Row],[Conso_mois_kWh]],0)</f>
        <v>0</v>
      </c>
      <c r="W1315" t="str">
        <f>T(VLOOKUP(Tab_Calculs[[#This Row],[Compteur]],Site!$B$33:$G$40,3,FALSE))</f>
        <v/>
      </c>
      <c r="X1315" t="str">
        <f>T(VLOOKUP(Tab_Calculs[[#This Row],[Compteur]],Site!$B$33:$G$40,4,FALSE))</f>
        <v/>
      </c>
      <c r="Y1315" t="str">
        <f>T(VLOOKUP(Tab_Calculs[[#This Row],[Compteur]],Site!$B$33:$G$40,5,FALSE))</f>
        <v/>
      </c>
      <c r="Z1315" t="str">
        <f>T(VLOOKUP(Tab_Calculs[[#This Row],[Compteur]],Site!$B$33:$G$40,6,FALSE))</f>
        <v/>
      </c>
      <c r="AA1315">
        <f>IFERROR(GETPIVOTDATA("DJU(chauffagiste)",BDD_DJU!$P$13,"annee",Tab_Calculs[[#This Row],[ANNEE]],"mois_numero",Tab_Calculs[[#This Row],[MOIS]]),0)</f>
        <v>227.5</v>
      </c>
    </row>
    <row r="1316" spans="1:27" x14ac:dyDescent="0.25">
      <c r="A1316" s="3">
        <f>DATE(Tab_Calculs[[#This Row],[ANNEE]],Tab_Calculs[[#This Row],[MOIS]],1)</f>
        <v>44896</v>
      </c>
      <c r="B1316" s="3">
        <f>EDATE(Tab_Calculs[[#This Row],[Début mois]],1)-1</f>
        <v>44926</v>
      </c>
      <c r="C1316">
        <f t="shared" si="45"/>
        <v>12</v>
      </c>
      <c r="D1316">
        <f t="shared" si="46"/>
        <v>2022</v>
      </c>
      <c r="E1316" t="s">
        <v>86</v>
      </c>
      <c r="F1316" t="str">
        <f>SUBSTITUTE(Tab_Calculs[[#This Row],[Compteur]]," ","_")</f>
        <v>Compteur_7</v>
      </c>
      <c r="G1316" t="str">
        <f>T(INDEX(Site!$B$33:$G$40, MATCH(Tab_Calculs[[#This Row],[Compteur]], Site!$B$33:$B$40,0),2))</f>
        <v/>
      </c>
      <c r="H1316" s="3">
        <f t="array" aca="1" ref="H1316" ca="1">MIN(IF(INDIRECT(CONCATENATE(Tab_Calculs[[#This Row],[Colonne1]],"!$B$2:$B$243"))&gt;=Calculs_Consos!$A1316,INDIRECT(CONCATENATE(Tab_Calculs[[#This Row],[Colonne1]],"!$B$2:$B$243"))))</f>
        <v>0</v>
      </c>
      <c r="I1316" s="3">
        <f ca="1">INDEX(INDIRECT(CONCATENATE("Tab_",Tab_Calculs[[#This Row],[Colonne1]])),Tab_Calculs[[#This Row],[index_date_livraison]],1)</f>
        <v>0</v>
      </c>
      <c r="J1316">
        <f ca="1">MATCH(Tab_Calculs[[#This Row],[Date_livraison]],INDIRECT(CONCATENATE("Tab_",Tab_Calculs[[#This Row],[Colonne1]],"[Fin de période]")),0)</f>
        <v>1</v>
      </c>
      <c r="K1316" t="e">
        <f ca="1">INDEX(INDIRECT(CONCATENATE("Tab_",Tab_Calculs[[#This Row],[Colonne1]])),Tab_Calculs[[#This Row],[index_date_livraison]]-1,6)*(MAX(Tab_Calculs[[#This Row],[Début periode livraison]],Tab_Calculs[[#This Row],[Début mois]])-Tab_Calculs[[#This Row],[Début mois]])</f>
        <v>#VALUE!</v>
      </c>
      <c r="L1316" s="94">
        <f ca="1">INDEX(INDIRECT(CONCATENATE("Tab_",Tab_Calculs[[#This Row],[Colonne1]])),Tab_Calculs[[#This Row],[index_date_livraison]],6)*(1+MIN(Tab_Calculs[[#This Row],[Date_livraison]],Tab_Calculs[[#This Row],[fin mois]])-MAX(Tab_Calculs[[#This Row],[Début mois]],Tab_Calculs[[#This Row],[Début periode livraison]]))</f>
        <v>0</v>
      </c>
      <c r="M1316" s="94" t="e">
        <f ca="1">INDEX(INDIRECT(CONCATENATE("Tab_",Tab_Calculs[[#This Row],[Colonne1]])),Tab_Calculs[[#This Row],[index_date_livraison]]+1,6)*(Tab_Calculs[[#This Row],[fin mois]]-MIN(Tab_Calculs[[#This Row],[fin mois]],Tab_Calculs[[#This Row],[Date_livraison]]))</f>
        <v>#VALUE!</v>
      </c>
      <c r="N1316" s="231" t="str">
        <f ca="1">IFERROR(Tab_Calculs[[#This Row],[Ratio_jour_après_livr]]+Tab_Calculs[[#This Row],[Ratio_jour_avant_livr]]+Tab_Calculs[[#This Row],[ratio_avant_debut]],"")</f>
        <v/>
      </c>
      <c r="O1316" t="e">
        <f ca="1">INDEX(INDIRECT(CONCATENATE("Tab_",Tab_Calculs[[#This Row],[Colonne1]])),Tab_Calculs[[#This Row],[index_date_livraison]]-1,7)*(MAX(Tab_Calculs[[#This Row],[Début periode livraison]],Tab_Calculs[[#This Row],[Début mois]])-Tab_Calculs[[#This Row],[Début mois]])</f>
        <v>#VALUE!</v>
      </c>
      <c r="P1316">
        <f ca="1">INDEX(INDIRECT(CONCATENATE("Tab_",Tab_Calculs[[#This Row],[Colonne1]])),Tab_Calculs[[#This Row],[index_date_livraison]],7)*(1+MIN(Tab_Calculs[[#This Row],[Date_livraison]],Tab_Calculs[[#This Row],[fin mois]])-MAX(Tab_Calculs[[#This Row],[Début mois]],Tab_Calculs[[#This Row],[Début periode livraison]]))</f>
        <v>0</v>
      </c>
      <c r="Q1316" t="e">
        <f ca="1">INDEX(INDIRECT(CONCATENATE("Tab_",Tab_Calculs[[#This Row],[Colonne1]])),Tab_Calculs[[#This Row],[index_date_livraison]]+1,7)*(Tab_Calculs[[#This Row],[fin mois]]-MIN(Tab_Calculs[[#This Row],[fin mois]],Tab_Calculs[[#This Row],[Date_livraison]]))</f>
        <v>#VALUE!</v>
      </c>
      <c r="R1316" t="e">
        <f ca="1">Tab_Calculs[[#This Row],[Ratio_Cout_après_livr]]+Tab_Calculs[[#This Row],[Ratio_Cout_avant_livr]]+Tab_Calculs[[#This Row],[Ratio_Cout_avant_debut]]</f>
        <v>#VALUE!</v>
      </c>
      <c r="S1316" t="str">
        <f ca="1">IFERROR(N1316*VLOOKUP(Tab_Calculs[[#This Row],[Colonne1]],Controle_des_données!$B$7:$G$14,6,FALSE),"")</f>
        <v/>
      </c>
      <c r="T1316" t="str">
        <f ca="1">IF(Tab_Calculs[[#This Row],[Combustible ]]="Electricité (kWh)",Tab_Calculs[[#This Row],[Conso_mois_kWh]]*2.3,Tab_Calculs[[#This Row],[Conso_mois_kWh]])</f>
        <v/>
      </c>
      <c r="U1316" t="str">
        <f ca="1">IFERROR(N1316*VLOOKUP(Tab_Calculs[[#This Row],[Colonne1]],Controle_des_données!$B$7:$H$14,7,FALSE),"")</f>
        <v/>
      </c>
      <c r="V1316">
        <f ca="1">IFERROR(Tab_Calculs[[#This Row],[Cout_mois]]/Tab_Calculs[[#This Row],[Conso_mois_kWh]],0)</f>
        <v>0</v>
      </c>
      <c r="W1316" t="str">
        <f>T(VLOOKUP(Tab_Calculs[[#This Row],[Compteur]],Site!$B$33:$G$40,3,FALSE))</f>
        <v/>
      </c>
      <c r="X1316" t="str">
        <f>T(VLOOKUP(Tab_Calculs[[#This Row],[Compteur]],Site!$B$33:$G$40,4,FALSE))</f>
        <v/>
      </c>
      <c r="Y1316" t="str">
        <f>T(VLOOKUP(Tab_Calculs[[#This Row],[Compteur]],Site!$B$33:$G$40,5,FALSE))</f>
        <v/>
      </c>
      <c r="Z1316" t="str">
        <f>T(VLOOKUP(Tab_Calculs[[#This Row],[Compteur]],Site!$B$33:$G$40,6,FALSE))</f>
        <v/>
      </c>
      <c r="AA1316">
        <f>IFERROR(GETPIVOTDATA("DJU(chauffagiste)",BDD_DJU!$P$13,"annee",Tab_Calculs[[#This Row],[ANNEE]],"mois_numero",Tab_Calculs[[#This Row],[MOIS]]),0)</f>
        <v>380.8</v>
      </c>
    </row>
    <row r="1317" spans="1:27" x14ac:dyDescent="0.25">
      <c r="A1317" s="3">
        <f>DATE(Tab_Calculs[[#This Row],[ANNEE]],Tab_Calculs[[#This Row],[MOIS]],1)</f>
        <v>44927</v>
      </c>
      <c r="B1317" s="3">
        <f>EDATE(Tab_Calculs[[#This Row],[Début mois]],1)-1</f>
        <v>44957</v>
      </c>
      <c r="C1317">
        <f t="shared" si="45"/>
        <v>1</v>
      </c>
      <c r="D1317">
        <f t="shared" si="46"/>
        <v>2023</v>
      </c>
      <c r="E1317" t="s">
        <v>86</v>
      </c>
      <c r="F1317" t="str">
        <f>SUBSTITUTE(Tab_Calculs[[#This Row],[Compteur]]," ","_")</f>
        <v>Compteur_7</v>
      </c>
      <c r="G1317" t="str">
        <f>T(INDEX(Site!$B$33:$G$40, MATCH(Tab_Calculs[[#This Row],[Compteur]], Site!$B$33:$B$40,0),2))</f>
        <v/>
      </c>
      <c r="H1317" s="3">
        <f t="array" aca="1" ref="H1317" ca="1">MIN(IF(INDIRECT(CONCATENATE(Tab_Calculs[[#This Row],[Colonne1]],"!$B$2:$B$243"))&gt;=Calculs_Consos!$A1317,INDIRECT(CONCATENATE(Tab_Calculs[[#This Row],[Colonne1]],"!$B$2:$B$243"))))</f>
        <v>0</v>
      </c>
      <c r="I1317" s="3">
        <f ca="1">INDEX(INDIRECT(CONCATENATE("Tab_",Tab_Calculs[[#This Row],[Colonne1]])),Tab_Calculs[[#This Row],[index_date_livraison]],1)</f>
        <v>0</v>
      </c>
      <c r="J1317">
        <f ca="1">MATCH(Tab_Calculs[[#This Row],[Date_livraison]],INDIRECT(CONCATENATE("Tab_",Tab_Calculs[[#This Row],[Colonne1]],"[Fin de période]")),0)</f>
        <v>1</v>
      </c>
      <c r="K1317" t="e">
        <f ca="1">INDEX(INDIRECT(CONCATENATE("Tab_",Tab_Calculs[[#This Row],[Colonne1]])),Tab_Calculs[[#This Row],[index_date_livraison]]-1,6)*(MAX(Tab_Calculs[[#This Row],[Début periode livraison]],Tab_Calculs[[#This Row],[Début mois]])-Tab_Calculs[[#This Row],[Début mois]])</f>
        <v>#VALUE!</v>
      </c>
      <c r="L1317" s="94">
        <f ca="1">INDEX(INDIRECT(CONCATENATE("Tab_",Tab_Calculs[[#This Row],[Colonne1]])),Tab_Calculs[[#This Row],[index_date_livraison]],6)*(1+MIN(Tab_Calculs[[#This Row],[Date_livraison]],Tab_Calculs[[#This Row],[fin mois]])-MAX(Tab_Calculs[[#This Row],[Début mois]],Tab_Calculs[[#This Row],[Début periode livraison]]))</f>
        <v>0</v>
      </c>
      <c r="M1317" s="94" t="e">
        <f ca="1">INDEX(INDIRECT(CONCATENATE("Tab_",Tab_Calculs[[#This Row],[Colonne1]])),Tab_Calculs[[#This Row],[index_date_livraison]]+1,6)*(Tab_Calculs[[#This Row],[fin mois]]-MIN(Tab_Calculs[[#This Row],[fin mois]],Tab_Calculs[[#This Row],[Date_livraison]]))</f>
        <v>#VALUE!</v>
      </c>
      <c r="N1317" s="231" t="str">
        <f ca="1">IFERROR(Tab_Calculs[[#This Row],[Ratio_jour_après_livr]]+Tab_Calculs[[#This Row],[Ratio_jour_avant_livr]]+Tab_Calculs[[#This Row],[ratio_avant_debut]],"")</f>
        <v/>
      </c>
      <c r="O1317" t="e">
        <f ca="1">INDEX(INDIRECT(CONCATENATE("Tab_",Tab_Calculs[[#This Row],[Colonne1]])),Tab_Calculs[[#This Row],[index_date_livraison]]-1,7)*(MAX(Tab_Calculs[[#This Row],[Début periode livraison]],Tab_Calculs[[#This Row],[Début mois]])-Tab_Calculs[[#This Row],[Début mois]])</f>
        <v>#VALUE!</v>
      </c>
      <c r="P1317">
        <f ca="1">INDEX(INDIRECT(CONCATENATE("Tab_",Tab_Calculs[[#This Row],[Colonne1]])),Tab_Calculs[[#This Row],[index_date_livraison]],7)*(1+MIN(Tab_Calculs[[#This Row],[Date_livraison]],Tab_Calculs[[#This Row],[fin mois]])-MAX(Tab_Calculs[[#This Row],[Début mois]],Tab_Calculs[[#This Row],[Début periode livraison]]))</f>
        <v>0</v>
      </c>
      <c r="Q1317" t="e">
        <f ca="1">INDEX(INDIRECT(CONCATENATE("Tab_",Tab_Calculs[[#This Row],[Colonne1]])),Tab_Calculs[[#This Row],[index_date_livraison]]+1,7)*(Tab_Calculs[[#This Row],[fin mois]]-MIN(Tab_Calculs[[#This Row],[fin mois]],Tab_Calculs[[#This Row],[Date_livraison]]))</f>
        <v>#VALUE!</v>
      </c>
      <c r="R1317" t="e">
        <f ca="1">Tab_Calculs[[#This Row],[Ratio_Cout_après_livr]]+Tab_Calculs[[#This Row],[Ratio_Cout_avant_livr]]+Tab_Calculs[[#This Row],[Ratio_Cout_avant_debut]]</f>
        <v>#VALUE!</v>
      </c>
      <c r="S1317" t="str">
        <f ca="1">IFERROR(N1317*VLOOKUP(Tab_Calculs[[#This Row],[Colonne1]],Controle_des_données!$B$7:$G$14,6,FALSE),"")</f>
        <v/>
      </c>
      <c r="T1317" t="str">
        <f ca="1">IF(Tab_Calculs[[#This Row],[Combustible ]]="Electricité (kWh)",Tab_Calculs[[#This Row],[Conso_mois_kWh]]*2.3,Tab_Calculs[[#This Row],[Conso_mois_kWh]])</f>
        <v/>
      </c>
      <c r="U1317" t="str">
        <f ca="1">IFERROR(N1317*VLOOKUP(Tab_Calculs[[#This Row],[Colonne1]],Controle_des_données!$B$7:$H$14,7,FALSE),"")</f>
        <v/>
      </c>
      <c r="V1317">
        <f ca="1">IFERROR(Tab_Calculs[[#This Row],[Cout_mois]]/Tab_Calculs[[#This Row],[Conso_mois_kWh]],0)</f>
        <v>0</v>
      </c>
      <c r="W1317" t="str">
        <f>T(VLOOKUP(Tab_Calculs[[#This Row],[Compteur]],Site!$B$33:$G$40,3,FALSE))</f>
        <v/>
      </c>
      <c r="X1317" t="str">
        <f>T(VLOOKUP(Tab_Calculs[[#This Row],[Compteur]],Site!$B$33:$G$40,4,FALSE))</f>
        <v/>
      </c>
      <c r="Y1317" t="str">
        <f>T(VLOOKUP(Tab_Calculs[[#This Row],[Compteur]],Site!$B$33:$G$40,5,FALSE))</f>
        <v/>
      </c>
      <c r="Z1317" t="str">
        <f>T(VLOOKUP(Tab_Calculs[[#This Row],[Compteur]],Site!$B$33:$G$40,6,FALSE))</f>
        <v/>
      </c>
      <c r="AA1317">
        <f>IFERROR(GETPIVOTDATA("DJU(chauffagiste)",BDD_DJU!$P$13,"annee",Tab_Calculs[[#This Row],[ANNEE]],"mois_numero",Tab_Calculs[[#This Row],[MOIS]]),0)</f>
        <v>356.1</v>
      </c>
    </row>
    <row r="1318" spans="1:27" x14ac:dyDescent="0.25">
      <c r="A1318" s="3">
        <f>DATE(Tab_Calculs[[#This Row],[ANNEE]],Tab_Calculs[[#This Row],[MOIS]],1)</f>
        <v>44958</v>
      </c>
      <c r="B1318" s="3">
        <f>EDATE(Tab_Calculs[[#This Row],[Début mois]],1)-1</f>
        <v>44985</v>
      </c>
      <c r="C1318">
        <f t="shared" si="45"/>
        <v>2</v>
      </c>
      <c r="D1318">
        <f>D1306+1</f>
        <v>2023</v>
      </c>
      <c r="E1318" t="s">
        <v>86</v>
      </c>
      <c r="F1318" t="str">
        <f>SUBSTITUTE(Tab_Calculs[[#This Row],[Compteur]]," ","_")</f>
        <v>Compteur_7</v>
      </c>
      <c r="G1318" t="str">
        <f>T(INDEX(Site!$B$33:$G$40, MATCH(Tab_Calculs[[#This Row],[Compteur]], Site!$B$33:$B$40,0),2))</f>
        <v/>
      </c>
      <c r="H1318" s="3">
        <f t="array" aca="1" ref="H1318" ca="1">MIN(IF(INDIRECT(CONCATENATE(Tab_Calculs[[#This Row],[Colonne1]],"!$B$2:$B$243"))&gt;=Calculs_Consos!$A1318,INDIRECT(CONCATENATE(Tab_Calculs[[#This Row],[Colonne1]],"!$B$2:$B$243"))))</f>
        <v>0</v>
      </c>
      <c r="I1318" s="3">
        <f ca="1">INDEX(INDIRECT(CONCATENATE("Tab_",Tab_Calculs[[#This Row],[Colonne1]])),Tab_Calculs[[#This Row],[index_date_livraison]],1)</f>
        <v>0</v>
      </c>
      <c r="J1318">
        <f ca="1">MATCH(Tab_Calculs[[#This Row],[Date_livraison]],INDIRECT(CONCATENATE("Tab_",Tab_Calculs[[#This Row],[Colonne1]],"[Fin de période]")),0)</f>
        <v>1</v>
      </c>
      <c r="K1318" t="e">
        <f ca="1">INDEX(INDIRECT(CONCATENATE("Tab_",Tab_Calculs[[#This Row],[Colonne1]])),Tab_Calculs[[#This Row],[index_date_livraison]]-1,6)*(MAX(Tab_Calculs[[#This Row],[Début periode livraison]],Tab_Calculs[[#This Row],[Début mois]])-Tab_Calculs[[#This Row],[Début mois]])</f>
        <v>#VALUE!</v>
      </c>
      <c r="L1318" s="94">
        <f ca="1">INDEX(INDIRECT(CONCATENATE("Tab_",Tab_Calculs[[#This Row],[Colonne1]])),Tab_Calculs[[#This Row],[index_date_livraison]],6)*(1+MIN(Tab_Calculs[[#This Row],[Date_livraison]],Tab_Calculs[[#This Row],[fin mois]])-MAX(Tab_Calculs[[#This Row],[Début mois]],Tab_Calculs[[#This Row],[Début periode livraison]]))</f>
        <v>0</v>
      </c>
      <c r="M1318" s="94" t="e">
        <f ca="1">INDEX(INDIRECT(CONCATENATE("Tab_",Tab_Calculs[[#This Row],[Colonne1]])),Tab_Calculs[[#This Row],[index_date_livraison]]+1,6)*(Tab_Calculs[[#This Row],[fin mois]]-MIN(Tab_Calculs[[#This Row],[fin mois]],Tab_Calculs[[#This Row],[Date_livraison]]))</f>
        <v>#VALUE!</v>
      </c>
      <c r="N1318" s="231" t="str">
        <f ca="1">IFERROR(Tab_Calculs[[#This Row],[Ratio_jour_après_livr]]+Tab_Calculs[[#This Row],[Ratio_jour_avant_livr]]+Tab_Calculs[[#This Row],[ratio_avant_debut]],"")</f>
        <v/>
      </c>
      <c r="O1318" t="e">
        <f ca="1">INDEX(INDIRECT(CONCATENATE("Tab_",Tab_Calculs[[#This Row],[Colonne1]])),Tab_Calculs[[#This Row],[index_date_livraison]]-1,7)*(MAX(Tab_Calculs[[#This Row],[Début periode livraison]],Tab_Calculs[[#This Row],[Début mois]])-Tab_Calculs[[#This Row],[Début mois]])</f>
        <v>#VALUE!</v>
      </c>
      <c r="P1318">
        <f ca="1">INDEX(INDIRECT(CONCATENATE("Tab_",Tab_Calculs[[#This Row],[Colonne1]])),Tab_Calculs[[#This Row],[index_date_livraison]],7)*(1+MIN(Tab_Calculs[[#This Row],[Date_livraison]],Tab_Calculs[[#This Row],[fin mois]])-MAX(Tab_Calculs[[#This Row],[Début mois]],Tab_Calculs[[#This Row],[Début periode livraison]]))</f>
        <v>0</v>
      </c>
      <c r="Q1318" t="e">
        <f ca="1">INDEX(INDIRECT(CONCATENATE("Tab_",Tab_Calculs[[#This Row],[Colonne1]])),Tab_Calculs[[#This Row],[index_date_livraison]]+1,7)*(Tab_Calculs[[#This Row],[fin mois]]-MIN(Tab_Calculs[[#This Row],[fin mois]],Tab_Calculs[[#This Row],[Date_livraison]]))</f>
        <v>#VALUE!</v>
      </c>
      <c r="R1318" t="e">
        <f ca="1">Tab_Calculs[[#This Row],[Ratio_Cout_après_livr]]+Tab_Calculs[[#This Row],[Ratio_Cout_avant_livr]]+Tab_Calculs[[#This Row],[Ratio_Cout_avant_debut]]</f>
        <v>#VALUE!</v>
      </c>
      <c r="S1318" t="str">
        <f ca="1">IFERROR(N1318*VLOOKUP(Tab_Calculs[[#This Row],[Colonne1]],Controle_des_données!$B$7:$G$14,6,FALSE),"")</f>
        <v/>
      </c>
      <c r="T1318" t="str">
        <f ca="1">IF(Tab_Calculs[[#This Row],[Combustible ]]="Electricité (kWh)",Tab_Calculs[[#This Row],[Conso_mois_kWh]]*2.3,Tab_Calculs[[#This Row],[Conso_mois_kWh]])</f>
        <v/>
      </c>
      <c r="U1318" t="str">
        <f ca="1">IFERROR(N1318*VLOOKUP(Tab_Calculs[[#This Row],[Colonne1]],Controle_des_données!$B$7:$H$14,7,FALSE),"")</f>
        <v/>
      </c>
      <c r="V1318">
        <f ca="1">IFERROR(Tab_Calculs[[#This Row],[Cout_mois]]/Tab_Calculs[[#This Row],[Conso_mois_kWh]],0)</f>
        <v>0</v>
      </c>
      <c r="W1318" t="str">
        <f>T(VLOOKUP(Tab_Calculs[[#This Row],[Compteur]],Site!$B$33:$G$40,3,FALSE))</f>
        <v/>
      </c>
      <c r="X1318" t="str">
        <f>T(VLOOKUP(Tab_Calculs[[#This Row],[Compteur]],Site!$B$33:$G$40,4,FALSE))</f>
        <v/>
      </c>
      <c r="Y1318" t="str">
        <f>T(VLOOKUP(Tab_Calculs[[#This Row],[Compteur]],Site!$B$33:$G$40,5,FALSE))</f>
        <v/>
      </c>
      <c r="Z1318" t="str">
        <f>T(VLOOKUP(Tab_Calculs[[#This Row],[Compteur]],Site!$B$33:$G$40,6,FALSE))</f>
        <v/>
      </c>
      <c r="AA1318">
        <f>IFERROR(GETPIVOTDATA("DJU(chauffagiste)",BDD_DJU!$P$13,"annee",Tab_Calculs[[#This Row],[ANNEE]],"mois_numero",Tab_Calculs[[#This Row],[MOIS]]),0)</f>
        <v>314.10000000000002</v>
      </c>
    </row>
    <row r="1319" spans="1:27" x14ac:dyDescent="0.25">
      <c r="A1319" s="3">
        <f>DATE(Tab_Calculs[[#This Row],[ANNEE]],Tab_Calculs[[#This Row],[MOIS]],1)</f>
        <v>44986</v>
      </c>
      <c r="B1319" s="3">
        <f>EDATE(Tab_Calculs[[#This Row],[Début mois]],1)-1</f>
        <v>45016</v>
      </c>
      <c r="C1319">
        <f t="shared" si="45"/>
        <v>3</v>
      </c>
      <c r="D1319">
        <f t="shared" ref="D1319:D1339" si="47">D1307+1</f>
        <v>2023</v>
      </c>
      <c r="E1319" t="s">
        <v>86</v>
      </c>
      <c r="F1319" t="str">
        <f>SUBSTITUTE(Tab_Calculs[[#This Row],[Compteur]]," ","_")</f>
        <v>Compteur_7</v>
      </c>
      <c r="G1319" t="str">
        <f>T(INDEX(Site!$B$33:$G$40, MATCH(Tab_Calculs[[#This Row],[Compteur]], Site!$B$33:$B$40,0),2))</f>
        <v/>
      </c>
      <c r="H1319" s="3">
        <f t="array" aca="1" ref="H1319" ca="1">MIN(IF(INDIRECT(CONCATENATE(Tab_Calculs[[#This Row],[Colonne1]],"!$B$2:$B$243"))&gt;=Calculs_Consos!$A1319,INDIRECT(CONCATENATE(Tab_Calculs[[#This Row],[Colonne1]],"!$B$2:$B$243"))))</f>
        <v>0</v>
      </c>
      <c r="I1319" s="3">
        <f ca="1">INDEX(INDIRECT(CONCATENATE("Tab_",Tab_Calculs[[#This Row],[Colonne1]])),Tab_Calculs[[#This Row],[index_date_livraison]],1)</f>
        <v>0</v>
      </c>
      <c r="J1319">
        <f ca="1">MATCH(Tab_Calculs[[#This Row],[Date_livraison]],INDIRECT(CONCATENATE("Tab_",Tab_Calculs[[#This Row],[Colonne1]],"[Fin de période]")),0)</f>
        <v>1</v>
      </c>
      <c r="K1319" t="e">
        <f ca="1">INDEX(INDIRECT(CONCATENATE("Tab_",Tab_Calculs[[#This Row],[Colonne1]])),Tab_Calculs[[#This Row],[index_date_livraison]]-1,6)*(MAX(Tab_Calculs[[#This Row],[Début periode livraison]],Tab_Calculs[[#This Row],[Début mois]])-Tab_Calculs[[#This Row],[Début mois]])</f>
        <v>#VALUE!</v>
      </c>
      <c r="L1319" s="94">
        <f ca="1">INDEX(INDIRECT(CONCATENATE("Tab_",Tab_Calculs[[#This Row],[Colonne1]])),Tab_Calculs[[#This Row],[index_date_livraison]],6)*(1+MIN(Tab_Calculs[[#This Row],[Date_livraison]],Tab_Calculs[[#This Row],[fin mois]])-MAX(Tab_Calculs[[#This Row],[Début mois]],Tab_Calculs[[#This Row],[Début periode livraison]]))</f>
        <v>0</v>
      </c>
      <c r="M1319" s="94" t="e">
        <f ca="1">INDEX(INDIRECT(CONCATENATE("Tab_",Tab_Calculs[[#This Row],[Colonne1]])),Tab_Calculs[[#This Row],[index_date_livraison]]+1,6)*(Tab_Calculs[[#This Row],[fin mois]]-MIN(Tab_Calculs[[#This Row],[fin mois]],Tab_Calculs[[#This Row],[Date_livraison]]))</f>
        <v>#VALUE!</v>
      </c>
      <c r="N1319" s="231" t="str">
        <f ca="1">IFERROR(Tab_Calculs[[#This Row],[Ratio_jour_après_livr]]+Tab_Calculs[[#This Row],[Ratio_jour_avant_livr]]+Tab_Calculs[[#This Row],[ratio_avant_debut]],"")</f>
        <v/>
      </c>
      <c r="O1319" t="e">
        <f ca="1">INDEX(INDIRECT(CONCATENATE("Tab_",Tab_Calculs[[#This Row],[Colonne1]])),Tab_Calculs[[#This Row],[index_date_livraison]]-1,7)*(MAX(Tab_Calculs[[#This Row],[Début periode livraison]],Tab_Calculs[[#This Row],[Début mois]])-Tab_Calculs[[#This Row],[Début mois]])</f>
        <v>#VALUE!</v>
      </c>
      <c r="P1319">
        <f ca="1">INDEX(INDIRECT(CONCATENATE("Tab_",Tab_Calculs[[#This Row],[Colonne1]])),Tab_Calculs[[#This Row],[index_date_livraison]],7)*(1+MIN(Tab_Calculs[[#This Row],[Date_livraison]],Tab_Calculs[[#This Row],[fin mois]])-MAX(Tab_Calculs[[#This Row],[Début mois]],Tab_Calculs[[#This Row],[Début periode livraison]]))</f>
        <v>0</v>
      </c>
      <c r="Q1319" t="e">
        <f ca="1">INDEX(INDIRECT(CONCATENATE("Tab_",Tab_Calculs[[#This Row],[Colonne1]])),Tab_Calculs[[#This Row],[index_date_livraison]]+1,7)*(Tab_Calculs[[#This Row],[fin mois]]-MIN(Tab_Calculs[[#This Row],[fin mois]],Tab_Calculs[[#This Row],[Date_livraison]]))</f>
        <v>#VALUE!</v>
      </c>
      <c r="R1319" t="e">
        <f ca="1">Tab_Calculs[[#This Row],[Ratio_Cout_après_livr]]+Tab_Calculs[[#This Row],[Ratio_Cout_avant_livr]]+Tab_Calculs[[#This Row],[Ratio_Cout_avant_debut]]</f>
        <v>#VALUE!</v>
      </c>
      <c r="S1319" t="str">
        <f ca="1">IFERROR(N1319*VLOOKUP(Tab_Calculs[[#This Row],[Colonne1]],Controle_des_données!$B$7:$G$14,6,FALSE),"")</f>
        <v/>
      </c>
      <c r="T1319" t="str">
        <f ca="1">IF(Tab_Calculs[[#This Row],[Combustible ]]="Electricité (kWh)",Tab_Calculs[[#This Row],[Conso_mois_kWh]]*2.3,Tab_Calculs[[#This Row],[Conso_mois_kWh]])</f>
        <v/>
      </c>
      <c r="U1319" t="str">
        <f ca="1">IFERROR(N1319*VLOOKUP(Tab_Calculs[[#This Row],[Colonne1]],Controle_des_données!$B$7:$H$14,7,FALSE),"")</f>
        <v/>
      </c>
      <c r="V1319">
        <f ca="1">IFERROR(Tab_Calculs[[#This Row],[Cout_mois]]/Tab_Calculs[[#This Row],[Conso_mois_kWh]],0)</f>
        <v>0</v>
      </c>
      <c r="W1319" t="str">
        <f>T(VLOOKUP(Tab_Calculs[[#This Row],[Compteur]],Site!$B$33:$G$40,3,FALSE))</f>
        <v/>
      </c>
      <c r="X1319" t="str">
        <f>T(VLOOKUP(Tab_Calculs[[#This Row],[Compteur]],Site!$B$33:$G$40,4,FALSE))</f>
        <v/>
      </c>
      <c r="Y1319" t="str">
        <f>T(VLOOKUP(Tab_Calculs[[#This Row],[Compteur]],Site!$B$33:$G$40,5,FALSE))</f>
        <v/>
      </c>
      <c r="Z1319" t="str">
        <f>T(VLOOKUP(Tab_Calculs[[#This Row],[Compteur]],Site!$B$33:$G$40,6,FALSE))</f>
        <v/>
      </c>
      <c r="AA1319">
        <f>IFERROR(GETPIVOTDATA("DJU(chauffagiste)",BDD_DJU!$P$13,"annee",Tab_Calculs[[#This Row],[ANNEE]],"mois_numero",Tab_Calculs[[#This Row],[MOIS]]),0)</f>
        <v>251.3</v>
      </c>
    </row>
    <row r="1320" spans="1:27" x14ac:dyDescent="0.25">
      <c r="A1320" s="3">
        <f>DATE(Tab_Calculs[[#This Row],[ANNEE]],Tab_Calculs[[#This Row],[MOIS]],1)</f>
        <v>45017</v>
      </c>
      <c r="B1320" s="3">
        <f>EDATE(Tab_Calculs[[#This Row],[Début mois]],1)-1</f>
        <v>45046</v>
      </c>
      <c r="C1320">
        <f t="shared" si="45"/>
        <v>4</v>
      </c>
      <c r="D1320">
        <f t="shared" si="47"/>
        <v>2023</v>
      </c>
      <c r="E1320" t="s">
        <v>86</v>
      </c>
      <c r="F1320" t="str">
        <f>SUBSTITUTE(Tab_Calculs[[#This Row],[Compteur]]," ","_")</f>
        <v>Compteur_7</v>
      </c>
      <c r="G1320" t="str">
        <f>T(INDEX(Site!$B$33:$G$40, MATCH(Tab_Calculs[[#This Row],[Compteur]], Site!$B$33:$B$40,0),2))</f>
        <v/>
      </c>
      <c r="H1320" s="3">
        <f t="array" aca="1" ref="H1320" ca="1">MIN(IF(INDIRECT(CONCATENATE(Tab_Calculs[[#This Row],[Colonne1]],"!$B$2:$B$243"))&gt;=Calculs_Consos!$A1320,INDIRECT(CONCATENATE(Tab_Calculs[[#This Row],[Colonne1]],"!$B$2:$B$243"))))</f>
        <v>0</v>
      </c>
      <c r="I1320" s="3">
        <f ca="1">INDEX(INDIRECT(CONCATENATE("Tab_",Tab_Calculs[[#This Row],[Colonne1]])),Tab_Calculs[[#This Row],[index_date_livraison]],1)</f>
        <v>0</v>
      </c>
      <c r="J1320">
        <f ca="1">MATCH(Tab_Calculs[[#This Row],[Date_livraison]],INDIRECT(CONCATENATE("Tab_",Tab_Calculs[[#This Row],[Colonne1]],"[Fin de période]")),0)</f>
        <v>1</v>
      </c>
      <c r="K1320" t="e">
        <f ca="1">INDEX(INDIRECT(CONCATENATE("Tab_",Tab_Calculs[[#This Row],[Colonne1]])),Tab_Calculs[[#This Row],[index_date_livraison]]-1,6)*(MAX(Tab_Calculs[[#This Row],[Début periode livraison]],Tab_Calculs[[#This Row],[Début mois]])-Tab_Calculs[[#This Row],[Début mois]])</f>
        <v>#VALUE!</v>
      </c>
      <c r="L1320" s="94">
        <f ca="1">INDEX(INDIRECT(CONCATENATE("Tab_",Tab_Calculs[[#This Row],[Colonne1]])),Tab_Calculs[[#This Row],[index_date_livraison]],6)*(1+MIN(Tab_Calculs[[#This Row],[Date_livraison]],Tab_Calculs[[#This Row],[fin mois]])-MAX(Tab_Calculs[[#This Row],[Début mois]],Tab_Calculs[[#This Row],[Début periode livraison]]))</f>
        <v>0</v>
      </c>
      <c r="M1320" s="94" t="e">
        <f ca="1">INDEX(INDIRECT(CONCATENATE("Tab_",Tab_Calculs[[#This Row],[Colonne1]])),Tab_Calculs[[#This Row],[index_date_livraison]]+1,6)*(Tab_Calculs[[#This Row],[fin mois]]-MIN(Tab_Calculs[[#This Row],[fin mois]],Tab_Calculs[[#This Row],[Date_livraison]]))</f>
        <v>#VALUE!</v>
      </c>
      <c r="N1320" s="231" t="str">
        <f ca="1">IFERROR(Tab_Calculs[[#This Row],[Ratio_jour_après_livr]]+Tab_Calculs[[#This Row],[Ratio_jour_avant_livr]]+Tab_Calculs[[#This Row],[ratio_avant_debut]],"")</f>
        <v/>
      </c>
      <c r="O1320" t="e">
        <f ca="1">INDEX(INDIRECT(CONCATENATE("Tab_",Tab_Calculs[[#This Row],[Colonne1]])),Tab_Calculs[[#This Row],[index_date_livraison]]-1,7)*(MAX(Tab_Calculs[[#This Row],[Début periode livraison]],Tab_Calculs[[#This Row],[Début mois]])-Tab_Calculs[[#This Row],[Début mois]])</f>
        <v>#VALUE!</v>
      </c>
      <c r="P1320">
        <f ca="1">INDEX(INDIRECT(CONCATENATE("Tab_",Tab_Calculs[[#This Row],[Colonne1]])),Tab_Calculs[[#This Row],[index_date_livraison]],7)*(1+MIN(Tab_Calculs[[#This Row],[Date_livraison]],Tab_Calculs[[#This Row],[fin mois]])-MAX(Tab_Calculs[[#This Row],[Début mois]],Tab_Calculs[[#This Row],[Début periode livraison]]))</f>
        <v>0</v>
      </c>
      <c r="Q1320" t="e">
        <f ca="1">INDEX(INDIRECT(CONCATENATE("Tab_",Tab_Calculs[[#This Row],[Colonne1]])),Tab_Calculs[[#This Row],[index_date_livraison]]+1,7)*(Tab_Calculs[[#This Row],[fin mois]]-MIN(Tab_Calculs[[#This Row],[fin mois]],Tab_Calculs[[#This Row],[Date_livraison]]))</f>
        <v>#VALUE!</v>
      </c>
      <c r="R1320" t="e">
        <f ca="1">Tab_Calculs[[#This Row],[Ratio_Cout_après_livr]]+Tab_Calculs[[#This Row],[Ratio_Cout_avant_livr]]+Tab_Calculs[[#This Row],[Ratio_Cout_avant_debut]]</f>
        <v>#VALUE!</v>
      </c>
      <c r="S1320" t="str">
        <f ca="1">IFERROR(N1320*VLOOKUP(Tab_Calculs[[#This Row],[Colonne1]],Controle_des_données!$B$7:$G$14,6,FALSE),"")</f>
        <v/>
      </c>
      <c r="T1320" t="str">
        <f ca="1">IF(Tab_Calculs[[#This Row],[Combustible ]]="Electricité (kWh)",Tab_Calculs[[#This Row],[Conso_mois_kWh]]*2.3,Tab_Calculs[[#This Row],[Conso_mois_kWh]])</f>
        <v/>
      </c>
      <c r="U1320" t="str">
        <f ca="1">IFERROR(N1320*VLOOKUP(Tab_Calculs[[#This Row],[Colonne1]],Controle_des_données!$B$7:$H$14,7,FALSE),"")</f>
        <v/>
      </c>
      <c r="V1320">
        <f ca="1">IFERROR(Tab_Calculs[[#This Row],[Cout_mois]]/Tab_Calculs[[#This Row],[Conso_mois_kWh]],0)</f>
        <v>0</v>
      </c>
      <c r="W1320" t="str">
        <f>T(VLOOKUP(Tab_Calculs[[#This Row],[Compteur]],Site!$B$33:$G$40,3,FALSE))</f>
        <v/>
      </c>
      <c r="X1320" t="str">
        <f>T(VLOOKUP(Tab_Calculs[[#This Row],[Compteur]],Site!$B$33:$G$40,4,FALSE))</f>
        <v/>
      </c>
      <c r="Y1320" t="str">
        <f>T(VLOOKUP(Tab_Calculs[[#This Row],[Compteur]],Site!$B$33:$G$40,5,FALSE))</f>
        <v/>
      </c>
      <c r="Z1320" t="str">
        <f>T(VLOOKUP(Tab_Calculs[[#This Row],[Compteur]],Site!$B$33:$G$40,6,FALSE))</f>
        <v/>
      </c>
      <c r="AA1320">
        <f>IFERROR(GETPIVOTDATA("DJU(chauffagiste)",BDD_DJU!$P$13,"annee",Tab_Calculs[[#This Row],[ANNEE]],"mois_numero",Tab_Calculs[[#This Row],[MOIS]]),0)</f>
        <v>198</v>
      </c>
    </row>
    <row r="1321" spans="1:27" x14ac:dyDescent="0.25">
      <c r="A1321" s="3">
        <f>DATE(Tab_Calculs[[#This Row],[ANNEE]],Tab_Calculs[[#This Row],[MOIS]],1)</f>
        <v>45047</v>
      </c>
      <c r="B1321" s="3">
        <f>EDATE(Tab_Calculs[[#This Row],[Début mois]],1)-1</f>
        <v>45077</v>
      </c>
      <c r="C1321">
        <f t="shared" si="45"/>
        <v>5</v>
      </c>
      <c r="D1321">
        <f t="shared" si="47"/>
        <v>2023</v>
      </c>
      <c r="E1321" t="s">
        <v>86</v>
      </c>
      <c r="F1321" t="str">
        <f>SUBSTITUTE(Tab_Calculs[[#This Row],[Compteur]]," ","_")</f>
        <v>Compteur_7</v>
      </c>
      <c r="G1321" t="str">
        <f>T(INDEX(Site!$B$33:$G$40, MATCH(Tab_Calculs[[#This Row],[Compteur]], Site!$B$33:$B$40,0),2))</f>
        <v/>
      </c>
      <c r="H1321" s="3">
        <f t="array" aca="1" ref="H1321" ca="1">MIN(IF(INDIRECT(CONCATENATE(Tab_Calculs[[#This Row],[Colonne1]],"!$B$2:$B$243"))&gt;=Calculs_Consos!$A1321,INDIRECT(CONCATENATE(Tab_Calculs[[#This Row],[Colonne1]],"!$B$2:$B$243"))))</f>
        <v>0</v>
      </c>
      <c r="I1321" s="3">
        <f ca="1">INDEX(INDIRECT(CONCATENATE("Tab_",Tab_Calculs[[#This Row],[Colonne1]])),Tab_Calculs[[#This Row],[index_date_livraison]],1)</f>
        <v>0</v>
      </c>
      <c r="J1321">
        <f ca="1">MATCH(Tab_Calculs[[#This Row],[Date_livraison]],INDIRECT(CONCATENATE("Tab_",Tab_Calculs[[#This Row],[Colonne1]],"[Fin de période]")),0)</f>
        <v>1</v>
      </c>
      <c r="K1321" t="e">
        <f ca="1">INDEX(INDIRECT(CONCATENATE("Tab_",Tab_Calculs[[#This Row],[Colonne1]])),Tab_Calculs[[#This Row],[index_date_livraison]]-1,6)*(MAX(Tab_Calculs[[#This Row],[Début periode livraison]],Tab_Calculs[[#This Row],[Début mois]])-Tab_Calculs[[#This Row],[Début mois]])</f>
        <v>#VALUE!</v>
      </c>
      <c r="L1321" s="94">
        <f ca="1">INDEX(INDIRECT(CONCATENATE("Tab_",Tab_Calculs[[#This Row],[Colonne1]])),Tab_Calculs[[#This Row],[index_date_livraison]],6)*(1+MIN(Tab_Calculs[[#This Row],[Date_livraison]],Tab_Calculs[[#This Row],[fin mois]])-MAX(Tab_Calculs[[#This Row],[Début mois]],Tab_Calculs[[#This Row],[Début periode livraison]]))</f>
        <v>0</v>
      </c>
      <c r="M1321" s="94" t="e">
        <f ca="1">INDEX(INDIRECT(CONCATENATE("Tab_",Tab_Calculs[[#This Row],[Colonne1]])),Tab_Calculs[[#This Row],[index_date_livraison]]+1,6)*(Tab_Calculs[[#This Row],[fin mois]]-MIN(Tab_Calculs[[#This Row],[fin mois]],Tab_Calculs[[#This Row],[Date_livraison]]))</f>
        <v>#VALUE!</v>
      </c>
      <c r="N1321" s="231" t="str">
        <f ca="1">IFERROR(Tab_Calculs[[#This Row],[Ratio_jour_après_livr]]+Tab_Calculs[[#This Row],[Ratio_jour_avant_livr]]+Tab_Calculs[[#This Row],[ratio_avant_debut]],"")</f>
        <v/>
      </c>
      <c r="O1321" t="e">
        <f ca="1">INDEX(INDIRECT(CONCATENATE("Tab_",Tab_Calculs[[#This Row],[Colonne1]])),Tab_Calculs[[#This Row],[index_date_livraison]]-1,7)*(MAX(Tab_Calculs[[#This Row],[Début periode livraison]],Tab_Calculs[[#This Row],[Début mois]])-Tab_Calculs[[#This Row],[Début mois]])</f>
        <v>#VALUE!</v>
      </c>
      <c r="P1321">
        <f ca="1">INDEX(INDIRECT(CONCATENATE("Tab_",Tab_Calculs[[#This Row],[Colonne1]])),Tab_Calculs[[#This Row],[index_date_livraison]],7)*(1+MIN(Tab_Calculs[[#This Row],[Date_livraison]],Tab_Calculs[[#This Row],[fin mois]])-MAX(Tab_Calculs[[#This Row],[Début mois]],Tab_Calculs[[#This Row],[Début periode livraison]]))</f>
        <v>0</v>
      </c>
      <c r="Q1321" t="e">
        <f ca="1">INDEX(INDIRECT(CONCATENATE("Tab_",Tab_Calculs[[#This Row],[Colonne1]])),Tab_Calculs[[#This Row],[index_date_livraison]]+1,7)*(Tab_Calculs[[#This Row],[fin mois]]-MIN(Tab_Calculs[[#This Row],[fin mois]],Tab_Calculs[[#This Row],[Date_livraison]]))</f>
        <v>#VALUE!</v>
      </c>
      <c r="R1321" t="e">
        <f ca="1">Tab_Calculs[[#This Row],[Ratio_Cout_après_livr]]+Tab_Calculs[[#This Row],[Ratio_Cout_avant_livr]]+Tab_Calculs[[#This Row],[Ratio_Cout_avant_debut]]</f>
        <v>#VALUE!</v>
      </c>
      <c r="S1321" t="str">
        <f ca="1">IFERROR(N1321*VLOOKUP(Tab_Calculs[[#This Row],[Colonne1]],Controle_des_données!$B$7:$G$14,6,FALSE),"")</f>
        <v/>
      </c>
      <c r="T1321" t="str">
        <f ca="1">IF(Tab_Calculs[[#This Row],[Combustible ]]="Electricité (kWh)",Tab_Calculs[[#This Row],[Conso_mois_kWh]]*2.3,Tab_Calculs[[#This Row],[Conso_mois_kWh]])</f>
        <v/>
      </c>
      <c r="U1321" t="str">
        <f ca="1">IFERROR(N1321*VLOOKUP(Tab_Calculs[[#This Row],[Colonne1]],Controle_des_données!$B$7:$H$14,7,FALSE),"")</f>
        <v/>
      </c>
      <c r="V1321">
        <f ca="1">IFERROR(Tab_Calculs[[#This Row],[Cout_mois]]/Tab_Calculs[[#This Row],[Conso_mois_kWh]],0)</f>
        <v>0</v>
      </c>
      <c r="W1321" t="str">
        <f>T(VLOOKUP(Tab_Calculs[[#This Row],[Compteur]],Site!$B$33:$G$40,3,FALSE))</f>
        <v/>
      </c>
      <c r="X1321" t="str">
        <f>T(VLOOKUP(Tab_Calculs[[#This Row],[Compteur]],Site!$B$33:$G$40,4,FALSE))</f>
        <v/>
      </c>
      <c r="Y1321" t="str">
        <f>T(VLOOKUP(Tab_Calculs[[#This Row],[Compteur]],Site!$B$33:$G$40,5,FALSE))</f>
        <v/>
      </c>
      <c r="Z1321" t="str">
        <f>T(VLOOKUP(Tab_Calculs[[#This Row],[Compteur]],Site!$B$33:$G$40,6,FALSE))</f>
        <v/>
      </c>
      <c r="AA1321">
        <f>IFERROR(GETPIVOTDATA("DJU(chauffagiste)",BDD_DJU!$P$13,"annee",Tab_Calculs[[#This Row],[ANNEE]],"mois_numero",Tab_Calculs[[#This Row],[MOIS]]),0)</f>
        <v>86.4</v>
      </c>
    </row>
    <row r="1322" spans="1:27" x14ac:dyDescent="0.25">
      <c r="A1322" s="3">
        <f>DATE(Tab_Calculs[[#This Row],[ANNEE]],Tab_Calculs[[#This Row],[MOIS]],1)</f>
        <v>45078</v>
      </c>
      <c r="B1322" s="3">
        <f>EDATE(Tab_Calculs[[#This Row],[Début mois]],1)-1</f>
        <v>45107</v>
      </c>
      <c r="C1322">
        <f t="shared" si="45"/>
        <v>6</v>
      </c>
      <c r="D1322">
        <f t="shared" si="47"/>
        <v>2023</v>
      </c>
      <c r="E1322" t="s">
        <v>86</v>
      </c>
      <c r="F1322" t="str">
        <f>SUBSTITUTE(Tab_Calculs[[#This Row],[Compteur]]," ","_")</f>
        <v>Compteur_7</v>
      </c>
      <c r="G1322" t="str">
        <f>T(INDEX(Site!$B$33:$G$40, MATCH(Tab_Calculs[[#This Row],[Compteur]], Site!$B$33:$B$40,0),2))</f>
        <v/>
      </c>
      <c r="H1322" s="3">
        <f t="array" aca="1" ref="H1322" ca="1">MIN(IF(INDIRECT(CONCATENATE(Tab_Calculs[[#This Row],[Colonne1]],"!$B$2:$B$243"))&gt;=Calculs_Consos!$A1322,INDIRECT(CONCATENATE(Tab_Calculs[[#This Row],[Colonne1]],"!$B$2:$B$243"))))</f>
        <v>0</v>
      </c>
      <c r="I1322" s="3">
        <f ca="1">INDEX(INDIRECT(CONCATENATE("Tab_",Tab_Calculs[[#This Row],[Colonne1]])),Tab_Calculs[[#This Row],[index_date_livraison]],1)</f>
        <v>0</v>
      </c>
      <c r="J1322">
        <f ca="1">MATCH(Tab_Calculs[[#This Row],[Date_livraison]],INDIRECT(CONCATENATE("Tab_",Tab_Calculs[[#This Row],[Colonne1]],"[Fin de période]")),0)</f>
        <v>1</v>
      </c>
      <c r="K1322" t="e">
        <f ca="1">INDEX(INDIRECT(CONCATENATE("Tab_",Tab_Calculs[[#This Row],[Colonne1]])),Tab_Calculs[[#This Row],[index_date_livraison]]-1,6)*(MAX(Tab_Calculs[[#This Row],[Début periode livraison]],Tab_Calculs[[#This Row],[Début mois]])-Tab_Calculs[[#This Row],[Début mois]])</f>
        <v>#VALUE!</v>
      </c>
      <c r="L1322" s="94">
        <f ca="1">INDEX(INDIRECT(CONCATENATE("Tab_",Tab_Calculs[[#This Row],[Colonne1]])),Tab_Calculs[[#This Row],[index_date_livraison]],6)*(1+MIN(Tab_Calculs[[#This Row],[Date_livraison]],Tab_Calculs[[#This Row],[fin mois]])-MAX(Tab_Calculs[[#This Row],[Début mois]],Tab_Calculs[[#This Row],[Début periode livraison]]))</f>
        <v>0</v>
      </c>
      <c r="M1322" s="94" t="e">
        <f ca="1">INDEX(INDIRECT(CONCATENATE("Tab_",Tab_Calculs[[#This Row],[Colonne1]])),Tab_Calculs[[#This Row],[index_date_livraison]]+1,6)*(Tab_Calculs[[#This Row],[fin mois]]-MIN(Tab_Calculs[[#This Row],[fin mois]],Tab_Calculs[[#This Row],[Date_livraison]]))</f>
        <v>#VALUE!</v>
      </c>
      <c r="N1322" s="231" t="str">
        <f ca="1">IFERROR(Tab_Calculs[[#This Row],[Ratio_jour_après_livr]]+Tab_Calculs[[#This Row],[Ratio_jour_avant_livr]]+Tab_Calculs[[#This Row],[ratio_avant_debut]],"")</f>
        <v/>
      </c>
      <c r="O1322" t="e">
        <f ca="1">INDEX(INDIRECT(CONCATENATE("Tab_",Tab_Calculs[[#This Row],[Colonne1]])),Tab_Calculs[[#This Row],[index_date_livraison]]-1,7)*(MAX(Tab_Calculs[[#This Row],[Début periode livraison]],Tab_Calculs[[#This Row],[Début mois]])-Tab_Calculs[[#This Row],[Début mois]])</f>
        <v>#VALUE!</v>
      </c>
      <c r="P1322">
        <f ca="1">INDEX(INDIRECT(CONCATENATE("Tab_",Tab_Calculs[[#This Row],[Colonne1]])),Tab_Calculs[[#This Row],[index_date_livraison]],7)*(1+MIN(Tab_Calculs[[#This Row],[Date_livraison]],Tab_Calculs[[#This Row],[fin mois]])-MAX(Tab_Calculs[[#This Row],[Début mois]],Tab_Calculs[[#This Row],[Début periode livraison]]))</f>
        <v>0</v>
      </c>
      <c r="Q1322" t="e">
        <f ca="1">INDEX(INDIRECT(CONCATENATE("Tab_",Tab_Calculs[[#This Row],[Colonne1]])),Tab_Calculs[[#This Row],[index_date_livraison]]+1,7)*(Tab_Calculs[[#This Row],[fin mois]]-MIN(Tab_Calculs[[#This Row],[fin mois]],Tab_Calculs[[#This Row],[Date_livraison]]))</f>
        <v>#VALUE!</v>
      </c>
      <c r="R1322" t="e">
        <f ca="1">Tab_Calculs[[#This Row],[Ratio_Cout_après_livr]]+Tab_Calculs[[#This Row],[Ratio_Cout_avant_livr]]+Tab_Calculs[[#This Row],[Ratio_Cout_avant_debut]]</f>
        <v>#VALUE!</v>
      </c>
      <c r="S1322" t="str">
        <f ca="1">IFERROR(N1322*VLOOKUP(Tab_Calculs[[#This Row],[Colonne1]],Controle_des_données!$B$7:$G$14,6,FALSE),"")</f>
        <v/>
      </c>
      <c r="T1322" t="str">
        <f ca="1">IF(Tab_Calculs[[#This Row],[Combustible ]]="Electricité (kWh)",Tab_Calculs[[#This Row],[Conso_mois_kWh]]*2.3,Tab_Calculs[[#This Row],[Conso_mois_kWh]])</f>
        <v/>
      </c>
      <c r="U1322" t="str">
        <f ca="1">IFERROR(N1322*VLOOKUP(Tab_Calculs[[#This Row],[Colonne1]],Controle_des_données!$B$7:$H$14,7,FALSE),"")</f>
        <v/>
      </c>
      <c r="V1322">
        <f ca="1">IFERROR(Tab_Calculs[[#This Row],[Cout_mois]]/Tab_Calculs[[#This Row],[Conso_mois_kWh]],0)</f>
        <v>0</v>
      </c>
      <c r="W1322" t="str">
        <f>T(VLOOKUP(Tab_Calculs[[#This Row],[Compteur]],Site!$B$33:$G$40,3,FALSE))</f>
        <v/>
      </c>
      <c r="X1322" t="str">
        <f>T(VLOOKUP(Tab_Calculs[[#This Row],[Compteur]],Site!$B$33:$G$40,4,FALSE))</f>
        <v/>
      </c>
      <c r="Y1322" t="str">
        <f>T(VLOOKUP(Tab_Calculs[[#This Row],[Compteur]],Site!$B$33:$G$40,5,FALSE))</f>
        <v/>
      </c>
      <c r="Z1322" t="str">
        <f>T(VLOOKUP(Tab_Calculs[[#This Row],[Compteur]],Site!$B$33:$G$40,6,FALSE))</f>
        <v/>
      </c>
      <c r="AA1322">
        <f>IFERROR(GETPIVOTDATA("DJU(chauffagiste)",BDD_DJU!$P$13,"annee",Tab_Calculs[[#This Row],[ANNEE]],"mois_numero",Tab_Calculs[[#This Row],[MOIS]]),0)</f>
        <v>17.3</v>
      </c>
    </row>
    <row r="1323" spans="1:27" x14ac:dyDescent="0.25">
      <c r="A1323" s="3">
        <f>DATE(Tab_Calculs[[#This Row],[ANNEE]],Tab_Calculs[[#This Row],[MOIS]],1)</f>
        <v>45108</v>
      </c>
      <c r="B1323" s="3">
        <f>EDATE(Tab_Calculs[[#This Row],[Début mois]],1)-1</f>
        <v>45138</v>
      </c>
      <c r="C1323">
        <f t="shared" si="45"/>
        <v>7</v>
      </c>
      <c r="D1323">
        <f t="shared" si="47"/>
        <v>2023</v>
      </c>
      <c r="E1323" t="s">
        <v>86</v>
      </c>
      <c r="F1323" t="str">
        <f>SUBSTITUTE(Tab_Calculs[[#This Row],[Compteur]]," ","_")</f>
        <v>Compteur_7</v>
      </c>
      <c r="G1323" t="str">
        <f>T(INDEX(Site!$B$33:$G$40, MATCH(Tab_Calculs[[#This Row],[Compteur]], Site!$B$33:$B$40,0),2))</f>
        <v/>
      </c>
      <c r="H1323" s="3">
        <f t="array" aca="1" ref="H1323" ca="1">MIN(IF(INDIRECT(CONCATENATE(Tab_Calculs[[#This Row],[Colonne1]],"!$B$2:$B$243"))&gt;=Calculs_Consos!$A1323,INDIRECT(CONCATENATE(Tab_Calculs[[#This Row],[Colonne1]],"!$B$2:$B$243"))))</f>
        <v>0</v>
      </c>
      <c r="I1323" s="3">
        <f ca="1">INDEX(INDIRECT(CONCATENATE("Tab_",Tab_Calculs[[#This Row],[Colonne1]])),Tab_Calculs[[#This Row],[index_date_livraison]],1)</f>
        <v>0</v>
      </c>
      <c r="J1323">
        <f ca="1">MATCH(Tab_Calculs[[#This Row],[Date_livraison]],INDIRECT(CONCATENATE("Tab_",Tab_Calculs[[#This Row],[Colonne1]],"[Fin de période]")),0)</f>
        <v>1</v>
      </c>
      <c r="K1323" t="e">
        <f ca="1">INDEX(INDIRECT(CONCATENATE("Tab_",Tab_Calculs[[#This Row],[Colonne1]])),Tab_Calculs[[#This Row],[index_date_livraison]]-1,6)*(MAX(Tab_Calculs[[#This Row],[Début periode livraison]],Tab_Calculs[[#This Row],[Début mois]])-Tab_Calculs[[#This Row],[Début mois]])</f>
        <v>#VALUE!</v>
      </c>
      <c r="L1323" s="94">
        <f ca="1">INDEX(INDIRECT(CONCATENATE("Tab_",Tab_Calculs[[#This Row],[Colonne1]])),Tab_Calculs[[#This Row],[index_date_livraison]],6)*(1+MIN(Tab_Calculs[[#This Row],[Date_livraison]],Tab_Calculs[[#This Row],[fin mois]])-MAX(Tab_Calculs[[#This Row],[Début mois]],Tab_Calculs[[#This Row],[Début periode livraison]]))</f>
        <v>0</v>
      </c>
      <c r="M1323" s="94" t="e">
        <f ca="1">INDEX(INDIRECT(CONCATENATE("Tab_",Tab_Calculs[[#This Row],[Colonne1]])),Tab_Calculs[[#This Row],[index_date_livraison]]+1,6)*(Tab_Calculs[[#This Row],[fin mois]]-MIN(Tab_Calculs[[#This Row],[fin mois]],Tab_Calculs[[#This Row],[Date_livraison]]))</f>
        <v>#VALUE!</v>
      </c>
      <c r="N1323" s="231" t="str">
        <f ca="1">IFERROR(Tab_Calculs[[#This Row],[Ratio_jour_après_livr]]+Tab_Calculs[[#This Row],[Ratio_jour_avant_livr]]+Tab_Calculs[[#This Row],[ratio_avant_debut]],"")</f>
        <v/>
      </c>
      <c r="O1323" t="e">
        <f ca="1">INDEX(INDIRECT(CONCATENATE("Tab_",Tab_Calculs[[#This Row],[Colonne1]])),Tab_Calculs[[#This Row],[index_date_livraison]]-1,7)*(MAX(Tab_Calculs[[#This Row],[Début periode livraison]],Tab_Calculs[[#This Row],[Début mois]])-Tab_Calculs[[#This Row],[Début mois]])</f>
        <v>#VALUE!</v>
      </c>
      <c r="P1323">
        <f ca="1">INDEX(INDIRECT(CONCATENATE("Tab_",Tab_Calculs[[#This Row],[Colonne1]])),Tab_Calculs[[#This Row],[index_date_livraison]],7)*(1+MIN(Tab_Calculs[[#This Row],[Date_livraison]],Tab_Calculs[[#This Row],[fin mois]])-MAX(Tab_Calculs[[#This Row],[Début mois]],Tab_Calculs[[#This Row],[Début periode livraison]]))</f>
        <v>0</v>
      </c>
      <c r="Q1323" t="e">
        <f ca="1">INDEX(INDIRECT(CONCATENATE("Tab_",Tab_Calculs[[#This Row],[Colonne1]])),Tab_Calculs[[#This Row],[index_date_livraison]]+1,7)*(Tab_Calculs[[#This Row],[fin mois]]-MIN(Tab_Calculs[[#This Row],[fin mois]],Tab_Calculs[[#This Row],[Date_livraison]]))</f>
        <v>#VALUE!</v>
      </c>
      <c r="R1323" t="e">
        <f ca="1">Tab_Calculs[[#This Row],[Ratio_Cout_après_livr]]+Tab_Calculs[[#This Row],[Ratio_Cout_avant_livr]]+Tab_Calculs[[#This Row],[Ratio_Cout_avant_debut]]</f>
        <v>#VALUE!</v>
      </c>
      <c r="S1323" t="str">
        <f ca="1">IFERROR(N1323*VLOOKUP(Tab_Calculs[[#This Row],[Colonne1]],Controle_des_données!$B$7:$G$14,6,FALSE),"")</f>
        <v/>
      </c>
      <c r="T1323" t="str">
        <f ca="1">IF(Tab_Calculs[[#This Row],[Combustible ]]="Electricité (kWh)",Tab_Calculs[[#This Row],[Conso_mois_kWh]]*2.3,Tab_Calculs[[#This Row],[Conso_mois_kWh]])</f>
        <v/>
      </c>
      <c r="U1323" t="str">
        <f ca="1">IFERROR(N1323*VLOOKUP(Tab_Calculs[[#This Row],[Colonne1]],Controle_des_données!$B$7:$H$14,7,FALSE),"")</f>
        <v/>
      </c>
      <c r="V1323">
        <f ca="1">IFERROR(Tab_Calculs[[#This Row],[Cout_mois]]/Tab_Calculs[[#This Row],[Conso_mois_kWh]],0)</f>
        <v>0</v>
      </c>
      <c r="W1323" t="str">
        <f>T(VLOOKUP(Tab_Calculs[[#This Row],[Compteur]],Site!$B$33:$G$40,3,FALSE))</f>
        <v/>
      </c>
      <c r="X1323" t="str">
        <f>T(VLOOKUP(Tab_Calculs[[#This Row],[Compteur]],Site!$B$33:$G$40,4,FALSE))</f>
        <v/>
      </c>
      <c r="Y1323" t="str">
        <f>T(VLOOKUP(Tab_Calculs[[#This Row],[Compteur]],Site!$B$33:$G$40,5,FALSE))</f>
        <v/>
      </c>
      <c r="Z1323" t="str">
        <f>T(VLOOKUP(Tab_Calculs[[#This Row],[Compteur]],Site!$B$33:$G$40,6,FALSE))</f>
        <v/>
      </c>
      <c r="AA1323">
        <f>IFERROR(GETPIVOTDATA("DJU(chauffagiste)",BDD_DJU!$P$13,"annee",Tab_Calculs[[#This Row],[ANNEE]],"mois_numero",Tab_Calculs[[#This Row],[MOIS]]),0)</f>
        <v>24.1</v>
      </c>
    </row>
    <row r="1324" spans="1:27" x14ac:dyDescent="0.25">
      <c r="A1324" s="3">
        <f>DATE(Tab_Calculs[[#This Row],[ANNEE]],Tab_Calculs[[#This Row],[MOIS]],1)</f>
        <v>45139</v>
      </c>
      <c r="B1324" s="3">
        <f>EDATE(Tab_Calculs[[#This Row],[Début mois]],1)-1</f>
        <v>45169</v>
      </c>
      <c r="C1324">
        <f t="shared" si="45"/>
        <v>8</v>
      </c>
      <c r="D1324">
        <f t="shared" si="47"/>
        <v>2023</v>
      </c>
      <c r="E1324" t="s">
        <v>86</v>
      </c>
      <c r="F1324" t="str">
        <f>SUBSTITUTE(Tab_Calculs[[#This Row],[Compteur]]," ","_")</f>
        <v>Compteur_7</v>
      </c>
      <c r="G1324" t="str">
        <f>T(INDEX(Site!$B$33:$G$40, MATCH(Tab_Calculs[[#This Row],[Compteur]], Site!$B$33:$B$40,0),2))</f>
        <v/>
      </c>
      <c r="H1324" s="3">
        <f t="array" aca="1" ref="H1324" ca="1">MIN(IF(INDIRECT(CONCATENATE(Tab_Calculs[[#This Row],[Colonne1]],"!$B$2:$B$243"))&gt;=Calculs_Consos!$A1324,INDIRECT(CONCATENATE(Tab_Calculs[[#This Row],[Colonne1]],"!$B$2:$B$243"))))</f>
        <v>0</v>
      </c>
      <c r="I1324" s="3">
        <f ca="1">INDEX(INDIRECT(CONCATENATE("Tab_",Tab_Calculs[[#This Row],[Colonne1]])),Tab_Calculs[[#This Row],[index_date_livraison]],1)</f>
        <v>0</v>
      </c>
      <c r="J1324">
        <f ca="1">MATCH(Tab_Calculs[[#This Row],[Date_livraison]],INDIRECT(CONCATENATE("Tab_",Tab_Calculs[[#This Row],[Colonne1]],"[Fin de période]")),0)</f>
        <v>1</v>
      </c>
      <c r="K1324" t="e">
        <f ca="1">INDEX(INDIRECT(CONCATENATE("Tab_",Tab_Calculs[[#This Row],[Colonne1]])),Tab_Calculs[[#This Row],[index_date_livraison]]-1,6)*(MAX(Tab_Calculs[[#This Row],[Début periode livraison]],Tab_Calculs[[#This Row],[Début mois]])-Tab_Calculs[[#This Row],[Début mois]])</f>
        <v>#VALUE!</v>
      </c>
      <c r="L1324" s="94">
        <f ca="1">INDEX(INDIRECT(CONCATENATE("Tab_",Tab_Calculs[[#This Row],[Colonne1]])),Tab_Calculs[[#This Row],[index_date_livraison]],6)*(1+MIN(Tab_Calculs[[#This Row],[Date_livraison]],Tab_Calculs[[#This Row],[fin mois]])-MAX(Tab_Calculs[[#This Row],[Début mois]],Tab_Calculs[[#This Row],[Début periode livraison]]))</f>
        <v>0</v>
      </c>
      <c r="M1324" s="94" t="e">
        <f ca="1">INDEX(INDIRECT(CONCATENATE("Tab_",Tab_Calculs[[#This Row],[Colonne1]])),Tab_Calculs[[#This Row],[index_date_livraison]]+1,6)*(Tab_Calculs[[#This Row],[fin mois]]-MIN(Tab_Calculs[[#This Row],[fin mois]],Tab_Calculs[[#This Row],[Date_livraison]]))</f>
        <v>#VALUE!</v>
      </c>
      <c r="N1324" s="231" t="str">
        <f ca="1">IFERROR(Tab_Calculs[[#This Row],[Ratio_jour_après_livr]]+Tab_Calculs[[#This Row],[Ratio_jour_avant_livr]]+Tab_Calculs[[#This Row],[ratio_avant_debut]],"")</f>
        <v/>
      </c>
      <c r="O1324" t="e">
        <f ca="1">INDEX(INDIRECT(CONCATENATE("Tab_",Tab_Calculs[[#This Row],[Colonne1]])),Tab_Calculs[[#This Row],[index_date_livraison]]-1,7)*(MAX(Tab_Calculs[[#This Row],[Début periode livraison]],Tab_Calculs[[#This Row],[Début mois]])-Tab_Calculs[[#This Row],[Début mois]])</f>
        <v>#VALUE!</v>
      </c>
      <c r="P1324">
        <f ca="1">INDEX(INDIRECT(CONCATENATE("Tab_",Tab_Calculs[[#This Row],[Colonne1]])),Tab_Calculs[[#This Row],[index_date_livraison]],7)*(1+MIN(Tab_Calculs[[#This Row],[Date_livraison]],Tab_Calculs[[#This Row],[fin mois]])-MAX(Tab_Calculs[[#This Row],[Début mois]],Tab_Calculs[[#This Row],[Début periode livraison]]))</f>
        <v>0</v>
      </c>
      <c r="Q1324" t="e">
        <f ca="1">INDEX(INDIRECT(CONCATENATE("Tab_",Tab_Calculs[[#This Row],[Colonne1]])),Tab_Calculs[[#This Row],[index_date_livraison]]+1,7)*(Tab_Calculs[[#This Row],[fin mois]]-MIN(Tab_Calculs[[#This Row],[fin mois]],Tab_Calculs[[#This Row],[Date_livraison]]))</f>
        <v>#VALUE!</v>
      </c>
      <c r="R1324" t="e">
        <f ca="1">Tab_Calculs[[#This Row],[Ratio_Cout_après_livr]]+Tab_Calculs[[#This Row],[Ratio_Cout_avant_livr]]+Tab_Calculs[[#This Row],[Ratio_Cout_avant_debut]]</f>
        <v>#VALUE!</v>
      </c>
      <c r="S1324" t="str">
        <f ca="1">IFERROR(N1324*VLOOKUP(Tab_Calculs[[#This Row],[Colonne1]],Controle_des_données!$B$7:$G$14,6,FALSE),"")</f>
        <v/>
      </c>
      <c r="T1324" t="str">
        <f ca="1">IF(Tab_Calculs[[#This Row],[Combustible ]]="Electricité (kWh)",Tab_Calculs[[#This Row],[Conso_mois_kWh]]*2.3,Tab_Calculs[[#This Row],[Conso_mois_kWh]])</f>
        <v/>
      </c>
      <c r="U1324" t="str">
        <f ca="1">IFERROR(N1324*VLOOKUP(Tab_Calculs[[#This Row],[Colonne1]],Controle_des_données!$B$7:$H$14,7,FALSE),"")</f>
        <v/>
      </c>
      <c r="V1324">
        <f ca="1">IFERROR(Tab_Calculs[[#This Row],[Cout_mois]]/Tab_Calculs[[#This Row],[Conso_mois_kWh]],0)</f>
        <v>0</v>
      </c>
      <c r="W1324" t="str">
        <f>T(VLOOKUP(Tab_Calculs[[#This Row],[Compteur]],Site!$B$33:$G$40,3,FALSE))</f>
        <v/>
      </c>
      <c r="X1324" t="str">
        <f>T(VLOOKUP(Tab_Calculs[[#This Row],[Compteur]],Site!$B$33:$G$40,4,FALSE))</f>
        <v/>
      </c>
      <c r="Y1324" t="str">
        <f>T(VLOOKUP(Tab_Calculs[[#This Row],[Compteur]],Site!$B$33:$G$40,5,FALSE))</f>
        <v/>
      </c>
      <c r="Z1324" t="str">
        <f>T(VLOOKUP(Tab_Calculs[[#This Row],[Compteur]],Site!$B$33:$G$40,6,FALSE))</f>
        <v/>
      </c>
      <c r="AA1324">
        <f>IFERROR(GETPIVOTDATA("DJU(chauffagiste)",BDD_DJU!$P$13,"annee",Tab_Calculs[[#This Row],[ANNEE]],"mois_numero",Tab_Calculs[[#This Row],[MOIS]]),0)</f>
        <v>27.9</v>
      </c>
    </row>
    <row r="1325" spans="1:27" x14ac:dyDescent="0.25">
      <c r="A1325" s="3">
        <f>DATE(Tab_Calculs[[#This Row],[ANNEE]],Tab_Calculs[[#This Row],[MOIS]],1)</f>
        <v>45170</v>
      </c>
      <c r="B1325" s="3">
        <f>EDATE(Tab_Calculs[[#This Row],[Début mois]],1)-1</f>
        <v>45199</v>
      </c>
      <c r="C1325">
        <f t="shared" si="45"/>
        <v>9</v>
      </c>
      <c r="D1325">
        <f t="shared" si="47"/>
        <v>2023</v>
      </c>
      <c r="E1325" t="s">
        <v>86</v>
      </c>
      <c r="F1325" t="str">
        <f>SUBSTITUTE(Tab_Calculs[[#This Row],[Compteur]]," ","_")</f>
        <v>Compteur_7</v>
      </c>
      <c r="G1325" t="str">
        <f>T(INDEX(Site!$B$33:$G$40, MATCH(Tab_Calculs[[#This Row],[Compteur]], Site!$B$33:$B$40,0),2))</f>
        <v/>
      </c>
      <c r="H1325" s="3">
        <f t="array" aca="1" ref="H1325" ca="1">MIN(IF(INDIRECT(CONCATENATE(Tab_Calculs[[#This Row],[Colonne1]],"!$B$2:$B$243"))&gt;=Calculs_Consos!$A1325,INDIRECT(CONCATENATE(Tab_Calculs[[#This Row],[Colonne1]],"!$B$2:$B$243"))))</f>
        <v>0</v>
      </c>
      <c r="I1325" s="3">
        <f ca="1">INDEX(INDIRECT(CONCATENATE("Tab_",Tab_Calculs[[#This Row],[Colonne1]])),Tab_Calculs[[#This Row],[index_date_livraison]],1)</f>
        <v>0</v>
      </c>
      <c r="J1325">
        <f ca="1">MATCH(Tab_Calculs[[#This Row],[Date_livraison]],INDIRECT(CONCATENATE("Tab_",Tab_Calculs[[#This Row],[Colonne1]],"[Fin de période]")),0)</f>
        <v>1</v>
      </c>
      <c r="K1325" t="e">
        <f ca="1">INDEX(INDIRECT(CONCATENATE("Tab_",Tab_Calculs[[#This Row],[Colonne1]])),Tab_Calculs[[#This Row],[index_date_livraison]]-1,6)*(MAX(Tab_Calculs[[#This Row],[Début periode livraison]],Tab_Calculs[[#This Row],[Début mois]])-Tab_Calculs[[#This Row],[Début mois]])</f>
        <v>#VALUE!</v>
      </c>
      <c r="L1325" s="94">
        <f ca="1">INDEX(INDIRECT(CONCATENATE("Tab_",Tab_Calculs[[#This Row],[Colonne1]])),Tab_Calculs[[#This Row],[index_date_livraison]],6)*(1+MIN(Tab_Calculs[[#This Row],[Date_livraison]],Tab_Calculs[[#This Row],[fin mois]])-MAX(Tab_Calculs[[#This Row],[Début mois]],Tab_Calculs[[#This Row],[Début periode livraison]]))</f>
        <v>0</v>
      </c>
      <c r="M1325" s="94" t="e">
        <f ca="1">INDEX(INDIRECT(CONCATENATE("Tab_",Tab_Calculs[[#This Row],[Colonne1]])),Tab_Calculs[[#This Row],[index_date_livraison]]+1,6)*(Tab_Calculs[[#This Row],[fin mois]]-MIN(Tab_Calculs[[#This Row],[fin mois]],Tab_Calculs[[#This Row],[Date_livraison]]))</f>
        <v>#VALUE!</v>
      </c>
      <c r="N1325" s="231" t="str">
        <f ca="1">IFERROR(Tab_Calculs[[#This Row],[Ratio_jour_après_livr]]+Tab_Calculs[[#This Row],[Ratio_jour_avant_livr]]+Tab_Calculs[[#This Row],[ratio_avant_debut]],"")</f>
        <v/>
      </c>
      <c r="O1325" t="e">
        <f ca="1">INDEX(INDIRECT(CONCATENATE("Tab_",Tab_Calculs[[#This Row],[Colonne1]])),Tab_Calculs[[#This Row],[index_date_livraison]]-1,7)*(MAX(Tab_Calculs[[#This Row],[Début periode livraison]],Tab_Calculs[[#This Row],[Début mois]])-Tab_Calculs[[#This Row],[Début mois]])</f>
        <v>#VALUE!</v>
      </c>
      <c r="P1325">
        <f ca="1">INDEX(INDIRECT(CONCATENATE("Tab_",Tab_Calculs[[#This Row],[Colonne1]])),Tab_Calculs[[#This Row],[index_date_livraison]],7)*(1+MIN(Tab_Calculs[[#This Row],[Date_livraison]],Tab_Calculs[[#This Row],[fin mois]])-MAX(Tab_Calculs[[#This Row],[Début mois]],Tab_Calculs[[#This Row],[Début periode livraison]]))</f>
        <v>0</v>
      </c>
      <c r="Q1325" t="e">
        <f ca="1">INDEX(INDIRECT(CONCATENATE("Tab_",Tab_Calculs[[#This Row],[Colonne1]])),Tab_Calculs[[#This Row],[index_date_livraison]]+1,7)*(Tab_Calculs[[#This Row],[fin mois]]-MIN(Tab_Calculs[[#This Row],[fin mois]],Tab_Calculs[[#This Row],[Date_livraison]]))</f>
        <v>#VALUE!</v>
      </c>
      <c r="R1325" t="e">
        <f ca="1">Tab_Calculs[[#This Row],[Ratio_Cout_après_livr]]+Tab_Calculs[[#This Row],[Ratio_Cout_avant_livr]]+Tab_Calculs[[#This Row],[Ratio_Cout_avant_debut]]</f>
        <v>#VALUE!</v>
      </c>
      <c r="S1325" t="str">
        <f ca="1">IFERROR(N1325*VLOOKUP(Tab_Calculs[[#This Row],[Colonne1]],Controle_des_données!$B$7:$G$14,6,FALSE),"")</f>
        <v/>
      </c>
      <c r="T1325" t="str">
        <f ca="1">IF(Tab_Calculs[[#This Row],[Combustible ]]="Electricité (kWh)",Tab_Calculs[[#This Row],[Conso_mois_kWh]]*2.3,Tab_Calculs[[#This Row],[Conso_mois_kWh]])</f>
        <v/>
      </c>
      <c r="U1325" t="str">
        <f ca="1">IFERROR(N1325*VLOOKUP(Tab_Calculs[[#This Row],[Colonne1]],Controle_des_données!$B$7:$H$14,7,FALSE),"")</f>
        <v/>
      </c>
      <c r="V1325">
        <f ca="1">IFERROR(Tab_Calculs[[#This Row],[Cout_mois]]/Tab_Calculs[[#This Row],[Conso_mois_kWh]],0)</f>
        <v>0</v>
      </c>
      <c r="W1325" t="str">
        <f>T(VLOOKUP(Tab_Calculs[[#This Row],[Compteur]],Site!$B$33:$G$40,3,FALSE))</f>
        <v/>
      </c>
      <c r="X1325" t="str">
        <f>T(VLOOKUP(Tab_Calculs[[#This Row],[Compteur]],Site!$B$33:$G$40,4,FALSE))</f>
        <v/>
      </c>
      <c r="Y1325" t="str">
        <f>T(VLOOKUP(Tab_Calculs[[#This Row],[Compteur]],Site!$B$33:$G$40,5,FALSE))</f>
        <v/>
      </c>
      <c r="Z1325" t="str">
        <f>T(VLOOKUP(Tab_Calculs[[#This Row],[Compteur]],Site!$B$33:$G$40,6,FALSE))</f>
        <v/>
      </c>
      <c r="AA1325">
        <f>IFERROR(GETPIVOTDATA("DJU(chauffagiste)",BDD_DJU!$P$13,"annee",Tab_Calculs[[#This Row],[ANNEE]],"mois_numero",Tab_Calculs[[#This Row],[MOIS]]),0)</f>
        <v>30.5</v>
      </c>
    </row>
    <row r="1326" spans="1:27" x14ac:dyDescent="0.25">
      <c r="A1326" s="3">
        <f>DATE(Tab_Calculs[[#This Row],[ANNEE]],Tab_Calculs[[#This Row],[MOIS]],1)</f>
        <v>45200</v>
      </c>
      <c r="B1326" s="3">
        <f>EDATE(Tab_Calculs[[#This Row],[Début mois]],1)-1</f>
        <v>45230</v>
      </c>
      <c r="C1326">
        <f t="shared" si="45"/>
        <v>10</v>
      </c>
      <c r="D1326">
        <f t="shared" si="47"/>
        <v>2023</v>
      </c>
      <c r="E1326" t="s">
        <v>86</v>
      </c>
      <c r="F1326" t="str">
        <f>SUBSTITUTE(Tab_Calculs[[#This Row],[Compteur]]," ","_")</f>
        <v>Compteur_7</v>
      </c>
      <c r="G1326" t="str">
        <f>T(INDEX(Site!$B$33:$G$40, MATCH(Tab_Calculs[[#This Row],[Compteur]], Site!$B$33:$B$40,0),2))</f>
        <v/>
      </c>
      <c r="H1326" s="3">
        <f t="array" aca="1" ref="H1326" ca="1">MIN(IF(INDIRECT(CONCATENATE(Tab_Calculs[[#This Row],[Colonne1]],"!$B$2:$B$243"))&gt;=Calculs_Consos!$A1326,INDIRECT(CONCATENATE(Tab_Calculs[[#This Row],[Colonne1]],"!$B$2:$B$243"))))</f>
        <v>0</v>
      </c>
      <c r="I1326" s="3">
        <f ca="1">INDEX(INDIRECT(CONCATENATE("Tab_",Tab_Calculs[[#This Row],[Colonne1]])),Tab_Calculs[[#This Row],[index_date_livraison]],1)</f>
        <v>0</v>
      </c>
      <c r="J1326">
        <f ca="1">MATCH(Tab_Calculs[[#This Row],[Date_livraison]],INDIRECT(CONCATENATE("Tab_",Tab_Calculs[[#This Row],[Colonne1]],"[Fin de période]")),0)</f>
        <v>1</v>
      </c>
      <c r="K1326" t="e">
        <f ca="1">INDEX(INDIRECT(CONCATENATE("Tab_",Tab_Calculs[[#This Row],[Colonne1]])),Tab_Calculs[[#This Row],[index_date_livraison]]-1,6)*(MAX(Tab_Calculs[[#This Row],[Début periode livraison]],Tab_Calculs[[#This Row],[Début mois]])-Tab_Calculs[[#This Row],[Début mois]])</f>
        <v>#VALUE!</v>
      </c>
      <c r="L1326" s="94">
        <f ca="1">INDEX(INDIRECT(CONCATENATE("Tab_",Tab_Calculs[[#This Row],[Colonne1]])),Tab_Calculs[[#This Row],[index_date_livraison]],6)*(1+MIN(Tab_Calculs[[#This Row],[Date_livraison]],Tab_Calculs[[#This Row],[fin mois]])-MAX(Tab_Calculs[[#This Row],[Début mois]],Tab_Calculs[[#This Row],[Début periode livraison]]))</f>
        <v>0</v>
      </c>
      <c r="M1326" s="94" t="e">
        <f ca="1">INDEX(INDIRECT(CONCATENATE("Tab_",Tab_Calculs[[#This Row],[Colonne1]])),Tab_Calculs[[#This Row],[index_date_livraison]]+1,6)*(Tab_Calculs[[#This Row],[fin mois]]-MIN(Tab_Calculs[[#This Row],[fin mois]],Tab_Calculs[[#This Row],[Date_livraison]]))</f>
        <v>#VALUE!</v>
      </c>
      <c r="N1326" s="231" t="str">
        <f ca="1">IFERROR(Tab_Calculs[[#This Row],[Ratio_jour_après_livr]]+Tab_Calculs[[#This Row],[Ratio_jour_avant_livr]]+Tab_Calculs[[#This Row],[ratio_avant_debut]],"")</f>
        <v/>
      </c>
      <c r="O1326" t="e">
        <f ca="1">INDEX(INDIRECT(CONCATENATE("Tab_",Tab_Calculs[[#This Row],[Colonne1]])),Tab_Calculs[[#This Row],[index_date_livraison]]-1,7)*(MAX(Tab_Calculs[[#This Row],[Début periode livraison]],Tab_Calculs[[#This Row],[Début mois]])-Tab_Calculs[[#This Row],[Début mois]])</f>
        <v>#VALUE!</v>
      </c>
      <c r="P1326">
        <f ca="1">INDEX(INDIRECT(CONCATENATE("Tab_",Tab_Calculs[[#This Row],[Colonne1]])),Tab_Calculs[[#This Row],[index_date_livraison]],7)*(1+MIN(Tab_Calculs[[#This Row],[Date_livraison]],Tab_Calculs[[#This Row],[fin mois]])-MAX(Tab_Calculs[[#This Row],[Début mois]],Tab_Calculs[[#This Row],[Début periode livraison]]))</f>
        <v>0</v>
      </c>
      <c r="Q1326" t="e">
        <f ca="1">INDEX(INDIRECT(CONCATENATE("Tab_",Tab_Calculs[[#This Row],[Colonne1]])),Tab_Calculs[[#This Row],[index_date_livraison]]+1,7)*(Tab_Calculs[[#This Row],[fin mois]]-MIN(Tab_Calculs[[#This Row],[fin mois]],Tab_Calculs[[#This Row],[Date_livraison]]))</f>
        <v>#VALUE!</v>
      </c>
      <c r="R1326" t="e">
        <f ca="1">Tab_Calculs[[#This Row],[Ratio_Cout_après_livr]]+Tab_Calculs[[#This Row],[Ratio_Cout_avant_livr]]+Tab_Calculs[[#This Row],[Ratio_Cout_avant_debut]]</f>
        <v>#VALUE!</v>
      </c>
      <c r="S1326" t="str">
        <f ca="1">IFERROR(N1326*VLOOKUP(Tab_Calculs[[#This Row],[Colonne1]],Controle_des_données!$B$7:$G$14,6,FALSE),"")</f>
        <v/>
      </c>
      <c r="T1326" t="str">
        <f ca="1">IF(Tab_Calculs[[#This Row],[Combustible ]]="Electricité (kWh)",Tab_Calculs[[#This Row],[Conso_mois_kWh]]*2.3,Tab_Calculs[[#This Row],[Conso_mois_kWh]])</f>
        <v/>
      </c>
      <c r="U1326" t="str">
        <f ca="1">IFERROR(N1326*VLOOKUP(Tab_Calculs[[#This Row],[Colonne1]],Controle_des_données!$B$7:$H$14,7,FALSE),"")</f>
        <v/>
      </c>
      <c r="V1326">
        <f ca="1">IFERROR(Tab_Calculs[[#This Row],[Cout_mois]]/Tab_Calculs[[#This Row],[Conso_mois_kWh]],0)</f>
        <v>0</v>
      </c>
      <c r="W1326" t="str">
        <f>T(VLOOKUP(Tab_Calculs[[#This Row],[Compteur]],Site!$B$33:$G$40,3,FALSE))</f>
        <v/>
      </c>
      <c r="X1326" t="str">
        <f>T(VLOOKUP(Tab_Calculs[[#This Row],[Compteur]],Site!$B$33:$G$40,4,FALSE))</f>
        <v/>
      </c>
      <c r="Y1326" t="str">
        <f>T(VLOOKUP(Tab_Calculs[[#This Row],[Compteur]],Site!$B$33:$G$40,5,FALSE))</f>
        <v/>
      </c>
      <c r="Z1326" t="str">
        <f>T(VLOOKUP(Tab_Calculs[[#This Row],[Compteur]],Site!$B$33:$G$40,6,FALSE))</f>
        <v/>
      </c>
      <c r="AA1326">
        <f>IFERROR(GETPIVOTDATA("DJU(chauffagiste)",BDD_DJU!$P$13,"annee",Tab_Calculs[[#This Row],[ANNEE]],"mois_numero",Tab_Calculs[[#This Row],[MOIS]]),0)</f>
        <v>115.8</v>
      </c>
    </row>
    <row r="1327" spans="1:27" x14ac:dyDescent="0.25">
      <c r="A1327" s="3">
        <f>DATE(Tab_Calculs[[#This Row],[ANNEE]],Tab_Calculs[[#This Row],[MOIS]],1)</f>
        <v>45231</v>
      </c>
      <c r="B1327" s="3">
        <f>EDATE(Tab_Calculs[[#This Row],[Début mois]],1)-1</f>
        <v>45260</v>
      </c>
      <c r="C1327">
        <f t="shared" si="45"/>
        <v>11</v>
      </c>
      <c r="D1327">
        <f t="shared" si="47"/>
        <v>2023</v>
      </c>
      <c r="E1327" t="s">
        <v>86</v>
      </c>
      <c r="F1327" t="str">
        <f>SUBSTITUTE(Tab_Calculs[[#This Row],[Compteur]]," ","_")</f>
        <v>Compteur_7</v>
      </c>
      <c r="G1327" t="str">
        <f>T(INDEX(Site!$B$33:$G$40, MATCH(Tab_Calculs[[#This Row],[Compteur]], Site!$B$33:$B$40,0),2))</f>
        <v/>
      </c>
      <c r="H1327" s="3">
        <f t="array" aca="1" ref="H1327" ca="1">MIN(IF(INDIRECT(CONCATENATE(Tab_Calculs[[#This Row],[Colonne1]],"!$B$2:$B$243"))&gt;=Calculs_Consos!$A1327,INDIRECT(CONCATENATE(Tab_Calculs[[#This Row],[Colonne1]],"!$B$2:$B$243"))))</f>
        <v>0</v>
      </c>
      <c r="I1327" s="3">
        <f ca="1">INDEX(INDIRECT(CONCATENATE("Tab_",Tab_Calculs[[#This Row],[Colonne1]])),Tab_Calculs[[#This Row],[index_date_livraison]],1)</f>
        <v>0</v>
      </c>
      <c r="J1327">
        <f ca="1">MATCH(Tab_Calculs[[#This Row],[Date_livraison]],INDIRECT(CONCATENATE("Tab_",Tab_Calculs[[#This Row],[Colonne1]],"[Fin de période]")),0)</f>
        <v>1</v>
      </c>
      <c r="K1327" t="e">
        <f ca="1">INDEX(INDIRECT(CONCATENATE("Tab_",Tab_Calculs[[#This Row],[Colonne1]])),Tab_Calculs[[#This Row],[index_date_livraison]]-1,6)*(MAX(Tab_Calculs[[#This Row],[Début periode livraison]],Tab_Calculs[[#This Row],[Début mois]])-Tab_Calculs[[#This Row],[Début mois]])</f>
        <v>#VALUE!</v>
      </c>
      <c r="L1327" s="94">
        <f ca="1">INDEX(INDIRECT(CONCATENATE("Tab_",Tab_Calculs[[#This Row],[Colonne1]])),Tab_Calculs[[#This Row],[index_date_livraison]],6)*(1+MIN(Tab_Calculs[[#This Row],[Date_livraison]],Tab_Calculs[[#This Row],[fin mois]])-MAX(Tab_Calculs[[#This Row],[Début mois]],Tab_Calculs[[#This Row],[Début periode livraison]]))</f>
        <v>0</v>
      </c>
      <c r="M1327" s="94" t="e">
        <f ca="1">INDEX(INDIRECT(CONCATENATE("Tab_",Tab_Calculs[[#This Row],[Colonne1]])),Tab_Calculs[[#This Row],[index_date_livraison]]+1,6)*(Tab_Calculs[[#This Row],[fin mois]]-MIN(Tab_Calculs[[#This Row],[fin mois]],Tab_Calculs[[#This Row],[Date_livraison]]))</f>
        <v>#VALUE!</v>
      </c>
      <c r="N1327" s="231" t="str">
        <f ca="1">IFERROR(Tab_Calculs[[#This Row],[Ratio_jour_après_livr]]+Tab_Calculs[[#This Row],[Ratio_jour_avant_livr]]+Tab_Calculs[[#This Row],[ratio_avant_debut]],"")</f>
        <v/>
      </c>
      <c r="O1327" t="e">
        <f ca="1">INDEX(INDIRECT(CONCATENATE("Tab_",Tab_Calculs[[#This Row],[Colonne1]])),Tab_Calculs[[#This Row],[index_date_livraison]]-1,7)*(MAX(Tab_Calculs[[#This Row],[Début periode livraison]],Tab_Calculs[[#This Row],[Début mois]])-Tab_Calculs[[#This Row],[Début mois]])</f>
        <v>#VALUE!</v>
      </c>
      <c r="P1327">
        <f ca="1">INDEX(INDIRECT(CONCATENATE("Tab_",Tab_Calculs[[#This Row],[Colonne1]])),Tab_Calculs[[#This Row],[index_date_livraison]],7)*(1+MIN(Tab_Calculs[[#This Row],[Date_livraison]],Tab_Calculs[[#This Row],[fin mois]])-MAX(Tab_Calculs[[#This Row],[Début mois]],Tab_Calculs[[#This Row],[Début periode livraison]]))</f>
        <v>0</v>
      </c>
      <c r="Q1327" t="e">
        <f ca="1">INDEX(INDIRECT(CONCATENATE("Tab_",Tab_Calculs[[#This Row],[Colonne1]])),Tab_Calculs[[#This Row],[index_date_livraison]]+1,7)*(Tab_Calculs[[#This Row],[fin mois]]-MIN(Tab_Calculs[[#This Row],[fin mois]],Tab_Calculs[[#This Row],[Date_livraison]]))</f>
        <v>#VALUE!</v>
      </c>
      <c r="R1327" t="e">
        <f ca="1">Tab_Calculs[[#This Row],[Ratio_Cout_après_livr]]+Tab_Calculs[[#This Row],[Ratio_Cout_avant_livr]]+Tab_Calculs[[#This Row],[Ratio_Cout_avant_debut]]</f>
        <v>#VALUE!</v>
      </c>
      <c r="S1327" t="str">
        <f ca="1">IFERROR(N1327*VLOOKUP(Tab_Calculs[[#This Row],[Colonne1]],Controle_des_données!$B$7:$G$14,6,FALSE),"")</f>
        <v/>
      </c>
      <c r="T1327" t="str">
        <f ca="1">IF(Tab_Calculs[[#This Row],[Combustible ]]="Electricité (kWh)",Tab_Calculs[[#This Row],[Conso_mois_kWh]]*2.3,Tab_Calculs[[#This Row],[Conso_mois_kWh]])</f>
        <v/>
      </c>
      <c r="U1327" t="str">
        <f ca="1">IFERROR(N1327*VLOOKUP(Tab_Calculs[[#This Row],[Colonne1]],Controle_des_données!$B$7:$H$14,7,FALSE),"")</f>
        <v/>
      </c>
      <c r="V1327">
        <f ca="1">IFERROR(Tab_Calculs[[#This Row],[Cout_mois]]/Tab_Calculs[[#This Row],[Conso_mois_kWh]],0)</f>
        <v>0</v>
      </c>
      <c r="W1327" t="str">
        <f>T(VLOOKUP(Tab_Calculs[[#This Row],[Compteur]],Site!$B$33:$G$40,3,FALSE))</f>
        <v/>
      </c>
      <c r="X1327" t="str">
        <f>T(VLOOKUP(Tab_Calculs[[#This Row],[Compteur]],Site!$B$33:$G$40,4,FALSE))</f>
        <v/>
      </c>
      <c r="Y1327" t="str">
        <f>T(VLOOKUP(Tab_Calculs[[#This Row],[Compteur]],Site!$B$33:$G$40,5,FALSE))</f>
        <v/>
      </c>
      <c r="Z1327" t="str">
        <f>T(VLOOKUP(Tab_Calculs[[#This Row],[Compteur]],Site!$B$33:$G$40,6,FALSE))</f>
        <v/>
      </c>
      <c r="AA1327">
        <f>IFERROR(GETPIVOTDATA("DJU(chauffagiste)",BDD_DJU!$P$13,"annee",Tab_Calculs[[#This Row],[ANNEE]],"mois_numero",Tab_Calculs[[#This Row],[MOIS]]),0)</f>
        <v>239.8</v>
      </c>
    </row>
    <row r="1328" spans="1:27" x14ac:dyDescent="0.25">
      <c r="A1328" s="3">
        <f>DATE(Tab_Calculs[[#This Row],[ANNEE]],Tab_Calculs[[#This Row],[MOIS]],1)</f>
        <v>45261</v>
      </c>
      <c r="B1328" s="3">
        <f>EDATE(Tab_Calculs[[#This Row],[Début mois]],1)-1</f>
        <v>45291</v>
      </c>
      <c r="C1328">
        <f t="shared" si="45"/>
        <v>12</v>
      </c>
      <c r="D1328">
        <f t="shared" si="47"/>
        <v>2023</v>
      </c>
      <c r="E1328" t="s">
        <v>86</v>
      </c>
      <c r="F1328" t="str">
        <f>SUBSTITUTE(Tab_Calculs[[#This Row],[Compteur]]," ","_")</f>
        <v>Compteur_7</v>
      </c>
      <c r="G1328" t="str">
        <f>T(INDEX(Site!$B$33:$G$40, MATCH(Tab_Calculs[[#This Row],[Compteur]], Site!$B$33:$B$40,0),2))</f>
        <v/>
      </c>
      <c r="H1328" s="3">
        <f t="array" aca="1" ref="H1328" ca="1">MIN(IF(INDIRECT(CONCATENATE(Tab_Calculs[[#This Row],[Colonne1]],"!$B$2:$B$243"))&gt;=Calculs_Consos!$A1328,INDIRECT(CONCATENATE(Tab_Calculs[[#This Row],[Colonne1]],"!$B$2:$B$243"))))</f>
        <v>0</v>
      </c>
      <c r="I1328" s="3">
        <f ca="1">INDEX(INDIRECT(CONCATENATE("Tab_",Tab_Calculs[[#This Row],[Colonne1]])),Tab_Calculs[[#This Row],[index_date_livraison]],1)</f>
        <v>0</v>
      </c>
      <c r="J1328">
        <f ca="1">MATCH(Tab_Calculs[[#This Row],[Date_livraison]],INDIRECT(CONCATENATE("Tab_",Tab_Calculs[[#This Row],[Colonne1]],"[Fin de période]")),0)</f>
        <v>1</v>
      </c>
      <c r="K1328" t="e">
        <f ca="1">INDEX(INDIRECT(CONCATENATE("Tab_",Tab_Calculs[[#This Row],[Colonne1]])),Tab_Calculs[[#This Row],[index_date_livraison]]-1,6)*(MAX(Tab_Calculs[[#This Row],[Début periode livraison]],Tab_Calculs[[#This Row],[Début mois]])-Tab_Calculs[[#This Row],[Début mois]])</f>
        <v>#VALUE!</v>
      </c>
      <c r="L1328" s="94">
        <f ca="1">INDEX(INDIRECT(CONCATENATE("Tab_",Tab_Calculs[[#This Row],[Colonne1]])),Tab_Calculs[[#This Row],[index_date_livraison]],6)*(1+MIN(Tab_Calculs[[#This Row],[Date_livraison]],Tab_Calculs[[#This Row],[fin mois]])-MAX(Tab_Calculs[[#This Row],[Début mois]],Tab_Calculs[[#This Row],[Début periode livraison]]))</f>
        <v>0</v>
      </c>
      <c r="M1328" s="94" t="e">
        <f ca="1">INDEX(INDIRECT(CONCATENATE("Tab_",Tab_Calculs[[#This Row],[Colonne1]])),Tab_Calculs[[#This Row],[index_date_livraison]]+1,6)*(Tab_Calculs[[#This Row],[fin mois]]-MIN(Tab_Calculs[[#This Row],[fin mois]],Tab_Calculs[[#This Row],[Date_livraison]]))</f>
        <v>#VALUE!</v>
      </c>
      <c r="N1328" s="231" t="str">
        <f ca="1">IFERROR(Tab_Calculs[[#This Row],[Ratio_jour_après_livr]]+Tab_Calculs[[#This Row],[Ratio_jour_avant_livr]]+Tab_Calculs[[#This Row],[ratio_avant_debut]],"")</f>
        <v/>
      </c>
      <c r="O1328" t="e">
        <f ca="1">INDEX(INDIRECT(CONCATENATE("Tab_",Tab_Calculs[[#This Row],[Colonne1]])),Tab_Calculs[[#This Row],[index_date_livraison]]-1,7)*(MAX(Tab_Calculs[[#This Row],[Début periode livraison]],Tab_Calculs[[#This Row],[Début mois]])-Tab_Calculs[[#This Row],[Début mois]])</f>
        <v>#VALUE!</v>
      </c>
      <c r="P1328">
        <f ca="1">INDEX(INDIRECT(CONCATENATE("Tab_",Tab_Calculs[[#This Row],[Colonne1]])),Tab_Calculs[[#This Row],[index_date_livraison]],7)*(1+MIN(Tab_Calculs[[#This Row],[Date_livraison]],Tab_Calculs[[#This Row],[fin mois]])-MAX(Tab_Calculs[[#This Row],[Début mois]],Tab_Calculs[[#This Row],[Début periode livraison]]))</f>
        <v>0</v>
      </c>
      <c r="Q1328" t="e">
        <f ca="1">INDEX(INDIRECT(CONCATENATE("Tab_",Tab_Calculs[[#This Row],[Colonne1]])),Tab_Calculs[[#This Row],[index_date_livraison]]+1,7)*(Tab_Calculs[[#This Row],[fin mois]]-MIN(Tab_Calculs[[#This Row],[fin mois]],Tab_Calculs[[#This Row],[Date_livraison]]))</f>
        <v>#VALUE!</v>
      </c>
      <c r="R1328" t="e">
        <f ca="1">Tab_Calculs[[#This Row],[Ratio_Cout_après_livr]]+Tab_Calculs[[#This Row],[Ratio_Cout_avant_livr]]+Tab_Calculs[[#This Row],[Ratio_Cout_avant_debut]]</f>
        <v>#VALUE!</v>
      </c>
      <c r="S1328" t="str">
        <f ca="1">IFERROR(N1328*VLOOKUP(Tab_Calculs[[#This Row],[Colonne1]],Controle_des_données!$B$7:$G$14,6,FALSE),"")</f>
        <v/>
      </c>
      <c r="T1328" t="str">
        <f ca="1">IF(Tab_Calculs[[#This Row],[Combustible ]]="Electricité (kWh)",Tab_Calculs[[#This Row],[Conso_mois_kWh]]*2.3,Tab_Calculs[[#This Row],[Conso_mois_kWh]])</f>
        <v/>
      </c>
      <c r="U1328" t="str">
        <f ca="1">IFERROR(N1328*VLOOKUP(Tab_Calculs[[#This Row],[Colonne1]],Controle_des_données!$B$7:$H$14,7,FALSE),"")</f>
        <v/>
      </c>
      <c r="V1328">
        <f ca="1">IFERROR(Tab_Calculs[[#This Row],[Cout_mois]]/Tab_Calculs[[#This Row],[Conso_mois_kWh]],0)</f>
        <v>0</v>
      </c>
      <c r="W1328" t="str">
        <f>T(VLOOKUP(Tab_Calculs[[#This Row],[Compteur]],Site!$B$33:$G$40,3,FALSE))</f>
        <v/>
      </c>
      <c r="X1328" t="str">
        <f>T(VLOOKUP(Tab_Calculs[[#This Row],[Compteur]],Site!$B$33:$G$40,4,FALSE))</f>
        <v/>
      </c>
      <c r="Y1328" t="str">
        <f>T(VLOOKUP(Tab_Calculs[[#This Row],[Compteur]],Site!$B$33:$G$40,5,FALSE))</f>
        <v/>
      </c>
      <c r="Z1328" t="str">
        <f>T(VLOOKUP(Tab_Calculs[[#This Row],[Compteur]],Site!$B$33:$G$40,6,FALSE))</f>
        <v/>
      </c>
      <c r="AA1328">
        <f>IFERROR(GETPIVOTDATA("DJU(chauffagiste)",BDD_DJU!$P$13,"annee",Tab_Calculs[[#This Row],[ANNEE]],"mois_numero",Tab_Calculs[[#This Row],[MOIS]]),0)</f>
        <v>300.89999999999998</v>
      </c>
    </row>
    <row r="1329" spans="1:27" x14ac:dyDescent="0.25">
      <c r="A1329" s="3">
        <f>DATE(Tab_Calculs[[#This Row],[ANNEE]],Tab_Calculs[[#This Row],[MOIS]],1)</f>
        <v>45292</v>
      </c>
      <c r="B1329" s="3">
        <f>EDATE(Tab_Calculs[[#This Row],[Début mois]],1)-1</f>
        <v>45322</v>
      </c>
      <c r="C1329">
        <f t="shared" si="45"/>
        <v>1</v>
      </c>
      <c r="D1329">
        <f t="shared" si="47"/>
        <v>2024</v>
      </c>
      <c r="E1329" t="s">
        <v>86</v>
      </c>
      <c r="F1329" t="str">
        <f>SUBSTITUTE(Tab_Calculs[[#This Row],[Compteur]]," ","_")</f>
        <v>Compteur_7</v>
      </c>
      <c r="G1329" t="str">
        <f>T(INDEX(Site!$B$33:$G$40, MATCH(Tab_Calculs[[#This Row],[Compteur]], Site!$B$33:$B$40,0),2))</f>
        <v/>
      </c>
      <c r="H1329" s="3">
        <f t="array" aca="1" ref="H1329" ca="1">MIN(IF(INDIRECT(CONCATENATE(Tab_Calculs[[#This Row],[Colonne1]],"!$B$2:$B$243"))&gt;=Calculs_Consos!$A1329,INDIRECT(CONCATENATE(Tab_Calculs[[#This Row],[Colonne1]],"!$B$2:$B$243"))))</f>
        <v>0</v>
      </c>
      <c r="I1329" s="3">
        <f ca="1">INDEX(INDIRECT(CONCATENATE("Tab_",Tab_Calculs[[#This Row],[Colonne1]])),Tab_Calculs[[#This Row],[index_date_livraison]],1)</f>
        <v>0</v>
      </c>
      <c r="J1329">
        <f ca="1">MATCH(Tab_Calculs[[#This Row],[Date_livraison]],INDIRECT(CONCATENATE("Tab_",Tab_Calculs[[#This Row],[Colonne1]],"[Fin de période]")),0)</f>
        <v>1</v>
      </c>
      <c r="K1329" t="e">
        <f ca="1">INDEX(INDIRECT(CONCATENATE("Tab_",Tab_Calculs[[#This Row],[Colonne1]])),Tab_Calculs[[#This Row],[index_date_livraison]]-1,6)*(MAX(Tab_Calculs[[#This Row],[Début periode livraison]],Tab_Calculs[[#This Row],[Début mois]])-Tab_Calculs[[#This Row],[Début mois]])</f>
        <v>#VALUE!</v>
      </c>
      <c r="L1329" s="94">
        <f ca="1">INDEX(INDIRECT(CONCATENATE("Tab_",Tab_Calculs[[#This Row],[Colonne1]])),Tab_Calculs[[#This Row],[index_date_livraison]],6)*(1+MIN(Tab_Calculs[[#This Row],[Date_livraison]],Tab_Calculs[[#This Row],[fin mois]])-MAX(Tab_Calculs[[#This Row],[Début mois]],Tab_Calculs[[#This Row],[Début periode livraison]]))</f>
        <v>0</v>
      </c>
      <c r="M1329" s="94" t="e">
        <f ca="1">INDEX(INDIRECT(CONCATENATE("Tab_",Tab_Calculs[[#This Row],[Colonne1]])),Tab_Calculs[[#This Row],[index_date_livraison]]+1,6)*(Tab_Calculs[[#This Row],[fin mois]]-MIN(Tab_Calculs[[#This Row],[fin mois]],Tab_Calculs[[#This Row],[Date_livraison]]))</f>
        <v>#VALUE!</v>
      </c>
      <c r="N1329" s="231" t="str">
        <f ca="1">IFERROR(Tab_Calculs[[#This Row],[Ratio_jour_après_livr]]+Tab_Calculs[[#This Row],[Ratio_jour_avant_livr]]+Tab_Calculs[[#This Row],[ratio_avant_debut]],"")</f>
        <v/>
      </c>
      <c r="O1329" t="e">
        <f ca="1">INDEX(INDIRECT(CONCATENATE("Tab_",Tab_Calculs[[#This Row],[Colonne1]])),Tab_Calculs[[#This Row],[index_date_livraison]]-1,7)*(MAX(Tab_Calculs[[#This Row],[Début periode livraison]],Tab_Calculs[[#This Row],[Début mois]])-Tab_Calculs[[#This Row],[Début mois]])</f>
        <v>#VALUE!</v>
      </c>
      <c r="P1329">
        <f ca="1">INDEX(INDIRECT(CONCATENATE("Tab_",Tab_Calculs[[#This Row],[Colonne1]])),Tab_Calculs[[#This Row],[index_date_livraison]],7)*(1+MIN(Tab_Calculs[[#This Row],[Date_livraison]],Tab_Calculs[[#This Row],[fin mois]])-MAX(Tab_Calculs[[#This Row],[Début mois]],Tab_Calculs[[#This Row],[Début periode livraison]]))</f>
        <v>0</v>
      </c>
      <c r="Q1329" t="e">
        <f ca="1">INDEX(INDIRECT(CONCATENATE("Tab_",Tab_Calculs[[#This Row],[Colonne1]])),Tab_Calculs[[#This Row],[index_date_livraison]]+1,7)*(Tab_Calculs[[#This Row],[fin mois]]-MIN(Tab_Calculs[[#This Row],[fin mois]],Tab_Calculs[[#This Row],[Date_livraison]]))</f>
        <v>#VALUE!</v>
      </c>
      <c r="R1329" t="e">
        <f ca="1">Tab_Calculs[[#This Row],[Ratio_Cout_après_livr]]+Tab_Calculs[[#This Row],[Ratio_Cout_avant_livr]]+Tab_Calculs[[#This Row],[Ratio_Cout_avant_debut]]</f>
        <v>#VALUE!</v>
      </c>
      <c r="S1329" t="str">
        <f ca="1">IFERROR(N1329*VLOOKUP(Tab_Calculs[[#This Row],[Colonne1]],Controle_des_données!$B$7:$G$14,6,FALSE),"")</f>
        <v/>
      </c>
      <c r="T1329" t="str">
        <f ca="1">IF(Tab_Calculs[[#This Row],[Combustible ]]="Electricité (kWh)",Tab_Calculs[[#This Row],[Conso_mois_kWh]]*2.3,Tab_Calculs[[#This Row],[Conso_mois_kWh]])</f>
        <v/>
      </c>
      <c r="U1329" t="str">
        <f ca="1">IFERROR(N1329*VLOOKUP(Tab_Calculs[[#This Row],[Colonne1]],Controle_des_données!$B$7:$H$14,7,FALSE),"")</f>
        <v/>
      </c>
      <c r="V1329">
        <f ca="1">IFERROR(Tab_Calculs[[#This Row],[Cout_mois]]/Tab_Calculs[[#This Row],[Conso_mois_kWh]],0)</f>
        <v>0</v>
      </c>
      <c r="W1329" t="str">
        <f>T(VLOOKUP(Tab_Calculs[[#This Row],[Compteur]],Site!$B$33:$G$40,3,FALSE))</f>
        <v/>
      </c>
      <c r="X1329" t="str">
        <f>T(VLOOKUP(Tab_Calculs[[#This Row],[Compteur]],Site!$B$33:$G$40,4,FALSE))</f>
        <v/>
      </c>
      <c r="Y1329" t="str">
        <f>T(VLOOKUP(Tab_Calculs[[#This Row],[Compteur]],Site!$B$33:$G$40,5,FALSE))</f>
        <v/>
      </c>
      <c r="Z1329" t="str">
        <f>T(VLOOKUP(Tab_Calculs[[#This Row],[Compteur]],Site!$B$33:$G$40,6,FALSE))</f>
        <v/>
      </c>
      <c r="AA1329">
        <f>IFERROR(GETPIVOTDATA("DJU(chauffagiste)",BDD_DJU!$P$13,"annee",Tab_Calculs[[#This Row],[ANNEE]],"mois_numero",Tab_Calculs[[#This Row],[MOIS]]),0)</f>
        <v>0</v>
      </c>
    </row>
    <row r="1330" spans="1:27" x14ac:dyDescent="0.25">
      <c r="A1330" s="3">
        <f>DATE(Tab_Calculs[[#This Row],[ANNEE]],Tab_Calculs[[#This Row],[MOIS]],1)</f>
        <v>45323</v>
      </c>
      <c r="B1330" s="3">
        <f>EDATE(Tab_Calculs[[#This Row],[Début mois]],1)-1</f>
        <v>45351</v>
      </c>
      <c r="C1330">
        <f t="shared" si="45"/>
        <v>2</v>
      </c>
      <c r="D1330">
        <f t="shared" si="47"/>
        <v>2024</v>
      </c>
      <c r="E1330" t="s">
        <v>86</v>
      </c>
      <c r="F1330" t="str">
        <f>SUBSTITUTE(Tab_Calculs[[#This Row],[Compteur]]," ","_")</f>
        <v>Compteur_7</v>
      </c>
      <c r="G1330" t="str">
        <f>T(INDEX(Site!$B$33:$G$40, MATCH(Tab_Calculs[[#This Row],[Compteur]], Site!$B$33:$B$40,0),2))</f>
        <v/>
      </c>
      <c r="H1330" s="3">
        <f t="array" aca="1" ref="H1330" ca="1">MIN(IF(INDIRECT(CONCATENATE(Tab_Calculs[[#This Row],[Colonne1]],"!$B$2:$B$243"))&gt;=Calculs_Consos!$A1330,INDIRECT(CONCATENATE(Tab_Calculs[[#This Row],[Colonne1]],"!$B$2:$B$243"))))</f>
        <v>0</v>
      </c>
      <c r="I1330" s="3">
        <f ca="1">INDEX(INDIRECT(CONCATENATE("Tab_",Tab_Calculs[[#This Row],[Colonne1]])),Tab_Calculs[[#This Row],[index_date_livraison]],1)</f>
        <v>0</v>
      </c>
      <c r="J1330">
        <f ca="1">MATCH(Tab_Calculs[[#This Row],[Date_livraison]],INDIRECT(CONCATENATE("Tab_",Tab_Calculs[[#This Row],[Colonne1]],"[Fin de période]")),0)</f>
        <v>1</v>
      </c>
      <c r="K1330" t="e">
        <f ca="1">INDEX(INDIRECT(CONCATENATE("Tab_",Tab_Calculs[[#This Row],[Colonne1]])),Tab_Calculs[[#This Row],[index_date_livraison]]-1,6)*(MAX(Tab_Calculs[[#This Row],[Début periode livraison]],Tab_Calculs[[#This Row],[Début mois]])-Tab_Calculs[[#This Row],[Début mois]])</f>
        <v>#VALUE!</v>
      </c>
      <c r="L1330" s="94">
        <f ca="1">INDEX(INDIRECT(CONCATENATE("Tab_",Tab_Calculs[[#This Row],[Colonne1]])),Tab_Calculs[[#This Row],[index_date_livraison]],6)*(1+MIN(Tab_Calculs[[#This Row],[Date_livraison]],Tab_Calculs[[#This Row],[fin mois]])-MAX(Tab_Calculs[[#This Row],[Début mois]],Tab_Calculs[[#This Row],[Début periode livraison]]))</f>
        <v>0</v>
      </c>
      <c r="M1330" s="94" t="e">
        <f ca="1">INDEX(INDIRECT(CONCATENATE("Tab_",Tab_Calculs[[#This Row],[Colonne1]])),Tab_Calculs[[#This Row],[index_date_livraison]]+1,6)*(Tab_Calculs[[#This Row],[fin mois]]-MIN(Tab_Calculs[[#This Row],[fin mois]],Tab_Calculs[[#This Row],[Date_livraison]]))</f>
        <v>#VALUE!</v>
      </c>
      <c r="N1330" s="231" t="str">
        <f ca="1">IFERROR(Tab_Calculs[[#This Row],[Ratio_jour_après_livr]]+Tab_Calculs[[#This Row],[Ratio_jour_avant_livr]]+Tab_Calculs[[#This Row],[ratio_avant_debut]],"")</f>
        <v/>
      </c>
      <c r="O1330" t="e">
        <f ca="1">INDEX(INDIRECT(CONCATENATE("Tab_",Tab_Calculs[[#This Row],[Colonne1]])),Tab_Calculs[[#This Row],[index_date_livraison]]-1,7)*(MAX(Tab_Calculs[[#This Row],[Début periode livraison]],Tab_Calculs[[#This Row],[Début mois]])-Tab_Calculs[[#This Row],[Début mois]])</f>
        <v>#VALUE!</v>
      </c>
      <c r="P1330">
        <f ca="1">INDEX(INDIRECT(CONCATENATE("Tab_",Tab_Calculs[[#This Row],[Colonne1]])),Tab_Calculs[[#This Row],[index_date_livraison]],7)*(1+MIN(Tab_Calculs[[#This Row],[Date_livraison]],Tab_Calculs[[#This Row],[fin mois]])-MAX(Tab_Calculs[[#This Row],[Début mois]],Tab_Calculs[[#This Row],[Début periode livraison]]))</f>
        <v>0</v>
      </c>
      <c r="Q1330" t="e">
        <f ca="1">INDEX(INDIRECT(CONCATENATE("Tab_",Tab_Calculs[[#This Row],[Colonne1]])),Tab_Calculs[[#This Row],[index_date_livraison]]+1,7)*(Tab_Calculs[[#This Row],[fin mois]]-MIN(Tab_Calculs[[#This Row],[fin mois]],Tab_Calculs[[#This Row],[Date_livraison]]))</f>
        <v>#VALUE!</v>
      </c>
      <c r="R1330" t="e">
        <f ca="1">Tab_Calculs[[#This Row],[Ratio_Cout_après_livr]]+Tab_Calculs[[#This Row],[Ratio_Cout_avant_livr]]+Tab_Calculs[[#This Row],[Ratio_Cout_avant_debut]]</f>
        <v>#VALUE!</v>
      </c>
      <c r="S1330" t="str">
        <f ca="1">IFERROR(N1330*VLOOKUP(Tab_Calculs[[#This Row],[Colonne1]],Controle_des_données!$B$7:$G$14,6,FALSE),"")</f>
        <v/>
      </c>
      <c r="T1330" t="str">
        <f ca="1">IF(Tab_Calculs[[#This Row],[Combustible ]]="Electricité (kWh)",Tab_Calculs[[#This Row],[Conso_mois_kWh]]*2.3,Tab_Calculs[[#This Row],[Conso_mois_kWh]])</f>
        <v/>
      </c>
      <c r="U1330" t="str">
        <f ca="1">IFERROR(N1330*VLOOKUP(Tab_Calculs[[#This Row],[Colonne1]],Controle_des_données!$B$7:$H$14,7,FALSE),"")</f>
        <v/>
      </c>
      <c r="V1330">
        <f ca="1">IFERROR(Tab_Calculs[[#This Row],[Cout_mois]]/Tab_Calculs[[#This Row],[Conso_mois_kWh]],0)</f>
        <v>0</v>
      </c>
      <c r="W1330" t="str">
        <f>T(VLOOKUP(Tab_Calculs[[#This Row],[Compteur]],Site!$B$33:$G$40,3,FALSE))</f>
        <v/>
      </c>
      <c r="X1330" t="str">
        <f>T(VLOOKUP(Tab_Calculs[[#This Row],[Compteur]],Site!$B$33:$G$40,4,FALSE))</f>
        <v/>
      </c>
      <c r="Y1330" t="str">
        <f>T(VLOOKUP(Tab_Calculs[[#This Row],[Compteur]],Site!$B$33:$G$40,5,FALSE))</f>
        <v/>
      </c>
      <c r="Z1330" t="str">
        <f>T(VLOOKUP(Tab_Calculs[[#This Row],[Compteur]],Site!$B$33:$G$40,6,FALSE))</f>
        <v/>
      </c>
      <c r="AA1330">
        <f>IFERROR(GETPIVOTDATA("DJU(chauffagiste)",BDD_DJU!$P$13,"annee",Tab_Calculs[[#This Row],[ANNEE]],"mois_numero",Tab_Calculs[[#This Row],[MOIS]]),0)</f>
        <v>0</v>
      </c>
    </row>
    <row r="1331" spans="1:27" x14ac:dyDescent="0.25">
      <c r="A1331" s="3">
        <f>DATE(Tab_Calculs[[#This Row],[ANNEE]],Tab_Calculs[[#This Row],[MOIS]],1)</f>
        <v>45352</v>
      </c>
      <c r="B1331" s="3">
        <f>EDATE(Tab_Calculs[[#This Row],[Début mois]],1)-1</f>
        <v>45382</v>
      </c>
      <c r="C1331">
        <f t="shared" si="45"/>
        <v>3</v>
      </c>
      <c r="D1331">
        <f t="shared" si="47"/>
        <v>2024</v>
      </c>
      <c r="E1331" t="s">
        <v>86</v>
      </c>
      <c r="F1331" t="str">
        <f>SUBSTITUTE(Tab_Calculs[[#This Row],[Compteur]]," ","_")</f>
        <v>Compteur_7</v>
      </c>
      <c r="G1331" t="str">
        <f>T(INDEX(Site!$B$33:$G$40, MATCH(Tab_Calculs[[#This Row],[Compteur]], Site!$B$33:$B$40,0),2))</f>
        <v/>
      </c>
      <c r="H1331" s="3">
        <f t="array" aca="1" ref="H1331" ca="1">MIN(IF(INDIRECT(CONCATENATE(Tab_Calculs[[#This Row],[Colonne1]],"!$B$2:$B$243"))&gt;=Calculs_Consos!$A1331,INDIRECT(CONCATENATE(Tab_Calculs[[#This Row],[Colonne1]],"!$B$2:$B$243"))))</f>
        <v>0</v>
      </c>
      <c r="I1331" s="3">
        <f ca="1">INDEX(INDIRECT(CONCATENATE("Tab_",Tab_Calculs[[#This Row],[Colonne1]])),Tab_Calculs[[#This Row],[index_date_livraison]],1)</f>
        <v>0</v>
      </c>
      <c r="J1331">
        <f ca="1">MATCH(Tab_Calculs[[#This Row],[Date_livraison]],INDIRECT(CONCATENATE("Tab_",Tab_Calculs[[#This Row],[Colonne1]],"[Fin de période]")),0)</f>
        <v>1</v>
      </c>
      <c r="K1331" t="e">
        <f ca="1">INDEX(INDIRECT(CONCATENATE("Tab_",Tab_Calculs[[#This Row],[Colonne1]])),Tab_Calculs[[#This Row],[index_date_livraison]]-1,6)*(MAX(Tab_Calculs[[#This Row],[Début periode livraison]],Tab_Calculs[[#This Row],[Début mois]])-Tab_Calculs[[#This Row],[Début mois]])</f>
        <v>#VALUE!</v>
      </c>
      <c r="L1331" s="94">
        <f ca="1">INDEX(INDIRECT(CONCATENATE("Tab_",Tab_Calculs[[#This Row],[Colonne1]])),Tab_Calculs[[#This Row],[index_date_livraison]],6)*(1+MIN(Tab_Calculs[[#This Row],[Date_livraison]],Tab_Calculs[[#This Row],[fin mois]])-MAX(Tab_Calculs[[#This Row],[Début mois]],Tab_Calculs[[#This Row],[Début periode livraison]]))</f>
        <v>0</v>
      </c>
      <c r="M1331" s="94" t="e">
        <f ca="1">INDEX(INDIRECT(CONCATENATE("Tab_",Tab_Calculs[[#This Row],[Colonne1]])),Tab_Calculs[[#This Row],[index_date_livraison]]+1,6)*(Tab_Calculs[[#This Row],[fin mois]]-MIN(Tab_Calculs[[#This Row],[fin mois]],Tab_Calculs[[#This Row],[Date_livraison]]))</f>
        <v>#VALUE!</v>
      </c>
      <c r="N1331" s="231" t="str">
        <f ca="1">IFERROR(Tab_Calculs[[#This Row],[Ratio_jour_après_livr]]+Tab_Calculs[[#This Row],[Ratio_jour_avant_livr]]+Tab_Calculs[[#This Row],[ratio_avant_debut]],"")</f>
        <v/>
      </c>
      <c r="O1331" t="e">
        <f ca="1">INDEX(INDIRECT(CONCATENATE("Tab_",Tab_Calculs[[#This Row],[Colonne1]])),Tab_Calculs[[#This Row],[index_date_livraison]]-1,7)*(MAX(Tab_Calculs[[#This Row],[Début periode livraison]],Tab_Calculs[[#This Row],[Début mois]])-Tab_Calculs[[#This Row],[Début mois]])</f>
        <v>#VALUE!</v>
      </c>
      <c r="P1331">
        <f ca="1">INDEX(INDIRECT(CONCATENATE("Tab_",Tab_Calculs[[#This Row],[Colonne1]])),Tab_Calculs[[#This Row],[index_date_livraison]],7)*(1+MIN(Tab_Calculs[[#This Row],[Date_livraison]],Tab_Calculs[[#This Row],[fin mois]])-MAX(Tab_Calculs[[#This Row],[Début mois]],Tab_Calculs[[#This Row],[Début periode livraison]]))</f>
        <v>0</v>
      </c>
      <c r="Q1331" t="e">
        <f ca="1">INDEX(INDIRECT(CONCATENATE("Tab_",Tab_Calculs[[#This Row],[Colonne1]])),Tab_Calculs[[#This Row],[index_date_livraison]]+1,7)*(Tab_Calculs[[#This Row],[fin mois]]-MIN(Tab_Calculs[[#This Row],[fin mois]],Tab_Calculs[[#This Row],[Date_livraison]]))</f>
        <v>#VALUE!</v>
      </c>
      <c r="R1331" t="e">
        <f ca="1">Tab_Calculs[[#This Row],[Ratio_Cout_après_livr]]+Tab_Calculs[[#This Row],[Ratio_Cout_avant_livr]]+Tab_Calculs[[#This Row],[Ratio_Cout_avant_debut]]</f>
        <v>#VALUE!</v>
      </c>
      <c r="S1331" t="str">
        <f ca="1">IFERROR(N1331*VLOOKUP(Tab_Calculs[[#This Row],[Colonne1]],Controle_des_données!$B$7:$G$14,6,FALSE),"")</f>
        <v/>
      </c>
      <c r="T1331" t="str">
        <f ca="1">IF(Tab_Calculs[[#This Row],[Combustible ]]="Electricité (kWh)",Tab_Calculs[[#This Row],[Conso_mois_kWh]]*2.3,Tab_Calculs[[#This Row],[Conso_mois_kWh]])</f>
        <v/>
      </c>
      <c r="U1331" t="str">
        <f ca="1">IFERROR(N1331*VLOOKUP(Tab_Calculs[[#This Row],[Colonne1]],Controle_des_données!$B$7:$H$14,7,FALSE),"")</f>
        <v/>
      </c>
      <c r="V1331">
        <f ca="1">IFERROR(Tab_Calculs[[#This Row],[Cout_mois]]/Tab_Calculs[[#This Row],[Conso_mois_kWh]],0)</f>
        <v>0</v>
      </c>
      <c r="W1331" t="str">
        <f>T(VLOOKUP(Tab_Calculs[[#This Row],[Compteur]],Site!$B$33:$G$40,3,FALSE))</f>
        <v/>
      </c>
      <c r="X1331" t="str">
        <f>T(VLOOKUP(Tab_Calculs[[#This Row],[Compteur]],Site!$B$33:$G$40,4,FALSE))</f>
        <v/>
      </c>
      <c r="Y1331" t="str">
        <f>T(VLOOKUP(Tab_Calculs[[#This Row],[Compteur]],Site!$B$33:$G$40,5,FALSE))</f>
        <v/>
      </c>
      <c r="Z1331" t="str">
        <f>T(VLOOKUP(Tab_Calculs[[#This Row],[Compteur]],Site!$B$33:$G$40,6,FALSE))</f>
        <v/>
      </c>
      <c r="AA1331">
        <f>IFERROR(GETPIVOTDATA("DJU(chauffagiste)",BDD_DJU!$P$13,"annee",Tab_Calculs[[#This Row],[ANNEE]],"mois_numero",Tab_Calculs[[#This Row],[MOIS]]),0)</f>
        <v>0</v>
      </c>
    </row>
    <row r="1332" spans="1:27" x14ac:dyDescent="0.25">
      <c r="A1332" s="3">
        <f>DATE(Tab_Calculs[[#This Row],[ANNEE]],Tab_Calculs[[#This Row],[MOIS]],1)</f>
        <v>45383</v>
      </c>
      <c r="B1332" s="3">
        <f>EDATE(Tab_Calculs[[#This Row],[Début mois]],1)-1</f>
        <v>45412</v>
      </c>
      <c r="C1332">
        <f t="shared" si="45"/>
        <v>4</v>
      </c>
      <c r="D1332">
        <f t="shared" si="47"/>
        <v>2024</v>
      </c>
      <c r="E1332" t="s">
        <v>86</v>
      </c>
      <c r="F1332" t="str">
        <f>SUBSTITUTE(Tab_Calculs[[#This Row],[Compteur]]," ","_")</f>
        <v>Compteur_7</v>
      </c>
      <c r="G1332" t="str">
        <f>T(INDEX(Site!$B$33:$G$40, MATCH(Tab_Calculs[[#This Row],[Compteur]], Site!$B$33:$B$40,0),2))</f>
        <v/>
      </c>
      <c r="H1332" s="3">
        <f t="array" aca="1" ref="H1332" ca="1">MIN(IF(INDIRECT(CONCATENATE(Tab_Calculs[[#This Row],[Colonne1]],"!$B$2:$B$243"))&gt;=Calculs_Consos!$A1332,INDIRECT(CONCATENATE(Tab_Calculs[[#This Row],[Colonne1]],"!$B$2:$B$243"))))</f>
        <v>0</v>
      </c>
      <c r="I1332" s="3">
        <f ca="1">INDEX(INDIRECT(CONCATENATE("Tab_",Tab_Calculs[[#This Row],[Colonne1]])),Tab_Calculs[[#This Row],[index_date_livraison]],1)</f>
        <v>0</v>
      </c>
      <c r="J1332">
        <f ca="1">MATCH(Tab_Calculs[[#This Row],[Date_livraison]],INDIRECT(CONCATENATE("Tab_",Tab_Calculs[[#This Row],[Colonne1]],"[Fin de période]")),0)</f>
        <v>1</v>
      </c>
      <c r="K1332" t="e">
        <f ca="1">INDEX(INDIRECT(CONCATENATE("Tab_",Tab_Calculs[[#This Row],[Colonne1]])),Tab_Calculs[[#This Row],[index_date_livraison]]-1,6)*(MAX(Tab_Calculs[[#This Row],[Début periode livraison]],Tab_Calculs[[#This Row],[Début mois]])-Tab_Calculs[[#This Row],[Début mois]])</f>
        <v>#VALUE!</v>
      </c>
      <c r="L1332" s="94">
        <f ca="1">INDEX(INDIRECT(CONCATENATE("Tab_",Tab_Calculs[[#This Row],[Colonne1]])),Tab_Calculs[[#This Row],[index_date_livraison]],6)*(1+MIN(Tab_Calculs[[#This Row],[Date_livraison]],Tab_Calculs[[#This Row],[fin mois]])-MAX(Tab_Calculs[[#This Row],[Début mois]],Tab_Calculs[[#This Row],[Début periode livraison]]))</f>
        <v>0</v>
      </c>
      <c r="M1332" s="94" t="e">
        <f ca="1">INDEX(INDIRECT(CONCATENATE("Tab_",Tab_Calculs[[#This Row],[Colonne1]])),Tab_Calculs[[#This Row],[index_date_livraison]]+1,6)*(Tab_Calculs[[#This Row],[fin mois]]-MIN(Tab_Calculs[[#This Row],[fin mois]],Tab_Calculs[[#This Row],[Date_livraison]]))</f>
        <v>#VALUE!</v>
      </c>
      <c r="N1332" s="231" t="str">
        <f ca="1">IFERROR(Tab_Calculs[[#This Row],[Ratio_jour_après_livr]]+Tab_Calculs[[#This Row],[Ratio_jour_avant_livr]]+Tab_Calculs[[#This Row],[ratio_avant_debut]],"")</f>
        <v/>
      </c>
      <c r="O1332" t="e">
        <f ca="1">INDEX(INDIRECT(CONCATENATE("Tab_",Tab_Calculs[[#This Row],[Colonne1]])),Tab_Calculs[[#This Row],[index_date_livraison]]-1,7)*(MAX(Tab_Calculs[[#This Row],[Début periode livraison]],Tab_Calculs[[#This Row],[Début mois]])-Tab_Calculs[[#This Row],[Début mois]])</f>
        <v>#VALUE!</v>
      </c>
      <c r="P1332">
        <f ca="1">INDEX(INDIRECT(CONCATENATE("Tab_",Tab_Calculs[[#This Row],[Colonne1]])),Tab_Calculs[[#This Row],[index_date_livraison]],7)*(1+MIN(Tab_Calculs[[#This Row],[Date_livraison]],Tab_Calculs[[#This Row],[fin mois]])-MAX(Tab_Calculs[[#This Row],[Début mois]],Tab_Calculs[[#This Row],[Début periode livraison]]))</f>
        <v>0</v>
      </c>
      <c r="Q1332" t="e">
        <f ca="1">INDEX(INDIRECT(CONCATENATE("Tab_",Tab_Calculs[[#This Row],[Colonne1]])),Tab_Calculs[[#This Row],[index_date_livraison]]+1,7)*(Tab_Calculs[[#This Row],[fin mois]]-MIN(Tab_Calculs[[#This Row],[fin mois]],Tab_Calculs[[#This Row],[Date_livraison]]))</f>
        <v>#VALUE!</v>
      </c>
      <c r="R1332" t="e">
        <f ca="1">Tab_Calculs[[#This Row],[Ratio_Cout_après_livr]]+Tab_Calculs[[#This Row],[Ratio_Cout_avant_livr]]+Tab_Calculs[[#This Row],[Ratio_Cout_avant_debut]]</f>
        <v>#VALUE!</v>
      </c>
      <c r="S1332" t="str">
        <f ca="1">IFERROR(N1332*VLOOKUP(Tab_Calculs[[#This Row],[Colonne1]],Controle_des_données!$B$7:$G$14,6,FALSE),"")</f>
        <v/>
      </c>
      <c r="T1332" t="str">
        <f ca="1">IF(Tab_Calculs[[#This Row],[Combustible ]]="Electricité (kWh)",Tab_Calculs[[#This Row],[Conso_mois_kWh]]*2.3,Tab_Calculs[[#This Row],[Conso_mois_kWh]])</f>
        <v/>
      </c>
      <c r="U1332" t="str">
        <f ca="1">IFERROR(N1332*VLOOKUP(Tab_Calculs[[#This Row],[Colonne1]],Controle_des_données!$B$7:$H$14,7,FALSE),"")</f>
        <v/>
      </c>
      <c r="V1332">
        <f ca="1">IFERROR(Tab_Calculs[[#This Row],[Cout_mois]]/Tab_Calculs[[#This Row],[Conso_mois_kWh]],0)</f>
        <v>0</v>
      </c>
      <c r="W1332" t="str">
        <f>T(VLOOKUP(Tab_Calculs[[#This Row],[Compteur]],Site!$B$33:$G$40,3,FALSE))</f>
        <v/>
      </c>
      <c r="X1332" t="str">
        <f>T(VLOOKUP(Tab_Calculs[[#This Row],[Compteur]],Site!$B$33:$G$40,4,FALSE))</f>
        <v/>
      </c>
      <c r="Y1332" t="str">
        <f>T(VLOOKUP(Tab_Calculs[[#This Row],[Compteur]],Site!$B$33:$G$40,5,FALSE))</f>
        <v/>
      </c>
      <c r="Z1332" t="str">
        <f>T(VLOOKUP(Tab_Calculs[[#This Row],[Compteur]],Site!$B$33:$G$40,6,FALSE))</f>
        <v/>
      </c>
      <c r="AA1332">
        <f>IFERROR(GETPIVOTDATA("DJU(chauffagiste)",BDD_DJU!$P$13,"annee",Tab_Calculs[[#This Row],[ANNEE]],"mois_numero",Tab_Calculs[[#This Row],[MOIS]]),0)</f>
        <v>0</v>
      </c>
    </row>
    <row r="1333" spans="1:27" x14ac:dyDescent="0.25">
      <c r="A1333" s="3">
        <f>DATE(Tab_Calculs[[#This Row],[ANNEE]],Tab_Calculs[[#This Row],[MOIS]],1)</f>
        <v>45413</v>
      </c>
      <c r="B1333" s="3">
        <f>EDATE(Tab_Calculs[[#This Row],[Début mois]],1)-1</f>
        <v>45443</v>
      </c>
      <c r="C1333">
        <f t="shared" si="45"/>
        <v>5</v>
      </c>
      <c r="D1333">
        <f t="shared" si="47"/>
        <v>2024</v>
      </c>
      <c r="E1333" t="s">
        <v>86</v>
      </c>
      <c r="F1333" t="str">
        <f>SUBSTITUTE(Tab_Calculs[[#This Row],[Compteur]]," ","_")</f>
        <v>Compteur_7</v>
      </c>
      <c r="G1333" t="str">
        <f>T(INDEX(Site!$B$33:$G$40, MATCH(Tab_Calculs[[#This Row],[Compteur]], Site!$B$33:$B$40,0),2))</f>
        <v/>
      </c>
      <c r="H1333" s="3">
        <f t="array" aca="1" ref="H1333" ca="1">MIN(IF(INDIRECT(CONCATENATE(Tab_Calculs[[#This Row],[Colonne1]],"!$B$2:$B$243"))&gt;=Calculs_Consos!$A1333,INDIRECT(CONCATENATE(Tab_Calculs[[#This Row],[Colonne1]],"!$B$2:$B$243"))))</f>
        <v>0</v>
      </c>
      <c r="I1333" s="3">
        <f ca="1">INDEX(INDIRECT(CONCATENATE("Tab_",Tab_Calculs[[#This Row],[Colonne1]])),Tab_Calculs[[#This Row],[index_date_livraison]],1)</f>
        <v>0</v>
      </c>
      <c r="J1333">
        <f ca="1">MATCH(Tab_Calculs[[#This Row],[Date_livraison]],INDIRECT(CONCATENATE("Tab_",Tab_Calculs[[#This Row],[Colonne1]],"[Fin de période]")),0)</f>
        <v>1</v>
      </c>
      <c r="K1333" t="e">
        <f ca="1">INDEX(INDIRECT(CONCATENATE("Tab_",Tab_Calculs[[#This Row],[Colonne1]])),Tab_Calculs[[#This Row],[index_date_livraison]]-1,6)*(MAX(Tab_Calculs[[#This Row],[Début periode livraison]],Tab_Calculs[[#This Row],[Début mois]])-Tab_Calculs[[#This Row],[Début mois]])</f>
        <v>#VALUE!</v>
      </c>
      <c r="L1333" s="94">
        <f ca="1">INDEX(INDIRECT(CONCATENATE("Tab_",Tab_Calculs[[#This Row],[Colonne1]])),Tab_Calculs[[#This Row],[index_date_livraison]],6)*(1+MIN(Tab_Calculs[[#This Row],[Date_livraison]],Tab_Calculs[[#This Row],[fin mois]])-MAX(Tab_Calculs[[#This Row],[Début mois]],Tab_Calculs[[#This Row],[Début periode livraison]]))</f>
        <v>0</v>
      </c>
      <c r="M1333" s="94" t="e">
        <f ca="1">INDEX(INDIRECT(CONCATENATE("Tab_",Tab_Calculs[[#This Row],[Colonne1]])),Tab_Calculs[[#This Row],[index_date_livraison]]+1,6)*(Tab_Calculs[[#This Row],[fin mois]]-MIN(Tab_Calculs[[#This Row],[fin mois]],Tab_Calculs[[#This Row],[Date_livraison]]))</f>
        <v>#VALUE!</v>
      </c>
      <c r="N1333" s="231" t="str">
        <f ca="1">IFERROR(Tab_Calculs[[#This Row],[Ratio_jour_après_livr]]+Tab_Calculs[[#This Row],[Ratio_jour_avant_livr]]+Tab_Calculs[[#This Row],[ratio_avant_debut]],"")</f>
        <v/>
      </c>
      <c r="O1333" t="e">
        <f ca="1">INDEX(INDIRECT(CONCATENATE("Tab_",Tab_Calculs[[#This Row],[Colonne1]])),Tab_Calculs[[#This Row],[index_date_livraison]]-1,7)*(MAX(Tab_Calculs[[#This Row],[Début periode livraison]],Tab_Calculs[[#This Row],[Début mois]])-Tab_Calculs[[#This Row],[Début mois]])</f>
        <v>#VALUE!</v>
      </c>
      <c r="P1333">
        <f ca="1">INDEX(INDIRECT(CONCATENATE("Tab_",Tab_Calculs[[#This Row],[Colonne1]])),Tab_Calculs[[#This Row],[index_date_livraison]],7)*(1+MIN(Tab_Calculs[[#This Row],[Date_livraison]],Tab_Calculs[[#This Row],[fin mois]])-MAX(Tab_Calculs[[#This Row],[Début mois]],Tab_Calculs[[#This Row],[Début periode livraison]]))</f>
        <v>0</v>
      </c>
      <c r="Q1333" t="e">
        <f ca="1">INDEX(INDIRECT(CONCATENATE("Tab_",Tab_Calculs[[#This Row],[Colonne1]])),Tab_Calculs[[#This Row],[index_date_livraison]]+1,7)*(Tab_Calculs[[#This Row],[fin mois]]-MIN(Tab_Calculs[[#This Row],[fin mois]],Tab_Calculs[[#This Row],[Date_livraison]]))</f>
        <v>#VALUE!</v>
      </c>
      <c r="R1333" t="e">
        <f ca="1">Tab_Calculs[[#This Row],[Ratio_Cout_après_livr]]+Tab_Calculs[[#This Row],[Ratio_Cout_avant_livr]]+Tab_Calculs[[#This Row],[Ratio_Cout_avant_debut]]</f>
        <v>#VALUE!</v>
      </c>
      <c r="S1333" t="str">
        <f ca="1">IFERROR(N1333*VLOOKUP(Tab_Calculs[[#This Row],[Colonne1]],Controle_des_données!$B$7:$G$14,6,FALSE),"")</f>
        <v/>
      </c>
      <c r="T1333" t="str">
        <f ca="1">IF(Tab_Calculs[[#This Row],[Combustible ]]="Electricité (kWh)",Tab_Calculs[[#This Row],[Conso_mois_kWh]]*2.3,Tab_Calculs[[#This Row],[Conso_mois_kWh]])</f>
        <v/>
      </c>
      <c r="U1333" t="str">
        <f ca="1">IFERROR(N1333*VLOOKUP(Tab_Calculs[[#This Row],[Colonne1]],Controle_des_données!$B$7:$H$14,7,FALSE),"")</f>
        <v/>
      </c>
      <c r="V1333">
        <f ca="1">IFERROR(Tab_Calculs[[#This Row],[Cout_mois]]/Tab_Calculs[[#This Row],[Conso_mois_kWh]],0)</f>
        <v>0</v>
      </c>
      <c r="W1333" t="str">
        <f>T(VLOOKUP(Tab_Calculs[[#This Row],[Compteur]],Site!$B$33:$G$40,3,FALSE))</f>
        <v/>
      </c>
      <c r="X1333" t="str">
        <f>T(VLOOKUP(Tab_Calculs[[#This Row],[Compteur]],Site!$B$33:$G$40,4,FALSE))</f>
        <v/>
      </c>
      <c r="Y1333" t="str">
        <f>T(VLOOKUP(Tab_Calculs[[#This Row],[Compteur]],Site!$B$33:$G$40,5,FALSE))</f>
        <v/>
      </c>
      <c r="Z1333" t="str">
        <f>T(VLOOKUP(Tab_Calculs[[#This Row],[Compteur]],Site!$B$33:$G$40,6,FALSE))</f>
        <v/>
      </c>
      <c r="AA1333">
        <f>IFERROR(GETPIVOTDATA("DJU(chauffagiste)",BDD_DJU!$P$13,"annee",Tab_Calculs[[#This Row],[ANNEE]],"mois_numero",Tab_Calculs[[#This Row],[MOIS]]),0)</f>
        <v>0</v>
      </c>
    </row>
    <row r="1334" spans="1:27" x14ac:dyDescent="0.25">
      <c r="A1334" s="3">
        <f>DATE(Tab_Calculs[[#This Row],[ANNEE]],Tab_Calculs[[#This Row],[MOIS]],1)</f>
        <v>45444</v>
      </c>
      <c r="B1334" s="3">
        <f>EDATE(Tab_Calculs[[#This Row],[Début mois]],1)-1</f>
        <v>45473</v>
      </c>
      <c r="C1334">
        <f t="shared" si="45"/>
        <v>6</v>
      </c>
      <c r="D1334">
        <f t="shared" si="47"/>
        <v>2024</v>
      </c>
      <c r="E1334" t="s">
        <v>86</v>
      </c>
      <c r="F1334" t="str">
        <f>SUBSTITUTE(Tab_Calculs[[#This Row],[Compteur]]," ","_")</f>
        <v>Compteur_7</v>
      </c>
      <c r="G1334" t="str">
        <f>T(INDEX(Site!$B$33:$G$40, MATCH(Tab_Calculs[[#This Row],[Compteur]], Site!$B$33:$B$40,0),2))</f>
        <v/>
      </c>
      <c r="H1334" s="3">
        <f t="array" aca="1" ref="H1334" ca="1">MIN(IF(INDIRECT(CONCATENATE(Tab_Calculs[[#This Row],[Colonne1]],"!$B$2:$B$243"))&gt;=Calculs_Consos!$A1334,INDIRECT(CONCATENATE(Tab_Calculs[[#This Row],[Colonne1]],"!$B$2:$B$243"))))</f>
        <v>0</v>
      </c>
      <c r="I1334" s="3">
        <f ca="1">INDEX(INDIRECT(CONCATENATE("Tab_",Tab_Calculs[[#This Row],[Colonne1]])),Tab_Calculs[[#This Row],[index_date_livraison]],1)</f>
        <v>0</v>
      </c>
      <c r="J1334">
        <f ca="1">MATCH(Tab_Calculs[[#This Row],[Date_livraison]],INDIRECT(CONCATENATE("Tab_",Tab_Calculs[[#This Row],[Colonne1]],"[Fin de période]")),0)</f>
        <v>1</v>
      </c>
      <c r="K1334" t="e">
        <f ca="1">INDEX(INDIRECT(CONCATENATE("Tab_",Tab_Calculs[[#This Row],[Colonne1]])),Tab_Calculs[[#This Row],[index_date_livraison]]-1,6)*(MAX(Tab_Calculs[[#This Row],[Début periode livraison]],Tab_Calculs[[#This Row],[Début mois]])-Tab_Calculs[[#This Row],[Début mois]])</f>
        <v>#VALUE!</v>
      </c>
      <c r="L1334" s="94">
        <f ca="1">INDEX(INDIRECT(CONCATENATE("Tab_",Tab_Calculs[[#This Row],[Colonne1]])),Tab_Calculs[[#This Row],[index_date_livraison]],6)*(1+MIN(Tab_Calculs[[#This Row],[Date_livraison]],Tab_Calculs[[#This Row],[fin mois]])-MAX(Tab_Calculs[[#This Row],[Début mois]],Tab_Calculs[[#This Row],[Début periode livraison]]))</f>
        <v>0</v>
      </c>
      <c r="M1334" s="94" t="e">
        <f ca="1">INDEX(INDIRECT(CONCATENATE("Tab_",Tab_Calculs[[#This Row],[Colonne1]])),Tab_Calculs[[#This Row],[index_date_livraison]]+1,6)*(Tab_Calculs[[#This Row],[fin mois]]-MIN(Tab_Calculs[[#This Row],[fin mois]],Tab_Calculs[[#This Row],[Date_livraison]]))</f>
        <v>#VALUE!</v>
      </c>
      <c r="N1334" s="231" t="str">
        <f ca="1">IFERROR(Tab_Calculs[[#This Row],[Ratio_jour_après_livr]]+Tab_Calculs[[#This Row],[Ratio_jour_avant_livr]]+Tab_Calculs[[#This Row],[ratio_avant_debut]],"")</f>
        <v/>
      </c>
      <c r="O1334" t="e">
        <f ca="1">INDEX(INDIRECT(CONCATENATE("Tab_",Tab_Calculs[[#This Row],[Colonne1]])),Tab_Calculs[[#This Row],[index_date_livraison]]-1,7)*(MAX(Tab_Calculs[[#This Row],[Début periode livraison]],Tab_Calculs[[#This Row],[Début mois]])-Tab_Calculs[[#This Row],[Début mois]])</f>
        <v>#VALUE!</v>
      </c>
      <c r="P1334">
        <f ca="1">INDEX(INDIRECT(CONCATENATE("Tab_",Tab_Calculs[[#This Row],[Colonne1]])),Tab_Calculs[[#This Row],[index_date_livraison]],7)*(1+MIN(Tab_Calculs[[#This Row],[Date_livraison]],Tab_Calculs[[#This Row],[fin mois]])-MAX(Tab_Calculs[[#This Row],[Début mois]],Tab_Calculs[[#This Row],[Début periode livraison]]))</f>
        <v>0</v>
      </c>
      <c r="Q1334" t="e">
        <f ca="1">INDEX(INDIRECT(CONCATENATE("Tab_",Tab_Calculs[[#This Row],[Colonne1]])),Tab_Calculs[[#This Row],[index_date_livraison]]+1,7)*(Tab_Calculs[[#This Row],[fin mois]]-MIN(Tab_Calculs[[#This Row],[fin mois]],Tab_Calculs[[#This Row],[Date_livraison]]))</f>
        <v>#VALUE!</v>
      </c>
      <c r="R1334" t="e">
        <f ca="1">Tab_Calculs[[#This Row],[Ratio_Cout_après_livr]]+Tab_Calculs[[#This Row],[Ratio_Cout_avant_livr]]+Tab_Calculs[[#This Row],[Ratio_Cout_avant_debut]]</f>
        <v>#VALUE!</v>
      </c>
      <c r="S1334" t="str">
        <f ca="1">IFERROR(N1334*VLOOKUP(Tab_Calculs[[#This Row],[Colonne1]],Controle_des_données!$B$7:$G$14,6,FALSE),"")</f>
        <v/>
      </c>
      <c r="T1334" t="str">
        <f ca="1">IF(Tab_Calculs[[#This Row],[Combustible ]]="Electricité (kWh)",Tab_Calculs[[#This Row],[Conso_mois_kWh]]*2.3,Tab_Calculs[[#This Row],[Conso_mois_kWh]])</f>
        <v/>
      </c>
      <c r="U1334" t="str">
        <f ca="1">IFERROR(N1334*VLOOKUP(Tab_Calculs[[#This Row],[Colonne1]],Controle_des_données!$B$7:$H$14,7,FALSE),"")</f>
        <v/>
      </c>
      <c r="V1334">
        <f ca="1">IFERROR(Tab_Calculs[[#This Row],[Cout_mois]]/Tab_Calculs[[#This Row],[Conso_mois_kWh]],0)</f>
        <v>0</v>
      </c>
      <c r="W1334" t="str">
        <f>T(VLOOKUP(Tab_Calculs[[#This Row],[Compteur]],Site!$B$33:$G$40,3,FALSE))</f>
        <v/>
      </c>
      <c r="X1334" t="str">
        <f>T(VLOOKUP(Tab_Calculs[[#This Row],[Compteur]],Site!$B$33:$G$40,4,FALSE))</f>
        <v/>
      </c>
      <c r="Y1334" t="str">
        <f>T(VLOOKUP(Tab_Calculs[[#This Row],[Compteur]],Site!$B$33:$G$40,5,FALSE))</f>
        <v/>
      </c>
      <c r="Z1334" t="str">
        <f>T(VLOOKUP(Tab_Calculs[[#This Row],[Compteur]],Site!$B$33:$G$40,6,FALSE))</f>
        <v/>
      </c>
      <c r="AA1334">
        <f>IFERROR(GETPIVOTDATA("DJU(chauffagiste)",BDD_DJU!$P$13,"annee",Tab_Calculs[[#This Row],[ANNEE]],"mois_numero",Tab_Calculs[[#This Row],[MOIS]]),0)</f>
        <v>0</v>
      </c>
    </row>
    <row r="1335" spans="1:27" x14ac:dyDescent="0.25">
      <c r="A1335" s="3">
        <f>DATE(Tab_Calculs[[#This Row],[ANNEE]],Tab_Calculs[[#This Row],[MOIS]],1)</f>
        <v>45474</v>
      </c>
      <c r="B1335" s="3">
        <f>EDATE(Tab_Calculs[[#This Row],[Début mois]],1)-1</f>
        <v>45504</v>
      </c>
      <c r="C1335">
        <f t="shared" si="45"/>
        <v>7</v>
      </c>
      <c r="D1335">
        <f t="shared" si="47"/>
        <v>2024</v>
      </c>
      <c r="E1335" t="s">
        <v>86</v>
      </c>
      <c r="F1335" t="str">
        <f>SUBSTITUTE(Tab_Calculs[[#This Row],[Compteur]]," ","_")</f>
        <v>Compteur_7</v>
      </c>
      <c r="G1335" t="str">
        <f>T(INDEX(Site!$B$33:$G$40, MATCH(Tab_Calculs[[#This Row],[Compteur]], Site!$B$33:$B$40,0),2))</f>
        <v/>
      </c>
      <c r="H1335" s="3">
        <f t="array" aca="1" ref="H1335" ca="1">MIN(IF(INDIRECT(CONCATENATE(Tab_Calculs[[#This Row],[Colonne1]],"!$B$2:$B$243"))&gt;=Calculs_Consos!$A1335,INDIRECT(CONCATENATE(Tab_Calculs[[#This Row],[Colonne1]],"!$B$2:$B$243"))))</f>
        <v>0</v>
      </c>
      <c r="I1335" s="3">
        <f ca="1">INDEX(INDIRECT(CONCATENATE("Tab_",Tab_Calculs[[#This Row],[Colonne1]])),Tab_Calculs[[#This Row],[index_date_livraison]],1)</f>
        <v>0</v>
      </c>
      <c r="J1335">
        <f ca="1">MATCH(Tab_Calculs[[#This Row],[Date_livraison]],INDIRECT(CONCATENATE("Tab_",Tab_Calculs[[#This Row],[Colonne1]],"[Fin de période]")),0)</f>
        <v>1</v>
      </c>
      <c r="K1335" t="e">
        <f ca="1">INDEX(INDIRECT(CONCATENATE("Tab_",Tab_Calculs[[#This Row],[Colonne1]])),Tab_Calculs[[#This Row],[index_date_livraison]]-1,6)*(MAX(Tab_Calculs[[#This Row],[Début periode livraison]],Tab_Calculs[[#This Row],[Début mois]])-Tab_Calculs[[#This Row],[Début mois]])</f>
        <v>#VALUE!</v>
      </c>
      <c r="L1335" s="94">
        <f ca="1">INDEX(INDIRECT(CONCATENATE("Tab_",Tab_Calculs[[#This Row],[Colonne1]])),Tab_Calculs[[#This Row],[index_date_livraison]],6)*(1+MIN(Tab_Calculs[[#This Row],[Date_livraison]],Tab_Calculs[[#This Row],[fin mois]])-MAX(Tab_Calculs[[#This Row],[Début mois]],Tab_Calculs[[#This Row],[Début periode livraison]]))</f>
        <v>0</v>
      </c>
      <c r="M1335" s="94" t="e">
        <f ca="1">INDEX(INDIRECT(CONCATENATE("Tab_",Tab_Calculs[[#This Row],[Colonne1]])),Tab_Calculs[[#This Row],[index_date_livraison]]+1,6)*(Tab_Calculs[[#This Row],[fin mois]]-MIN(Tab_Calculs[[#This Row],[fin mois]],Tab_Calculs[[#This Row],[Date_livraison]]))</f>
        <v>#VALUE!</v>
      </c>
      <c r="N1335" s="231" t="str">
        <f ca="1">IFERROR(Tab_Calculs[[#This Row],[Ratio_jour_après_livr]]+Tab_Calculs[[#This Row],[Ratio_jour_avant_livr]]+Tab_Calculs[[#This Row],[ratio_avant_debut]],"")</f>
        <v/>
      </c>
      <c r="O1335" t="e">
        <f ca="1">INDEX(INDIRECT(CONCATENATE("Tab_",Tab_Calculs[[#This Row],[Colonne1]])),Tab_Calculs[[#This Row],[index_date_livraison]]-1,7)*(MAX(Tab_Calculs[[#This Row],[Début periode livraison]],Tab_Calculs[[#This Row],[Début mois]])-Tab_Calculs[[#This Row],[Début mois]])</f>
        <v>#VALUE!</v>
      </c>
      <c r="P1335">
        <f ca="1">INDEX(INDIRECT(CONCATENATE("Tab_",Tab_Calculs[[#This Row],[Colonne1]])),Tab_Calculs[[#This Row],[index_date_livraison]],7)*(1+MIN(Tab_Calculs[[#This Row],[Date_livraison]],Tab_Calculs[[#This Row],[fin mois]])-MAX(Tab_Calculs[[#This Row],[Début mois]],Tab_Calculs[[#This Row],[Début periode livraison]]))</f>
        <v>0</v>
      </c>
      <c r="Q1335" t="e">
        <f ca="1">INDEX(INDIRECT(CONCATENATE("Tab_",Tab_Calculs[[#This Row],[Colonne1]])),Tab_Calculs[[#This Row],[index_date_livraison]]+1,7)*(Tab_Calculs[[#This Row],[fin mois]]-MIN(Tab_Calculs[[#This Row],[fin mois]],Tab_Calculs[[#This Row],[Date_livraison]]))</f>
        <v>#VALUE!</v>
      </c>
      <c r="R1335" t="e">
        <f ca="1">Tab_Calculs[[#This Row],[Ratio_Cout_après_livr]]+Tab_Calculs[[#This Row],[Ratio_Cout_avant_livr]]+Tab_Calculs[[#This Row],[Ratio_Cout_avant_debut]]</f>
        <v>#VALUE!</v>
      </c>
      <c r="S1335" t="str">
        <f ca="1">IFERROR(N1335*VLOOKUP(Tab_Calculs[[#This Row],[Colonne1]],Controle_des_données!$B$7:$G$14,6,FALSE),"")</f>
        <v/>
      </c>
      <c r="T1335" t="str">
        <f ca="1">IF(Tab_Calculs[[#This Row],[Combustible ]]="Electricité (kWh)",Tab_Calculs[[#This Row],[Conso_mois_kWh]]*2.3,Tab_Calculs[[#This Row],[Conso_mois_kWh]])</f>
        <v/>
      </c>
      <c r="U1335" t="str">
        <f ca="1">IFERROR(N1335*VLOOKUP(Tab_Calculs[[#This Row],[Colonne1]],Controle_des_données!$B$7:$H$14,7,FALSE),"")</f>
        <v/>
      </c>
      <c r="V1335">
        <f ca="1">IFERROR(Tab_Calculs[[#This Row],[Cout_mois]]/Tab_Calculs[[#This Row],[Conso_mois_kWh]],0)</f>
        <v>0</v>
      </c>
      <c r="W1335" t="str">
        <f>T(VLOOKUP(Tab_Calculs[[#This Row],[Compteur]],Site!$B$33:$G$40,3,FALSE))</f>
        <v/>
      </c>
      <c r="X1335" t="str">
        <f>T(VLOOKUP(Tab_Calculs[[#This Row],[Compteur]],Site!$B$33:$G$40,4,FALSE))</f>
        <v/>
      </c>
      <c r="Y1335" t="str">
        <f>T(VLOOKUP(Tab_Calculs[[#This Row],[Compteur]],Site!$B$33:$G$40,5,FALSE))</f>
        <v/>
      </c>
      <c r="Z1335" t="str">
        <f>T(VLOOKUP(Tab_Calculs[[#This Row],[Compteur]],Site!$B$33:$G$40,6,FALSE))</f>
        <v/>
      </c>
      <c r="AA1335">
        <f>IFERROR(GETPIVOTDATA("DJU(chauffagiste)",BDD_DJU!$P$13,"annee",Tab_Calculs[[#This Row],[ANNEE]],"mois_numero",Tab_Calculs[[#This Row],[MOIS]]),0)</f>
        <v>0</v>
      </c>
    </row>
    <row r="1336" spans="1:27" x14ac:dyDescent="0.25">
      <c r="A1336" s="3">
        <f>DATE(Tab_Calculs[[#This Row],[ANNEE]],Tab_Calculs[[#This Row],[MOIS]],1)</f>
        <v>45505</v>
      </c>
      <c r="B1336" s="3">
        <f>EDATE(Tab_Calculs[[#This Row],[Début mois]],1)-1</f>
        <v>45535</v>
      </c>
      <c r="C1336">
        <f t="shared" si="45"/>
        <v>8</v>
      </c>
      <c r="D1336">
        <f t="shared" si="47"/>
        <v>2024</v>
      </c>
      <c r="E1336" t="s">
        <v>86</v>
      </c>
      <c r="F1336" t="str">
        <f>SUBSTITUTE(Tab_Calculs[[#This Row],[Compteur]]," ","_")</f>
        <v>Compteur_7</v>
      </c>
      <c r="G1336" t="str">
        <f>T(INDEX(Site!$B$33:$G$40, MATCH(Tab_Calculs[[#This Row],[Compteur]], Site!$B$33:$B$40,0),2))</f>
        <v/>
      </c>
      <c r="H1336" s="3">
        <f t="array" aca="1" ref="H1336" ca="1">MIN(IF(INDIRECT(CONCATENATE(Tab_Calculs[[#This Row],[Colonne1]],"!$B$2:$B$243"))&gt;=Calculs_Consos!$A1336,INDIRECT(CONCATENATE(Tab_Calculs[[#This Row],[Colonne1]],"!$B$2:$B$243"))))</f>
        <v>0</v>
      </c>
      <c r="I1336" s="3">
        <f ca="1">INDEX(INDIRECT(CONCATENATE("Tab_",Tab_Calculs[[#This Row],[Colonne1]])),Tab_Calculs[[#This Row],[index_date_livraison]],1)</f>
        <v>0</v>
      </c>
      <c r="J1336">
        <f ca="1">MATCH(Tab_Calculs[[#This Row],[Date_livraison]],INDIRECT(CONCATENATE("Tab_",Tab_Calculs[[#This Row],[Colonne1]],"[Fin de période]")),0)</f>
        <v>1</v>
      </c>
      <c r="K1336" t="e">
        <f ca="1">INDEX(INDIRECT(CONCATENATE("Tab_",Tab_Calculs[[#This Row],[Colonne1]])),Tab_Calculs[[#This Row],[index_date_livraison]]-1,6)*(MAX(Tab_Calculs[[#This Row],[Début periode livraison]],Tab_Calculs[[#This Row],[Début mois]])-Tab_Calculs[[#This Row],[Début mois]])</f>
        <v>#VALUE!</v>
      </c>
      <c r="L1336" s="94">
        <f ca="1">INDEX(INDIRECT(CONCATENATE("Tab_",Tab_Calculs[[#This Row],[Colonne1]])),Tab_Calculs[[#This Row],[index_date_livraison]],6)*(1+MIN(Tab_Calculs[[#This Row],[Date_livraison]],Tab_Calculs[[#This Row],[fin mois]])-MAX(Tab_Calculs[[#This Row],[Début mois]],Tab_Calculs[[#This Row],[Début periode livraison]]))</f>
        <v>0</v>
      </c>
      <c r="M1336" s="94" t="e">
        <f ca="1">INDEX(INDIRECT(CONCATENATE("Tab_",Tab_Calculs[[#This Row],[Colonne1]])),Tab_Calculs[[#This Row],[index_date_livraison]]+1,6)*(Tab_Calculs[[#This Row],[fin mois]]-MIN(Tab_Calculs[[#This Row],[fin mois]],Tab_Calculs[[#This Row],[Date_livraison]]))</f>
        <v>#VALUE!</v>
      </c>
      <c r="N1336" s="231" t="str">
        <f ca="1">IFERROR(Tab_Calculs[[#This Row],[Ratio_jour_après_livr]]+Tab_Calculs[[#This Row],[Ratio_jour_avant_livr]]+Tab_Calculs[[#This Row],[ratio_avant_debut]],"")</f>
        <v/>
      </c>
      <c r="O1336" t="e">
        <f ca="1">INDEX(INDIRECT(CONCATENATE("Tab_",Tab_Calculs[[#This Row],[Colonne1]])),Tab_Calculs[[#This Row],[index_date_livraison]]-1,7)*(MAX(Tab_Calculs[[#This Row],[Début periode livraison]],Tab_Calculs[[#This Row],[Début mois]])-Tab_Calculs[[#This Row],[Début mois]])</f>
        <v>#VALUE!</v>
      </c>
      <c r="P1336">
        <f ca="1">INDEX(INDIRECT(CONCATENATE("Tab_",Tab_Calculs[[#This Row],[Colonne1]])),Tab_Calculs[[#This Row],[index_date_livraison]],7)*(1+MIN(Tab_Calculs[[#This Row],[Date_livraison]],Tab_Calculs[[#This Row],[fin mois]])-MAX(Tab_Calculs[[#This Row],[Début mois]],Tab_Calculs[[#This Row],[Début periode livraison]]))</f>
        <v>0</v>
      </c>
      <c r="Q1336" t="e">
        <f ca="1">INDEX(INDIRECT(CONCATENATE("Tab_",Tab_Calculs[[#This Row],[Colonne1]])),Tab_Calculs[[#This Row],[index_date_livraison]]+1,7)*(Tab_Calculs[[#This Row],[fin mois]]-MIN(Tab_Calculs[[#This Row],[fin mois]],Tab_Calculs[[#This Row],[Date_livraison]]))</f>
        <v>#VALUE!</v>
      </c>
      <c r="R1336" t="e">
        <f ca="1">Tab_Calculs[[#This Row],[Ratio_Cout_après_livr]]+Tab_Calculs[[#This Row],[Ratio_Cout_avant_livr]]+Tab_Calculs[[#This Row],[Ratio_Cout_avant_debut]]</f>
        <v>#VALUE!</v>
      </c>
      <c r="S1336" t="str">
        <f ca="1">IFERROR(N1336*VLOOKUP(Tab_Calculs[[#This Row],[Colonne1]],Controle_des_données!$B$7:$G$14,6,FALSE),"")</f>
        <v/>
      </c>
      <c r="T1336" t="str">
        <f ca="1">IF(Tab_Calculs[[#This Row],[Combustible ]]="Electricité (kWh)",Tab_Calculs[[#This Row],[Conso_mois_kWh]]*2.3,Tab_Calculs[[#This Row],[Conso_mois_kWh]])</f>
        <v/>
      </c>
      <c r="U1336" t="str">
        <f ca="1">IFERROR(N1336*VLOOKUP(Tab_Calculs[[#This Row],[Colonne1]],Controle_des_données!$B$7:$H$14,7,FALSE),"")</f>
        <v/>
      </c>
      <c r="V1336">
        <f ca="1">IFERROR(Tab_Calculs[[#This Row],[Cout_mois]]/Tab_Calculs[[#This Row],[Conso_mois_kWh]],0)</f>
        <v>0</v>
      </c>
      <c r="W1336" t="str">
        <f>T(VLOOKUP(Tab_Calculs[[#This Row],[Compteur]],Site!$B$33:$G$40,3,FALSE))</f>
        <v/>
      </c>
      <c r="X1336" t="str">
        <f>T(VLOOKUP(Tab_Calculs[[#This Row],[Compteur]],Site!$B$33:$G$40,4,FALSE))</f>
        <v/>
      </c>
      <c r="Y1336" t="str">
        <f>T(VLOOKUP(Tab_Calculs[[#This Row],[Compteur]],Site!$B$33:$G$40,5,FALSE))</f>
        <v/>
      </c>
      <c r="Z1336" t="str">
        <f>T(VLOOKUP(Tab_Calculs[[#This Row],[Compteur]],Site!$B$33:$G$40,6,FALSE))</f>
        <v/>
      </c>
      <c r="AA1336">
        <f>IFERROR(GETPIVOTDATA("DJU(chauffagiste)",BDD_DJU!$P$13,"annee",Tab_Calculs[[#This Row],[ANNEE]],"mois_numero",Tab_Calculs[[#This Row],[MOIS]]),0)</f>
        <v>0</v>
      </c>
    </row>
    <row r="1337" spans="1:27" x14ac:dyDescent="0.25">
      <c r="A1337" s="3">
        <f>DATE(Tab_Calculs[[#This Row],[ANNEE]],Tab_Calculs[[#This Row],[MOIS]],1)</f>
        <v>45536</v>
      </c>
      <c r="B1337" s="3">
        <f>EDATE(Tab_Calculs[[#This Row],[Début mois]],1)-1</f>
        <v>45565</v>
      </c>
      <c r="C1337">
        <f t="shared" si="45"/>
        <v>9</v>
      </c>
      <c r="D1337">
        <f t="shared" si="47"/>
        <v>2024</v>
      </c>
      <c r="E1337" t="s">
        <v>86</v>
      </c>
      <c r="F1337" t="str">
        <f>SUBSTITUTE(Tab_Calculs[[#This Row],[Compteur]]," ","_")</f>
        <v>Compteur_7</v>
      </c>
      <c r="G1337" t="str">
        <f>T(INDEX(Site!$B$33:$G$40, MATCH(Tab_Calculs[[#This Row],[Compteur]], Site!$B$33:$B$40,0),2))</f>
        <v/>
      </c>
      <c r="H1337" s="3">
        <f t="array" aca="1" ref="H1337" ca="1">MIN(IF(INDIRECT(CONCATENATE(Tab_Calculs[[#This Row],[Colonne1]],"!$B$2:$B$243"))&gt;=Calculs_Consos!$A1337,INDIRECT(CONCATENATE(Tab_Calculs[[#This Row],[Colonne1]],"!$B$2:$B$243"))))</f>
        <v>0</v>
      </c>
      <c r="I1337" s="3">
        <f ca="1">INDEX(INDIRECT(CONCATENATE("Tab_",Tab_Calculs[[#This Row],[Colonne1]])),Tab_Calculs[[#This Row],[index_date_livraison]],1)</f>
        <v>0</v>
      </c>
      <c r="J1337">
        <f ca="1">MATCH(Tab_Calculs[[#This Row],[Date_livraison]],INDIRECT(CONCATENATE("Tab_",Tab_Calculs[[#This Row],[Colonne1]],"[Fin de période]")),0)</f>
        <v>1</v>
      </c>
      <c r="K1337" t="e">
        <f ca="1">INDEX(INDIRECT(CONCATENATE("Tab_",Tab_Calculs[[#This Row],[Colonne1]])),Tab_Calculs[[#This Row],[index_date_livraison]]-1,6)*(MAX(Tab_Calculs[[#This Row],[Début periode livraison]],Tab_Calculs[[#This Row],[Début mois]])-Tab_Calculs[[#This Row],[Début mois]])</f>
        <v>#VALUE!</v>
      </c>
      <c r="L1337" s="94">
        <f ca="1">INDEX(INDIRECT(CONCATENATE("Tab_",Tab_Calculs[[#This Row],[Colonne1]])),Tab_Calculs[[#This Row],[index_date_livraison]],6)*(1+MIN(Tab_Calculs[[#This Row],[Date_livraison]],Tab_Calculs[[#This Row],[fin mois]])-MAX(Tab_Calculs[[#This Row],[Début mois]],Tab_Calculs[[#This Row],[Début periode livraison]]))</f>
        <v>0</v>
      </c>
      <c r="M1337" s="94" t="e">
        <f ca="1">INDEX(INDIRECT(CONCATENATE("Tab_",Tab_Calculs[[#This Row],[Colonne1]])),Tab_Calculs[[#This Row],[index_date_livraison]]+1,6)*(Tab_Calculs[[#This Row],[fin mois]]-MIN(Tab_Calculs[[#This Row],[fin mois]],Tab_Calculs[[#This Row],[Date_livraison]]))</f>
        <v>#VALUE!</v>
      </c>
      <c r="N1337" s="231" t="str">
        <f ca="1">IFERROR(Tab_Calculs[[#This Row],[Ratio_jour_après_livr]]+Tab_Calculs[[#This Row],[Ratio_jour_avant_livr]]+Tab_Calculs[[#This Row],[ratio_avant_debut]],"")</f>
        <v/>
      </c>
      <c r="O1337" t="e">
        <f ca="1">INDEX(INDIRECT(CONCATENATE("Tab_",Tab_Calculs[[#This Row],[Colonne1]])),Tab_Calculs[[#This Row],[index_date_livraison]]-1,7)*(MAX(Tab_Calculs[[#This Row],[Début periode livraison]],Tab_Calculs[[#This Row],[Début mois]])-Tab_Calculs[[#This Row],[Début mois]])</f>
        <v>#VALUE!</v>
      </c>
      <c r="P1337">
        <f ca="1">INDEX(INDIRECT(CONCATENATE("Tab_",Tab_Calculs[[#This Row],[Colonne1]])),Tab_Calculs[[#This Row],[index_date_livraison]],7)*(1+MIN(Tab_Calculs[[#This Row],[Date_livraison]],Tab_Calculs[[#This Row],[fin mois]])-MAX(Tab_Calculs[[#This Row],[Début mois]],Tab_Calculs[[#This Row],[Début periode livraison]]))</f>
        <v>0</v>
      </c>
      <c r="Q1337" t="e">
        <f ca="1">INDEX(INDIRECT(CONCATENATE("Tab_",Tab_Calculs[[#This Row],[Colonne1]])),Tab_Calculs[[#This Row],[index_date_livraison]]+1,7)*(Tab_Calculs[[#This Row],[fin mois]]-MIN(Tab_Calculs[[#This Row],[fin mois]],Tab_Calculs[[#This Row],[Date_livraison]]))</f>
        <v>#VALUE!</v>
      </c>
      <c r="R1337" t="e">
        <f ca="1">Tab_Calculs[[#This Row],[Ratio_Cout_après_livr]]+Tab_Calculs[[#This Row],[Ratio_Cout_avant_livr]]+Tab_Calculs[[#This Row],[Ratio_Cout_avant_debut]]</f>
        <v>#VALUE!</v>
      </c>
      <c r="S1337" t="str">
        <f ca="1">IFERROR(N1337*VLOOKUP(Tab_Calculs[[#This Row],[Colonne1]],Controle_des_données!$B$7:$G$14,6,FALSE),"")</f>
        <v/>
      </c>
      <c r="T1337" t="str">
        <f ca="1">IF(Tab_Calculs[[#This Row],[Combustible ]]="Electricité (kWh)",Tab_Calculs[[#This Row],[Conso_mois_kWh]]*2.3,Tab_Calculs[[#This Row],[Conso_mois_kWh]])</f>
        <v/>
      </c>
      <c r="U1337" t="str">
        <f ca="1">IFERROR(N1337*VLOOKUP(Tab_Calculs[[#This Row],[Colonne1]],Controle_des_données!$B$7:$H$14,7,FALSE),"")</f>
        <v/>
      </c>
      <c r="V1337">
        <f ca="1">IFERROR(Tab_Calculs[[#This Row],[Cout_mois]]/Tab_Calculs[[#This Row],[Conso_mois_kWh]],0)</f>
        <v>0</v>
      </c>
      <c r="W1337" t="str">
        <f>T(VLOOKUP(Tab_Calculs[[#This Row],[Compteur]],Site!$B$33:$G$40,3,FALSE))</f>
        <v/>
      </c>
      <c r="X1337" t="str">
        <f>T(VLOOKUP(Tab_Calculs[[#This Row],[Compteur]],Site!$B$33:$G$40,4,FALSE))</f>
        <v/>
      </c>
      <c r="Y1337" t="str">
        <f>T(VLOOKUP(Tab_Calculs[[#This Row],[Compteur]],Site!$B$33:$G$40,5,FALSE))</f>
        <v/>
      </c>
      <c r="Z1337" t="str">
        <f>T(VLOOKUP(Tab_Calculs[[#This Row],[Compteur]],Site!$B$33:$G$40,6,FALSE))</f>
        <v/>
      </c>
      <c r="AA1337">
        <f>IFERROR(GETPIVOTDATA("DJU(chauffagiste)",BDD_DJU!$P$13,"annee",Tab_Calculs[[#This Row],[ANNEE]],"mois_numero",Tab_Calculs[[#This Row],[MOIS]]),0)</f>
        <v>0</v>
      </c>
    </row>
    <row r="1338" spans="1:27" x14ac:dyDescent="0.25">
      <c r="A1338" s="3">
        <f>DATE(Tab_Calculs[[#This Row],[ANNEE]],Tab_Calculs[[#This Row],[MOIS]],1)</f>
        <v>45566</v>
      </c>
      <c r="B1338" s="3">
        <f>EDATE(Tab_Calculs[[#This Row],[Début mois]],1)-1</f>
        <v>45596</v>
      </c>
      <c r="C1338">
        <f t="shared" si="45"/>
        <v>10</v>
      </c>
      <c r="D1338">
        <f t="shared" si="47"/>
        <v>2024</v>
      </c>
      <c r="E1338" t="s">
        <v>86</v>
      </c>
      <c r="F1338" t="str">
        <f>SUBSTITUTE(Tab_Calculs[[#This Row],[Compteur]]," ","_")</f>
        <v>Compteur_7</v>
      </c>
      <c r="G1338" t="str">
        <f>T(INDEX(Site!$B$33:$G$40, MATCH(Tab_Calculs[[#This Row],[Compteur]], Site!$B$33:$B$40,0),2))</f>
        <v/>
      </c>
      <c r="H1338" s="3">
        <f t="array" aca="1" ref="H1338" ca="1">MIN(IF(INDIRECT(CONCATENATE(Tab_Calculs[[#This Row],[Colonne1]],"!$B$2:$B$243"))&gt;=Calculs_Consos!$A1338,INDIRECT(CONCATENATE(Tab_Calculs[[#This Row],[Colonne1]],"!$B$2:$B$243"))))</f>
        <v>0</v>
      </c>
      <c r="I1338" s="3">
        <f ca="1">INDEX(INDIRECT(CONCATENATE("Tab_",Tab_Calculs[[#This Row],[Colonne1]])),Tab_Calculs[[#This Row],[index_date_livraison]],1)</f>
        <v>0</v>
      </c>
      <c r="J1338">
        <f ca="1">MATCH(Tab_Calculs[[#This Row],[Date_livraison]],INDIRECT(CONCATENATE("Tab_",Tab_Calculs[[#This Row],[Colonne1]],"[Fin de période]")),0)</f>
        <v>1</v>
      </c>
      <c r="K1338" t="e">
        <f ca="1">INDEX(INDIRECT(CONCATENATE("Tab_",Tab_Calculs[[#This Row],[Colonne1]])),Tab_Calculs[[#This Row],[index_date_livraison]]-1,6)*(MAX(Tab_Calculs[[#This Row],[Début periode livraison]],Tab_Calculs[[#This Row],[Début mois]])-Tab_Calculs[[#This Row],[Début mois]])</f>
        <v>#VALUE!</v>
      </c>
      <c r="L1338" s="94">
        <f ca="1">INDEX(INDIRECT(CONCATENATE("Tab_",Tab_Calculs[[#This Row],[Colonne1]])),Tab_Calculs[[#This Row],[index_date_livraison]],6)*(1+MIN(Tab_Calculs[[#This Row],[Date_livraison]],Tab_Calculs[[#This Row],[fin mois]])-MAX(Tab_Calculs[[#This Row],[Début mois]],Tab_Calculs[[#This Row],[Début periode livraison]]))</f>
        <v>0</v>
      </c>
      <c r="M1338" s="94" t="e">
        <f ca="1">INDEX(INDIRECT(CONCATENATE("Tab_",Tab_Calculs[[#This Row],[Colonne1]])),Tab_Calculs[[#This Row],[index_date_livraison]]+1,6)*(Tab_Calculs[[#This Row],[fin mois]]-MIN(Tab_Calculs[[#This Row],[fin mois]],Tab_Calculs[[#This Row],[Date_livraison]]))</f>
        <v>#VALUE!</v>
      </c>
      <c r="N1338" s="231" t="str">
        <f ca="1">IFERROR(Tab_Calculs[[#This Row],[Ratio_jour_après_livr]]+Tab_Calculs[[#This Row],[Ratio_jour_avant_livr]]+Tab_Calculs[[#This Row],[ratio_avant_debut]],"")</f>
        <v/>
      </c>
      <c r="O1338" t="e">
        <f ca="1">INDEX(INDIRECT(CONCATENATE("Tab_",Tab_Calculs[[#This Row],[Colonne1]])),Tab_Calculs[[#This Row],[index_date_livraison]]-1,7)*(MAX(Tab_Calculs[[#This Row],[Début periode livraison]],Tab_Calculs[[#This Row],[Début mois]])-Tab_Calculs[[#This Row],[Début mois]])</f>
        <v>#VALUE!</v>
      </c>
      <c r="P1338">
        <f ca="1">INDEX(INDIRECT(CONCATENATE("Tab_",Tab_Calculs[[#This Row],[Colonne1]])),Tab_Calculs[[#This Row],[index_date_livraison]],7)*(1+MIN(Tab_Calculs[[#This Row],[Date_livraison]],Tab_Calculs[[#This Row],[fin mois]])-MAX(Tab_Calculs[[#This Row],[Début mois]],Tab_Calculs[[#This Row],[Début periode livraison]]))</f>
        <v>0</v>
      </c>
      <c r="Q1338" t="e">
        <f ca="1">INDEX(INDIRECT(CONCATENATE("Tab_",Tab_Calculs[[#This Row],[Colonne1]])),Tab_Calculs[[#This Row],[index_date_livraison]]+1,7)*(Tab_Calculs[[#This Row],[fin mois]]-MIN(Tab_Calculs[[#This Row],[fin mois]],Tab_Calculs[[#This Row],[Date_livraison]]))</f>
        <v>#VALUE!</v>
      </c>
      <c r="R1338" t="e">
        <f ca="1">Tab_Calculs[[#This Row],[Ratio_Cout_après_livr]]+Tab_Calculs[[#This Row],[Ratio_Cout_avant_livr]]+Tab_Calculs[[#This Row],[Ratio_Cout_avant_debut]]</f>
        <v>#VALUE!</v>
      </c>
      <c r="S1338" t="str">
        <f ca="1">IFERROR(N1338*VLOOKUP(Tab_Calculs[[#This Row],[Colonne1]],Controle_des_données!$B$7:$G$14,6,FALSE),"")</f>
        <v/>
      </c>
      <c r="T1338" t="str">
        <f ca="1">IF(Tab_Calculs[[#This Row],[Combustible ]]="Electricité (kWh)",Tab_Calculs[[#This Row],[Conso_mois_kWh]]*2.3,Tab_Calculs[[#This Row],[Conso_mois_kWh]])</f>
        <v/>
      </c>
      <c r="U1338" t="str">
        <f ca="1">IFERROR(N1338*VLOOKUP(Tab_Calculs[[#This Row],[Colonne1]],Controle_des_données!$B$7:$H$14,7,FALSE),"")</f>
        <v/>
      </c>
      <c r="V1338">
        <f ca="1">IFERROR(Tab_Calculs[[#This Row],[Cout_mois]]/Tab_Calculs[[#This Row],[Conso_mois_kWh]],0)</f>
        <v>0</v>
      </c>
      <c r="W1338" t="str">
        <f>T(VLOOKUP(Tab_Calculs[[#This Row],[Compteur]],Site!$B$33:$G$40,3,FALSE))</f>
        <v/>
      </c>
      <c r="X1338" t="str">
        <f>T(VLOOKUP(Tab_Calculs[[#This Row],[Compteur]],Site!$B$33:$G$40,4,FALSE))</f>
        <v/>
      </c>
      <c r="Y1338" t="str">
        <f>T(VLOOKUP(Tab_Calculs[[#This Row],[Compteur]],Site!$B$33:$G$40,5,FALSE))</f>
        <v/>
      </c>
      <c r="Z1338" t="str">
        <f>T(VLOOKUP(Tab_Calculs[[#This Row],[Compteur]],Site!$B$33:$G$40,6,FALSE))</f>
        <v/>
      </c>
      <c r="AA1338">
        <f>IFERROR(GETPIVOTDATA("DJU(chauffagiste)",BDD_DJU!$P$13,"annee",Tab_Calculs[[#This Row],[ANNEE]],"mois_numero",Tab_Calculs[[#This Row],[MOIS]]),0)</f>
        <v>0</v>
      </c>
    </row>
    <row r="1339" spans="1:27" x14ac:dyDescent="0.25">
      <c r="A1339" s="3">
        <f>DATE(Tab_Calculs[[#This Row],[ANNEE]],Tab_Calculs[[#This Row],[MOIS]],1)</f>
        <v>45597</v>
      </c>
      <c r="B1339" s="3">
        <f>EDATE(Tab_Calculs[[#This Row],[Début mois]],1)-1</f>
        <v>45626</v>
      </c>
      <c r="C1339">
        <f t="shared" si="45"/>
        <v>11</v>
      </c>
      <c r="D1339">
        <f t="shared" si="47"/>
        <v>2024</v>
      </c>
      <c r="E1339" t="s">
        <v>86</v>
      </c>
      <c r="F1339" t="str">
        <f>SUBSTITUTE(Tab_Calculs[[#This Row],[Compteur]]," ","_")</f>
        <v>Compteur_7</v>
      </c>
      <c r="G1339" t="str">
        <f>T(INDEX(Site!$B$33:$G$40, MATCH(Tab_Calculs[[#This Row],[Compteur]], Site!$B$33:$B$40,0),2))</f>
        <v/>
      </c>
      <c r="H1339" s="3">
        <f t="array" aca="1" ref="H1339" ca="1">MIN(IF(INDIRECT(CONCATENATE(Tab_Calculs[[#This Row],[Colonne1]],"!$B$2:$B$243"))&gt;=Calculs_Consos!$A1339,INDIRECT(CONCATENATE(Tab_Calculs[[#This Row],[Colonne1]],"!$B$2:$B$243"))))</f>
        <v>0</v>
      </c>
      <c r="I1339" s="3">
        <f ca="1">INDEX(INDIRECT(CONCATENATE("Tab_",Tab_Calculs[[#This Row],[Colonne1]])),Tab_Calculs[[#This Row],[index_date_livraison]],1)</f>
        <v>0</v>
      </c>
      <c r="J1339">
        <f ca="1">MATCH(Tab_Calculs[[#This Row],[Date_livraison]],INDIRECT(CONCATENATE("Tab_",Tab_Calculs[[#This Row],[Colonne1]],"[Fin de période]")),0)</f>
        <v>1</v>
      </c>
      <c r="K1339" t="e">
        <f ca="1">INDEX(INDIRECT(CONCATENATE("Tab_",Tab_Calculs[[#This Row],[Colonne1]])),Tab_Calculs[[#This Row],[index_date_livraison]]-1,6)*(MAX(Tab_Calculs[[#This Row],[Début periode livraison]],Tab_Calculs[[#This Row],[Début mois]])-Tab_Calculs[[#This Row],[Début mois]])</f>
        <v>#VALUE!</v>
      </c>
      <c r="L1339" s="94">
        <f ca="1">INDEX(INDIRECT(CONCATENATE("Tab_",Tab_Calculs[[#This Row],[Colonne1]])),Tab_Calculs[[#This Row],[index_date_livraison]],6)*(1+MIN(Tab_Calculs[[#This Row],[Date_livraison]],Tab_Calculs[[#This Row],[fin mois]])-MAX(Tab_Calculs[[#This Row],[Début mois]],Tab_Calculs[[#This Row],[Début periode livraison]]))</f>
        <v>0</v>
      </c>
      <c r="M1339" s="94" t="e">
        <f ca="1">INDEX(INDIRECT(CONCATENATE("Tab_",Tab_Calculs[[#This Row],[Colonne1]])),Tab_Calculs[[#This Row],[index_date_livraison]]+1,6)*(Tab_Calculs[[#This Row],[fin mois]]-MIN(Tab_Calculs[[#This Row],[fin mois]],Tab_Calculs[[#This Row],[Date_livraison]]))</f>
        <v>#VALUE!</v>
      </c>
      <c r="N1339" s="231" t="str">
        <f ca="1">IFERROR(Tab_Calculs[[#This Row],[Ratio_jour_après_livr]]+Tab_Calculs[[#This Row],[Ratio_jour_avant_livr]]+Tab_Calculs[[#This Row],[ratio_avant_debut]],"")</f>
        <v/>
      </c>
      <c r="O1339" t="e">
        <f ca="1">INDEX(INDIRECT(CONCATENATE("Tab_",Tab_Calculs[[#This Row],[Colonne1]])),Tab_Calculs[[#This Row],[index_date_livraison]]-1,7)*(MAX(Tab_Calculs[[#This Row],[Début periode livraison]],Tab_Calculs[[#This Row],[Début mois]])-Tab_Calculs[[#This Row],[Début mois]])</f>
        <v>#VALUE!</v>
      </c>
      <c r="P1339">
        <f ca="1">INDEX(INDIRECT(CONCATENATE("Tab_",Tab_Calculs[[#This Row],[Colonne1]])),Tab_Calculs[[#This Row],[index_date_livraison]],7)*(1+MIN(Tab_Calculs[[#This Row],[Date_livraison]],Tab_Calculs[[#This Row],[fin mois]])-MAX(Tab_Calculs[[#This Row],[Début mois]],Tab_Calculs[[#This Row],[Début periode livraison]]))</f>
        <v>0</v>
      </c>
      <c r="Q1339" t="e">
        <f ca="1">INDEX(INDIRECT(CONCATENATE("Tab_",Tab_Calculs[[#This Row],[Colonne1]])),Tab_Calculs[[#This Row],[index_date_livraison]]+1,7)*(Tab_Calculs[[#This Row],[fin mois]]-MIN(Tab_Calculs[[#This Row],[fin mois]],Tab_Calculs[[#This Row],[Date_livraison]]))</f>
        <v>#VALUE!</v>
      </c>
      <c r="R1339" t="e">
        <f ca="1">Tab_Calculs[[#This Row],[Ratio_Cout_après_livr]]+Tab_Calculs[[#This Row],[Ratio_Cout_avant_livr]]+Tab_Calculs[[#This Row],[Ratio_Cout_avant_debut]]</f>
        <v>#VALUE!</v>
      </c>
      <c r="S1339" t="str">
        <f ca="1">IFERROR(N1339*VLOOKUP(Tab_Calculs[[#This Row],[Colonne1]],Controle_des_données!$B$7:$G$14,6,FALSE),"")</f>
        <v/>
      </c>
      <c r="T1339" t="str">
        <f ca="1">IF(Tab_Calculs[[#This Row],[Combustible ]]="Electricité (kWh)",Tab_Calculs[[#This Row],[Conso_mois_kWh]]*2.3,Tab_Calculs[[#This Row],[Conso_mois_kWh]])</f>
        <v/>
      </c>
      <c r="U1339" t="str">
        <f ca="1">IFERROR(N1339*VLOOKUP(Tab_Calculs[[#This Row],[Colonne1]],Controle_des_données!$B$7:$H$14,7,FALSE),"")</f>
        <v/>
      </c>
      <c r="V1339">
        <f ca="1">IFERROR(Tab_Calculs[[#This Row],[Cout_mois]]/Tab_Calculs[[#This Row],[Conso_mois_kWh]],0)</f>
        <v>0</v>
      </c>
      <c r="W1339" t="str">
        <f>T(VLOOKUP(Tab_Calculs[[#This Row],[Compteur]],Site!$B$33:$G$40,3,FALSE))</f>
        <v/>
      </c>
      <c r="X1339" t="str">
        <f>T(VLOOKUP(Tab_Calculs[[#This Row],[Compteur]],Site!$B$33:$G$40,4,FALSE))</f>
        <v/>
      </c>
      <c r="Y1339" t="str">
        <f>T(VLOOKUP(Tab_Calculs[[#This Row],[Compteur]],Site!$B$33:$G$40,5,FALSE))</f>
        <v/>
      </c>
      <c r="Z1339" t="str">
        <f>T(VLOOKUP(Tab_Calculs[[#This Row],[Compteur]],Site!$B$33:$G$40,6,FALSE))</f>
        <v/>
      </c>
      <c r="AA1339">
        <f>IFERROR(GETPIVOTDATA("DJU(chauffagiste)",BDD_DJU!$P$13,"annee",Tab_Calculs[[#This Row],[ANNEE]],"mois_numero",Tab_Calculs[[#This Row],[MOIS]]),0)</f>
        <v>0</v>
      </c>
    </row>
    <row r="1340" spans="1:27" x14ac:dyDescent="0.25">
      <c r="A1340" s="3">
        <f>DATE(Tab_Calculs[[#This Row],[ANNEE]],Tab_Calculs[[#This Row],[MOIS]],1)</f>
        <v>45627</v>
      </c>
      <c r="B1340" s="3">
        <f>EDATE(Tab_Calculs[[#This Row],[Début mois]],1)-1</f>
        <v>45657</v>
      </c>
      <c r="C1340">
        <f t="shared" si="45"/>
        <v>12</v>
      </c>
      <c r="D1340">
        <f>D1328+1</f>
        <v>2024</v>
      </c>
      <c r="E1340" t="s">
        <v>86</v>
      </c>
      <c r="F1340" t="str">
        <f>SUBSTITUTE(Tab_Calculs[[#This Row],[Compteur]]," ","_")</f>
        <v>Compteur_7</v>
      </c>
      <c r="G1340" t="str">
        <f>T(INDEX(Site!$B$33:$G$40, MATCH(Tab_Calculs[[#This Row],[Compteur]], Site!$B$33:$B$40,0),2))</f>
        <v/>
      </c>
      <c r="H1340" s="3">
        <f t="array" aca="1" ref="H1340" ca="1">MIN(IF(INDIRECT(CONCATENATE(Tab_Calculs[[#This Row],[Colonne1]],"!$B$2:$B$243"))&gt;=Calculs_Consos!$A1340,INDIRECT(CONCATENATE(Tab_Calculs[[#This Row],[Colonne1]],"!$B$2:$B$243"))))</f>
        <v>0</v>
      </c>
      <c r="I1340" s="3">
        <f ca="1">INDEX(INDIRECT(CONCATENATE("Tab_",Tab_Calculs[[#This Row],[Colonne1]])),Tab_Calculs[[#This Row],[index_date_livraison]],1)</f>
        <v>0</v>
      </c>
      <c r="J1340">
        <f ca="1">MATCH(Tab_Calculs[[#This Row],[Date_livraison]],INDIRECT(CONCATENATE("Tab_",Tab_Calculs[[#This Row],[Colonne1]],"[Fin de période]")),0)</f>
        <v>1</v>
      </c>
      <c r="K1340" t="e">
        <f ca="1">INDEX(INDIRECT(CONCATENATE("Tab_",Tab_Calculs[[#This Row],[Colonne1]])),Tab_Calculs[[#This Row],[index_date_livraison]]-1,6)*(MAX(Tab_Calculs[[#This Row],[Début periode livraison]],Tab_Calculs[[#This Row],[Début mois]])-Tab_Calculs[[#This Row],[Début mois]])</f>
        <v>#VALUE!</v>
      </c>
      <c r="L1340" s="94">
        <f ca="1">INDEX(INDIRECT(CONCATENATE("Tab_",Tab_Calculs[[#This Row],[Colonne1]])),Tab_Calculs[[#This Row],[index_date_livraison]],6)*(1+MIN(Tab_Calculs[[#This Row],[Date_livraison]],Tab_Calculs[[#This Row],[fin mois]])-MAX(Tab_Calculs[[#This Row],[Début mois]],Tab_Calculs[[#This Row],[Début periode livraison]]))</f>
        <v>0</v>
      </c>
      <c r="M1340" s="94" t="e">
        <f ca="1">INDEX(INDIRECT(CONCATENATE("Tab_",Tab_Calculs[[#This Row],[Colonne1]])),Tab_Calculs[[#This Row],[index_date_livraison]]+1,6)*(Tab_Calculs[[#This Row],[fin mois]]-MIN(Tab_Calculs[[#This Row],[fin mois]],Tab_Calculs[[#This Row],[Date_livraison]]))</f>
        <v>#VALUE!</v>
      </c>
      <c r="N1340" s="231" t="str">
        <f ca="1">IFERROR(Tab_Calculs[[#This Row],[Ratio_jour_après_livr]]+Tab_Calculs[[#This Row],[Ratio_jour_avant_livr]]+Tab_Calculs[[#This Row],[ratio_avant_debut]],"")</f>
        <v/>
      </c>
      <c r="O1340" t="e">
        <f ca="1">INDEX(INDIRECT(CONCATENATE("Tab_",Tab_Calculs[[#This Row],[Colonne1]])),Tab_Calculs[[#This Row],[index_date_livraison]]-1,7)*(MAX(Tab_Calculs[[#This Row],[Début periode livraison]],Tab_Calculs[[#This Row],[Début mois]])-Tab_Calculs[[#This Row],[Début mois]])</f>
        <v>#VALUE!</v>
      </c>
      <c r="P1340">
        <f ca="1">INDEX(INDIRECT(CONCATENATE("Tab_",Tab_Calculs[[#This Row],[Colonne1]])),Tab_Calculs[[#This Row],[index_date_livraison]],7)*(1+MIN(Tab_Calculs[[#This Row],[Date_livraison]],Tab_Calculs[[#This Row],[fin mois]])-MAX(Tab_Calculs[[#This Row],[Début mois]],Tab_Calculs[[#This Row],[Début periode livraison]]))</f>
        <v>0</v>
      </c>
      <c r="Q1340" t="e">
        <f ca="1">INDEX(INDIRECT(CONCATENATE("Tab_",Tab_Calculs[[#This Row],[Colonne1]])),Tab_Calculs[[#This Row],[index_date_livraison]]+1,7)*(Tab_Calculs[[#This Row],[fin mois]]-MIN(Tab_Calculs[[#This Row],[fin mois]],Tab_Calculs[[#This Row],[Date_livraison]]))</f>
        <v>#VALUE!</v>
      </c>
      <c r="R1340" t="e">
        <f ca="1">Tab_Calculs[[#This Row],[Ratio_Cout_après_livr]]+Tab_Calculs[[#This Row],[Ratio_Cout_avant_livr]]+Tab_Calculs[[#This Row],[Ratio_Cout_avant_debut]]</f>
        <v>#VALUE!</v>
      </c>
      <c r="S1340" t="str">
        <f ca="1">IFERROR(N1340*VLOOKUP(Tab_Calculs[[#This Row],[Colonne1]],Controle_des_données!$B$7:$G$14,6,FALSE),"")</f>
        <v/>
      </c>
      <c r="T1340" t="str">
        <f ca="1">IF(Tab_Calculs[[#This Row],[Combustible ]]="Electricité (kWh)",Tab_Calculs[[#This Row],[Conso_mois_kWh]]*2.3,Tab_Calculs[[#This Row],[Conso_mois_kWh]])</f>
        <v/>
      </c>
      <c r="U1340" t="str">
        <f ca="1">IFERROR(N1340*VLOOKUP(Tab_Calculs[[#This Row],[Colonne1]],Controle_des_données!$B$7:$H$14,7,FALSE),"")</f>
        <v/>
      </c>
      <c r="V1340">
        <f ca="1">IFERROR(Tab_Calculs[[#This Row],[Cout_mois]]/Tab_Calculs[[#This Row],[Conso_mois_kWh]],0)</f>
        <v>0</v>
      </c>
      <c r="W1340" t="str">
        <f>T(VLOOKUP(Tab_Calculs[[#This Row],[Compteur]],Site!$B$33:$G$40,3,FALSE))</f>
        <v/>
      </c>
      <c r="X1340" t="str">
        <f>T(VLOOKUP(Tab_Calculs[[#This Row],[Compteur]],Site!$B$33:$G$40,4,FALSE))</f>
        <v/>
      </c>
      <c r="Y1340" t="str">
        <f>T(VLOOKUP(Tab_Calculs[[#This Row],[Compteur]],Site!$B$33:$G$40,5,FALSE))</f>
        <v/>
      </c>
      <c r="Z1340" t="str">
        <f>T(VLOOKUP(Tab_Calculs[[#This Row],[Compteur]],Site!$B$33:$G$40,6,FALSE))</f>
        <v/>
      </c>
      <c r="AA1340">
        <f>IFERROR(GETPIVOTDATA("DJU(chauffagiste)",BDD_DJU!$P$13,"annee",Tab_Calculs[[#This Row],[ANNEE]],"mois_numero",Tab_Calculs[[#This Row],[MOIS]]),0)</f>
        <v>0</v>
      </c>
    </row>
    <row r="1341" spans="1:27" x14ac:dyDescent="0.25">
      <c r="A1341" s="3">
        <f>DATE(Tab_Calculs[[#This Row],[ANNEE]],Tab_Calculs[[#This Row],[MOIS]],1)</f>
        <v>45658</v>
      </c>
      <c r="B1341" s="3">
        <f>EDATE(Tab_Calculs[[#This Row],[Début mois]],1)-1</f>
        <v>45688</v>
      </c>
      <c r="C1341">
        <f t="shared" si="45"/>
        <v>1</v>
      </c>
      <c r="D1341">
        <f t="shared" ref="D1341:D1352" si="48">D1329+1</f>
        <v>2025</v>
      </c>
      <c r="E1341" t="s">
        <v>86</v>
      </c>
      <c r="F1341" t="str">
        <f>SUBSTITUTE(Tab_Calculs[[#This Row],[Compteur]]," ","_")</f>
        <v>Compteur_7</v>
      </c>
      <c r="G1341" t="str">
        <f>T(INDEX(Site!$B$33:$G$40, MATCH(Tab_Calculs[[#This Row],[Compteur]], Site!$B$33:$B$40,0),2))</f>
        <v/>
      </c>
      <c r="H1341" s="3">
        <f t="array" aca="1" ref="H1341" ca="1">MIN(IF(INDIRECT(CONCATENATE(Tab_Calculs[[#This Row],[Colonne1]],"!$B$2:$B$243"))&gt;=Calculs_Consos!$A1341,INDIRECT(CONCATENATE(Tab_Calculs[[#This Row],[Colonne1]],"!$B$2:$B$243"))))</f>
        <v>0</v>
      </c>
      <c r="I1341" s="3">
        <f ca="1">INDEX(INDIRECT(CONCATENATE("Tab_",Tab_Calculs[[#This Row],[Colonne1]])),Tab_Calculs[[#This Row],[index_date_livraison]],1)</f>
        <v>0</v>
      </c>
      <c r="J1341">
        <f ca="1">MATCH(Tab_Calculs[[#This Row],[Date_livraison]],INDIRECT(CONCATENATE("Tab_",Tab_Calculs[[#This Row],[Colonne1]],"[Fin de période]")),0)</f>
        <v>1</v>
      </c>
      <c r="K1341" t="e">
        <f ca="1">INDEX(INDIRECT(CONCATENATE("Tab_",Tab_Calculs[[#This Row],[Colonne1]])),Tab_Calculs[[#This Row],[index_date_livraison]]-1,6)*(MAX(Tab_Calculs[[#This Row],[Début periode livraison]],Tab_Calculs[[#This Row],[Début mois]])-Tab_Calculs[[#This Row],[Début mois]])</f>
        <v>#VALUE!</v>
      </c>
      <c r="L1341" s="94">
        <f ca="1">INDEX(INDIRECT(CONCATENATE("Tab_",Tab_Calculs[[#This Row],[Colonne1]])),Tab_Calculs[[#This Row],[index_date_livraison]],6)*(1+MIN(Tab_Calculs[[#This Row],[Date_livraison]],Tab_Calculs[[#This Row],[fin mois]])-MAX(Tab_Calculs[[#This Row],[Début mois]],Tab_Calculs[[#This Row],[Début periode livraison]]))</f>
        <v>0</v>
      </c>
      <c r="M1341" s="94" t="e">
        <f ca="1">INDEX(INDIRECT(CONCATENATE("Tab_",Tab_Calculs[[#This Row],[Colonne1]])),Tab_Calculs[[#This Row],[index_date_livraison]]+1,6)*(Tab_Calculs[[#This Row],[fin mois]]-MIN(Tab_Calculs[[#This Row],[fin mois]],Tab_Calculs[[#This Row],[Date_livraison]]))</f>
        <v>#VALUE!</v>
      </c>
      <c r="N1341" s="231" t="str">
        <f ca="1">IFERROR(Tab_Calculs[[#This Row],[Ratio_jour_après_livr]]+Tab_Calculs[[#This Row],[Ratio_jour_avant_livr]]+Tab_Calculs[[#This Row],[ratio_avant_debut]],"")</f>
        <v/>
      </c>
      <c r="O1341" t="e">
        <f ca="1">INDEX(INDIRECT(CONCATENATE("Tab_",Tab_Calculs[[#This Row],[Colonne1]])),Tab_Calculs[[#This Row],[index_date_livraison]]-1,7)*(MAX(Tab_Calculs[[#This Row],[Début periode livraison]],Tab_Calculs[[#This Row],[Début mois]])-Tab_Calculs[[#This Row],[Début mois]])</f>
        <v>#VALUE!</v>
      </c>
      <c r="P1341">
        <f ca="1">INDEX(INDIRECT(CONCATENATE("Tab_",Tab_Calculs[[#This Row],[Colonne1]])),Tab_Calculs[[#This Row],[index_date_livraison]],7)*(1+MIN(Tab_Calculs[[#This Row],[Date_livraison]],Tab_Calculs[[#This Row],[fin mois]])-MAX(Tab_Calculs[[#This Row],[Début mois]],Tab_Calculs[[#This Row],[Début periode livraison]]))</f>
        <v>0</v>
      </c>
      <c r="Q1341" t="e">
        <f ca="1">INDEX(INDIRECT(CONCATENATE("Tab_",Tab_Calculs[[#This Row],[Colonne1]])),Tab_Calculs[[#This Row],[index_date_livraison]]+1,7)*(Tab_Calculs[[#This Row],[fin mois]]-MIN(Tab_Calculs[[#This Row],[fin mois]],Tab_Calculs[[#This Row],[Date_livraison]]))</f>
        <v>#VALUE!</v>
      </c>
      <c r="R1341" t="e">
        <f ca="1">Tab_Calculs[[#This Row],[Ratio_Cout_après_livr]]+Tab_Calculs[[#This Row],[Ratio_Cout_avant_livr]]+Tab_Calculs[[#This Row],[Ratio_Cout_avant_debut]]</f>
        <v>#VALUE!</v>
      </c>
      <c r="S1341" t="str">
        <f ca="1">IFERROR(N1341*VLOOKUP(Tab_Calculs[[#This Row],[Colonne1]],Controle_des_données!$B$7:$G$14,6,FALSE),"")</f>
        <v/>
      </c>
      <c r="T1341" t="str">
        <f ca="1">IF(Tab_Calculs[[#This Row],[Combustible ]]="Electricité (kWh)",Tab_Calculs[[#This Row],[Conso_mois_kWh]]*2.3,Tab_Calculs[[#This Row],[Conso_mois_kWh]])</f>
        <v/>
      </c>
      <c r="U1341" t="str">
        <f ca="1">IFERROR(N1341*VLOOKUP(Tab_Calculs[[#This Row],[Colonne1]],Controle_des_données!$B$7:$H$14,7,FALSE),"")</f>
        <v/>
      </c>
      <c r="V1341">
        <f ca="1">IFERROR(Tab_Calculs[[#This Row],[Cout_mois]]/Tab_Calculs[[#This Row],[Conso_mois_kWh]],0)</f>
        <v>0</v>
      </c>
      <c r="W1341" t="str">
        <f>T(VLOOKUP(Tab_Calculs[[#This Row],[Compteur]],Site!$B$33:$G$40,3,FALSE))</f>
        <v/>
      </c>
      <c r="X1341" t="str">
        <f>T(VLOOKUP(Tab_Calculs[[#This Row],[Compteur]],Site!$B$33:$G$40,4,FALSE))</f>
        <v/>
      </c>
      <c r="Y1341" t="str">
        <f>T(VLOOKUP(Tab_Calculs[[#This Row],[Compteur]],Site!$B$33:$G$40,5,FALSE))</f>
        <v/>
      </c>
      <c r="Z1341" t="str">
        <f>T(VLOOKUP(Tab_Calculs[[#This Row],[Compteur]],Site!$B$33:$G$40,6,FALSE))</f>
        <v/>
      </c>
      <c r="AA1341">
        <f>IFERROR(GETPIVOTDATA("DJU(chauffagiste)",BDD_DJU!$P$13,"annee",Tab_Calculs[[#This Row],[ANNEE]],"mois_numero",Tab_Calculs[[#This Row],[MOIS]]),0)</f>
        <v>0</v>
      </c>
    </row>
    <row r="1342" spans="1:27" x14ac:dyDescent="0.25">
      <c r="A1342" s="3">
        <f>DATE(Tab_Calculs[[#This Row],[ANNEE]],Tab_Calculs[[#This Row],[MOIS]],1)</f>
        <v>45689</v>
      </c>
      <c r="B1342" s="3">
        <f>EDATE(Tab_Calculs[[#This Row],[Début mois]],1)-1</f>
        <v>45716</v>
      </c>
      <c r="C1342">
        <f t="shared" si="45"/>
        <v>2</v>
      </c>
      <c r="D1342">
        <f t="shared" si="48"/>
        <v>2025</v>
      </c>
      <c r="E1342" t="s">
        <v>86</v>
      </c>
      <c r="F1342" t="str">
        <f>SUBSTITUTE(Tab_Calculs[[#This Row],[Compteur]]," ","_")</f>
        <v>Compteur_7</v>
      </c>
      <c r="G1342" t="str">
        <f>T(INDEX(Site!$B$33:$G$40, MATCH(Tab_Calculs[[#This Row],[Compteur]], Site!$B$33:$B$40,0),2))</f>
        <v/>
      </c>
      <c r="H1342" s="3">
        <f t="array" aca="1" ref="H1342" ca="1">MIN(IF(INDIRECT(CONCATENATE(Tab_Calculs[[#This Row],[Colonne1]],"!$B$2:$B$243"))&gt;=Calculs_Consos!$A1342,INDIRECT(CONCATENATE(Tab_Calculs[[#This Row],[Colonne1]],"!$B$2:$B$243"))))</f>
        <v>0</v>
      </c>
      <c r="I1342" s="3">
        <f ca="1">INDEX(INDIRECT(CONCATENATE("Tab_",Tab_Calculs[[#This Row],[Colonne1]])),Tab_Calculs[[#This Row],[index_date_livraison]],1)</f>
        <v>0</v>
      </c>
      <c r="J1342">
        <f ca="1">MATCH(Tab_Calculs[[#This Row],[Date_livraison]],INDIRECT(CONCATENATE("Tab_",Tab_Calculs[[#This Row],[Colonne1]],"[Fin de période]")),0)</f>
        <v>1</v>
      </c>
      <c r="K1342" t="e">
        <f ca="1">INDEX(INDIRECT(CONCATENATE("Tab_",Tab_Calculs[[#This Row],[Colonne1]])),Tab_Calculs[[#This Row],[index_date_livraison]]-1,6)*(MAX(Tab_Calculs[[#This Row],[Début periode livraison]],Tab_Calculs[[#This Row],[Début mois]])-Tab_Calculs[[#This Row],[Début mois]])</f>
        <v>#VALUE!</v>
      </c>
      <c r="L1342" s="94">
        <f ca="1">INDEX(INDIRECT(CONCATENATE("Tab_",Tab_Calculs[[#This Row],[Colonne1]])),Tab_Calculs[[#This Row],[index_date_livraison]],6)*(1+MIN(Tab_Calculs[[#This Row],[Date_livraison]],Tab_Calculs[[#This Row],[fin mois]])-MAX(Tab_Calculs[[#This Row],[Début mois]],Tab_Calculs[[#This Row],[Début periode livraison]]))</f>
        <v>0</v>
      </c>
      <c r="M1342" s="94" t="e">
        <f ca="1">INDEX(INDIRECT(CONCATENATE("Tab_",Tab_Calculs[[#This Row],[Colonne1]])),Tab_Calculs[[#This Row],[index_date_livraison]]+1,6)*(Tab_Calculs[[#This Row],[fin mois]]-MIN(Tab_Calculs[[#This Row],[fin mois]],Tab_Calculs[[#This Row],[Date_livraison]]))</f>
        <v>#VALUE!</v>
      </c>
      <c r="N1342" s="231" t="str">
        <f ca="1">IFERROR(Tab_Calculs[[#This Row],[Ratio_jour_après_livr]]+Tab_Calculs[[#This Row],[Ratio_jour_avant_livr]]+Tab_Calculs[[#This Row],[ratio_avant_debut]],"")</f>
        <v/>
      </c>
      <c r="O1342" t="e">
        <f ca="1">INDEX(INDIRECT(CONCATENATE("Tab_",Tab_Calculs[[#This Row],[Colonne1]])),Tab_Calculs[[#This Row],[index_date_livraison]]-1,7)*(MAX(Tab_Calculs[[#This Row],[Début periode livraison]],Tab_Calculs[[#This Row],[Début mois]])-Tab_Calculs[[#This Row],[Début mois]])</f>
        <v>#VALUE!</v>
      </c>
      <c r="P1342">
        <f ca="1">INDEX(INDIRECT(CONCATENATE("Tab_",Tab_Calculs[[#This Row],[Colonne1]])),Tab_Calculs[[#This Row],[index_date_livraison]],7)*(1+MIN(Tab_Calculs[[#This Row],[Date_livraison]],Tab_Calculs[[#This Row],[fin mois]])-MAX(Tab_Calculs[[#This Row],[Début mois]],Tab_Calculs[[#This Row],[Début periode livraison]]))</f>
        <v>0</v>
      </c>
      <c r="Q1342" t="e">
        <f ca="1">INDEX(INDIRECT(CONCATENATE("Tab_",Tab_Calculs[[#This Row],[Colonne1]])),Tab_Calculs[[#This Row],[index_date_livraison]]+1,7)*(Tab_Calculs[[#This Row],[fin mois]]-MIN(Tab_Calculs[[#This Row],[fin mois]],Tab_Calculs[[#This Row],[Date_livraison]]))</f>
        <v>#VALUE!</v>
      </c>
      <c r="R1342" t="e">
        <f ca="1">Tab_Calculs[[#This Row],[Ratio_Cout_après_livr]]+Tab_Calculs[[#This Row],[Ratio_Cout_avant_livr]]+Tab_Calculs[[#This Row],[Ratio_Cout_avant_debut]]</f>
        <v>#VALUE!</v>
      </c>
      <c r="S1342" t="str">
        <f ca="1">IFERROR(N1342*VLOOKUP(Tab_Calculs[[#This Row],[Colonne1]],Controle_des_données!$B$7:$G$14,6,FALSE),"")</f>
        <v/>
      </c>
      <c r="T1342" t="str">
        <f ca="1">IF(Tab_Calculs[[#This Row],[Combustible ]]="Electricité (kWh)",Tab_Calculs[[#This Row],[Conso_mois_kWh]]*2.3,Tab_Calculs[[#This Row],[Conso_mois_kWh]])</f>
        <v/>
      </c>
      <c r="U1342" t="str">
        <f ca="1">IFERROR(N1342*VLOOKUP(Tab_Calculs[[#This Row],[Colonne1]],Controle_des_données!$B$7:$H$14,7,FALSE),"")</f>
        <v/>
      </c>
      <c r="V1342">
        <f ca="1">IFERROR(Tab_Calculs[[#This Row],[Cout_mois]]/Tab_Calculs[[#This Row],[Conso_mois_kWh]],0)</f>
        <v>0</v>
      </c>
      <c r="W1342" t="str">
        <f>T(VLOOKUP(Tab_Calculs[[#This Row],[Compteur]],Site!$B$33:$G$40,3,FALSE))</f>
        <v/>
      </c>
      <c r="X1342" t="str">
        <f>T(VLOOKUP(Tab_Calculs[[#This Row],[Compteur]],Site!$B$33:$G$40,4,FALSE))</f>
        <v/>
      </c>
      <c r="Y1342" t="str">
        <f>T(VLOOKUP(Tab_Calculs[[#This Row],[Compteur]],Site!$B$33:$G$40,5,FALSE))</f>
        <v/>
      </c>
      <c r="Z1342" t="str">
        <f>T(VLOOKUP(Tab_Calculs[[#This Row],[Compteur]],Site!$B$33:$G$40,6,FALSE))</f>
        <v/>
      </c>
      <c r="AA1342">
        <f>IFERROR(GETPIVOTDATA("DJU(chauffagiste)",BDD_DJU!$P$13,"annee",Tab_Calculs[[#This Row],[ANNEE]],"mois_numero",Tab_Calculs[[#This Row],[MOIS]]),0)</f>
        <v>0</v>
      </c>
    </row>
    <row r="1343" spans="1:27" x14ac:dyDescent="0.25">
      <c r="A1343" s="3">
        <f>DATE(Tab_Calculs[[#This Row],[ANNEE]],Tab_Calculs[[#This Row],[MOIS]],1)</f>
        <v>45717</v>
      </c>
      <c r="B1343" s="3">
        <f>EDATE(Tab_Calculs[[#This Row],[Début mois]],1)-1</f>
        <v>45747</v>
      </c>
      <c r="C1343">
        <f t="shared" si="45"/>
        <v>3</v>
      </c>
      <c r="D1343">
        <f t="shared" si="48"/>
        <v>2025</v>
      </c>
      <c r="E1343" t="s">
        <v>86</v>
      </c>
      <c r="F1343" t="str">
        <f>SUBSTITUTE(Tab_Calculs[[#This Row],[Compteur]]," ","_")</f>
        <v>Compteur_7</v>
      </c>
      <c r="G1343" t="str">
        <f>T(INDEX(Site!$B$33:$G$40, MATCH(Tab_Calculs[[#This Row],[Compteur]], Site!$B$33:$B$40,0),2))</f>
        <v/>
      </c>
      <c r="H1343" s="3">
        <f t="array" aca="1" ref="H1343" ca="1">MIN(IF(INDIRECT(CONCATENATE(Tab_Calculs[[#This Row],[Colonne1]],"!$B$2:$B$243"))&gt;=Calculs_Consos!$A1343,INDIRECT(CONCATENATE(Tab_Calculs[[#This Row],[Colonne1]],"!$B$2:$B$243"))))</f>
        <v>0</v>
      </c>
      <c r="I1343" s="3">
        <f ca="1">INDEX(INDIRECT(CONCATENATE("Tab_",Tab_Calculs[[#This Row],[Colonne1]])),Tab_Calculs[[#This Row],[index_date_livraison]],1)</f>
        <v>0</v>
      </c>
      <c r="J1343">
        <f ca="1">MATCH(Tab_Calculs[[#This Row],[Date_livraison]],INDIRECT(CONCATENATE("Tab_",Tab_Calculs[[#This Row],[Colonne1]],"[Fin de période]")),0)</f>
        <v>1</v>
      </c>
      <c r="K1343" t="e">
        <f ca="1">INDEX(INDIRECT(CONCATENATE("Tab_",Tab_Calculs[[#This Row],[Colonne1]])),Tab_Calculs[[#This Row],[index_date_livraison]]-1,6)*(MAX(Tab_Calculs[[#This Row],[Début periode livraison]],Tab_Calculs[[#This Row],[Début mois]])-Tab_Calculs[[#This Row],[Début mois]])</f>
        <v>#VALUE!</v>
      </c>
      <c r="L1343" s="94">
        <f ca="1">INDEX(INDIRECT(CONCATENATE("Tab_",Tab_Calculs[[#This Row],[Colonne1]])),Tab_Calculs[[#This Row],[index_date_livraison]],6)*(1+MIN(Tab_Calculs[[#This Row],[Date_livraison]],Tab_Calculs[[#This Row],[fin mois]])-MAX(Tab_Calculs[[#This Row],[Début mois]],Tab_Calculs[[#This Row],[Début periode livraison]]))</f>
        <v>0</v>
      </c>
      <c r="M1343" s="94" t="e">
        <f ca="1">INDEX(INDIRECT(CONCATENATE("Tab_",Tab_Calculs[[#This Row],[Colonne1]])),Tab_Calculs[[#This Row],[index_date_livraison]]+1,6)*(Tab_Calculs[[#This Row],[fin mois]]-MIN(Tab_Calculs[[#This Row],[fin mois]],Tab_Calculs[[#This Row],[Date_livraison]]))</f>
        <v>#VALUE!</v>
      </c>
      <c r="N1343" s="231" t="str">
        <f ca="1">IFERROR(Tab_Calculs[[#This Row],[Ratio_jour_après_livr]]+Tab_Calculs[[#This Row],[Ratio_jour_avant_livr]]+Tab_Calculs[[#This Row],[ratio_avant_debut]],"")</f>
        <v/>
      </c>
      <c r="O1343" t="e">
        <f ca="1">INDEX(INDIRECT(CONCATENATE("Tab_",Tab_Calculs[[#This Row],[Colonne1]])),Tab_Calculs[[#This Row],[index_date_livraison]]-1,7)*(MAX(Tab_Calculs[[#This Row],[Début periode livraison]],Tab_Calculs[[#This Row],[Début mois]])-Tab_Calculs[[#This Row],[Début mois]])</f>
        <v>#VALUE!</v>
      </c>
      <c r="P1343">
        <f ca="1">INDEX(INDIRECT(CONCATENATE("Tab_",Tab_Calculs[[#This Row],[Colonne1]])),Tab_Calculs[[#This Row],[index_date_livraison]],7)*(1+MIN(Tab_Calculs[[#This Row],[Date_livraison]],Tab_Calculs[[#This Row],[fin mois]])-MAX(Tab_Calculs[[#This Row],[Début mois]],Tab_Calculs[[#This Row],[Début periode livraison]]))</f>
        <v>0</v>
      </c>
      <c r="Q1343" t="e">
        <f ca="1">INDEX(INDIRECT(CONCATENATE("Tab_",Tab_Calculs[[#This Row],[Colonne1]])),Tab_Calculs[[#This Row],[index_date_livraison]]+1,7)*(Tab_Calculs[[#This Row],[fin mois]]-MIN(Tab_Calculs[[#This Row],[fin mois]],Tab_Calculs[[#This Row],[Date_livraison]]))</f>
        <v>#VALUE!</v>
      </c>
      <c r="R1343" t="e">
        <f ca="1">Tab_Calculs[[#This Row],[Ratio_Cout_après_livr]]+Tab_Calculs[[#This Row],[Ratio_Cout_avant_livr]]+Tab_Calculs[[#This Row],[Ratio_Cout_avant_debut]]</f>
        <v>#VALUE!</v>
      </c>
      <c r="S1343" t="str">
        <f ca="1">IFERROR(N1343*VLOOKUP(Tab_Calculs[[#This Row],[Colonne1]],Controle_des_données!$B$7:$G$14,6,FALSE),"")</f>
        <v/>
      </c>
      <c r="T1343" t="str">
        <f ca="1">IF(Tab_Calculs[[#This Row],[Combustible ]]="Electricité (kWh)",Tab_Calculs[[#This Row],[Conso_mois_kWh]]*2.3,Tab_Calculs[[#This Row],[Conso_mois_kWh]])</f>
        <v/>
      </c>
      <c r="U1343" t="str">
        <f ca="1">IFERROR(N1343*VLOOKUP(Tab_Calculs[[#This Row],[Colonne1]],Controle_des_données!$B$7:$H$14,7,FALSE),"")</f>
        <v/>
      </c>
      <c r="V1343">
        <f ca="1">IFERROR(Tab_Calculs[[#This Row],[Cout_mois]]/Tab_Calculs[[#This Row],[Conso_mois_kWh]],0)</f>
        <v>0</v>
      </c>
      <c r="W1343" t="str">
        <f>T(VLOOKUP(Tab_Calculs[[#This Row],[Compteur]],Site!$B$33:$G$40,3,FALSE))</f>
        <v/>
      </c>
      <c r="X1343" t="str">
        <f>T(VLOOKUP(Tab_Calculs[[#This Row],[Compteur]],Site!$B$33:$G$40,4,FALSE))</f>
        <v/>
      </c>
      <c r="Y1343" t="str">
        <f>T(VLOOKUP(Tab_Calculs[[#This Row],[Compteur]],Site!$B$33:$G$40,5,FALSE))</f>
        <v/>
      </c>
      <c r="Z1343" t="str">
        <f>T(VLOOKUP(Tab_Calculs[[#This Row],[Compteur]],Site!$B$33:$G$40,6,FALSE))</f>
        <v/>
      </c>
      <c r="AA1343">
        <f>IFERROR(GETPIVOTDATA("DJU(chauffagiste)",BDD_DJU!$P$13,"annee",Tab_Calculs[[#This Row],[ANNEE]],"mois_numero",Tab_Calculs[[#This Row],[MOIS]]),0)</f>
        <v>0</v>
      </c>
    </row>
    <row r="1344" spans="1:27" x14ac:dyDescent="0.25">
      <c r="A1344" s="3">
        <f>DATE(Tab_Calculs[[#This Row],[ANNEE]],Tab_Calculs[[#This Row],[MOIS]],1)</f>
        <v>45748</v>
      </c>
      <c r="B1344" s="3">
        <f>EDATE(Tab_Calculs[[#This Row],[Début mois]],1)-1</f>
        <v>45777</v>
      </c>
      <c r="C1344">
        <f t="shared" si="45"/>
        <v>4</v>
      </c>
      <c r="D1344">
        <f t="shared" si="48"/>
        <v>2025</v>
      </c>
      <c r="E1344" t="s">
        <v>86</v>
      </c>
      <c r="F1344" t="str">
        <f>SUBSTITUTE(Tab_Calculs[[#This Row],[Compteur]]," ","_")</f>
        <v>Compteur_7</v>
      </c>
      <c r="G1344" t="str">
        <f>T(INDEX(Site!$B$33:$G$40, MATCH(Tab_Calculs[[#This Row],[Compteur]], Site!$B$33:$B$40,0),2))</f>
        <v/>
      </c>
      <c r="H1344" s="3">
        <f t="array" aca="1" ref="H1344" ca="1">MIN(IF(INDIRECT(CONCATENATE(Tab_Calculs[[#This Row],[Colonne1]],"!$B$2:$B$243"))&gt;=Calculs_Consos!$A1344,INDIRECT(CONCATENATE(Tab_Calculs[[#This Row],[Colonne1]],"!$B$2:$B$243"))))</f>
        <v>0</v>
      </c>
      <c r="I1344" s="3">
        <f ca="1">INDEX(INDIRECT(CONCATENATE("Tab_",Tab_Calculs[[#This Row],[Colonne1]])),Tab_Calculs[[#This Row],[index_date_livraison]],1)</f>
        <v>0</v>
      </c>
      <c r="J1344">
        <f ca="1">MATCH(Tab_Calculs[[#This Row],[Date_livraison]],INDIRECT(CONCATENATE("Tab_",Tab_Calculs[[#This Row],[Colonne1]],"[Fin de période]")),0)</f>
        <v>1</v>
      </c>
      <c r="K1344" t="e">
        <f ca="1">INDEX(INDIRECT(CONCATENATE("Tab_",Tab_Calculs[[#This Row],[Colonne1]])),Tab_Calculs[[#This Row],[index_date_livraison]]-1,6)*(MAX(Tab_Calculs[[#This Row],[Début periode livraison]],Tab_Calculs[[#This Row],[Début mois]])-Tab_Calculs[[#This Row],[Début mois]])</f>
        <v>#VALUE!</v>
      </c>
      <c r="L1344" s="94">
        <f ca="1">INDEX(INDIRECT(CONCATENATE("Tab_",Tab_Calculs[[#This Row],[Colonne1]])),Tab_Calculs[[#This Row],[index_date_livraison]],6)*(1+MIN(Tab_Calculs[[#This Row],[Date_livraison]],Tab_Calculs[[#This Row],[fin mois]])-MAX(Tab_Calculs[[#This Row],[Début mois]],Tab_Calculs[[#This Row],[Début periode livraison]]))</f>
        <v>0</v>
      </c>
      <c r="M1344" s="94" t="e">
        <f ca="1">INDEX(INDIRECT(CONCATENATE("Tab_",Tab_Calculs[[#This Row],[Colonne1]])),Tab_Calculs[[#This Row],[index_date_livraison]]+1,6)*(Tab_Calculs[[#This Row],[fin mois]]-MIN(Tab_Calculs[[#This Row],[fin mois]],Tab_Calculs[[#This Row],[Date_livraison]]))</f>
        <v>#VALUE!</v>
      </c>
      <c r="N1344" s="231" t="str">
        <f ca="1">IFERROR(Tab_Calculs[[#This Row],[Ratio_jour_après_livr]]+Tab_Calculs[[#This Row],[Ratio_jour_avant_livr]]+Tab_Calculs[[#This Row],[ratio_avant_debut]],"")</f>
        <v/>
      </c>
      <c r="O1344" t="e">
        <f ca="1">INDEX(INDIRECT(CONCATENATE("Tab_",Tab_Calculs[[#This Row],[Colonne1]])),Tab_Calculs[[#This Row],[index_date_livraison]]-1,7)*(MAX(Tab_Calculs[[#This Row],[Début periode livraison]],Tab_Calculs[[#This Row],[Début mois]])-Tab_Calculs[[#This Row],[Début mois]])</f>
        <v>#VALUE!</v>
      </c>
      <c r="P1344">
        <f ca="1">INDEX(INDIRECT(CONCATENATE("Tab_",Tab_Calculs[[#This Row],[Colonne1]])),Tab_Calculs[[#This Row],[index_date_livraison]],7)*(1+MIN(Tab_Calculs[[#This Row],[Date_livraison]],Tab_Calculs[[#This Row],[fin mois]])-MAX(Tab_Calculs[[#This Row],[Début mois]],Tab_Calculs[[#This Row],[Début periode livraison]]))</f>
        <v>0</v>
      </c>
      <c r="Q1344" t="e">
        <f ca="1">INDEX(INDIRECT(CONCATENATE("Tab_",Tab_Calculs[[#This Row],[Colonne1]])),Tab_Calculs[[#This Row],[index_date_livraison]]+1,7)*(Tab_Calculs[[#This Row],[fin mois]]-MIN(Tab_Calculs[[#This Row],[fin mois]],Tab_Calculs[[#This Row],[Date_livraison]]))</f>
        <v>#VALUE!</v>
      </c>
      <c r="R1344" t="e">
        <f ca="1">Tab_Calculs[[#This Row],[Ratio_Cout_après_livr]]+Tab_Calculs[[#This Row],[Ratio_Cout_avant_livr]]+Tab_Calculs[[#This Row],[Ratio_Cout_avant_debut]]</f>
        <v>#VALUE!</v>
      </c>
      <c r="S1344" t="str">
        <f ca="1">IFERROR(N1344*VLOOKUP(Tab_Calculs[[#This Row],[Colonne1]],Controle_des_données!$B$7:$G$14,6,FALSE),"")</f>
        <v/>
      </c>
      <c r="T1344" t="str">
        <f ca="1">IF(Tab_Calculs[[#This Row],[Combustible ]]="Electricité (kWh)",Tab_Calculs[[#This Row],[Conso_mois_kWh]]*2.3,Tab_Calculs[[#This Row],[Conso_mois_kWh]])</f>
        <v/>
      </c>
      <c r="U1344" t="str">
        <f ca="1">IFERROR(N1344*VLOOKUP(Tab_Calculs[[#This Row],[Colonne1]],Controle_des_données!$B$7:$H$14,7,FALSE),"")</f>
        <v/>
      </c>
      <c r="V1344">
        <f ca="1">IFERROR(Tab_Calculs[[#This Row],[Cout_mois]]/Tab_Calculs[[#This Row],[Conso_mois_kWh]],0)</f>
        <v>0</v>
      </c>
      <c r="W1344" t="str">
        <f>T(VLOOKUP(Tab_Calculs[[#This Row],[Compteur]],Site!$B$33:$G$40,3,FALSE))</f>
        <v/>
      </c>
      <c r="X1344" t="str">
        <f>T(VLOOKUP(Tab_Calculs[[#This Row],[Compteur]],Site!$B$33:$G$40,4,FALSE))</f>
        <v/>
      </c>
      <c r="Y1344" t="str">
        <f>T(VLOOKUP(Tab_Calculs[[#This Row],[Compteur]],Site!$B$33:$G$40,5,FALSE))</f>
        <v/>
      </c>
      <c r="Z1344" t="str">
        <f>T(VLOOKUP(Tab_Calculs[[#This Row],[Compteur]],Site!$B$33:$G$40,6,FALSE))</f>
        <v/>
      </c>
      <c r="AA1344">
        <f>IFERROR(GETPIVOTDATA("DJU(chauffagiste)",BDD_DJU!$P$13,"annee",Tab_Calculs[[#This Row],[ANNEE]],"mois_numero",Tab_Calculs[[#This Row],[MOIS]]),0)</f>
        <v>0</v>
      </c>
    </row>
    <row r="1345" spans="1:27" x14ac:dyDescent="0.25">
      <c r="A1345" s="3">
        <f>DATE(Tab_Calculs[[#This Row],[ANNEE]],Tab_Calculs[[#This Row],[MOIS]],1)</f>
        <v>45778</v>
      </c>
      <c r="B1345" s="3">
        <f>EDATE(Tab_Calculs[[#This Row],[Début mois]],1)-1</f>
        <v>45808</v>
      </c>
      <c r="C1345">
        <f t="shared" si="45"/>
        <v>5</v>
      </c>
      <c r="D1345">
        <f t="shared" si="48"/>
        <v>2025</v>
      </c>
      <c r="E1345" t="s">
        <v>86</v>
      </c>
      <c r="F1345" t="str">
        <f>SUBSTITUTE(Tab_Calculs[[#This Row],[Compteur]]," ","_")</f>
        <v>Compteur_7</v>
      </c>
      <c r="G1345" t="str">
        <f>T(INDEX(Site!$B$33:$G$40, MATCH(Tab_Calculs[[#This Row],[Compteur]], Site!$B$33:$B$40,0),2))</f>
        <v/>
      </c>
      <c r="H1345" s="3">
        <f t="array" aca="1" ref="H1345" ca="1">MIN(IF(INDIRECT(CONCATENATE(Tab_Calculs[[#This Row],[Colonne1]],"!$B$2:$B$243"))&gt;=Calculs_Consos!$A1345,INDIRECT(CONCATENATE(Tab_Calculs[[#This Row],[Colonne1]],"!$B$2:$B$243"))))</f>
        <v>0</v>
      </c>
      <c r="I1345" s="3">
        <f ca="1">INDEX(INDIRECT(CONCATENATE("Tab_",Tab_Calculs[[#This Row],[Colonne1]])),Tab_Calculs[[#This Row],[index_date_livraison]],1)</f>
        <v>0</v>
      </c>
      <c r="J1345">
        <f ca="1">MATCH(Tab_Calculs[[#This Row],[Date_livraison]],INDIRECT(CONCATENATE("Tab_",Tab_Calculs[[#This Row],[Colonne1]],"[Fin de période]")),0)</f>
        <v>1</v>
      </c>
      <c r="K1345" t="e">
        <f ca="1">INDEX(INDIRECT(CONCATENATE("Tab_",Tab_Calculs[[#This Row],[Colonne1]])),Tab_Calculs[[#This Row],[index_date_livraison]]-1,6)*(MAX(Tab_Calculs[[#This Row],[Début periode livraison]],Tab_Calculs[[#This Row],[Début mois]])-Tab_Calculs[[#This Row],[Début mois]])</f>
        <v>#VALUE!</v>
      </c>
      <c r="L1345" s="94">
        <f ca="1">INDEX(INDIRECT(CONCATENATE("Tab_",Tab_Calculs[[#This Row],[Colonne1]])),Tab_Calculs[[#This Row],[index_date_livraison]],6)*(1+MIN(Tab_Calculs[[#This Row],[Date_livraison]],Tab_Calculs[[#This Row],[fin mois]])-MAX(Tab_Calculs[[#This Row],[Début mois]],Tab_Calculs[[#This Row],[Début periode livraison]]))</f>
        <v>0</v>
      </c>
      <c r="M1345" s="94" t="e">
        <f ca="1">INDEX(INDIRECT(CONCATENATE("Tab_",Tab_Calculs[[#This Row],[Colonne1]])),Tab_Calculs[[#This Row],[index_date_livraison]]+1,6)*(Tab_Calculs[[#This Row],[fin mois]]-MIN(Tab_Calculs[[#This Row],[fin mois]],Tab_Calculs[[#This Row],[Date_livraison]]))</f>
        <v>#VALUE!</v>
      </c>
      <c r="N1345" s="231" t="str">
        <f ca="1">IFERROR(Tab_Calculs[[#This Row],[Ratio_jour_après_livr]]+Tab_Calculs[[#This Row],[Ratio_jour_avant_livr]]+Tab_Calculs[[#This Row],[ratio_avant_debut]],"")</f>
        <v/>
      </c>
      <c r="O1345" t="e">
        <f ca="1">INDEX(INDIRECT(CONCATENATE("Tab_",Tab_Calculs[[#This Row],[Colonne1]])),Tab_Calculs[[#This Row],[index_date_livraison]]-1,7)*(MAX(Tab_Calculs[[#This Row],[Début periode livraison]],Tab_Calculs[[#This Row],[Début mois]])-Tab_Calculs[[#This Row],[Début mois]])</f>
        <v>#VALUE!</v>
      </c>
      <c r="P1345">
        <f ca="1">INDEX(INDIRECT(CONCATENATE("Tab_",Tab_Calculs[[#This Row],[Colonne1]])),Tab_Calculs[[#This Row],[index_date_livraison]],7)*(1+MIN(Tab_Calculs[[#This Row],[Date_livraison]],Tab_Calculs[[#This Row],[fin mois]])-MAX(Tab_Calculs[[#This Row],[Début mois]],Tab_Calculs[[#This Row],[Début periode livraison]]))</f>
        <v>0</v>
      </c>
      <c r="Q1345" t="e">
        <f ca="1">INDEX(INDIRECT(CONCATENATE("Tab_",Tab_Calculs[[#This Row],[Colonne1]])),Tab_Calculs[[#This Row],[index_date_livraison]]+1,7)*(Tab_Calculs[[#This Row],[fin mois]]-MIN(Tab_Calculs[[#This Row],[fin mois]],Tab_Calculs[[#This Row],[Date_livraison]]))</f>
        <v>#VALUE!</v>
      </c>
      <c r="R1345" t="e">
        <f ca="1">Tab_Calculs[[#This Row],[Ratio_Cout_après_livr]]+Tab_Calculs[[#This Row],[Ratio_Cout_avant_livr]]+Tab_Calculs[[#This Row],[Ratio_Cout_avant_debut]]</f>
        <v>#VALUE!</v>
      </c>
      <c r="S1345" t="str">
        <f ca="1">IFERROR(N1345*VLOOKUP(Tab_Calculs[[#This Row],[Colonne1]],Controle_des_données!$B$7:$G$14,6,FALSE),"")</f>
        <v/>
      </c>
      <c r="T1345" t="str">
        <f ca="1">IF(Tab_Calculs[[#This Row],[Combustible ]]="Electricité (kWh)",Tab_Calculs[[#This Row],[Conso_mois_kWh]]*2.3,Tab_Calculs[[#This Row],[Conso_mois_kWh]])</f>
        <v/>
      </c>
      <c r="U1345" t="str">
        <f ca="1">IFERROR(N1345*VLOOKUP(Tab_Calculs[[#This Row],[Colonne1]],Controle_des_données!$B$7:$H$14,7,FALSE),"")</f>
        <v/>
      </c>
      <c r="V1345">
        <f ca="1">IFERROR(Tab_Calculs[[#This Row],[Cout_mois]]/Tab_Calculs[[#This Row],[Conso_mois_kWh]],0)</f>
        <v>0</v>
      </c>
      <c r="W1345" t="str">
        <f>T(VLOOKUP(Tab_Calculs[[#This Row],[Compteur]],Site!$B$33:$G$40,3,FALSE))</f>
        <v/>
      </c>
      <c r="X1345" t="str">
        <f>T(VLOOKUP(Tab_Calculs[[#This Row],[Compteur]],Site!$B$33:$G$40,4,FALSE))</f>
        <v/>
      </c>
      <c r="Y1345" t="str">
        <f>T(VLOOKUP(Tab_Calculs[[#This Row],[Compteur]],Site!$B$33:$G$40,5,FALSE))</f>
        <v/>
      </c>
      <c r="Z1345" t="str">
        <f>T(VLOOKUP(Tab_Calculs[[#This Row],[Compteur]],Site!$B$33:$G$40,6,FALSE))</f>
        <v/>
      </c>
      <c r="AA1345">
        <f>IFERROR(GETPIVOTDATA("DJU(chauffagiste)",BDD_DJU!$P$13,"annee",Tab_Calculs[[#This Row],[ANNEE]],"mois_numero",Tab_Calculs[[#This Row],[MOIS]]),0)</f>
        <v>0</v>
      </c>
    </row>
    <row r="1346" spans="1:27" x14ac:dyDescent="0.25">
      <c r="A1346" s="3">
        <f>DATE(Tab_Calculs[[#This Row],[ANNEE]],Tab_Calculs[[#This Row],[MOIS]],1)</f>
        <v>45809</v>
      </c>
      <c r="B1346" s="3">
        <f>EDATE(Tab_Calculs[[#This Row],[Début mois]],1)-1</f>
        <v>45838</v>
      </c>
      <c r="C1346">
        <f t="shared" si="45"/>
        <v>6</v>
      </c>
      <c r="D1346">
        <f t="shared" si="48"/>
        <v>2025</v>
      </c>
      <c r="E1346" t="s">
        <v>86</v>
      </c>
      <c r="F1346" t="str">
        <f>SUBSTITUTE(Tab_Calculs[[#This Row],[Compteur]]," ","_")</f>
        <v>Compteur_7</v>
      </c>
      <c r="G1346" t="str">
        <f>T(INDEX(Site!$B$33:$G$40, MATCH(Tab_Calculs[[#This Row],[Compteur]], Site!$B$33:$B$40,0),2))</f>
        <v/>
      </c>
      <c r="H1346" s="3">
        <f t="array" aca="1" ref="H1346" ca="1">MIN(IF(INDIRECT(CONCATENATE(Tab_Calculs[[#This Row],[Colonne1]],"!$B$2:$B$243"))&gt;=Calculs_Consos!$A1346,INDIRECT(CONCATENATE(Tab_Calculs[[#This Row],[Colonne1]],"!$B$2:$B$243"))))</f>
        <v>0</v>
      </c>
      <c r="I1346" s="3">
        <f ca="1">INDEX(INDIRECT(CONCATENATE("Tab_",Tab_Calculs[[#This Row],[Colonne1]])),Tab_Calculs[[#This Row],[index_date_livraison]],1)</f>
        <v>0</v>
      </c>
      <c r="J1346">
        <f ca="1">MATCH(Tab_Calculs[[#This Row],[Date_livraison]],INDIRECT(CONCATENATE("Tab_",Tab_Calculs[[#This Row],[Colonne1]],"[Fin de période]")),0)</f>
        <v>1</v>
      </c>
      <c r="K1346" t="e">
        <f ca="1">INDEX(INDIRECT(CONCATENATE("Tab_",Tab_Calculs[[#This Row],[Colonne1]])),Tab_Calculs[[#This Row],[index_date_livraison]]-1,6)*(MAX(Tab_Calculs[[#This Row],[Début periode livraison]],Tab_Calculs[[#This Row],[Début mois]])-Tab_Calculs[[#This Row],[Début mois]])</f>
        <v>#VALUE!</v>
      </c>
      <c r="L1346" s="94">
        <f ca="1">INDEX(INDIRECT(CONCATENATE("Tab_",Tab_Calculs[[#This Row],[Colonne1]])),Tab_Calculs[[#This Row],[index_date_livraison]],6)*(1+MIN(Tab_Calculs[[#This Row],[Date_livraison]],Tab_Calculs[[#This Row],[fin mois]])-MAX(Tab_Calculs[[#This Row],[Début mois]],Tab_Calculs[[#This Row],[Début periode livraison]]))</f>
        <v>0</v>
      </c>
      <c r="M1346" s="94" t="e">
        <f ca="1">INDEX(INDIRECT(CONCATENATE("Tab_",Tab_Calculs[[#This Row],[Colonne1]])),Tab_Calculs[[#This Row],[index_date_livraison]]+1,6)*(Tab_Calculs[[#This Row],[fin mois]]-MIN(Tab_Calculs[[#This Row],[fin mois]],Tab_Calculs[[#This Row],[Date_livraison]]))</f>
        <v>#VALUE!</v>
      </c>
      <c r="N1346" s="231" t="str">
        <f ca="1">IFERROR(Tab_Calculs[[#This Row],[Ratio_jour_après_livr]]+Tab_Calculs[[#This Row],[Ratio_jour_avant_livr]]+Tab_Calculs[[#This Row],[ratio_avant_debut]],"")</f>
        <v/>
      </c>
      <c r="O1346" t="e">
        <f ca="1">INDEX(INDIRECT(CONCATENATE("Tab_",Tab_Calculs[[#This Row],[Colonne1]])),Tab_Calculs[[#This Row],[index_date_livraison]]-1,7)*(MAX(Tab_Calculs[[#This Row],[Début periode livraison]],Tab_Calculs[[#This Row],[Début mois]])-Tab_Calculs[[#This Row],[Début mois]])</f>
        <v>#VALUE!</v>
      </c>
      <c r="P1346">
        <f ca="1">INDEX(INDIRECT(CONCATENATE("Tab_",Tab_Calculs[[#This Row],[Colonne1]])),Tab_Calculs[[#This Row],[index_date_livraison]],7)*(1+MIN(Tab_Calculs[[#This Row],[Date_livraison]],Tab_Calculs[[#This Row],[fin mois]])-MAX(Tab_Calculs[[#This Row],[Début mois]],Tab_Calculs[[#This Row],[Début periode livraison]]))</f>
        <v>0</v>
      </c>
      <c r="Q1346" t="e">
        <f ca="1">INDEX(INDIRECT(CONCATENATE("Tab_",Tab_Calculs[[#This Row],[Colonne1]])),Tab_Calculs[[#This Row],[index_date_livraison]]+1,7)*(Tab_Calculs[[#This Row],[fin mois]]-MIN(Tab_Calculs[[#This Row],[fin mois]],Tab_Calculs[[#This Row],[Date_livraison]]))</f>
        <v>#VALUE!</v>
      </c>
      <c r="R1346" t="e">
        <f ca="1">Tab_Calculs[[#This Row],[Ratio_Cout_après_livr]]+Tab_Calculs[[#This Row],[Ratio_Cout_avant_livr]]+Tab_Calculs[[#This Row],[Ratio_Cout_avant_debut]]</f>
        <v>#VALUE!</v>
      </c>
      <c r="S1346" t="str">
        <f ca="1">IFERROR(N1346*VLOOKUP(Tab_Calculs[[#This Row],[Colonne1]],Controle_des_données!$B$7:$G$14,6,FALSE),"")</f>
        <v/>
      </c>
      <c r="T1346" t="str">
        <f ca="1">IF(Tab_Calculs[[#This Row],[Combustible ]]="Electricité (kWh)",Tab_Calculs[[#This Row],[Conso_mois_kWh]]*2.3,Tab_Calculs[[#This Row],[Conso_mois_kWh]])</f>
        <v/>
      </c>
      <c r="U1346" t="str">
        <f ca="1">IFERROR(N1346*VLOOKUP(Tab_Calculs[[#This Row],[Colonne1]],Controle_des_données!$B$7:$H$14,7,FALSE),"")</f>
        <v/>
      </c>
      <c r="V1346">
        <f ca="1">IFERROR(Tab_Calculs[[#This Row],[Cout_mois]]/Tab_Calculs[[#This Row],[Conso_mois_kWh]],0)</f>
        <v>0</v>
      </c>
      <c r="W1346" t="str">
        <f>T(VLOOKUP(Tab_Calculs[[#This Row],[Compteur]],Site!$B$33:$G$40,3,FALSE))</f>
        <v/>
      </c>
      <c r="X1346" t="str">
        <f>T(VLOOKUP(Tab_Calculs[[#This Row],[Compteur]],Site!$B$33:$G$40,4,FALSE))</f>
        <v/>
      </c>
      <c r="Y1346" t="str">
        <f>T(VLOOKUP(Tab_Calculs[[#This Row],[Compteur]],Site!$B$33:$G$40,5,FALSE))</f>
        <v/>
      </c>
      <c r="Z1346" t="str">
        <f>T(VLOOKUP(Tab_Calculs[[#This Row],[Compteur]],Site!$B$33:$G$40,6,FALSE))</f>
        <v/>
      </c>
      <c r="AA1346">
        <f>IFERROR(GETPIVOTDATA("DJU(chauffagiste)",BDD_DJU!$P$13,"annee",Tab_Calculs[[#This Row],[ANNEE]],"mois_numero",Tab_Calculs[[#This Row],[MOIS]]),0)</f>
        <v>0</v>
      </c>
    </row>
    <row r="1347" spans="1:27" x14ac:dyDescent="0.25">
      <c r="A1347" s="3">
        <f>DATE(Tab_Calculs[[#This Row],[ANNEE]],Tab_Calculs[[#This Row],[MOIS]],1)</f>
        <v>45839</v>
      </c>
      <c r="B1347" s="3">
        <f>EDATE(Tab_Calculs[[#This Row],[Début mois]],1)-1</f>
        <v>45869</v>
      </c>
      <c r="C1347">
        <f t="shared" si="45"/>
        <v>7</v>
      </c>
      <c r="D1347">
        <f t="shared" si="48"/>
        <v>2025</v>
      </c>
      <c r="E1347" t="s">
        <v>86</v>
      </c>
      <c r="F1347" t="str">
        <f>SUBSTITUTE(Tab_Calculs[[#This Row],[Compteur]]," ","_")</f>
        <v>Compteur_7</v>
      </c>
      <c r="G1347" t="str">
        <f>T(INDEX(Site!$B$33:$G$40, MATCH(Tab_Calculs[[#This Row],[Compteur]], Site!$B$33:$B$40,0),2))</f>
        <v/>
      </c>
      <c r="H1347" s="3">
        <f t="array" aca="1" ref="H1347" ca="1">MIN(IF(INDIRECT(CONCATENATE(Tab_Calculs[[#This Row],[Colonne1]],"!$B$2:$B$243"))&gt;=Calculs_Consos!$A1347,INDIRECT(CONCATENATE(Tab_Calculs[[#This Row],[Colonne1]],"!$B$2:$B$243"))))</f>
        <v>0</v>
      </c>
      <c r="I1347" s="3">
        <f ca="1">INDEX(INDIRECT(CONCATENATE("Tab_",Tab_Calculs[[#This Row],[Colonne1]])),Tab_Calculs[[#This Row],[index_date_livraison]],1)</f>
        <v>0</v>
      </c>
      <c r="J1347">
        <f ca="1">MATCH(Tab_Calculs[[#This Row],[Date_livraison]],INDIRECT(CONCATENATE("Tab_",Tab_Calculs[[#This Row],[Colonne1]],"[Fin de période]")),0)</f>
        <v>1</v>
      </c>
      <c r="K1347" t="e">
        <f ca="1">INDEX(INDIRECT(CONCATENATE("Tab_",Tab_Calculs[[#This Row],[Colonne1]])),Tab_Calculs[[#This Row],[index_date_livraison]]-1,6)*(MAX(Tab_Calculs[[#This Row],[Début periode livraison]],Tab_Calculs[[#This Row],[Début mois]])-Tab_Calculs[[#This Row],[Début mois]])</f>
        <v>#VALUE!</v>
      </c>
      <c r="L1347" s="94">
        <f ca="1">INDEX(INDIRECT(CONCATENATE("Tab_",Tab_Calculs[[#This Row],[Colonne1]])),Tab_Calculs[[#This Row],[index_date_livraison]],6)*(1+MIN(Tab_Calculs[[#This Row],[Date_livraison]],Tab_Calculs[[#This Row],[fin mois]])-MAX(Tab_Calculs[[#This Row],[Début mois]],Tab_Calculs[[#This Row],[Début periode livraison]]))</f>
        <v>0</v>
      </c>
      <c r="M1347" s="94" t="e">
        <f ca="1">INDEX(INDIRECT(CONCATENATE("Tab_",Tab_Calculs[[#This Row],[Colonne1]])),Tab_Calculs[[#This Row],[index_date_livraison]]+1,6)*(Tab_Calculs[[#This Row],[fin mois]]-MIN(Tab_Calculs[[#This Row],[fin mois]],Tab_Calculs[[#This Row],[Date_livraison]]))</f>
        <v>#VALUE!</v>
      </c>
      <c r="N1347" s="231" t="str">
        <f ca="1">IFERROR(Tab_Calculs[[#This Row],[Ratio_jour_après_livr]]+Tab_Calculs[[#This Row],[Ratio_jour_avant_livr]]+Tab_Calculs[[#This Row],[ratio_avant_debut]],"")</f>
        <v/>
      </c>
      <c r="O1347" t="e">
        <f ca="1">INDEX(INDIRECT(CONCATENATE("Tab_",Tab_Calculs[[#This Row],[Colonne1]])),Tab_Calculs[[#This Row],[index_date_livraison]]-1,7)*(MAX(Tab_Calculs[[#This Row],[Début periode livraison]],Tab_Calculs[[#This Row],[Début mois]])-Tab_Calculs[[#This Row],[Début mois]])</f>
        <v>#VALUE!</v>
      </c>
      <c r="P1347">
        <f ca="1">INDEX(INDIRECT(CONCATENATE("Tab_",Tab_Calculs[[#This Row],[Colonne1]])),Tab_Calculs[[#This Row],[index_date_livraison]],7)*(1+MIN(Tab_Calculs[[#This Row],[Date_livraison]],Tab_Calculs[[#This Row],[fin mois]])-MAX(Tab_Calculs[[#This Row],[Début mois]],Tab_Calculs[[#This Row],[Début periode livraison]]))</f>
        <v>0</v>
      </c>
      <c r="Q1347" t="e">
        <f ca="1">INDEX(INDIRECT(CONCATENATE("Tab_",Tab_Calculs[[#This Row],[Colonne1]])),Tab_Calculs[[#This Row],[index_date_livraison]]+1,7)*(Tab_Calculs[[#This Row],[fin mois]]-MIN(Tab_Calculs[[#This Row],[fin mois]],Tab_Calculs[[#This Row],[Date_livraison]]))</f>
        <v>#VALUE!</v>
      </c>
      <c r="R1347" t="e">
        <f ca="1">Tab_Calculs[[#This Row],[Ratio_Cout_après_livr]]+Tab_Calculs[[#This Row],[Ratio_Cout_avant_livr]]+Tab_Calculs[[#This Row],[Ratio_Cout_avant_debut]]</f>
        <v>#VALUE!</v>
      </c>
      <c r="S1347" t="str">
        <f ca="1">IFERROR(N1347*VLOOKUP(Tab_Calculs[[#This Row],[Colonne1]],Controle_des_données!$B$7:$G$14,6,FALSE),"")</f>
        <v/>
      </c>
      <c r="T1347" t="str">
        <f ca="1">IF(Tab_Calculs[[#This Row],[Combustible ]]="Electricité (kWh)",Tab_Calculs[[#This Row],[Conso_mois_kWh]]*2.3,Tab_Calculs[[#This Row],[Conso_mois_kWh]])</f>
        <v/>
      </c>
      <c r="U1347" t="str">
        <f ca="1">IFERROR(N1347*VLOOKUP(Tab_Calculs[[#This Row],[Colonne1]],Controle_des_données!$B$7:$H$14,7,FALSE),"")</f>
        <v/>
      </c>
      <c r="V1347">
        <f ca="1">IFERROR(Tab_Calculs[[#This Row],[Cout_mois]]/Tab_Calculs[[#This Row],[Conso_mois_kWh]],0)</f>
        <v>0</v>
      </c>
      <c r="W1347" t="str">
        <f>T(VLOOKUP(Tab_Calculs[[#This Row],[Compteur]],Site!$B$33:$G$40,3,FALSE))</f>
        <v/>
      </c>
      <c r="X1347" t="str">
        <f>T(VLOOKUP(Tab_Calculs[[#This Row],[Compteur]],Site!$B$33:$G$40,4,FALSE))</f>
        <v/>
      </c>
      <c r="Y1347" t="str">
        <f>T(VLOOKUP(Tab_Calculs[[#This Row],[Compteur]],Site!$B$33:$G$40,5,FALSE))</f>
        <v/>
      </c>
      <c r="Z1347" t="str">
        <f>T(VLOOKUP(Tab_Calculs[[#This Row],[Compteur]],Site!$B$33:$G$40,6,FALSE))</f>
        <v/>
      </c>
      <c r="AA1347">
        <f>IFERROR(GETPIVOTDATA("DJU(chauffagiste)",BDD_DJU!$P$13,"annee",Tab_Calculs[[#This Row],[ANNEE]],"mois_numero",Tab_Calculs[[#This Row],[MOIS]]),0)</f>
        <v>0</v>
      </c>
    </row>
    <row r="1348" spans="1:27" x14ac:dyDescent="0.25">
      <c r="A1348" s="3">
        <f>DATE(Tab_Calculs[[#This Row],[ANNEE]],Tab_Calculs[[#This Row],[MOIS]],1)</f>
        <v>45870</v>
      </c>
      <c r="B1348" s="3">
        <f>EDATE(Tab_Calculs[[#This Row],[Début mois]],1)-1</f>
        <v>45900</v>
      </c>
      <c r="C1348">
        <f t="shared" si="45"/>
        <v>8</v>
      </c>
      <c r="D1348">
        <f t="shared" si="48"/>
        <v>2025</v>
      </c>
      <c r="E1348" t="s">
        <v>86</v>
      </c>
      <c r="F1348" t="str">
        <f>SUBSTITUTE(Tab_Calculs[[#This Row],[Compteur]]," ","_")</f>
        <v>Compteur_7</v>
      </c>
      <c r="G1348" t="str">
        <f>T(INDEX(Site!$B$33:$G$40, MATCH(Tab_Calculs[[#This Row],[Compteur]], Site!$B$33:$B$40,0),2))</f>
        <v/>
      </c>
      <c r="H1348" s="3">
        <f t="array" aca="1" ref="H1348" ca="1">MIN(IF(INDIRECT(CONCATENATE(Tab_Calculs[[#This Row],[Colonne1]],"!$B$2:$B$243"))&gt;=Calculs_Consos!$A1348,INDIRECT(CONCATENATE(Tab_Calculs[[#This Row],[Colonne1]],"!$B$2:$B$243"))))</f>
        <v>0</v>
      </c>
      <c r="I1348" s="3">
        <f ca="1">INDEX(INDIRECT(CONCATENATE("Tab_",Tab_Calculs[[#This Row],[Colonne1]])),Tab_Calculs[[#This Row],[index_date_livraison]],1)</f>
        <v>0</v>
      </c>
      <c r="J1348">
        <f ca="1">MATCH(Tab_Calculs[[#This Row],[Date_livraison]],INDIRECT(CONCATENATE("Tab_",Tab_Calculs[[#This Row],[Colonne1]],"[Fin de période]")),0)</f>
        <v>1</v>
      </c>
      <c r="K1348" t="e">
        <f ca="1">INDEX(INDIRECT(CONCATENATE("Tab_",Tab_Calculs[[#This Row],[Colonne1]])),Tab_Calculs[[#This Row],[index_date_livraison]]-1,6)*(MAX(Tab_Calculs[[#This Row],[Début periode livraison]],Tab_Calculs[[#This Row],[Début mois]])-Tab_Calculs[[#This Row],[Début mois]])</f>
        <v>#VALUE!</v>
      </c>
      <c r="L1348" s="94">
        <f ca="1">INDEX(INDIRECT(CONCATENATE("Tab_",Tab_Calculs[[#This Row],[Colonne1]])),Tab_Calculs[[#This Row],[index_date_livraison]],6)*(1+MIN(Tab_Calculs[[#This Row],[Date_livraison]],Tab_Calculs[[#This Row],[fin mois]])-MAX(Tab_Calculs[[#This Row],[Début mois]],Tab_Calculs[[#This Row],[Début periode livraison]]))</f>
        <v>0</v>
      </c>
      <c r="M1348" s="94" t="e">
        <f ca="1">INDEX(INDIRECT(CONCATENATE("Tab_",Tab_Calculs[[#This Row],[Colonne1]])),Tab_Calculs[[#This Row],[index_date_livraison]]+1,6)*(Tab_Calculs[[#This Row],[fin mois]]-MIN(Tab_Calculs[[#This Row],[fin mois]],Tab_Calculs[[#This Row],[Date_livraison]]))</f>
        <v>#VALUE!</v>
      </c>
      <c r="N1348" s="231" t="str">
        <f ca="1">IFERROR(Tab_Calculs[[#This Row],[Ratio_jour_après_livr]]+Tab_Calculs[[#This Row],[Ratio_jour_avant_livr]]+Tab_Calculs[[#This Row],[ratio_avant_debut]],"")</f>
        <v/>
      </c>
      <c r="O1348" t="e">
        <f ca="1">INDEX(INDIRECT(CONCATENATE("Tab_",Tab_Calculs[[#This Row],[Colonne1]])),Tab_Calculs[[#This Row],[index_date_livraison]]-1,7)*(MAX(Tab_Calculs[[#This Row],[Début periode livraison]],Tab_Calculs[[#This Row],[Début mois]])-Tab_Calculs[[#This Row],[Début mois]])</f>
        <v>#VALUE!</v>
      </c>
      <c r="P1348">
        <f ca="1">INDEX(INDIRECT(CONCATENATE("Tab_",Tab_Calculs[[#This Row],[Colonne1]])),Tab_Calculs[[#This Row],[index_date_livraison]],7)*(1+MIN(Tab_Calculs[[#This Row],[Date_livraison]],Tab_Calculs[[#This Row],[fin mois]])-MAX(Tab_Calculs[[#This Row],[Début mois]],Tab_Calculs[[#This Row],[Début periode livraison]]))</f>
        <v>0</v>
      </c>
      <c r="Q1348" t="e">
        <f ca="1">INDEX(INDIRECT(CONCATENATE("Tab_",Tab_Calculs[[#This Row],[Colonne1]])),Tab_Calculs[[#This Row],[index_date_livraison]]+1,7)*(Tab_Calculs[[#This Row],[fin mois]]-MIN(Tab_Calculs[[#This Row],[fin mois]],Tab_Calculs[[#This Row],[Date_livraison]]))</f>
        <v>#VALUE!</v>
      </c>
      <c r="R1348" t="e">
        <f ca="1">Tab_Calculs[[#This Row],[Ratio_Cout_après_livr]]+Tab_Calculs[[#This Row],[Ratio_Cout_avant_livr]]+Tab_Calculs[[#This Row],[Ratio_Cout_avant_debut]]</f>
        <v>#VALUE!</v>
      </c>
      <c r="S1348" t="str">
        <f ca="1">IFERROR(N1348*VLOOKUP(Tab_Calculs[[#This Row],[Colonne1]],Controle_des_données!$B$7:$G$14,6,FALSE),"")</f>
        <v/>
      </c>
      <c r="T1348" t="str">
        <f ca="1">IF(Tab_Calculs[[#This Row],[Combustible ]]="Electricité (kWh)",Tab_Calculs[[#This Row],[Conso_mois_kWh]]*2.3,Tab_Calculs[[#This Row],[Conso_mois_kWh]])</f>
        <v/>
      </c>
      <c r="U1348" t="str">
        <f ca="1">IFERROR(N1348*VLOOKUP(Tab_Calculs[[#This Row],[Colonne1]],Controle_des_données!$B$7:$H$14,7,FALSE),"")</f>
        <v/>
      </c>
      <c r="V1348">
        <f ca="1">IFERROR(Tab_Calculs[[#This Row],[Cout_mois]]/Tab_Calculs[[#This Row],[Conso_mois_kWh]],0)</f>
        <v>0</v>
      </c>
      <c r="W1348" t="str">
        <f>T(VLOOKUP(Tab_Calculs[[#This Row],[Compteur]],Site!$B$33:$G$40,3,FALSE))</f>
        <v/>
      </c>
      <c r="X1348" t="str">
        <f>T(VLOOKUP(Tab_Calculs[[#This Row],[Compteur]],Site!$B$33:$G$40,4,FALSE))</f>
        <v/>
      </c>
      <c r="Y1348" t="str">
        <f>T(VLOOKUP(Tab_Calculs[[#This Row],[Compteur]],Site!$B$33:$G$40,5,FALSE))</f>
        <v/>
      </c>
      <c r="Z1348" t="str">
        <f>T(VLOOKUP(Tab_Calculs[[#This Row],[Compteur]],Site!$B$33:$G$40,6,FALSE))</f>
        <v/>
      </c>
      <c r="AA1348">
        <f>IFERROR(GETPIVOTDATA("DJU(chauffagiste)",BDD_DJU!$P$13,"annee",Tab_Calculs[[#This Row],[ANNEE]],"mois_numero",Tab_Calculs[[#This Row],[MOIS]]),0)</f>
        <v>0</v>
      </c>
    </row>
    <row r="1349" spans="1:27" x14ac:dyDescent="0.25">
      <c r="A1349" s="3">
        <f>DATE(Tab_Calculs[[#This Row],[ANNEE]],Tab_Calculs[[#This Row],[MOIS]],1)</f>
        <v>45901</v>
      </c>
      <c r="B1349" s="3">
        <f>EDATE(Tab_Calculs[[#This Row],[Début mois]],1)-1</f>
        <v>45930</v>
      </c>
      <c r="C1349">
        <f t="shared" si="45"/>
        <v>9</v>
      </c>
      <c r="D1349">
        <f t="shared" si="48"/>
        <v>2025</v>
      </c>
      <c r="E1349" t="s">
        <v>86</v>
      </c>
      <c r="F1349" t="str">
        <f>SUBSTITUTE(Tab_Calculs[[#This Row],[Compteur]]," ","_")</f>
        <v>Compteur_7</v>
      </c>
      <c r="G1349" t="str">
        <f>T(INDEX(Site!$B$33:$G$40, MATCH(Tab_Calculs[[#This Row],[Compteur]], Site!$B$33:$B$40,0),2))</f>
        <v/>
      </c>
      <c r="H1349" s="3">
        <f t="array" aca="1" ref="H1349" ca="1">MIN(IF(INDIRECT(CONCATENATE(Tab_Calculs[[#This Row],[Colonne1]],"!$B$2:$B$243"))&gt;=Calculs_Consos!$A1349,INDIRECT(CONCATENATE(Tab_Calculs[[#This Row],[Colonne1]],"!$B$2:$B$243"))))</f>
        <v>0</v>
      </c>
      <c r="I1349" s="3">
        <f ca="1">INDEX(INDIRECT(CONCATENATE("Tab_",Tab_Calculs[[#This Row],[Colonne1]])),Tab_Calculs[[#This Row],[index_date_livraison]],1)</f>
        <v>0</v>
      </c>
      <c r="J1349">
        <f ca="1">MATCH(Tab_Calculs[[#This Row],[Date_livraison]],INDIRECT(CONCATENATE("Tab_",Tab_Calculs[[#This Row],[Colonne1]],"[Fin de période]")),0)</f>
        <v>1</v>
      </c>
      <c r="K1349" t="e">
        <f ca="1">INDEX(INDIRECT(CONCATENATE("Tab_",Tab_Calculs[[#This Row],[Colonne1]])),Tab_Calculs[[#This Row],[index_date_livraison]]-1,6)*(MAX(Tab_Calculs[[#This Row],[Début periode livraison]],Tab_Calculs[[#This Row],[Début mois]])-Tab_Calculs[[#This Row],[Début mois]])</f>
        <v>#VALUE!</v>
      </c>
      <c r="L1349" s="94">
        <f ca="1">INDEX(INDIRECT(CONCATENATE("Tab_",Tab_Calculs[[#This Row],[Colonne1]])),Tab_Calculs[[#This Row],[index_date_livraison]],6)*(1+MIN(Tab_Calculs[[#This Row],[Date_livraison]],Tab_Calculs[[#This Row],[fin mois]])-MAX(Tab_Calculs[[#This Row],[Début mois]],Tab_Calculs[[#This Row],[Début periode livraison]]))</f>
        <v>0</v>
      </c>
      <c r="M1349" s="94" t="e">
        <f ca="1">INDEX(INDIRECT(CONCATENATE("Tab_",Tab_Calculs[[#This Row],[Colonne1]])),Tab_Calculs[[#This Row],[index_date_livraison]]+1,6)*(Tab_Calculs[[#This Row],[fin mois]]-MIN(Tab_Calculs[[#This Row],[fin mois]],Tab_Calculs[[#This Row],[Date_livraison]]))</f>
        <v>#VALUE!</v>
      </c>
      <c r="N1349" s="231" t="str">
        <f ca="1">IFERROR(Tab_Calculs[[#This Row],[Ratio_jour_après_livr]]+Tab_Calculs[[#This Row],[Ratio_jour_avant_livr]]+Tab_Calculs[[#This Row],[ratio_avant_debut]],"")</f>
        <v/>
      </c>
      <c r="O1349" t="e">
        <f ca="1">INDEX(INDIRECT(CONCATENATE("Tab_",Tab_Calculs[[#This Row],[Colonne1]])),Tab_Calculs[[#This Row],[index_date_livraison]]-1,7)*(MAX(Tab_Calculs[[#This Row],[Début periode livraison]],Tab_Calculs[[#This Row],[Début mois]])-Tab_Calculs[[#This Row],[Début mois]])</f>
        <v>#VALUE!</v>
      </c>
      <c r="P1349">
        <f ca="1">INDEX(INDIRECT(CONCATENATE("Tab_",Tab_Calculs[[#This Row],[Colonne1]])),Tab_Calculs[[#This Row],[index_date_livraison]],7)*(1+MIN(Tab_Calculs[[#This Row],[Date_livraison]],Tab_Calculs[[#This Row],[fin mois]])-MAX(Tab_Calculs[[#This Row],[Début mois]],Tab_Calculs[[#This Row],[Début periode livraison]]))</f>
        <v>0</v>
      </c>
      <c r="Q1349" t="e">
        <f ca="1">INDEX(INDIRECT(CONCATENATE("Tab_",Tab_Calculs[[#This Row],[Colonne1]])),Tab_Calculs[[#This Row],[index_date_livraison]]+1,7)*(Tab_Calculs[[#This Row],[fin mois]]-MIN(Tab_Calculs[[#This Row],[fin mois]],Tab_Calculs[[#This Row],[Date_livraison]]))</f>
        <v>#VALUE!</v>
      </c>
      <c r="R1349" t="e">
        <f ca="1">Tab_Calculs[[#This Row],[Ratio_Cout_après_livr]]+Tab_Calculs[[#This Row],[Ratio_Cout_avant_livr]]+Tab_Calculs[[#This Row],[Ratio_Cout_avant_debut]]</f>
        <v>#VALUE!</v>
      </c>
      <c r="S1349" t="str">
        <f ca="1">IFERROR(N1349*VLOOKUP(Tab_Calculs[[#This Row],[Colonne1]],Controle_des_données!$B$7:$G$14,6,FALSE),"")</f>
        <v/>
      </c>
      <c r="T1349" t="str">
        <f ca="1">IF(Tab_Calculs[[#This Row],[Combustible ]]="Electricité (kWh)",Tab_Calculs[[#This Row],[Conso_mois_kWh]]*2.3,Tab_Calculs[[#This Row],[Conso_mois_kWh]])</f>
        <v/>
      </c>
      <c r="U1349" t="str">
        <f ca="1">IFERROR(N1349*VLOOKUP(Tab_Calculs[[#This Row],[Colonne1]],Controle_des_données!$B$7:$H$14,7,FALSE),"")</f>
        <v/>
      </c>
      <c r="V1349">
        <f ca="1">IFERROR(Tab_Calculs[[#This Row],[Cout_mois]]/Tab_Calculs[[#This Row],[Conso_mois_kWh]],0)</f>
        <v>0</v>
      </c>
      <c r="W1349" t="str">
        <f>T(VLOOKUP(Tab_Calculs[[#This Row],[Compteur]],Site!$B$33:$G$40,3,FALSE))</f>
        <v/>
      </c>
      <c r="X1349" t="str">
        <f>T(VLOOKUP(Tab_Calculs[[#This Row],[Compteur]],Site!$B$33:$G$40,4,FALSE))</f>
        <v/>
      </c>
      <c r="Y1349" t="str">
        <f>T(VLOOKUP(Tab_Calculs[[#This Row],[Compteur]],Site!$B$33:$G$40,5,FALSE))</f>
        <v/>
      </c>
      <c r="Z1349" t="str">
        <f>T(VLOOKUP(Tab_Calculs[[#This Row],[Compteur]],Site!$B$33:$G$40,6,FALSE))</f>
        <v/>
      </c>
      <c r="AA1349">
        <f>IFERROR(GETPIVOTDATA("DJU(chauffagiste)",BDD_DJU!$P$13,"annee",Tab_Calculs[[#This Row],[ANNEE]],"mois_numero",Tab_Calculs[[#This Row],[MOIS]]),0)</f>
        <v>0</v>
      </c>
    </row>
    <row r="1350" spans="1:27" x14ac:dyDescent="0.25">
      <c r="A1350" s="3">
        <f>DATE(Tab_Calculs[[#This Row],[ANNEE]],Tab_Calculs[[#This Row],[MOIS]],1)</f>
        <v>45931</v>
      </c>
      <c r="B1350" s="3">
        <f>EDATE(Tab_Calculs[[#This Row],[Début mois]],1)-1</f>
        <v>45961</v>
      </c>
      <c r="C1350">
        <f t="shared" si="45"/>
        <v>10</v>
      </c>
      <c r="D1350">
        <f t="shared" si="48"/>
        <v>2025</v>
      </c>
      <c r="E1350" t="s">
        <v>86</v>
      </c>
      <c r="F1350" t="str">
        <f>SUBSTITUTE(Tab_Calculs[[#This Row],[Compteur]]," ","_")</f>
        <v>Compteur_7</v>
      </c>
      <c r="G1350" t="str">
        <f>T(INDEX(Site!$B$33:$G$40, MATCH(Tab_Calculs[[#This Row],[Compteur]], Site!$B$33:$B$40,0),2))</f>
        <v/>
      </c>
      <c r="H1350" s="3">
        <f t="array" aca="1" ref="H1350" ca="1">MIN(IF(INDIRECT(CONCATENATE(Tab_Calculs[[#This Row],[Colonne1]],"!$B$2:$B$243"))&gt;=Calculs_Consos!$A1350,INDIRECT(CONCATENATE(Tab_Calculs[[#This Row],[Colonne1]],"!$B$2:$B$243"))))</f>
        <v>0</v>
      </c>
      <c r="I1350" s="3">
        <f ca="1">INDEX(INDIRECT(CONCATENATE("Tab_",Tab_Calculs[[#This Row],[Colonne1]])),Tab_Calculs[[#This Row],[index_date_livraison]],1)</f>
        <v>0</v>
      </c>
      <c r="J1350">
        <f ca="1">MATCH(Tab_Calculs[[#This Row],[Date_livraison]],INDIRECT(CONCATENATE("Tab_",Tab_Calculs[[#This Row],[Colonne1]],"[Fin de période]")),0)</f>
        <v>1</v>
      </c>
      <c r="K1350" t="e">
        <f ca="1">INDEX(INDIRECT(CONCATENATE("Tab_",Tab_Calculs[[#This Row],[Colonne1]])),Tab_Calculs[[#This Row],[index_date_livraison]]-1,6)*(MAX(Tab_Calculs[[#This Row],[Début periode livraison]],Tab_Calculs[[#This Row],[Début mois]])-Tab_Calculs[[#This Row],[Début mois]])</f>
        <v>#VALUE!</v>
      </c>
      <c r="L1350" s="94">
        <f ca="1">INDEX(INDIRECT(CONCATENATE("Tab_",Tab_Calculs[[#This Row],[Colonne1]])),Tab_Calculs[[#This Row],[index_date_livraison]],6)*(1+MIN(Tab_Calculs[[#This Row],[Date_livraison]],Tab_Calculs[[#This Row],[fin mois]])-MAX(Tab_Calculs[[#This Row],[Début mois]],Tab_Calculs[[#This Row],[Début periode livraison]]))</f>
        <v>0</v>
      </c>
      <c r="M1350" s="94" t="e">
        <f ca="1">INDEX(INDIRECT(CONCATENATE("Tab_",Tab_Calculs[[#This Row],[Colonne1]])),Tab_Calculs[[#This Row],[index_date_livraison]]+1,6)*(Tab_Calculs[[#This Row],[fin mois]]-MIN(Tab_Calculs[[#This Row],[fin mois]],Tab_Calculs[[#This Row],[Date_livraison]]))</f>
        <v>#VALUE!</v>
      </c>
      <c r="N1350" s="231" t="str">
        <f ca="1">IFERROR(Tab_Calculs[[#This Row],[Ratio_jour_après_livr]]+Tab_Calculs[[#This Row],[Ratio_jour_avant_livr]]+Tab_Calculs[[#This Row],[ratio_avant_debut]],"")</f>
        <v/>
      </c>
      <c r="O1350" t="e">
        <f ca="1">INDEX(INDIRECT(CONCATENATE("Tab_",Tab_Calculs[[#This Row],[Colonne1]])),Tab_Calculs[[#This Row],[index_date_livraison]]-1,7)*(MAX(Tab_Calculs[[#This Row],[Début periode livraison]],Tab_Calculs[[#This Row],[Début mois]])-Tab_Calculs[[#This Row],[Début mois]])</f>
        <v>#VALUE!</v>
      </c>
      <c r="P1350">
        <f ca="1">INDEX(INDIRECT(CONCATENATE("Tab_",Tab_Calculs[[#This Row],[Colonne1]])),Tab_Calculs[[#This Row],[index_date_livraison]],7)*(1+MIN(Tab_Calculs[[#This Row],[Date_livraison]],Tab_Calculs[[#This Row],[fin mois]])-MAX(Tab_Calculs[[#This Row],[Début mois]],Tab_Calculs[[#This Row],[Début periode livraison]]))</f>
        <v>0</v>
      </c>
      <c r="Q1350" t="e">
        <f ca="1">INDEX(INDIRECT(CONCATENATE("Tab_",Tab_Calculs[[#This Row],[Colonne1]])),Tab_Calculs[[#This Row],[index_date_livraison]]+1,7)*(Tab_Calculs[[#This Row],[fin mois]]-MIN(Tab_Calculs[[#This Row],[fin mois]],Tab_Calculs[[#This Row],[Date_livraison]]))</f>
        <v>#VALUE!</v>
      </c>
      <c r="R1350" t="e">
        <f ca="1">Tab_Calculs[[#This Row],[Ratio_Cout_après_livr]]+Tab_Calculs[[#This Row],[Ratio_Cout_avant_livr]]+Tab_Calculs[[#This Row],[Ratio_Cout_avant_debut]]</f>
        <v>#VALUE!</v>
      </c>
      <c r="S1350" t="str">
        <f ca="1">IFERROR(N1350*VLOOKUP(Tab_Calculs[[#This Row],[Colonne1]],Controle_des_données!$B$7:$G$14,6,FALSE),"")</f>
        <v/>
      </c>
      <c r="T1350" t="str">
        <f ca="1">IF(Tab_Calculs[[#This Row],[Combustible ]]="Electricité (kWh)",Tab_Calculs[[#This Row],[Conso_mois_kWh]]*2.3,Tab_Calculs[[#This Row],[Conso_mois_kWh]])</f>
        <v/>
      </c>
      <c r="U1350" t="str">
        <f ca="1">IFERROR(N1350*VLOOKUP(Tab_Calculs[[#This Row],[Colonne1]],Controle_des_données!$B$7:$H$14,7,FALSE),"")</f>
        <v/>
      </c>
      <c r="V1350">
        <f ca="1">IFERROR(Tab_Calculs[[#This Row],[Cout_mois]]/Tab_Calculs[[#This Row],[Conso_mois_kWh]],0)</f>
        <v>0</v>
      </c>
      <c r="W1350" t="str">
        <f>T(VLOOKUP(Tab_Calculs[[#This Row],[Compteur]],Site!$B$33:$G$40,3,FALSE))</f>
        <v/>
      </c>
      <c r="X1350" t="str">
        <f>T(VLOOKUP(Tab_Calculs[[#This Row],[Compteur]],Site!$B$33:$G$40,4,FALSE))</f>
        <v/>
      </c>
      <c r="Y1350" t="str">
        <f>T(VLOOKUP(Tab_Calculs[[#This Row],[Compteur]],Site!$B$33:$G$40,5,FALSE))</f>
        <v/>
      </c>
      <c r="Z1350" t="str">
        <f>T(VLOOKUP(Tab_Calculs[[#This Row],[Compteur]],Site!$B$33:$G$40,6,FALSE))</f>
        <v/>
      </c>
      <c r="AA1350">
        <f>IFERROR(GETPIVOTDATA("DJU(chauffagiste)",BDD_DJU!$P$13,"annee",Tab_Calculs[[#This Row],[ANNEE]],"mois_numero",Tab_Calculs[[#This Row],[MOIS]]),0)</f>
        <v>0</v>
      </c>
    </row>
    <row r="1351" spans="1:27" x14ac:dyDescent="0.25">
      <c r="A1351" s="3">
        <f>DATE(Tab_Calculs[[#This Row],[ANNEE]],Tab_Calculs[[#This Row],[MOIS]],1)</f>
        <v>45962</v>
      </c>
      <c r="B1351" s="3">
        <f>EDATE(Tab_Calculs[[#This Row],[Début mois]],1)-1</f>
        <v>45991</v>
      </c>
      <c r="C1351">
        <f t="shared" si="45"/>
        <v>11</v>
      </c>
      <c r="D1351">
        <f t="shared" si="48"/>
        <v>2025</v>
      </c>
      <c r="E1351" t="s">
        <v>86</v>
      </c>
      <c r="F1351" t="str">
        <f>SUBSTITUTE(Tab_Calculs[[#This Row],[Compteur]]," ","_")</f>
        <v>Compteur_7</v>
      </c>
      <c r="G1351" t="str">
        <f>T(INDEX(Site!$B$33:$G$40, MATCH(Tab_Calculs[[#This Row],[Compteur]], Site!$B$33:$B$40,0),2))</f>
        <v/>
      </c>
      <c r="H1351" s="3">
        <f t="array" aca="1" ref="H1351" ca="1">MIN(IF(INDIRECT(CONCATENATE(Tab_Calculs[[#This Row],[Colonne1]],"!$B$2:$B$243"))&gt;=Calculs_Consos!$A1351,INDIRECT(CONCATENATE(Tab_Calculs[[#This Row],[Colonne1]],"!$B$2:$B$243"))))</f>
        <v>0</v>
      </c>
      <c r="I1351" s="3">
        <f ca="1">INDEX(INDIRECT(CONCATENATE("Tab_",Tab_Calculs[[#This Row],[Colonne1]])),Tab_Calculs[[#This Row],[index_date_livraison]],1)</f>
        <v>0</v>
      </c>
      <c r="J1351">
        <f ca="1">MATCH(Tab_Calculs[[#This Row],[Date_livraison]],INDIRECT(CONCATENATE("Tab_",Tab_Calculs[[#This Row],[Colonne1]],"[Fin de période]")),0)</f>
        <v>1</v>
      </c>
      <c r="K1351" t="e">
        <f ca="1">INDEX(INDIRECT(CONCATENATE("Tab_",Tab_Calculs[[#This Row],[Colonne1]])),Tab_Calculs[[#This Row],[index_date_livraison]]-1,6)*(MAX(Tab_Calculs[[#This Row],[Début periode livraison]],Tab_Calculs[[#This Row],[Début mois]])-Tab_Calculs[[#This Row],[Début mois]])</f>
        <v>#VALUE!</v>
      </c>
      <c r="L1351" s="94">
        <f ca="1">INDEX(INDIRECT(CONCATENATE("Tab_",Tab_Calculs[[#This Row],[Colonne1]])),Tab_Calculs[[#This Row],[index_date_livraison]],6)*(1+MIN(Tab_Calculs[[#This Row],[Date_livraison]],Tab_Calculs[[#This Row],[fin mois]])-MAX(Tab_Calculs[[#This Row],[Début mois]],Tab_Calculs[[#This Row],[Début periode livraison]]))</f>
        <v>0</v>
      </c>
      <c r="M1351" s="94" t="e">
        <f ca="1">INDEX(INDIRECT(CONCATENATE("Tab_",Tab_Calculs[[#This Row],[Colonne1]])),Tab_Calculs[[#This Row],[index_date_livraison]]+1,6)*(Tab_Calculs[[#This Row],[fin mois]]-MIN(Tab_Calculs[[#This Row],[fin mois]],Tab_Calculs[[#This Row],[Date_livraison]]))</f>
        <v>#VALUE!</v>
      </c>
      <c r="N1351" s="231" t="str">
        <f ca="1">IFERROR(Tab_Calculs[[#This Row],[Ratio_jour_après_livr]]+Tab_Calculs[[#This Row],[Ratio_jour_avant_livr]]+Tab_Calculs[[#This Row],[ratio_avant_debut]],"")</f>
        <v/>
      </c>
      <c r="O1351" t="e">
        <f ca="1">INDEX(INDIRECT(CONCATENATE("Tab_",Tab_Calculs[[#This Row],[Colonne1]])),Tab_Calculs[[#This Row],[index_date_livraison]]-1,7)*(MAX(Tab_Calculs[[#This Row],[Début periode livraison]],Tab_Calculs[[#This Row],[Début mois]])-Tab_Calculs[[#This Row],[Début mois]])</f>
        <v>#VALUE!</v>
      </c>
      <c r="P1351">
        <f ca="1">INDEX(INDIRECT(CONCATENATE("Tab_",Tab_Calculs[[#This Row],[Colonne1]])),Tab_Calculs[[#This Row],[index_date_livraison]],7)*(1+MIN(Tab_Calculs[[#This Row],[Date_livraison]],Tab_Calculs[[#This Row],[fin mois]])-MAX(Tab_Calculs[[#This Row],[Début mois]],Tab_Calculs[[#This Row],[Début periode livraison]]))</f>
        <v>0</v>
      </c>
      <c r="Q1351" t="e">
        <f ca="1">INDEX(INDIRECT(CONCATENATE("Tab_",Tab_Calculs[[#This Row],[Colonne1]])),Tab_Calculs[[#This Row],[index_date_livraison]]+1,7)*(Tab_Calculs[[#This Row],[fin mois]]-MIN(Tab_Calculs[[#This Row],[fin mois]],Tab_Calculs[[#This Row],[Date_livraison]]))</f>
        <v>#VALUE!</v>
      </c>
      <c r="R1351" t="e">
        <f ca="1">Tab_Calculs[[#This Row],[Ratio_Cout_après_livr]]+Tab_Calculs[[#This Row],[Ratio_Cout_avant_livr]]+Tab_Calculs[[#This Row],[Ratio_Cout_avant_debut]]</f>
        <v>#VALUE!</v>
      </c>
      <c r="S1351" t="str">
        <f ca="1">IFERROR(N1351*VLOOKUP(Tab_Calculs[[#This Row],[Colonne1]],Controle_des_données!$B$7:$G$14,6,FALSE),"")</f>
        <v/>
      </c>
      <c r="T1351" t="str">
        <f ca="1">IF(Tab_Calculs[[#This Row],[Combustible ]]="Electricité (kWh)",Tab_Calculs[[#This Row],[Conso_mois_kWh]]*2.3,Tab_Calculs[[#This Row],[Conso_mois_kWh]])</f>
        <v/>
      </c>
      <c r="U1351" t="str">
        <f ca="1">IFERROR(N1351*VLOOKUP(Tab_Calculs[[#This Row],[Colonne1]],Controle_des_données!$B$7:$H$14,7,FALSE),"")</f>
        <v/>
      </c>
      <c r="V1351">
        <f ca="1">IFERROR(Tab_Calculs[[#This Row],[Cout_mois]]/Tab_Calculs[[#This Row],[Conso_mois_kWh]],0)</f>
        <v>0</v>
      </c>
      <c r="W1351" t="str">
        <f>T(VLOOKUP(Tab_Calculs[[#This Row],[Compteur]],Site!$B$33:$G$40,3,FALSE))</f>
        <v/>
      </c>
      <c r="X1351" t="str">
        <f>T(VLOOKUP(Tab_Calculs[[#This Row],[Compteur]],Site!$B$33:$G$40,4,FALSE))</f>
        <v/>
      </c>
      <c r="Y1351" t="str">
        <f>T(VLOOKUP(Tab_Calculs[[#This Row],[Compteur]],Site!$B$33:$G$40,5,FALSE))</f>
        <v/>
      </c>
      <c r="Z1351" t="str">
        <f>T(VLOOKUP(Tab_Calculs[[#This Row],[Compteur]],Site!$B$33:$G$40,6,FALSE))</f>
        <v/>
      </c>
      <c r="AA1351">
        <f>IFERROR(GETPIVOTDATA("DJU(chauffagiste)",BDD_DJU!$P$13,"annee",Tab_Calculs[[#This Row],[ANNEE]],"mois_numero",Tab_Calculs[[#This Row],[MOIS]]),0)</f>
        <v>0</v>
      </c>
    </row>
    <row r="1352" spans="1:27" x14ac:dyDescent="0.25">
      <c r="A1352" s="3">
        <f>DATE(Tab_Calculs[[#This Row],[ANNEE]],Tab_Calculs[[#This Row],[MOIS]],1)</f>
        <v>45992</v>
      </c>
      <c r="B1352" s="3">
        <f>EDATE(Tab_Calculs[[#This Row],[Début mois]],1)-1</f>
        <v>46022</v>
      </c>
      <c r="C1352">
        <f t="shared" si="45"/>
        <v>12</v>
      </c>
      <c r="D1352">
        <f t="shared" si="48"/>
        <v>2025</v>
      </c>
      <c r="E1352" t="s">
        <v>86</v>
      </c>
      <c r="F1352" t="str">
        <f>SUBSTITUTE(Tab_Calculs[[#This Row],[Compteur]]," ","_")</f>
        <v>Compteur_7</v>
      </c>
      <c r="G1352" t="str">
        <f>T(INDEX(Site!$B$33:$G$40, MATCH(Tab_Calculs[[#This Row],[Compteur]], Site!$B$33:$B$40,0),2))</f>
        <v/>
      </c>
      <c r="H1352" s="3">
        <f t="array" aca="1" ref="H1352" ca="1">MIN(IF(INDIRECT(CONCATENATE(Tab_Calculs[[#This Row],[Colonne1]],"!$B$2:$B$243"))&gt;=Calculs_Consos!$A1352,INDIRECT(CONCATENATE(Tab_Calculs[[#This Row],[Colonne1]],"!$B$2:$B$243"))))</f>
        <v>0</v>
      </c>
      <c r="I1352" s="3">
        <f ca="1">INDEX(INDIRECT(CONCATENATE("Tab_",Tab_Calculs[[#This Row],[Colonne1]])),Tab_Calculs[[#This Row],[index_date_livraison]],1)</f>
        <v>0</v>
      </c>
      <c r="J1352">
        <f ca="1">MATCH(Tab_Calculs[[#This Row],[Date_livraison]],INDIRECT(CONCATENATE("Tab_",Tab_Calculs[[#This Row],[Colonne1]],"[Fin de période]")),0)</f>
        <v>1</v>
      </c>
      <c r="K1352" t="e">
        <f ca="1">INDEX(INDIRECT(CONCATENATE("Tab_",Tab_Calculs[[#This Row],[Colonne1]])),Tab_Calculs[[#This Row],[index_date_livraison]]-1,6)*(MAX(Tab_Calculs[[#This Row],[Début periode livraison]],Tab_Calculs[[#This Row],[Début mois]])-Tab_Calculs[[#This Row],[Début mois]])</f>
        <v>#VALUE!</v>
      </c>
      <c r="L1352" s="94">
        <f ca="1">INDEX(INDIRECT(CONCATENATE("Tab_",Tab_Calculs[[#This Row],[Colonne1]])),Tab_Calculs[[#This Row],[index_date_livraison]],6)*(1+MIN(Tab_Calculs[[#This Row],[Date_livraison]],Tab_Calculs[[#This Row],[fin mois]])-MAX(Tab_Calculs[[#This Row],[Début mois]],Tab_Calculs[[#This Row],[Début periode livraison]]))</f>
        <v>0</v>
      </c>
      <c r="M1352" s="94" t="e">
        <f ca="1">INDEX(INDIRECT(CONCATENATE("Tab_",Tab_Calculs[[#This Row],[Colonne1]])),Tab_Calculs[[#This Row],[index_date_livraison]]+1,6)*(Tab_Calculs[[#This Row],[fin mois]]-MIN(Tab_Calculs[[#This Row],[fin mois]],Tab_Calculs[[#This Row],[Date_livraison]]))</f>
        <v>#VALUE!</v>
      </c>
      <c r="N1352" s="231" t="str">
        <f ca="1">IFERROR(Tab_Calculs[[#This Row],[Ratio_jour_après_livr]]+Tab_Calculs[[#This Row],[Ratio_jour_avant_livr]]+Tab_Calculs[[#This Row],[ratio_avant_debut]],"")</f>
        <v/>
      </c>
      <c r="O1352" t="e">
        <f ca="1">INDEX(INDIRECT(CONCATENATE("Tab_",Tab_Calculs[[#This Row],[Colonne1]])),Tab_Calculs[[#This Row],[index_date_livraison]]-1,7)*(MAX(Tab_Calculs[[#This Row],[Début periode livraison]],Tab_Calculs[[#This Row],[Début mois]])-Tab_Calculs[[#This Row],[Début mois]])</f>
        <v>#VALUE!</v>
      </c>
      <c r="P1352">
        <f ca="1">INDEX(INDIRECT(CONCATENATE("Tab_",Tab_Calculs[[#This Row],[Colonne1]])),Tab_Calculs[[#This Row],[index_date_livraison]],7)*(1+MIN(Tab_Calculs[[#This Row],[Date_livraison]],Tab_Calculs[[#This Row],[fin mois]])-MAX(Tab_Calculs[[#This Row],[Début mois]],Tab_Calculs[[#This Row],[Début periode livraison]]))</f>
        <v>0</v>
      </c>
      <c r="Q1352" t="e">
        <f ca="1">INDEX(INDIRECT(CONCATENATE("Tab_",Tab_Calculs[[#This Row],[Colonne1]])),Tab_Calculs[[#This Row],[index_date_livraison]]+1,7)*(Tab_Calculs[[#This Row],[fin mois]]-MIN(Tab_Calculs[[#This Row],[fin mois]],Tab_Calculs[[#This Row],[Date_livraison]]))</f>
        <v>#VALUE!</v>
      </c>
      <c r="R1352" t="e">
        <f ca="1">Tab_Calculs[[#This Row],[Ratio_Cout_après_livr]]+Tab_Calculs[[#This Row],[Ratio_Cout_avant_livr]]+Tab_Calculs[[#This Row],[Ratio_Cout_avant_debut]]</f>
        <v>#VALUE!</v>
      </c>
      <c r="S1352" t="str">
        <f ca="1">IFERROR(N1352*VLOOKUP(Tab_Calculs[[#This Row],[Colonne1]],Controle_des_données!$B$7:$G$14,6,FALSE),"")</f>
        <v/>
      </c>
      <c r="T1352" t="str">
        <f ca="1">IF(Tab_Calculs[[#This Row],[Combustible ]]="Electricité (kWh)",Tab_Calculs[[#This Row],[Conso_mois_kWh]]*2.3,Tab_Calculs[[#This Row],[Conso_mois_kWh]])</f>
        <v/>
      </c>
      <c r="U1352" t="str">
        <f ca="1">IFERROR(N1352*VLOOKUP(Tab_Calculs[[#This Row],[Colonne1]],Controle_des_données!$B$7:$H$14,7,FALSE),"")</f>
        <v/>
      </c>
      <c r="V1352">
        <f ca="1">IFERROR(Tab_Calculs[[#This Row],[Cout_mois]]/Tab_Calculs[[#This Row],[Conso_mois_kWh]],0)</f>
        <v>0</v>
      </c>
      <c r="W1352" t="str">
        <f>T(VLOOKUP(Tab_Calculs[[#This Row],[Compteur]],Site!$B$33:$G$40,3,FALSE))</f>
        <v/>
      </c>
      <c r="X1352" t="str">
        <f>T(VLOOKUP(Tab_Calculs[[#This Row],[Compteur]],Site!$B$33:$G$40,4,FALSE))</f>
        <v/>
      </c>
      <c r="Y1352" t="str">
        <f>T(VLOOKUP(Tab_Calculs[[#This Row],[Compteur]],Site!$B$33:$G$40,5,FALSE))</f>
        <v/>
      </c>
      <c r="Z1352" t="str">
        <f>T(VLOOKUP(Tab_Calculs[[#This Row],[Compteur]],Site!$B$33:$G$40,6,FALSE))</f>
        <v/>
      </c>
      <c r="AA1352">
        <f>IFERROR(GETPIVOTDATA("DJU(chauffagiste)",BDD_DJU!$P$13,"annee",Tab_Calculs[[#This Row],[ANNEE]],"mois_numero",Tab_Calculs[[#This Row],[MOIS]]),0)</f>
        <v>0</v>
      </c>
    </row>
    <row r="1353" spans="1:27" x14ac:dyDescent="0.25">
      <c r="A1353" s="3">
        <f>DATE(Tab_Calculs[[#This Row],[ANNEE]],Tab_Calculs[[#This Row],[MOIS]],1)</f>
        <v>40179</v>
      </c>
      <c r="B1353" s="3">
        <f>EDATE(Tab_Calculs[[#This Row],[Début mois]],1)-1</f>
        <v>40209</v>
      </c>
      <c r="C1353">
        <v>1</v>
      </c>
      <c r="D1353">
        <v>2010</v>
      </c>
      <c r="E1353" t="s">
        <v>87</v>
      </c>
      <c r="F1353" t="str">
        <f>SUBSTITUTE(Tab_Calculs[[#This Row],[Compteur]]," ","_")</f>
        <v>Compteur_8</v>
      </c>
      <c r="G1353" t="str">
        <f>T(INDEX(Site!$B$33:$G$40, MATCH(Tab_Calculs[[#This Row],[Compteur]], Site!$B$33:$B$40,0),2))</f>
        <v/>
      </c>
      <c r="H1353" s="3">
        <f t="array" aca="1" ref="H1353" ca="1">MIN(IF(INDIRECT(CONCATENATE(Tab_Calculs[[#This Row],[Colonne1]],"!$B$2:$B$243"))&gt;=Calculs_Consos!$A1353,INDIRECT(CONCATENATE(Tab_Calculs[[#This Row],[Colonne1]],"!$B$2:$B$243"))))</f>
        <v>0</v>
      </c>
      <c r="I1353" s="3">
        <f ca="1">INDEX(INDIRECT(CONCATENATE("Tab_",Tab_Calculs[[#This Row],[Colonne1]])),Tab_Calculs[[#This Row],[index_date_livraison]],1)</f>
        <v>0</v>
      </c>
      <c r="J1353">
        <f ca="1">MATCH(Tab_Calculs[[#This Row],[Date_livraison]],INDIRECT(CONCATENATE("Tab_",Tab_Calculs[[#This Row],[Colonne1]],"[Fin de période]")),0)</f>
        <v>1</v>
      </c>
      <c r="K1353" t="e">
        <f ca="1">INDEX(INDIRECT(CONCATENATE("Tab_",Tab_Calculs[[#This Row],[Colonne1]])),Tab_Calculs[[#This Row],[index_date_livraison]]-1,6)*(MAX(Tab_Calculs[[#This Row],[Début periode livraison]],Tab_Calculs[[#This Row],[Début mois]])-Tab_Calculs[[#This Row],[Début mois]])</f>
        <v>#VALUE!</v>
      </c>
      <c r="L1353" s="94">
        <f ca="1">INDEX(INDIRECT(CONCATENATE("Tab_",Tab_Calculs[[#This Row],[Colonne1]])),Tab_Calculs[[#This Row],[index_date_livraison]],6)*(1+MIN(Tab_Calculs[[#This Row],[Date_livraison]],Tab_Calculs[[#This Row],[fin mois]])-MAX(Tab_Calculs[[#This Row],[Début mois]],Tab_Calculs[[#This Row],[Début periode livraison]]))</f>
        <v>0</v>
      </c>
      <c r="M1353" s="94" t="e">
        <f ca="1">INDEX(INDIRECT(CONCATENATE("Tab_",Tab_Calculs[[#This Row],[Colonne1]])),Tab_Calculs[[#This Row],[index_date_livraison]]+1,6)*(Tab_Calculs[[#This Row],[fin mois]]-MIN(Tab_Calculs[[#This Row],[fin mois]],Tab_Calculs[[#This Row],[Date_livraison]]))</f>
        <v>#VALUE!</v>
      </c>
      <c r="N1353" s="231" t="str">
        <f ca="1">IFERROR(Tab_Calculs[[#This Row],[Ratio_jour_après_livr]]+Tab_Calculs[[#This Row],[Ratio_jour_avant_livr]]+Tab_Calculs[[#This Row],[ratio_avant_debut]],"")</f>
        <v/>
      </c>
      <c r="O1353" t="e">
        <f ca="1">INDEX(INDIRECT(CONCATENATE("Tab_",Tab_Calculs[[#This Row],[Colonne1]])),Tab_Calculs[[#This Row],[index_date_livraison]]-1,7)*(MAX(Tab_Calculs[[#This Row],[Début periode livraison]],Tab_Calculs[[#This Row],[Début mois]])-Tab_Calculs[[#This Row],[Début mois]])</f>
        <v>#VALUE!</v>
      </c>
      <c r="P1353">
        <f ca="1">INDEX(INDIRECT(CONCATENATE("Tab_",Tab_Calculs[[#This Row],[Colonne1]])),Tab_Calculs[[#This Row],[index_date_livraison]],7)*(1+MIN(Tab_Calculs[[#This Row],[Date_livraison]],Tab_Calculs[[#This Row],[fin mois]])-MAX(Tab_Calculs[[#This Row],[Début mois]],Tab_Calculs[[#This Row],[Début periode livraison]]))</f>
        <v>0</v>
      </c>
      <c r="Q1353" t="e">
        <f ca="1">INDEX(INDIRECT(CONCATENATE("Tab_",Tab_Calculs[[#This Row],[Colonne1]])),Tab_Calculs[[#This Row],[index_date_livraison]]+1,7)*(Tab_Calculs[[#This Row],[fin mois]]-MIN(Tab_Calculs[[#This Row],[fin mois]],Tab_Calculs[[#This Row],[Date_livraison]]))</f>
        <v>#VALUE!</v>
      </c>
      <c r="R1353" t="e">
        <f ca="1">Tab_Calculs[[#This Row],[Ratio_Cout_après_livr]]+Tab_Calculs[[#This Row],[Ratio_Cout_avant_livr]]+Tab_Calculs[[#This Row],[Ratio_Cout_avant_debut]]</f>
        <v>#VALUE!</v>
      </c>
      <c r="S1353" t="str">
        <f ca="1">IFERROR(N1353*VLOOKUP(Tab_Calculs[[#This Row],[Colonne1]],Controle_des_données!$B$7:$G$14,6,FALSE),"")</f>
        <v/>
      </c>
      <c r="T1353" t="str">
        <f ca="1">IF(Tab_Calculs[[#This Row],[Combustible ]]="Electricité (kWh)",Tab_Calculs[[#This Row],[Conso_mois_kWh]]*2.3,Tab_Calculs[[#This Row],[Conso_mois_kWh]])</f>
        <v/>
      </c>
      <c r="U1353" t="str">
        <f ca="1">IFERROR(N1353*VLOOKUP(Tab_Calculs[[#This Row],[Colonne1]],Controle_des_données!$B$7:$H$14,7,FALSE),"")</f>
        <v/>
      </c>
      <c r="V1353">
        <f ca="1">IFERROR(Tab_Calculs[[#This Row],[Cout_mois]]/Tab_Calculs[[#This Row],[Conso_mois_kWh]],0)</f>
        <v>0</v>
      </c>
      <c r="W1353" t="str">
        <f>T(VLOOKUP(Tab_Calculs[[#This Row],[Compteur]],Site!$B$33:$G$40,3,FALSE))</f>
        <v/>
      </c>
      <c r="X1353" t="str">
        <f>T(VLOOKUP(Tab_Calculs[[#This Row],[Compteur]],Site!$B$33:$G$40,4,FALSE))</f>
        <v/>
      </c>
      <c r="Y1353" t="str">
        <f>T(VLOOKUP(Tab_Calculs[[#This Row],[Compteur]],Site!$B$33:$G$40,5,FALSE))</f>
        <v/>
      </c>
      <c r="Z1353" t="str">
        <f>T(VLOOKUP(Tab_Calculs[[#This Row],[Compteur]],Site!$B$33:$G$40,6,FALSE))</f>
        <v/>
      </c>
      <c r="AA1353">
        <f>IFERROR(GETPIVOTDATA("DJU(chauffagiste)",BDD_DJU!$P$13,"annee",Tab_Calculs[[#This Row],[ANNEE]],"mois_numero",Tab_Calculs[[#This Row],[MOIS]]),0)</f>
        <v>487.6</v>
      </c>
    </row>
    <row r="1354" spans="1:27" x14ac:dyDescent="0.25">
      <c r="A1354" s="3">
        <f>DATE(Tab_Calculs[[#This Row],[ANNEE]],Tab_Calculs[[#This Row],[MOIS]],1)</f>
        <v>40210</v>
      </c>
      <c r="B1354" s="3">
        <f>EDATE(Tab_Calculs[[#This Row],[Début mois]],1)-1</f>
        <v>40237</v>
      </c>
      <c r="C1354">
        <v>2</v>
      </c>
      <c r="D1354">
        <v>2010</v>
      </c>
      <c r="E1354" t="s">
        <v>87</v>
      </c>
      <c r="F1354" t="str">
        <f>SUBSTITUTE(Tab_Calculs[[#This Row],[Compteur]]," ","_")</f>
        <v>Compteur_8</v>
      </c>
      <c r="G1354" t="str">
        <f>T(INDEX(Site!$B$33:$G$40, MATCH(Tab_Calculs[[#This Row],[Compteur]], Site!$B$33:$B$40,0),2))</f>
        <v/>
      </c>
      <c r="H1354" s="3">
        <f t="array" aca="1" ref="H1354" ca="1">MIN(IF(INDIRECT(CONCATENATE(Tab_Calculs[[#This Row],[Colonne1]],"!$B$2:$B$243"))&gt;=Calculs_Consos!$A1354,INDIRECT(CONCATENATE(Tab_Calculs[[#This Row],[Colonne1]],"!$B$2:$B$243"))))</f>
        <v>0</v>
      </c>
      <c r="I1354" s="3">
        <f ca="1">INDEX(INDIRECT(CONCATENATE("Tab_",Tab_Calculs[[#This Row],[Colonne1]])),Tab_Calculs[[#This Row],[index_date_livraison]],1)</f>
        <v>0</v>
      </c>
      <c r="J1354">
        <f ca="1">MATCH(Tab_Calculs[[#This Row],[Date_livraison]],INDIRECT(CONCATENATE("Tab_",Tab_Calculs[[#This Row],[Colonne1]],"[Fin de période]")),0)</f>
        <v>1</v>
      </c>
      <c r="K1354" t="e">
        <f ca="1">INDEX(INDIRECT(CONCATENATE("Tab_",Tab_Calculs[[#This Row],[Colonne1]])),Tab_Calculs[[#This Row],[index_date_livraison]]-1,6)*(MAX(Tab_Calculs[[#This Row],[Début periode livraison]],Tab_Calculs[[#This Row],[Début mois]])-Tab_Calculs[[#This Row],[Début mois]])</f>
        <v>#VALUE!</v>
      </c>
      <c r="L1354" s="94">
        <f ca="1">INDEX(INDIRECT(CONCATENATE("Tab_",Tab_Calculs[[#This Row],[Colonne1]])),Tab_Calculs[[#This Row],[index_date_livraison]],6)*(1+MIN(Tab_Calculs[[#This Row],[Date_livraison]],Tab_Calculs[[#This Row],[fin mois]])-MAX(Tab_Calculs[[#This Row],[Début mois]],Tab_Calculs[[#This Row],[Début periode livraison]]))</f>
        <v>0</v>
      </c>
      <c r="M1354" s="94" t="e">
        <f ca="1">INDEX(INDIRECT(CONCATENATE("Tab_",Tab_Calculs[[#This Row],[Colonne1]])),Tab_Calculs[[#This Row],[index_date_livraison]]+1,6)*(Tab_Calculs[[#This Row],[fin mois]]-MIN(Tab_Calculs[[#This Row],[fin mois]],Tab_Calculs[[#This Row],[Date_livraison]]))</f>
        <v>#VALUE!</v>
      </c>
      <c r="N1354" s="231" t="str">
        <f ca="1">IFERROR(Tab_Calculs[[#This Row],[Ratio_jour_après_livr]]+Tab_Calculs[[#This Row],[Ratio_jour_avant_livr]]+Tab_Calculs[[#This Row],[ratio_avant_debut]],"")</f>
        <v/>
      </c>
      <c r="O1354" t="e">
        <f ca="1">INDEX(INDIRECT(CONCATENATE("Tab_",Tab_Calculs[[#This Row],[Colonne1]])),Tab_Calculs[[#This Row],[index_date_livraison]]-1,7)*(MAX(Tab_Calculs[[#This Row],[Début periode livraison]],Tab_Calculs[[#This Row],[Début mois]])-Tab_Calculs[[#This Row],[Début mois]])</f>
        <v>#VALUE!</v>
      </c>
      <c r="P1354">
        <f ca="1">INDEX(INDIRECT(CONCATENATE("Tab_",Tab_Calculs[[#This Row],[Colonne1]])),Tab_Calculs[[#This Row],[index_date_livraison]],7)*(1+MIN(Tab_Calculs[[#This Row],[Date_livraison]],Tab_Calculs[[#This Row],[fin mois]])-MAX(Tab_Calculs[[#This Row],[Début mois]],Tab_Calculs[[#This Row],[Début periode livraison]]))</f>
        <v>0</v>
      </c>
      <c r="Q1354" t="e">
        <f ca="1">INDEX(INDIRECT(CONCATENATE("Tab_",Tab_Calculs[[#This Row],[Colonne1]])),Tab_Calculs[[#This Row],[index_date_livraison]]+1,7)*(Tab_Calculs[[#This Row],[fin mois]]-MIN(Tab_Calculs[[#This Row],[fin mois]],Tab_Calculs[[#This Row],[Date_livraison]]))</f>
        <v>#VALUE!</v>
      </c>
      <c r="R1354" t="e">
        <f ca="1">Tab_Calculs[[#This Row],[Ratio_Cout_après_livr]]+Tab_Calculs[[#This Row],[Ratio_Cout_avant_livr]]+Tab_Calculs[[#This Row],[Ratio_Cout_avant_debut]]</f>
        <v>#VALUE!</v>
      </c>
      <c r="S1354" t="str">
        <f ca="1">IFERROR(N1354*VLOOKUP(Tab_Calculs[[#This Row],[Colonne1]],Controle_des_données!$B$7:$G$14,6,FALSE),"")</f>
        <v/>
      </c>
      <c r="T1354" t="str">
        <f ca="1">IF(Tab_Calculs[[#This Row],[Combustible ]]="Electricité (kWh)",Tab_Calculs[[#This Row],[Conso_mois_kWh]]*2.3,Tab_Calculs[[#This Row],[Conso_mois_kWh]])</f>
        <v/>
      </c>
      <c r="U1354" t="str">
        <f ca="1">IFERROR(N1354*VLOOKUP(Tab_Calculs[[#This Row],[Colonne1]],Controle_des_données!$B$7:$H$14,7,FALSE),"")</f>
        <v/>
      </c>
      <c r="V1354">
        <f ca="1">IFERROR(Tab_Calculs[[#This Row],[Cout_mois]]/Tab_Calculs[[#This Row],[Conso_mois_kWh]],0)</f>
        <v>0</v>
      </c>
      <c r="W1354" t="str">
        <f>T(VLOOKUP(Tab_Calculs[[#This Row],[Compteur]],Site!$B$33:$G$40,3,FALSE))</f>
        <v/>
      </c>
      <c r="X1354" t="str">
        <f>T(VLOOKUP(Tab_Calculs[[#This Row],[Compteur]],Site!$B$33:$G$40,4,FALSE))</f>
        <v/>
      </c>
      <c r="Y1354" t="str">
        <f>T(VLOOKUP(Tab_Calculs[[#This Row],[Compteur]],Site!$B$33:$G$40,5,FALSE))</f>
        <v/>
      </c>
      <c r="Z1354" t="str">
        <f>T(VLOOKUP(Tab_Calculs[[#This Row],[Compteur]],Site!$B$33:$G$40,6,FALSE))</f>
        <v/>
      </c>
      <c r="AA1354">
        <f>IFERROR(GETPIVOTDATA("DJU(chauffagiste)",BDD_DJU!$P$13,"annee",Tab_Calculs[[#This Row],[ANNEE]],"mois_numero",Tab_Calculs[[#This Row],[MOIS]]),0)</f>
        <v>370.3</v>
      </c>
    </row>
    <row r="1355" spans="1:27" x14ac:dyDescent="0.25">
      <c r="A1355" s="3">
        <f>DATE(Tab_Calculs[[#This Row],[ANNEE]],Tab_Calculs[[#This Row],[MOIS]],1)</f>
        <v>40238</v>
      </c>
      <c r="B1355" s="3">
        <f>EDATE(Tab_Calculs[[#This Row],[Début mois]],1)-1</f>
        <v>40268</v>
      </c>
      <c r="C1355">
        <v>3</v>
      </c>
      <c r="D1355">
        <v>2010</v>
      </c>
      <c r="E1355" t="s">
        <v>87</v>
      </c>
      <c r="F1355" t="str">
        <f>SUBSTITUTE(Tab_Calculs[[#This Row],[Compteur]]," ","_")</f>
        <v>Compteur_8</v>
      </c>
      <c r="G1355" t="str">
        <f>T(INDEX(Site!$B$33:$G$40, MATCH(Tab_Calculs[[#This Row],[Compteur]], Site!$B$33:$B$40,0),2))</f>
        <v/>
      </c>
      <c r="H1355" s="3">
        <f t="array" aca="1" ref="H1355" ca="1">MIN(IF(INDIRECT(CONCATENATE(Tab_Calculs[[#This Row],[Colonne1]],"!$B$2:$B$243"))&gt;=Calculs_Consos!$A1355,INDIRECT(CONCATENATE(Tab_Calculs[[#This Row],[Colonne1]],"!$B$2:$B$243"))))</f>
        <v>0</v>
      </c>
      <c r="I1355" s="3">
        <f ca="1">INDEX(INDIRECT(CONCATENATE("Tab_",Tab_Calculs[[#This Row],[Colonne1]])),Tab_Calculs[[#This Row],[index_date_livraison]],1)</f>
        <v>0</v>
      </c>
      <c r="J1355">
        <f ca="1">MATCH(Tab_Calculs[[#This Row],[Date_livraison]],INDIRECT(CONCATENATE("Tab_",Tab_Calculs[[#This Row],[Colonne1]],"[Fin de période]")),0)</f>
        <v>1</v>
      </c>
      <c r="K1355" t="e">
        <f ca="1">INDEX(INDIRECT(CONCATENATE("Tab_",Tab_Calculs[[#This Row],[Colonne1]])),Tab_Calculs[[#This Row],[index_date_livraison]]-1,6)*(MAX(Tab_Calculs[[#This Row],[Début periode livraison]],Tab_Calculs[[#This Row],[Début mois]])-Tab_Calculs[[#This Row],[Début mois]])</f>
        <v>#VALUE!</v>
      </c>
      <c r="L1355" s="94">
        <f ca="1">INDEX(INDIRECT(CONCATENATE("Tab_",Tab_Calculs[[#This Row],[Colonne1]])),Tab_Calculs[[#This Row],[index_date_livraison]],6)*(1+MIN(Tab_Calculs[[#This Row],[Date_livraison]],Tab_Calculs[[#This Row],[fin mois]])-MAX(Tab_Calculs[[#This Row],[Début mois]],Tab_Calculs[[#This Row],[Début periode livraison]]))</f>
        <v>0</v>
      </c>
      <c r="M1355" s="94" t="e">
        <f ca="1">INDEX(INDIRECT(CONCATENATE("Tab_",Tab_Calculs[[#This Row],[Colonne1]])),Tab_Calculs[[#This Row],[index_date_livraison]]+1,6)*(Tab_Calculs[[#This Row],[fin mois]]-MIN(Tab_Calculs[[#This Row],[fin mois]],Tab_Calculs[[#This Row],[Date_livraison]]))</f>
        <v>#VALUE!</v>
      </c>
      <c r="N1355" s="231" t="str">
        <f ca="1">IFERROR(Tab_Calculs[[#This Row],[Ratio_jour_après_livr]]+Tab_Calculs[[#This Row],[Ratio_jour_avant_livr]]+Tab_Calculs[[#This Row],[ratio_avant_debut]],"")</f>
        <v/>
      </c>
      <c r="O1355" t="e">
        <f ca="1">INDEX(INDIRECT(CONCATENATE("Tab_",Tab_Calculs[[#This Row],[Colonne1]])),Tab_Calculs[[#This Row],[index_date_livraison]]-1,7)*(MAX(Tab_Calculs[[#This Row],[Début periode livraison]],Tab_Calculs[[#This Row],[Début mois]])-Tab_Calculs[[#This Row],[Début mois]])</f>
        <v>#VALUE!</v>
      </c>
      <c r="P1355">
        <f ca="1">INDEX(INDIRECT(CONCATENATE("Tab_",Tab_Calculs[[#This Row],[Colonne1]])),Tab_Calculs[[#This Row],[index_date_livraison]],7)*(1+MIN(Tab_Calculs[[#This Row],[Date_livraison]],Tab_Calculs[[#This Row],[fin mois]])-MAX(Tab_Calculs[[#This Row],[Début mois]],Tab_Calculs[[#This Row],[Début periode livraison]]))</f>
        <v>0</v>
      </c>
      <c r="Q1355" t="e">
        <f ca="1">INDEX(INDIRECT(CONCATENATE("Tab_",Tab_Calculs[[#This Row],[Colonne1]])),Tab_Calculs[[#This Row],[index_date_livraison]]+1,7)*(Tab_Calculs[[#This Row],[fin mois]]-MIN(Tab_Calculs[[#This Row],[fin mois]],Tab_Calculs[[#This Row],[Date_livraison]]))</f>
        <v>#VALUE!</v>
      </c>
      <c r="R1355" t="e">
        <f ca="1">Tab_Calculs[[#This Row],[Ratio_Cout_après_livr]]+Tab_Calculs[[#This Row],[Ratio_Cout_avant_livr]]+Tab_Calculs[[#This Row],[Ratio_Cout_avant_debut]]</f>
        <v>#VALUE!</v>
      </c>
      <c r="S1355" t="str">
        <f ca="1">IFERROR(N1355*VLOOKUP(Tab_Calculs[[#This Row],[Colonne1]],Controle_des_données!$B$7:$G$14,6,FALSE),"")</f>
        <v/>
      </c>
      <c r="T1355" t="str">
        <f ca="1">IF(Tab_Calculs[[#This Row],[Combustible ]]="Electricité (kWh)",Tab_Calculs[[#This Row],[Conso_mois_kWh]]*2.3,Tab_Calculs[[#This Row],[Conso_mois_kWh]])</f>
        <v/>
      </c>
      <c r="U1355" t="str">
        <f ca="1">IFERROR(N1355*VLOOKUP(Tab_Calculs[[#This Row],[Colonne1]],Controle_des_données!$B$7:$H$14,7,FALSE),"")</f>
        <v/>
      </c>
      <c r="V1355">
        <f ca="1">IFERROR(Tab_Calculs[[#This Row],[Cout_mois]]/Tab_Calculs[[#This Row],[Conso_mois_kWh]],0)</f>
        <v>0</v>
      </c>
      <c r="W1355" t="str">
        <f>T(VLOOKUP(Tab_Calculs[[#This Row],[Compteur]],Site!$B$33:$G$40,3,FALSE))</f>
        <v/>
      </c>
      <c r="X1355" t="str">
        <f>T(VLOOKUP(Tab_Calculs[[#This Row],[Compteur]],Site!$B$33:$G$40,4,FALSE))</f>
        <v/>
      </c>
      <c r="Y1355" t="str">
        <f>T(VLOOKUP(Tab_Calculs[[#This Row],[Compteur]],Site!$B$33:$G$40,5,FALSE))</f>
        <v/>
      </c>
      <c r="Z1355" t="str">
        <f>T(VLOOKUP(Tab_Calculs[[#This Row],[Compteur]],Site!$B$33:$G$40,6,FALSE))</f>
        <v/>
      </c>
      <c r="AA1355">
        <f>IFERROR(GETPIVOTDATA("DJU(chauffagiste)",BDD_DJU!$P$13,"annee",Tab_Calculs[[#This Row],[ANNEE]],"mois_numero",Tab_Calculs[[#This Row],[MOIS]]),0)</f>
        <v>312.8</v>
      </c>
    </row>
    <row r="1356" spans="1:27" x14ac:dyDescent="0.25">
      <c r="A1356" s="3">
        <f>DATE(Tab_Calculs[[#This Row],[ANNEE]],Tab_Calculs[[#This Row],[MOIS]],1)</f>
        <v>40269</v>
      </c>
      <c r="B1356" s="3">
        <f>EDATE(Tab_Calculs[[#This Row],[Début mois]],1)-1</f>
        <v>40298</v>
      </c>
      <c r="C1356">
        <v>4</v>
      </c>
      <c r="D1356">
        <v>2010</v>
      </c>
      <c r="E1356" t="s">
        <v>87</v>
      </c>
      <c r="F1356" t="str">
        <f>SUBSTITUTE(Tab_Calculs[[#This Row],[Compteur]]," ","_")</f>
        <v>Compteur_8</v>
      </c>
      <c r="G1356" t="str">
        <f>T(INDEX(Site!$B$33:$G$40, MATCH(Tab_Calculs[[#This Row],[Compteur]], Site!$B$33:$B$40,0),2))</f>
        <v/>
      </c>
      <c r="H1356" s="3">
        <f t="array" aca="1" ref="H1356" ca="1">MIN(IF(INDIRECT(CONCATENATE(Tab_Calculs[[#This Row],[Colonne1]],"!$B$2:$B$243"))&gt;=Calculs_Consos!$A1356,INDIRECT(CONCATENATE(Tab_Calculs[[#This Row],[Colonne1]],"!$B$2:$B$243"))))</f>
        <v>0</v>
      </c>
      <c r="I1356" s="3">
        <f ca="1">INDEX(INDIRECT(CONCATENATE("Tab_",Tab_Calculs[[#This Row],[Colonne1]])),Tab_Calculs[[#This Row],[index_date_livraison]],1)</f>
        <v>0</v>
      </c>
      <c r="J1356">
        <f ca="1">MATCH(Tab_Calculs[[#This Row],[Date_livraison]],INDIRECT(CONCATENATE("Tab_",Tab_Calculs[[#This Row],[Colonne1]],"[Fin de période]")),0)</f>
        <v>1</v>
      </c>
      <c r="K1356" t="e">
        <f ca="1">INDEX(INDIRECT(CONCATENATE("Tab_",Tab_Calculs[[#This Row],[Colonne1]])),Tab_Calculs[[#This Row],[index_date_livraison]]-1,6)*(MAX(Tab_Calculs[[#This Row],[Début periode livraison]],Tab_Calculs[[#This Row],[Début mois]])-Tab_Calculs[[#This Row],[Début mois]])</f>
        <v>#VALUE!</v>
      </c>
      <c r="L1356" s="94">
        <f ca="1">INDEX(INDIRECT(CONCATENATE("Tab_",Tab_Calculs[[#This Row],[Colonne1]])),Tab_Calculs[[#This Row],[index_date_livraison]],6)*(1+MIN(Tab_Calculs[[#This Row],[Date_livraison]],Tab_Calculs[[#This Row],[fin mois]])-MAX(Tab_Calculs[[#This Row],[Début mois]],Tab_Calculs[[#This Row],[Début periode livraison]]))</f>
        <v>0</v>
      </c>
      <c r="M1356" s="94" t="e">
        <f ca="1">INDEX(INDIRECT(CONCATENATE("Tab_",Tab_Calculs[[#This Row],[Colonne1]])),Tab_Calculs[[#This Row],[index_date_livraison]]+1,6)*(Tab_Calculs[[#This Row],[fin mois]]-MIN(Tab_Calculs[[#This Row],[fin mois]],Tab_Calculs[[#This Row],[Date_livraison]]))</f>
        <v>#VALUE!</v>
      </c>
      <c r="N1356" s="231" t="str">
        <f ca="1">IFERROR(Tab_Calculs[[#This Row],[Ratio_jour_après_livr]]+Tab_Calculs[[#This Row],[Ratio_jour_avant_livr]]+Tab_Calculs[[#This Row],[ratio_avant_debut]],"")</f>
        <v/>
      </c>
      <c r="O1356" t="e">
        <f ca="1">INDEX(INDIRECT(CONCATENATE("Tab_",Tab_Calculs[[#This Row],[Colonne1]])),Tab_Calculs[[#This Row],[index_date_livraison]]-1,7)*(MAX(Tab_Calculs[[#This Row],[Début periode livraison]],Tab_Calculs[[#This Row],[Début mois]])-Tab_Calculs[[#This Row],[Début mois]])</f>
        <v>#VALUE!</v>
      </c>
      <c r="P1356">
        <f ca="1">INDEX(INDIRECT(CONCATENATE("Tab_",Tab_Calculs[[#This Row],[Colonne1]])),Tab_Calculs[[#This Row],[index_date_livraison]],7)*(1+MIN(Tab_Calculs[[#This Row],[Date_livraison]],Tab_Calculs[[#This Row],[fin mois]])-MAX(Tab_Calculs[[#This Row],[Début mois]],Tab_Calculs[[#This Row],[Début periode livraison]]))</f>
        <v>0</v>
      </c>
      <c r="Q1356" t="e">
        <f ca="1">INDEX(INDIRECT(CONCATENATE("Tab_",Tab_Calculs[[#This Row],[Colonne1]])),Tab_Calculs[[#This Row],[index_date_livraison]]+1,7)*(Tab_Calculs[[#This Row],[fin mois]]-MIN(Tab_Calculs[[#This Row],[fin mois]],Tab_Calculs[[#This Row],[Date_livraison]]))</f>
        <v>#VALUE!</v>
      </c>
      <c r="R1356" t="e">
        <f ca="1">Tab_Calculs[[#This Row],[Ratio_Cout_après_livr]]+Tab_Calculs[[#This Row],[Ratio_Cout_avant_livr]]+Tab_Calculs[[#This Row],[Ratio_Cout_avant_debut]]</f>
        <v>#VALUE!</v>
      </c>
      <c r="S1356" t="str">
        <f ca="1">IFERROR(N1356*VLOOKUP(Tab_Calculs[[#This Row],[Colonne1]],Controle_des_données!$B$7:$G$14,6,FALSE),"")</f>
        <v/>
      </c>
      <c r="T1356" t="str">
        <f ca="1">IF(Tab_Calculs[[#This Row],[Combustible ]]="Electricité (kWh)",Tab_Calculs[[#This Row],[Conso_mois_kWh]]*2.3,Tab_Calculs[[#This Row],[Conso_mois_kWh]])</f>
        <v/>
      </c>
      <c r="U1356" t="str">
        <f ca="1">IFERROR(N1356*VLOOKUP(Tab_Calculs[[#This Row],[Colonne1]],Controle_des_données!$B$7:$H$14,7,FALSE),"")</f>
        <v/>
      </c>
      <c r="V1356">
        <f ca="1">IFERROR(Tab_Calculs[[#This Row],[Cout_mois]]/Tab_Calculs[[#This Row],[Conso_mois_kWh]],0)</f>
        <v>0</v>
      </c>
      <c r="W1356" t="str">
        <f>T(VLOOKUP(Tab_Calculs[[#This Row],[Compteur]],Site!$B$33:$G$40,3,FALSE))</f>
        <v/>
      </c>
      <c r="X1356" t="str">
        <f>T(VLOOKUP(Tab_Calculs[[#This Row],[Compteur]],Site!$B$33:$G$40,4,FALSE))</f>
        <v/>
      </c>
      <c r="Y1356" t="str">
        <f>T(VLOOKUP(Tab_Calculs[[#This Row],[Compteur]],Site!$B$33:$G$40,5,FALSE))</f>
        <v/>
      </c>
      <c r="Z1356" t="str">
        <f>T(VLOOKUP(Tab_Calculs[[#This Row],[Compteur]],Site!$B$33:$G$40,6,FALSE))</f>
        <v/>
      </c>
      <c r="AA1356">
        <f>IFERROR(GETPIVOTDATA("DJU(chauffagiste)",BDD_DJU!$P$13,"annee",Tab_Calculs[[#This Row],[ANNEE]],"mois_numero",Tab_Calculs[[#This Row],[MOIS]]),0)</f>
        <v>199.2</v>
      </c>
    </row>
    <row r="1357" spans="1:27" x14ac:dyDescent="0.25">
      <c r="A1357" s="3">
        <f>DATE(Tab_Calculs[[#This Row],[ANNEE]],Tab_Calculs[[#This Row],[MOIS]],1)</f>
        <v>40299</v>
      </c>
      <c r="B1357" s="3">
        <f>EDATE(Tab_Calculs[[#This Row],[Début mois]],1)-1</f>
        <v>40329</v>
      </c>
      <c r="C1357">
        <v>5</v>
      </c>
      <c r="D1357">
        <v>2010</v>
      </c>
      <c r="E1357" t="s">
        <v>87</v>
      </c>
      <c r="F1357" t="str">
        <f>SUBSTITUTE(Tab_Calculs[[#This Row],[Compteur]]," ","_")</f>
        <v>Compteur_8</v>
      </c>
      <c r="G1357" t="str">
        <f>T(INDEX(Site!$B$33:$G$40, MATCH(Tab_Calculs[[#This Row],[Compteur]], Site!$B$33:$B$40,0),2))</f>
        <v/>
      </c>
      <c r="H1357" s="3">
        <f t="array" aca="1" ref="H1357" ca="1">MIN(IF(INDIRECT(CONCATENATE(Tab_Calculs[[#This Row],[Colonne1]],"!$B$2:$B$243"))&gt;=Calculs_Consos!$A1357,INDIRECT(CONCATENATE(Tab_Calculs[[#This Row],[Colonne1]],"!$B$2:$B$243"))))</f>
        <v>0</v>
      </c>
      <c r="I1357" s="3">
        <f ca="1">INDEX(INDIRECT(CONCATENATE("Tab_",Tab_Calculs[[#This Row],[Colonne1]])),Tab_Calculs[[#This Row],[index_date_livraison]],1)</f>
        <v>0</v>
      </c>
      <c r="J1357">
        <f ca="1">MATCH(Tab_Calculs[[#This Row],[Date_livraison]],INDIRECT(CONCATENATE("Tab_",Tab_Calculs[[#This Row],[Colonne1]],"[Fin de période]")),0)</f>
        <v>1</v>
      </c>
      <c r="K1357" t="e">
        <f ca="1">INDEX(INDIRECT(CONCATENATE("Tab_",Tab_Calculs[[#This Row],[Colonne1]])),Tab_Calculs[[#This Row],[index_date_livraison]]-1,6)*(MAX(Tab_Calculs[[#This Row],[Début periode livraison]],Tab_Calculs[[#This Row],[Début mois]])-Tab_Calculs[[#This Row],[Début mois]])</f>
        <v>#VALUE!</v>
      </c>
      <c r="L1357" s="94">
        <f ca="1">INDEX(INDIRECT(CONCATENATE("Tab_",Tab_Calculs[[#This Row],[Colonne1]])),Tab_Calculs[[#This Row],[index_date_livraison]],6)*(1+MIN(Tab_Calculs[[#This Row],[Date_livraison]],Tab_Calculs[[#This Row],[fin mois]])-MAX(Tab_Calculs[[#This Row],[Début mois]],Tab_Calculs[[#This Row],[Début periode livraison]]))</f>
        <v>0</v>
      </c>
      <c r="M1357" s="94" t="e">
        <f ca="1">INDEX(INDIRECT(CONCATENATE("Tab_",Tab_Calculs[[#This Row],[Colonne1]])),Tab_Calculs[[#This Row],[index_date_livraison]]+1,6)*(Tab_Calculs[[#This Row],[fin mois]]-MIN(Tab_Calculs[[#This Row],[fin mois]],Tab_Calculs[[#This Row],[Date_livraison]]))</f>
        <v>#VALUE!</v>
      </c>
      <c r="N1357" s="231" t="str">
        <f ca="1">IFERROR(Tab_Calculs[[#This Row],[Ratio_jour_après_livr]]+Tab_Calculs[[#This Row],[Ratio_jour_avant_livr]]+Tab_Calculs[[#This Row],[ratio_avant_debut]],"")</f>
        <v/>
      </c>
      <c r="O1357" t="e">
        <f ca="1">INDEX(INDIRECT(CONCATENATE("Tab_",Tab_Calculs[[#This Row],[Colonne1]])),Tab_Calculs[[#This Row],[index_date_livraison]]-1,7)*(MAX(Tab_Calculs[[#This Row],[Début periode livraison]],Tab_Calculs[[#This Row],[Début mois]])-Tab_Calculs[[#This Row],[Début mois]])</f>
        <v>#VALUE!</v>
      </c>
      <c r="P1357">
        <f ca="1">INDEX(INDIRECT(CONCATENATE("Tab_",Tab_Calculs[[#This Row],[Colonne1]])),Tab_Calculs[[#This Row],[index_date_livraison]],7)*(1+MIN(Tab_Calculs[[#This Row],[Date_livraison]],Tab_Calculs[[#This Row],[fin mois]])-MAX(Tab_Calculs[[#This Row],[Début mois]],Tab_Calculs[[#This Row],[Début periode livraison]]))</f>
        <v>0</v>
      </c>
      <c r="Q1357" t="e">
        <f ca="1">INDEX(INDIRECT(CONCATENATE("Tab_",Tab_Calculs[[#This Row],[Colonne1]])),Tab_Calculs[[#This Row],[index_date_livraison]]+1,7)*(Tab_Calculs[[#This Row],[fin mois]]-MIN(Tab_Calculs[[#This Row],[fin mois]],Tab_Calculs[[#This Row],[Date_livraison]]))</f>
        <v>#VALUE!</v>
      </c>
      <c r="R1357" t="e">
        <f ca="1">Tab_Calculs[[#This Row],[Ratio_Cout_après_livr]]+Tab_Calculs[[#This Row],[Ratio_Cout_avant_livr]]+Tab_Calculs[[#This Row],[Ratio_Cout_avant_debut]]</f>
        <v>#VALUE!</v>
      </c>
      <c r="S1357" t="str">
        <f ca="1">IFERROR(N1357*VLOOKUP(Tab_Calculs[[#This Row],[Colonne1]],Controle_des_données!$B$7:$G$14,6,FALSE),"")</f>
        <v/>
      </c>
      <c r="T1357" t="str">
        <f ca="1">IF(Tab_Calculs[[#This Row],[Combustible ]]="Electricité (kWh)",Tab_Calculs[[#This Row],[Conso_mois_kWh]]*2.3,Tab_Calculs[[#This Row],[Conso_mois_kWh]])</f>
        <v/>
      </c>
      <c r="U1357" t="str">
        <f ca="1">IFERROR(N1357*VLOOKUP(Tab_Calculs[[#This Row],[Colonne1]],Controle_des_données!$B$7:$H$14,7,FALSE),"")</f>
        <v/>
      </c>
      <c r="V1357">
        <f ca="1">IFERROR(Tab_Calculs[[#This Row],[Cout_mois]]/Tab_Calculs[[#This Row],[Conso_mois_kWh]],0)</f>
        <v>0</v>
      </c>
      <c r="W1357" t="str">
        <f>T(VLOOKUP(Tab_Calculs[[#This Row],[Compteur]],Site!$B$33:$G$40,3,FALSE))</f>
        <v/>
      </c>
      <c r="X1357" t="str">
        <f>T(VLOOKUP(Tab_Calculs[[#This Row],[Compteur]],Site!$B$33:$G$40,4,FALSE))</f>
        <v/>
      </c>
      <c r="Y1357" t="str">
        <f>T(VLOOKUP(Tab_Calculs[[#This Row],[Compteur]],Site!$B$33:$G$40,5,FALSE))</f>
        <v/>
      </c>
      <c r="Z1357" t="str">
        <f>T(VLOOKUP(Tab_Calculs[[#This Row],[Compteur]],Site!$B$33:$G$40,6,FALSE))</f>
        <v/>
      </c>
      <c r="AA1357">
        <f>IFERROR(GETPIVOTDATA("DJU(chauffagiste)",BDD_DJU!$P$13,"annee",Tab_Calculs[[#This Row],[ANNEE]],"mois_numero",Tab_Calculs[[#This Row],[MOIS]]),0)</f>
        <v>155.4</v>
      </c>
    </row>
    <row r="1358" spans="1:27" x14ac:dyDescent="0.25">
      <c r="A1358" s="3">
        <f>DATE(Tab_Calculs[[#This Row],[ANNEE]],Tab_Calculs[[#This Row],[MOIS]],1)</f>
        <v>40330</v>
      </c>
      <c r="B1358" s="3">
        <f>EDATE(Tab_Calculs[[#This Row],[Début mois]],1)-1</f>
        <v>40359</v>
      </c>
      <c r="C1358">
        <v>6</v>
      </c>
      <c r="D1358">
        <v>2010</v>
      </c>
      <c r="E1358" t="s">
        <v>87</v>
      </c>
      <c r="F1358" t="str">
        <f>SUBSTITUTE(Tab_Calculs[[#This Row],[Compteur]]," ","_")</f>
        <v>Compteur_8</v>
      </c>
      <c r="G1358" t="str">
        <f>T(INDEX(Site!$B$33:$G$40, MATCH(Tab_Calculs[[#This Row],[Compteur]], Site!$B$33:$B$40,0),2))</f>
        <v/>
      </c>
      <c r="H1358" s="3">
        <f t="array" aca="1" ref="H1358" ca="1">MIN(IF(INDIRECT(CONCATENATE(Tab_Calculs[[#This Row],[Colonne1]],"!$B$2:$B$243"))&gt;=Calculs_Consos!$A1358,INDIRECT(CONCATENATE(Tab_Calculs[[#This Row],[Colonne1]],"!$B$2:$B$243"))))</f>
        <v>0</v>
      </c>
      <c r="I1358" s="3">
        <f ca="1">INDEX(INDIRECT(CONCATENATE("Tab_",Tab_Calculs[[#This Row],[Colonne1]])),Tab_Calculs[[#This Row],[index_date_livraison]],1)</f>
        <v>0</v>
      </c>
      <c r="J1358">
        <f ca="1">MATCH(Tab_Calculs[[#This Row],[Date_livraison]],INDIRECT(CONCATENATE("Tab_",Tab_Calculs[[#This Row],[Colonne1]],"[Fin de période]")),0)</f>
        <v>1</v>
      </c>
      <c r="K1358" t="e">
        <f ca="1">INDEX(INDIRECT(CONCATENATE("Tab_",Tab_Calculs[[#This Row],[Colonne1]])),Tab_Calculs[[#This Row],[index_date_livraison]]-1,6)*(MAX(Tab_Calculs[[#This Row],[Début periode livraison]],Tab_Calculs[[#This Row],[Début mois]])-Tab_Calculs[[#This Row],[Début mois]])</f>
        <v>#VALUE!</v>
      </c>
      <c r="L1358" s="94">
        <f ca="1">INDEX(INDIRECT(CONCATENATE("Tab_",Tab_Calculs[[#This Row],[Colonne1]])),Tab_Calculs[[#This Row],[index_date_livraison]],6)*(1+MIN(Tab_Calculs[[#This Row],[Date_livraison]],Tab_Calculs[[#This Row],[fin mois]])-MAX(Tab_Calculs[[#This Row],[Début mois]],Tab_Calculs[[#This Row],[Début periode livraison]]))</f>
        <v>0</v>
      </c>
      <c r="M1358" s="94" t="e">
        <f ca="1">INDEX(INDIRECT(CONCATENATE("Tab_",Tab_Calculs[[#This Row],[Colonne1]])),Tab_Calculs[[#This Row],[index_date_livraison]]+1,6)*(Tab_Calculs[[#This Row],[fin mois]]-MIN(Tab_Calculs[[#This Row],[fin mois]],Tab_Calculs[[#This Row],[Date_livraison]]))</f>
        <v>#VALUE!</v>
      </c>
      <c r="N1358" s="231" t="str">
        <f ca="1">IFERROR(Tab_Calculs[[#This Row],[Ratio_jour_après_livr]]+Tab_Calculs[[#This Row],[Ratio_jour_avant_livr]]+Tab_Calculs[[#This Row],[ratio_avant_debut]],"")</f>
        <v/>
      </c>
      <c r="O1358" t="e">
        <f ca="1">INDEX(INDIRECT(CONCATENATE("Tab_",Tab_Calculs[[#This Row],[Colonne1]])),Tab_Calculs[[#This Row],[index_date_livraison]]-1,7)*(MAX(Tab_Calculs[[#This Row],[Début periode livraison]],Tab_Calculs[[#This Row],[Début mois]])-Tab_Calculs[[#This Row],[Début mois]])</f>
        <v>#VALUE!</v>
      </c>
      <c r="P1358">
        <f ca="1">INDEX(INDIRECT(CONCATENATE("Tab_",Tab_Calculs[[#This Row],[Colonne1]])),Tab_Calculs[[#This Row],[index_date_livraison]],7)*(1+MIN(Tab_Calculs[[#This Row],[Date_livraison]],Tab_Calculs[[#This Row],[fin mois]])-MAX(Tab_Calculs[[#This Row],[Début mois]],Tab_Calculs[[#This Row],[Début periode livraison]]))</f>
        <v>0</v>
      </c>
      <c r="Q1358" t="e">
        <f ca="1">INDEX(INDIRECT(CONCATENATE("Tab_",Tab_Calculs[[#This Row],[Colonne1]])),Tab_Calculs[[#This Row],[index_date_livraison]]+1,7)*(Tab_Calculs[[#This Row],[fin mois]]-MIN(Tab_Calculs[[#This Row],[fin mois]],Tab_Calculs[[#This Row],[Date_livraison]]))</f>
        <v>#VALUE!</v>
      </c>
      <c r="R1358" t="e">
        <f ca="1">Tab_Calculs[[#This Row],[Ratio_Cout_après_livr]]+Tab_Calculs[[#This Row],[Ratio_Cout_avant_livr]]+Tab_Calculs[[#This Row],[Ratio_Cout_avant_debut]]</f>
        <v>#VALUE!</v>
      </c>
      <c r="S1358" t="str">
        <f ca="1">IFERROR(N1358*VLOOKUP(Tab_Calculs[[#This Row],[Colonne1]],Controle_des_données!$B$7:$G$14,6,FALSE),"")</f>
        <v/>
      </c>
      <c r="T1358" t="str">
        <f ca="1">IF(Tab_Calculs[[#This Row],[Combustible ]]="Electricité (kWh)",Tab_Calculs[[#This Row],[Conso_mois_kWh]]*2.3,Tab_Calculs[[#This Row],[Conso_mois_kWh]])</f>
        <v/>
      </c>
      <c r="U1358" t="str">
        <f ca="1">IFERROR(N1358*VLOOKUP(Tab_Calculs[[#This Row],[Colonne1]],Controle_des_données!$B$7:$H$14,7,FALSE),"")</f>
        <v/>
      </c>
      <c r="V1358">
        <f ca="1">IFERROR(Tab_Calculs[[#This Row],[Cout_mois]]/Tab_Calculs[[#This Row],[Conso_mois_kWh]],0)</f>
        <v>0</v>
      </c>
      <c r="W1358" t="str">
        <f>T(VLOOKUP(Tab_Calculs[[#This Row],[Compteur]],Site!$B$33:$G$40,3,FALSE))</f>
        <v/>
      </c>
      <c r="X1358" t="str">
        <f>T(VLOOKUP(Tab_Calculs[[#This Row],[Compteur]],Site!$B$33:$G$40,4,FALSE))</f>
        <v/>
      </c>
      <c r="Y1358" t="str">
        <f>T(VLOOKUP(Tab_Calculs[[#This Row],[Compteur]],Site!$B$33:$G$40,5,FALSE))</f>
        <v/>
      </c>
      <c r="Z1358" t="str">
        <f>T(VLOOKUP(Tab_Calculs[[#This Row],[Compteur]],Site!$B$33:$G$40,6,FALSE))</f>
        <v/>
      </c>
      <c r="AA1358">
        <f>IFERROR(GETPIVOTDATA("DJU(chauffagiste)",BDD_DJU!$P$13,"annee",Tab_Calculs[[#This Row],[ANNEE]],"mois_numero",Tab_Calculs[[#This Row],[MOIS]]),0)</f>
        <v>46.7</v>
      </c>
    </row>
    <row r="1359" spans="1:27" x14ac:dyDescent="0.25">
      <c r="A1359" s="3">
        <f>DATE(Tab_Calculs[[#This Row],[ANNEE]],Tab_Calculs[[#This Row],[MOIS]],1)</f>
        <v>40360</v>
      </c>
      <c r="B1359" s="3">
        <f>EDATE(Tab_Calculs[[#This Row],[Début mois]],1)-1</f>
        <v>40390</v>
      </c>
      <c r="C1359">
        <v>7</v>
      </c>
      <c r="D1359">
        <v>2010</v>
      </c>
      <c r="E1359" t="s">
        <v>87</v>
      </c>
      <c r="F1359" t="str">
        <f>SUBSTITUTE(Tab_Calculs[[#This Row],[Compteur]]," ","_")</f>
        <v>Compteur_8</v>
      </c>
      <c r="G1359" t="str">
        <f>T(INDEX(Site!$B$33:$G$40, MATCH(Tab_Calculs[[#This Row],[Compteur]], Site!$B$33:$B$40,0),2))</f>
        <v/>
      </c>
      <c r="H1359" s="3">
        <f t="array" aca="1" ref="H1359" ca="1">MIN(IF(INDIRECT(CONCATENATE(Tab_Calculs[[#This Row],[Colonne1]],"!$B$2:$B$243"))&gt;=Calculs_Consos!$A1359,INDIRECT(CONCATENATE(Tab_Calculs[[#This Row],[Colonne1]],"!$B$2:$B$243"))))</f>
        <v>0</v>
      </c>
      <c r="I1359" s="3">
        <f ca="1">INDEX(INDIRECT(CONCATENATE("Tab_",Tab_Calculs[[#This Row],[Colonne1]])),Tab_Calculs[[#This Row],[index_date_livraison]],1)</f>
        <v>0</v>
      </c>
      <c r="J1359">
        <f ca="1">MATCH(Tab_Calculs[[#This Row],[Date_livraison]],INDIRECT(CONCATENATE("Tab_",Tab_Calculs[[#This Row],[Colonne1]],"[Fin de période]")),0)</f>
        <v>1</v>
      </c>
      <c r="K1359" t="e">
        <f ca="1">INDEX(INDIRECT(CONCATENATE("Tab_",Tab_Calculs[[#This Row],[Colonne1]])),Tab_Calculs[[#This Row],[index_date_livraison]]-1,6)*(MAX(Tab_Calculs[[#This Row],[Début periode livraison]],Tab_Calculs[[#This Row],[Début mois]])-Tab_Calculs[[#This Row],[Début mois]])</f>
        <v>#VALUE!</v>
      </c>
      <c r="L1359" s="94">
        <f ca="1">INDEX(INDIRECT(CONCATENATE("Tab_",Tab_Calculs[[#This Row],[Colonne1]])),Tab_Calculs[[#This Row],[index_date_livraison]],6)*(1+MIN(Tab_Calculs[[#This Row],[Date_livraison]],Tab_Calculs[[#This Row],[fin mois]])-MAX(Tab_Calculs[[#This Row],[Début mois]],Tab_Calculs[[#This Row],[Début periode livraison]]))</f>
        <v>0</v>
      </c>
      <c r="M1359" s="94" t="e">
        <f ca="1">INDEX(INDIRECT(CONCATENATE("Tab_",Tab_Calculs[[#This Row],[Colonne1]])),Tab_Calculs[[#This Row],[index_date_livraison]]+1,6)*(Tab_Calculs[[#This Row],[fin mois]]-MIN(Tab_Calculs[[#This Row],[fin mois]],Tab_Calculs[[#This Row],[Date_livraison]]))</f>
        <v>#VALUE!</v>
      </c>
      <c r="N1359" s="231" t="str">
        <f ca="1">IFERROR(Tab_Calculs[[#This Row],[Ratio_jour_après_livr]]+Tab_Calculs[[#This Row],[Ratio_jour_avant_livr]]+Tab_Calculs[[#This Row],[ratio_avant_debut]],"")</f>
        <v/>
      </c>
      <c r="O1359" t="e">
        <f ca="1">INDEX(INDIRECT(CONCATENATE("Tab_",Tab_Calculs[[#This Row],[Colonne1]])),Tab_Calculs[[#This Row],[index_date_livraison]]-1,7)*(MAX(Tab_Calculs[[#This Row],[Début periode livraison]],Tab_Calculs[[#This Row],[Début mois]])-Tab_Calculs[[#This Row],[Début mois]])</f>
        <v>#VALUE!</v>
      </c>
      <c r="P1359">
        <f ca="1">INDEX(INDIRECT(CONCATENATE("Tab_",Tab_Calculs[[#This Row],[Colonne1]])),Tab_Calculs[[#This Row],[index_date_livraison]],7)*(1+MIN(Tab_Calculs[[#This Row],[Date_livraison]],Tab_Calculs[[#This Row],[fin mois]])-MAX(Tab_Calculs[[#This Row],[Début mois]],Tab_Calculs[[#This Row],[Début periode livraison]]))</f>
        <v>0</v>
      </c>
      <c r="Q1359" t="e">
        <f ca="1">INDEX(INDIRECT(CONCATENATE("Tab_",Tab_Calculs[[#This Row],[Colonne1]])),Tab_Calculs[[#This Row],[index_date_livraison]]+1,7)*(Tab_Calculs[[#This Row],[fin mois]]-MIN(Tab_Calculs[[#This Row],[fin mois]],Tab_Calculs[[#This Row],[Date_livraison]]))</f>
        <v>#VALUE!</v>
      </c>
      <c r="R1359" t="e">
        <f ca="1">Tab_Calculs[[#This Row],[Ratio_Cout_après_livr]]+Tab_Calculs[[#This Row],[Ratio_Cout_avant_livr]]+Tab_Calculs[[#This Row],[Ratio_Cout_avant_debut]]</f>
        <v>#VALUE!</v>
      </c>
      <c r="S1359" t="str">
        <f ca="1">IFERROR(N1359*VLOOKUP(Tab_Calculs[[#This Row],[Colonne1]],Controle_des_données!$B$7:$G$14,6,FALSE),"")</f>
        <v/>
      </c>
      <c r="T1359" t="str">
        <f ca="1">IF(Tab_Calculs[[#This Row],[Combustible ]]="Electricité (kWh)",Tab_Calculs[[#This Row],[Conso_mois_kWh]]*2.3,Tab_Calculs[[#This Row],[Conso_mois_kWh]])</f>
        <v/>
      </c>
      <c r="U1359" t="str">
        <f ca="1">IFERROR(N1359*VLOOKUP(Tab_Calculs[[#This Row],[Colonne1]],Controle_des_données!$B$7:$H$14,7,FALSE),"")</f>
        <v/>
      </c>
      <c r="V1359">
        <f ca="1">IFERROR(Tab_Calculs[[#This Row],[Cout_mois]]/Tab_Calculs[[#This Row],[Conso_mois_kWh]],0)</f>
        <v>0</v>
      </c>
      <c r="W1359" t="str">
        <f>T(VLOOKUP(Tab_Calculs[[#This Row],[Compteur]],Site!$B$33:$G$40,3,FALSE))</f>
        <v/>
      </c>
      <c r="X1359" t="str">
        <f>T(VLOOKUP(Tab_Calculs[[#This Row],[Compteur]],Site!$B$33:$G$40,4,FALSE))</f>
        <v/>
      </c>
      <c r="Y1359" t="str">
        <f>T(VLOOKUP(Tab_Calculs[[#This Row],[Compteur]],Site!$B$33:$G$40,5,FALSE))</f>
        <v/>
      </c>
      <c r="Z1359" t="str">
        <f>T(VLOOKUP(Tab_Calculs[[#This Row],[Compteur]],Site!$B$33:$G$40,6,FALSE))</f>
        <v/>
      </c>
      <c r="AA1359">
        <f>IFERROR(GETPIVOTDATA("DJU(chauffagiste)",BDD_DJU!$P$13,"annee",Tab_Calculs[[#This Row],[ANNEE]],"mois_numero",Tab_Calculs[[#This Row],[MOIS]]),0)</f>
        <v>22.2</v>
      </c>
    </row>
    <row r="1360" spans="1:27" x14ac:dyDescent="0.25">
      <c r="A1360" s="3">
        <f>DATE(Tab_Calculs[[#This Row],[ANNEE]],Tab_Calculs[[#This Row],[MOIS]],1)</f>
        <v>40391</v>
      </c>
      <c r="B1360" s="3">
        <f>EDATE(Tab_Calculs[[#This Row],[Début mois]],1)-1</f>
        <v>40421</v>
      </c>
      <c r="C1360">
        <v>8</v>
      </c>
      <c r="D1360">
        <v>2010</v>
      </c>
      <c r="E1360" t="s">
        <v>87</v>
      </c>
      <c r="F1360" t="str">
        <f>SUBSTITUTE(Tab_Calculs[[#This Row],[Compteur]]," ","_")</f>
        <v>Compteur_8</v>
      </c>
      <c r="G1360" t="str">
        <f>T(INDEX(Site!$B$33:$G$40, MATCH(Tab_Calculs[[#This Row],[Compteur]], Site!$B$33:$B$40,0),2))</f>
        <v/>
      </c>
      <c r="H1360" s="3">
        <f t="array" aca="1" ref="H1360" ca="1">MIN(IF(INDIRECT(CONCATENATE(Tab_Calculs[[#This Row],[Colonne1]],"!$B$2:$B$243"))&gt;=Calculs_Consos!$A1360,INDIRECT(CONCATENATE(Tab_Calculs[[#This Row],[Colonne1]],"!$B$2:$B$243"))))</f>
        <v>0</v>
      </c>
      <c r="I1360" s="3">
        <f ca="1">INDEX(INDIRECT(CONCATENATE("Tab_",Tab_Calculs[[#This Row],[Colonne1]])),Tab_Calculs[[#This Row],[index_date_livraison]],1)</f>
        <v>0</v>
      </c>
      <c r="J1360">
        <f ca="1">MATCH(Tab_Calculs[[#This Row],[Date_livraison]],INDIRECT(CONCATENATE("Tab_",Tab_Calculs[[#This Row],[Colonne1]],"[Fin de période]")),0)</f>
        <v>1</v>
      </c>
      <c r="K1360" t="e">
        <f ca="1">INDEX(INDIRECT(CONCATENATE("Tab_",Tab_Calculs[[#This Row],[Colonne1]])),Tab_Calculs[[#This Row],[index_date_livraison]]-1,6)*(MAX(Tab_Calculs[[#This Row],[Début periode livraison]],Tab_Calculs[[#This Row],[Début mois]])-Tab_Calculs[[#This Row],[Début mois]])</f>
        <v>#VALUE!</v>
      </c>
      <c r="L1360" s="94">
        <f ca="1">INDEX(INDIRECT(CONCATENATE("Tab_",Tab_Calculs[[#This Row],[Colonne1]])),Tab_Calculs[[#This Row],[index_date_livraison]],6)*(1+MIN(Tab_Calculs[[#This Row],[Date_livraison]],Tab_Calculs[[#This Row],[fin mois]])-MAX(Tab_Calculs[[#This Row],[Début mois]],Tab_Calculs[[#This Row],[Début periode livraison]]))</f>
        <v>0</v>
      </c>
      <c r="M1360" s="94" t="e">
        <f ca="1">INDEX(INDIRECT(CONCATENATE("Tab_",Tab_Calculs[[#This Row],[Colonne1]])),Tab_Calculs[[#This Row],[index_date_livraison]]+1,6)*(Tab_Calculs[[#This Row],[fin mois]]-MIN(Tab_Calculs[[#This Row],[fin mois]],Tab_Calculs[[#This Row],[Date_livraison]]))</f>
        <v>#VALUE!</v>
      </c>
      <c r="N1360" s="231" t="str">
        <f ca="1">IFERROR(Tab_Calculs[[#This Row],[Ratio_jour_après_livr]]+Tab_Calculs[[#This Row],[Ratio_jour_avant_livr]]+Tab_Calculs[[#This Row],[ratio_avant_debut]],"")</f>
        <v/>
      </c>
      <c r="O1360" t="e">
        <f ca="1">INDEX(INDIRECT(CONCATENATE("Tab_",Tab_Calculs[[#This Row],[Colonne1]])),Tab_Calculs[[#This Row],[index_date_livraison]]-1,7)*(MAX(Tab_Calculs[[#This Row],[Début periode livraison]],Tab_Calculs[[#This Row],[Début mois]])-Tab_Calculs[[#This Row],[Début mois]])</f>
        <v>#VALUE!</v>
      </c>
      <c r="P1360">
        <f ca="1">INDEX(INDIRECT(CONCATENATE("Tab_",Tab_Calculs[[#This Row],[Colonne1]])),Tab_Calculs[[#This Row],[index_date_livraison]],7)*(1+MIN(Tab_Calculs[[#This Row],[Date_livraison]],Tab_Calculs[[#This Row],[fin mois]])-MAX(Tab_Calculs[[#This Row],[Début mois]],Tab_Calculs[[#This Row],[Début periode livraison]]))</f>
        <v>0</v>
      </c>
      <c r="Q1360" t="e">
        <f ca="1">INDEX(INDIRECT(CONCATENATE("Tab_",Tab_Calculs[[#This Row],[Colonne1]])),Tab_Calculs[[#This Row],[index_date_livraison]]+1,7)*(Tab_Calculs[[#This Row],[fin mois]]-MIN(Tab_Calculs[[#This Row],[fin mois]],Tab_Calculs[[#This Row],[Date_livraison]]))</f>
        <v>#VALUE!</v>
      </c>
      <c r="R1360" t="e">
        <f ca="1">Tab_Calculs[[#This Row],[Ratio_Cout_après_livr]]+Tab_Calculs[[#This Row],[Ratio_Cout_avant_livr]]+Tab_Calculs[[#This Row],[Ratio_Cout_avant_debut]]</f>
        <v>#VALUE!</v>
      </c>
      <c r="S1360" t="str">
        <f ca="1">IFERROR(N1360*VLOOKUP(Tab_Calculs[[#This Row],[Colonne1]],Controle_des_données!$B$7:$G$14,6,FALSE),"")</f>
        <v/>
      </c>
      <c r="T1360" t="str">
        <f ca="1">IF(Tab_Calculs[[#This Row],[Combustible ]]="Electricité (kWh)",Tab_Calculs[[#This Row],[Conso_mois_kWh]]*2.3,Tab_Calculs[[#This Row],[Conso_mois_kWh]])</f>
        <v/>
      </c>
      <c r="U1360" t="str">
        <f ca="1">IFERROR(N1360*VLOOKUP(Tab_Calculs[[#This Row],[Colonne1]],Controle_des_données!$B$7:$H$14,7,FALSE),"")</f>
        <v/>
      </c>
      <c r="V1360">
        <f ca="1">IFERROR(Tab_Calculs[[#This Row],[Cout_mois]]/Tab_Calculs[[#This Row],[Conso_mois_kWh]],0)</f>
        <v>0</v>
      </c>
      <c r="W1360" t="str">
        <f>T(VLOOKUP(Tab_Calculs[[#This Row],[Compteur]],Site!$B$33:$G$40,3,FALSE))</f>
        <v/>
      </c>
      <c r="X1360" t="str">
        <f>T(VLOOKUP(Tab_Calculs[[#This Row],[Compteur]],Site!$B$33:$G$40,4,FALSE))</f>
        <v/>
      </c>
      <c r="Y1360" t="str">
        <f>T(VLOOKUP(Tab_Calculs[[#This Row],[Compteur]],Site!$B$33:$G$40,5,FALSE))</f>
        <v/>
      </c>
      <c r="Z1360" t="str">
        <f>T(VLOOKUP(Tab_Calculs[[#This Row],[Compteur]],Site!$B$33:$G$40,6,FALSE))</f>
        <v/>
      </c>
      <c r="AA1360">
        <f>IFERROR(GETPIVOTDATA("DJU(chauffagiste)",BDD_DJU!$P$13,"annee",Tab_Calculs[[#This Row],[ANNEE]],"mois_numero",Tab_Calculs[[#This Row],[MOIS]]),0)</f>
        <v>41.5</v>
      </c>
    </row>
    <row r="1361" spans="1:27" x14ac:dyDescent="0.25">
      <c r="A1361" s="3">
        <f>DATE(Tab_Calculs[[#This Row],[ANNEE]],Tab_Calculs[[#This Row],[MOIS]],1)</f>
        <v>40422</v>
      </c>
      <c r="B1361" s="3">
        <f>EDATE(Tab_Calculs[[#This Row],[Début mois]],1)-1</f>
        <v>40451</v>
      </c>
      <c r="C1361">
        <v>9</v>
      </c>
      <c r="D1361">
        <v>2010</v>
      </c>
      <c r="E1361" t="s">
        <v>87</v>
      </c>
      <c r="F1361" t="str">
        <f>SUBSTITUTE(Tab_Calculs[[#This Row],[Compteur]]," ","_")</f>
        <v>Compteur_8</v>
      </c>
      <c r="G1361" t="str">
        <f>T(INDEX(Site!$B$33:$G$40, MATCH(Tab_Calculs[[#This Row],[Compteur]], Site!$B$33:$B$40,0),2))</f>
        <v/>
      </c>
      <c r="H1361" s="3">
        <f t="array" aca="1" ref="H1361" ca="1">MIN(IF(INDIRECT(CONCATENATE(Tab_Calculs[[#This Row],[Colonne1]],"!$B$2:$B$243"))&gt;=Calculs_Consos!$A1361,INDIRECT(CONCATENATE(Tab_Calculs[[#This Row],[Colonne1]],"!$B$2:$B$243"))))</f>
        <v>0</v>
      </c>
      <c r="I1361" s="3">
        <f ca="1">INDEX(INDIRECT(CONCATENATE("Tab_",Tab_Calculs[[#This Row],[Colonne1]])),Tab_Calculs[[#This Row],[index_date_livraison]],1)</f>
        <v>0</v>
      </c>
      <c r="J1361">
        <f ca="1">MATCH(Tab_Calculs[[#This Row],[Date_livraison]],INDIRECT(CONCATENATE("Tab_",Tab_Calculs[[#This Row],[Colonne1]],"[Fin de période]")),0)</f>
        <v>1</v>
      </c>
      <c r="K1361" t="e">
        <f ca="1">INDEX(INDIRECT(CONCATENATE("Tab_",Tab_Calculs[[#This Row],[Colonne1]])),Tab_Calculs[[#This Row],[index_date_livraison]]-1,6)*(MAX(Tab_Calculs[[#This Row],[Début periode livraison]],Tab_Calculs[[#This Row],[Début mois]])-Tab_Calculs[[#This Row],[Début mois]])</f>
        <v>#VALUE!</v>
      </c>
      <c r="L1361" s="94">
        <f ca="1">INDEX(INDIRECT(CONCATENATE("Tab_",Tab_Calculs[[#This Row],[Colonne1]])),Tab_Calculs[[#This Row],[index_date_livraison]],6)*(1+MIN(Tab_Calculs[[#This Row],[Date_livraison]],Tab_Calculs[[#This Row],[fin mois]])-MAX(Tab_Calculs[[#This Row],[Début mois]],Tab_Calculs[[#This Row],[Début periode livraison]]))</f>
        <v>0</v>
      </c>
      <c r="M1361" s="94" t="e">
        <f ca="1">INDEX(INDIRECT(CONCATENATE("Tab_",Tab_Calculs[[#This Row],[Colonne1]])),Tab_Calculs[[#This Row],[index_date_livraison]]+1,6)*(Tab_Calculs[[#This Row],[fin mois]]-MIN(Tab_Calculs[[#This Row],[fin mois]],Tab_Calculs[[#This Row],[Date_livraison]]))</f>
        <v>#VALUE!</v>
      </c>
      <c r="N1361" s="231" t="str">
        <f ca="1">IFERROR(Tab_Calculs[[#This Row],[Ratio_jour_après_livr]]+Tab_Calculs[[#This Row],[Ratio_jour_avant_livr]]+Tab_Calculs[[#This Row],[ratio_avant_debut]],"")</f>
        <v/>
      </c>
      <c r="O1361" t="e">
        <f ca="1">INDEX(INDIRECT(CONCATENATE("Tab_",Tab_Calculs[[#This Row],[Colonne1]])),Tab_Calculs[[#This Row],[index_date_livraison]]-1,7)*(MAX(Tab_Calculs[[#This Row],[Début periode livraison]],Tab_Calculs[[#This Row],[Début mois]])-Tab_Calculs[[#This Row],[Début mois]])</f>
        <v>#VALUE!</v>
      </c>
      <c r="P1361">
        <f ca="1">INDEX(INDIRECT(CONCATENATE("Tab_",Tab_Calculs[[#This Row],[Colonne1]])),Tab_Calculs[[#This Row],[index_date_livraison]],7)*(1+MIN(Tab_Calculs[[#This Row],[Date_livraison]],Tab_Calculs[[#This Row],[fin mois]])-MAX(Tab_Calculs[[#This Row],[Début mois]],Tab_Calculs[[#This Row],[Début periode livraison]]))</f>
        <v>0</v>
      </c>
      <c r="Q1361" t="e">
        <f ca="1">INDEX(INDIRECT(CONCATENATE("Tab_",Tab_Calculs[[#This Row],[Colonne1]])),Tab_Calculs[[#This Row],[index_date_livraison]]+1,7)*(Tab_Calculs[[#This Row],[fin mois]]-MIN(Tab_Calculs[[#This Row],[fin mois]],Tab_Calculs[[#This Row],[Date_livraison]]))</f>
        <v>#VALUE!</v>
      </c>
      <c r="R1361" t="e">
        <f ca="1">Tab_Calculs[[#This Row],[Ratio_Cout_après_livr]]+Tab_Calculs[[#This Row],[Ratio_Cout_avant_livr]]+Tab_Calculs[[#This Row],[Ratio_Cout_avant_debut]]</f>
        <v>#VALUE!</v>
      </c>
      <c r="S1361" t="str">
        <f ca="1">IFERROR(N1361*VLOOKUP(Tab_Calculs[[#This Row],[Colonne1]],Controle_des_données!$B$7:$G$14,6,FALSE),"")</f>
        <v/>
      </c>
      <c r="T1361" t="str">
        <f ca="1">IF(Tab_Calculs[[#This Row],[Combustible ]]="Electricité (kWh)",Tab_Calculs[[#This Row],[Conso_mois_kWh]]*2.3,Tab_Calculs[[#This Row],[Conso_mois_kWh]])</f>
        <v/>
      </c>
      <c r="U1361" t="str">
        <f ca="1">IFERROR(N1361*VLOOKUP(Tab_Calculs[[#This Row],[Colonne1]],Controle_des_données!$B$7:$H$14,7,FALSE),"")</f>
        <v/>
      </c>
      <c r="V1361">
        <f ca="1">IFERROR(Tab_Calculs[[#This Row],[Cout_mois]]/Tab_Calculs[[#This Row],[Conso_mois_kWh]],0)</f>
        <v>0</v>
      </c>
      <c r="W1361" t="str">
        <f>T(VLOOKUP(Tab_Calculs[[#This Row],[Compteur]],Site!$B$33:$G$40,3,FALSE))</f>
        <v/>
      </c>
      <c r="X1361" t="str">
        <f>T(VLOOKUP(Tab_Calculs[[#This Row],[Compteur]],Site!$B$33:$G$40,4,FALSE))</f>
        <v/>
      </c>
      <c r="Y1361" t="str">
        <f>T(VLOOKUP(Tab_Calculs[[#This Row],[Compteur]],Site!$B$33:$G$40,5,FALSE))</f>
        <v/>
      </c>
      <c r="Z1361" t="str">
        <f>T(VLOOKUP(Tab_Calculs[[#This Row],[Compteur]],Site!$B$33:$G$40,6,FALSE))</f>
        <v/>
      </c>
      <c r="AA1361">
        <f>IFERROR(GETPIVOTDATA("DJU(chauffagiste)",BDD_DJU!$P$13,"annee",Tab_Calculs[[#This Row],[ANNEE]],"mois_numero",Tab_Calculs[[#This Row],[MOIS]]),0)</f>
        <v>95.4</v>
      </c>
    </row>
    <row r="1362" spans="1:27" x14ac:dyDescent="0.25">
      <c r="A1362" s="3">
        <f>DATE(Tab_Calculs[[#This Row],[ANNEE]],Tab_Calculs[[#This Row],[MOIS]],1)</f>
        <v>40452</v>
      </c>
      <c r="B1362" s="3">
        <f>EDATE(Tab_Calculs[[#This Row],[Début mois]],1)-1</f>
        <v>40482</v>
      </c>
      <c r="C1362">
        <v>10</v>
      </c>
      <c r="D1362">
        <v>2010</v>
      </c>
      <c r="E1362" t="s">
        <v>87</v>
      </c>
      <c r="F1362" t="str">
        <f>SUBSTITUTE(Tab_Calculs[[#This Row],[Compteur]]," ","_")</f>
        <v>Compteur_8</v>
      </c>
      <c r="G1362" t="str">
        <f>T(INDEX(Site!$B$33:$G$40, MATCH(Tab_Calculs[[#This Row],[Compteur]], Site!$B$33:$B$40,0),2))</f>
        <v/>
      </c>
      <c r="H1362" s="3">
        <f t="array" aca="1" ref="H1362" ca="1">MIN(IF(INDIRECT(CONCATENATE(Tab_Calculs[[#This Row],[Colonne1]],"!$B$2:$B$243"))&gt;=Calculs_Consos!$A1362,INDIRECT(CONCATENATE(Tab_Calculs[[#This Row],[Colonne1]],"!$B$2:$B$243"))))</f>
        <v>0</v>
      </c>
      <c r="I1362" s="3">
        <f ca="1">INDEX(INDIRECT(CONCATENATE("Tab_",Tab_Calculs[[#This Row],[Colonne1]])),Tab_Calculs[[#This Row],[index_date_livraison]],1)</f>
        <v>0</v>
      </c>
      <c r="J1362">
        <f ca="1">MATCH(Tab_Calculs[[#This Row],[Date_livraison]],INDIRECT(CONCATENATE("Tab_",Tab_Calculs[[#This Row],[Colonne1]],"[Fin de période]")),0)</f>
        <v>1</v>
      </c>
      <c r="K1362" t="e">
        <f ca="1">INDEX(INDIRECT(CONCATENATE("Tab_",Tab_Calculs[[#This Row],[Colonne1]])),Tab_Calculs[[#This Row],[index_date_livraison]]-1,6)*(MAX(Tab_Calculs[[#This Row],[Début periode livraison]],Tab_Calculs[[#This Row],[Début mois]])-Tab_Calculs[[#This Row],[Début mois]])</f>
        <v>#VALUE!</v>
      </c>
      <c r="L1362" s="94">
        <f ca="1">INDEX(INDIRECT(CONCATENATE("Tab_",Tab_Calculs[[#This Row],[Colonne1]])),Tab_Calculs[[#This Row],[index_date_livraison]],6)*(1+MIN(Tab_Calculs[[#This Row],[Date_livraison]],Tab_Calculs[[#This Row],[fin mois]])-MAX(Tab_Calculs[[#This Row],[Début mois]],Tab_Calculs[[#This Row],[Début periode livraison]]))</f>
        <v>0</v>
      </c>
      <c r="M1362" s="94" t="e">
        <f ca="1">INDEX(INDIRECT(CONCATENATE("Tab_",Tab_Calculs[[#This Row],[Colonne1]])),Tab_Calculs[[#This Row],[index_date_livraison]]+1,6)*(Tab_Calculs[[#This Row],[fin mois]]-MIN(Tab_Calculs[[#This Row],[fin mois]],Tab_Calculs[[#This Row],[Date_livraison]]))</f>
        <v>#VALUE!</v>
      </c>
      <c r="N1362" s="231" t="str">
        <f ca="1">IFERROR(Tab_Calculs[[#This Row],[Ratio_jour_après_livr]]+Tab_Calculs[[#This Row],[Ratio_jour_avant_livr]]+Tab_Calculs[[#This Row],[ratio_avant_debut]],"")</f>
        <v/>
      </c>
      <c r="O1362" t="e">
        <f ca="1">INDEX(INDIRECT(CONCATENATE("Tab_",Tab_Calculs[[#This Row],[Colonne1]])),Tab_Calculs[[#This Row],[index_date_livraison]]-1,7)*(MAX(Tab_Calculs[[#This Row],[Début periode livraison]],Tab_Calculs[[#This Row],[Début mois]])-Tab_Calculs[[#This Row],[Début mois]])</f>
        <v>#VALUE!</v>
      </c>
      <c r="P1362">
        <f ca="1">INDEX(INDIRECT(CONCATENATE("Tab_",Tab_Calculs[[#This Row],[Colonne1]])),Tab_Calculs[[#This Row],[index_date_livraison]],7)*(1+MIN(Tab_Calculs[[#This Row],[Date_livraison]],Tab_Calculs[[#This Row],[fin mois]])-MAX(Tab_Calculs[[#This Row],[Début mois]],Tab_Calculs[[#This Row],[Début periode livraison]]))</f>
        <v>0</v>
      </c>
      <c r="Q1362" t="e">
        <f ca="1">INDEX(INDIRECT(CONCATENATE("Tab_",Tab_Calculs[[#This Row],[Colonne1]])),Tab_Calculs[[#This Row],[index_date_livraison]]+1,7)*(Tab_Calculs[[#This Row],[fin mois]]-MIN(Tab_Calculs[[#This Row],[fin mois]],Tab_Calculs[[#This Row],[Date_livraison]]))</f>
        <v>#VALUE!</v>
      </c>
      <c r="R1362" t="e">
        <f ca="1">Tab_Calculs[[#This Row],[Ratio_Cout_après_livr]]+Tab_Calculs[[#This Row],[Ratio_Cout_avant_livr]]+Tab_Calculs[[#This Row],[Ratio_Cout_avant_debut]]</f>
        <v>#VALUE!</v>
      </c>
      <c r="S1362" t="str">
        <f ca="1">IFERROR(N1362*VLOOKUP(Tab_Calculs[[#This Row],[Colonne1]],Controle_des_données!$B$7:$G$14,6,FALSE),"")</f>
        <v/>
      </c>
      <c r="T1362" t="str">
        <f ca="1">IF(Tab_Calculs[[#This Row],[Combustible ]]="Electricité (kWh)",Tab_Calculs[[#This Row],[Conso_mois_kWh]]*2.3,Tab_Calculs[[#This Row],[Conso_mois_kWh]])</f>
        <v/>
      </c>
      <c r="U1362" t="str">
        <f ca="1">IFERROR(N1362*VLOOKUP(Tab_Calculs[[#This Row],[Colonne1]],Controle_des_données!$B$7:$H$14,7,FALSE),"")</f>
        <v/>
      </c>
      <c r="V1362">
        <f ca="1">IFERROR(Tab_Calculs[[#This Row],[Cout_mois]]/Tab_Calculs[[#This Row],[Conso_mois_kWh]],0)</f>
        <v>0</v>
      </c>
      <c r="W1362" t="str">
        <f>T(VLOOKUP(Tab_Calculs[[#This Row],[Compteur]],Site!$B$33:$G$40,3,FALSE))</f>
        <v/>
      </c>
      <c r="X1362" t="str">
        <f>T(VLOOKUP(Tab_Calculs[[#This Row],[Compteur]],Site!$B$33:$G$40,4,FALSE))</f>
        <v/>
      </c>
      <c r="Y1362" t="str">
        <f>T(VLOOKUP(Tab_Calculs[[#This Row],[Compteur]],Site!$B$33:$G$40,5,FALSE))</f>
        <v/>
      </c>
      <c r="Z1362" t="str">
        <f>T(VLOOKUP(Tab_Calculs[[#This Row],[Compteur]],Site!$B$33:$G$40,6,FALSE))</f>
        <v/>
      </c>
      <c r="AA1362">
        <f>IFERROR(GETPIVOTDATA("DJU(chauffagiste)",BDD_DJU!$P$13,"annee",Tab_Calculs[[#This Row],[ANNEE]],"mois_numero",Tab_Calculs[[#This Row],[MOIS]]),0)</f>
        <v>190.1</v>
      </c>
    </row>
    <row r="1363" spans="1:27" x14ac:dyDescent="0.25">
      <c r="A1363" s="3">
        <f>DATE(Tab_Calculs[[#This Row],[ANNEE]],Tab_Calculs[[#This Row],[MOIS]],1)</f>
        <v>40483</v>
      </c>
      <c r="B1363" s="3">
        <f>EDATE(Tab_Calculs[[#This Row],[Début mois]],1)-1</f>
        <v>40512</v>
      </c>
      <c r="C1363">
        <v>11</v>
      </c>
      <c r="D1363">
        <v>2010</v>
      </c>
      <c r="E1363" t="s">
        <v>87</v>
      </c>
      <c r="F1363" t="str">
        <f>SUBSTITUTE(Tab_Calculs[[#This Row],[Compteur]]," ","_")</f>
        <v>Compteur_8</v>
      </c>
      <c r="G1363" t="str">
        <f>T(INDEX(Site!$B$33:$G$40, MATCH(Tab_Calculs[[#This Row],[Compteur]], Site!$B$33:$B$40,0),2))</f>
        <v/>
      </c>
      <c r="H1363" s="3">
        <f t="array" aca="1" ref="H1363" ca="1">MIN(IF(INDIRECT(CONCATENATE(Tab_Calculs[[#This Row],[Colonne1]],"!$B$2:$B$243"))&gt;=Calculs_Consos!$A1363,INDIRECT(CONCATENATE(Tab_Calculs[[#This Row],[Colonne1]],"!$B$2:$B$243"))))</f>
        <v>0</v>
      </c>
      <c r="I1363" s="3">
        <f ca="1">INDEX(INDIRECT(CONCATENATE("Tab_",Tab_Calculs[[#This Row],[Colonne1]])),Tab_Calculs[[#This Row],[index_date_livraison]],1)</f>
        <v>0</v>
      </c>
      <c r="J1363">
        <f ca="1">MATCH(Tab_Calculs[[#This Row],[Date_livraison]],INDIRECT(CONCATENATE("Tab_",Tab_Calculs[[#This Row],[Colonne1]],"[Fin de période]")),0)</f>
        <v>1</v>
      </c>
      <c r="K1363" t="e">
        <f ca="1">INDEX(INDIRECT(CONCATENATE("Tab_",Tab_Calculs[[#This Row],[Colonne1]])),Tab_Calculs[[#This Row],[index_date_livraison]]-1,6)*(MAX(Tab_Calculs[[#This Row],[Début periode livraison]],Tab_Calculs[[#This Row],[Début mois]])-Tab_Calculs[[#This Row],[Début mois]])</f>
        <v>#VALUE!</v>
      </c>
      <c r="L1363" s="94">
        <f ca="1">INDEX(INDIRECT(CONCATENATE("Tab_",Tab_Calculs[[#This Row],[Colonne1]])),Tab_Calculs[[#This Row],[index_date_livraison]],6)*(1+MIN(Tab_Calculs[[#This Row],[Date_livraison]],Tab_Calculs[[#This Row],[fin mois]])-MAX(Tab_Calculs[[#This Row],[Début mois]],Tab_Calculs[[#This Row],[Début periode livraison]]))</f>
        <v>0</v>
      </c>
      <c r="M1363" s="94" t="e">
        <f ca="1">INDEX(INDIRECT(CONCATENATE("Tab_",Tab_Calculs[[#This Row],[Colonne1]])),Tab_Calculs[[#This Row],[index_date_livraison]]+1,6)*(Tab_Calculs[[#This Row],[fin mois]]-MIN(Tab_Calculs[[#This Row],[fin mois]],Tab_Calculs[[#This Row],[Date_livraison]]))</f>
        <v>#VALUE!</v>
      </c>
      <c r="N1363" s="231" t="str">
        <f ca="1">IFERROR(Tab_Calculs[[#This Row],[Ratio_jour_après_livr]]+Tab_Calculs[[#This Row],[Ratio_jour_avant_livr]]+Tab_Calculs[[#This Row],[ratio_avant_debut]],"")</f>
        <v/>
      </c>
      <c r="O1363" t="e">
        <f ca="1">INDEX(INDIRECT(CONCATENATE("Tab_",Tab_Calculs[[#This Row],[Colonne1]])),Tab_Calculs[[#This Row],[index_date_livraison]]-1,7)*(MAX(Tab_Calculs[[#This Row],[Début periode livraison]],Tab_Calculs[[#This Row],[Début mois]])-Tab_Calculs[[#This Row],[Début mois]])</f>
        <v>#VALUE!</v>
      </c>
      <c r="P1363">
        <f ca="1">INDEX(INDIRECT(CONCATENATE("Tab_",Tab_Calculs[[#This Row],[Colonne1]])),Tab_Calculs[[#This Row],[index_date_livraison]],7)*(1+MIN(Tab_Calculs[[#This Row],[Date_livraison]],Tab_Calculs[[#This Row],[fin mois]])-MAX(Tab_Calculs[[#This Row],[Début mois]],Tab_Calculs[[#This Row],[Début periode livraison]]))</f>
        <v>0</v>
      </c>
      <c r="Q1363" t="e">
        <f ca="1">INDEX(INDIRECT(CONCATENATE("Tab_",Tab_Calculs[[#This Row],[Colonne1]])),Tab_Calculs[[#This Row],[index_date_livraison]]+1,7)*(Tab_Calculs[[#This Row],[fin mois]]-MIN(Tab_Calculs[[#This Row],[fin mois]],Tab_Calculs[[#This Row],[Date_livraison]]))</f>
        <v>#VALUE!</v>
      </c>
      <c r="R1363" t="e">
        <f ca="1">Tab_Calculs[[#This Row],[Ratio_Cout_après_livr]]+Tab_Calculs[[#This Row],[Ratio_Cout_avant_livr]]+Tab_Calculs[[#This Row],[Ratio_Cout_avant_debut]]</f>
        <v>#VALUE!</v>
      </c>
      <c r="S1363" t="str">
        <f ca="1">IFERROR(N1363*VLOOKUP(Tab_Calculs[[#This Row],[Colonne1]],Controle_des_données!$B$7:$G$14,6,FALSE),"")</f>
        <v/>
      </c>
      <c r="T1363" t="str">
        <f ca="1">IF(Tab_Calculs[[#This Row],[Combustible ]]="Electricité (kWh)",Tab_Calculs[[#This Row],[Conso_mois_kWh]]*2.3,Tab_Calculs[[#This Row],[Conso_mois_kWh]])</f>
        <v/>
      </c>
      <c r="U1363" t="str">
        <f ca="1">IFERROR(N1363*VLOOKUP(Tab_Calculs[[#This Row],[Colonne1]],Controle_des_données!$B$7:$H$14,7,FALSE),"")</f>
        <v/>
      </c>
      <c r="V1363">
        <f ca="1">IFERROR(Tab_Calculs[[#This Row],[Cout_mois]]/Tab_Calculs[[#This Row],[Conso_mois_kWh]],0)</f>
        <v>0</v>
      </c>
      <c r="W1363" t="str">
        <f>T(VLOOKUP(Tab_Calculs[[#This Row],[Compteur]],Site!$B$33:$G$40,3,FALSE))</f>
        <v/>
      </c>
      <c r="X1363" t="str">
        <f>T(VLOOKUP(Tab_Calculs[[#This Row],[Compteur]],Site!$B$33:$G$40,4,FALSE))</f>
        <v/>
      </c>
      <c r="Y1363" t="str">
        <f>T(VLOOKUP(Tab_Calculs[[#This Row],[Compteur]],Site!$B$33:$G$40,5,FALSE))</f>
        <v/>
      </c>
      <c r="Z1363" t="str">
        <f>T(VLOOKUP(Tab_Calculs[[#This Row],[Compteur]],Site!$B$33:$G$40,6,FALSE))</f>
        <v/>
      </c>
      <c r="AA1363">
        <f>IFERROR(GETPIVOTDATA("DJU(chauffagiste)",BDD_DJU!$P$13,"annee",Tab_Calculs[[#This Row],[ANNEE]],"mois_numero",Tab_Calculs[[#This Row],[MOIS]]),0)</f>
        <v>320.89999999999998</v>
      </c>
    </row>
    <row r="1364" spans="1:27" x14ac:dyDescent="0.25">
      <c r="A1364" s="3">
        <f>DATE(Tab_Calculs[[#This Row],[ANNEE]],Tab_Calculs[[#This Row],[MOIS]],1)</f>
        <v>40513</v>
      </c>
      <c r="B1364" s="3">
        <f>EDATE(Tab_Calculs[[#This Row],[Début mois]],1)-1</f>
        <v>40543</v>
      </c>
      <c r="C1364">
        <v>12</v>
      </c>
      <c r="D1364">
        <v>2010</v>
      </c>
      <c r="E1364" t="s">
        <v>87</v>
      </c>
      <c r="F1364" t="str">
        <f>SUBSTITUTE(Tab_Calculs[[#This Row],[Compteur]]," ","_")</f>
        <v>Compteur_8</v>
      </c>
      <c r="G1364" t="str">
        <f>T(INDEX(Site!$B$33:$G$40, MATCH(Tab_Calculs[[#This Row],[Compteur]], Site!$B$33:$B$40,0),2))</f>
        <v/>
      </c>
      <c r="H1364" s="3">
        <f t="array" aca="1" ref="H1364" ca="1">MIN(IF(INDIRECT(CONCATENATE(Tab_Calculs[[#This Row],[Colonne1]],"!$B$2:$B$243"))&gt;=Calculs_Consos!$A1364,INDIRECT(CONCATENATE(Tab_Calculs[[#This Row],[Colonne1]],"!$B$2:$B$243"))))</f>
        <v>0</v>
      </c>
      <c r="I1364" s="3">
        <f ca="1">INDEX(INDIRECT(CONCATENATE("Tab_",Tab_Calculs[[#This Row],[Colonne1]])),Tab_Calculs[[#This Row],[index_date_livraison]],1)</f>
        <v>0</v>
      </c>
      <c r="J1364">
        <f ca="1">MATCH(Tab_Calculs[[#This Row],[Date_livraison]],INDIRECT(CONCATENATE("Tab_",Tab_Calculs[[#This Row],[Colonne1]],"[Fin de période]")),0)</f>
        <v>1</v>
      </c>
      <c r="K1364" t="e">
        <f ca="1">INDEX(INDIRECT(CONCATENATE("Tab_",Tab_Calculs[[#This Row],[Colonne1]])),Tab_Calculs[[#This Row],[index_date_livraison]]-1,6)*(MAX(Tab_Calculs[[#This Row],[Début periode livraison]],Tab_Calculs[[#This Row],[Début mois]])-Tab_Calculs[[#This Row],[Début mois]])</f>
        <v>#VALUE!</v>
      </c>
      <c r="L1364" s="94">
        <f ca="1">INDEX(INDIRECT(CONCATENATE("Tab_",Tab_Calculs[[#This Row],[Colonne1]])),Tab_Calculs[[#This Row],[index_date_livraison]],6)*(1+MIN(Tab_Calculs[[#This Row],[Date_livraison]],Tab_Calculs[[#This Row],[fin mois]])-MAX(Tab_Calculs[[#This Row],[Début mois]],Tab_Calculs[[#This Row],[Début periode livraison]]))</f>
        <v>0</v>
      </c>
      <c r="M1364" s="94" t="e">
        <f ca="1">INDEX(INDIRECT(CONCATENATE("Tab_",Tab_Calculs[[#This Row],[Colonne1]])),Tab_Calculs[[#This Row],[index_date_livraison]]+1,6)*(Tab_Calculs[[#This Row],[fin mois]]-MIN(Tab_Calculs[[#This Row],[fin mois]],Tab_Calculs[[#This Row],[Date_livraison]]))</f>
        <v>#VALUE!</v>
      </c>
      <c r="N1364" s="231" t="str">
        <f ca="1">IFERROR(Tab_Calculs[[#This Row],[Ratio_jour_après_livr]]+Tab_Calculs[[#This Row],[Ratio_jour_avant_livr]]+Tab_Calculs[[#This Row],[ratio_avant_debut]],"")</f>
        <v/>
      </c>
      <c r="O1364" t="e">
        <f ca="1">INDEX(INDIRECT(CONCATENATE("Tab_",Tab_Calculs[[#This Row],[Colonne1]])),Tab_Calculs[[#This Row],[index_date_livraison]]-1,7)*(MAX(Tab_Calculs[[#This Row],[Début periode livraison]],Tab_Calculs[[#This Row],[Début mois]])-Tab_Calculs[[#This Row],[Début mois]])</f>
        <v>#VALUE!</v>
      </c>
      <c r="P1364">
        <f ca="1">INDEX(INDIRECT(CONCATENATE("Tab_",Tab_Calculs[[#This Row],[Colonne1]])),Tab_Calculs[[#This Row],[index_date_livraison]],7)*(1+MIN(Tab_Calculs[[#This Row],[Date_livraison]],Tab_Calculs[[#This Row],[fin mois]])-MAX(Tab_Calculs[[#This Row],[Début mois]],Tab_Calculs[[#This Row],[Début periode livraison]]))</f>
        <v>0</v>
      </c>
      <c r="Q1364" t="e">
        <f ca="1">INDEX(INDIRECT(CONCATENATE("Tab_",Tab_Calculs[[#This Row],[Colonne1]])),Tab_Calculs[[#This Row],[index_date_livraison]]+1,7)*(Tab_Calculs[[#This Row],[fin mois]]-MIN(Tab_Calculs[[#This Row],[fin mois]],Tab_Calculs[[#This Row],[Date_livraison]]))</f>
        <v>#VALUE!</v>
      </c>
      <c r="R1364" t="e">
        <f ca="1">Tab_Calculs[[#This Row],[Ratio_Cout_après_livr]]+Tab_Calculs[[#This Row],[Ratio_Cout_avant_livr]]+Tab_Calculs[[#This Row],[Ratio_Cout_avant_debut]]</f>
        <v>#VALUE!</v>
      </c>
      <c r="S1364" t="str">
        <f ca="1">IFERROR(N1364*VLOOKUP(Tab_Calculs[[#This Row],[Colonne1]],Controle_des_données!$B$7:$G$14,6,FALSE),"")</f>
        <v/>
      </c>
      <c r="T1364" t="str">
        <f ca="1">IF(Tab_Calculs[[#This Row],[Combustible ]]="Electricité (kWh)",Tab_Calculs[[#This Row],[Conso_mois_kWh]]*2.3,Tab_Calculs[[#This Row],[Conso_mois_kWh]])</f>
        <v/>
      </c>
      <c r="U1364" t="str">
        <f ca="1">IFERROR(N1364*VLOOKUP(Tab_Calculs[[#This Row],[Colonne1]],Controle_des_données!$B$7:$H$14,7,FALSE),"")</f>
        <v/>
      </c>
      <c r="V1364">
        <f ca="1">IFERROR(Tab_Calculs[[#This Row],[Cout_mois]]/Tab_Calculs[[#This Row],[Conso_mois_kWh]],0)</f>
        <v>0</v>
      </c>
      <c r="W1364" t="str">
        <f>T(VLOOKUP(Tab_Calculs[[#This Row],[Compteur]],Site!$B$33:$G$40,3,FALSE))</f>
        <v/>
      </c>
      <c r="X1364" t="str">
        <f>T(VLOOKUP(Tab_Calculs[[#This Row],[Compteur]],Site!$B$33:$G$40,4,FALSE))</f>
        <v/>
      </c>
      <c r="Y1364" t="str">
        <f>T(VLOOKUP(Tab_Calculs[[#This Row],[Compteur]],Site!$B$33:$G$40,5,FALSE))</f>
        <v/>
      </c>
      <c r="Z1364" t="str">
        <f>T(VLOOKUP(Tab_Calculs[[#This Row],[Compteur]],Site!$B$33:$G$40,6,FALSE))</f>
        <v/>
      </c>
      <c r="AA1364">
        <f>IFERROR(GETPIVOTDATA("DJU(chauffagiste)",BDD_DJU!$P$13,"annee",Tab_Calculs[[#This Row],[ANNEE]],"mois_numero",Tab_Calculs[[#This Row],[MOIS]]),0)</f>
        <v>500.7</v>
      </c>
    </row>
    <row r="1365" spans="1:27" x14ac:dyDescent="0.25">
      <c r="A1365" s="3">
        <f>DATE(Tab_Calculs[[#This Row],[ANNEE]],Tab_Calculs[[#This Row],[MOIS]],1)</f>
        <v>40544</v>
      </c>
      <c r="B1365" s="3">
        <f>EDATE(Tab_Calculs[[#This Row],[Début mois]],1)-1</f>
        <v>40574</v>
      </c>
      <c r="C1365">
        <v>1</v>
      </c>
      <c r="D1365">
        <v>2011</v>
      </c>
      <c r="E1365" t="s">
        <v>87</v>
      </c>
      <c r="F1365" t="str">
        <f>SUBSTITUTE(Tab_Calculs[[#This Row],[Compteur]]," ","_")</f>
        <v>Compteur_8</v>
      </c>
      <c r="G1365" t="str">
        <f>T(INDEX(Site!$B$33:$G$40, MATCH(Tab_Calculs[[#This Row],[Compteur]], Site!$B$33:$B$40,0),2))</f>
        <v/>
      </c>
      <c r="H1365" s="3">
        <f t="array" aca="1" ref="H1365" ca="1">MIN(IF(INDIRECT(CONCATENATE(Tab_Calculs[[#This Row],[Colonne1]],"!$B$2:$B$243"))&gt;=Calculs_Consos!$A1365,INDIRECT(CONCATENATE(Tab_Calculs[[#This Row],[Colonne1]],"!$B$2:$B$243"))))</f>
        <v>0</v>
      </c>
      <c r="I1365" s="3">
        <f ca="1">INDEX(INDIRECT(CONCATENATE("Tab_",Tab_Calculs[[#This Row],[Colonne1]])),Tab_Calculs[[#This Row],[index_date_livraison]],1)</f>
        <v>0</v>
      </c>
      <c r="J1365">
        <f ca="1">MATCH(Tab_Calculs[[#This Row],[Date_livraison]],INDIRECT(CONCATENATE("Tab_",Tab_Calculs[[#This Row],[Colonne1]],"[Fin de période]")),0)</f>
        <v>1</v>
      </c>
      <c r="K1365" t="e">
        <f ca="1">INDEX(INDIRECT(CONCATENATE("Tab_",Tab_Calculs[[#This Row],[Colonne1]])),Tab_Calculs[[#This Row],[index_date_livraison]]-1,6)*(MAX(Tab_Calculs[[#This Row],[Début periode livraison]],Tab_Calculs[[#This Row],[Début mois]])-Tab_Calculs[[#This Row],[Début mois]])</f>
        <v>#VALUE!</v>
      </c>
      <c r="L1365" s="94">
        <f ca="1">INDEX(INDIRECT(CONCATENATE("Tab_",Tab_Calculs[[#This Row],[Colonne1]])),Tab_Calculs[[#This Row],[index_date_livraison]],6)*(1+MIN(Tab_Calculs[[#This Row],[Date_livraison]],Tab_Calculs[[#This Row],[fin mois]])-MAX(Tab_Calculs[[#This Row],[Début mois]],Tab_Calculs[[#This Row],[Début periode livraison]]))</f>
        <v>0</v>
      </c>
      <c r="M1365" s="94" t="e">
        <f ca="1">INDEX(INDIRECT(CONCATENATE("Tab_",Tab_Calculs[[#This Row],[Colonne1]])),Tab_Calculs[[#This Row],[index_date_livraison]]+1,6)*(Tab_Calculs[[#This Row],[fin mois]]-MIN(Tab_Calculs[[#This Row],[fin mois]],Tab_Calculs[[#This Row],[Date_livraison]]))</f>
        <v>#VALUE!</v>
      </c>
      <c r="N1365" s="231" t="str">
        <f ca="1">IFERROR(Tab_Calculs[[#This Row],[Ratio_jour_après_livr]]+Tab_Calculs[[#This Row],[Ratio_jour_avant_livr]]+Tab_Calculs[[#This Row],[ratio_avant_debut]],"")</f>
        <v/>
      </c>
      <c r="O1365" t="e">
        <f ca="1">INDEX(INDIRECT(CONCATENATE("Tab_",Tab_Calculs[[#This Row],[Colonne1]])),Tab_Calculs[[#This Row],[index_date_livraison]]-1,7)*(MAX(Tab_Calculs[[#This Row],[Début periode livraison]],Tab_Calculs[[#This Row],[Début mois]])-Tab_Calculs[[#This Row],[Début mois]])</f>
        <v>#VALUE!</v>
      </c>
      <c r="P1365">
        <f ca="1">INDEX(INDIRECT(CONCATENATE("Tab_",Tab_Calculs[[#This Row],[Colonne1]])),Tab_Calculs[[#This Row],[index_date_livraison]],7)*(1+MIN(Tab_Calculs[[#This Row],[Date_livraison]],Tab_Calculs[[#This Row],[fin mois]])-MAX(Tab_Calculs[[#This Row],[Début mois]],Tab_Calculs[[#This Row],[Début periode livraison]]))</f>
        <v>0</v>
      </c>
      <c r="Q1365" t="e">
        <f ca="1">INDEX(INDIRECT(CONCATENATE("Tab_",Tab_Calculs[[#This Row],[Colonne1]])),Tab_Calculs[[#This Row],[index_date_livraison]]+1,7)*(Tab_Calculs[[#This Row],[fin mois]]-MIN(Tab_Calculs[[#This Row],[fin mois]],Tab_Calculs[[#This Row],[Date_livraison]]))</f>
        <v>#VALUE!</v>
      </c>
      <c r="R1365" t="e">
        <f ca="1">Tab_Calculs[[#This Row],[Ratio_Cout_après_livr]]+Tab_Calculs[[#This Row],[Ratio_Cout_avant_livr]]+Tab_Calculs[[#This Row],[Ratio_Cout_avant_debut]]</f>
        <v>#VALUE!</v>
      </c>
      <c r="S1365" t="str">
        <f ca="1">IFERROR(N1365*VLOOKUP(Tab_Calculs[[#This Row],[Colonne1]],Controle_des_données!$B$7:$G$14,6,FALSE),"")</f>
        <v/>
      </c>
      <c r="T1365" t="str">
        <f ca="1">IF(Tab_Calculs[[#This Row],[Combustible ]]="Electricité (kWh)",Tab_Calculs[[#This Row],[Conso_mois_kWh]]*2.3,Tab_Calculs[[#This Row],[Conso_mois_kWh]])</f>
        <v/>
      </c>
      <c r="U1365" t="str">
        <f ca="1">IFERROR(N1365*VLOOKUP(Tab_Calculs[[#This Row],[Colonne1]],Controle_des_données!$B$7:$H$14,7,FALSE),"")</f>
        <v/>
      </c>
      <c r="V1365">
        <f ca="1">IFERROR(Tab_Calculs[[#This Row],[Cout_mois]]/Tab_Calculs[[#This Row],[Conso_mois_kWh]],0)</f>
        <v>0</v>
      </c>
      <c r="W1365" t="str">
        <f>T(VLOOKUP(Tab_Calculs[[#This Row],[Compteur]],Site!$B$33:$G$40,3,FALSE))</f>
        <v/>
      </c>
      <c r="X1365" t="str">
        <f>T(VLOOKUP(Tab_Calculs[[#This Row],[Compteur]],Site!$B$33:$G$40,4,FALSE))</f>
        <v/>
      </c>
      <c r="Y1365" t="str">
        <f>T(VLOOKUP(Tab_Calculs[[#This Row],[Compteur]],Site!$B$33:$G$40,5,FALSE))</f>
        <v/>
      </c>
      <c r="Z1365" t="str">
        <f>T(VLOOKUP(Tab_Calculs[[#This Row],[Compteur]],Site!$B$33:$G$40,6,FALSE))</f>
        <v/>
      </c>
      <c r="AA1365">
        <f>IFERROR(GETPIVOTDATA("DJU(chauffagiste)",BDD_DJU!$P$13,"annee",Tab_Calculs[[#This Row],[ANNEE]],"mois_numero",Tab_Calculs[[#This Row],[MOIS]]),0)</f>
        <v>392.2</v>
      </c>
    </row>
    <row r="1366" spans="1:27" x14ac:dyDescent="0.25">
      <c r="A1366" s="3">
        <f>DATE(Tab_Calculs[[#This Row],[ANNEE]],Tab_Calculs[[#This Row],[MOIS]],1)</f>
        <v>40575</v>
      </c>
      <c r="B1366" s="3">
        <f>EDATE(Tab_Calculs[[#This Row],[Début mois]],1)-1</f>
        <v>40602</v>
      </c>
      <c r="C1366">
        <v>2</v>
      </c>
      <c r="D1366">
        <v>2011</v>
      </c>
      <c r="E1366" t="s">
        <v>87</v>
      </c>
      <c r="F1366" t="str">
        <f>SUBSTITUTE(Tab_Calculs[[#This Row],[Compteur]]," ","_")</f>
        <v>Compteur_8</v>
      </c>
      <c r="G1366" t="str">
        <f>T(INDEX(Site!$B$33:$G$40, MATCH(Tab_Calculs[[#This Row],[Compteur]], Site!$B$33:$B$40,0),2))</f>
        <v/>
      </c>
      <c r="H1366" s="3">
        <f t="array" aca="1" ref="H1366" ca="1">MIN(IF(INDIRECT(CONCATENATE(Tab_Calculs[[#This Row],[Colonne1]],"!$B$2:$B$243"))&gt;=Calculs_Consos!$A1366,INDIRECT(CONCATENATE(Tab_Calculs[[#This Row],[Colonne1]],"!$B$2:$B$243"))))</f>
        <v>0</v>
      </c>
      <c r="I1366" s="3">
        <f ca="1">INDEX(INDIRECT(CONCATENATE("Tab_",Tab_Calculs[[#This Row],[Colonne1]])),Tab_Calculs[[#This Row],[index_date_livraison]],1)</f>
        <v>0</v>
      </c>
      <c r="J1366">
        <f ca="1">MATCH(Tab_Calculs[[#This Row],[Date_livraison]],INDIRECT(CONCATENATE("Tab_",Tab_Calculs[[#This Row],[Colonne1]],"[Fin de période]")),0)</f>
        <v>1</v>
      </c>
      <c r="K1366" t="e">
        <f ca="1">INDEX(INDIRECT(CONCATENATE("Tab_",Tab_Calculs[[#This Row],[Colonne1]])),Tab_Calculs[[#This Row],[index_date_livraison]]-1,6)*(MAX(Tab_Calculs[[#This Row],[Début periode livraison]],Tab_Calculs[[#This Row],[Début mois]])-Tab_Calculs[[#This Row],[Début mois]])</f>
        <v>#VALUE!</v>
      </c>
      <c r="L1366" s="94">
        <f ca="1">INDEX(INDIRECT(CONCATENATE("Tab_",Tab_Calculs[[#This Row],[Colonne1]])),Tab_Calculs[[#This Row],[index_date_livraison]],6)*(1+MIN(Tab_Calculs[[#This Row],[Date_livraison]],Tab_Calculs[[#This Row],[fin mois]])-MAX(Tab_Calculs[[#This Row],[Début mois]],Tab_Calculs[[#This Row],[Début periode livraison]]))</f>
        <v>0</v>
      </c>
      <c r="M1366" s="94" t="e">
        <f ca="1">INDEX(INDIRECT(CONCATENATE("Tab_",Tab_Calculs[[#This Row],[Colonne1]])),Tab_Calculs[[#This Row],[index_date_livraison]]+1,6)*(Tab_Calculs[[#This Row],[fin mois]]-MIN(Tab_Calculs[[#This Row],[fin mois]],Tab_Calculs[[#This Row],[Date_livraison]]))</f>
        <v>#VALUE!</v>
      </c>
      <c r="N1366" s="231" t="str">
        <f ca="1">IFERROR(Tab_Calculs[[#This Row],[Ratio_jour_après_livr]]+Tab_Calculs[[#This Row],[Ratio_jour_avant_livr]]+Tab_Calculs[[#This Row],[ratio_avant_debut]],"")</f>
        <v/>
      </c>
      <c r="O1366" t="e">
        <f ca="1">INDEX(INDIRECT(CONCATENATE("Tab_",Tab_Calculs[[#This Row],[Colonne1]])),Tab_Calculs[[#This Row],[index_date_livraison]]-1,7)*(MAX(Tab_Calculs[[#This Row],[Début periode livraison]],Tab_Calculs[[#This Row],[Début mois]])-Tab_Calculs[[#This Row],[Début mois]])</f>
        <v>#VALUE!</v>
      </c>
      <c r="P1366">
        <f ca="1">INDEX(INDIRECT(CONCATENATE("Tab_",Tab_Calculs[[#This Row],[Colonne1]])),Tab_Calculs[[#This Row],[index_date_livraison]],7)*(1+MIN(Tab_Calculs[[#This Row],[Date_livraison]],Tab_Calculs[[#This Row],[fin mois]])-MAX(Tab_Calculs[[#This Row],[Début mois]],Tab_Calculs[[#This Row],[Début periode livraison]]))</f>
        <v>0</v>
      </c>
      <c r="Q1366" t="e">
        <f ca="1">INDEX(INDIRECT(CONCATENATE("Tab_",Tab_Calculs[[#This Row],[Colonne1]])),Tab_Calculs[[#This Row],[index_date_livraison]]+1,7)*(Tab_Calculs[[#This Row],[fin mois]]-MIN(Tab_Calculs[[#This Row],[fin mois]],Tab_Calculs[[#This Row],[Date_livraison]]))</f>
        <v>#VALUE!</v>
      </c>
      <c r="R1366" t="e">
        <f ca="1">Tab_Calculs[[#This Row],[Ratio_Cout_après_livr]]+Tab_Calculs[[#This Row],[Ratio_Cout_avant_livr]]+Tab_Calculs[[#This Row],[Ratio_Cout_avant_debut]]</f>
        <v>#VALUE!</v>
      </c>
      <c r="S1366" t="str">
        <f ca="1">IFERROR(N1366*VLOOKUP(Tab_Calculs[[#This Row],[Colonne1]],Controle_des_données!$B$7:$G$14,6,FALSE),"")</f>
        <v/>
      </c>
      <c r="T1366" t="str">
        <f ca="1">IF(Tab_Calculs[[#This Row],[Combustible ]]="Electricité (kWh)",Tab_Calculs[[#This Row],[Conso_mois_kWh]]*2.3,Tab_Calculs[[#This Row],[Conso_mois_kWh]])</f>
        <v/>
      </c>
      <c r="U1366" t="str">
        <f ca="1">IFERROR(N1366*VLOOKUP(Tab_Calculs[[#This Row],[Colonne1]],Controle_des_données!$B$7:$H$14,7,FALSE),"")</f>
        <v/>
      </c>
      <c r="V1366">
        <f ca="1">IFERROR(Tab_Calculs[[#This Row],[Cout_mois]]/Tab_Calculs[[#This Row],[Conso_mois_kWh]],0)</f>
        <v>0</v>
      </c>
      <c r="W1366" t="str">
        <f>T(VLOOKUP(Tab_Calculs[[#This Row],[Compteur]],Site!$B$33:$G$40,3,FALSE))</f>
        <v/>
      </c>
      <c r="X1366" t="str">
        <f>T(VLOOKUP(Tab_Calculs[[#This Row],[Compteur]],Site!$B$33:$G$40,4,FALSE))</f>
        <v/>
      </c>
      <c r="Y1366" t="str">
        <f>T(VLOOKUP(Tab_Calculs[[#This Row],[Compteur]],Site!$B$33:$G$40,5,FALSE))</f>
        <v/>
      </c>
      <c r="Z1366" t="str">
        <f>T(VLOOKUP(Tab_Calculs[[#This Row],[Compteur]],Site!$B$33:$G$40,6,FALSE))</f>
        <v/>
      </c>
      <c r="AA1366">
        <f>IFERROR(GETPIVOTDATA("DJU(chauffagiste)",BDD_DJU!$P$13,"annee",Tab_Calculs[[#This Row],[ANNEE]],"mois_numero",Tab_Calculs[[#This Row],[MOIS]]),0)</f>
        <v>299.10000000000002</v>
      </c>
    </row>
    <row r="1367" spans="1:27" x14ac:dyDescent="0.25">
      <c r="A1367" s="3">
        <f>DATE(Tab_Calculs[[#This Row],[ANNEE]],Tab_Calculs[[#This Row],[MOIS]],1)</f>
        <v>40603</v>
      </c>
      <c r="B1367" s="3">
        <f>EDATE(Tab_Calculs[[#This Row],[Début mois]],1)-1</f>
        <v>40633</v>
      </c>
      <c r="C1367">
        <v>3</v>
      </c>
      <c r="D1367">
        <v>2011</v>
      </c>
      <c r="E1367" t="s">
        <v>87</v>
      </c>
      <c r="F1367" t="str">
        <f>SUBSTITUTE(Tab_Calculs[[#This Row],[Compteur]]," ","_")</f>
        <v>Compteur_8</v>
      </c>
      <c r="G1367" t="str">
        <f>T(INDEX(Site!$B$33:$G$40, MATCH(Tab_Calculs[[#This Row],[Compteur]], Site!$B$33:$B$40,0),2))</f>
        <v/>
      </c>
      <c r="H1367" s="3">
        <f t="array" aca="1" ref="H1367" ca="1">MIN(IF(INDIRECT(CONCATENATE(Tab_Calculs[[#This Row],[Colonne1]],"!$B$2:$B$243"))&gt;=Calculs_Consos!$A1367,INDIRECT(CONCATENATE(Tab_Calculs[[#This Row],[Colonne1]],"!$B$2:$B$243"))))</f>
        <v>0</v>
      </c>
      <c r="I1367" s="3">
        <f ca="1">INDEX(INDIRECT(CONCATENATE("Tab_",Tab_Calculs[[#This Row],[Colonne1]])),Tab_Calculs[[#This Row],[index_date_livraison]],1)</f>
        <v>0</v>
      </c>
      <c r="J1367">
        <f ca="1">MATCH(Tab_Calculs[[#This Row],[Date_livraison]],INDIRECT(CONCATENATE("Tab_",Tab_Calculs[[#This Row],[Colonne1]],"[Fin de période]")),0)</f>
        <v>1</v>
      </c>
      <c r="K1367" t="e">
        <f ca="1">INDEX(INDIRECT(CONCATENATE("Tab_",Tab_Calculs[[#This Row],[Colonne1]])),Tab_Calculs[[#This Row],[index_date_livraison]]-1,6)*(MAX(Tab_Calculs[[#This Row],[Début periode livraison]],Tab_Calculs[[#This Row],[Début mois]])-Tab_Calculs[[#This Row],[Début mois]])</f>
        <v>#VALUE!</v>
      </c>
      <c r="L1367" s="94">
        <f ca="1">INDEX(INDIRECT(CONCATENATE("Tab_",Tab_Calculs[[#This Row],[Colonne1]])),Tab_Calculs[[#This Row],[index_date_livraison]],6)*(1+MIN(Tab_Calculs[[#This Row],[Date_livraison]],Tab_Calculs[[#This Row],[fin mois]])-MAX(Tab_Calculs[[#This Row],[Début mois]],Tab_Calculs[[#This Row],[Début periode livraison]]))</f>
        <v>0</v>
      </c>
      <c r="M1367" s="94" t="e">
        <f ca="1">INDEX(INDIRECT(CONCATENATE("Tab_",Tab_Calculs[[#This Row],[Colonne1]])),Tab_Calculs[[#This Row],[index_date_livraison]]+1,6)*(Tab_Calculs[[#This Row],[fin mois]]-MIN(Tab_Calculs[[#This Row],[fin mois]],Tab_Calculs[[#This Row],[Date_livraison]]))</f>
        <v>#VALUE!</v>
      </c>
      <c r="N1367" s="231" t="str">
        <f ca="1">IFERROR(Tab_Calculs[[#This Row],[Ratio_jour_après_livr]]+Tab_Calculs[[#This Row],[Ratio_jour_avant_livr]]+Tab_Calculs[[#This Row],[ratio_avant_debut]],"")</f>
        <v/>
      </c>
      <c r="O1367" t="e">
        <f ca="1">INDEX(INDIRECT(CONCATENATE("Tab_",Tab_Calculs[[#This Row],[Colonne1]])),Tab_Calculs[[#This Row],[index_date_livraison]]-1,7)*(MAX(Tab_Calculs[[#This Row],[Début periode livraison]],Tab_Calculs[[#This Row],[Début mois]])-Tab_Calculs[[#This Row],[Début mois]])</f>
        <v>#VALUE!</v>
      </c>
      <c r="P1367">
        <f ca="1">INDEX(INDIRECT(CONCATENATE("Tab_",Tab_Calculs[[#This Row],[Colonne1]])),Tab_Calculs[[#This Row],[index_date_livraison]],7)*(1+MIN(Tab_Calculs[[#This Row],[Date_livraison]],Tab_Calculs[[#This Row],[fin mois]])-MAX(Tab_Calculs[[#This Row],[Début mois]],Tab_Calculs[[#This Row],[Début periode livraison]]))</f>
        <v>0</v>
      </c>
      <c r="Q1367" t="e">
        <f ca="1">INDEX(INDIRECT(CONCATENATE("Tab_",Tab_Calculs[[#This Row],[Colonne1]])),Tab_Calculs[[#This Row],[index_date_livraison]]+1,7)*(Tab_Calculs[[#This Row],[fin mois]]-MIN(Tab_Calculs[[#This Row],[fin mois]],Tab_Calculs[[#This Row],[Date_livraison]]))</f>
        <v>#VALUE!</v>
      </c>
      <c r="R1367" t="e">
        <f ca="1">Tab_Calculs[[#This Row],[Ratio_Cout_après_livr]]+Tab_Calculs[[#This Row],[Ratio_Cout_avant_livr]]+Tab_Calculs[[#This Row],[Ratio_Cout_avant_debut]]</f>
        <v>#VALUE!</v>
      </c>
      <c r="S1367" t="str">
        <f ca="1">IFERROR(N1367*VLOOKUP(Tab_Calculs[[#This Row],[Colonne1]],Controle_des_données!$B$7:$G$14,6,FALSE),"")</f>
        <v/>
      </c>
      <c r="T1367" t="str">
        <f ca="1">IF(Tab_Calculs[[#This Row],[Combustible ]]="Electricité (kWh)",Tab_Calculs[[#This Row],[Conso_mois_kWh]]*2.3,Tab_Calculs[[#This Row],[Conso_mois_kWh]])</f>
        <v/>
      </c>
      <c r="U1367" t="str">
        <f ca="1">IFERROR(N1367*VLOOKUP(Tab_Calculs[[#This Row],[Colonne1]],Controle_des_données!$B$7:$H$14,7,FALSE),"")</f>
        <v/>
      </c>
      <c r="V1367">
        <f ca="1">IFERROR(Tab_Calculs[[#This Row],[Cout_mois]]/Tab_Calculs[[#This Row],[Conso_mois_kWh]],0)</f>
        <v>0</v>
      </c>
      <c r="W1367" t="str">
        <f>T(VLOOKUP(Tab_Calculs[[#This Row],[Compteur]],Site!$B$33:$G$40,3,FALSE))</f>
        <v/>
      </c>
      <c r="X1367" t="str">
        <f>T(VLOOKUP(Tab_Calculs[[#This Row],[Compteur]],Site!$B$33:$G$40,4,FALSE))</f>
        <v/>
      </c>
      <c r="Y1367" t="str">
        <f>T(VLOOKUP(Tab_Calculs[[#This Row],[Compteur]],Site!$B$33:$G$40,5,FALSE))</f>
        <v/>
      </c>
      <c r="Z1367" t="str">
        <f>T(VLOOKUP(Tab_Calculs[[#This Row],[Compteur]],Site!$B$33:$G$40,6,FALSE))</f>
        <v/>
      </c>
      <c r="AA1367">
        <f>IFERROR(GETPIVOTDATA("DJU(chauffagiste)",BDD_DJU!$P$13,"annee",Tab_Calculs[[#This Row],[ANNEE]],"mois_numero",Tab_Calculs[[#This Row],[MOIS]]),0)</f>
        <v>266.5</v>
      </c>
    </row>
    <row r="1368" spans="1:27" x14ac:dyDescent="0.25">
      <c r="A1368" s="3">
        <f>DATE(Tab_Calculs[[#This Row],[ANNEE]],Tab_Calculs[[#This Row],[MOIS]],1)</f>
        <v>40634</v>
      </c>
      <c r="B1368" s="3">
        <f>EDATE(Tab_Calculs[[#This Row],[Début mois]],1)-1</f>
        <v>40663</v>
      </c>
      <c r="C1368">
        <v>4</v>
      </c>
      <c r="D1368">
        <v>2011</v>
      </c>
      <c r="E1368" t="s">
        <v>87</v>
      </c>
      <c r="F1368" t="str">
        <f>SUBSTITUTE(Tab_Calculs[[#This Row],[Compteur]]," ","_")</f>
        <v>Compteur_8</v>
      </c>
      <c r="G1368" t="str">
        <f>T(INDEX(Site!$B$33:$G$40, MATCH(Tab_Calculs[[#This Row],[Compteur]], Site!$B$33:$B$40,0),2))</f>
        <v/>
      </c>
      <c r="H1368" s="3">
        <f t="array" aca="1" ref="H1368" ca="1">MIN(IF(INDIRECT(CONCATENATE(Tab_Calculs[[#This Row],[Colonne1]],"!$B$2:$B$243"))&gt;=Calculs_Consos!$A1368,INDIRECT(CONCATENATE(Tab_Calculs[[#This Row],[Colonne1]],"!$B$2:$B$243"))))</f>
        <v>0</v>
      </c>
      <c r="I1368" s="3">
        <f ca="1">INDEX(INDIRECT(CONCATENATE("Tab_",Tab_Calculs[[#This Row],[Colonne1]])),Tab_Calculs[[#This Row],[index_date_livraison]],1)</f>
        <v>0</v>
      </c>
      <c r="J1368">
        <f ca="1">MATCH(Tab_Calculs[[#This Row],[Date_livraison]],INDIRECT(CONCATENATE("Tab_",Tab_Calculs[[#This Row],[Colonne1]],"[Fin de période]")),0)</f>
        <v>1</v>
      </c>
      <c r="K1368" t="e">
        <f ca="1">INDEX(INDIRECT(CONCATENATE("Tab_",Tab_Calculs[[#This Row],[Colonne1]])),Tab_Calculs[[#This Row],[index_date_livraison]]-1,6)*(MAX(Tab_Calculs[[#This Row],[Début periode livraison]],Tab_Calculs[[#This Row],[Début mois]])-Tab_Calculs[[#This Row],[Début mois]])</f>
        <v>#VALUE!</v>
      </c>
      <c r="L1368" s="94">
        <f ca="1">INDEX(INDIRECT(CONCATENATE("Tab_",Tab_Calculs[[#This Row],[Colonne1]])),Tab_Calculs[[#This Row],[index_date_livraison]],6)*(1+MIN(Tab_Calculs[[#This Row],[Date_livraison]],Tab_Calculs[[#This Row],[fin mois]])-MAX(Tab_Calculs[[#This Row],[Début mois]],Tab_Calculs[[#This Row],[Début periode livraison]]))</f>
        <v>0</v>
      </c>
      <c r="M1368" s="94" t="e">
        <f ca="1">INDEX(INDIRECT(CONCATENATE("Tab_",Tab_Calculs[[#This Row],[Colonne1]])),Tab_Calculs[[#This Row],[index_date_livraison]]+1,6)*(Tab_Calculs[[#This Row],[fin mois]]-MIN(Tab_Calculs[[#This Row],[fin mois]],Tab_Calculs[[#This Row],[Date_livraison]]))</f>
        <v>#VALUE!</v>
      </c>
      <c r="N1368" s="231" t="str">
        <f ca="1">IFERROR(Tab_Calculs[[#This Row],[Ratio_jour_après_livr]]+Tab_Calculs[[#This Row],[Ratio_jour_avant_livr]]+Tab_Calculs[[#This Row],[ratio_avant_debut]],"")</f>
        <v/>
      </c>
      <c r="O1368" t="e">
        <f ca="1">INDEX(INDIRECT(CONCATENATE("Tab_",Tab_Calculs[[#This Row],[Colonne1]])),Tab_Calculs[[#This Row],[index_date_livraison]]-1,7)*(MAX(Tab_Calculs[[#This Row],[Début periode livraison]],Tab_Calculs[[#This Row],[Début mois]])-Tab_Calculs[[#This Row],[Début mois]])</f>
        <v>#VALUE!</v>
      </c>
      <c r="P1368">
        <f ca="1">INDEX(INDIRECT(CONCATENATE("Tab_",Tab_Calculs[[#This Row],[Colonne1]])),Tab_Calculs[[#This Row],[index_date_livraison]],7)*(1+MIN(Tab_Calculs[[#This Row],[Date_livraison]],Tab_Calculs[[#This Row],[fin mois]])-MAX(Tab_Calculs[[#This Row],[Début mois]],Tab_Calculs[[#This Row],[Début periode livraison]]))</f>
        <v>0</v>
      </c>
      <c r="Q1368" t="e">
        <f ca="1">INDEX(INDIRECT(CONCATENATE("Tab_",Tab_Calculs[[#This Row],[Colonne1]])),Tab_Calculs[[#This Row],[index_date_livraison]]+1,7)*(Tab_Calculs[[#This Row],[fin mois]]-MIN(Tab_Calculs[[#This Row],[fin mois]],Tab_Calculs[[#This Row],[Date_livraison]]))</f>
        <v>#VALUE!</v>
      </c>
      <c r="R1368" t="e">
        <f ca="1">Tab_Calculs[[#This Row],[Ratio_Cout_après_livr]]+Tab_Calculs[[#This Row],[Ratio_Cout_avant_livr]]+Tab_Calculs[[#This Row],[Ratio_Cout_avant_debut]]</f>
        <v>#VALUE!</v>
      </c>
      <c r="S1368" t="str">
        <f ca="1">IFERROR(N1368*VLOOKUP(Tab_Calculs[[#This Row],[Colonne1]],Controle_des_données!$B$7:$G$14,6,FALSE),"")</f>
        <v/>
      </c>
      <c r="T1368" t="str">
        <f ca="1">IF(Tab_Calculs[[#This Row],[Combustible ]]="Electricité (kWh)",Tab_Calculs[[#This Row],[Conso_mois_kWh]]*2.3,Tab_Calculs[[#This Row],[Conso_mois_kWh]])</f>
        <v/>
      </c>
      <c r="U1368" t="str">
        <f ca="1">IFERROR(N1368*VLOOKUP(Tab_Calculs[[#This Row],[Colonne1]],Controle_des_données!$B$7:$H$14,7,FALSE),"")</f>
        <v/>
      </c>
      <c r="V1368">
        <f ca="1">IFERROR(Tab_Calculs[[#This Row],[Cout_mois]]/Tab_Calculs[[#This Row],[Conso_mois_kWh]],0)</f>
        <v>0</v>
      </c>
      <c r="W1368" t="str">
        <f>T(VLOOKUP(Tab_Calculs[[#This Row],[Compteur]],Site!$B$33:$G$40,3,FALSE))</f>
        <v/>
      </c>
      <c r="X1368" t="str">
        <f>T(VLOOKUP(Tab_Calculs[[#This Row],[Compteur]],Site!$B$33:$G$40,4,FALSE))</f>
        <v/>
      </c>
      <c r="Y1368" t="str">
        <f>T(VLOOKUP(Tab_Calculs[[#This Row],[Compteur]],Site!$B$33:$G$40,5,FALSE))</f>
        <v/>
      </c>
      <c r="Z1368" t="str">
        <f>T(VLOOKUP(Tab_Calculs[[#This Row],[Compteur]],Site!$B$33:$G$40,6,FALSE))</f>
        <v/>
      </c>
      <c r="AA1368">
        <f>IFERROR(GETPIVOTDATA("DJU(chauffagiste)",BDD_DJU!$P$13,"annee",Tab_Calculs[[#This Row],[ANNEE]],"mois_numero",Tab_Calculs[[#This Row],[MOIS]]),0)</f>
        <v>136.19999999999999</v>
      </c>
    </row>
    <row r="1369" spans="1:27" x14ac:dyDescent="0.25">
      <c r="A1369" s="3">
        <f>DATE(Tab_Calculs[[#This Row],[ANNEE]],Tab_Calculs[[#This Row],[MOIS]],1)</f>
        <v>40664</v>
      </c>
      <c r="B1369" s="3">
        <f>EDATE(Tab_Calculs[[#This Row],[Début mois]],1)-1</f>
        <v>40694</v>
      </c>
      <c r="C1369">
        <v>5</v>
      </c>
      <c r="D1369">
        <v>2011</v>
      </c>
      <c r="E1369" t="s">
        <v>87</v>
      </c>
      <c r="F1369" t="str">
        <f>SUBSTITUTE(Tab_Calculs[[#This Row],[Compteur]]," ","_")</f>
        <v>Compteur_8</v>
      </c>
      <c r="G1369" t="str">
        <f>T(INDEX(Site!$B$33:$G$40, MATCH(Tab_Calculs[[#This Row],[Compteur]], Site!$B$33:$B$40,0),2))</f>
        <v/>
      </c>
      <c r="H1369" s="3">
        <f t="array" aca="1" ref="H1369" ca="1">MIN(IF(INDIRECT(CONCATENATE(Tab_Calculs[[#This Row],[Colonne1]],"!$B$2:$B$243"))&gt;=Calculs_Consos!$A1369,INDIRECT(CONCATENATE(Tab_Calculs[[#This Row],[Colonne1]],"!$B$2:$B$243"))))</f>
        <v>0</v>
      </c>
      <c r="I1369" s="3">
        <f ca="1">INDEX(INDIRECT(CONCATENATE("Tab_",Tab_Calculs[[#This Row],[Colonne1]])),Tab_Calculs[[#This Row],[index_date_livraison]],1)</f>
        <v>0</v>
      </c>
      <c r="J1369">
        <f ca="1">MATCH(Tab_Calculs[[#This Row],[Date_livraison]],INDIRECT(CONCATENATE("Tab_",Tab_Calculs[[#This Row],[Colonne1]],"[Fin de période]")),0)</f>
        <v>1</v>
      </c>
      <c r="K1369" t="e">
        <f ca="1">INDEX(INDIRECT(CONCATENATE("Tab_",Tab_Calculs[[#This Row],[Colonne1]])),Tab_Calculs[[#This Row],[index_date_livraison]]-1,6)*(MAX(Tab_Calculs[[#This Row],[Début periode livraison]],Tab_Calculs[[#This Row],[Début mois]])-Tab_Calculs[[#This Row],[Début mois]])</f>
        <v>#VALUE!</v>
      </c>
      <c r="L1369" s="94">
        <f ca="1">INDEX(INDIRECT(CONCATENATE("Tab_",Tab_Calculs[[#This Row],[Colonne1]])),Tab_Calculs[[#This Row],[index_date_livraison]],6)*(1+MIN(Tab_Calculs[[#This Row],[Date_livraison]],Tab_Calculs[[#This Row],[fin mois]])-MAX(Tab_Calculs[[#This Row],[Début mois]],Tab_Calculs[[#This Row],[Début periode livraison]]))</f>
        <v>0</v>
      </c>
      <c r="M1369" s="94" t="e">
        <f ca="1">INDEX(INDIRECT(CONCATENATE("Tab_",Tab_Calculs[[#This Row],[Colonne1]])),Tab_Calculs[[#This Row],[index_date_livraison]]+1,6)*(Tab_Calculs[[#This Row],[fin mois]]-MIN(Tab_Calculs[[#This Row],[fin mois]],Tab_Calculs[[#This Row],[Date_livraison]]))</f>
        <v>#VALUE!</v>
      </c>
      <c r="N1369" s="231" t="str">
        <f ca="1">IFERROR(Tab_Calculs[[#This Row],[Ratio_jour_après_livr]]+Tab_Calculs[[#This Row],[Ratio_jour_avant_livr]]+Tab_Calculs[[#This Row],[ratio_avant_debut]],"")</f>
        <v/>
      </c>
      <c r="O1369" t="e">
        <f ca="1">INDEX(INDIRECT(CONCATENATE("Tab_",Tab_Calculs[[#This Row],[Colonne1]])),Tab_Calculs[[#This Row],[index_date_livraison]]-1,7)*(MAX(Tab_Calculs[[#This Row],[Début periode livraison]],Tab_Calculs[[#This Row],[Début mois]])-Tab_Calculs[[#This Row],[Début mois]])</f>
        <v>#VALUE!</v>
      </c>
      <c r="P1369">
        <f ca="1">INDEX(INDIRECT(CONCATENATE("Tab_",Tab_Calculs[[#This Row],[Colonne1]])),Tab_Calculs[[#This Row],[index_date_livraison]],7)*(1+MIN(Tab_Calculs[[#This Row],[Date_livraison]],Tab_Calculs[[#This Row],[fin mois]])-MAX(Tab_Calculs[[#This Row],[Début mois]],Tab_Calculs[[#This Row],[Début periode livraison]]))</f>
        <v>0</v>
      </c>
      <c r="Q1369" t="e">
        <f ca="1">INDEX(INDIRECT(CONCATENATE("Tab_",Tab_Calculs[[#This Row],[Colonne1]])),Tab_Calculs[[#This Row],[index_date_livraison]]+1,7)*(Tab_Calculs[[#This Row],[fin mois]]-MIN(Tab_Calculs[[#This Row],[fin mois]],Tab_Calculs[[#This Row],[Date_livraison]]))</f>
        <v>#VALUE!</v>
      </c>
      <c r="R1369" t="e">
        <f ca="1">Tab_Calculs[[#This Row],[Ratio_Cout_après_livr]]+Tab_Calculs[[#This Row],[Ratio_Cout_avant_livr]]+Tab_Calculs[[#This Row],[Ratio_Cout_avant_debut]]</f>
        <v>#VALUE!</v>
      </c>
      <c r="S1369" t="str">
        <f ca="1">IFERROR(N1369*VLOOKUP(Tab_Calculs[[#This Row],[Colonne1]],Controle_des_données!$B$7:$G$14,6,FALSE),"")</f>
        <v/>
      </c>
      <c r="T1369" t="str">
        <f ca="1">IF(Tab_Calculs[[#This Row],[Combustible ]]="Electricité (kWh)",Tab_Calculs[[#This Row],[Conso_mois_kWh]]*2.3,Tab_Calculs[[#This Row],[Conso_mois_kWh]])</f>
        <v/>
      </c>
      <c r="U1369" t="str">
        <f ca="1">IFERROR(N1369*VLOOKUP(Tab_Calculs[[#This Row],[Colonne1]],Controle_des_données!$B$7:$H$14,7,FALSE),"")</f>
        <v/>
      </c>
      <c r="V1369">
        <f ca="1">IFERROR(Tab_Calculs[[#This Row],[Cout_mois]]/Tab_Calculs[[#This Row],[Conso_mois_kWh]],0)</f>
        <v>0</v>
      </c>
      <c r="W1369" t="str">
        <f>T(VLOOKUP(Tab_Calculs[[#This Row],[Compteur]],Site!$B$33:$G$40,3,FALSE))</f>
        <v/>
      </c>
      <c r="X1369" t="str">
        <f>T(VLOOKUP(Tab_Calculs[[#This Row],[Compteur]],Site!$B$33:$G$40,4,FALSE))</f>
        <v/>
      </c>
      <c r="Y1369" t="str">
        <f>T(VLOOKUP(Tab_Calculs[[#This Row],[Compteur]],Site!$B$33:$G$40,5,FALSE))</f>
        <v/>
      </c>
      <c r="Z1369" t="str">
        <f>T(VLOOKUP(Tab_Calculs[[#This Row],[Compteur]],Site!$B$33:$G$40,6,FALSE))</f>
        <v/>
      </c>
      <c r="AA1369">
        <f>IFERROR(GETPIVOTDATA("DJU(chauffagiste)",BDD_DJU!$P$13,"annee",Tab_Calculs[[#This Row],[ANNEE]],"mois_numero",Tab_Calculs[[#This Row],[MOIS]]),0)</f>
        <v>91.9</v>
      </c>
    </row>
    <row r="1370" spans="1:27" x14ac:dyDescent="0.25">
      <c r="A1370" s="3">
        <f>DATE(Tab_Calculs[[#This Row],[ANNEE]],Tab_Calculs[[#This Row],[MOIS]],1)</f>
        <v>40695</v>
      </c>
      <c r="B1370" s="3">
        <f>EDATE(Tab_Calculs[[#This Row],[Début mois]],1)-1</f>
        <v>40724</v>
      </c>
      <c r="C1370">
        <v>6</v>
      </c>
      <c r="D1370">
        <v>2011</v>
      </c>
      <c r="E1370" t="s">
        <v>87</v>
      </c>
      <c r="F1370" t="str">
        <f>SUBSTITUTE(Tab_Calculs[[#This Row],[Compteur]]," ","_")</f>
        <v>Compteur_8</v>
      </c>
      <c r="G1370" t="str">
        <f>T(INDEX(Site!$B$33:$G$40, MATCH(Tab_Calculs[[#This Row],[Compteur]], Site!$B$33:$B$40,0),2))</f>
        <v/>
      </c>
      <c r="H1370" s="3">
        <f t="array" aca="1" ref="H1370" ca="1">MIN(IF(INDIRECT(CONCATENATE(Tab_Calculs[[#This Row],[Colonne1]],"!$B$2:$B$243"))&gt;=Calculs_Consos!$A1370,INDIRECT(CONCATENATE(Tab_Calculs[[#This Row],[Colonne1]],"!$B$2:$B$243"))))</f>
        <v>0</v>
      </c>
      <c r="I1370" s="3">
        <f ca="1">INDEX(INDIRECT(CONCATENATE("Tab_",Tab_Calculs[[#This Row],[Colonne1]])),Tab_Calculs[[#This Row],[index_date_livraison]],1)</f>
        <v>0</v>
      </c>
      <c r="J1370">
        <f ca="1">MATCH(Tab_Calculs[[#This Row],[Date_livraison]],INDIRECT(CONCATENATE("Tab_",Tab_Calculs[[#This Row],[Colonne1]],"[Fin de période]")),0)</f>
        <v>1</v>
      </c>
      <c r="K1370" t="e">
        <f ca="1">INDEX(INDIRECT(CONCATENATE("Tab_",Tab_Calculs[[#This Row],[Colonne1]])),Tab_Calculs[[#This Row],[index_date_livraison]]-1,6)*(MAX(Tab_Calculs[[#This Row],[Début periode livraison]],Tab_Calculs[[#This Row],[Début mois]])-Tab_Calculs[[#This Row],[Début mois]])</f>
        <v>#VALUE!</v>
      </c>
      <c r="L1370" s="94">
        <f ca="1">INDEX(INDIRECT(CONCATENATE("Tab_",Tab_Calculs[[#This Row],[Colonne1]])),Tab_Calculs[[#This Row],[index_date_livraison]],6)*(1+MIN(Tab_Calculs[[#This Row],[Date_livraison]],Tab_Calculs[[#This Row],[fin mois]])-MAX(Tab_Calculs[[#This Row],[Début mois]],Tab_Calculs[[#This Row],[Début periode livraison]]))</f>
        <v>0</v>
      </c>
      <c r="M1370" s="94" t="e">
        <f ca="1">INDEX(INDIRECT(CONCATENATE("Tab_",Tab_Calculs[[#This Row],[Colonne1]])),Tab_Calculs[[#This Row],[index_date_livraison]]+1,6)*(Tab_Calculs[[#This Row],[fin mois]]-MIN(Tab_Calculs[[#This Row],[fin mois]],Tab_Calculs[[#This Row],[Date_livraison]]))</f>
        <v>#VALUE!</v>
      </c>
      <c r="N1370" s="231" t="str">
        <f ca="1">IFERROR(Tab_Calculs[[#This Row],[Ratio_jour_après_livr]]+Tab_Calculs[[#This Row],[Ratio_jour_avant_livr]]+Tab_Calculs[[#This Row],[ratio_avant_debut]],"")</f>
        <v/>
      </c>
      <c r="O1370" t="e">
        <f ca="1">INDEX(INDIRECT(CONCATENATE("Tab_",Tab_Calculs[[#This Row],[Colonne1]])),Tab_Calculs[[#This Row],[index_date_livraison]]-1,7)*(MAX(Tab_Calculs[[#This Row],[Début periode livraison]],Tab_Calculs[[#This Row],[Début mois]])-Tab_Calculs[[#This Row],[Début mois]])</f>
        <v>#VALUE!</v>
      </c>
      <c r="P1370">
        <f ca="1">INDEX(INDIRECT(CONCATENATE("Tab_",Tab_Calculs[[#This Row],[Colonne1]])),Tab_Calculs[[#This Row],[index_date_livraison]],7)*(1+MIN(Tab_Calculs[[#This Row],[Date_livraison]],Tab_Calculs[[#This Row],[fin mois]])-MAX(Tab_Calculs[[#This Row],[Début mois]],Tab_Calculs[[#This Row],[Début periode livraison]]))</f>
        <v>0</v>
      </c>
      <c r="Q1370" t="e">
        <f ca="1">INDEX(INDIRECT(CONCATENATE("Tab_",Tab_Calculs[[#This Row],[Colonne1]])),Tab_Calculs[[#This Row],[index_date_livraison]]+1,7)*(Tab_Calculs[[#This Row],[fin mois]]-MIN(Tab_Calculs[[#This Row],[fin mois]],Tab_Calculs[[#This Row],[Date_livraison]]))</f>
        <v>#VALUE!</v>
      </c>
      <c r="R1370" t="e">
        <f ca="1">Tab_Calculs[[#This Row],[Ratio_Cout_après_livr]]+Tab_Calculs[[#This Row],[Ratio_Cout_avant_livr]]+Tab_Calculs[[#This Row],[Ratio_Cout_avant_debut]]</f>
        <v>#VALUE!</v>
      </c>
      <c r="S1370" t="str">
        <f ca="1">IFERROR(N1370*VLOOKUP(Tab_Calculs[[#This Row],[Colonne1]],Controle_des_données!$B$7:$G$14,6,FALSE),"")</f>
        <v/>
      </c>
      <c r="T1370" t="str">
        <f ca="1">IF(Tab_Calculs[[#This Row],[Combustible ]]="Electricité (kWh)",Tab_Calculs[[#This Row],[Conso_mois_kWh]]*2.3,Tab_Calculs[[#This Row],[Conso_mois_kWh]])</f>
        <v/>
      </c>
      <c r="U1370" t="str">
        <f ca="1">IFERROR(N1370*VLOOKUP(Tab_Calculs[[#This Row],[Colonne1]],Controle_des_données!$B$7:$H$14,7,FALSE),"")</f>
        <v/>
      </c>
      <c r="V1370">
        <f ca="1">IFERROR(Tab_Calculs[[#This Row],[Cout_mois]]/Tab_Calculs[[#This Row],[Conso_mois_kWh]],0)</f>
        <v>0</v>
      </c>
      <c r="W1370" t="str">
        <f>T(VLOOKUP(Tab_Calculs[[#This Row],[Compteur]],Site!$B$33:$G$40,3,FALSE))</f>
        <v/>
      </c>
      <c r="X1370" t="str">
        <f>T(VLOOKUP(Tab_Calculs[[#This Row],[Compteur]],Site!$B$33:$G$40,4,FALSE))</f>
        <v/>
      </c>
      <c r="Y1370" t="str">
        <f>T(VLOOKUP(Tab_Calculs[[#This Row],[Compteur]],Site!$B$33:$G$40,5,FALSE))</f>
        <v/>
      </c>
      <c r="Z1370" t="str">
        <f>T(VLOOKUP(Tab_Calculs[[#This Row],[Compteur]],Site!$B$33:$G$40,6,FALSE))</f>
        <v/>
      </c>
      <c r="AA1370">
        <f>IFERROR(GETPIVOTDATA("DJU(chauffagiste)",BDD_DJU!$P$13,"annee",Tab_Calculs[[#This Row],[ANNEE]],"mois_numero",Tab_Calculs[[#This Row],[MOIS]]),0)</f>
        <v>55.8</v>
      </c>
    </row>
    <row r="1371" spans="1:27" x14ac:dyDescent="0.25">
      <c r="A1371" s="3">
        <f>DATE(Tab_Calculs[[#This Row],[ANNEE]],Tab_Calculs[[#This Row],[MOIS]],1)</f>
        <v>40725</v>
      </c>
      <c r="B1371" s="3">
        <f>EDATE(Tab_Calculs[[#This Row],[Début mois]],1)-1</f>
        <v>40755</v>
      </c>
      <c r="C1371">
        <v>7</v>
      </c>
      <c r="D1371">
        <v>2011</v>
      </c>
      <c r="E1371" t="s">
        <v>87</v>
      </c>
      <c r="F1371" t="str">
        <f>SUBSTITUTE(Tab_Calculs[[#This Row],[Compteur]]," ","_")</f>
        <v>Compteur_8</v>
      </c>
      <c r="G1371" t="str">
        <f>T(INDEX(Site!$B$33:$G$40, MATCH(Tab_Calculs[[#This Row],[Compteur]], Site!$B$33:$B$40,0),2))</f>
        <v/>
      </c>
      <c r="H1371" s="3">
        <f t="array" aca="1" ref="H1371" ca="1">MIN(IF(INDIRECT(CONCATENATE(Tab_Calculs[[#This Row],[Colonne1]],"!$B$2:$B$243"))&gt;=Calculs_Consos!$A1371,INDIRECT(CONCATENATE(Tab_Calculs[[#This Row],[Colonne1]],"!$B$2:$B$243"))))</f>
        <v>0</v>
      </c>
      <c r="I1371" s="3">
        <f ca="1">INDEX(INDIRECT(CONCATENATE("Tab_",Tab_Calculs[[#This Row],[Colonne1]])),Tab_Calculs[[#This Row],[index_date_livraison]],1)</f>
        <v>0</v>
      </c>
      <c r="J1371">
        <f ca="1">MATCH(Tab_Calculs[[#This Row],[Date_livraison]],INDIRECT(CONCATENATE("Tab_",Tab_Calculs[[#This Row],[Colonne1]],"[Fin de période]")),0)</f>
        <v>1</v>
      </c>
      <c r="K1371" t="e">
        <f ca="1">INDEX(INDIRECT(CONCATENATE("Tab_",Tab_Calculs[[#This Row],[Colonne1]])),Tab_Calculs[[#This Row],[index_date_livraison]]-1,6)*(MAX(Tab_Calculs[[#This Row],[Début periode livraison]],Tab_Calculs[[#This Row],[Début mois]])-Tab_Calculs[[#This Row],[Début mois]])</f>
        <v>#VALUE!</v>
      </c>
      <c r="L1371" s="94">
        <f ca="1">INDEX(INDIRECT(CONCATENATE("Tab_",Tab_Calculs[[#This Row],[Colonne1]])),Tab_Calculs[[#This Row],[index_date_livraison]],6)*(1+MIN(Tab_Calculs[[#This Row],[Date_livraison]],Tab_Calculs[[#This Row],[fin mois]])-MAX(Tab_Calculs[[#This Row],[Début mois]],Tab_Calculs[[#This Row],[Début periode livraison]]))</f>
        <v>0</v>
      </c>
      <c r="M1371" s="94" t="e">
        <f ca="1">INDEX(INDIRECT(CONCATENATE("Tab_",Tab_Calculs[[#This Row],[Colonne1]])),Tab_Calculs[[#This Row],[index_date_livraison]]+1,6)*(Tab_Calculs[[#This Row],[fin mois]]-MIN(Tab_Calculs[[#This Row],[fin mois]],Tab_Calculs[[#This Row],[Date_livraison]]))</f>
        <v>#VALUE!</v>
      </c>
      <c r="N1371" s="231" t="str">
        <f ca="1">IFERROR(Tab_Calculs[[#This Row],[Ratio_jour_après_livr]]+Tab_Calculs[[#This Row],[Ratio_jour_avant_livr]]+Tab_Calculs[[#This Row],[ratio_avant_debut]],"")</f>
        <v/>
      </c>
      <c r="O1371" t="e">
        <f ca="1">INDEX(INDIRECT(CONCATENATE("Tab_",Tab_Calculs[[#This Row],[Colonne1]])),Tab_Calculs[[#This Row],[index_date_livraison]]-1,7)*(MAX(Tab_Calculs[[#This Row],[Début periode livraison]],Tab_Calculs[[#This Row],[Début mois]])-Tab_Calculs[[#This Row],[Début mois]])</f>
        <v>#VALUE!</v>
      </c>
      <c r="P1371">
        <f ca="1">INDEX(INDIRECT(CONCATENATE("Tab_",Tab_Calculs[[#This Row],[Colonne1]])),Tab_Calculs[[#This Row],[index_date_livraison]],7)*(1+MIN(Tab_Calculs[[#This Row],[Date_livraison]],Tab_Calculs[[#This Row],[fin mois]])-MAX(Tab_Calculs[[#This Row],[Début mois]],Tab_Calculs[[#This Row],[Début periode livraison]]))</f>
        <v>0</v>
      </c>
      <c r="Q1371" t="e">
        <f ca="1">INDEX(INDIRECT(CONCATENATE("Tab_",Tab_Calculs[[#This Row],[Colonne1]])),Tab_Calculs[[#This Row],[index_date_livraison]]+1,7)*(Tab_Calculs[[#This Row],[fin mois]]-MIN(Tab_Calculs[[#This Row],[fin mois]],Tab_Calculs[[#This Row],[Date_livraison]]))</f>
        <v>#VALUE!</v>
      </c>
      <c r="R1371" t="e">
        <f ca="1">Tab_Calculs[[#This Row],[Ratio_Cout_après_livr]]+Tab_Calculs[[#This Row],[Ratio_Cout_avant_livr]]+Tab_Calculs[[#This Row],[Ratio_Cout_avant_debut]]</f>
        <v>#VALUE!</v>
      </c>
      <c r="S1371" t="str">
        <f ca="1">IFERROR(N1371*VLOOKUP(Tab_Calculs[[#This Row],[Colonne1]],Controle_des_données!$B$7:$G$14,6,FALSE),"")</f>
        <v/>
      </c>
      <c r="T1371" t="str">
        <f ca="1">IF(Tab_Calculs[[#This Row],[Combustible ]]="Electricité (kWh)",Tab_Calculs[[#This Row],[Conso_mois_kWh]]*2.3,Tab_Calculs[[#This Row],[Conso_mois_kWh]])</f>
        <v/>
      </c>
      <c r="U1371" t="str">
        <f ca="1">IFERROR(N1371*VLOOKUP(Tab_Calculs[[#This Row],[Colonne1]],Controle_des_données!$B$7:$H$14,7,FALSE),"")</f>
        <v/>
      </c>
      <c r="V1371">
        <f ca="1">IFERROR(Tab_Calculs[[#This Row],[Cout_mois]]/Tab_Calculs[[#This Row],[Conso_mois_kWh]],0)</f>
        <v>0</v>
      </c>
      <c r="W1371" t="str">
        <f>T(VLOOKUP(Tab_Calculs[[#This Row],[Compteur]],Site!$B$33:$G$40,3,FALSE))</f>
        <v/>
      </c>
      <c r="X1371" t="str">
        <f>T(VLOOKUP(Tab_Calculs[[#This Row],[Compteur]],Site!$B$33:$G$40,4,FALSE))</f>
        <v/>
      </c>
      <c r="Y1371" t="str">
        <f>T(VLOOKUP(Tab_Calculs[[#This Row],[Compteur]],Site!$B$33:$G$40,5,FALSE))</f>
        <v/>
      </c>
      <c r="Z1371" t="str">
        <f>T(VLOOKUP(Tab_Calculs[[#This Row],[Compteur]],Site!$B$33:$G$40,6,FALSE))</f>
        <v/>
      </c>
      <c r="AA1371">
        <f>IFERROR(GETPIVOTDATA("DJU(chauffagiste)",BDD_DJU!$P$13,"annee",Tab_Calculs[[#This Row],[ANNEE]],"mois_numero",Tab_Calculs[[#This Row],[MOIS]]),0)</f>
        <v>50.8</v>
      </c>
    </row>
    <row r="1372" spans="1:27" x14ac:dyDescent="0.25">
      <c r="A1372" s="3">
        <f>DATE(Tab_Calculs[[#This Row],[ANNEE]],Tab_Calculs[[#This Row],[MOIS]],1)</f>
        <v>40756</v>
      </c>
      <c r="B1372" s="3">
        <f>EDATE(Tab_Calculs[[#This Row],[Début mois]],1)-1</f>
        <v>40786</v>
      </c>
      <c r="C1372">
        <v>8</v>
      </c>
      <c r="D1372">
        <v>2011</v>
      </c>
      <c r="E1372" t="s">
        <v>87</v>
      </c>
      <c r="F1372" t="str">
        <f>SUBSTITUTE(Tab_Calculs[[#This Row],[Compteur]]," ","_")</f>
        <v>Compteur_8</v>
      </c>
      <c r="G1372" t="str">
        <f>T(INDEX(Site!$B$33:$G$40, MATCH(Tab_Calculs[[#This Row],[Compteur]], Site!$B$33:$B$40,0),2))</f>
        <v/>
      </c>
      <c r="H1372" s="3">
        <f t="array" aca="1" ref="H1372" ca="1">MIN(IF(INDIRECT(CONCATENATE(Tab_Calculs[[#This Row],[Colonne1]],"!$B$2:$B$243"))&gt;=Calculs_Consos!$A1372,INDIRECT(CONCATENATE(Tab_Calculs[[#This Row],[Colonne1]],"!$B$2:$B$243"))))</f>
        <v>0</v>
      </c>
      <c r="I1372" s="3">
        <f ca="1">INDEX(INDIRECT(CONCATENATE("Tab_",Tab_Calculs[[#This Row],[Colonne1]])),Tab_Calculs[[#This Row],[index_date_livraison]],1)</f>
        <v>0</v>
      </c>
      <c r="J1372">
        <f ca="1">MATCH(Tab_Calculs[[#This Row],[Date_livraison]],INDIRECT(CONCATENATE("Tab_",Tab_Calculs[[#This Row],[Colonne1]],"[Fin de période]")),0)</f>
        <v>1</v>
      </c>
      <c r="K1372" t="e">
        <f ca="1">INDEX(INDIRECT(CONCATENATE("Tab_",Tab_Calculs[[#This Row],[Colonne1]])),Tab_Calculs[[#This Row],[index_date_livraison]]-1,6)*(MAX(Tab_Calculs[[#This Row],[Début periode livraison]],Tab_Calculs[[#This Row],[Début mois]])-Tab_Calculs[[#This Row],[Début mois]])</f>
        <v>#VALUE!</v>
      </c>
      <c r="L1372" s="94">
        <f ca="1">INDEX(INDIRECT(CONCATENATE("Tab_",Tab_Calculs[[#This Row],[Colonne1]])),Tab_Calculs[[#This Row],[index_date_livraison]],6)*(1+MIN(Tab_Calculs[[#This Row],[Date_livraison]],Tab_Calculs[[#This Row],[fin mois]])-MAX(Tab_Calculs[[#This Row],[Début mois]],Tab_Calculs[[#This Row],[Début periode livraison]]))</f>
        <v>0</v>
      </c>
      <c r="M1372" s="94" t="e">
        <f ca="1">INDEX(INDIRECT(CONCATENATE("Tab_",Tab_Calculs[[#This Row],[Colonne1]])),Tab_Calculs[[#This Row],[index_date_livraison]]+1,6)*(Tab_Calculs[[#This Row],[fin mois]]-MIN(Tab_Calculs[[#This Row],[fin mois]],Tab_Calculs[[#This Row],[Date_livraison]]))</f>
        <v>#VALUE!</v>
      </c>
      <c r="N1372" s="231" t="str">
        <f ca="1">IFERROR(Tab_Calculs[[#This Row],[Ratio_jour_après_livr]]+Tab_Calculs[[#This Row],[Ratio_jour_avant_livr]]+Tab_Calculs[[#This Row],[ratio_avant_debut]],"")</f>
        <v/>
      </c>
      <c r="O1372" t="e">
        <f ca="1">INDEX(INDIRECT(CONCATENATE("Tab_",Tab_Calculs[[#This Row],[Colonne1]])),Tab_Calculs[[#This Row],[index_date_livraison]]-1,7)*(MAX(Tab_Calculs[[#This Row],[Début periode livraison]],Tab_Calculs[[#This Row],[Début mois]])-Tab_Calculs[[#This Row],[Début mois]])</f>
        <v>#VALUE!</v>
      </c>
      <c r="P1372">
        <f ca="1">INDEX(INDIRECT(CONCATENATE("Tab_",Tab_Calculs[[#This Row],[Colonne1]])),Tab_Calculs[[#This Row],[index_date_livraison]],7)*(1+MIN(Tab_Calculs[[#This Row],[Date_livraison]],Tab_Calculs[[#This Row],[fin mois]])-MAX(Tab_Calculs[[#This Row],[Début mois]],Tab_Calculs[[#This Row],[Début periode livraison]]))</f>
        <v>0</v>
      </c>
      <c r="Q1372" t="e">
        <f ca="1">INDEX(INDIRECT(CONCATENATE("Tab_",Tab_Calculs[[#This Row],[Colonne1]])),Tab_Calculs[[#This Row],[index_date_livraison]]+1,7)*(Tab_Calculs[[#This Row],[fin mois]]-MIN(Tab_Calculs[[#This Row],[fin mois]],Tab_Calculs[[#This Row],[Date_livraison]]))</f>
        <v>#VALUE!</v>
      </c>
      <c r="R1372" t="e">
        <f ca="1">Tab_Calculs[[#This Row],[Ratio_Cout_après_livr]]+Tab_Calculs[[#This Row],[Ratio_Cout_avant_livr]]+Tab_Calculs[[#This Row],[Ratio_Cout_avant_debut]]</f>
        <v>#VALUE!</v>
      </c>
      <c r="S1372" t="str">
        <f ca="1">IFERROR(N1372*VLOOKUP(Tab_Calculs[[#This Row],[Colonne1]],Controle_des_données!$B$7:$G$14,6,FALSE),"")</f>
        <v/>
      </c>
      <c r="T1372" t="str">
        <f ca="1">IF(Tab_Calculs[[#This Row],[Combustible ]]="Electricité (kWh)",Tab_Calculs[[#This Row],[Conso_mois_kWh]]*2.3,Tab_Calculs[[#This Row],[Conso_mois_kWh]])</f>
        <v/>
      </c>
      <c r="U1372" t="str">
        <f ca="1">IFERROR(N1372*VLOOKUP(Tab_Calculs[[#This Row],[Colonne1]],Controle_des_données!$B$7:$H$14,7,FALSE),"")</f>
        <v/>
      </c>
      <c r="V1372">
        <f ca="1">IFERROR(Tab_Calculs[[#This Row],[Cout_mois]]/Tab_Calculs[[#This Row],[Conso_mois_kWh]],0)</f>
        <v>0</v>
      </c>
      <c r="W1372" t="str">
        <f>T(VLOOKUP(Tab_Calculs[[#This Row],[Compteur]],Site!$B$33:$G$40,3,FALSE))</f>
        <v/>
      </c>
      <c r="X1372" t="str">
        <f>T(VLOOKUP(Tab_Calculs[[#This Row],[Compteur]],Site!$B$33:$G$40,4,FALSE))</f>
        <v/>
      </c>
      <c r="Y1372" t="str">
        <f>T(VLOOKUP(Tab_Calculs[[#This Row],[Compteur]],Site!$B$33:$G$40,5,FALSE))</f>
        <v/>
      </c>
      <c r="Z1372" t="str">
        <f>T(VLOOKUP(Tab_Calculs[[#This Row],[Compteur]],Site!$B$33:$G$40,6,FALSE))</f>
        <v/>
      </c>
      <c r="AA1372">
        <f>IFERROR(GETPIVOTDATA("DJU(chauffagiste)",BDD_DJU!$P$13,"annee",Tab_Calculs[[#This Row],[ANNEE]],"mois_numero",Tab_Calculs[[#This Row],[MOIS]]),0)</f>
        <v>34.700000000000003</v>
      </c>
    </row>
    <row r="1373" spans="1:27" x14ac:dyDescent="0.25">
      <c r="A1373" s="3">
        <f>DATE(Tab_Calculs[[#This Row],[ANNEE]],Tab_Calculs[[#This Row],[MOIS]],1)</f>
        <v>40787</v>
      </c>
      <c r="B1373" s="3">
        <f>EDATE(Tab_Calculs[[#This Row],[Début mois]],1)-1</f>
        <v>40816</v>
      </c>
      <c r="C1373">
        <v>9</v>
      </c>
      <c r="D1373">
        <v>2011</v>
      </c>
      <c r="E1373" t="s">
        <v>87</v>
      </c>
      <c r="F1373" t="str">
        <f>SUBSTITUTE(Tab_Calculs[[#This Row],[Compteur]]," ","_")</f>
        <v>Compteur_8</v>
      </c>
      <c r="G1373" t="str">
        <f>T(INDEX(Site!$B$33:$G$40, MATCH(Tab_Calculs[[#This Row],[Compteur]], Site!$B$33:$B$40,0),2))</f>
        <v/>
      </c>
      <c r="H1373" s="3">
        <f t="array" aca="1" ref="H1373" ca="1">MIN(IF(INDIRECT(CONCATENATE(Tab_Calculs[[#This Row],[Colonne1]],"!$B$2:$B$243"))&gt;=Calculs_Consos!$A1373,INDIRECT(CONCATENATE(Tab_Calculs[[#This Row],[Colonne1]],"!$B$2:$B$243"))))</f>
        <v>0</v>
      </c>
      <c r="I1373" s="3">
        <f ca="1">INDEX(INDIRECT(CONCATENATE("Tab_",Tab_Calculs[[#This Row],[Colonne1]])),Tab_Calculs[[#This Row],[index_date_livraison]],1)</f>
        <v>0</v>
      </c>
      <c r="J1373">
        <f ca="1">MATCH(Tab_Calculs[[#This Row],[Date_livraison]],INDIRECT(CONCATENATE("Tab_",Tab_Calculs[[#This Row],[Colonne1]],"[Fin de période]")),0)</f>
        <v>1</v>
      </c>
      <c r="K1373" t="e">
        <f ca="1">INDEX(INDIRECT(CONCATENATE("Tab_",Tab_Calculs[[#This Row],[Colonne1]])),Tab_Calculs[[#This Row],[index_date_livraison]]-1,6)*(MAX(Tab_Calculs[[#This Row],[Début periode livraison]],Tab_Calculs[[#This Row],[Début mois]])-Tab_Calculs[[#This Row],[Début mois]])</f>
        <v>#VALUE!</v>
      </c>
      <c r="L1373" s="94">
        <f ca="1">INDEX(INDIRECT(CONCATENATE("Tab_",Tab_Calculs[[#This Row],[Colonne1]])),Tab_Calculs[[#This Row],[index_date_livraison]],6)*(1+MIN(Tab_Calculs[[#This Row],[Date_livraison]],Tab_Calculs[[#This Row],[fin mois]])-MAX(Tab_Calculs[[#This Row],[Début mois]],Tab_Calculs[[#This Row],[Début periode livraison]]))</f>
        <v>0</v>
      </c>
      <c r="M1373" s="94" t="e">
        <f ca="1">INDEX(INDIRECT(CONCATENATE("Tab_",Tab_Calculs[[#This Row],[Colonne1]])),Tab_Calculs[[#This Row],[index_date_livraison]]+1,6)*(Tab_Calculs[[#This Row],[fin mois]]-MIN(Tab_Calculs[[#This Row],[fin mois]],Tab_Calculs[[#This Row],[Date_livraison]]))</f>
        <v>#VALUE!</v>
      </c>
      <c r="N1373" s="231" t="str">
        <f ca="1">IFERROR(Tab_Calculs[[#This Row],[Ratio_jour_après_livr]]+Tab_Calculs[[#This Row],[Ratio_jour_avant_livr]]+Tab_Calculs[[#This Row],[ratio_avant_debut]],"")</f>
        <v/>
      </c>
      <c r="O1373" t="e">
        <f ca="1">INDEX(INDIRECT(CONCATENATE("Tab_",Tab_Calculs[[#This Row],[Colonne1]])),Tab_Calculs[[#This Row],[index_date_livraison]]-1,7)*(MAX(Tab_Calculs[[#This Row],[Début periode livraison]],Tab_Calculs[[#This Row],[Début mois]])-Tab_Calculs[[#This Row],[Début mois]])</f>
        <v>#VALUE!</v>
      </c>
      <c r="P1373">
        <f ca="1">INDEX(INDIRECT(CONCATENATE("Tab_",Tab_Calculs[[#This Row],[Colonne1]])),Tab_Calculs[[#This Row],[index_date_livraison]],7)*(1+MIN(Tab_Calculs[[#This Row],[Date_livraison]],Tab_Calculs[[#This Row],[fin mois]])-MAX(Tab_Calculs[[#This Row],[Début mois]],Tab_Calculs[[#This Row],[Début periode livraison]]))</f>
        <v>0</v>
      </c>
      <c r="Q1373" t="e">
        <f ca="1">INDEX(INDIRECT(CONCATENATE("Tab_",Tab_Calculs[[#This Row],[Colonne1]])),Tab_Calculs[[#This Row],[index_date_livraison]]+1,7)*(Tab_Calculs[[#This Row],[fin mois]]-MIN(Tab_Calculs[[#This Row],[fin mois]],Tab_Calculs[[#This Row],[Date_livraison]]))</f>
        <v>#VALUE!</v>
      </c>
      <c r="R1373" t="e">
        <f ca="1">Tab_Calculs[[#This Row],[Ratio_Cout_après_livr]]+Tab_Calculs[[#This Row],[Ratio_Cout_avant_livr]]+Tab_Calculs[[#This Row],[Ratio_Cout_avant_debut]]</f>
        <v>#VALUE!</v>
      </c>
      <c r="S1373" t="str">
        <f ca="1">IFERROR(N1373*VLOOKUP(Tab_Calculs[[#This Row],[Colonne1]],Controle_des_données!$B$7:$G$14,6,FALSE),"")</f>
        <v/>
      </c>
      <c r="T1373" t="str">
        <f ca="1">IF(Tab_Calculs[[#This Row],[Combustible ]]="Electricité (kWh)",Tab_Calculs[[#This Row],[Conso_mois_kWh]]*2.3,Tab_Calculs[[#This Row],[Conso_mois_kWh]])</f>
        <v/>
      </c>
      <c r="U1373" t="str">
        <f ca="1">IFERROR(N1373*VLOOKUP(Tab_Calculs[[#This Row],[Colonne1]],Controle_des_données!$B$7:$H$14,7,FALSE),"")</f>
        <v/>
      </c>
      <c r="V1373">
        <f ca="1">IFERROR(Tab_Calculs[[#This Row],[Cout_mois]]/Tab_Calculs[[#This Row],[Conso_mois_kWh]],0)</f>
        <v>0</v>
      </c>
      <c r="W1373" t="str">
        <f>T(VLOOKUP(Tab_Calculs[[#This Row],[Compteur]],Site!$B$33:$G$40,3,FALSE))</f>
        <v/>
      </c>
      <c r="X1373" t="str">
        <f>T(VLOOKUP(Tab_Calculs[[#This Row],[Compteur]],Site!$B$33:$G$40,4,FALSE))</f>
        <v/>
      </c>
      <c r="Y1373" t="str">
        <f>T(VLOOKUP(Tab_Calculs[[#This Row],[Compteur]],Site!$B$33:$G$40,5,FALSE))</f>
        <v/>
      </c>
      <c r="Z1373" t="str">
        <f>T(VLOOKUP(Tab_Calculs[[#This Row],[Compteur]],Site!$B$33:$G$40,6,FALSE))</f>
        <v/>
      </c>
      <c r="AA1373">
        <f>IFERROR(GETPIVOTDATA("DJU(chauffagiste)",BDD_DJU!$P$13,"annee",Tab_Calculs[[#This Row],[ANNEE]],"mois_numero",Tab_Calculs[[#This Row],[MOIS]]),0)</f>
        <v>51.3</v>
      </c>
    </row>
    <row r="1374" spans="1:27" x14ac:dyDescent="0.25">
      <c r="A1374" s="3">
        <f>DATE(Tab_Calculs[[#This Row],[ANNEE]],Tab_Calculs[[#This Row],[MOIS]],1)</f>
        <v>40817</v>
      </c>
      <c r="B1374" s="3">
        <f>EDATE(Tab_Calculs[[#This Row],[Début mois]],1)-1</f>
        <v>40847</v>
      </c>
      <c r="C1374">
        <v>10</v>
      </c>
      <c r="D1374">
        <v>2011</v>
      </c>
      <c r="E1374" t="s">
        <v>87</v>
      </c>
      <c r="F1374" t="str">
        <f>SUBSTITUTE(Tab_Calculs[[#This Row],[Compteur]]," ","_")</f>
        <v>Compteur_8</v>
      </c>
      <c r="G1374" t="str">
        <f>T(INDEX(Site!$B$33:$G$40, MATCH(Tab_Calculs[[#This Row],[Compteur]], Site!$B$33:$B$40,0),2))</f>
        <v/>
      </c>
      <c r="H1374" s="3">
        <f t="array" aca="1" ref="H1374" ca="1">MIN(IF(INDIRECT(CONCATENATE(Tab_Calculs[[#This Row],[Colonne1]],"!$B$2:$B$243"))&gt;=Calculs_Consos!$A1374,INDIRECT(CONCATENATE(Tab_Calculs[[#This Row],[Colonne1]],"!$B$2:$B$243"))))</f>
        <v>0</v>
      </c>
      <c r="I1374" s="3">
        <f ca="1">INDEX(INDIRECT(CONCATENATE("Tab_",Tab_Calculs[[#This Row],[Colonne1]])),Tab_Calculs[[#This Row],[index_date_livraison]],1)</f>
        <v>0</v>
      </c>
      <c r="J1374">
        <f ca="1">MATCH(Tab_Calculs[[#This Row],[Date_livraison]],INDIRECT(CONCATENATE("Tab_",Tab_Calculs[[#This Row],[Colonne1]],"[Fin de période]")),0)</f>
        <v>1</v>
      </c>
      <c r="K1374" t="e">
        <f ca="1">INDEX(INDIRECT(CONCATENATE("Tab_",Tab_Calculs[[#This Row],[Colonne1]])),Tab_Calculs[[#This Row],[index_date_livraison]]-1,6)*(MAX(Tab_Calculs[[#This Row],[Début periode livraison]],Tab_Calculs[[#This Row],[Début mois]])-Tab_Calculs[[#This Row],[Début mois]])</f>
        <v>#VALUE!</v>
      </c>
      <c r="L1374" s="94">
        <f ca="1">INDEX(INDIRECT(CONCATENATE("Tab_",Tab_Calculs[[#This Row],[Colonne1]])),Tab_Calculs[[#This Row],[index_date_livraison]],6)*(1+MIN(Tab_Calculs[[#This Row],[Date_livraison]],Tab_Calculs[[#This Row],[fin mois]])-MAX(Tab_Calculs[[#This Row],[Début mois]],Tab_Calculs[[#This Row],[Début periode livraison]]))</f>
        <v>0</v>
      </c>
      <c r="M1374" s="94" t="e">
        <f ca="1">INDEX(INDIRECT(CONCATENATE("Tab_",Tab_Calculs[[#This Row],[Colonne1]])),Tab_Calculs[[#This Row],[index_date_livraison]]+1,6)*(Tab_Calculs[[#This Row],[fin mois]]-MIN(Tab_Calculs[[#This Row],[fin mois]],Tab_Calculs[[#This Row],[Date_livraison]]))</f>
        <v>#VALUE!</v>
      </c>
      <c r="N1374" s="231" t="str">
        <f ca="1">IFERROR(Tab_Calculs[[#This Row],[Ratio_jour_après_livr]]+Tab_Calculs[[#This Row],[Ratio_jour_avant_livr]]+Tab_Calculs[[#This Row],[ratio_avant_debut]],"")</f>
        <v/>
      </c>
      <c r="O1374" t="e">
        <f ca="1">INDEX(INDIRECT(CONCATENATE("Tab_",Tab_Calculs[[#This Row],[Colonne1]])),Tab_Calculs[[#This Row],[index_date_livraison]]-1,7)*(MAX(Tab_Calculs[[#This Row],[Début periode livraison]],Tab_Calculs[[#This Row],[Début mois]])-Tab_Calculs[[#This Row],[Début mois]])</f>
        <v>#VALUE!</v>
      </c>
      <c r="P1374">
        <f ca="1">INDEX(INDIRECT(CONCATENATE("Tab_",Tab_Calculs[[#This Row],[Colonne1]])),Tab_Calculs[[#This Row],[index_date_livraison]],7)*(1+MIN(Tab_Calculs[[#This Row],[Date_livraison]],Tab_Calculs[[#This Row],[fin mois]])-MAX(Tab_Calculs[[#This Row],[Début mois]],Tab_Calculs[[#This Row],[Début periode livraison]]))</f>
        <v>0</v>
      </c>
      <c r="Q1374" t="e">
        <f ca="1">INDEX(INDIRECT(CONCATENATE("Tab_",Tab_Calculs[[#This Row],[Colonne1]])),Tab_Calculs[[#This Row],[index_date_livraison]]+1,7)*(Tab_Calculs[[#This Row],[fin mois]]-MIN(Tab_Calculs[[#This Row],[fin mois]],Tab_Calculs[[#This Row],[Date_livraison]]))</f>
        <v>#VALUE!</v>
      </c>
      <c r="R1374" t="e">
        <f ca="1">Tab_Calculs[[#This Row],[Ratio_Cout_après_livr]]+Tab_Calculs[[#This Row],[Ratio_Cout_avant_livr]]+Tab_Calculs[[#This Row],[Ratio_Cout_avant_debut]]</f>
        <v>#VALUE!</v>
      </c>
      <c r="S1374" t="str">
        <f ca="1">IFERROR(N1374*VLOOKUP(Tab_Calculs[[#This Row],[Colonne1]],Controle_des_données!$B$7:$G$14,6,FALSE),"")</f>
        <v/>
      </c>
      <c r="T1374" t="str">
        <f ca="1">IF(Tab_Calculs[[#This Row],[Combustible ]]="Electricité (kWh)",Tab_Calculs[[#This Row],[Conso_mois_kWh]]*2.3,Tab_Calculs[[#This Row],[Conso_mois_kWh]])</f>
        <v/>
      </c>
      <c r="U1374" t="str">
        <f ca="1">IFERROR(N1374*VLOOKUP(Tab_Calculs[[#This Row],[Colonne1]],Controle_des_données!$B$7:$H$14,7,FALSE),"")</f>
        <v/>
      </c>
      <c r="V1374">
        <f ca="1">IFERROR(Tab_Calculs[[#This Row],[Cout_mois]]/Tab_Calculs[[#This Row],[Conso_mois_kWh]],0)</f>
        <v>0</v>
      </c>
      <c r="W1374" t="str">
        <f>T(VLOOKUP(Tab_Calculs[[#This Row],[Compteur]],Site!$B$33:$G$40,3,FALSE))</f>
        <v/>
      </c>
      <c r="X1374" t="str">
        <f>T(VLOOKUP(Tab_Calculs[[#This Row],[Compteur]],Site!$B$33:$G$40,4,FALSE))</f>
        <v/>
      </c>
      <c r="Y1374" t="str">
        <f>T(VLOOKUP(Tab_Calculs[[#This Row],[Compteur]],Site!$B$33:$G$40,5,FALSE))</f>
        <v/>
      </c>
      <c r="Z1374" t="str">
        <f>T(VLOOKUP(Tab_Calculs[[#This Row],[Compteur]],Site!$B$33:$G$40,6,FALSE))</f>
        <v/>
      </c>
      <c r="AA1374">
        <f>IFERROR(GETPIVOTDATA("DJU(chauffagiste)",BDD_DJU!$P$13,"annee",Tab_Calculs[[#This Row],[ANNEE]],"mois_numero",Tab_Calculs[[#This Row],[MOIS]]),0)</f>
        <v>145.6</v>
      </c>
    </row>
    <row r="1375" spans="1:27" x14ac:dyDescent="0.25">
      <c r="A1375" s="3">
        <f>DATE(Tab_Calculs[[#This Row],[ANNEE]],Tab_Calculs[[#This Row],[MOIS]],1)</f>
        <v>40848</v>
      </c>
      <c r="B1375" s="3">
        <f>EDATE(Tab_Calculs[[#This Row],[Début mois]],1)-1</f>
        <v>40877</v>
      </c>
      <c r="C1375">
        <v>11</v>
      </c>
      <c r="D1375">
        <v>2011</v>
      </c>
      <c r="E1375" t="s">
        <v>87</v>
      </c>
      <c r="F1375" t="str">
        <f>SUBSTITUTE(Tab_Calculs[[#This Row],[Compteur]]," ","_")</f>
        <v>Compteur_8</v>
      </c>
      <c r="G1375" t="str">
        <f>T(INDEX(Site!$B$33:$G$40, MATCH(Tab_Calculs[[#This Row],[Compteur]], Site!$B$33:$B$40,0),2))</f>
        <v/>
      </c>
      <c r="H1375" s="3">
        <f t="array" aca="1" ref="H1375" ca="1">MIN(IF(INDIRECT(CONCATENATE(Tab_Calculs[[#This Row],[Colonne1]],"!$B$2:$B$243"))&gt;=Calculs_Consos!$A1375,INDIRECT(CONCATENATE(Tab_Calculs[[#This Row],[Colonne1]],"!$B$2:$B$243"))))</f>
        <v>0</v>
      </c>
      <c r="I1375" s="3">
        <f ca="1">INDEX(INDIRECT(CONCATENATE("Tab_",Tab_Calculs[[#This Row],[Colonne1]])),Tab_Calculs[[#This Row],[index_date_livraison]],1)</f>
        <v>0</v>
      </c>
      <c r="J1375">
        <f ca="1">MATCH(Tab_Calculs[[#This Row],[Date_livraison]],INDIRECT(CONCATENATE("Tab_",Tab_Calculs[[#This Row],[Colonne1]],"[Fin de période]")),0)</f>
        <v>1</v>
      </c>
      <c r="K1375" t="e">
        <f ca="1">INDEX(INDIRECT(CONCATENATE("Tab_",Tab_Calculs[[#This Row],[Colonne1]])),Tab_Calculs[[#This Row],[index_date_livraison]]-1,6)*(MAX(Tab_Calculs[[#This Row],[Début periode livraison]],Tab_Calculs[[#This Row],[Début mois]])-Tab_Calculs[[#This Row],[Début mois]])</f>
        <v>#VALUE!</v>
      </c>
      <c r="L1375" s="94">
        <f ca="1">INDEX(INDIRECT(CONCATENATE("Tab_",Tab_Calculs[[#This Row],[Colonne1]])),Tab_Calculs[[#This Row],[index_date_livraison]],6)*(1+MIN(Tab_Calculs[[#This Row],[Date_livraison]],Tab_Calculs[[#This Row],[fin mois]])-MAX(Tab_Calculs[[#This Row],[Début mois]],Tab_Calculs[[#This Row],[Début periode livraison]]))</f>
        <v>0</v>
      </c>
      <c r="M1375" s="94" t="e">
        <f ca="1">INDEX(INDIRECT(CONCATENATE("Tab_",Tab_Calculs[[#This Row],[Colonne1]])),Tab_Calculs[[#This Row],[index_date_livraison]]+1,6)*(Tab_Calculs[[#This Row],[fin mois]]-MIN(Tab_Calculs[[#This Row],[fin mois]],Tab_Calculs[[#This Row],[Date_livraison]]))</f>
        <v>#VALUE!</v>
      </c>
      <c r="N1375" s="231" t="str">
        <f ca="1">IFERROR(Tab_Calculs[[#This Row],[Ratio_jour_après_livr]]+Tab_Calculs[[#This Row],[Ratio_jour_avant_livr]]+Tab_Calculs[[#This Row],[ratio_avant_debut]],"")</f>
        <v/>
      </c>
      <c r="O1375" t="e">
        <f ca="1">INDEX(INDIRECT(CONCATENATE("Tab_",Tab_Calculs[[#This Row],[Colonne1]])),Tab_Calculs[[#This Row],[index_date_livraison]]-1,7)*(MAX(Tab_Calculs[[#This Row],[Début periode livraison]],Tab_Calculs[[#This Row],[Début mois]])-Tab_Calculs[[#This Row],[Début mois]])</f>
        <v>#VALUE!</v>
      </c>
      <c r="P1375">
        <f ca="1">INDEX(INDIRECT(CONCATENATE("Tab_",Tab_Calculs[[#This Row],[Colonne1]])),Tab_Calculs[[#This Row],[index_date_livraison]],7)*(1+MIN(Tab_Calculs[[#This Row],[Date_livraison]],Tab_Calculs[[#This Row],[fin mois]])-MAX(Tab_Calculs[[#This Row],[Début mois]],Tab_Calculs[[#This Row],[Début periode livraison]]))</f>
        <v>0</v>
      </c>
      <c r="Q1375" t="e">
        <f ca="1">INDEX(INDIRECT(CONCATENATE("Tab_",Tab_Calculs[[#This Row],[Colonne1]])),Tab_Calculs[[#This Row],[index_date_livraison]]+1,7)*(Tab_Calculs[[#This Row],[fin mois]]-MIN(Tab_Calculs[[#This Row],[fin mois]],Tab_Calculs[[#This Row],[Date_livraison]]))</f>
        <v>#VALUE!</v>
      </c>
      <c r="R1375" t="e">
        <f ca="1">Tab_Calculs[[#This Row],[Ratio_Cout_après_livr]]+Tab_Calculs[[#This Row],[Ratio_Cout_avant_livr]]+Tab_Calculs[[#This Row],[Ratio_Cout_avant_debut]]</f>
        <v>#VALUE!</v>
      </c>
      <c r="S1375" t="str">
        <f ca="1">IFERROR(N1375*VLOOKUP(Tab_Calculs[[#This Row],[Colonne1]],Controle_des_données!$B$7:$G$14,6,FALSE),"")</f>
        <v/>
      </c>
      <c r="T1375" t="str">
        <f ca="1">IF(Tab_Calculs[[#This Row],[Combustible ]]="Electricité (kWh)",Tab_Calculs[[#This Row],[Conso_mois_kWh]]*2.3,Tab_Calculs[[#This Row],[Conso_mois_kWh]])</f>
        <v/>
      </c>
      <c r="U1375" t="str">
        <f ca="1">IFERROR(N1375*VLOOKUP(Tab_Calculs[[#This Row],[Colonne1]],Controle_des_données!$B$7:$H$14,7,FALSE),"")</f>
        <v/>
      </c>
      <c r="V1375">
        <f ca="1">IFERROR(Tab_Calculs[[#This Row],[Cout_mois]]/Tab_Calculs[[#This Row],[Conso_mois_kWh]],0)</f>
        <v>0</v>
      </c>
      <c r="W1375" t="str">
        <f>T(VLOOKUP(Tab_Calculs[[#This Row],[Compteur]],Site!$B$33:$G$40,3,FALSE))</f>
        <v/>
      </c>
      <c r="X1375" t="str">
        <f>T(VLOOKUP(Tab_Calculs[[#This Row],[Compteur]],Site!$B$33:$G$40,4,FALSE))</f>
        <v/>
      </c>
      <c r="Y1375" t="str">
        <f>T(VLOOKUP(Tab_Calculs[[#This Row],[Compteur]],Site!$B$33:$G$40,5,FALSE))</f>
        <v/>
      </c>
      <c r="Z1375" t="str">
        <f>T(VLOOKUP(Tab_Calculs[[#This Row],[Compteur]],Site!$B$33:$G$40,6,FALSE))</f>
        <v/>
      </c>
      <c r="AA1375">
        <f>IFERROR(GETPIVOTDATA("DJU(chauffagiste)",BDD_DJU!$P$13,"annee",Tab_Calculs[[#This Row],[ANNEE]],"mois_numero",Tab_Calculs[[#This Row],[MOIS]]),0)</f>
        <v>205.3</v>
      </c>
    </row>
    <row r="1376" spans="1:27" x14ac:dyDescent="0.25">
      <c r="A1376" s="3">
        <f>DATE(Tab_Calculs[[#This Row],[ANNEE]],Tab_Calculs[[#This Row],[MOIS]],1)</f>
        <v>40878</v>
      </c>
      <c r="B1376" s="3">
        <f>EDATE(Tab_Calculs[[#This Row],[Début mois]],1)-1</f>
        <v>40908</v>
      </c>
      <c r="C1376">
        <v>12</v>
      </c>
      <c r="D1376">
        <v>2011</v>
      </c>
      <c r="E1376" t="s">
        <v>87</v>
      </c>
      <c r="F1376" t="str">
        <f>SUBSTITUTE(Tab_Calculs[[#This Row],[Compteur]]," ","_")</f>
        <v>Compteur_8</v>
      </c>
      <c r="G1376" t="str">
        <f>T(INDEX(Site!$B$33:$G$40, MATCH(Tab_Calculs[[#This Row],[Compteur]], Site!$B$33:$B$40,0),2))</f>
        <v/>
      </c>
      <c r="H1376" s="3">
        <f t="array" aca="1" ref="H1376" ca="1">MIN(IF(INDIRECT(CONCATENATE(Tab_Calculs[[#This Row],[Colonne1]],"!$B$2:$B$243"))&gt;=Calculs_Consos!$A1376,INDIRECT(CONCATENATE(Tab_Calculs[[#This Row],[Colonne1]],"!$B$2:$B$243"))))</f>
        <v>0</v>
      </c>
      <c r="I1376" s="3">
        <f ca="1">INDEX(INDIRECT(CONCATENATE("Tab_",Tab_Calculs[[#This Row],[Colonne1]])),Tab_Calculs[[#This Row],[index_date_livraison]],1)</f>
        <v>0</v>
      </c>
      <c r="J1376">
        <f ca="1">MATCH(Tab_Calculs[[#This Row],[Date_livraison]],INDIRECT(CONCATENATE("Tab_",Tab_Calculs[[#This Row],[Colonne1]],"[Fin de période]")),0)</f>
        <v>1</v>
      </c>
      <c r="K1376" t="e">
        <f ca="1">INDEX(INDIRECT(CONCATENATE("Tab_",Tab_Calculs[[#This Row],[Colonne1]])),Tab_Calculs[[#This Row],[index_date_livraison]]-1,6)*(MAX(Tab_Calculs[[#This Row],[Début periode livraison]],Tab_Calculs[[#This Row],[Début mois]])-Tab_Calculs[[#This Row],[Début mois]])</f>
        <v>#VALUE!</v>
      </c>
      <c r="L1376" s="94">
        <f ca="1">INDEX(INDIRECT(CONCATENATE("Tab_",Tab_Calculs[[#This Row],[Colonne1]])),Tab_Calculs[[#This Row],[index_date_livraison]],6)*(1+MIN(Tab_Calculs[[#This Row],[Date_livraison]],Tab_Calculs[[#This Row],[fin mois]])-MAX(Tab_Calculs[[#This Row],[Début mois]],Tab_Calculs[[#This Row],[Début periode livraison]]))</f>
        <v>0</v>
      </c>
      <c r="M1376" s="94" t="e">
        <f ca="1">INDEX(INDIRECT(CONCATENATE("Tab_",Tab_Calculs[[#This Row],[Colonne1]])),Tab_Calculs[[#This Row],[index_date_livraison]]+1,6)*(Tab_Calculs[[#This Row],[fin mois]]-MIN(Tab_Calculs[[#This Row],[fin mois]],Tab_Calculs[[#This Row],[Date_livraison]]))</f>
        <v>#VALUE!</v>
      </c>
      <c r="N1376" s="231" t="str">
        <f ca="1">IFERROR(Tab_Calculs[[#This Row],[Ratio_jour_après_livr]]+Tab_Calculs[[#This Row],[Ratio_jour_avant_livr]]+Tab_Calculs[[#This Row],[ratio_avant_debut]],"")</f>
        <v/>
      </c>
      <c r="O1376" t="e">
        <f ca="1">INDEX(INDIRECT(CONCATENATE("Tab_",Tab_Calculs[[#This Row],[Colonne1]])),Tab_Calculs[[#This Row],[index_date_livraison]]-1,7)*(MAX(Tab_Calculs[[#This Row],[Début periode livraison]],Tab_Calculs[[#This Row],[Début mois]])-Tab_Calculs[[#This Row],[Début mois]])</f>
        <v>#VALUE!</v>
      </c>
      <c r="P1376">
        <f ca="1">INDEX(INDIRECT(CONCATENATE("Tab_",Tab_Calculs[[#This Row],[Colonne1]])),Tab_Calculs[[#This Row],[index_date_livraison]],7)*(1+MIN(Tab_Calculs[[#This Row],[Date_livraison]],Tab_Calculs[[#This Row],[fin mois]])-MAX(Tab_Calculs[[#This Row],[Début mois]],Tab_Calculs[[#This Row],[Début periode livraison]]))</f>
        <v>0</v>
      </c>
      <c r="Q1376" t="e">
        <f ca="1">INDEX(INDIRECT(CONCATENATE("Tab_",Tab_Calculs[[#This Row],[Colonne1]])),Tab_Calculs[[#This Row],[index_date_livraison]]+1,7)*(Tab_Calculs[[#This Row],[fin mois]]-MIN(Tab_Calculs[[#This Row],[fin mois]],Tab_Calculs[[#This Row],[Date_livraison]]))</f>
        <v>#VALUE!</v>
      </c>
      <c r="R1376" t="e">
        <f ca="1">Tab_Calculs[[#This Row],[Ratio_Cout_après_livr]]+Tab_Calculs[[#This Row],[Ratio_Cout_avant_livr]]+Tab_Calculs[[#This Row],[Ratio_Cout_avant_debut]]</f>
        <v>#VALUE!</v>
      </c>
      <c r="S1376" t="str">
        <f ca="1">IFERROR(N1376*VLOOKUP(Tab_Calculs[[#This Row],[Colonne1]],Controle_des_données!$B$7:$G$14,6,FALSE),"")</f>
        <v/>
      </c>
      <c r="T1376" t="str">
        <f ca="1">IF(Tab_Calculs[[#This Row],[Combustible ]]="Electricité (kWh)",Tab_Calculs[[#This Row],[Conso_mois_kWh]]*2.3,Tab_Calculs[[#This Row],[Conso_mois_kWh]])</f>
        <v/>
      </c>
      <c r="U1376" t="str">
        <f ca="1">IFERROR(N1376*VLOOKUP(Tab_Calculs[[#This Row],[Colonne1]],Controle_des_données!$B$7:$H$14,7,FALSE),"")</f>
        <v/>
      </c>
      <c r="V1376">
        <f ca="1">IFERROR(Tab_Calculs[[#This Row],[Cout_mois]]/Tab_Calculs[[#This Row],[Conso_mois_kWh]],0)</f>
        <v>0</v>
      </c>
      <c r="W1376" t="str">
        <f>T(VLOOKUP(Tab_Calculs[[#This Row],[Compteur]],Site!$B$33:$G$40,3,FALSE))</f>
        <v/>
      </c>
      <c r="X1376" t="str">
        <f>T(VLOOKUP(Tab_Calculs[[#This Row],[Compteur]],Site!$B$33:$G$40,4,FALSE))</f>
        <v/>
      </c>
      <c r="Y1376" t="str">
        <f>T(VLOOKUP(Tab_Calculs[[#This Row],[Compteur]],Site!$B$33:$G$40,5,FALSE))</f>
        <v/>
      </c>
      <c r="Z1376" t="str">
        <f>T(VLOOKUP(Tab_Calculs[[#This Row],[Compteur]],Site!$B$33:$G$40,6,FALSE))</f>
        <v/>
      </c>
      <c r="AA1376">
        <f>IFERROR(GETPIVOTDATA("DJU(chauffagiste)",BDD_DJU!$P$13,"annee",Tab_Calculs[[#This Row],[ANNEE]],"mois_numero",Tab_Calculs[[#This Row],[MOIS]]),0)</f>
        <v>307.5</v>
      </c>
    </row>
    <row r="1377" spans="1:27" x14ac:dyDescent="0.25">
      <c r="A1377" s="3">
        <f>DATE(Tab_Calculs[[#This Row],[ANNEE]],Tab_Calculs[[#This Row],[MOIS]],1)</f>
        <v>40909</v>
      </c>
      <c r="B1377" s="3">
        <f>EDATE(Tab_Calculs[[#This Row],[Début mois]],1)-1</f>
        <v>40939</v>
      </c>
      <c r="C1377">
        <v>1</v>
      </c>
      <c r="D1377">
        <v>2012</v>
      </c>
      <c r="E1377" t="s">
        <v>87</v>
      </c>
      <c r="F1377" t="str">
        <f>SUBSTITUTE(Tab_Calculs[[#This Row],[Compteur]]," ","_")</f>
        <v>Compteur_8</v>
      </c>
      <c r="G1377" t="str">
        <f>T(INDEX(Site!$B$33:$G$40, MATCH(Tab_Calculs[[#This Row],[Compteur]], Site!$B$33:$B$40,0),2))</f>
        <v/>
      </c>
      <c r="H1377" s="3">
        <f t="array" aca="1" ref="H1377" ca="1">MIN(IF(INDIRECT(CONCATENATE(Tab_Calculs[[#This Row],[Colonne1]],"!$B$2:$B$243"))&gt;=Calculs_Consos!$A1377,INDIRECT(CONCATENATE(Tab_Calculs[[#This Row],[Colonne1]],"!$B$2:$B$243"))))</f>
        <v>0</v>
      </c>
      <c r="I1377" s="3">
        <f ca="1">INDEX(INDIRECT(CONCATENATE("Tab_",Tab_Calculs[[#This Row],[Colonne1]])),Tab_Calculs[[#This Row],[index_date_livraison]],1)</f>
        <v>0</v>
      </c>
      <c r="J1377">
        <f ca="1">MATCH(Tab_Calculs[[#This Row],[Date_livraison]],INDIRECT(CONCATENATE("Tab_",Tab_Calculs[[#This Row],[Colonne1]],"[Fin de période]")),0)</f>
        <v>1</v>
      </c>
      <c r="K1377" t="e">
        <f ca="1">INDEX(INDIRECT(CONCATENATE("Tab_",Tab_Calculs[[#This Row],[Colonne1]])),Tab_Calculs[[#This Row],[index_date_livraison]]-1,6)*(MAX(Tab_Calculs[[#This Row],[Début periode livraison]],Tab_Calculs[[#This Row],[Début mois]])-Tab_Calculs[[#This Row],[Début mois]])</f>
        <v>#VALUE!</v>
      </c>
      <c r="L1377" s="94">
        <f ca="1">INDEX(INDIRECT(CONCATENATE("Tab_",Tab_Calculs[[#This Row],[Colonne1]])),Tab_Calculs[[#This Row],[index_date_livraison]],6)*(1+MIN(Tab_Calculs[[#This Row],[Date_livraison]],Tab_Calculs[[#This Row],[fin mois]])-MAX(Tab_Calculs[[#This Row],[Début mois]],Tab_Calculs[[#This Row],[Début periode livraison]]))</f>
        <v>0</v>
      </c>
      <c r="M1377" s="94" t="e">
        <f ca="1">INDEX(INDIRECT(CONCATENATE("Tab_",Tab_Calculs[[#This Row],[Colonne1]])),Tab_Calculs[[#This Row],[index_date_livraison]]+1,6)*(Tab_Calculs[[#This Row],[fin mois]]-MIN(Tab_Calculs[[#This Row],[fin mois]],Tab_Calculs[[#This Row],[Date_livraison]]))</f>
        <v>#VALUE!</v>
      </c>
      <c r="N1377" s="231" t="str">
        <f ca="1">IFERROR(Tab_Calculs[[#This Row],[Ratio_jour_après_livr]]+Tab_Calculs[[#This Row],[Ratio_jour_avant_livr]]+Tab_Calculs[[#This Row],[ratio_avant_debut]],"")</f>
        <v/>
      </c>
      <c r="O1377" t="e">
        <f ca="1">INDEX(INDIRECT(CONCATENATE("Tab_",Tab_Calculs[[#This Row],[Colonne1]])),Tab_Calculs[[#This Row],[index_date_livraison]]-1,7)*(MAX(Tab_Calculs[[#This Row],[Début periode livraison]],Tab_Calculs[[#This Row],[Début mois]])-Tab_Calculs[[#This Row],[Début mois]])</f>
        <v>#VALUE!</v>
      </c>
      <c r="P1377">
        <f ca="1">INDEX(INDIRECT(CONCATENATE("Tab_",Tab_Calculs[[#This Row],[Colonne1]])),Tab_Calculs[[#This Row],[index_date_livraison]],7)*(1+MIN(Tab_Calculs[[#This Row],[Date_livraison]],Tab_Calculs[[#This Row],[fin mois]])-MAX(Tab_Calculs[[#This Row],[Début mois]],Tab_Calculs[[#This Row],[Début periode livraison]]))</f>
        <v>0</v>
      </c>
      <c r="Q1377" t="e">
        <f ca="1">INDEX(INDIRECT(CONCATENATE("Tab_",Tab_Calculs[[#This Row],[Colonne1]])),Tab_Calculs[[#This Row],[index_date_livraison]]+1,7)*(Tab_Calculs[[#This Row],[fin mois]]-MIN(Tab_Calculs[[#This Row],[fin mois]],Tab_Calculs[[#This Row],[Date_livraison]]))</f>
        <v>#VALUE!</v>
      </c>
      <c r="R1377" t="e">
        <f ca="1">Tab_Calculs[[#This Row],[Ratio_Cout_après_livr]]+Tab_Calculs[[#This Row],[Ratio_Cout_avant_livr]]+Tab_Calculs[[#This Row],[Ratio_Cout_avant_debut]]</f>
        <v>#VALUE!</v>
      </c>
      <c r="S1377" t="str">
        <f ca="1">IFERROR(N1377*VLOOKUP(Tab_Calculs[[#This Row],[Colonne1]],Controle_des_données!$B$7:$G$14,6,FALSE),"")</f>
        <v/>
      </c>
      <c r="T1377" t="str">
        <f ca="1">IF(Tab_Calculs[[#This Row],[Combustible ]]="Electricité (kWh)",Tab_Calculs[[#This Row],[Conso_mois_kWh]]*2.3,Tab_Calculs[[#This Row],[Conso_mois_kWh]])</f>
        <v/>
      </c>
      <c r="U1377" t="str">
        <f ca="1">IFERROR(N1377*VLOOKUP(Tab_Calculs[[#This Row],[Colonne1]],Controle_des_données!$B$7:$H$14,7,FALSE),"")</f>
        <v/>
      </c>
      <c r="V1377">
        <f ca="1">IFERROR(Tab_Calculs[[#This Row],[Cout_mois]]/Tab_Calculs[[#This Row],[Conso_mois_kWh]],0)</f>
        <v>0</v>
      </c>
      <c r="W1377" t="str">
        <f>T(VLOOKUP(Tab_Calculs[[#This Row],[Compteur]],Site!$B$33:$G$40,3,FALSE))</f>
        <v/>
      </c>
      <c r="X1377" t="str">
        <f>T(VLOOKUP(Tab_Calculs[[#This Row],[Compteur]],Site!$B$33:$G$40,4,FALSE))</f>
        <v/>
      </c>
      <c r="Y1377" t="str">
        <f>T(VLOOKUP(Tab_Calculs[[#This Row],[Compteur]],Site!$B$33:$G$40,5,FALSE))</f>
        <v/>
      </c>
      <c r="Z1377" t="str">
        <f>T(VLOOKUP(Tab_Calculs[[#This Row],[Compteur]],Site!$B$33:$G$40,6,FALSE))</f>
        <v/>
      </c>
      <c r="AA1377">
        <f>IFERROR(GETPIVOTDATA("DJU(chauffagiste)",BDD_DJU!$P$13,"annee",Tab_Calculs[[#This Row],[ANNEE]],"mois_numero",Tab_Calculs[[#This Row],[MOIS]]),0)</f>
        <v>348.8</v>
      </c>
    </row>
    <row r="1378" spans="1:27" x14ac:dyDescent="0.25">
      <c r="A1378" s="3">
        <f>DATE(Tab_Calculs[[#This Row],[ANNEE]],Tab_Calculs[[#This Row],[MOIS]],1)</f>
        <v>40940</v>
      </c>
      <c r="B1378" s="3">
        <f>EDATE(Tab_Calculs[[#This Row],[Début mois]],1)-1</f>
        <v>40968</v>
      </c>
      <c r="C1378">
        <v>2</v>
      </c>
      <c r="D1378">
        <v>2012</v>
      </c>
      <c r="E1378" t="s">
        <v>87</v>
      </c>
      <c r="F1378" t="str">
        <f>SUBSTITUTE(Tab_Calculs[[#This Row],[Compteur]]," ","_")</f>
        <v>Compteur_8</v>
      </c>
      <c r="G1378" t="str">
        <f>T(INDEX(Site!$B$33:$G$40, MATCH(Tab_Calculs[[#This Row],[Compteur]], Site!$B$33:$B$40,0),2))</f>
        <v/>
      </c>
      <c r="H1378" s="3">
        <f t="array" aca="1" ref="H1378" ca="1">MIN(IF(INDIRECT(CONCATENATE(Tab_Calculs[[#This Row],[Colonne1]],"!$B$2:$B$243"))&gt;=Calculs_Consos!$A1378,INDIRECT(CONCATENATE(Tab_Calculs[[#This Row],[Colonne1]],"!$B$2:$B$243"))))</f>
        <v>0</v>
      </c>
      <c r="I1378" s="3">
        <f ca="1">INDEX(INDIRECT(CONCATENATE("Tab_",Tab_Calculs[[#This Row],[Colonne1]])),Tab_Calculs[[#This Row],[index_date_livraison]],1)</f>
        <v>0</v>
      </c>
      <c r="J1378">
        <f ca="1">MATCH(Tab_Calculs[[#This Row],[Date_livraison]],INDIRECT(CONCATENATE("Tab_",Tab_Calculs[[#This Row],[Colonne1]],"[Fin de période]")),0)</f>
        <v>1</v>
      </c>
      <c r="K1378" t="e">
        <f ca="1">INDEX(INDIRECT(CONCATENATE("Tab_",Tab_Calculs[[#This Row],[Colonne1]])),Tab_Calculs[[#This Row],[index_date_livraison]]-1,6)*(MAX(Tab_Calculs[[#This Row],[Début periode livraison]],Tab_Calculs[[#This Row],[Début mois]])-Tab_Calculs[[#This Row],[Début mois]])</f>
        <v>#VALUE!</v>
      </c>
      <c r="L1378" s="94">
        <f ca="1">INDEX(INDIRECT(CONCATENATE("Tab_",Tab_Calculs[[#This Row],[Colonne1]])),Tab_Calculs[[#This Row],[index_date_livraison]],6)*(1+MIN(Tab_Calculs[[#This Row],[Date_livraison]],Tab_Calculs[[#This Row],[fin mois]])-MAX(Tab_Calculs[[#This Row],[Début mois]],Tab_Calculs[[#This Row],[Début periode livraison]]))</f>
        <v>0</v>
      </c>
      <c r="M1378" s="94" t="e">
        <f ca="1">INDEX(INDIRECT(CONCATENATE("Tab_",Tab_Calculs[[#This Row],[Colonne1]])),Tab_Calculs[[#This Row],[index_date_livraison]]+1,6)*(Tab_Calculs[[#This Row],[fin mois]]-MIN(Tab_Calculs[[#This Row],[fin mois]],Tab_Calculs[[#This Row],[Date_livraison]]))</f>
        <v>#VALUE!</v>
      </c>
      <c r="N1378" s="231" t="str">
        <f ca="1">IFERROR(Tab_Calculs[[#This Row],[Ratio_jour_après_livr]]+Tab_Calculs[[#This Row],[Ratio_jour_avant_livr]]+Tab_Calculs[[#This Row],[ratio_avant_debut]],"")</f>
        <v/>
      </c>
      <c r="O1378" t="e">
        <f ca="1">INDEX(INDIRECT(CONCATENATE("Tab_",Tab_Calculs[[#This Row],[Colonne1]])),Tab_Calculs[[#This Row],[index_date_livraison]]-1,7)*(MAX(Tab_Calculs[[#This Row],[Début periode livraison]],Tab_Calculs[[#This Row],[Début mois]])-Tab_Calculs[[#This Row],[Début mois]])</f>
        <v>#VALUE!</v>
      </c>
      <c r="P1378">
        <f ca="1">INDEX(INDIRECT(CONCATENATE("Tab_",Tab_Calculs[[#This Row],[Colonne1]])),Tab_Calculs[[#This Row],[index_date_livraison]],7)*(1+MIN(Tab_Calculs[[#This Row],[Date_livraison]],Tab_Calculs[[#This Row],[fin mois]])-MAX(Tab_Calculs[[#This Row],[Début mois]],Tab_Calculs[[#This Row],[Début periode livraison]]))</f>
        <v>0</v>
      </c>
      <c r="Q1378" t="e">
        <f ca="1">INDEX(INDIRECT(CONCATENATE("Tab_",Tab_Calculs[[#This Row],[Colonne1]])),Tab_Calculs[[#This Row],[index_date_livraison]]+1,7)*(Tab_Calculs[[#This Row],[fin mois]]-MIN(Tab_Calculs[[#This Row],[fin mois]],Tab_Calculs[[#This Row],[Date_livraison]]))</f>
        <v>#VALUE!</v>
      </c>
      <c r="R1378" t="e">
        <f ca="1">Tab_Calculs[[#This Row],[Ratio_Cout_après_livr]]+Tab_Calculs[[#This Row],[Ratio_Cout_avant_livr]]+Tab_Calculs[[#This Row],[Ratio_Cout_avant_debut]]</f>
        <v>#VALUE!</v>
      </c>
      <c r="S1378" t="str">
        <f ca="1">IFERROR(N1378*VLOOKUP(Tab_Calculs[[#This Row],[Colonne1]],Controle_des_données!$B$7:$G$14,6,FALSE),"")</f>
        <v/>
      </c>
      <c r="T1378" t="str">
        <f ca="1">IF(Tab_Calculs[[#This Row],[Combustible ]]="Electricité (kWh)",Tab_Calculs[[#This Row],[Conso_mois_kWh]]*2.3,Tab_Calculs[[#This Row],[Conso_mois_kWh]])</f>
        <v/>
      </c>
      <c r="U1378" t="str">
        <f ca="1">IFERROR(N1378*VLOOKUP(Tab_Calculs[[#This Row],[Colonne1]],Controle_des_données!$B$7:$H$14,7,FALSE),"")</f>
        <v/>
      </c>
      <c r="V1378">
        <f ca="1">IFERROR(Tab_Calculs[[#This Row],[Cout_mois]]/Tab_Calculs[[#This Row],[Conso_mois_kWh]],0)</f>
        <v>0</v>
      </c>
      <c r="W1378" t="str">
        <f>T(VLOOKUP(Tab_Calculs[[#This Row],[Compteur]],Site!$B$33:$G$40,3,FALSE))</f>
        <v/>
      </c>
      <c r="X1378" t="str">
        <f>T(VLOOKUP(Tab_Calculs[[#This Row],[Compteur]],Site!$B$33:$G$40,4,FALSE))</f>
        <v/>
      </c>
      <c r="Y1378" t="str">
        <f>T(VLOOKUP(Tab_Calculs[[#This Row],[Compteur]],Site!$B$33:$G$40,5,FALSE))</f>
        <v/>
      </c>
      <c r="Z1378" t="str">
        <f>T(VLOOKUP(Tab_Calculs[[#This Row],[Compteur]],Site!$B$33:$G$40,6,FALSE))</f>
        <v/>
      </c>
      <c r="AA1378">
        <f>IFERROR(GETPIVOTDATA("DJU(chauffagiste)",BDD_DJU!$P$13,"annee",Tab_Calculs[[#This Row],[ANNEE]],"mois_numero",Tab_Calculs[[#This Row],[MOIS]]),0)</f>
        <v>469.8</v>
      </c>
    </row>
    <row r="1379" spans="1:27" x14ac:dyDescent="0.25">
      <c r="A1379" s="3">
        <f>DATE(Tab_Calculs[[#This Row],[ANNEE]],Tab_Calculs[[#This Row],[MOIS]],1)</f>
        <v>40969</v>
      </c>
      <c r="B1379" s="3">
        <f>EDATE(Tab_Calculs[[#This Row],[Début mois]],1)-1</f>
        <v>40999</v>
      </c>
      <c r="C1379">
        <v>3</v>
      </c>
      <c r="D1379">
        <v>2012</v>
      </c>
      <c r="E1379" t="s">
        <v>87</v>
      </c>
      <c r="F1379" t="str">
        <f>SUBSTITUTE(Tab_Calculs[[#This Row],[Compteur]]," ","_")</f>
        <v>Compteur_8</v>
      </c>
      <c r="G1379" t="str">
        <f>T(INDEX(Site!$B$33:$G$40, MATCH(Tab_Calculs[[#This Row],[Compteur]], Site!$B$33:$B$40,0),2))</f>
        <v/>
      </c>
      <c r="H1379" s="3">
        <f t="array" aca="1" ref="H1379" ca="1">MIN(IF(INDIRECT(CONCATENATE(Tab_Calculs[[#This Row],[Colonne1]],"!$B$2:$B$243"))&gt;=Calculs_Consos!$A1379,INDIRECT(CONCATENATE(Tab_Calculs[[#This Row],[Colonne1]],"!$B$2:$B$243"))))</f>
        <v>0</v>
      </c>
      <c r="I1379" s="3">
        <f ca="1">INDEX(INDIRECT(CONCATENATE("Tab_",Tab_Calculs[[#This Row],[Colonne1]])),Tab_Calculs[[#This Row],[index_date_livraison]],1)</f>
        <v>0</v>
      </c>
      <c r="J1379">
        <f ca="1">MATCH(Tab_Calculs[[#This Row],[Date_livraison]],INDIRECT(CONCATENATE("Tab_",Tab_Calculs[[#This Row],[Colonne1]],"[Fin de période]")),0)</f>
        <v>1</v>
      </c>
      <c r="K1379" t="e">
        <f ca="1">INDEX(INDIRECT(CONCATENATE("Tab_",Tab_Calculs[[#This Row],[Colonne1]])),Tab_Calculs[[#This Row],[index_date_livraison]]-1,6)*(MAX(Tab_Calculs[[#This Row],[Début periode livraison]],Tab_Calculs[[#This Row],[Début mois]])-Tab_Calculs[[#This Row],[Début mois]])</f>
        <v>#VALUE!</v>
      </c>
      <c r="L1379" s="94">
        <f ca="1">INDEX(INDIRECT(CONCATENATE("Tab_",Tab_Calculs[[#This Row],[Colonne1]])),Tab_Calculs[[#This Row],[index_date_livraison]],6)*(1+MIN(Tab_Calculs[[#This Row],[Date_livraison]],Tab_Calculs[[#This Row],[fin mois]])-MAX(Tab_Calculs[[#This Row],[Début mois]],Tab_Calculs[[#This Row],[Début periode livraison]]))</f>
        <v>0</v>
      </c>
      <c r="M1379" s="94" t="e">
        <f ca="1">INDEX(INDIRECT(CONCATENATE("Tab_",Tab_Calculs[[#This Row],[Colonne1]])),Tab_Calculs[[#This Row],[index_date_livraison]]+1,6)*(Tab_Calculs[[#This Row],[fin mois]]-MIN(Tab_Calculs[[#This Row],[fin mois]],Tab_Calculs[[#This Row],[Date_livraison]]))</f>
        <v>#VALUE!</v>
      </c>
      <c r="N1379" s="231" t="str">
        <f ca="1">IFERROR(Tab_Calculs[[#This Row],[Ratio_jour_après_livr]]+Tab_Calculs[[#This Row],[Ratio_jour_avant_livr]]+Tab_Calculs[[#This Row],[ratio_avant_debut]],"")</f>
        <v/>
      </c>
      <c r="O1379" t="e">
        <f ca="1">INDEX(INDIRECT(CONCATENATE("Tab_",Tab_Calculs[[#This Row],[Colonne1]])),Tab_Calculs[[#This Row],[index_date_livraison]]-1,7)*(MAX(Tab_Calculs[[#This Row],[Début periode livraison]],Tab_Calculs[[#This Row],[Début mois]])-Tab_Calculs[[#This Row],[Début mois]])</f>
        <v>#VALUE!</v>
      </c>
      <c r="P1379">
        <f ca="1">INDEX(INDIRECT(CONCATENATE("Tab_",Tab_Calculs[[#This Row],[Colonne1]])),Tab_Calculs[[#This Row],[index_date_livraison]],7)*(1+MIN(Tab_Calculs[[#This Row],[Date_livraison]],Tab_Calculs[[#This Row],[fin mois]])-MAX(Tab_Calculs[[#This Row],[Début mois]],Tab_Calculs[[#This Row],[Début periode livraison]]))</f>
        <v>0</v>
      </c>
      <c r="Q1379" t="e">
        <f ca="1">INDEX(INDIRECT(CONCATENATE("Tab_",Tab_Calculs[[#This Row],[Colonne1]])),Tab_Calculs[[#This Row],[index_date_livraison]]+1,7)*(Tab_Calculs[[#This Row],[fin mois]]-MIN(Tab_Calculs[[#This Row],[fin mois]],Tab_Calculs[[#This Row],[Date_livraison]]))</f>
        <v>#VALUE!</v>
      </c>
      <c r="R1379" t="e">
        <f ca="1">Tab_Calculs[[#This Row],[Ratio_Cout_après_livr]]+Tab_Calculs[[#This Row],[Ratio_Cout_avant_livr]]+Tab_Calculs[[#This Row],[Ratio_Cout_avant_debut]]</f>
        <v>#VALUE!</v>
      </c>
      <c r="S1379" t="str">
        <f ca="1">IFERROR(N1379*VLOOKUP(Tab_Calculs[[#This Row],[Colonne1]],Controle_des_données!$B$7:$G$14,6,FALSE),"")</f>
        <v/>
      </c>
      <c r="T1379" t="str">
        <f ca="1">IF(Tab_Calculs[[#This Row],[Combustible ]]="Electricité (kWh)",Tab_Calculs[[#This Row],[Conso_mois_kWh]]*2.3,Tab_Calculs[[#This Row],[Conso_mois_kWh]])</f>
        <v/>
      </c>
      <c r="U1379" t="str">
        <f ca="1">IFERROR(N1379*VLOOKUP(Tab_Calculs[[#This Row],[Colonne1]],Controle_des_données!$B$7:$H$14,7,FALSE),"")</f>
        <v/>
      </c>
      <c r="V1379">
        <f ca="1">IFERROR(Tab_Calculs[[#This Row],[Cout_mois]]/Tab_Calculs[[#This Row],[Conso_mois_kWh]],0)</f>
        <v>0</v>
      </c>
      <c r="W1379" t="str">
        <f>T(VLOOKUP(Tab_Calculs[[#This Row],[Compteur]],Site!$B$33:$G$40,3,FALSE))</f>
        <v/>
      </c>
      <c r="X1379" t="str">
        <f>T(VLOOKUP(Tab_Calculs[[#This Row],[Compteur]],Site!$B$33:$G$40,4,FALSE))</f>
        <v/>
      </c>
      <c r="Y1379" t="str">
        <f>T(VLOOKUP(Tab_Calculs[[#This Row],[Compteur]],Site!$B$33:$G$40,5,FALSE))</f>
        <v/>
      </c>
      <c r="Z1379" t="str">
        <f>T(VLOOKUP(Tab_Calculs[[#This Row],[Compteur]],Site!$B$33:$G$40,6,FALSE))</f>
        <v/>
      </c>
      <c r="AA1379">
        <f>IFERROR(GETPIVOTDATA("DJU(chauffagiste)",BDD_DJU!$P$13,"annee",Tab_Calculs[[#This Row],[ANNEE]],"mois_numero",Tab_Calculs[[#This Row],[MOIS]]),0)</f>
        <v>247.3</v>
      </c>
    </row>
    <row r="1380" spans="1:27" x14ac:dyDescent="0.25">
      <c r="A1380" s="3">
        <f>DATE(Tab_Calculs[[#This Row],[ANNEE]],Tab_Calculs[[#This Row],[MOIS]],1)</f>
        <v>41000</v>
      </c>
      <c r="B1380" s="3">
        <f>EDATE(Tab_Calculs[[#This Row],[Début mois]],1)-1</f>
        <v>41029</v>
      </c>
      <c r="C1380">
        <v>4</v>
      </c>
      <c r="D1380">
        <v>2012</v>
      </c>
      <c r="E1380" t="s">
        <v>87</v>
      </c>
      <c r="F1380" t="str">
        <f>SUBSTITUTE(Tab_Calculs[[#This Row],[Compteur]]," ","_")</f>
        <v>Compteur_8</v>
      </c>
      <c r="G1380" t="str">
        <f>T(INDEX(Site!$B$33:$G$40, MATCH(Tab_Calculs[[#This Row],[Compteur]], Site!$B$33:$B$40,0),2))</f>
        <v/>
      </c>
      <c r="H1380" s="3">
        <f t="array" aca="1" ref="H1380" ca="1">MIN(IF(INDIRECT(CONCATENATE(Tab_Calculs[[#This Row],[Colonne1]],"!$B$2:$B$243"))&gt;=Calculs_Consos!$A1380,INDIRECT(CONCATENATE(Tab_Calculs[[#This Row],[Colonne1]],"!$B$2:$B$243"))))</f>
        <v>0</v>
      </c>
      <c r="I1380" s="3">
        <f ca="1">INDEX(INDIRECT(CONCATENATE("Tab_",Tab_Calculs[[#This Row],[Colonne1]])),Tab_Calculs[[#This Row],[index_date_livraison]],1)</f>
        <v>0</v>
      </c>
      <c r="J1380">
        <f ca="1">MATCH(Tab_Calculs[[#This Row],[Date_livraison]],INDIRECT(CONCATENATE("Tab_",Tab_Calculs[[#This Row],[Colonne1]],"[Fin de période]")),0)</f>
        <v>1</v>
      </c>
      <c r="K1380" t="e">
        <f ca="1">INDEX(INDIRECT(CONCATENATE("Tab_",Tab_Calculs[[#This Row],[Colonne1]])),Tab_Calculs[[#This Row],[index_date_livraison]]-1,6)*(MAX(Tab_Calculs[[#This Row],[Début periode livraison]],Tab_Calculs[[#This Row],[Début mois]])-Tab_Calculs[[#This Row],[Début mois]])</f>
        <v>#VALUE!</v>
      </c>
      <c r="L1380" s="94">
        <f ca="1">INDEX(INDIRECT(CONCATENATE("Tab_",Tab_Calculs[[#This Row],[Colonne1]])),Tab_Calculs[[#This Row],[index_date_livraison]],6)*(1+MIN(Tab_Calculs[[#This Row],[Date_livraison]],Tab_Calculs[[#This Row],[fin mois]])-MAX(Tab_Calculs[[#This Row],[Début mois]],Tab_Calculs[[#This Row],[Début periode livraison]]))</f>
        <v>0</v>
      </c>
      <c r="M1380" s="94" t="e">
        <f ca="1">INDEX(INDIRECT(CONCATENATE("Tab_",Tab_Calculs[[#This Row],[Colonne1]])),Tab_Calculs[[#This Row],[index_date_livraison]]+1,6)*(Tab_Calculs[[#This Row],[fin mois]]-MIN(Tab_Calculs[[#This Row],[fin mois]],Tab_Calculs[[#This Row],[Date_livraison]]))</f>
        <v>#VALUE!</v>
      </c>
      <c r="N1380" s="231" t="str">
        <f ca="1">IFERROR(Tab_Calculs[[#This Row],[Ratio_jour_après_livr]]+Tab_Calculs[[#This Row],[Ratio_jour_avant_livr]]+Tab_Calculs[[#This Row],[ratio_avant_debut]],"")</f>
        <v/>
      </c>
      <c r="O1380" t="e">
        <f ca="1">INDEX(INDIRECT(CONCATENATE("Tab_",Tab_Calculs[[#This Row],[Colonne1]])),Tab_Calculs[[#This Row],[index_date_livraison]]-1,7)*(MAX(Tab_Calculs[[#This Row],[Début periode livraison]],Tab_Calculs[[#This Row],[Début mois]])-Tab_Calculs[[#This Row],[Début mois]])</f>
        <v>#VALUE!</v>
      </c>
      <c r="P1380">
        <f ca="1">INDEX(INDIRECT(CONCATENATE("Tab_",Tab_Calculs[[#This Row],[Colonne1]])),Tab_Calculs[[#This Row],[index_date_livraison]],7)*(1+MIN(Tab_Calculs[[#This Row],[Date_livraison]],Tab_Calculs[[#This Row],[fin mois]])-MAX(Tab_Calculs[[#This Row],[Début mois]],Tab_Calculs[[#This Row],[Début periode livraison]]))</f>
        <v>0</v>
      </c>
      <c r="Q1380" t="e">
        <f ca="1">INDEX(INDIRECT(CONCATENATE("Tab_",Tab_Calculs[[#This Row],[Colonne1]])),Tab_Calculs[[#This Row],[index_date_livraison]]+1,7)*(Tab_Calculs[[#This Row],[fin mois]]-MIN(Tab_Calculs[[#This Row],[fin mois]],Tab_Calculs[[#This Row],[Date_livraison]]))</f>
        <v>#VALUE!</v>
      </c>
      <c r="R1380" t="e">
        <f ca="1">Tab_Calculs[[#This Row],[Ratio_Cout_après_livr]]+Tab_Calculs[[#This Row],[Ratio_Cout_avant_livr]]+Tab_Calculs[[#This Row],[Ratio_Cout_avant_debut]]</f>
        <v>#VALUE!</v>
      </c>
      <c r="S1380" t="str">
        <f ca="1">IFERROR(N1380*VLOOKUP(Tab_Calculs[[#This Row],[Colonne1]],Controle_des_données!$B$7:$G$14,6,FALSE),"")</f>
        <v/>
      </c>
      <c r="T1380" t="str">
        <f ca="1">IF(Tab_Calculs[[#This Row],[Combustible ]]="Electricité (kWh)",Tab_Calculs[[#This Row],[Conso_mois_kWh]]*2.3,Tab_Calculs[[#This Row],[Conso_mois_kWh]])</f>
        <v/>
      </c>
      <c r="U1380" t="str">
        <f ca="1">IFERROR(N1380*VLOOKUP(Tab_Calculs[[#This Row],[Colonne1]],Controle_des_données!$B$7:$H$14,7,FALSE),"")</f>
        <v/>
      </c>
      <c r="V1380">
        <f ca="1">IFERROR(Tab_Calculs[[#This Row],[Cout_mois]]/Tab_Calculs[[#This Row],[Conso_mois_kWh]],0)</f>
        <v>0</v>
      </c>
      <c r="W1380" t="str">
        <f>T(VLOOKUP(Tab_Calculs[[#This Row],[Compteur]],Site!$B$33:$G$40,3,FALSE))</f>
        <v/>
      </c>
      <c r="X1380" t="str">
        <f>T(VLOOKUP(Tab_Calculs[[#This Row],[Compteur]],Site!$B$33:$G$40,4,FALSE))</f>
        <v/>
      </c>
      <c r="Y1380" t="str">
        <f>T(VLOOKUP(Tab_Calculs[[#This Row],[Compteur]],Site!$B$33:$G$40,5,FALSE))</f>
        <v/>
      </c>
      <c r="Z1380" t="str">
        <f>T(VLOOKUP(Tab_Calculs[[#This Row],[Compteur]],Site!$B$33:$G$40,6,FALSE))</f>
        <v/>
      </c>
      <c r="AA1380">
        <f>IFERROR(GETPIVOTDATA("DJU(chauffagiste)",BDD_DJU!$P$13,"annee",Tab_Calculs[[#This Row],[ANNEE]],"mois_numero",Tab_Calculs[[#This Row],[MOIS]]),0)</f>
        <v>253.8</v>
      </c>
    </row>
    <row r="1381" spans="1:27" x14ac:dyDescent="0.25">
      <c r="A1381" s="3">
        <f>DATE(Tab_Calculs[[#This Row],[ANNEE]],Tab_Calculs[[#This Row],[MOIS]],1)</f>
        <v>41030</v>
      </c>
      <c r="B1381" s="3">
        <f>EDATE(Tab_Calculs[[#This Row],[Début mois]],1)-1</f>
        <v>41060</v>
      </c>
      <c r="C1381">
        <v>5</v>
      </c>
      <c r="D1381">
        <v>2012</v>
      </c>
      <c r="E1381" t="s">
        <v>87</v>
      </c>
      <c r="F1381" t="str">
        <f>SUBSTITUTE(Tab_Calculs[[#This Row],[Compteur]]," ","_")</f>
        <v>Compteur_8</v>
      </c>
      <c r="G1381" t="str">
        <f>T(INDEX(Site!$B$33:$G$40, MATCH(Tab_Calculs[[#This Row],[Compteur]], Site!$B$33:$B$40,0),2))</f>
        <v/>
      </c>
      <c r="H1381" s="3">
        <f t="array" aca="1" ref="H1381" ca="1">MIN(IF(INDIRECT(CONCATENATE(Tab_Calculs[[#This Row],[Colonne1]],"!$B$2:$B$243"))&gt;=Calculs_Consos!$A1381,INDIRECT(CONCATENATE(Tab_Calculs[[#This Row],[Colonne1]],"!$B$2:$B$243"))))</f>
        <v>0</v>
      </c>
      <c r="I1381" s="3">
        <f ca="1">INDEX(INDIRECT(CONCATENATE("Tab_",Tab_Calculs[[#This Row],[Colonne1]])),Tab_Calculs[[#This Row],[index_date_livraison]],1)</f>
        <v>0</v>
      </c>
      <c r="J1381">
        <f ca="1">MATCH(Tab_Calculs[[#This Row],[Date_livraison]],INDIRECT(CONCATENATE("Tab_",Tab_Calculs[[#This Row],[Colonne1]],"[Fin de période]")),0)</f>
        <v>1</v>
      </c>
      <c r="K1381" t="e">
        <f ca="1">INDEX(INDIRECT(CONCATENATE("Tab_",Tab_Calculs[[#This Row],[Colonne1]])),Tab_Calculs[[#This Row],[index_date_livraison]]-1,6)*(MAX(Tab_Calculs[[#This Row],[Début periode livraison]],Tab_Calculs[[#This Row],[Début mois]])-Tab_Calculs[[#This Row],[Début mois]])</f>
        <v>#VALUE!</v>
      </c>
      <c r="L1381" s="94">
        <f ca="1">INDEX(INDIRECT(CONCATENATE("Tab_",Tab_Calculs[[#This Row],[Colonne1]])),Tab_Calculs[[#This Row],[index_date_livraison]],6)*(1+MIN(Tab_Calculs[[#This Row],[Date_livraison]],Tab_Calculs[[#This Row],[fin mois]])-MAX(Tab_Calculs[[#This Row],[Début mois]],Tab_Calculs[[#This Row],[Début periode livraison]]))</f>
        <v>0</v>
      </c>
      <c r="M1381" s="94" t="e">
        <f ca="1">INDEX(INDIRECT(CONCATENATE("Tab_",Tab_Calculs[[#This Row],[Colonne1]])),Tab_Calculs[[#This Row],[index_date_livraison]]+1,6)*(Tab_Calculs[[#This Row],[fin mois]]-MIN(Tab_Calculs[[#This Row],[fin mois]],Tab_Calculs[[#This Row],[Date_livraison]]))</f>
        <v>#VALUE!</v>
      </c>
      <c r="N1381" s="231" t="str">
        <f ca="1">IFERROR(Tab_Calculs[[#This Row],[Ratio_jour_après_livr]]+Tab_Calculs[[#This Row],[Ratio_jour_avant_livr]]+Tab_Calculs[[#This Row],[ratio_avant_debut]],"")</f>
        <v/>
      </c>
      <c r="O1381" t="e">
        <f ca="1">INDEX(INDIRECT(CONCATENATE("Tab_",Tab_Calculs[[#This Row],[Colonne1]])),Tab_Calculs[[#This Row],[index_date_livraison]]-1,7)*(MAX(Tab_Calculs[[#This Row],[Début periode livraison]],Tab_Calculs[[#This Row],[Début mois]])-Tab_Calculs[[#This Row],[Début mois]])</f>
        <v>#VALUE!</v>
      </c>
      <c r="P1381">
        <f ca="1">INDEX(INDIRECT(CONCATENATE("Tab_",Tab_Calculs[[#This Row],[Colonne1]])),Tab_Calculs[[#This Row],[index_date_livraison]],7)*(1+MIN(Tab_Calculs[[#This Row],[Date_livraison]],Tab_Calculs[[#This Row],[fin mois]])-MAX(Tab_Calculs[[#This Row],[Début mois]],Tab_Calculs[[#This Row],[Début periode livraison]]))</f>
        <v>0</v>
      </c>
      <c r="Q1381" t="e">
        <f ca="1">INDEX(INDIRECT(CONCATENATE("Tab_",Tab_Calculs[[#This Row],[Colonne1]])),Tab_Calculs[[#This Row],[index_date_livraison]]+1,7)*(Tab_Calculs[[#This Row],[fin mois]]-MIN(Tab_Calculs[[#This Row],[fin mois]],Tab_Calculs[[#This Row],[Date_livraison]]))</f>
        <v>#VALUE!</v>
      </c>
      <c r="R1381" t="e">
        <f ca="1">Tab_Calculs[[#This Row],[Ratio_Cout_après_livr]]+Tab_Calculs[[#This Row],[Ratio_Cout_avant_livr]]+Tab_Calculs[[#This Row],[Ratio_Cout_avant_debut]]</f>
        <v>#VALUE!</v>
      </c>
      <c r="S1381" t="str">
        <f ca="1">IFERROR(N1381*VLOOKUP(Tab_Calculs[[#This Row],[Colonne1]],Controle_des_données!$B$7:$G$14,6,FALSE),"")</f>
        <v/>
      </c>
      <c r="T1381" t="str">
        <f ca="1">IF(Tab_Calculs[[#This Row],[Combustible ]]="Electricité (kWh)",Tab_Calculs[[#This Row],[Conso_mois_kWh]]*2.3,Tab_Calculs[[#This Row],[Conso_mois_kWh]])</f>
        <v/>
      </c>
      <c r="U1381" t="str">
        <f ca="1">IFERROR(N1381*VLOOKUP(Tab_Calculs[[#This Row],[Colonne1]],Controle_des_données!$B$7:$H$14,7,FALSE),"")</f>
        <v/>
      </c>
      <c r="V1381">
        <f ca="1">IFERROR(Tab_Calculs[[#This Row],[Cout_mois]]/Tab_Calculs[[#This Row],[Conso_mois_kWh]],0)</f>
        <v>0</v>
      </c>
      <c r="W1381" t="str">
        <f>T(VLOOKUP(Tab_Calculs[[#This Row],[Compteur]],Site!$B$33:$G$40,3,FALSE))</f>
        <v/>
      </c>
      <c r="X1381" t="str">
        <f>T(VLOOKUP(Tab_Calculs[[#This Row],[Compteur]],Site!$B$33:$G$40,4,FALSE))</f>
        <v/>
      </c>
      <c r="Y1381" t="str">
        <f>T(VLOOKUP(Tab_Calculs[[#This Row],[Compteur]],Site!$B$33:$G$40,5,FALSE))</f>
        <v/>
      </c>
      <c r="Z1381" t="str">
        <f>T(VLOOKUP(Tab_Calculs[[#This Row],[Compteur]],Site!$B$33:$G$40,6,FALSE))</f>
        <v/>
      </c>
      <c r="AA1381">
        <f>IFERROR(GETPIVOTDATA("DJU(chauffagiste)",BDD_DJU!$P$13,"annee",Tab_Calculs[[#This Row],[ANNEE]],"mois_numero",Tab_Calculs[[#This Row],[MOIS]]),0)</f>
        <v>113.8</v>
      </c>
    </row>
    <row r="1382" spans="1:27" x14ac:dyDescent="0.25">
      <c r="A1382" s="3">
        <f>DATE(Tab_Calculs[[#This Row],[ANNEE]],Tab_Calculs[[#This Row],[MOIS]],1)</f>
        <v>41061</v>
      </c>
      <c r="B1382" s="3">
        <f>EDATE(Tab_Calculs[[#This Row],[Début mois]],1)-1</f>
        <v>41090</v>
      </c>
      <c r="C1382">
        <v>6</v>
      </c>
      <c r="D1382">
        <v>2012</v>
      </c>
      <c r="E1382" t="s">
        <v>87</v>
      </c>
      <c r="F1382" t="str">
        <f>SUBSTITUTE(Tab_Calculs[[#This Row],[Compteur]]," ","_")</f>
        <v>Compteur_8</v>
      </c>
      <c r="G1382" t="str">
        <f>T(INDEX(Site!$B$33:$G$40, MATCH(Tab_Calculs[[#This Row],[Compteur]], Site!$B$33:$B$40,0),2))</f>
        <v/>
      </c>
      <c r="H1382" s="3">
        <f t="array" aca="1" ref="H1382" ca="1">MIN(IF(INDIRECT(CONCATENATE(Tab_Calculs[[#This Row],[Colonne1]],"!$B$2:$B$243"))&gt;=Calculs_Consos!$A1382,INDIRECT(CONCATENATE(Tab_Calculs[[#This Row],[Colonne1]],"!$B$2:$B$243"))))</f>
        <v>0</v>
      </c>
      <c r="I1382" s="3">
        <f ca="1">INDEX(INDIRECT(CONCATENATE("Tab_",Tab_Calculs[[#This Row],[Colonne1]])),Tab_Calculs[[#This Row],[index_date_livraison]],1)</f>
        <v>0</v>
      </c>
      <c r="J1382">
        <f ca="1">MATCH(Tab_Calculs[[#This Row],[Date_livraison]],INDIRECT(CONCATENATE("Tab_",Tab_Calculs[[#This Row],[Colonne1]],"[Fin de période]")),0)</f>
        <v>1</v>
      </c>
      <c r="K1382" t="e">
        <f ca="1">INDEX(INDIRECT(CONCATENATE("Tab_",Tab_Calculs[[#This Row],[Colonne1]])),Tab_Calculs[[#This Row],[index_date_livraison]]-1,6)*(MAX(Tab_Calculs[[#This Row],[Début periode livraison]],Tab_Calculs[[#This Row],[Début mois]])-Tab_Calculs[[#This Row],[Début mois]])</f>
        <v>#VALUE!</v>
      </c>
      <c r="L1382" s="94">
        <f ca="1">INDEX(INDIRECT(CONCATENATE("Tab_",Tab_Calculs[[#This Row],[Colonne1]])),Tab_Calculs[[#This Row],[index_date_livraison]],6)*(1+MIN(Tab_Calculs[[#This Row],[Date_livraison]],Tab_Calculs[[#This Row],[fin mois]])-MAX(Tab_Calculs[[#This Row],[Début mois]],Tab_Calculs[[#This Row],[Début periode livraison]]))</f>
        <v>0</v>
      </c>
      <c r="M1382" s="94" t="e">
        <f ca="1">INDEX(INDIRECT(CONCATENATE("Tab_",Tab_Calculs[[#This Row],[Colonne1]])),Tab_Calculs[[#This Row],[index_date_livraison]]+1,6)*(Tab_Calculs[[#This Row],[fin mois]]-MIN(Tab_Calculs[[#This Row],[fin mois]],Tab_Calculs[[#This Row],[Date_livraison]]))</f>
        <v>#VALUE!</v>
      </c>
      <c r="N1382" s="231" t="str">
        <f ca="1">IFERROR(Tab_Calculs[[#This Row],[Ratio_jour_après_livr]]+Tab_Calculs[[#This Row],[Ratio_jour_avant_livr]]+Tab_Calculs[[#This Row],[ratio_avant_debut]],"")</f>
        <v/>
      </c>
      <c r="O1382" t="e">
        <f ca="1">INDEX(INDIRECT(CONCATENATE("Tab_",Tab_Calculs[[#This Row],[Colonne1]])),Tab_Calculs[[#This Row],[index_date_livraison]]-1,7)*(MAX(Tab_Calculs[[#This Row],[Début periode livraison]],Tab_Calculs[[#This Row],[Début mois]])-Tab_Calculs[[#This Row],[Début mois]])</f>
        <v>#VALUE!</v>
      </c>
      <c r="P1382">
        <f ca="1">INDEX(INDIRECT(CONCATENATE("Tab_",Tab_Calculs[[#This Row],[Colonne1]])),Tab_Calculs[[#This Row],[index_date_livraison]],7)*(1+MIN(Tab_Calculs[[#This Row],[Date_livraison]],Tab_Calculs[[#This Row],[fin mois]])-MAX(Tab_Calculs[[#This Row],[Début mois]],Tab_Calculs[[#This Row],[Début periode livraison]]))</f>
        <v>0</v>
      </c>
      <c r="Q1382" t="e">
        <f ca="1">INDEX(INDIRECT(CONCATENATE("Tab_",Tab_Calculs[[#This Row],[Colonne1]])),Tab_Calculs[[#This Row],[index_date_livraison]]+1,7)*(Tab_Calculs[[#This Row],[fin mois]]-MIN(Tab_Calculs[[#This Row],[fin mois]],Tab_Calculs[[#This Row],[Date_livraison]]))</f>
        <v>#VALUE!</v>
      </c>
      <c r="R1382" t="e">
        <f ca="1">Tab_Calculs[[#This Row],[Ratio_Cout_après_livr]]+Tab_Calculs[[#This Row],[Ratio_Cout_avant_livr]]+Tab_Calculs[[#This Row],[Ratio_Cout_avant_debut]]</f>
        <v>#VALUE!</v>
      </c>
      <c r="S1382" t="str">
        <f ca="1">IFERROR(N1382*VLOOKUP(Tab_Calculs[[#This Row],[Colonne1]],Controle_des_données!$B$7:$G$14,6,FALSE),"")</f>
        <v/>
      </c>
      <c r="T1382" t="str">
        <f ca="1">IF(Tab_Calculs[[#This Row],[Combustible ]]="Electricité (kWh)",Tab_Calculs[[#This Row],[Conso_mois_kWh]]*2.3,Tab_Calculs[[#This Row],[Conso_mois_kWh]])</f>
        <v/>
      </c>
      <c r="U1382" t="str">
        <f ca="1">IFERROR(N1382*VLOOKUP(Tab_Calculs[[#This Row],[Colonne1]],Controle_des_données!$B$7:$H$14,7,FALSE),"")</f>
        <v/>
      </c>
      <c r="V1382">
        <f ca="1">IFERROR(Tab_Calculs[[#This Row],[Cout_mois]]/Tab_Calculs[[#This Row],[Conso_mois_kWh]],0)</f>
        <v>0</v>
      </c>
      <c r="W1382" t="str">
        <f>T(VLOOKUP(Tab_Calculs[[#This Row],[Compteur]],Site!$B$33:$G$40,3,FALSE))</f>
        <v/>
      </c>
      <c r="X1382" t="str">
        <f>T(VLOOKUP(Tab_Calculs[[#This Row],[Compteur]],Site!$B$33:$G$40,4,FALSE))</f>
        <v/>
      </c>
      <c r="Y1382" t="str">
        <f>T(VLOOKUP(Tab_Calculs[[#This Row],[Compteur]],Site!$B$33:$G$40,5,FALSE))</f>
        <v/>
      </c>
      <c r="Z1382" t="str">
        <f>T(VLOOKUP(Tab_Calculs[[#This Row],[Compteur]],Site!$B$33:$G$40,6,FALSE))</f>
        <v/>
      </c>
      <c r="AA1382">
        <f>IFERROR(GETPIVOTDATA("DJU(chauffagiste)",BDD_DJU!$P$13,"annee",Tab_Calculs[[#This Row],[ANNEE]],"mois_numero",Tab_Calculs[[#This Row],[MOIS]]),0)</f>
        <v>59.4</v>
      </c>
    </row>
    <row r="1383" spans="1:27" x14ac:dyDescent="0.25">
      <c r="A1383" s="3">
        <f>DATE(Tab_Calculs[[#This Row],[ANNEE]],Tab_Calculs[[#This Row],[MOIS]],1)</f>
        <v>41091</v>
      </c>
      <c r="B1383" s="3">
        <f>EDATE(Tab_Calculs[[#This Row],[Début mois]],1)-1</f>
        <v>41121</v>
      </c>
      <c r="C1383">
        <v>7</v>
      </c>
      <c r="D1383">
        <v>2012</v>
      </c>
      <c r="E1383" t="s">
        <v>87</v>
      </c>
      <c r="F1383" t="str">
        <f>SUBSTITUTE(Tab_Calculs[[#This Row],[Compteur]]," ","_")</f>
        <v>Compteur_8</v>
      </c>
      <c r="G1383" t="str">
        <f>T(INDEX(Site!$B$33:$G$40, MATCH(Tab_Calculs[[#This Row],[Compteur]], Site!$B$33:$B$40,0),2))</f>
        <v/>
      </c>
      <c r="H1383" s="3">
        <f t="array" aca="1" ref="H1383" ca="1">MIN(IF(INDIRECT(CONCATENATE(Tab_Calculs[[#This Row],[Colonne1]],"!$B$2:$B$243"))&gt;=Calculs_Consos!$A1383,INDIRECT(CONCATENATE(Tab_Calculs[[#This Row],[Colonne1]],"!$B$2:$B$243"))))</f>
        <v>0</v>
      </c>
      <c r="I1383" s="3">
        <f ca="1">INDEX(INDIRECT(CONCATENATE("Tab_",Tab_Calculs[[#This Row],[Colonne1]])),Tab_Calculs[[#This Row],[index_date_livraison]],1)</f>
        <v>0</v>
      </c>
      <c r="J1383">
        <f ca="1">MATCH(Tab_Calculs[[#This Row],[Date_livraison]],INDIRECT(CONCATENATE("Tab_",Tab_Calculs[[#This Row],[Colonne1]],"[Fin de période]")),0)</f>
        <v>1</v>
      </c>
      <c r="K1383" t="e">
        <f ca="1">INDEX(INDIRECT(CONCATENATE("Tab_",Tab_Calculs[[#This Row],[Colonne1]])),Tab_Calculs[[#This Row],[index_date_livraison]]-1,6)*(MAX(Tab_Calculs[[#This Row],[Début periode livraison]],Tab_Calculs[[#This Row],[Début mois]])-Tab_Calculs[[#This Row],[Début mois]])</f>
        <v>#VALUE!</v>
      </c>
      <c r="L1383" s="94">
        <f ca="1">INDEX(INDIRECT(CONCATENATE("Tab_",Tab_Calculs[[#This Row],[Colonne1]])),Tab_Calculs[[#This Row],[index_date_livraison]],6)*(1+MIN(Tab_Calculs[[#This Row],[Date_livraison]],Tab_Calculs[[#This Row],[fin mois]])-MAX(Tab_Calculs[[#This Row],[Début mois]],Tab_Calculs[[#This Row],[Début periode livraison]]))</f>
        <v>0</v>
      </c>
      <c r="M1383" s="94" t="e">
        <f ca="1">INDEX(INDIRECT(CONCATENATE("Tab_",Tab_Calculs[[#This Row],[Colonne1]])),Tab_Calculs[[#This Row],[index_date_livraison]]+1,6)*(Tab_Calculs[[#This Row],[fin mois]]-MIN(Tab_Calculs[[#This Row],[fin mois]],Tab_Calculs[[#This Row],[Date_livraison]]))</f>
        <v>#VALUE!</v>
      </c>
      <c r="N1383" s="231" t="str">
        <f ca="1">IFERROR(Tab_Calculs[[#This Row],[Ratio_jour_après_livr]]+Tab_Calculs[[#This Row],[Ratio_jour_avant_livr]]+Tab_Calculs[[#This Row],[ratio_avant_debut]],"")</f>
        <v/>
      </c>
      <c r="O1383" t="e">
        <f ca="1">INDEX(INDIRECT(CONCATENATE("Tab_",Tab_Calculs[[#This Row],[Colonne1]])),Tab_Calculs[[#This Row],[index_date_livraison]]-1,7)*(MAX(Tab_Calculs[[#This Row],[Début periode livraison]],Tab_Calculs[[#This Row],[Début mois]])-Tab_Calculs[[#This Row],[Début mois]])</f>
        <v>#VALUE!</v>
      </c>
      <c r="P1383">
        <f ca="1">INDEX(INDIRECT(CONCATENATE("Tab_",Tab_Calculs[[#This Row],[Colonne1]])),Tab_Calculs[[#This Row],[index_date_livraison]],7)*(1+MIN(Tab_Calculs[[#This Row],[Date_livraison]],Tab_Calculs[[#This Row],[fin mois]])-MAX(Tab_Calculs[[#This Row],[Début mois]],Tab_Calculs[[#This Row],[Début periode livraison]]))</f>
        <v>0</v>
      </c>
      <c r="Q1383" t="e">
        <f ca="1">INDEX(INDIRECT(CONCATENATE("Tab_",Tab_Calculs[[#This Row],[Colonne1]])),Tab_Calculs[[#This Row],[index_date_livraison]]+1,7)*(Tab_Calculs[[#This Row],[fin mois]]-MIN(Tab_Calculs[[#This Row],[fin mois]],Tab_Calculs[[#This Row],[Date_livraison]]))</f>
        <v>#VALUE!</v>
      </c>
      <c r="R1383" t="e">
        <f ca="1">Tab_Calculs[[#This Row],[Ratio_Cout_après_livr]]+Tab_Calculs[[#This Row],[Ratio_Cout_avant_livr]]+Tab_Calculs[[#This Row],[Ratio_Cout_avant_debut]]</f>
        <v>#VALUE!</v>
      </c>
      <c r="S1383" t="str">
        <f ca="1">IFERROR(N1383*VLOOKUP(Tab_Calculs[[#This Row],[Colonne1]],Controle_des_données!$B$7:$G$14,6,FALSE),"")</f>
        <v/>
      </c>
      <c r="T1383" t="str">
        <f ca="1">IF(Tab_Calculs[[#This Row],[Combustible ]]="Electricité (kWh)",Tab_Calculs[[#This Row],[Conso_mois_kWh]]*2.3,Tab_Calculs[[#This Row],[Conso_mois_kWh]])</f>
        <v/>
      </c>
      <c r="U1383" t="str">
        <f ca="1">IFERROR(N1383*VLOOKUP(Tab_Calculs[[#This Row],[Colonne1]],Controle_des_données!$B$7:$H$14,7,FALSE),"")</f>
        <v/>
      </c>
      <c r="V1383">
        <f ca="1">IFERROR(Tab_Calculs[[#This Row],[Cout_mois]]/Tab_Calculs[[#This Row],[Conso_mois_kWh]],0)</f>
        <v>0</v>
      </c>
      <c r="W1383" t="str">
        <f>T(VLOOKUP(Tab_Calculs[[#This Row],[Compteur]],Site!$B$33:$G$40,3,FALSE))</f>
        <v/>
      </c>
      <c r="X1383" t="str">
        <f>T(VLOOKUP(Tab_Calculs[[#This Row],[Compteur]],Site!$B$33:$G$40,4,FALSE))</f>
        <v/>
      </c>
      <c r="Y1383" t="str">
        <f>T(VLOOKUP(Tab_Calculs[[#This Row],[Compteur]],Site!$B$33:$G$40,5,FALSE))</f>
        <v/>
      </c>
      <c r="Z1383" t="str">
        <f>T(VLOOKUP(Tab_Calculs[[#This Row],[Compteur]],Site!$B$33:$G$40,6,FALSE))</f>
        <v/>
      </c>
      <c r="AA1383">
        <f>IFERROR(GETPIVOTDATA("DJU(chauffagiste)",BDD_DJU!$P$13,"annee",Tab_Calculs[[#This Row],[ANNEE]],"mois_numero",Tab_Calculs[[#This Row],[MOIS]]),0)</f>
        <v>48.9</v>
      </c>
    </row>
    <row r="1384" spans="1:27" x14ac:dyDescent="0.25">
      <c r="A1384" s="3">
        <f>DATE(Tab_Calculs[[#This Row],[ANNEE]],Tab_Calculs[[#This Row],[MOIS]],1)</f>
        <v>41122</v>
      </c>
      <c r="B1384" s="3">
        <f>EDATE(Tab_Calculs[[#This Row],[Début mois]],1)-1</f>
        <v>41152</v>
      </c>
      <c r="C1384">
        <v>8</v>
      </c>
      <c r="D1384">
        <v>2012</v>
      </c>
      <c r="E1384" t="s">
        <v>87</v>
      </c>
      <c r="F1384" t="str">
        <f>SUBSTITUTE(Tab_Calculs[[#This Row],[Compteur]]," ","_")</f>
        <v>Compteur_8</v>
      </c>
      <c r="G1384" t="str">
        <f>T(INDEX(Site!$B$33:$G$40, MATCH(Tab_Calculs[[#This Row],[Compteur]], Site!$B$33:$B$40,0),2))</f>
        <v/>
      </c>
      <c r="H1384" s="3">
        <f t="array" aca="1" ref="H1384" ca="1">MIN(IF(INDIRECT(CONCATENATE(Tab_Calculs[[#This Row],[Colonne1]],"!$B$2:$B$243"))&gt;=Calculs_Consos!$A1384,INDIRECT(CONCATENATE(Tab_Calculs[[#This Row],[Colonne1]],"!$B$2:$B$243"))))</f>
        <v>0</v>
      </c>
      <c r="I1384" s="3">
        <f ca="1">INDEX(INDIRECT(CONCATENATE("Tab_",Tab_Calculs[[#This Row],[Colonne1]])),Tab_Calculs[[#This Row],[index_date_livraison]],1)</f>
        <v>0</v>
      </c>
      <c r="J1384">
        <f ca="1">MATCH(Tab_Calculs[[#This Row],[Date_livraison]],INDIRECT(CONCATENATE("Tab_",Tab_Calculs[[#This Row],[Colonne1]],"[Fin de période]")),0)</f>
        <v>1</v>
      </c>
      <c r="K1384" t="e">
        <f ca="1">INDEX(INDIRECT(CONCATENATE("Tab_",Tab_Calculs[[#This Row],[Colonne1]])),Tab_Calculs[[#This Row],[index_date_livraison]]-1,6)*(MAX(Tab_Calculs[[#This Row],[Début periode livraison]],Tab_Calculs[[#This Row],[Début mois]])-Tab_Calculs[[#This Row],[Début mois]])</f>
        <v>#VALUE!</v>
      </c>
      <c r="L1384" s="94">
        <f ca="1">INDEX(INDIRECT(CONCATENATE("Tab_",Tab_Calculs[[#This Row],[Colonne1]])),Tab_Calculs[[#This Row],[index_date_livraison]],6)*(1+MIN(Tab_Calculs[[#This Row],[Date_livraison]],Tab_Calculs[[#This Row],[fin mois]])-MAX(Tab_Calculs[[#This Row],[Début mois]],Tab_Calculs[[#This Row],[Début periode livraison]]))</f>
        <v>0</v>
      </c>
      <c r="M1384" s="94" t="e">
        <f ca="1">INDEX(INDIRECT(CONCATENATE("Tab_",Tab_Calculs[[#This Row],[Colonne1]])),Tab_Calculs[[#This Row],[index_date_livraison]]+1,6)*(Tab_Calculs[[#This Row],[fin mois]]-MIN(Tab_Calculs[[#This Row],[fin mois]],Tab_Calculs[[#This Row],[Date_livraison]]))</f>
        <v>#VALUE!</v>
      </c>
      <c r="N1384" s="231" t="str">
        <f ca="1">IFERROR(Tab_Calculs[[#This Row],[Ratio_jour_après_livr]]+Tab_Calculs[[#This Row],[Ratio_jour_avant_livr]]+Tab_Calculs[[#This Row],[ratio_avant_debut]],"")</f>
        <v/>
      </c>
      <c r="O1384" t="e">
        <f ca="1">INDEX(INDIRECT(CONCATENATE("Tab_",Tab_Calculs[[#This Row],[Colonne1]])),Tab_Calculs[[#This Row],[index_date_livraison]]-1,7)*(MAX(Tab_Calculs[[#This Row],[Début periode livraison]],Tab_Calculs[[#This Row],[Début mois]])-Tab_Calculs[[#This Row],[Début mois]])</f>
        <v>#VALUE!</v>
      </c>
      <c r="P1384">
        <f ca="1">INDEX(INDIRECT(CONCATENATE("Tab_",Tab_Calculs[[#This Row],[Colonne1]])),Tab_Calculs[[#This Row],[index_date_livraison]],7)*(1+MIN(Tab_Calculs[[#This Row],[Date_livraison]],Tab_Calculs[[#This Row],[fin mois]])-MAX(Tab_Calculs[[#This Row],[Début mois]],Tab_Calculs[[#This Row],[Début periode livraison]]))</f>
        <v>0</v>
      </c>
      <c r="Q1384" t="e">
        <f ca="1">INDEX(INDIRECT(CONCATENATE("Tab_",Tab_Calculs[[#This Row],[Colonne1]])),Tab_Calculs[[#This Row],[index_date_livraison]]+1,7)*(Tab_Calculs[[#This Row],[fin mois]]-MIN(Tab_Calculs[[#This Row],[fin mois]],Tab_Calculs[[#This Row],[Date_livraison]]))</f>
        <v>#VALUE!</v>
      </c>
      <c r="R1384" t="e">
        <f ca="1">Tab_Calculs[[#This Row],[Ratio_Cout_après_livr]]+Tab_Calculs[[#This Row],[Ratio_Cout_avant_livr]]+Tab_Calculs[[#This Row],[Ratio_Cout_avant_debut]]</f>
        <v>#VALUE!</v>
      </c>
      <c r="S1384" t="str">
        <f ca="1">IFERROR(N1384*VLOOKUP(Tab_Calculs[[#This Row],[Colonne1]],Controle_des_données!$B$7:$G$14,6,FALSE),"")</f>
        <v/>
      </c>
      <c r="T1384" t="str">
        <f ca="1">IF(Tab_Calculs[[#This Row],[Combustible ]]="Electricité (kWh)",Tab_Calculs[[#This Row],[Conso_mois_kWh]]*2.3,Tab_Calculs[[#This Row],[Conso_mois_kWh]])</f>
        <v/>
      </c>
      <c r="U1384" t="str">
        <f ca="1">IFERROR(N1384*VLOOKUP(Tab_Calculs[[#This Row],[Colonne1]],Controle_des_données!$B$7:$H$14,7,FALSE),"")</f>
        <v/>
      </c>
      <c r="V1384">
        <f ca="1">IFERROR(Tab_Calculs[[#This Row],[Cout_mois]]/Tab_Calculs[[#This Row],[Conso_mois_kWh]],0)</f>
        <v>0</v>
      </c>
      <c r="W1384" t="str">
        <f>T(VLOOKUP(Tab_Calculs[[#This Row],[Compteur]],Site!$B$33:$G$40,3,FALSE))</f>
        <v/>
      </c>
      <c r="X1384" t="str">
        <f>T(VLOOKUP(Tab_Calculs[[#This Row],[Compteur]],Site!$B$33:$G$40,4,FALSE))</f>
        <v/>
      </c>
      <c r="Y1384" t="str">
        <f>T(VLOOKUP(Tab_Calculs[[#This Row],[Compteur]],Site!$B$33:$G$40,5,FALSE))</f>
        <v/>
      </c>
      <c r="Z1384" t="str">
        <f>T(VLOOKUP(Tab_Calculs[[#This Row],[Compteur]],Site!$B$33:$G$40,6,FALSE))</f>
        <v/>
      </c>
      <c r="AA1384">
        <f>IFERROR(GETPIVOTDATA("DJU(chauffagiste)",BDD_DJU!$P$13,"annee",Tab_Calculs[[#This Row],[ANNEE]],"mois_numero",Tab_Calculs[[#This Row],[MOIS]]),0)</f>
        <v>28.8</v>
      </c>
    </row>
    <row r="1385" spans="1:27" x14ac:dyDescent="0.25">
      <c r="A1385" s="3">
        <f>DATE(Tab_Calculs[[#This Row],[ANNEE]],Tab_Calculs[[#This Row],[MOIS]],1)</f>
        <v>41153</v>
      </c>
      <c r="B1385" s="3">
        <f>EDATE(Tab_Calculs[[#This Row],[Début mois]],1)-1</f>
        <v>41182</v>
      </c>
      <c r="C1385">
        <v>9</v>
      </c>
      <c r="D1385">
        <v>2012</v>
      </c>
      <c r="E1385" t="s">
        <v>87</v>
      </c>
      <c r="F1385" t="str">
        <f>SUBSTITUTE(Tab_Calculs[[#This Row],[Compteur]]," ","_")</f>
        <v>Compteur_8</v>
      </c>
      <c r="G1385" t="str">
        <f>T(INDEX(Site!$B$33:$G$40, MATCH(Tab_Calculs[[#This Row],[Compteur]], Site!$B$33:$B$40,0),2))</f>
        <v/>
      </c>
      <c r="H1385" s="3">
        <f t="array" aca="1" ref="H1385" ca="1">MIN(IF(INDIRECT(CONCATENATE(Tab_Calculs[[#This Row],[Colonne1]],"!$B$2:$B$243"))&gt;=Calculs_Consos!$A1385,INDIRECT(CONCATENATE(Tab_Calculs[[#This Row],[Colonne1]],"!$B$2:$B$243"))))</f>
        <v>0</v>
      </c>
      <c r="I1385" s="3">
        <f ca="1">INDEX(INDIRECT(CONCATENATE("Tab_",Tab_Calculs[[#This Row],[Colonne1]])),Tab_Calculs[[#This Row],[index_date_livraison]],1)</f>
        <v>0</v>
      </c>
      <c r="J1385">
        <f ca="1">MATCH(Tab_Calculs[[#This Row],[Date_livraison]],INDIRECT(CONCATENATE("Tab_",Tab_Calculs[[#This Row],[Colonne1]],"[Fin de période]")),0)</f>
        <v>1</v>
      </c>
      <c r="K1385" t="e">
        <f ca="1">INDEX(INDIRECT(CONCATENATE("Tab_",Tab_Calculs[[#This Row],[Colonne1]])),Tab_Calculs[[#This Row],[index_date_livraison]]-1,6)*(MAX(Tab_Calculs[[#This Row],[Début periode livraison]],Tab_Calculs[[#This Row],[Début mois]])-Tab_Calculs[[#This Row],[Début mois]])</f>
        <v>#VALUE!</v>
      </c>
      <c r="L1385" s="94">
        <f ca="1">INDEX(INDIRECT(CONCATENATE("Tab_",Tab_Calculs[[#This Row],[Colonne1]])),Tab_Calculs[[#This Row],[index_date_livraison]],6)*(1+MIN(Tab_Calculs[[#This Row],[Date_livraison]],Tab_Calculs[[#This Row],[fin mois]])-MAX(Tab_Calculs[[#This Row],[Début mois]],Tab_Calculs[[#This Row],[Début periode livraison]]))</f>
        <v>0</v>
      </c>
      <c r="M1385" s="94" t="e">
        <f ca="1">INDEX(INDIRECT(CONCATENATE("Tab_",Tab_Calculs[[#This Row],[Colonne1]])),Tab_Calculs[[#This Row],[index_date_livraison]]+1,6)*(Tab_Calculs[[#This Row],[fin mois]]-MIN(Tab_Calculs[[#This Row],[fin mois]],Tab_Calculs[[#This Row],[Date_livraison]]))</f>
        <v>#VALUE!</v>
      </c>
      <c r="N1385" s="231" t="str">
        <f ca="1">IFERROR(Tab_Calculs[[#This Row],[Ratio_jour_après_livr]]+Tab_Calculs[[#This Row],[Ratio_jour_avant_livr]]+Tab_Calculs[[#This Row],[ratio_avant_debut]],"")</f>
        <v/>
      </c>
      <c r="O1385" t="e">
        <f ca="1">INDEX(INDIRECT(CONCATENATE("Tab_",Tab_Calculs[[#This Row],[Colonne1]])),Tab_Calculs[[#This Row],[index_date_livraison]]-1,7)*(MAX(Tab_Calculs[[#This Row],[Début periode livraison]],Tab_Calculs[[#This Row],[Début mois]])-Tab_Calculs[[#This Row],[Début mois]])</f>
        <v>#VALUE!</v>
      </c>
      <c r="P1385">
        <f ca="1">INDEX(INDIRECT(CONCATENATE("Tab_",Tab_Calculs[[#This Row],[Colonne1]])),Tab_Calculs[[#This Row],[index_date_livraison]],7)*(1+MIN(Tab_Calculs[[#This Row],[Date_livraison]],Tab_Calculs[[#This Row],[fin mois]])-MAX(Tab_Calculs[[#This Row],[Début mois]],Tab_Calculs[[#This Row],[Début periode livraison]]))</f>
        <v>0</v>
      </c>
      <c r="Q1385" t="e">
        <f ca="1">INDEX(INDIRECT(CONCATENATE("Tab_",Tab_Calculs[[#This Row],[Colonne1]])),Tab_Calculs[[#This Row],[index_date_livraison]]+1,7)*(Tab_Calculs[[#This Row],[fin mois]]-MIN(Tab_Calculs[[#This Row],[fin mois]],Tab_Calculs[[#This Row],[Date_livraison]]))</f>
        <v>#VALUE!</v>
      </c>
      <c r="R1385" t="e">
        <f ca="1">Tab_Calculs[[#This Row],[Ratio_Cout_après_livr]]+Tab_Calculs[[#This Row],[Ratio_Cout_avant_livr]]+Tab_Calculs[[#This Row],[Ratio_Cout_avant_debut]]</f>
        <v>#VALUE!</v>
      </c>
      <c r="S1385" t="str">
        <f ca="1">IFERROR(N1385*VLOOKUP(Tab_Calculs[[#This Row],[Colonne1]],Controle_des_données!$B$7:$G$14,6,FALSE),"")</f>
        <v/>
      </c>
      <c r="T1385" t="str">
        <f ca="1">IF(Tab_Calculs[[#This Row],[Combustible ]]="Electricité (kWh)",Tab_Calculs[[#This Row],[Conso_mois_kWh]]*2.3,Tab_Calculs[[#This Row],[Conso_mois_kWh]])</f>
        <v/>
      </c>
      <c r="U1385" t="str">
        <f ca="1">IFERROR(N1385*VLOOKUP(Tab_Calculs[[#This Row],[Colonne1]],Controle_des_données!$B$7:$H$14,7,FALSE),"")</f>
        <v/>
      </c>
      <c r="V1385">
        <f ca="1">IFERROR(Tab_Calculs[[#This Row],[Cout_mois]]/Tab_Calculs[[#This Row],[Conso_mois_kWh]],0)</f>
        <v>0</v>
      </c>
      <c r="W1385" t="str">
        <f>T(VLOOKUP(Tab_Calculs[[#This Row],[Compteur]],Site!$B$33:$G$40,3,FALSE))</f>
        <v/>
      </c>
      <c r="X1385" t="str">
        <f>T(VLOOKUP(Tab_Calculs[[#This Row],[Compteur]],Site!$B$33:$G$40,4,FALSE))</f>
        <v/>
      </c>
      <c r="Y1385" t="str">
        <f>T(VLOOKUP(Tab_Calculs[[#This Row],[Compteur]],Site!$B$33:$G$40,5,FALSE))</f>
        <v/>
      </c>
      <c r="Z1385" t="str">
        <f>T(VLOOKUP(Tab_Calculs[[#This Row],[Compteur]],Site!$B$33:$G$40,6,FALSE))</f>
        <v/>
      </c>
      <c r="AA1385">
        <f>IFERROR(GETPIVOTDATA("DJU(chauffagiste)",BDD_DJU!$P$13,"annee",Tab_Calculs[[#This Row],[ANNEE]],"mois_numero",Tab_Calculs[[#This Row],[MOIS]]),0)</f>
        <v>108.1</v>
      </c>
    </row>
    <row r="1386" spans="1:27" x14ac:dyDescent="0.25">
      <c r="A1386" s="3">
        <f>DATE(Tab_Calculs[[#This Row],[ANNEE]],Tab_Calculs[[#This Row],[MOIS]],1)</f>
        <v>41183</v>
      </c>
      <c r="B1386" s="3">
        <f>EDATE(Tab_Calculs[[#This Row],[Début mois]],1)-1</f>
        <v>41213</v>
      </c>
      <c r="C1386">
        <v>10</v>
      </c>
      <c r="D1386">
        <v>2012</v>
      </c>
      <c r="E1386" t="s">
        <v>87</v>
      </c>
      <c r="F1386" t="str">
        <f>SUBSTITUTE(Tab_Calculs[[#This Row],[Compteur]]," ","_")</f>
        <v>Compteur_8</v>
      </c>
      <c r="G1386" t="str">
        <f>T(INDEX(Site!$B$33:$G$40, MATCH(Tab_Calculs[[#This Row],[Compteur]], Site!$B$33:$B$40,0),2))</f>
        <v/>
      </c>
      <c r="H1386" s="3">
        <f t="array" aca="1" ref="H1386" ca="1">MIN(IF(INDIRECT(CONCATENATE(Tab_Calculs[[#This Row],[Colonne1]],"!$B$2:$B$243"))&gt;=Calculs_Consos!$A1386,INDIRECT(CONCATENATE(Tab_Calculs[[#This Row],[Colonne1]],"!$B$2:$B$243"))))</f>
        <v>0</v>
      </c>
      <c r="I1386" s="3">
        <f ca="1">INDEX(INDIRECT(CONCATENATE("Tab_",Tab_Calculs[[#This Row],[Colonne1]])),Tab_Calculs[[#This Row],[index_date_livraison]],1)</f>
        <v>0</v>
      </c>
      <c r="J1386">
        <f ca="1">MATCH(Tab_Calculs[[#This Row],[Date_livraison]],INDIRECT(CONCATENATE("Tab_",Tab_Calculs[[#This Row],[Colonne1]],"[Fin de période]")),0)</f>
        <v>1</v>
      </c>
      <c r="K1386" t="e">
        <f ca="1">INDEX(INDIRECT(CONCATENATE("Tab_",Tab_Calculs[[#This Row],[Colonne1]])),Tab_Calculs[[#This Row],[index_date_livraison]]-1,6)*(MAX(Tab_Calculs[[#This Row],[Début periode livraison]],Tab_Calculs[[#This Row],[Début mois]])-Tab_Calculs[[#This Row],[Début mois]])</f>
        <v>#VALUE!</v>
      </c>
      <c r="L1386" s="94">
        <f ca="1">INDEX(INDIRECT(CONCATENATE("Tab_",Tab_Calculs[[#This Row],[Colonne1]])),Tab_Calculs[[#This Row],[index_date_livraison]],6)*(1+MIN(Tab_Calculs[[#This Row],[Date_livraison]],Tab_Calculs[[#This Row],[fin mois]])-MAX(Tab_Calculs[[#This Row],[Début mois]],Tab_Calculs[[#This Row],[Début periode livraison]]))</f>
        <v>0</v>
      </c>
      <c r="M1386" s="94" t="e">
        <f ca="1">INDEX(INDIRECT(CONCATENATE("Tab_",Tab_Calculs[[#This Row],[Colonne1]])),Tab_Calculs[[#This Row],[index_date_livraison]]+1,6)*(Tab_Calculs[[#This Row],[fin mois]]-MIN(Tab_Calculs[[#This Row],[fin mois]],Tab_Calculs[[#This Row],[Date_livraison]]))</f>
        <v>#VALUE!</v>
      </c>
      <c r="N1386" s="231" t="str">
        <f ca="1">IFERROR(Tab_Calculs[[#This Row],[Ratio_jour_après_livr]]+Tab_Calculs[[#This Row],[Ratio_jour_avant_livr]]+Tab_Calculs[[#This Row],[ratio_avant_debut]],"")</f>
        <v/>
      </c>
      <c r="O1386" t="e">
        <f ca="1">INDEX(INDIRECT(CONCATENATE("Tab_",Tab_Calculs[[#This Row],[Colonne1]])),Tab_Calculs[[#This Row],[index_date_livraison]]-1,7)*(MAX(Tab_Calculs[[#This Row],[Début periode livraison]],Tab_Calculs[[#This Row],[Début mois]])-Tab_Calculs[[#This Row],[Début mois]])</f>
        <v>#VALUE!</v>
      </c>
      <c r="P1386">
        <f ca="1">INDEX(INDIRECT(CONCATENATE("Tab_",Tab_Calculs[[#This Row],[Colonne1]])),Tab_Calculs[[#This Row],[index_date_livraison]],7)*(1+MIN(Tab_Calculs[[#This Row],[Date_livraison]],Tab_Calculs[[#This Row],[fin mois]])-MAX(Tab_Calculs[[#This Row],[Début mois]],Tab_Calculs[[#This Row],[Début periode livraison]]))</f>
        <v>0</v>
      </c>
      <c r="Q1386" t="e">
        <f ca="1">INDEX(INDIRECT(CONCATENATE("Tab_",Tab_Calculs[[#This Row],[Colonne1]])),Tab_Calculs[[#This Row],[index_date_livraison]]+1,7)*(Tab_Calculs[[#This Row],[fin mois]]-MIN(Tab_Calculs[[#This Row],[fin mois]],Tab_Calculs[[#This Row],[Date_livraison]]))</f>
        <v>#VALUE!</v>
      </c>
      <c r="R1386" t="e">
        <f ca="1">Tab_Calculs[[#This Row],[Ratio_Cout_après_livr]]+Tab_Calculs[[#This Row],[Ratio_Cout_avant_livr]]+Tab_Calculs[[#This Row],[Ratio_Cout_avant_debut]]</f>
        <v>#VALUE!</v>
      </c>
      <c r="S1386" t="str">
        <f ca="1">IFERROR(N1386*VLOOKUP(Tab_Calculs[[#This Row],[Colonne1]],Controle_des_données!$B$7:$G$14,6,FALSE),"")</f>
        <v/>
      </c>
      <c r="T1386" t="str">
        <f ca="1">IF(Tab_Calculs[[#This Row],[Combustible ]]="Electricité (kWh)",Tab_Calculs[[#This Row],[Conso_mois_kWh]]*2.3,Tab_Calculs[[#This Row],[Conso_mois_kWh]])</f>
        <v/>
      </c>
      <c r="U1386" t="str">
        <f ca="1">IFERROR(N1386*VLOOKUP(Tab_Calculs[[#This Row],[Colonne1]],Controle_des_données!$B$7:$H$14,7,FALSE),"")</f>
        <v/>
      </c>
      <c r="V1386">
        <f ca="1">IFERROR(Tab_Calculs[[#This Row],[Cout_mois]]/Tab_Calculs[[#This Row],[Conso_mois_kWh]],0)</f>
        <v>0</v>
      </c>
      <c r="W1386" t="str">
        <f>T(VLOOKUP(Tab_Calculs[[#This Row],[Compteur]],Site!$B$33:$G$40,3,FALSE))</f>
        <v/>
      </c>
      <c r="X1386" t="str">
        <f>T(VLOOKUP(Tab_Calculs[[#This Row],[Compteur]],Site!$B$33:$G$40,4,FALSE))</f>
        <v/>
      </c>
      <c r="Y1386" t="str">
        <f>T(VLOOKUP(Tab_Calculs[[#This Row],[Compteur]],Site!$B$33:$G$40,5,FALSE))</f>
        <v/>
      </c>
      <c r="Z1386" t="str">
        <f>T(VLOOKUP(Tab_Calculs[[#This Row],[Compteur]],Site!$B$33:$G$40,6,FALSE))</f>
        <v/>
      </c>
      <c r="AA1386">
        <f>IFERROR(GETPIVOTDATA("DJU(chauffagiste)",BDD_DJU!$P$13,"annee",Tab_Calculs[[#This Row],[ANNEE]],"mois_numero",Tab_Calculs[[#This Row],[MOIS]]),0)</f>
        <v>161.69999999999999</v>
      </c>
    </row>
    <row r="1387" spans="1:27" x14ac:dyDescent="0.25">
      <c r="A1387" s="3">
        <f>DATE(Tab_Calculs[[#This Row],[ANNEE]],Tab_Calculs[[#This Row],[MOIS]],1)</f>
        <v>41214</v>
      </c>
      <c r="B1387" s="3">
        <f>EDATE(Tab_Calculs[[#This Row],[Début mois]],1)-1</f>
        <v>41243</v>
      </c>
      <c r="C1387">
        <v>11</v>
      </c>
      <c r="D1387">
        <v>2012</v>
      </c>
      <c r="E1387" t="s">
        <v>87</v>
      </c>
      <c r="F1387" t="str">
        <f>SUBSTITUTE(Tab_Calculs[[#This Row],[Compteur]]," ","_")</f>
        <v>Compteur_8</v>
      </c>
      <c r="G1387" t="str">
        <f>T(INDEX(Site!$B$33:$G$40, MATCH(Tab_Calculs[[#This Row],[Compteur]], Site!$B$33:$B$40,0),2))</f>
        <v/>
      </c>
      <c r="H1387" s="3">
        <f t="array" aca="1" ref="H1387" ca="1">MIN(IF(INDIRECT(CONCATENATE(Tab_Calculs[[#This Row],[Colonne1]],"!$B$2:$B$243"))&gt;=Calculs_Consos!$A1387,INDIRECT(CONCATENATE(Tab_Calculs[[#This Row],[Colonne1]],"!$B$2:$B$243"))))</f>
        <v>0</v>
      </c>
      <c r="I1387" s="3">
        <f ca="1">INDEX(INDIRECT(CONCATENATE("Tab_",Tab_Calculs[[#This Row],[Colonne1]])),Tab_Calculs[[#This Row],[index_date_livraison]],1)</f>
        <v>0</v>
      </c>
      <c r="J1387">
        <f ca="1">MATCH(Tab_Calculs[[#This Row],[Date_livraison]],INDIRECT(CONCATENATE("Tab_",Tab_Calculs[[#This Row],[Colonne1]],"[Fin de période]")),0)</f>
        <v>1</v>
      </c>
      <c r="K1387" t="e">
        <f ca="1">INDEX(INDIRECT(CONCATENATE("Tab_",Tab_Calculs[[#This Row],[Colonne1]])),Tab_Calculs[[#This Row],[index_date_livraison]]-1,6)*(MAX(Tab_Calculs[[#This Row],[Début periode livraison]],Tab_Calculs[[#This Row],[Début mois]])-Tab_Calculs[[#This Row],[Début mois]])</f>
        <v>#VALUE!</v>
      </c>
      <c r="L1387" s="94">
        <f ca="1">INDEX(INDIRECT(CONCATENATE("Tab_",Tab_Calculs[[#This Row],[Colonne1]])),Tab_Calculs[[#This Row],[index_date_livraison]],6)*(1+MIN(Tab_Calculs[[#This Row],[Date_livraison]],Tab_Calculs[[#This Row],[fin mois]])-MAX(Tab_Calculs[[#This Row],[Début mois]],Tab_Calculs[[#This Row],[Début periode livraison]]))</f>
        <v>0</v>
      </c>
      <c r="M1387" s="94" t="e">
        <f ca="1">INDEX(INDIRECT(CONCATENATE("Tab_",Tab_Calculs[[#This Row],[Colonne1]])),Tab_Calculs[[#This Row],[index_date_livraison]]+1,6)*(Tab_Calculs[[#This Row],[fin mois]]-MIN(Tab_Calculs[[#This Row],[fin mois]],Tab_Calculs[[#This Row],[Date_livraison]]))</f>
        <v>#VALUE!</v>
      </c>
      <c r="N1387" s="231" t="str">
        <f ca="1">IFERROR(Tab_Calculs[[#This Row],[Ratio_jour_après_livr]]+Tab_Calculs[[#This Row],[Ratio_jour_avant_livr]]+Tab_Calculs[[#This Row],[ratio_avant_debut]],"")</f>
        <v/>
      </c>
      <c r="O1387" t="e">
        <f ca="1">INDEX(INDIRECT(CONCATENATE("Tab_",Tab_Calculs[[#This Row],[Colonne1]])),Tab_Calculs[[#This Row],[index_date_livraison]]-1,7)*(MAX(Tab_Calculs[[#This Row],[Début periode livraison]],Tab_Calculs[[#This Row],[Début mois]])-Tab_Calculs[[#This Row],[Début mois]])</f>
        <v>#VALUE!</v>
      </c>
      <c r="P1387">
        <f ca="1">INDEX(INDIRECT(CONCATENATE("Tab_",Tab_Calculs[[#This Row],[Colonne1]])),Tab_Calculs[[#This Row],[index_date_livraison]],7)*(1+MIN(Tab_Calculs[[#This Row],[Date_livraison]],Tab_Calculs[[#This Row],[fin mois]])-MAX(Tab_Calculs[[#This Row],[Début mois]],Tab_Calculs[[#This Row],[Début periode livraison]]))</f>
        <v>0</v>
      </c>
      <c r="Q1387" t="e">
        <f ca="1">INDEX(INDIRECT(CONCATENATE("Tab_",Tab_Calculs[[#This Row],[Colonne1]])),Tab_Calculs[[#This Row],[index_date_livraison]]+1,7)*(Tab_Calculs[[#This Row],[fin mois]]-MIN(Tab_Calculs[[#This Row],[fin mois]],Tab_Calculs[[#This Row],[Date_livraison]]))</f>
        <v>#VALUE!</v>
      </c>
      <c r="R1387" t="e">
        <f ca="1">Tab_Calculs[[#This Row],[Ratio_Cout_après_livr]]+Tab_Calculs[[#This Row],[Ratio_Cout_avant_livr]]+Tab_Calculs[[#This Row],[Ratio_Cout_avant_debut]]</f>
        <v>#VALUE!</v>
      </c>
      <c r="S1387" t="str">
        <f ca="1">IFERROR(N1387*VLOOKUP(Tab_Calculs[[#This Row],[Colonne1]],Controle_des_données!$B$7:$G$14,6,FALSE),"")</f>
        <v/>
      </c>
      <c r="T1387" t="str">
        <f ca="1">IF(Tab_Calculs[[#This Row],[Combustible ]]="Electricité (kWh)",Tab_Calculs[[#This Row],[Conso_mois_kWh]]*2.3,Tab_Calculs[[#This Row],[Conso_mois_kWh]])</f>
        <v/>
      </c>
      <c r="U1387" t="str">
        <f ca="1">IFERROR(N1387*VLOOKUP(Tab_Calculs[[#This Row],[Colonne1]],Controle_des_données!$B$7:$H$14,7,FALSE),"")</f>
        <v/>
      </c>
      <c r="V1387">
        <f ca="1">IFERROR(Tab_Calculs[[#This Row],[Cout_mois]]/Tab_Calculs[[#This Row],[Conso_mois_kWh]],0)</f>
        <v>0</v>
      </c>
      <c r="W1387" t="str">
        <f>T(VLOOKUP(Tab_Calculs[[#This Row],[Compteur]],Site!$B$33:$G$40,3,FALSE))</f>
        <v/>
      </c>
      <c r="X1387" t="str">
        <f>T(VLOOKUP(Tab_Calculs[[#This Row],[Compteur]],Site!$B$33:$G$40,4,FALSE))</f>
        <v/>
      </c>
      <c r="Y1387" t="str">
        <f>T(VLOOKUP(Tab_Calculs[[#This Row],[Compteur]],Site!$B$33:$G$40,5,FALSE))</f>
        <v/>
      </c>
      <c r="Z1387" t="str">
        <f>T(VLOOKUP(Tab_Calculs[[#This Row],[Compteur]],Site!$B$33:$G$40,6,FALSE))</f>
        <v/>
      </c>
      <c r="AA1387">
        <f>IFERROR(GETPIVOTDATA("DJU(chauffagiste)",BDD_DJU!$P$13,"annee",Tab_Calculs[[#This Row],[ANNEE]],"mois_numero",Tab_Calculs[[#This Row],[MOIS]]),0)</f>
        <v>300.39999999999998</v>
      </c>
    </row>
    <row r="1388" spans="1:27" x14ac:dyDescent="0.25">
      <c r="A1388" s="3">
        <f>DATE(Tab_Calculs[[#This Row],[ANNEE]],Tab_Calculs[[#This Row],[MOIS]],1)</f>
        <v>41244</v>
      </c>
      <c r="B1388" s="3">
        <f>EDATE(Tab_Calculs[[#This Row],[Début mois]],1)-1</f>
        <v>41274</v>
      </c>
      <c r="C1388">
        <v>12</v>
      </c>
      <c r="D1388">
        <v>2012</v>
      </c>
      <c r="E1388" t="s">
        <v>87</v>
      </c>
      <c r="F1388" t="str">
        <f>SUBSTITUTE(Tab_Calculs[[#This Row],[Compteur]]," ","_")</f>
        <v>Compteur_8</v>
      </c>
      <c r="G1388" t="str">
        <f>T(INDEX(Site!$B$33:$G$40, MATCH(Tab_Calculs[[#This Row],[Compteur]], Site!$B$33:$B$40,0),2))</f>
        <v/>
      </c>
      <c r="H1388" s="3">
        <f t="array" aca="1" ref="H1388" ca="1">MIN(IF(INDIRECT(CONCATENATE(Tab_Calculs[[#This Row],[Colonne1]],"!$B$2:$B$243"))&gt;=Calculs_Consos!$A1388,INDIRECT(CONCATENATE(Tab_Calculs[[#This Row],[Colonne1]],"!$B$2:$B$243"))))</f>
        <v>0</v>
      </c>
      <c r="I1388" s="3">
        <f ca="1">INDEX(INDIRECT(CONCATENATE("Tab_",Tab_Calculs[[#This Row],[Colonne1]])),Tab_Calculs[[#This Row],[index_date_livraison]],1)</f>
        <v>0</v>
      </c>
      <c r="J1388">
        <f ca="1">MATCH(Tab_Calculs[[#This Row],[Date_livraison]],INDIRECT(CONCATENATE("Tab_",Tab_Calculs[[#This Row],[Colonne1]],"[Fin de période]")),0)</f>
        <v>1</v>
      </c>
      <c r="K1388" t="e">
        <f ca="1">INDEX(INDIRECT(CONCATENATE("Tab_",Tab_Calculs[[#This Row],[Colonne1]])),Tab_Calculs[[#This Row],[index_date_livraison]]-1,6)*(MAX(Tab_Calculs[[#This Row],[Début periode livraison]],Tab_Calculs[[#This Row],[Début mois]])-Tab_Calculs[[#This Row],[Début mois]])</f>
        <v>#VALUE!</v>
      </c>
      <c r="L1388" s="94">
        <f ca="1">INDEX(INDIRECT(CONCATENATE("Tab_",Tab_Calculs[[#This Row],[Colonne1]])),Tab_Calculs[[#This Row],[index_date_livraison]],6)*(1+MIN(Tab_Calculs[[#This Row],[Date_livraison]],Tab_Calculs[[#This Row],[fin mois]])-MAX(Tab_Calculs[[#This Row],[Début mois]],Tab_Calculs[[#This Row],[Début periode livraison]]))</f>
        <v>0</v>
      </c>
      <c r="M1388" s="94" t="e">
        <f ca="1">INDEX(INDIRECT(CONCATENATE("Tab_",Tab_Calculs[[#This Row],[Colonne1]])),Tab_Calculs[[#This Row],[index_date_livraison]]+1,6)*(Tab_Calculs[[#This Row],[fin mois]]-MIN(Tab_Calculs[[#This Row],[fin mois]],Tab_Calculs[[#This Row],[Date_livraison]]))</f>
        <v>#VALUE!</v>
      </c>
      <c r="N1388" s="231" t="str">
        <f ca="1">IFERROR(Tab_Calculs[[#This Row],[Ratio_jour_après_livr]]+Tab_Calculs[[#This Row],[Ratio_jour_avant_livr]]+Tab_Calculs[[#This Row],[ratio_avant_debut]],"")</f>
        <v/>
      </c>
      <c r="O1388" t="e">
        <f ca="1">INDEX(INDIRECT(CONCATENATE("Tab_",Tab_Calculs[[#This Row],[Colonne1]])),Tab_Calculs[[#This Row],[index_date_livraison]]-1,7)*(MAX(Tab_Calculs[[#This Row],[Début periode livraison]],Tab_Calculs[[#This Row],[Début mois]])-Tab_Calculs[[#This Row],[Début mois]])</f>
        <v>#VALUE!</v>
      </c>
      <c r="P1388">
        <f ca="1">INDEX(INDIRECT(CONCATENATE("Tab_",Tab_Calculs[[#This Row],[Colonne1]])),Tab_Calculs[[#This Row],[index_date_livraison]],7)*(1+MIN(Tab_Calculs[[#This Row],[Date_livraison]],Tab_Calculs[[#This Row],[fin mois]])-MAX(Tab_Calculs[[#This Row],[Début mois]],Tab_Calculs[[#This Row],[Début periode livraison]]))</f>
        <v>0</v>
      </c>
      <c r="Q1388" t="e">
        <f ca="1">INDEX(INDIRECT(CONCATENATE("Tab_",Tab_Calculs[[#This Row],[Colonne1]])),Tab_Calculs[[#This Row],[index_date_livraison]]+1,7)*(Tab_Calculs[[#This Row],[fin mois]]-MIN(Tab_Calculs[[#This Row],[fin mois]],Tab_Calculs[[#This Row],[Date_livraison]]))</f>
        <v>#VALUE!</v>
      </c>
      <c r="R1388" t="e">
        <f ca="1">Tab_Calculs[[#This Row],[Ratio_Cout_après_livr]]+Tab_Calculs[[#This Row],[Ratio_Cout_avant_livr]]+Tab_Calculs[[#This Row],[Ratio_Cout_avant_debut]]</f>
        <v>#VALUE!</v>
      </c>
      <c r="S1388" t="str">
        <f ca="1">IFERROR(N1388*VLOOKUP(Tab_Calculs[[#This Row],[Colonne1]],Controle_des_données!$B$7:$G$14,6,FALSE),"")</f>
        <v/>
      </c>
      <c r="T1388" t="str">
        <f ca="1">IF(Tab_Calculs[[#This Row],[Combustible ]]="Electricité (kWh)",Tab_Calculs[[#This Row],[Conso_mois_kWh]]*2.3,Tab_Calculs[[#This Row],[Conso_mois_kWh]])</f>
        <v/>
      </c>
      <c r="U1388" t="str">
        <f ca="1">IFERROR(N1388*VLOOKUP(Tab_Calculs[[#This Row],[Colonne1]],Controle_des_données!$B$7:$H$14,7,FALSE),"")</f>
        <v/>
      </c>
      <c r="V1388">
        <f ca="1">IFERROR(Tab_Calculs[[#This Row],[Cout_mois]]/Tab_Calculs[[#This Row],[Conso_mois_kWh]],0)</f>
        <v>0</v>
      </c>
      <c r="W1388" t="str">
        <f>T(VLOOKUP(Tab_Calculs[[#This Row],[Compteur]],Site!$B$33:$G$40,3,FALSE))</f>
        <v/>
      </c>
      <c r="X1388" t="str">
        <f>T(VLOOKUP(Tab_Calculs[[#This Row],[Compteur]],Site!$B$33:$G$40,4,FALSE))</f>
        <v/>
      </c>
      <c r="Y1388" t="str">
        <f>T(VLOOKUP(Tab_Calculs[[#This Row],[Compteur]],Site!$B$33:$G$40,5,FALSE))</f>
        <v/>
      </c>
      <c r="Z1388" t="str">
        <f>T(VLOOKUP(Tab_Calculs[[#This Row],[Compteur]],Site!$B$33:$G$40,6,FALSE))</f>
        <v/>
      </c>
      <c r="AA1388">
        <f>IFERROR(GETPIVOTDATA("DJU(chauffagiste)",BDD_DJU!$P$13,"annee",Tab_Calculs[[#This Row],[ANNEE]],"mois_numero",Tab_Calculs[[#This Row],[MOIS]]),0)</f>
        <v>333.7</v>
      </c>
    </row>
    <row r="1389" spans="1:27" x14ac:dyDescent="0.25">
      <c r="A1389" s="3">
        <f>DATE(Tab_Calculs[[#This Row],[ANNEE]],Tab_Calculs[[#This Row],[MOIS]],1)</f>
        <v>41275</v>
      </c>
      <c r="B1389" s="3">
        <f>EDATE(Tab_Calculs[[#This Row],[Début mois]],1)-1</f>
        <v>41305</v>
      </c>
      <c r="C1389">
        <v>1</v>
      </c>
      <c r="D1389">
        <v>2013</v>
      </c>
      <c r="E1389" t="s">
        <v>87</v>
      </c>
      <c r="F1389" t="str">
        <f>SUBSTITUTE(Tab_Calculs[[#This Row],[Compteur]]," ","_")</f>
        <v>Compteur_8</v>
      </c>
      <c r="G1389" t="str">
        <f>T(INDEX(Site!$B$33:$G$40, MATCH(Tab_Calculs[[#This Row],[Compteur]], Site!$B$33:$B$40,0),2))</f>
        <v/>
      </c>
      <c r="H1389" s="3">
        <f t="array" aca="1" ref="H1389" ca="1">MIN(IF(INDIRECT(CONCATENATE(Tab_Calculs[[#This Row],[Colonne1]],"!$B$2:$B$243"))&gt;=Calculs_Consos!$A1389,INDIRECT(CONCATENATE(Tab_Calculs[[#This Row],[Colonne1]],"!$B$2:$B$243"))))</f>
        <v>0</v>
      </c>
      <c r="I1389" s="3">
        <f ca="1">INDEX(INDIRECT(CONCATENATE("Tab_",Tab_Calculs[[#This Row],[Colonne1]])),Tab_Calculs[[#This Row],[index_date_livraison]],1)</f>
        <v>0</v>
      </c>
      <c r="J1389">
        <f ca="1">MATCH(Tab_Calculs[[#This Row],[Date_livraison]],INDIRECT(CONCATENATE("Tab_",Tab_Calculs[[#This Row],[Colonne1]],"[Fin de période]")),0)</f>
        <v>1</v>
      </c>
      <c r="K1389" t="e">
        <f ca="1">INDEX(INDIRECT(CONCATENATE("Tab_",Tab_Calculs[[#This Row],[Colonne1]])),Tab_Calculs[[#This Row],[index_date_livraison]]-1,6)*(MAX(Tab_Calculs[[#This Row],[Début periode livraison]],Tab_Calculs[[#This Row],[Début mois]])-Tab_Calculs[[#This Row],[Début mois]])</f>
        <v>#VALUE!</v>
      </c>
      <c r="L1389" s="94">
        <f ca="1">INDEX(INDIRECT(CONCATENATE("Tab_",Tab_Calculs[[#This Row],[Colonne1]])),Tab_Calculs[[#This Row],[index_date_livraison]],6)*(1+MIN(Tab_Calculs[[#This Row],[Date_livraison]],Tab_Calculs[[#This Row],[fin mois]])-MAX(Tab_Calculs[[#This Row],[Début mois]],Tab_Calculs[[#This Row],[Début periode livraison]]))</f>
        <v>0</v>
      </c>
      <c r="M1389" s="94" t="e">
        <f ca="1">INDEX(INDIRECT(CONCATENATE("Tab_",Tab_Calculs[[#This Row],[Colonne1]])),Tab_Calculs[[#This Row],[index_date_livraison]]+1,6)*(Tab_Calculs[[#This Row],[fin mois]]-MIN(Tab_Calculs[[#This Row],[fin mois]],Tab_Calculs[[#This Row],[Date_livraison]]))</f>
        <v>#VALUE!</v>
      </c>
      <c r="N1389" s="231" t="str">
        <f ca="1">IFERROR(Tab_Calculs[[#This Row],[Ratio_jour_après_livr]]+Tab_Calculs[[#This Row],[Ratio_jour_avant_livr]]+Tab_Calculs[[#This Row],[ratio_avant_debut]],"")</f>
        <v/>
      </c>
      <c r="O1389" t="e">
        <f ca="1">INDEX(INDIRECT(CONCATENATE("Tab_",Tab_Calculs[[#This Row],[Colonne1]])),Tab_Calculs[[#This Row],[index_date_livraison]]-1,7)*(MAX(Tab_Calculs[[#This Row],[Début periode livraison]],Tab_Calculs[[#This Row],[Début mois]])-Tab_Calculs[[#This Row],[Début mois]])</f>
        <v>#VALUE!</v>
      </c>
      <c r="P1389">
        <f ca="1">INDEX(INDIRECT(CONCATENATE("Tab_",Tab_Calculs[[#This Row],[Colonne1]])),Tab_Calculs[[#This Row],[index_date_livraison]],7)*(1+MIN(Tab_Calculs[[#This Row],[Date_livraison]],Tab_Calculs[[#This Row],[fin mois]])-MAX(Tab_Calculs[[#This Row],[Début mois]],Tab_Calculs[[#This Row],[Début periode livraison]]))</f>
        <v>0</v>
      </c>
      <c r="Q1389" t="e">
        <f ca="1">INDEX(INDIRECT(CONCATENATE("Tab_",Tab_Calculs[[#This Row],[Colonne1]])),Tab_Calculs[[#This Row],[index_date_livraison]]+1,7)*(Tab_Calculs[[#This Row],[fin mois]]-MIN(Tab_Calculs[[#This Row],[fin mois]],Tab_Calculs[[#This Row],[Date_livraison]]))</f>
        <v>#VALUE!</v>
      </c>
      <c r="R1389" t="e">
        <f ca="1">Tab_Calculs[[#This Row],[Ratio_Cout_après_livr]]+Tab_Calculs[[#This Row],[Ratio_Cout_avant_livr]]+Tab_Calculs[[#This Row],[Ratio_Cout_avant_debut]]</f>
        <v>#VALUE!</v>
      </c>
      <c r="S1389" t="str">
        <f ca="1">IFERROR(N1389*VLOOKUP(Tab_Calculs[[#This Row],[Colonne1]],Controle_des_données!$B$7:$G$14,6,FALSE),"")</f>
        <v/>
      </c>
      <c r="T1389" t="str">
        <f ca="1">IF(Tab_Calculs[[#This Row],[Combustible ]]="Electricité (kWh)",Tab_Calculs[[#This Row],[Conso_mois_kWh]]*2.3,Tab_Calculs[[#This Row],[Conso_mois_kWh]])</f>
        <v/>
      </c>
      <c r="U1389" t="str">
        <f ca="1">IFERROR(N1389*VLOOKUP(Tab_Calculs[[#This Row],[Colonne1]],Controle_des_données!$B$7:$H$14,7,FALSE),"")</f>
        <v/>
      </c>
      <c r="V1389">
        <f ca="1">IFERROR(Tab_Calculs[[#This Row],[Cout_mois]]/Tab_Calculs[[#This Row],[Conso_mois_kWh]],0)</f>
        <v>0</v>
      </c>
      <c r="W1389" t="str">
        <f>T(VLOOKUP(Tab_Calculs[[#This Row],[Compteur]],Site!$B$33:$G$40,3,FALSE))</f>
        <v/>
      </c>
      <c r="X1389" t="str">
        <f>T(VLOOKUP(Tab_Calculs[[#This Row],[Compteur]],Site!$B$33:$G$40,4,FALSE))</f>
        <v/>
      </c>
      <c r="Y1389" t="str">
        <f>T(VLOOKUP(Tab_Calculs[[#This Row],[Compteur]],Site!$B$33:$G$40,5,FALSE))</f>
        <v/>
      </c>
      <c r="Z1389" t="str">
        <f>T(VLOOKUP(Tab_Calculs[[#This Row],[Compteur]],Site!$B$33:$G$40,6,FALSE))</f>
        <v/>
      </c>
      <c r="AA1389">
        <f>IFERROR(GETPIVOTDATA("DJU(chauffagiste)",BDD_DJU!$P$13,"annee",Tab_Calculs[[#This Row],[ANNEE]],"mois_numero",Tab_Calculs[[#This Row],[MOIS]]),0)</f>
        <v>409.5</v>
      </c>
    </row>
    <row r="1390" spans="1:27" x14ac:dyDescent="0.25">
      <c r="A1390" s="3">
        <f>DATE(Tab_Calculs[[#This Row],[ANNEE]],Tab_Calculs[[#This Row],[MOIS]],1)</f>
        <v>41306</v>
      </c>
      <c r="B1390" s="3">
        <f>EDATE(Tab_Calculs[[#This Row],[Début mois]],1)-1</f>
        <v>41333</v>
      </c>
      <c r="C1390">
        <v>2</v>
      </c>
      <c r="D1390">
        <v>2013</v>
      </c>
      <c r="E1390" t="s">
        <v>87</v>
      </c>
      <c r="F1390" t="str">
        <f>SUBSTITUTE(Tab_Calculs[[#This Row],[Compteur]]," ","_")</f>
        <v>Compteur_8</v>
      </c>
      <c r="G1390" t="str">
        <f>T(INDEX(Site!$B$33:$G$40, MATCH(Tab_Calculs[[#This Row],[Compteur]], Site!$B$33:$B$40,0),2))</f>
        <v/>
      </c>
      <c r="H1390" s="3">
        <f t="array" aca="1" ref="H1390" ca="1">MIN(IF(INDIRECT(CONCATENATE(Tab_Calculs[[#This Row],[Colonne1]],"!$B$2:$B$243"))&gt;=Calculs_Consos!$A1390,INDIRECT(CONCATENATE(Tab_Calculs[[#This Row],[Colonne1]],"!$B$2:$B$243"))))</f>
        <v>0</v>
      </c>
      <c r="I1390" s="3">
        <f ca="1">INDEX(INDIRECT(CONCATENATE("Tab_",Tab_Calculs[[#This Row],[Colonne1]])),Tab_Calculs[[#This Row],[index_date_livraison]],1)</f>
        <v>0</v>
      </c>
      <c r="J1390">
        <f ca="1">MATCH(Tab_Calculs[[#This Row],[Date_livraison]],INDIRECT(CONCATENATE("Tab_",Tab_Calculs[[#This Row],[Colonne1]],"[Fin de période]")),0)</f>
        <v>1</v>
      </c>
      <c r="K1390" t="e">
        <f ca="1">INDEX(INDIRECT(CONCATENATE("Tab_",Tab_Calculs[[#This Row],[Colonne1]])),Tab_Calculs[[#This Row],[index_date_livraison]]-1,6)*(MAX(Tab_Calculs[[#This Row],[Début periode livraison]],Tab_Calculs[[#This Row],[Début mois]])-Tab_Calculs[[#This Row],[Début mois]])</f>
        <v>#VALUE!</v>
      </c>
      <c r="L1390" s="94">
        <f ca="1">INDEX(INDIRECT(CONCATENATE("Tab_",Tab_Calculs[[#This Row],[Colonne1]])),Tab_Calculs[[#This Row],[index_date_livraison]],6)*(1+MIN(Tab_Calculs[[#This Row],[Date_livraison]],Tab_Calculs[[#This Row],[fin mois]])-MAX(Tab_Calculs[[#This Row],[Début mois]],Tab_Calculs[[#This Row],[Début periode livraison]]))</f>
        <v>0</v>
      </c>
      <c r="M1390" s="94" t="e">
        <f ca="1">INDEX(INDIRECT(CONCATENATE("Tab_",Tab_Calculs[[#This Row],[Colonne1]])),Tab_Calculs[[#This Row],[index_date_livraison]]+1,6)*(Tab_Calculs[[#This Row],[fin mois]]-MIN(Tab_Calculs[[#This Row],[fin mois]],Tab_Calculs[[#This Row],[Date_livraison]]))</f>
        <v>#VALUE!</v>
      </c>
      <c r="N1390" s="231" t="str">
        <f ca="1">IFERROR(Tab_Calculs[[#This Row],[Ratio_jour_après_livr]]+Tab_Calculs[[#This Row],[Ratio_jour_avant_livr]]+Tab_Calculs[[#This Row],[ratio_avant_debut]],"")</f>
        <v/>
      </c>
      <c r="O1390" t="e">
        <f ca="1">INDEX(INDIRECT(CONCATENATE("Tab_",Tab_Calculs[[#This Row],[Colonne1]])),Tab_Calculs[[#This Row],[index_date_livraison]]-1,7)*(MAX(Tab_Calculs[[#This Row],[Début periode livraison]],Tab_Calculs[[#This Row],[Début mois]])-Tab_Calculs[[#This Row],[Début mois]])</f>
        <v>#VALUE!</v>
      </c>
      <c r="P1390">
        <f ca="1">INDEX(INDIRECT(CONCATENATE("Tab_",Tab_Calculs[[#This Row],[Colonne1]])),Tab_Calculs[[#This Row],[index_date_livraison]],7)*(1+MIN(Tab_Calculs[[#This Row],[Date_livraison]],Tab_Calculs[[#This Row],[fin mois]])-MAX(Tab_Calculs[[#This Row],[Début mois]],Tab_Calculs[[#This Row],[Début periode livraison]]))</f>
        <v>0</v>
      </c>
      <c r="Q1390" t="e">
        <f ca="1">INDEX(INDIRECT(CONCATENATE("Tab_",Tab_Calculs[[#This Row],[Colonne1]])),Tab_Calculs[[#This Row],[index_date_livraison]]+1,7)*(Tab_Calculs[[#This Row],[fin mois]]-MIN(Tab_Calculs[[#This Row],[fin mois]],Tab_Calculs[[#This Row],[Date_livraison]]))</f>
        <v>#VALUE!</v>
      </c>
      <c r="R1390" t="e">
        <f ca="1">Tab_Calculs[[#This Row],[Ratio_Cout_après_livr]]+Tab_Calculs[[#This Row],[Ratio_Cout_avant_livr]]+Tab_Calculs[[#This Row],[Ratio_Cout_avant_debut]]</f>
        <v>#VALUE!</v>
      </c>
      <c r="S1390" t="str">
        <f ca="1">IFERROR(N1390*VLOOKUP(Tab_Calculs[[#This Row],[Colonne1]],Controle_des_données!$B$7:$G$14,6,FALSE),"")</f>
        <v/>
      </c>
      <c r="T1390" t="str">
        <f ca="1">IF(Tab_Calculs[[#This Row],[Combustible ]]="Electricité (kWh)",Tab_Calculs[[#This Row],[Conso_mois_kWh]]*2.3,Tab_Calculs[[#This Row],[Conso_mois_kWh]])</f>
        <v/>
      </c>
      <c r="U1390" t="str">
        <f ca="1">IFERROR(N1390*VLOOKUP(Tab_Calculs[[#This Row],[Colonne1]],Controle_des_données!$B$7:$H$14,7,FALSE),"")</f>
        <v/>
      </c>
      <c r="V1390">
        <f ca="1">IFERROR(Tab_Calculs[[#This Row],[Cout_mois]]/Tab_Calculs[[#This Row],[Conso_mois_kWh]],0)</f>
        <v>0</v>
      </c>
      <c r="W1390" t="str">
        <f>T(VLOOKUP(Tab_Calculs[[#This Row],[Compteur]],Site!$B$33:$G$40,3,FALSE))</f>
        <v/>
      </c>
      <c r="X1390" t="str">
        <f>T(VLOOKUP(Tab_Calculs[[#This Row],[Compteur]],Site!$B$33:$G$40,4,FALSE))</f>
        <v/>
      </c>
      <c r="Y1390" t="str">
        <f>T(VLOOKUP(Tab_Calculs[[#This Row],[Compteur]],Site!$B$33:$G$40,5,FALSE))</f>
        <v/>
      </c>
      <c r="Z1390" t="str">
        <f>T(VLOOKUP(Tab_Calculs[[#This Row],[Compteur]],Site!$B$33:$G$40,6,FALSE))</f>
        <v/>
      </c>
      <c r="AA1390">
        <f>IFERROR(GETPIVOTDATA("DJU(chauffagiste)",BDD_DJU!$P$13,"annee",Tab_Calculs[[#This Row],[ANNEE]],"mois_numero",Tab_Calculs[[#This Row],[MOIS]]),0)</f>
        <v>389.8</v>
      </c>
    </row>
    <row r="1391" spans="1:27" x14ac:dyDescent="0.25">
      <c r="A1391" s="3">
        <f>DATE(Tab_Calculs[[#This Row],[ANNEE]],Tab_Calculs[[#This Row],[MOIS]],1)</f>
        <v>41334</v>
      </c>
      <c r="B1391" s="3">
        <f>EDATE(Tab_Calculs[[#This Row],[Début mois]],1)-1</f>
        <v>41364</v>
      </c>
      <c r="C1391">
        <v>3</v>
      </c>
      <c r="D1391">
        <v>2013</v>
      </c>
      <c r="E1391" t="s">
        <v>87</v>
      </c>
      <c r="F1391" t="str">
        <f>SUBSTITUTE(Tab_Calculs[[#This Row],[Compteur]]," ","_")</f>
        <v>Compteur_8</v>
      </c>
      <c r="G1391" t="str">
        <f>T(INDEX(Site!$B$33:$G$40, MATCH(Tab_Calculs[[#This Row],[Compteur]], Site!$B$33:$B$40,0),2))</f>
        <v/>
      </c>
      <c r="H1391" s="3">
        <f t="array" aca="1" ref="H1391" ca="1">MIN(IF(INDIRECT(CONCATENATE(Tab_Calculs[[#This Row],[Colonne1]],"!$B$2:$B$243"))&gt;=Calculs_Consos!$A1391,INDIRECT(CONCATENATE(Tab_Calculs[[#This Row],[Colonne1]],"!$B$2:$B$243"))))</f>
        <v>0</v>
      </c>
      <c r="I1391" s="3">
        <f ca="1">INDEX(INDIRECT(CONCATENATE("Tab_",Tab_Calculs[[#This Row],[Colonne1]])),Tab_Calculs[[#This Row],[index_date_livraison]],1)</f>
        <v>0</v>
      </c>
      <c r="J1391">
        <f ca="1">MATCH(Tab_Calculs[[#This Row],[Date_livraison]],INDIRECT(CONCATENATE("Tab_",Tab_Calculs[[#This Row],[Colonne1]],"[Fin de période]")),0)</f>
        <v>1</v>
      </c>
      <c r="K1391" t="e">
        <f ca="1">INDEX(INDIRECT(CONCATENATE("Tab_",Tab_Calculs[[#This Row],[Colonne1]])),Tab_Calculs[[#This Row],[index_date_livraison]]-1,6)*(MAX(Tab_Calculs[[#This Row],[Début periode livraison]],Tab_Calculs[[#This Row],[Début mois]])-Tab_Calculs[[#This Row],[Début mois]])</f>
        <v>#VALUE!</v>
      </c>
      <c r="L1391" s="94">
        <f ca="1">INDEX(INDIRECT(CONCATENATE("Tab_",Tab_Calculs[[#This Row],[Colonne1]])),Tab_Calculs[[#This Row],[index_date_livraison]],6)*(1+MIN(Tab_Calculs[[#This Row],[Date_livraison]],Tab_Calculs[[#This Row],[fin mois]])-MAX(Tab_Calculs[[#This Row],[Début mois]],Tab_Calculs[[#This Row],[Début periode livraison]]))</f>
        <v>0</v>
      </c>
      <c r="M1391" s="94" t="e">
        <f ca="1">INDEX(INDIRECT(CONCATENATE("Tab_",Tab_Calculs[[#This Row],[Colonne1]])),Tab_Calculs[[#This Row],[index_date_livraison]]+1,6)*(Tab_Calculs[[#This Row],[fin mois]]-MIN(Tab_Calculs[[#This Row],[fin mois]],Tab_Calculs[[#This Row],[Date_livraison]]))</f>
        <v>#VALUE!</v>
      </c>
      <c r="N1391" s="231" t="str">
        <f ca="1">IFERROR(Tab_Calculs[[#This Row],[Ratio_jour_après_livr]]+Tab_Calculs[[#This Row],[Ratio_jour_avant_livr]]+Tab_Calculs[[#This Row],[ratio_avant_debut]],"")</f>
        <v/>
      </c>
      <c r="O1391" t="e">
        <f ca="1">INDEX(INDIRECT(CONCATENATE("Tab_",Tab_Calculs[[#This Row],[Colonne1]])),Tab_Calculs[[#This Row],[index_date_livraison]]-1,7)*(MAX(Tab_Calculs[[#This Row],[Début periode livraison]],Tab_Calculs[[#This Row],[Début mois]])-Tab_Calculs[[#This Row],[Début mois]])</f>
        <v>#VALUE!</v>
      </c>
      <c r="P1391">
        <f ca="1">INDEX(INDIRECT(CONCATENATE("Tab_",Tab_Calculs[[#This Row],[Colonne1]])),Tab_Calculs[[#This Row],[index_date_livraison]],7)*(1+MIN(Tab_Calculs[[#This Row],[Date_livraison]],Tab_Calculs[[#This Row],[fin mois]])-MAX(Tab_Calculs[[#This Row],[Début mois]],Tab_Calculs[[#This Row],[Début periode livraison]]))</f>
        <v>0</v>
      </c>
      <c r="Q1391" t="e">
        <f ca="1">INDEX(INDIRECT(CONCATENATE("Tab_",Tab_Calculs[[#This Row],[Colonne1]])),Tab_Calculs[[#This Row],[index_date_livraison]]+1,7)*(Tab_Calculs[[#This Row],[fin mois]]-MIN(Tab_Calculs[[#This Row],[fin mois]],Tab_Calculs[[#This Row],[Date_livraison]]))</f>
        <v>#VALUE!</v>
      </c>
      <c r="R1391" t="e">
        <f ca="1">Tab_Calculs[[#This Row],[Ratio_Cout_après_livr]]+Tab_Calculs[[#This Row],[Ratio_Cout_avant_livr]]+Tab_Calculs[[#This Row],[Ratio_Cout_avant_debut]]</f>
        <v>#VALUE!</v>
      </c>
      <c r="S1391" t="str">
        <f ca="1">IFERROR(N1391*VLOOKUP(Tab_Calculs[[#This Row],[Colonne1]],Controle_des_données!$B$7:$G$14,6,FALSE),"")</f>
        <v/>
      </c>
      <c r="T1391" t="str">
        <f ca="1">IF(Tab_Calculs[[#This Row],[Combustible ]]="Electricité (kWh)",Tab_Calculs[[#This Row],[Conso_mois_kWh]]*2.3,Tab_Calculs[[#This Row],[Conso_mois_kWh]])</f>
        <v/>
      </c>
      <c r="U1391" t="str">
        <f ca="1">IFERROR(N1391*VLOOKUP(Tab_Calculs[[#This Row],[Colonne1]],Controle_des_données!$B$7:$H$14,7,FALSE),"")</f>
        <v/>
      </c>
      <c r="V1391">
        <f ca="1">IFERROR(Tab_Calculs[[#This Row],[Cout_mois]]/Tab_Calculs[[#This Row],[Conso_mois_kWh]],0)</f>
        <v>0</v>
      </c>
      <c r="W1391" t="str">
        <f>T(VLOOKUP(Tab_Calculs[[#This Row],[Compteur]],Site!$B$33:$G$40,3,FALSE))</f>
        <v/>
      </c>
      <c r="X1391" t="str">
        <f>T(VLOOKUP(Tab_Calculs[[#This Row],[Compteur]],Site!$B$33:$G$40,4,FALSE))</f>
        <v/>
      </c>
      <c r="Y1391" t="str">
        <f>T(VLOOKUP(Tab_Calculs[[#This Row],[Compteur]],Site!$B$33:$G$40,5,FALSE))</f>
        <v/>
      </c>
      <c r="Z1391" t="str">
        <f>T(VLOOKUP(Tab_Calculs[[#This Row],[Compteur]],Site!$B$33:$G$40,6,FALSE))</f>
        <v/>
      </c>
      <c r="AA1391">
        <f>IFERROR(GETPIVOTDATA("DJU(chauffagiste)",BDD_DJU!$P$13,"annee",Tab_Calculs[[#This Row],[ANNEE]],"mois_numero",Tab_Calculs[[#This Row],[MOIS]]),0)</f>
        <v>360.4</v>
      </c>
    </row>
    <row r="1392" spans="1:27" x14ac:dyDescent="0.25">
      <c r="A1392" s="3">
        <f>DATE(Tab_Calculs[[#This Row],[ANNEE]],Tab_Calculs[[#This Row],[MOIS]],1)</f>
        <v>41365</v>
      </c>
      <c r="B1392" s="3">
        <f>EDATE(Tab_Calculs[[#This Row],[Début mois]],1)-1</f>
        <v>41394</v>
      </c>
      <c r="C1392">
        <v>4</v>
      </c>
      <c r="D1392">
        <v>2013</v>
      </c>
      <c r="E1392" t="s">
        <v>87</v>
      </c>
      <c r="F1392" t="str">
        <f>SUBSTITUTE(Tab_Calculs[[#This Row],[Compteur]]," ","_")</f>
        <v>Compteur_8</v>
      </c>
      <c r="G1392" t="str">
        <f>T(INDEX(Site!$B$33:$G$40, MATCH(Tab_Calculs[[#This Row],[Compteur]], Site!$B$33:$B$40,0),2))</f>
        <v/>
      </c>
      <c r="H1392" s="3">
        <f t="array" aca="1" ref="H1392" ca="1">MIN(IF(INDIRECT(CONCATENATE(Tab_Calculs[[#This Row],[Colonne1]],"!$B$2:$B$243"))&gt;=Calculs_Consos!$A1392,INDIRECT(CONCATENATE(Tab_Calculs[[#This Row],[Colonne1]],"!$B$2:$B$243"))))</f>
        <v>0</v>
      </c>
      <c r="I1392" s="3">
        <f ca="1">INDEX(INDIRECT(CONCATENATE("Tab_",Tab_Calculs[[#This Row],[Colonne1]])),Tab_Calculs[[#This Row],[index_date_livraison]],1)</f>
        <v>0</v>
      </c>
      <c r="J1392">
        <f ca="1">MATCH(Tab_Calculs[[#This Row],[Date_livraison]],INDIRECT(CONCATENATE("Tab_",Tab_Calculs[[#This Row],[Colonne1]],"[Fin de période]")),0)</f>
        <v>1</v>
      </c>
      <c r="K1392" t="e">
        <f ca="1">INDEX(INDIRECT(CONCATENATE("Tab_",Tab_Calculs[[#This Row],[Colonne1]])),Tab_Calculs[[#This Row],[index_date_livraison]]-1,6)*(MAX(Tab_Calculs[[#This Row],[Début periode livraison]],Tab_Calculs[[#This Row],[Début mois]])-Tab_Calculs[[#This Row],[Début mois]])</f>
        <v>#VALUE!</v>
      </c>
      <c r="L1392" s="94">
        <f ca="1">INDEX(INDIRECT(CONCATENATE("Tab_",Tab_Calculs[[#This Row],[Colonne1]])),Tab_Calculs[[#This Row],[index_date_livraison]],6)*(1+MIN(Tab_Calculs[[#This Row],[Date_livraison]],Tab_Calculs[[#This Row],[fin mois]])-MAX(Tab_Calculs[[#This Row],[Début mois]],Tab_Calculs[[#This Row],[Début periode livraison]]))</f>
        <v>0</v>
      </c>
      <c r="M1392" s="94" t="e">
        <f ca="1">INDEX(INDIRECT(CONCATENATE("Tab_",Tab_Calculs[[#This Row],[Colonne1]])),Tab_Calculs[[#This Row],[index_date_livraison]]+1,6)*(Tab_Calculs[[#This Row],[fin mois]]-MIN(Tab_Calculs[[#This Row],[fin mois]],Tab_Calculs[[#This Row],[Date_livraison]]))</f>
        <v>#VALUE!</v>
      </c>
      <c r="N1392" s="231" t="str">
        <f ca="1">IFERROR(Tab_Calculs[[#This Row],[Ratio_jour_après_livr]]+Tab_Calculs[[#This Row],[Ratio_jour_avant_livr]]+Tab_Calculs[[#This Row],[ratio_avant_debut]],"")</f>
        <v/>
      </c>
      <c r="O1392" t="e">
        <f ca="1">INDEX(INDIRECT(CONCATENATE("Tab_",Tab_Calculs[[#This Row],[Colonne1]])),Tab_Calculs[[#This Row],[index_date_livraison]]-1,7)*(MAX(Tab_Calculs[[#This Row],[Début periode livraison]],Tab_Calculs[[#This Row],[Début mois]])-Tab_Calculs[[#This Row],[Début mois]])</f>
        <v>#VALUE!</v>
      </c>
      <c r="P1392">
        <f ca="1">INDEX(INDIRECT(CONCATENATE("Tab_",Tab_Calculs[[#This Row],[Colonne1]])),Tab_Calculs[[#This Row],[index_date_livraison]],7)*(1+MIN(Tab_Calculs[[#This Row],[Date_livraison]],Tab_Calculs[[#This Row],[fin mois]])-MAX(Tab_Calculs[[#This Row],[Début mois]],Tab_Calculs[[#This Row],[Début periode livraison]]))</f>
        <v>0</v>
      </c>
      <c r="Q1392" t="e">
        <f ca="1">INDEX(INDIRECT(CONCATENATE("Tab_",Tab_Calculs[[#This Row],[Colonne1]])),Tab_Calculs[[#This Row],[index_date_livraison]]+1,7)*(Tab_Calculs[[#This Row],[fin mois]]-MIN(Tab_Calculs[[#This Row],[fin mois]],Tab_Calculs[[#This Row],[Date_livraison]]))</f>
        <v>#VALUE!</v>
      </c>
      <c r="R1392" t="e">
        <f ca="1">Tab_Calculs[[#This Row],[Ratio_Cout_après_livr]]+Tab_Calculs[[#This Row],[Ratio_Cout_avant_livr]]+Tab_Calculs[[#This Row],[Ratio_Cout_avant_debut]]</f>
        <v>#VALUE!</v>
      </c>
      <c r="S1392" t="str">
        <f ca="1">IFERROR(N1392*VLOOKUP(Tab_Calculs[[#This Row],[Colonne1]],Controle_des_données!$B$7:$G$14,6,FALSE),"")</f>
        <v/>
      </c>
      <c r="T1392" t="str">
        <f ca="1">IF(Tab_Calculs[[#This Row],[Combustible ]]="Electricité (kWh)",Tab_Calculs[[#This Row],[Conso_mois_kWh]]*2.3,Tab_Calculs[[#This Row],[Conso_mois_kWh]])</f>
        <v/>
      </c>
      <c r="U1392" t="str">
        <f ca="1">IFERROR(N1392*VLOOKUP(Tab_Calculs[[#This Row],[Colonne1]],Controle_des_données!$B$7:$H$14,7,FALSE),"")</f>
        <v/>
      </c>
      <c r="V1392">
        <f ca="1">IFERROR(Tab_Calculs[[#This Row],[Cout_mois]]/Tab_Calculs[[#This Row],[Conso_mois_kWh]],0)</f>
        <v>0</v>
      </c>
      <c r="W1392" t="str">
        <f>T(VLOOKUP(Tab_Calculs[[#This Row],[Compteur]],Site!$B$33:$G$40,3,FALSE))</f>
        <v/>
      </c>
      <c r="X1392" t="str">
        <f>T(VLOOKUP(Tab_Calculs[[#This Row],[Compteur]],Site!$B$33:$G$40,4,FALSE))</f>
        <v/>
      </c>
      <c r="Y1392" t="str">
        <f>T(VLOOKUP(Tab_Calculs[[#This Row],[Compteur]],Site!$B$33:$G$40,5,FALSE))</f>
        <v/>
      </c>
      <c r="Z1392" t="str">
        <f>T(VLOOKUP(Tab_Calculs[[#This Row],[Compteur]],Site!$B$33:$G$40,6,FALSE))</f>
        <v/>
      </c>
      <c r="AA1392">
        <f>IFERROR(GETPIVOTDATA("DJU(chauffagiste)",BDD_DJU!$P$13,"annee",Tab_Calculs[[#This Row],[ANNEE]],"mois_numero",Tab_Calculs[[#This Row],[MOIS]]),0)</f>
        <v>247.2</v>
      </c>
    </row>
    <row r="1393" spans="1:27" x14ac:dyDescent="0.25">
      <c r="A1393" s="3">
        <f>DATE(Tab_Calculs[[#This Row],[ANNEE]],Tab_Calculs[[#This Row],[MOIS]],1)</f>
        <v>41395</v>
      </c>
      <c r="B1393" s="3">
        <f>EDATE(Tab_Calculs[[#This Row],[Début mois]],1)-1</f>
        <v>41425</v>
      </c>
      <c r="C1393">
        <v>5</v>
      </c>
      <c r="D1393">
        <v>2013</v>
      </c>
      <c r="E1393" t="s">
        <v>87</v>
      </c>
      <c r="F1393" t="str">
        <f>SUBSTITUTE(Tab_Calculs[[#This Row],[Compteur]]," ","_")</f>
        <v>Compteur_8</v>
      </c>
      <c r="G1393" t="str">
        <f>T(INDEX(Site!$B$33:$G$40, MATCH(Tab_Calculs[[#This Row],[Compteur]], Site!$B$33:$B$40,0),2))</f>
        <v/>
      </c>
      <c r="H1393" s="3">
        <f t="array" aca="1" ref="H1393" ca="1">MIN(IF(INDIRECT(CONCATENATE(Tab_Calculs[[#This Row],[Colonne1]],"!$B$2:$B$243"))&gt;=Calculs_Consos!$A1393,INDIRECT(CONCATENATE(Tab_Calculs[[#This Row],[Colonne1]],"!$B$2:$B$243"))))</f>
        <v>0</v>
      </c>
      <c r="I1393" s="3">
        <f ca="1">INDEX(INDIRECT(CONCATENATE("Tab_",Tab_Calculs[[#This Row],[Colonne1]])),Tab_Calculs[[#This Row],[index_date_livraison]],1)</f>
        <v>0</v>
      </c>
      <c r="J1393">
        <f ca="1">MATCH(Tab_Calculs[[#This Row],[Date_livraison]],INDIRECT(CONCATENATE("Tab_",Tab_Calculs[[#This Row],[Colonne1]],"[Fin de période]")),0)</f>
        <v>1</v>
      </c>
      <c r="K1393" t="e">
        <f ca="1">INDEX(INDIRECT(CONCATENATE("Tab_",Tab_Calculs[[#This Row],[Colonne1]])),Tab_Calculs[[#This Row],[index_date_livraison]]-1,6)*(MAX(Tab_Calculs[[#This Row],[Début periode livraison]],Tab_Calculs[[#This Row],[Début mois]])-Tab_Calculs[[#This Row],[Début mois]])</f>
        <v>#VALUE!</v>
      </c>
      <c r="L1393" s="94">
        <f ca="1">INDEX(INDIRECT(CONCATENATE("Tab_",Tab_Calculs[[#This Row],[Colonne1]])),Tab_Calculs[[#This Row],[index_date_livraison]],6)*(1+MIN(Tab_Calculs[[#This Row],[Date_livraison]],Tab_Calculs[[#This Row],[fin mois]])-MAX(Tab_Calculs[[#This Row],[Début mois]],Tab_Calculs[[#This Row],[Début periode livraison]]))</f>
        <v>0</v>
      </c>
      <c r="M1393" s="94" t="e">
        <f ca="1">INDEX(INDIRECT(CONCATENATE("Tab_",Tab_Calculs[[#This Row],[Colonne1]])),Tab_Calculs[[#This Row],[index_date_livraison]]+1,6)*(Tab_Calculs[[#This Row],[fin mois]]-MIN(Tab_Calculs[[#This Row],[fin mois]],Tab_Calculs[[#This Row],[Date_livraison]]))</f>
        <v>#VALUE!</v>
      </c>
      <c r="N1393" s="231" t="str">
        <f ca="1">IFERROR(Tab_Calculs[[#This Row],[Ratio_jour_après_livr]]+Tab_Calculs[[#This Row],[Ratio_jour_avant_livr]]+Tab_Calculs[[#This Row],[ratio_avant_debut]],"")</f>
        <v/>
      </c>
      <c r="O1393" t="e">
        <f ca="1">INDEX(INDIRECT(CONCATENATE("Tab_",Tab_Calculs[[#This Row],[Colonne1]])),Tab_Calculs[[#This Row],[index_date_livraison]]-1,7)*(MAX(Tab_Calculs[[#This Row],[Début periode livraison]],Tab_Calculs[[#This Row],[Début mois]])-Tab_Calculs[[#This Row],[Début mois]])</f>
        <v>#VALUE!</v>
      </c>
      <c r="P1393">
        <f ca="1">INDEX(INDIRECT(CONCATENATE("Tab_",Tab_Calculs[[#This Row],[Colonne1]])),Tab_Calculs[[#This Row],[index_date_livraison]],7)*(1+MIN(Tab_Calculs[[#This Row],[Date_livraison]],Tab_Calculs[[#This Row],[fin mois]])-MAX(Tab_Calculs[[#This Row],[Début mois]],Tab_Calculs[[#This Row],[Début periode livraison]]))</f>
        <v>0</v>
      </c>
      <c r="Q1393" t="e">
        <f ca="1">INDEX(INDIRECT(CONCATENATE("Tab_",Tab_Calculs[[#This Row],[Colonne1]])),Tab_Calculs[[#This Row],[index_date_livraison]]+1,7)*(Tab_Calculs[[#This Row],[fin mois]]-MIN(Tab_Calculs[[#This Row],[fin mois]],Tab_Calculs[[#This Row],[Date_livraison]]))</f>
        <v>#VALUE!</v>
      </c>
      <c r="R1393" t="e">
        <f ca="1">Tab_Calculs[[#This Row],[Ratio_Cout_après_livr]]+Tab_Calculs[[#This Row],[Ratio_Cout_avant_livr]]+Tab_Calculs[[#This Row],[Ratio_Cout_avant_debut]]</f>
        <v>#VALUE!</v>
      </c>
      <c r="S1393" t="str">
        <f ca="1">IFERROR(N1393*VLOOKUP(Tab_Calculs[[#This Row],[Colonne1]],Controle_des_données!$B$7:$G$14,6,FALSE),"")</f>
        <v/>
      </c>
      <c r="T1393" t="str">
        <f ca="1">IF(Tab_Calculs[[#This Row],[Combustible ]]="Electricité (kWh)",Tab_Calculs[[#This Row],[Conso_mois_kWh]]*2.3,Tab_Calculs[[#This Row],[Conso_mois_kWh]])</f>
        <v/>
      </c>
      <c r="U1393" t="str">
        <f ca="1">IFERROR(N1393*VLOOKUP(Tab_Calculs[[#This Row],[Colonne1]],Controle_des_données!$B$7:$H$14,7,FALSE),"")</f>
        <v/>
      </c>
      <c r="V1393">
        <f ca="1">IFERROR(Tab_Calculs[[#This Row],[Cout_mois]]/Tab_Calculs[[#This Row],[Conso_mois_kWh]],0)</f>
        <v>0</v>
      </c>
      <c r="W1393" t="str">
        <f>T(VLOOKUP(Tab_Calculs[[#This Row],[Compteur]],Site!$B$33:$G$40,3,FALSE))</f>
        <v/>
      </c>
      <c r="X1393" t="str">
        <f>T(VLOOKUP(Tab_Calculs[[#This Row],[Compteur]],Site!$B$33:$G$40,4,FALSE))</f>
        <v/>
      </c>
      <c r="Y1393" t="str">
        <f>T(VLOOKUP(Tab_Calculs[[#This Row],[Compteur]],Site!$B$33:$G$40,5,FALSE))</f>
        <v/>
      </c>
      <c r="Z1393" t="str">
        <f>T(VLOOKUP(Tab_Calculs[[#This Row],[Compteur]],Site!$B$33:$G$40,6,FALSE))</f>
        <v/>
      </c>
      <c r="AA1393">
        <f>IFERROR(GETPIVOTDATA("DJU(chauffagiste)",BDD_DJU!$P$13,"annee",Tab_Calculs[[#This Row],[ANNEE]],"mois_numero",Tab_Calculs[[#This Row],[MOIS]]),0)</f>
        <v>175.2</v>
      </c>
    </row>
    <row r="1394" spans="1:27" x14ac:dyDescent="0.25">
      <c r="A1394" s="3">
        <f>DATE(Tab_Calculs[[#This Row],[ANNEE]],Tab_Calculs[[#This Row],[MOIS]],1)</f>
        <v>41426</v>
      </c>
      <c r="B1394" s="3">
        <f>EDATE(Tab_Calculs[[#This Row],[Début mois]],1)-1</f>
        <v>41455</v>
      </c>
      <c r="C1394">
        <v>6</v>
      </c>
      <c r="D1394">
        <v>2013</v>
      </c>
      <c r="E1394" t="s">
        <v>87</v>
      </c>
      <c r="F1394" t="str">
        <f>SUBSTITUTE(Tab_Calculs[[#This Row],[Compteur]]," ","_")</f>
        <v>Compteur_8</v>
      </c>
      <c r="G1394" t="str">
        <f>T(INDEX(Site!$B$33:$G$40, MATCH(Tab_Calculs[[#This Row],[Compteur]], Site!$B$33:$B$40,0),2))</f>
        <v/>
      </c>
      <c r="H1394" s="3">
        <f t="array" aca="1" ref="H1394" ca="1">MIN(IF(INDIRECT(CONCATENATE(Tab_Calculs[[#This Row],[Colonne1]],"!$B$2:$B$243"))&gt;=Calculs_Consos!$A1394,INDIRECT(CONCATENATE(Tab_Calculs[[#This Row],[Colonne1]],"!$B$2:$B$243"))))</f>
        <v>0</v>
      </c>
      <c r="I1394" s="3">
        <f ca="1">INDEX(INDIRECT(CONCATENATE("Tab_",Tab_Calculs[[#This Row],[Colonne1]])),Tab_Calculs[[#This Row],[index_date_livraison]],1)</f>
        <v>0</v>
      </c>
      <c r="J1394">
        <f ca="1">MATCH(Tab_Calculs[[#This Row],[Date_livraison]],INDIRECT(CONCATENATE("Tab_",Tab_Calculs[[#This Row],[Colonne1]],"[Fin de période]")),0)</f>
        <v>1</v>
      </c>
      <c r="K1394" t="e">
        <f ca="1">INDEX(INDIRECT(CONCATENATE("Tab_",Tab_Calculs[[#This Row],[Colonne1]])),Tab_Calculs[[#This Row],[index_date_livraison]]-1,6)*(MAX(Tab_Calculs[[#This Row],[Début periode livraison]],Tab_Calculs[[#This Row],[Début mois]])-Tab_Calculs[[#This Row],[Début mois]])</f>
        <v>#VALUE!</v>
      </c>
      <c r="L1394" s="94">
        <f ca="1">INDEX(INDIRECT(CONCATENATE("Tab_",Tab_Calculs[[#This Row],[Colonne1]])),Tab_Calculs[[#This Row],[index_date_livraison]],6)*(1+MIN(Tab_Calculs[[#This Row],[Date_livraison]],Tab_Calculs[[#This Row],[fin mois]])-MAX(Tab_Calculs[[#This Row],[Début mois]],Tab_Calculs[[#This Row],[Début periode livraison]]))</f>
        <v>0</v>
      </c>
      <c r="M1394" s="94" t="e">
        <f ca="1">INDEX(INDIRECT(CONCATENATE("Tab_",Tab_Calculs[[#This Row],[Colonne1]])),Tab_Calculs[[#This Row],[index_date_livraison]]+1,6)*(Tab_Calculs[[#This Row],[fin mois]]-MIN(Tab_Calculs[[#This Row],[fin mois]],Tab_Calculs[[#This Row],[Date_livraison]]))</f>
        <v>#VALUE!</v>
      </c>
      <c r="N1394" s="231" t="str">
        <f ca="1">IFERROR(Tab_Calculs[[#This Row],[Ratio_jour_après_livr]]+Tab_Calculs[[#This Row],[Ratio_jour_avant_livr]]+Tab_Calculs[[#This Row],[ratio_avant_debut]],"")</f>
        <v/>
      </c>
      <c r="O1394" t="e">
        <f ca="1">INDEX(INDIRECT(CONCATENATE("Tab_",Tab_Calculs[[#This Row],[Colonne1]])),Tab_Calculs[[#This Row],[index_date_livraison]]-1,7)*(MAX(Tab_Calculs[[#This Row],[Début periode livraison]],Tab_Calculs[[#This Row],[Début mois]])-Tab_Calculs[[#This Row],[Début mois]])</f>
        <v>#VALUE!</v>
      </c>
      <c r="P1394">
        <f ca="1">INDEX(INDIRECT(CONCATENATE("Tab_",Tab_Calculs[[#This Row],[Colonne1]])),Tab_Calculs[[#This Row],[index_date_livraison]],7)*(1+MIN(Tab_Calculs[[#This Row],[Date_livraison]],Tab_Calculs[[#This Row],[fin mois]])-MAX(Tab_Calculs[[#This Row],[Début mois]],Tab_Calculs[[#This Row],[Début periode livraison]]))</f>
        <v>0</v>
      </c>
      <c r="Q1394" t="e">
        <f ca="1">INDEX(INDIRECT(CONCATENATE("Tab_",Tab_Calculs[[#This Row],[Colonne1]])),Tab_Calculs[[#This Row],[index_date_livraison]]+1,7)*(Tab_Calculs[[#This Row],[fin mois]]-MIN(Tab_Calculs[[#This Row],[fin mois]],Tab_Calculs[[#This Row],[Date_livraison]]))</f>
        <v>#VALUE!</v>
      </c>
      <c r="R1394" t="e">
        <f ca="1">Tab_Calculs[[#This Row],[Ratio_Cout_après_livr]]+Tab_Calculs[[#This Row],[Ratio_Cout_avant_livr]]+Tab_Calculs[[#This Row],[Ratio_Cout_avant_debut]]</f>
        <v>#VALUE!</v>
      </c>
      <c r="S1394" t="str">
        <f ca="1">IFERROR(N1394*VLOOKUP(Tab_Calculs[[#This Row],[Colonne1]],Controle_des_données!$B$7:$G$14,6,FALSE),"")</f>
        <v/>
      </c>
      <c r="T1394" t="str">
        <f ca="1">IF(Tab_Calculs[[#This Row],[Combustible ]]="Electricité (kWh)",Tab_Calculs[[#This Row],[Conso_mois_kWh]]*2.3,Tab_Calculs[[#This Row],[Conso_mois_kWh]])</f>
        <v/>
      </c>
      <c r="U1394" t="str">
        <f ca="1">IFERROR(N1394*VLOOKUP(Tab_Calculs[[#This Row],[Colonne1]],Controle_des_données!$B$7:$H$14,7,FALSE),"")</f>
        <v/>
      </c>
      <c r="V1394">
        <f ca="1">IFERROR(Tab_Calculs[[#This Row],[Cout_mois]]/Tab_Calculs[[#This Row],[Conso_mois_kWh]],0)</f>
        <v>0</v>
      </c>
      <c r="W1394" t="str">
        <f>T(VLOOKUP(Tab_Calculs[[#This Row],[Compteur]],Site!$B$33:$G$40,3,FALSE))</f>
        <v/>
      </c>
      <c r="X1394" t="str">
        <f>T(VLOOKUP(Tab_Calculs[[#This Row],[Compteur]],Site!$B$33:$G$40,4,FALSE))</f>
        <v/>
      </c>
      <c r="Y1394" t="str">
        <f>T(VLOOKUP(Tab_Calculs[[#This Row],[Compteur]],Site!$B$33:$G$40,5,FALSE))</f>
        <v/>
      </c>
      <c r="Z1394" t="str">
        <f>T(VLOOKUP(Tab_Calculs[[#This Row],[Compteur]],Site!$B$33:$G$40,6,FALSE))</f>
        <v/>
      </c>
      <c r="AA1394">
        <f>IFERROR(GETPIVOTDATA("DJU(chauffagiste)",BDD_DJU!$P$13,"annee",Tab_Calculs[[#This Row],[ANNEE]],"mois_numero",Tab_Calculs[[#This Row],[MOIS]]),0)</f>
        <v>68</v>
      </c>
    </row>
    <row r="1395" spans="1:27" x14ac:dyDescent="0.25">
      <c r="A1395" s="3">
        <f>DATE(Tab_Calculs[[#This Row],[ANNEE]],Tab_Calculs[[#This Row],[MOIS]],1)</f>
        <v>41456</v>
      </c>
      <c r="B1395" s="3">
        <f>EDATE(Tab_Calculs[[#This Row],[Début mois]],1)-1</f>
        <v>41486</v>
      </c>
      <c r="C1395">
        <v>7</v>
      </c>
      <c r="D1395">
        <v>2013</v>
      </c>
      <c r="E1395" t="s">
        <v>87</v>
      </c>
      <c r="F1395" t="str">
        <f>SUBSTITUTE(Tab_Calculs[[#This Row],[Compteur]]," ","_")</f>
        <v>Compteur_8</v>
      </c>
      <c r="G1395" t="str">
        <f>T(INDEX(Site!$B$33:$G$40, MATCH(Tab_Calculs[[#This Row],[Compteur]], Site!$B$33:$B$40,0),2))</f>
        <v/>
      </c>
      <c r="H1395" s="3">
        <f t="array" aca="1" ref="H1395" ca="1">MIN(IF(INDIRECT(CONCATENATE(Tab_Calculs[[#This Row],[Colonne1]],"!$B$2:$B$243"))&gt;=Calculs_Consos!$A1395,INDIRECT(CONCATENATE(Tab_Calculs[[#This Row],[Colonne1]],"!$B$2:$B$243"))))</f>
        <v>0</v>
      </c>
      <c r="I1395" s="3">
        <f ca="1">INDEX(INDIRECT(CONCATENATE("Tab_",Tab_Calculs[[#This Row],[Colonne1]])),Tab_Calculs[[#This Row],[index_date_livraison]],1)</f>
        <v>0</v>
      </c>
      <c r="J1395">
        <f ca="1">MATCH(Tab_Calculs[[#This Row],[Date_livraison]],INDIRECT(CONCATENATE("Tab_",Tab_Calculs[[#This Row],[Colonne1]],"[Fin de période]")),0)</f>
        <v>1</v>
      </c>
      <c r="K1395" t="e">
        <f ca="1">INDEX(INDIRECT(CONCATENATE("Tab_",Tab_Calculs[[#This Row],[Colonne1]])),Tab_Calculs[[#This Row],[index_date_livraison]]-1,6)*(MAX(Tab_Calculs[[#This Row],[Début periode livraison]],Tab_Calculs[[#This Row],[Début mois]])-Tab_Calculs[[#This Row],[Début mois]])</f>
        <v>#VALUE!</v>
      </c>
      <c r="L1395" s="94">
        <f ca="1">INDEX(INDIRECT(CONCATENATE("Tab_",Tab_Calculs[[#This Row],[Colonne1]])),Tab_Calculs[[#This Row],[index_date_livraison]],6)*(1+MIN(Tab_Calculs[[#This Row],[Date_livraison]],Tab_Calculs[[#This Row],[fin mois]])-MAX(Tab_Calculs[[#This Row],[Début mois]],Tab_Calculs[[#This Row],[Début periode livraison]]))</f>
        <v>0</v>
      </c>
      <c r="M1395" s="94" t="e">
        <f ca="1">INDEX(INDIRECT(CONCATENATE("Tab_",Tab_Calculs[[#This Row],[Colonne1]])),Tab_Calculs[[#This Row],[index_date_livraison]]+1,6)*(Tab_Calculs[[#This Row],[fin mois]]-MIN(Tab_Calculs[[#This Row],[fin mois]],Tab_Calculs[[#This Row],[Date_livraison]]))</f>
        <v>#VALUE!</v>
      </c>
      <c r="N1395" s="231" t="str">
        <f ca="1">IFERROR(Tab_Calculs[[#This Row],[Ratio_jour_après_livr]]+Tab_Calculs[[#This Row],[Ratio_jour_avant_livr]]+Tab_Calculs[[#This Row],[ratio_avant_debut]],"")</f>
        <v/>
      </c>
      <c r="O1395" t="e">
        <f ca="1">INDEX(INDIRECT(CONCATENATE("Tab_",Tab_Calculs[[#This Row],[Colonne1]])),Tab_Calculs[[#This Row],[index_date_livraison]]-1,7)*(MAX(Tab_Calculs[[#This Row],[Début periode livraison]],Tab_Calculs[[#This Row],[Début mois]])-Tab_Calculs[[#This Row],[Début mois]])</f>
        <v>#VALUE!</v>
      </c>
      <c r="P1395">
        <f ca="1">INDEX(INDIRECT(CONCATENATE("Tab_",Tab_Calculs[[#This Row],[Colonne1]])),Tab_Calculs[[#This Row],[index_date_livraison]],7)*(1+MIN(Tab_Calculs[[#This Row],[Date_livraison]],Tab_Calculs[[#This Row],[fin mois]])-MAX(Tab_Calculs[[#This Row],[Début mois]],Tab_Calculs[[#This Row],[Début periode livraison]]))</f>
        <v>0</v>
      </c>
      <c r="Q1395" t="e">
        <f ca="1">INDEX(INDIRECT(CONCATENATE("Tab_",Tab_Calculs[[#This Row],[Colonne1]])),Tab_Calculs[[#This Row],[index_date_livraison]]+1,7)*(Tab_Calculs[[#This Row],[fin mois]]-MIN(Tab_Calculs[[#This Row],[fin mois]],Tab_Calculs[[#This Row],[Date_livraison]]))</f>
        <v>#VALUE!</v>
      </c>
      <c r="R1395" t="e">
        <f ca="1">Tab_Calculs[[#This Row],[Ratio_Cout_après_livr]]+Tab_Calculs[[#This Row],[Ratio_Cout_avant_livr]]+Tab_Calculs[[#This Row],[Ratio_Cout_avant_debut]]</f>
        <v>#VALUE!</v>
      </c>
      <c r="S1395" t="str">
        <f ca="1">IFERROR(N1395*VLOOKUP(Tab_Calculs[[#This Row],[Colonne1]],Controle_des_données!$B$7:$G$14,6,FALSE),"")</f>
        <v/>
      </c>
      <c r="T1395" t="str">
        <f ca="1">IF(Tab_Calculs[[#This Row],[Combustible ]]="Electricité (kWh)",Tab_Calculs[[#This Row],[Conso_mois_kWh]]*2.3,Tab_Calculs[[#This Row],[Conso_mois_kWh]])</f>
        <v/>
      </c>
      <c r="U1395" t="str">
        <f ca="1">IFERROR(N1395*VLOOKUP(Tab_Calculs[[#This Row],[Colonne1]],Controle_des_données!$B$7:$H$14,7,FALSE),"")</f>
        <v/>
      </c>
      <c r="V1395">
        <f ca="1">IFERROR(Tab_Calculs[[#This Row],[Cout_mois]]/Tab_Calculs[[#This Row],[Conso_mois_kWh]],0)</f>
        <v>0</v>
      </c>
      <c r="W1395" t="str">
        <f>T(VLOOKUP(Tab_Calculs[[#This Row],[Compteur]],Site!$B$33:$G$40,3,FALSE))</f>
        <v/>
      </c>
      <c r="X1395" t="str">
        <f>T(VLOOKUP(Tab_Calculs[[#This Row],[Compteur]],Site!$B$33:$G$40,4,FALSE))</f>
        <v/>
      </c>
      <c r="Y1395" t="str">
        <f>T(VLOOKUP(Tab_Calculs[[#This Row],[Compteur]],Site!$B$33:$G$40,5,FALSE))</f>
        <v/>
      </c>
      <c r="Z1395" t="str">
        <f>T(VLOOKUP(Tab_Calculs[[#This Row],[Compteur]],Site!$B$33:$G$40,6,FALSE))</f>
        <v/>
      </c>
      <c r="AA1395">
        <f>IFERROR(GETPIVOTDATA("DJU(chauffagiste)",BDD_DJU!$P$13,"annee",Tab_Calculs[[#This Row],[ANNEE]],"mois_numero",Tab_Calculs[[#This Row],[MOIS]]),0)</f>
        <v>13.3</v>
      </c>
    </row>
    <row r="1396" spans="1:27" x14ac:dyDescent="0.25">
      <c r="A1396" s="3">
        <f>DATE(Tab_Calculs[[#This Row],[ANNEE]],Tab_Calculs[[#This Row],[MOIS]],1)</f>
        <v>41487</v>
      </c>
      <c r="B1396" s="3">
        <f>EDATE(Tab_Calculs[[#This Row],[Début mois]],1)-1</f>
        <v>41517</v>
      </c>
      <c r="C1396">
        <v>8</v>
      </c>
      <c r="D1396">
        <v>2013</v>
      </c>
      <c r="E1396" t="s">
        <v>87</v>
      </c>
      <c r="F1396" t="str">
        <f>SUBSTITUTE(Tab_Calculs[[#This Row],[Compteur]]," ","_")</f>
        <v>Compteur_8</v>
      </c>
      <c r="G1396" t="str">
        <f>T(INDEX(Site!$B$33:$G$40, MATCH(Tab_Calculs[[#This Row],[Compteur]], Site!$B$33:$B$40,0),2))</f>
        <v/>
      </c>
      <c r="H1396" s="3">
        <f t="array" aca="1" ref="H1396" ca="1">MIN(IF(INDIRECT(CONCATENATE(Tab_Calculs[[#This Row],[Colonne1]],"!$B$2:$B$243"))&gt;=Calculs_Consos!$A1396,INDIRECT(CONCATENATE(Tab_Calculs[[#This Row],[Colonne1]],"!$B$2:$B$243"))))</f>
        <v>0</v>
      </c>
      <c r="I1396" s="3">
        <f ca="1">INDEX(INDIRECT(CONCATENATE("Tab_",Tab_Calculs[[#This Row],[Colonne1]])),Tab_Calculs[[#This Row],[index_date_livraison]],1)</f>
        <v>0</v>
      </c>
      <c r="J1396">
        <f ca="1">MATCH(Tab_Calculs[[#This Row],[Date_livraison]],INDIRECT(CONCATENATE("Tab_",Tab_Calculs[[#This Row],[Colonne1]],"[Fin de période]")),0)</f>
        <v>1</v>
      </c>
      <c r="K1396" t="e">
        <f ca="1">INDEX(INDIRECT(CONCATENATE("Tab_",Tab_Calculs[[#This Row],[Colonne1]])),Tab_Calculs[[#This Row],[index_date_livraison]]-1,6)*(MAX(Tab_Calculs[[#This Row],[Début periode livraison]],Tab_Calculs[[#This Row],[Début mois]])-Tab_Calculs[[#This Row],[Début mois]])</f>
        <v>#VALUE!</v>
      </c>
      <c r="L1396" s="94">
        <f ca="1">INDEX(INDIRECT(CONCATENATE("Tab_",Tab_Calculs[[#This Row],[Colonne1]])),Tab_Calculs[[#This Row],[index_date_livraison]],6)*(1+MIN(Tab_Calculs[[#This Row],[Date_livraison]],Tab_Calculs[[#This Row],[fin mois]])-MAX(Tab_Calculs[[#This Row],[Début mois]],Tab_Calculs[[#This Row],[Début periode livraison]]))</f>
        <v>0</v>
      </c>
      <c r="M1396" s="94" t="e">
        <f ca="1">INDEX(INDIRECT(CONCATENATE("Tab_",Tab_Calculs[[#This Row],[Colonne1]])),Tab_Calculs[[#This Row],[index_date_livraison]]+1,6)*(Tab_Calculs[[#This Row],[fin mois]]-MIN(Tab_Calculs[[#This Row],[fin mois]],Tab_Calculs[[#This Row],[Date_livraison]]))</f>
        <v>#VALUE!</v>
      </c>
      <c r="N1396" s="231" t="str">
        <f ca="1">IFERROR(Tab_Calculs[[#This Row],[Ratio_jour_après_livr]]+Tab_Calculs[[#This Row],[Ratio_jour_avant_livr]]+Tab_Calculs[[#This Row],[ratio_avant_debut]],"")</f>
        <v/>
      </c>
      <c r="O1396" t="e">
        <f ca="1">INDEX(INDIRECT(CONCATENATE("Tab_",Tab_Calculs[[#This Row],[Colonne1]])),Tab_Calculs[[#This Row],[index_date_livraison]]-1,7)*(MAX(Tab_Calculs[[#This Row],[Début periode livraison]],Tab_Calculs[[#This Row],[Début mois]])-Tab_Calculs[[#This Row],[Début mois]])</f>
        <v>#VALUE!</v>
      </c>
      <c r="P1396">
        <f ca="1">INDEX(INDIRECT(CONCATENATE("Tab_",Tab_Calculs[[#This Row],[Colonne1]])),Tab_Calculs[[#This Row],[index_date_livraison]],7)*(1+MIN(Tab_Calculs[[#This Row],[Date_livraison]],Tab_Calculs[[#This Row],[fin mois]])-MAX(Tab_Calculs[[#This Row],[Début mois]],Tab_Calculs[[#This Row],[Début periode livraison]]))</f>
        <v>0</v>
      </c>
      <c r="Q1396" t="e">
        <f ca="1">INDEX(INDIRECT(CONCATENATE("Tab_",Tab_Calculs[[#This Row],[Colonne1]])),Tab_Calculs[[#This Row],[index_date_livraison]]+1,7)*(Tab_Calculs[[#This Row],[fin mois]]-MIN(Tab_Calculs[[#This Row],[fin mois]],Tab_Calculs[[#This Row],[Date_livraison]]))</f>
        <v>#VALUE!</v>
      </c>
      <c r="R1396" t="e">
        <f ca="1">Tab_Calculs[[#This Row],[Ratio_Cout_après_livr]]+Tab_Calculs[[#This Row],[Ratio_Cout_avant_livr]]+Tab_Calculs[[#This Row],[Ratio_Cout_avant_debut]]</f>
        <v>#VALUE!</v>
      </c>
      <c r="S1396" t="str">
        <f ca="1">IFERROR(N1396*VLOOKUP(Tab_Calculs[[#This Row],[Colonne1]],Controle_des_données!$B$7:$G$14,6,FALSE),"")</f>
        <v/>
      </c>
      <c r="T1396" t="str">
        <f ca="1">IF(Tab_Calculs[[#This Row],[Combustible ]]="Electricité (kWh)",Tab_Calculs[[#This Row],[Conso_mois_kWh]]*2.3,Tab_Calculs[[#This Row],[Conso_mois_kWh]])</f>
        <v/>
      </c>
      <c r="U1396" t="str">
        <f ca="1">IFERROR(N1396*VLOOKUP(Tab_Calculs[[#This Row],[Colonne1]],Controle_des_données!$B$7:$H$14,7,FALSE),"")</f>
        <v/>
      </c>
      <c r="V1396">
        <f ca="1">IFERROR(Tab_Calculs[[#This Row],[Cout_mois]]/Tab_Calculs[[#This Row],[Conso_mois_kWh]],0)</f>
        <v>0</v>
      </c>
      <c r="W1396" t="str">
        <f>T(VLOOKUP(Tab_Calculs[[#This Row],[Compteur]],Site!$B$33:$G$40,3,FALSE))</f>
        <v/>
      </c>
      <c r="X1396" t="str">
        <f>T(VLOOKUP(Tab_Calculs[[#This Row],[Compteur]],Site!$B$33:$G$40,4,FALSE))</f>
        <v/>
      </c>
      <c r="Y1396" t="str">
        <f>T(VLOOKUP(Tab_Calculs[[#This Row],[Compteur]],Site!$B$33:$G$40,5,FALSE))</f>
        <v/>
      </c>
      <c r="Z1396" t="str">
        <f>T(VLOOKUP(Tab_Calculs[[#This Row],[Compteur]],Site!$B$33:$G$40,6,FALSE))</f>
        <v/>
      </c>
      <c r="AA1396">
        <f>IFERROR(GETPIVOTDATA("DJU(chauffagiste)",BDD_DJU!$P$13,"annee",Tab_Calculs[[#This Row],[ANNEE]],"mois_numero",Tab_Calculs[[#This Row],[MOIS]]),0)</f>
        <v>38.5</v>
      </c>
    </row>
    <row r="1397" spans="1:27" x14ac:dyDescent="0.25">
      <c r="A1397" s="3">
        <f>DATE(Tab_Calculs[[#This Row],[ANNEE]],Tab_Calculs[[#This Row],[MOIS]],1)</f>
        <v>41518</v>
      </c>
      <c r="B1397" s="3">
        <f>EDATE(Tab_Calculs[[#This Row],[Début mois]],1)-1</f>
        <v>41547</v>
      </c>
      <c r="C1397">
        <v>9</v>
      </c>
      <c r="D1397">
        <v>2013</v>
      </c>
      <c r="E1397" t="s">
        <v>87</v>
      </c>
      <c r="F1397" t="str">
        <f>SUBSTITUTE(Tab_Calculs[[#This Row],[Compteur]]," ","_")</f>
        <v>Compteur_8</v>
      </c>
      <c r="G1397" t="str">
        <f>T(INDEX(Site!$B$33:$G$40, MATCH(Tab_Calculs[[#This Row],[Compteur]], Site!$B$33:$B$40,0),2))</f>
        <v/>
      </c>
      <c r="H1397" s="3">
        <f t="array" aca="1" ref="H1397" ca="1">MIN(IF(INDIRECT(CONCATENATE(Tab_Calculs[[#This Row],[Colonne1]],"!$B$2:$B$243"))&gt;=Calculs_Consos!$A1397,INDIRECT(CONCATENATE(Tab_Calculs[[#This Row],[Colonne1]],"!$B$2:$B$243"))))</f>
        <v>0</v>
      </c>
      <c r="I1397" s="3">
        <f ca="1">INDEX(INDIRECT(CONCATENATE("Tab_",Tab_Calculs[[#This Row],[Colonne1]])),Tab_Calculs[[#This Row],[index_date_livraison]],1)</f>
        <v>0</v>
      </c>
      <c r="J1397">
        <f ca="1">MATCH(Tab_Calculs[[#This Row],[Date_livraison]],INDIRECT(CONCATENATE("Tab_",Tab_Calculs[[#This Row],[Colonne1]],"[Fin de période]")),0)</f>
        <v>1</v>
      </c>
      <c r="K1397" t="e">
        <f ca="1">INDEX(INDIRECT(CONCATENATE("Tab_",Tab_Calculs[[#This Row],[Colonne1]])),Tab_Calculs[[#This Row],[index_date_livraison]]-1,6)*(MAX(Tab_Calculs[[#This Row],[Début periode livraison]],Tab_Calculs[[#This Row],[Début mois]])-Tab_Calculs[[#This Row],[Début mois]])</f>
        <v>#VALUE!</v>
      </c>
      <c r="L1397" s="94">
        <f ca="1">INDEX(INDIRECT(CONCATENATE("Tab_",Tab_Calculs[[#This Row],[Colonne1]])),Tab_Calculs[[#This Row],[index_date_livraison]],6)*(1+MIN(Tab_Calculs[[#This Row],[Date_livraison]],Tab_Calculs[[#This Row],[fin mois]])-MAX(Tab_Calculs[[#This Row],[Début mois]],Tab_Calculs[[#This Row],[Début periode livraison]]))</f>
        <v>0</v>
      </c>
      <c r="M1397" s="94" t="e">
        <f ca="1">INDEX(INDIRECT(CONCATENATE("Tab_",Tab_Calculs[[#This Row],[Colonne1]])),Tab_Calculs[[#This Row],[index_date_livraison]]+1,6)*(Tab_Calculs[[#This Row],[fin mois]]-MIN(Tab_Calculs[[#This Row],[fin mois]],Tab_Calculs[[#This Row],[Date_livraison]]))</f>
        <v>#VALUE!</v>
      </c>
      <c r="N1397" s="231" t="str">
        <f ca="1">IFERROR(Tab_Calculs[[#This Row],[Ratio_jour_après_livr]]+Tab_Calculs[[#This Row],[Ratio_jour_avant_livr]]+Tab_Calculs[[#This Row],[ratio_avant_debut]],"")</f>
        <v/>
      </c>
      <c r="O1397" t="e">
        <f ca="1">INDEX(INDIRECT(CONCATENATE("Tab_",Tab_Calculs[[#This Row],[Colonne1]])),Tab_Calculs[[#This Row],[index_date_livraison]]-1,7)*(MAX(Tab_Calculs[[#This Row],[Début periode livraison]],Tab_Calculs[[#This Row],[Début mois]])-Tab_Calculs[[#This Row],[Début mois]])</f>
        <v>#VALUE!</v>
      </c>
      <c r="P1397">
        <f ca="1">INDEX(INDIRECT(CONCATENATE("Tab_",Tab_Calculs[[#This Row],[Colonne1]])),Tab_Calculs[[#This Row],[index_date_livraison]],7)*(1+MIN(Tab_Calculs[[#This Row],[Date_livraison]],Tab_Calculs[[#This Row],[fin mois]])-MAX(Tab_Calculs[[#This Row],[Début mois]],Tab_Calculs[[#This Row],[Début periode livraison]]))</f>
        <v>0</v>
      </c>
      <c r="Q1397" t="e">
        <f ca="1">INDEX(INDIRECT(CONCATENATE("Tab_",Tab_Calculs[[#This Row],[Colonne1]])),Tab_Calculs[[#This Row],[index_date_livraison]]+1,7)*(Tab_Calculs[[#This Row],[fin mois]]-MIN(Tab_Calculs[[#This Row],[fin mois]],Tab_Calculs[[#This Row],[Date_livraison]]))</f>
        <v>#VALUE!</v>
      </c>
      <c r="R1397" t="e">
        <f ca="1">Tab_Calculs[[#This Row],[Ratio_Cout_après_livr]]+Tab_Calculs[[#This Row],[Ratio_Cout_avant_livr]]+Tab_Calculs[[#This Row],[Ratio_Cout_avant_debut]]</f>
        <v>#VALUE!</v>
      </c>
      <c r="S1397" t="str">
        <f ca="1">IFERROR(N1397*VLOOKUP(Tab_Calculs[[#This Row],[Colonne1]],Controle_des_données!$B$7:$G$14,6,FALSE),"")</f>
        <v/>
      </c>
      <c r="T1397" t="str">
        <f ca="1">IF(Tab_Calculs[[#This Row],[Combustible ]]="Electricité (kWh)",Tab_Calculs[[#This Row],[Conso_mois_kWh]]*2.3,Tab_Calculs[[#This Row],[Conso_mois_kWh]])</f>
        <v/>
      </c>
      <c r="U1397" t="str">
        <f ca="1">IFERROR(N1397*VLOOKUP(Tab_Calculs[[#This Row],[Colonne1]],Controle_des_données!$B$7:$H$14,7,FALSE),"")</f>
        <v/>
      </c>
      <c r="V1397">
        <f ca="1">IFERROR(Tab_Calculs[[#This Row],[Cout_mois]]/Tab_Calculs[[#This Row],[Conso_mois_kWh]],0)</f>
        <v>0</v>
      </c>
      <c r="W1397" t="str">
        <f>T(VLOOKUP(Tab_Calculs[[#This Row],[Compteur]],Site!$B$33:$G$40,3,FALSE))</f>
        <v/>
      </c>
      <c r="X1397" t="str">
        <f>T(VLOOKUP(Tab_Calculs[[#This Row],[Compteur]],Site!$B$33:$G$40,4,FALSE))</f>
        <v/>
      </c>
      <c r="Y1397" t="str">
        <f>T(VLOOKUP(Tab_Calculs[[#This Row],[Compteur]],Site!$B$33:$G$40,5,FALSE))</f>
        <v/>
      </c>
      <c r="Z1397" t="str">
        <f>T(VLOOKUP(Tab_Calculs[[#This Row],[Compteur]],Site!$B$33:$G$40,6,FALSE))</f>
        <v/>
      </c>
      <c r="AA1397">
        <f>IFERROR(GETPIVOTDATA("DJU(chauffagiste)",BDD_DJU!$P$13,"annee",Tab_Calculs[[#This Row],[ANNEE]],"mois_numero",Tab_Calculs[[#This Row],[MOIS]]),0)</f>
        <v>69.2</v>
      </c>
    </row>
    <row r="1398" spans="1:27" x14ac:dyDescent="0.25">
      <c r="A1398" s="3">
        <f>DATE(Tab_Calculs[[#This Row],[ANNEE]],Tab_Calculs[[#This Row],[MOIS]],1)</f>
        <v>41548</v>
      </c>
      <c r="B1398" s="3">
        <f>EDATE(Tab_Calculs[[#This Row],[Début mois]],1)-1</f>
        <v>41578</v>
      </c>
      <c r="C1398">
        <v>10</v>
      </c>
      <c r="D1398">
        <v>2013</v>
      </c>
      <c r="E1398" t="s">
        <v>87</v>
      </c>
      <c r="F1398" t="str">
        <f>SUBSTITUTE(Tab_Calculs[[#This Row],[Compteur]]," ","_")</f>
        <v>Compteur_8</v>
      </c>
      <c r="G1398" t="str">
        <f>T(INDEX(Site!$B$33:$G$40, MATCH(Tab_Calculs[[#This Row],[Compteur]], Site!$B$33:$B$40,0),2))</f>
        <v/>
      </c>
      <c r="H1398" s="3">
        <f t="array" aca="1" ref="H1398" ca="1">MIN(IF(INDIRECT(CONCATENATE(Tab_Calculs[[#This Row],[Colonne1]],"!$B$2:$B$243"))&gt;=Calculs_Consos!$A1398,INDIRECT(CONCATENATE(Tab_Calculs[[#This Row],[Colonne1]],"!$B$2:$B$243"))))</f>
        <v>0</v>
      </c>
      <c r="I1398" s="3">
        <f ca="1">INDEX(INDIRECT(CONCATENATE("Tab_",Tab_Calculs[[#This Row],[Colonne1]])),Tab_Calculs[[#This Row],[index_date_livraison]],1)</f>
        <v>0</v>
      </c>
      <c r="J1398">
        <f ca="1">MATCH(Tab_Calculs[[#This Row],[Date_livraison]],INDIRECT(CONCATENATE("Tab_",Tab_Calculs[[#This Row],[Colonne1]],"[Fin de période]")),0)</f>
        <v>1</v>
      </c>
      <c r="K1398" t="e">
        <f ca="1">INDEX(INDIRECT(CONCATENATE("Tab_",Tab_Calculs[[#This Row],[Colonne1]])),Tab_Calculs[[#This Row],[index_date_livraison]]-1,6)*(MAX(Tab_Calculs[[#This Row],[Début periode livraison]],Tab_Calculs[[#This Row],[Début mois]])-Tab_Calculs[[#This Row],[Début mois]])</f>
        <v>#VALUE!</v>
      </c>
      <c r="L1398" s="94">
        <f ca="1">INDEX(INDIRECT(CONCATENATE("Tab_",Tab_Calculs[[#This Row],[Colonne1]])),Tab_Calculs[[#This Row],[index_date_livraison]],6)*(1+MIN(Tab_Calculs[[#This Row],[Date_livraison]],Tab_Calculs[[#This Row],[fin mois]])-MAX(Tab_Calculs[[#This Row],[Début mois]],Tab_Calculs[[#This Row],[Début periode livraison]]))</f>
        <v>0</v>
      </c>
      <c r="M1398" s="94" t="e">
        <f ca="1">INDEX(INDIRECT(CONCATENATE("Tab_",Tab_Calculs[[#This Row],[Colonne1]])),Tab_Calculs[[#This Row],[index_date_livraison]]+1,6)*(Tab_Calculs[[#This Row],[fin mois]]-MIN(Tab_Calculs[[#This Row],[fin mois]],Tab_Calculs[[#This Row],[Date_livraison]]))</f>
        <v>#VALUE!</v>
      </c>
      <c r="N1398" s="231" t="str">
        <f ca="1">IFERROR(Tab_Calculs[[#This Row],[Ratio_jour_après_livr]]+Tab_Calculs[[#This Row],[Ratio_jour_avant_livr]]+Tab_Calculs[[#This Row],[ratio_avant_debut]],"")</f>
        <v/>
      </c>
      <c r="O1398" t="e">
        <f ca="1">INDEX(INDIRECT(CONCATENATE("Tab_",Tab_Calculs[[#This Row],[Colonne1]])),Tab_Calculs[[#This Row],[index_date_livraison]]-1,7)*(MAX(Tab_Calculs[[#This Row],[Début periode livraison]],Tab_Calculs[[#This Row],[Début mois]])-Tab_Calculs[[#This Row],[Début mois]])</f>
        <v>#VALUE!</v>
      </c>
      <c r="P1398">
        <f ca="1">INDEX(INDIRECT(CONCATENATE("Tab_",Tab_Calculs[[#This Row],[Colonne1]])),Tab_Calculs[[#This Row],[index_date_livraison]],7)*(1+MIN(Tab_Calculs[[#This Row],[Date_livraison]],Tab_Calculs[[#This Row],[fin mois]])-MAX(Tab_Calculs[[#This Row],[Début mois]],Tab_Calculs[[#This Row],[Début periode livraison]]))</f>
        <v>0</v>
      </c>
      <c r="Q1398" t="e">
        <f ca="1">INDEX(INDIRECT(CONCATENATE("Tab_",Tab_Calculs[[#This Row],[Colonne1]])),Tab_Calculs[[#This Row],[index_date_livraison]]+1,7)*(Tab_Calculs[[#This Row],[fin mois]]-MIN(Tab_Calculs[[#This Row],[fin mois]],Tab_Calculs[[#This Row],[Date_livraison]]))</f>
        <v>#VALUE!</v>
      </c>
      <c r="R1398" t="e">
        <f ca="1">Tab_Calculs[[#This Row],[Ratio_Cout_après_livr]]+Tab_Calculs[[#This Row],[Ratio_Cout_avant_livr]]+Tab_Calculs[[#This Row],[Ratio_Cout_avant_debut]]</f>
        <v>#VALUE!</v>
      </c>
      <c r="S1398" t="str">
        <f ca="1">IFERROR(N1398*VLOOKUP(Tab_Calculs[[#This Row],[Colonne1]],Controle_des_données!$B$7:$G$14,6,FALSE),"")</f>
        <v/>
      </c>
      <c r="T1398" t="str">
        <f ca="1">IF(Tab_Calculs[[#This Row],[Combustible ]]="Electricité (kWh)",Tab_Calculs[[#This Row],[Conso_mois_kWh]]*2.3,Tab_Calculs[[#This Row],[Conso_mois_kWh]])</f>
        <v/>
      </c>
      <c r="U1398" t="str">
        <f ca="1">IFERROR(N1398*VLOOKUP(Tab_Calculs[[#This Row],[Colonne1]],Controle_des_données!$B$7:$H$14,7,FALSE),"")</f>
        <v/>
      </c>
      <c r="V1398">
        <f ca="1">IFERROR(Tab_Calculs[[#This Row],[Cout_mois]]/Tab_Calculs[[#This Row],[Conso_mois_kWh]],0)</f>
        <v>0</v>
      </c>
      <c r="W1398" t="str">
        <f>T(VLOOKUP(Tab_Calculs[[#This Row],[Compteur]],Site!$B$33:$G$40,3,FALSE))</f>
        <v/>
      </c>
      <c r="X1398" t="str">
        <f>T(VLOOKUP(Tab_Calculs[[#This Row],[Compteur]],Site!$B$33:$G$40,4,FALSE))</f>
        <v/>
      </c>
      <c r="Y1398" t="str">
        <f>T(VLOOKUP(Tab_Calculs[[#This Row],[Compteur]],Site!$B$33:$G$40,5,FALSE))</f>
        <v/>
      </c>
      <c r="Z1398" t="str">
        <f>T(VLOOKUP(Tab_Calculs[[#This Row],[Compteur]],Site!$B$33:$G$40,6,FALSE))</f>
        <v/>
      </c>
      <c r="AA1398">
        <f>IFERROR(GETPIVOTDATA("DJU(chauffagiste)",BDD_DJU!$P$13,"annee",Tab_Calculs[[#This Row],[ANNEE]],"mois_numero",Tab_Calculs[[#This Row],[MOIS]]),0)</f>
        <v>122.6</v>
      </c>
    </row>
    <row r="1399" spans="1:27" x14ac:dyDescent="0.25">
      <c r="A1399" s="3">
        <f>DATE(Tab_Calculs[[#This Row],[ANNEE]],Tab_Calculs[[#This Row],[MOIS]],1)</f>
        <v>41579</v>
      </c>
      <c r="B1399" s="3">
        <f>EDATE(Tab_Calculs[[#This Row],[Début mois]],1)-1</f>
        <v>41608</v>
      </c>
      <c r="C1399">
        <v>11</v>
      </c>
      <c r="D1399">
        <v>2013</v>
      </c>
      <c r="E1399" t="s">
        <v>87</v>
      </c>
      <c r="F1399" t="str">
        <f>SUBSTITUTE(Tab_Calculs[[#This Row],[Compteur]]," ","_")</f>
        <v>Compteur_8</v>
      </c>
      <c r="G1399" t="str">
        <f>T(INDEX(Site!$B$33:$G$40, MATCH(Tab_Calculs[[#This Row],[Compteur]], Site!$B$33:$B$40,0),2))</f>
        <v/>
      </c>
      <c r="H1399" s="3">
        <f t="array" aca="1" ref="H1399" ca="1">MIN(IF(INDIRECT(CONCATENATE(Tab_Calculs[[#This Row],[Colonne1]],"!$B$2:$B$243"))&gt;=Calculs_Consos!$A1399,INDIRECT(CONCATENATE(Tab_Calculs[[#This Row],[Colonne1]],"!$B$2:$B$243"))))</f>
        <v>0</v>
      </c>
      <c r="I1399" s="3">
        <f ca="1">INDEX(INDIRECT(CONCATENATE("Tab_",Tab_Calculs[[#This Row],[Colonne1]])),Tab_Calculs[[#This Row],[index_date_livraison]],1)</f>
        <v>0</v>
      </c>
      <c r="J1399">
        <f ca="1">MATCH(Tab_Calculs[[#This Row],[Date_livraison]],INDIRECT(CONCATENATE("Tab_",Tab_Calculs[[#This Row],[Colonne1]],"[Fin de période]")),0)</f>
        <v>1</v>
      </c>
      <c r="K1399" t="e">
        <f ca="1">INDEX(INDIRECT(CONCATENATE("Tab_",Tab_Calculs[[#This Row],[Colonne1]])),Tab_Calculs[[#This Row],[index_date_livraison]]-1,6)*(MAX(Tab_Calculs[[#This Row],[Début periode livraison]],Tab_Calculs[[#This Row],[Début mois]])-Tab_Calculs[[#This Row],[Début mois]])</f>
        <v>#VALUE!</v>
      </c>
      <c r="L1399" s="94">
        <f ca="1">INDEX(INDIRECT(CONCATENATE("Tab_",Tab_Calculs[[#This Row],[Colonne1]])),Tab_Calculs[[#This Row],[index_date_livraison]],6)*(1+MIN(Tab_Calculs[[#This Row],[Date_livraison]],Tab_Calculs[[#This Row],[fin mois]])-MAX(Tab_Calculs[[#This Row],[Début mois]],Tab_Calculs[[#This Row],[Début periode livraison]]))</f>
        <v>0</v>
      </c>
      <c r="M1399" s="94" t="e">
        <f ca="1">INDEX(INDIRECT(CONCATENATE("Tab_",Tab_Calculs[[#This Row],[Colonne1]])),Tab_Calculs[[#This Row],[index_date_livraison]]+1,6)*(Tab_Calculs[[#This Row],[fin mois]]-MIN(Tab_Calculs[[#This Row],[fin mois]],Tab_Calculs[[#This Row],[Date_livraison]]))</f>
        <v>#VALUE!</v>
      </c>
      <c r="N1399" s="231" t="str">
        <f ca="1">IFERROR(Tab_Calculs[[#This Row],[Ratio_jour_après_livr]]+Tab_Calculs[[#This Row],[Ratio_jour_avant_livr]]+Tab_Calculs[[#This Row],[ratio_avant_debut]],"")</f>
        <v/>
      </c>
      <c r="O1399" t="e">
        <f ca="1">INDEX(INDIRECT(CONCATENATE("Tab_",Tab_Calculs[[#This Row],[Colonne1]])),Tab_Calculs[[#This Row],[index_date_livraison]]-1,7)*(MAX(Tab_Calculs[[#This Row],[Début periode livraison]],Tab_Calculs[[#This Row],[Début mois]])-Tab_Calculs[[#This Row],[Début mois]])</f>
        <v>#VALUE!</v>
      </c>
      <c r="P1399">
        <f ca="1">INDEX(INDIRECT(CONCATENATE("Tab_",Tab_Calculs[[#This Row],[Colonne1]])),Tab_Calculs[[#This Row],[index_date_livraison]],7)*(1+MIN(Tab_Calculs[[#This Row],[Date_livraison]],Tab_Calculs[[#This Row],[fin mois]])-MAX(Tab_Calculs[[#This Row],[Début mois]],Tab_Calculs[[#This Row],[Début periode livraison]]))</f>
        <v>0</v>
      </c>
      <c r="Q1399" t="e">
        <f ca="1">INDEX(INDIRECT(CONCATENATE("Tab_",Tab_Calculs[[#This Row],[Colonne1]])),Tab_Calculs[[#This Row],[index_date_livraison]]+1,7)*(Tab_Calculs[[#This Row],[fin mois]]-MIN(Tab_Calculs[[#This Row],[fin mois]],Tab_Calculs[[#This Row],[Date_livraison]]))</f>
        <v>#VALUE!</v>
      </c>
      <c r="R1399" t="e">
        <f ca="1">Tab_Calculs[[#This Row],[Ratio_Cout_après_livr]]+Tab_Calculs[[#This Row],[Ratio_Cout_avant_livr]]+Tab_Calculs[[#This Row],[Ratio_Cout_avant_debut]]</f>
        <v>#VALUE!</v>
      </c>
      <c r="S1399" t="str">
        <f ca="1">IFERROR(N1399*VLOOKUP(Tab_Calculs[[#This Row],[Colonne1]],Controle_des_données!$B$7:$G$14,6,FALSE),"")</f>
        <v/>
      </c>
      <c r="T1399" t="str">
        <f ca="1">IF(Tab_Calculs[[#This Row],[Combustible ]]="Electricité (kWh)",Tab_Calculs[[#This Row],[Conso_mois_kWh]]*2.3,Tab_Calculs[[#This Row],[Conso_mois_kWh]])</f>
        <v/>
      </c>
      <c r="U1399" t="str">
        <f ca="1">IFERROR(N1399*VLOOKUP(Tab_Calculs[[#This Row],[Colonne1]],Controle_des_données!$B$7:$H$14,7,FALSE),"")</f>
        <v/>
      </c>
      <c r="V1399">
        <f ca="1">IFERROR(Tab_Calculs[[#This Row],[Cout_mois]]/Tab_Calculs[[#This Row],[Conso_mois_kWh]],0)</f>
        <v>0</v>
      </c>
      <c r="W1399" t="str">
        <f>T(VLOOKUP(Tab_Calculs[[#This Row],[Compteur]],Site!$B$33:$G$40,3,FALSE))</f>
        <v/>
      </c>
      <c r="X1399" t="str">
        <f>T(VLOOKUP(Tab_Calculs[[#This Row],[Compteur]],Site!$B$33:$G$40,4,FALSE))</f>
        <v/>
      </c>
      <c r="Y1399" t="str">
        <f>T(VLOOKUP(Tab_Calculs[[#This Row],[Compteur]],Site!$B$33:$G$40,5,FALSE))</f>
        <v/>
      </c>
      <c r="Z1399" t="str">
        <f>T(VLOOKUP(Tab_Calculs[[#This Row],[Compteur]],Site!$B$33:$G$40,6,FALSE))</f>
        <v/>
      </c>
      <c r="AA1399">
        <f>IFERROR(GETPIVOTDATA("DJU(chauffagiste)",BDD_DJU!$P$13,"annee",Tab_Calculs[[#This Row],[ANNEE]],"mois_numero",Tab_Calculs[[#This Row],[MOIS]]),0)</f>
        <v>311.10000000000002</v>
      </c>
    </row>
    <row r="1400" spans="1:27" x14ac:dyDescent="0.25">
      <c r="A1400" s="3">
        <f>DATE(Tab_Calculs[[#This Row],[ANNEE]],Tab_Calculs[[#This Row],[MOIS]],1)</f>
        <v>41609</v>
      </c>
      <c r="B1400" s="3">
        <f>EDATE(Tab_Calculs[[#This Row],[Début mois]],1)-1</f>
        <v>41639</v>
      </c>
      <c r="C1400">
        <v>12</v>
      </c>
      <c r="D1400">
        <v>2013</v>
      </c>
      <c r="E1400" t="s">
        <v>87</v>
      </c>
      <c r="F1400" t="str">
        <f>SUBSTITUTE(Tab_Calculs[[#This Row],[Compteur]]," ","_")</f>
        <v>Compteur_8</v>
      </c>
      <c r="G1400" t="str">
        <f>T(INDEX(Site!$B$33:$G$40, MATCH(Tab_Calculs[[#This Row],[Compteur]], Site!$B$33:$B$40,0),2))</f>
        <v/>
      </c>
      <c r="H1400" s="3">
        <f t="array" aca="1" ref="H1400" ca="1">MIN(IF(INDIRECT(CONCATENATE(Tab_Calculs[[#This Row],[Colonne1]],"!$B$2:$B$243"))&gt;=Calculs_Consos!$A1400,INDIRECT(CONCATENATE(Tab_Calculs[[#This Row],[Colonne1]],"!$B$2:$B$243"))))</f>
        <v>0</v>
      </c>
      <c r="I1400" s="3">
        <f ca="1">INDEX(INDIRECT(CONCATENATE("Tab_",Tab_Calculs[[#This Row],[Colonne1]])),Tab_Calculs[[#This Row],[index_date_livraison]],1)</f>
        <v>0</v>
      </c>
      <c r="J1400">
        <f ca="1">MATCH(Tab_Calculs[[#This Row],[Date_livraison]],INDIRECT(CONCATENATE("Tab_",Tab_Calculs[[#This Row],[Colonne1]],"[Fin de période]")),0)</f>
        <v>1</v>
      </c>
      <c r="K1400" t="e">
        <f ca="1">INDEX(INDIRECT(CONCATENATE("Tab_",Tab_Calculs[[#This Row],[Colonne1]])),Tab_Calculs[[#This Row],[index_date_livraison]]-1,6)*(MAX(Tab_Calculs[[#This Row],[Début periode livraison]],Tab_Calculs[[#This Row],[Début mois]])-Tab_Calculs[[#This Row],[Début mois]])</f>
        <v>#VALUE!</v>
      </c>
      <c r="L1400" s="94">
        <f ca="1">INDEX(INDIRECT(CONCATENATE("Tab_",Tab_Calculs[[#This Row],[Colonne1]])),Tab_Calculs[[#This Row],[index_date_livraison]],6)*(1+MIN(Tab_Calculs[[#This Row],[Date_livraison]],Tab_Calculs[[#This Row],[fin mois]])-MAX(Tab_Calculs[[#This Row],[Début mois]],Tab_Calculs[[#This Row],[Début periode livraison]]))</f>
        <v>0</v>
      </c>
      <c r="M1400" s="94" t="e">
        <f ca="1">INDEX(INDIRECT(CONCATENATE("Tab_",Tab_Calculs[[#This Row],[Colonne1]])),Tab_Calculs[[#This Row],[index_date_livraison]]+1,6)*(Tab_Calculs[[#This Row],[fin mois]]-MIN(Tab_Calculs[[#This Row],[fin mois]],Tab_Calculs[[#This Row],[Date_livraison]]))</f>
        <v>#VALUE!</v>
      </c>
      <c r="N1400" s="231" t="str">
        <f ca="1">IFERROR(Tab_Calculs[[#This Row],[Ratio_jour_après_livr]]+Tab_Calculs[[#This Row],[Ratio_jour_avant_livr]]+Tab_Calculs[[#This Row],[ratio_avant_debut]],"")</f>
        <v/>
      </c>
      <c r="O1400" t="e">
        <f ca="1">INDEX(INDIRECT(CONCATENATE("Tab_",Tab_Calculs[[#This Row],[Colonne1]])),Tab_Calculs[[#This Row],[index_date_livraison]]-1,7)*(MAX(Tab_Calculs[[#This Row],[Début periode livraison]],Tab_Calculs[[#This Row],[Début mois]])-Tab_Calculs[[#This Row],[Début mois]])</f>
        <v>#VALUE!</v>
      </c>
      <c r="P1400">
        <f ca="1">INDEX(INDIRECT(CONCATENATE("Tab_",Tab_Calculs[[#This Row],[Colonne1]])),Tab_Calculs[[#This Row],[index_date_livraison]],7)*(1+MIN(Tab_Calculs[[#This Row],[Date_livraison]],Tab_Calculs[[#This Row],[fin mois]])-MAX(Tab_Calculs[[#This Row],[Début mois]],Tab_Calculs[[#This Row],[Début periode livraison]]))</f>
        <v>0</v>
      </c>
      <c r="Q1400" t="e">
        <f ca="1">INDEX(INDIRECT(CONCATENATE("Tab_",Tab_Calculs[[#This Row],[Colonne1]])),Tab_Calculs[[#This Row],[index_date_livraison]]+1,7)*(Tab_Calculs[[#This Row],[fin mois]]-MIN(Tab_Calculs[[#This Row],[fin mois]],Tab_Calculs[[#This Row],[Date_livraison]]))</f>
        <v>#VALUE!</v>
      </c>
      <c r="R1400" t="e">
        <f ca="1">Tab_Calculs[[#This Row],[Ratio_Cout_après_livr]]+Tab_Calculs[[#This Row],[Ratio_Cout_avant_livr]]+Tab_Calculs[[#This Row],[Ratio_Cout_avant_debut]]</f>
        <v>#VALUE!</v>
      </c>
      <c r="S1400" t="str">
        <f ca="1">IFERROR(N1400*VLOOKUP(Tab_Calculs[[#This Row],[Colonne1]],Controle_des_données!$B$7:$G$14,6,FALSE),"")</f>
        <v/>
      </c>
      <c r="T1400" t="str">
        <f ca="1">IF(Tab_Calculs[[#This Row],[Combustible ]]="Electricité (kWh)",Tab_Calculs[[#This Row],[Conso_mois_kWh]]*2.3,Tab_Calculs[[#This Row],[Conso_mois_kWh]])</f>
        <v/>
      </c>
      <c r="U1400" t="str">
        <f ca="1">IFERROR(N1400*VLOOKUP(Tab_Calculs[[#This Row],[Colonne1]],Controle_des_données!$B$7:$H$14,7,FALSE),"")</f>
        <v/>
      </c>
      <c r="V1400">
        <f ca="1">IFERROR(Tab_Calculs[[#This Row],[Cout_mois]]/Tab_Calculs[[#This Row],[Conso_mois_kWh]],0)</f>
        <v>0</v>
      </c>
      <c r="W1400" t="str">
        <f>T(VLOOKUP(Tab_Calculs[[#This Row],[Compteur]],Site!$B$33:$G$40,3,FALSE))</f>
        <v/>
      </c>
      <c r="X1400" t="str">
        <f>T(VLOOKUP(Tab_Calculs[[#This Row],[Compteur]],Site!$B$33:$G$40,4,FALSE))</f>
        <v/>
      </c>
      <c r="Y1400" t="str">
        <f>T(VLOOKUP(Tab_Calculs[[#This Row],[Compteur]],Site!$B$33:$G$40,5,FALSE))</f>
        <v/>
      </c>
      <c r="Z1400" t="str">
        <f>T(VLOOKUP(Tab_Calculs[[#This Row],[Compteur]],Site!$B$33:$G$40,6,FALSE))</f>
        <v/>
      </c>
      <c r="AA1400">
        <f>IFERROR(GETPIVOTDATA("DJU(chauffagiste)",BDD_DJU!$P$13,"annee",Tab_Calculs[[#This Row],[ANNEE]],"mois_numero",Tab_Calculs[[#This Row],[MOIS]]),0)</f>
        <v>380.4</v>
      </c>
    </row>
    <row r="1401" spans="1:27" x14ac:dyDescent="0.25">
      <c r="A1401" s="3">
        <f>DATE(Tab_Calculs[[#This Row],[ANNEE]],Tab_Calculs[[#This Row],[MOIS]],1)</f>
        <v>41640</v>
      </c>
      <c r="B1401" s="3">
        <f>EDATE(Tab_Calculs[[#This Row],[Début mois]],1)-1</f>
        <v>41670</v>
      </c>
      <c r="C1401">
        <v>1</v>
      </c>
      <c r="D1401">
        <v>2014</v>
      </c>
      <c r="E1401" t="s">
        <v>87</v>
      </c>
      <c r="F1401" t="str">
        <f>SUBSTITUTE(Tab_Calculs[[#This Row],[Compteur]]," ","_")</f>
        <v>Compteur_8</v>
      </c>
      <c r="G1401" t="str">
        <f>T(INDEX(Site!$B$33:$G$40, MATCH(Tab_Calculs[[#This Row],[Compteur]], Site!$B$33:$B$40,0),2))</f>
        <v/>
      </c>
      <c r="H1401" s="3">
        <f t="array" aca="1" ref="H1401" ca="1">MIN(IF(INDIRECT(CONCATENATE(Tab_Calculs[[#This Row],[Colonne1]],"!$B$2:$B$243"))&gt;=Calculs_Consos!$A1401,INDIRECT(CONCATENATE(Tab_Calculs[[#This Row],[Colonne1]],"!$B$2:$B$243"))))</f>
        <v>0</v>
      </c>
      <c r="I1401" s="3">
        <f ca="1">INDEX(INDIRECT(CONCATENATE("Tab_",Tab_Calculs[[#This Row],[Colonne1]])),Tab_Calculs[[#This Row],[index_date_livraison]],1)</f>
        <v>0</v>
      </c>
      <c r="J1401">
        <f ca="1">MATCH(Tab_Calculs[[#This Row],[Date_livraison]],INDIRECT(CONCATENATE("Tab_",Tab_Calculs[[#This Row],[Colonne1]],"[Fin de période]")),0)</f>
        <v>1</v>
      </c>
      <c r="K1401" t="e">
        <f ca="1">INDEX(INDIRECT(CONCATENATE("Tab_",Tab_Calculs[[#This Row],[Colonne1]])),Tab_Calculs[[#This Row],[index_date_livraison]]-1,6)*(MAX(Tab_Calculs[[#This Row],[Début periode livraison]],Tab_Calculs[[#This Row],[Début mois]])-Tab_Calculs[[#This Row],[Début mois]])</f>
        <v>#VALUE!</v>
      </c>
      <c r="L1401" s="94">
        <f ca="1">INDEX(INDIRECT(CONCATENATE("Tab_",Tab_Calculs[[#This Row],[Colonne1]])),Tab_Calculs[[#This Row],[index_date_livraison]],6)*(1+MIN(Tab_Calculs[[#This Row],[Date_livraison]],Tab_Calculs[[#This Row],[fin mois]])-MAX(Tab_Calculs[[#This Row],[Début mois]],Tab_Calculs[[#This Row],[Début periode livraison]]))</f>
        <v>0</v>
      </c>
      <c r="M1401" s="94" t="e">
        <f ca="1">INDEX(INDIRECT(CONCATENATE("Tab_",Tab_Calculs[[#This Row],[Colonne1]])),Tab_Calculs[[#This Row],[index_date_livraison]]+1,6)*(Tab_Calculs[[#This Row],[fin mois]]-MIN(Tab_Calculs[[#This Row],[fin mois]],Tab_Calculs[[#This Row],[Date_livraison]]))</f>
        <v>#VALUE!</v>
      </c>
      <c r="N1401" s="231" t="str">
        <f ca="1">IFERROR(Tab_Calculs[[#This Row],[Ratio_jour_après_livr]]+Tab_Calculs[[#This Row],[Ratio_jour_avant_livr]]+Tab_Calculs[[#This Row],[ratio_avant_debut]],"")</f>
        <v/>
      </c>
      <c r="O1401" t="e">
        <f ca="1">INDEX(INDIRECT(CONCATENATE("Tab_",Tab_Calculs[[#This Row],[Colonne1]])),Tab_Calculs[[#This Row],[index_date_livraison]]-1,7)*(MAX(Tab_Calculs[[#This Row],[Début periode livraison]],Tab_Calculs[[#This Row],[Début mois]])-Tab_Calculs[[#This Row],[Début mois]])</f>
        <v>#VALUE!</v>
      </c>
      <c r="P1401">
        <f ca="1">INDEX(INDIRECT(CONCATENATE("Tab_",Tab_Calculs[[#This Row],[Colonne1]])),Tab_Calculs[[#This Row],[index_date_livraison]],7)*(1+MIN(Tab_Calculs[[#This Row],[Date_livraison]],Tab_Calculs[[#This Row],[fin mois]])-MAX(Tab_Calculs[[#This Row],[Début mois]],Tab_Calculs[[#This Row],[Début periode livraison]]))</f>
        <v>0</v>
      </c>
      <c r="Q1401" t="e">
        <f ca="1">INDEX(INDIRECT(CONCATENATE("Tab_",Tab_Calculs[[#This Row],[Colonne1]])),Tab_Calculs[[#This Row],[index_date_livraison]]+1,7)*(Tab_Calculs[[#This Row],[fin mois]]-MIN(Tab_Calculs[[#This Row],[fin mois]],Tab_Calculs[[#This Row],[Date_livraison]]))</f>
        <v>#VALUE!</v>
      </c>
      <c r="R1401" t="e">
        <f ca="1">Tab_Calculs[[#This Row],[Ratio_Cout_après_livr]]+Tab_Calculs[[#This Row],[Ratio_Cout_avant_livr]]+Tab_Calculs[[#This Row],[Ratio_Cout_avant_debut]]</f>
        <v>#VALUE!</v>
      </c>
      <c r="S1401" t="str">
        <f ca="1">IFERROR(N1401*VLOOKUP(Tab_Calculs[[#This Row],[Colonne1]],Controle_des_données!$B$7:$G$14,6,FALSE),"")</f>
        <v/>
      </c>
      <c r="T1401" t="str">
        <f ca="1">IF(Tab_Calculs[[#This Row],[Combustible ]]="Electricité (kWh)",Tab_Calculs[[#This Row],[Conso_mois_kWh]]*2.3,Tab_Calculs[[#This Row],[Conso_mois_kWh]])</f>
        <v/>
      </c>
      <c r="U1401" t="str">
        <f ca="1">IFERROR(N1401*VLOOKUP(Tab_Calculs[[#This Row],[Colonne1]],Controle_des_données!$B$7:$H$14,7,FALSE),"")</f>
        <v/>
      </c>
      <c r="V1401">
        <f ca="1">IFERROR(Tab_Calculs[[#This Row],[Cout_mois]]/Tab_Calculs[[#This Row],[Conso_mois_kWh]],0)</f>
        <v>0</v>
      </c>
      <c r="W1401" t="str">
        <f>T(VLOOKUP(Tab_Calculs[[#This Row],[Compteur]],Site!$B$33:$G$40,3,FALSE))</f>
        <v/>
      </c>
      <c r="X1401" t="str">
        <f>T(VLOOKUP(Tab_Calculs[[#This Row],[Compteur]],Site!$B$33:$G$40,4,FALSE))</f>
        <v/>
      </c>
      <c r="Y1401" t="str">
        <f>T(VLOOKUP(Tab_Calculs[[#This Row],[Compteur]],Site!$B$33:$G$40,5,FALSE))</f>
        <v/>
      </c>
      <c r="Z1401" t="str">
        <f>T(VLOOKUP(Tab_Calculs[[#This Row],[Compteur]],Site!$B$33:$G$40,6,FALSE))</f>
        <v/>
      </c>
      <c r="AA1401">
        <f>IFERROR(GETPIVOTDATA("DJU(chauffagiste)",BDD_DJU!$P$13,"annee",Tab_Calculs[[#This Row],[ANNEE]],"mois_numero",Tab_Calculs[[#This Row],[MOIS]]),0)</f>
        <v>320.5</v>
      </c>
    </row>
    <row r="1402" spans="1:27" x14ac:dyDescent="0.25">
      <c r="A1402" s="3">
        <f>DATE(Tab_Calculs[[#This Row],[ANNEE]],Tab_Calculs[[#This Row],[MOIS]],1)</f>
        <v>41671</v>
      </c>
      <c r="B1402" s="3">
        <f>EDATE(Tab_Calculs[[#This Row],[Début mois]],1)-1</f>
        <v>41698</v>
      </c>
      <c r="C1402">
        <v>2</v>
      </c>
      <c r="D1402">
        <v>2014</v>
      </c>
      <c r="E1402" t="s">
        <v>87</v>
      </c>
      <c r="F1402" t="str">
        <f>SUBSTITUTE(Tab_Calculs[[#This Row],[Compteur]]," ","_")</f>
        <v>Compteur_8</v>
      </c>
      <c r="G1402" t="str">
        <f>T(INDEX(Site!$B$33:$G$40, MATCH(Tab_Calculs[[#This Row],[Compteur]], Site!$B$33:$B$40,0),2))</f>
        <v/>
      </c>
      <c r="H1402" s="3">
        <f t="array" aca="1" ref="H1402" ca="1">MIN(IF(INDIRECT(CONCATENATE(Tab_Calculs[[#This Row],[Colonne1]],"!$B$2:$B$243"))&gt;=Calculs_Consos!$A1402,INDIRECT(CONCATENATE(Tab_Calculs[[#This Row],[Colonne1]],"!$B$2:$B$243"))))</f>
        <v>0</v>
      </c>
      <c r="I1402" s="3">
        <f ca="1">INDEX(INDIRECT(CONCATENATE("Tab_",Tab_Calculs[[#This Row],[Colonne1]])),Tab_Calculs[[#This Row],[index_date_livraison]],1)</f>
        <v>0</v>
      </c>
      <c r="J1402">
        <f ca="1">MATCH(Tab_Calculs[[#This Row],[Date_livraison]],INDIRECT(CONCATENATE("Tab_",Tab_Calculs[[#This Row],[Colonne1]],"[Fin de période]")),0)</f>
        <v>1</v>
      </c>
      <c r="K1402" t="e">
        <f ca="1">INDEX(INDIRECT(CONCATENATE("Tab_",Tab_Calculs[[#This Row],[Colonne1]])),Tab_Calculs[[#This Row],[index_date_livraison]]-1,6)*(MAX(Tab_Calculs[[#This Row],[Début periode livraison]],Tab_Calculs[[#This Row],[Début mois]])-Tab_Calculs[[#This Row],[Début mois]])</f>
        <v>#VALUE!</v>
      </c>
      <c r="L1402" s="94">
        <f ca="1">INDEX(INDIRECT(CONCATENATE("Tab_",Tab_Calculs[[#This Row],[Colonne1]])),Tab_Calculs[[#This Row],[index_date_livraison]],6)*(1+MIN(Tab_Calculs[[#This Row],[Date_livraison]],Tab_Calculs[[#This Row],[fin mois]])-MAX(Tab_Calculs[[#This Row],[Début mois]],Tab_Calculs[[#This Row],[Début periode livraison]]))</f>
        <v>0</v>
      </c>
      <c r="M1402" s="94" t="e">
        <f ca="1">INDEX(INDIRECT(CONCATENATE("Tab_",Tab_Calculs[[#This Row],[Colonne1]])),Tab_Calculs[[#This Row],[index_date_livraison]]+1,6)*(Tab_Calculs[[#This Row],[fin mois]]-MIN(Tab_Calculs[[#This Row],[fin mois]],Tab_Calculs[[#This Row],[Date_livraison]]))</f>
        <v>#VALUE!</v>
      </c>
      <c r="N1402" s="231" t="str">
        <f ca="1">IFERROR(Tab_Calculs[[#This Row],[Ratio_jour_après_livr]]+Tab_Calculs[[#This Row],[Ratio_jour_avant_livr]]+Tab_Calculs[[#This Row],[ratio_avant_debut]],"")</f>
        <v/>
      </c>
      <c r="O1402" t="e">
        <f ca="1">INDEX(INDIRECT(CONCATENATE("Tab_",Tab_Calculs[[#This Row],[Colonne1]])),Tab_Calculs[[#This Row],[index_date_livraison]]-1,7)*(MAX(Tab_Calculs[[#This Row],[Début periode livraison]],Tab_Calculs[[#This Row],[Début mois]])-Tab_Calculs[[#This Row],[Début mois]])</f>
        <v>#VALUE!</v>
      </c>
      <c r="P1402">
        <f ca="1">INDEX(INDIRECT(CONCATENATE("Tab_",Tab_Calculs[[#This Row],[Colonne1]])),Tab_Calculs[[#This Row],[index_date_livraison]],7)*(1+MIN(Tab_Calculs[[#This Row],[Date_livraison]],Tab_Calculs[[#This Row],[fin mois]])-MAX(Tab_Calculs[[#This Row],[Début mois]],Tab_Calculs[[#This Row],[Début periode livraison]]))</f>
        <v>0</v>
      </c>
      <c r="Q1402" t="e">
        <f ca="1">INDEX(INDIRECT(CONCATENATE("Tab_",Tab_Calculs[[#This Row],[Colonne1]])),Tab_Calculs[[#This Row],[index_date_livraison]]+1,7)*(Tab_Calculs[[#This Row],[fin mois]]-MIN(Tab_Calculs[[#This Row],[fin mois]],Tab_Calculs[[#This Row],[Date_livraison]]))</f>
        <v>#VALUE!</v>
      </c>
      <c r="R1402" t="e">
        <f ca="1">Tab_Calculs[[#This Row],[Ratio_Cout_après_livr]]+Tab_Calculs[[#This Row],[Ratio_Cout_avant_livr]]+Tab_Calculs[[#This Row],[Ratio_Cout_avant_debut]]</f>
        <v>#VALUE!</v>
      </c>
      <c r="S1402" t="str">
        <f ca="1">IFERROR(N1402*VLOOKUP(Tab_Calculs[[#This Row],[Colonne1]],Controle_des_données!$B$7:$G$14,6,FALSE),"")</f>
        <v/>
      </c>
      <c r="T1402" t="str">
        <f ca="1">IF(Tab_Calculs[[#This Row],[Combustible ]]="Electricité (kWh)",Tab_Calculs[[#This Row],[Conso_mois_kWh]]*2.3,Tab_Calculs[[#This Row],[Conso_mois_kWh]])</f>
        <v/>
      </c>
      <c r="U1402" t="str">
        <f ca="1">IFERROR(N1402*VLOOKUP(Tab_Calculs[[#This Row],[Colonne1]],Controle_des_données!$B$7:$H$14,7,FALSE),"")</f>
        <v/>
      </c>
      <c r="V1402">
        <f ca="1">IFERROR(Tab_Calculs[[#This Row],[Cout_mois]]/Tab_Calculs[[#This Row],[Conso_mois_kWh]],0)</f>
        <v>0</v>
      </c>
      <c r="W1402" t="str">
        <f>T(VLOOKUP(Tab_Calculs[[#This Row],[Compteur]],Site!$B$33:$G$40,3,FALSE))</f>
        <v/>
      </c>
      <c r="X1402" t="str">
        <f>T(VLOOKUP(Tab_Calculs[[#This Row],[Compteur]],Site!$B$33:$G$40,4,FALSE))</f>
        <v/>
      </c>
      <c r="Y1402" t="str">
        <f>T(VLOOKUP(Tab_Calculs[[#This Row],[Compteur]],Site!$B$33:$G$40,5,FALSE))</f>
        <v/>
      </c>
      <c r="Z1402" t="str">
        <f>T(VLOOKUP(Tab_Calculs[[#This Row],[Compteur]],Site!$B$33:$G$40,6,FALSE))</f>
        <v/>
      </c>
      <c r="AA1402">
        <f>IFERROR(GETPIVOTDATA("DJU(chauffagiste)",BDD_DJU!$P$13,"annee",Tab_Calculs[[#This Row],[ANNEE]],"mois_numero",Tab_Calculs[[#This Row],[MOIS]]),0)</f>
        <v>281.3</v>
      </c>
    </row>
    <row r="1403" spans="1:27" x14ac:dyDescent="0.25">
      <c r="A1403" s="3">
        <f>DATE(Tab_Calculs[[#This Row],[ANNEE]],Tab_Calculs[[#This Row],[MOIS]],1)</f>
        <v>41699</v>
      </c>
      <c r="B1403" s="3">
        <f>EDATE(Tab_Calculs[[#This Row],[Début mois]],1)-1</f>
        <v>41729</v>
      </c>
      <c r="C1403">
        <v>3</v>
      </c>
      <c r="D1403">
        <v>2014</v>
      </c>
      <c r="E1403" t="s">
        <v>87</v>
      </c>
      <c r="F1403" t="str">
        <f>SUBSTITUTE(Tab_Calculs[[#This Row],[Compteur]]," ","_")</f>
        <v>Compteur_8</v>
      </c>
      <c r="G1403" t="str">
        <f>T(INDEX(Site!$B$33:$G$40, MATCH(Tab_Calculs[[#This Row],[Compteur]], Site!$B$33:$B$40,0),2))</f>
        <v/>
      </c>
      <c r="H1403" s="3">
        <f t="array" aca="1" ref="H1403" ca="1">MIN(IF(INDIRECT(CONCATENATE(Tab_Calculs[[#This Row],[Colonne1]],"!$B$2:$B$243"))&gt;=Calculs_Consos!$A1403,INDIRECT(CONCATENATE(Tab_Calculs[[#This Row],[Colonne1]],"!$B$2:$B$243"))))</f>
        <v>0</v>
      </c>
      <c r="I1403" s="3">
        <f ca="1">INDEX(INDIRECT(CONCATENATE("Tab_",Tab_Calculs[[#This Row],[Colonne1]])),Tab_Calculs[[#This Row],[index_date_livraison]],1)</f>
        <v>0</v>
      </c>
      <c r="J1403">
        <f ca="1">MATCH(Tab_Calculs[[#This Row],[Date_livraison]],INDIRECT(CONCATENATE("Tab_",Tab_Calculs[[#This Row],[Colonne1]],"[Fin de période]")),0)</f>
        <v>1</v>
      </c>
      <c r="K1403" t="e">
        <f ca="1">INDEX(INDIRECT(CONCATENATE("Tab_",Tab_Calculs[[#This Row],[Colonne1]])),Tab_Calculs[[#This Row],[index_date_livraison]]-1,6)*(MAX(Tab_Calculs[[#This Row],[Début periode livraison]],Tab_Calculs[[#This Row],[Début mois]])-Tab_Calculs[[#This Row],[Début mois]])</f>
        <v>#VALUE!</v>
      </c>
      <c r="L1403" s="94">
        <f ca="1">INDEX(INDIRECT(CONCATENATE("Tab_",Tab_Calculs[[#This Row],[Colonne1]])),Tab_Calculs[[#This Row],[index_date_livraison]],6)*(1+MIN(Tab_Calculs[[#This Row],[Date_livraison]],Tab_Calculs[[#This Row],[fin mois]])-MAX(Tab_Calculs[[#This Row],[Début mois]],Tab_Calculs[[#This Row],[Début periode livraison]]))</f>
        <v>0</v>
      </c>
      <c r="M1403" s="94" t="e">
        <f ca="1">INDEX(INDIRECT(CONCATENATE("Tab_",Tab_Calculs[[#This Row],[Colonne1]])),Tab_Calculs[[#This Row],[index_date_livraison]]+1,6)*(Tab_Calculs[[#This Row],[fin mois]]-MIN(Tab_Calculs[[#This Row],[fin mois]],Tab_Calculs[[#This Row],[Date_livraison]]))</f>
        <v>#VALUE!</v>
      </c>
      <c r="N1403" s="231" t="str">
        <f ca="1">IFERROR(Tab_Calculs[[#This Row],[Ratio_jour_après_livr]]+Tab_Calculs[[#This Row],[Ratio_jour_avant_livr]]+Tab_Calculs[[#This Row],[ratio_avant_debut]],"")</f>
        <v/>
      </c>
      <c r="O1403" t="e">
        <f ca="1">INDEX(INDIRECT(CONCATENATE("Tab_",Tab_Calculs[[#This Row],[Colonne1]])),Tab_Calculs[[#This Row],[index_date_livraison]]-1,7)*(MAX(Tab_Calculs[[#This Row],[Début periode livraison]],Tab_Calculs[[#This Row],[Début mois]])-Tab_Calculs[[#This Row],[Début mois]])</f>
        <v>#VALUE!</v>
      </c>
      <c r="P1403">
        <f ca="1">INDEX(INDIRECT(CONCATENATE("Tab_",Tab_Calculs[[#This Row],[Colonne1]])),Tab_Calculs[[#This Row],[index_date_livraison]],7)*(1+MIN(Tab_Calculs[[#This Row],[Date_livraison]],Tab_Calculs[[#This Row],[fin mois]])-MAX(Tab_Calculs[[#This Row],[Début mois]],Tab_Calculs[[#This Row],[Début periode livraison]]))</f>
        <v>0</v>
      </c>
      <c r="Q1403" t="e">
        <f ca="1">INDEX(INDIRECT(CONCATENATE("Tab_",Tab_Calculs[[#This Row],[Colonne1]])),Tab_Calculs[[#This Row],[index_date_livraison]]+1,7)*(Tab_Calculs[[#This Row],[fin mois]]-MIN(Tab_Calculs[[#This Row],[fin mois]],Tab_Calculs[[#This Row],[Date_livraison]]))</f>
        <v>#VALUE!</v>
      </c>
      <c r="R1403" t="e">
        <f ca="1">Tab_Calculs[[#This Row],[Ratio_Cout_après_livr]]+Tab_Calculs[[#This Row],[Ratio_Cout_avant_livr]]+Tab_Calculs[[#This Row],[Ratio_Cout_avant_debut]]</f>
        <v>#VALUE!</v>
      </c>
      <c r="S1403" t="str">
        <f ca="1">IFERROR(N1403*VLOOKUP(Tab_Calculs[[#This Row],[Colonne1]],Controle_des_données!$B$7:$G$14,6,FALSE),"")</f>
        <v/>
      </c>
      <c r="T1403" t="str">
        <f ca="1">IF(Tab_Calculs[[#This Row],[Combustible ]]="Electricité (kWh)",Tab_Calculs[[#This Row],[Conso_mois_kWh]]*2.3,Tab_Calculs[[#This Row],[Conso_mois_kWh]])</f>
        <v/>
      </c>
      <c r="U1403" t="str">
        <f ca="1">IFERROR(N1403*VLOOKUP(Tab_Calculs[[#This Row],[Colonne1]],Controle_des_données!$B$7:$H$14,7,FALSE),"")</f>
        <v/>
      </c>
      <c r="V1403">
        <f ca="1">IFERROR(Tab_Calculs[[#This Row],[Cout_mois]]/Tab_Calculs[[#This Row],[Conso_mois_kWh]],0)</f>
        <v>0</v>
      </c>
      <c r="W1403" t="str">
        <f>T(VLOOKUP(Tab_Calculs[[#This Row],[Compteur]],Site!$B$33:$G$40,3,FALSE))</f>
        <v/>
      </c>
      <c r="X1403" t="str">
        <f>T(VLOOKUP(Tab_Calculs[[#This Row],[Compteur]],Site!$B$33:$G$40,4,FALSE))</f>
        <v/>
      </c>
      <c r="Y1403" t="str">
        <f>T(VLOOKUP(Tab_Calculs[[#This Row],[Compteur]],Site!$B$33:$G$40,5,FALSE))</f>
        <v/>
      </c>
      <c r="Z1403" t="str">
        <f>T(VLOOKUP(Tab_Calculs[[#This Row],[Compteur]],Site!$B$33:$G$40,6,FALSE))</f>
        <v/>
      </c>
      <c r="AA1403">
        <f>IFERROR(GETPIVOTDATA("DJU(chauffagiste)",BDD_DJU!$P$13,"annee",Tab_Calculs[[#This Row],[ANNEE]],"mois_numero",Tab_Calculs[[#This Row],[MOIS]]),0)</f>
        <v>263.89999999999998</v>
      </c>
    </row>
    <row r="1404" spans="1:27" x14ac:dyDescent="0.25">
      <c r="A1404" s="3">
        <f>DATE(Tab_Calculs[[#This Row],[ANNEE]],Tab_Calculs[[#This Row],[MOIS]],1)</f>
        <v>41730</v>
      </c>
      <c r="B1404" s="3">
        <f>EDATE(Tab_Calculs[[#This Row],[Début mois]],1)-1</f>
        <v>41759</v>
      </c>
      <c r="C1404">
        <v>4</v>
      </c>
      <c r="D1404">
        <v>2014</v>
      </c>
      <c r="E1404" t="s">
        <v>87</v>
      </c>
      <c r="F1404" t="str">
        <f>SUBSTITUTE(Tab_Calculs[[#This Row],[Compteur]]," ","_")</f>
        <v>Compteur_8</v>
      </c>
      <c r="G1404" t="str">
        <f>T(INDEX(Site!$B$33:$G$40, MATCH(Tab_Calculs[[#This Row],[Compteur]], Site!$B$33:$B$40,0),2))</f>
        <v/>
      </c>
      <c r="H1404" s="3">
        <f t="array" aca="1" ref="H1404" ca="1">MIN(IF(INDIRECT(CONCATENATE(Tab_Calculs[[#This Row],[Colonne1]],"!$B$2:$B$243"))&gt;=Calculs_Consos!$A1404,INDIRECT(CONCATENATE(Tab_Calculs[[#This Row],[Colonne1]],"!$B$2:$B$243"))))</f>
        <v>0</v>
      </c>
      <c r="I1404" s="3">
        <f ca="1">INDEX(INDIRECT(CONCATENATE("Tab_",Tab_Calculs[[#This Row],[Colonne1]])),Tab_Calculs[[#This Row],[index_date_livraison]],1)</f>
        <v>0</v>
      </c>
      <c r="J1404">
        <f ca="1">MATCH(Tab_Calculs[[#This Row],[Date_livraison]],INDIRECT(CONCATENATE("Tab_",Tab_Calculs[[#This Row],[Colonne1]],"[Fin de période]")),0)</f>
        <v>1</v>
      </c>
      <c r="K1404" t="e">
        <f ca="1">INDEX(INDIRECT(CONCATENATE("Tab_",Tab_Calculs[[#This Row],[Colonne1]])),Tab_Calculs[[#This Row],[index_date_livraison]]-1,6)*(MAX(Tab_Calculs[[#This Row],[Début periode livraison]],Tab_Calculs[[#This Row],[Début mois]])-Tab_Calculs[[#This Row],[Début mois]])</f>
        <v>#VALUE!</v>
      </c>
      <c r="L1404" s="94">
        <f ca="1">INDEX(INDIRECT(CONCATENATE("Tab_",Tab_Calculs[[#This Row],[Colonne1]])),Tab_Calculs[[#This Row],[index_date_livraison]],6)*(1+MIN(Tab_Calculs[[#This Row],[Date_livraison]],Tab_Calculs[[#This Row],[fin mois]])-MAX(Tab_Calculs[[#This Row],[Début mois]],Tab_Calculs[[#This Row],[Début periode livraison]]))</f>
        <v>0</v>
      </c>
      <c r="M1404" s="94" t="e">
        <f ca="1">INDEX(INDIRECT(CONCATENATE("Tab_",Tab_Calculs[[#This Row],[Colonne1]])),Tab_Calculs[[#This Row],[index_date_livraison]]+1,6)*(Tab_Calculs[[#This Row],[fin mois]]-MIN(Tab_Calculs[[#This Row],[fin mois]],Tab_Calculs[[#This Row],[Date_livraison]]))</f>
        <v>#VALUE!</v>
      </c>
      <c r="N1404" s="231" t="str">
        <f ca="1">IFERROR(Tab_Calculs[[#This Row],[Ratio_jour_après_livr]]+Tab_Calculs[[#This Row],[Ratio_jour_avant_livr]]+Tab_Calculs[[#This Row],[ratio_avant_debut]],"")</f>
        <v/>
      </c>
      <c r="O1404" t="e">
        <f ca="1">INDEX(INDIRECT(CONCATENATE("Tab_",Tab_Calculs[[#This Row],[Colonne1]])),Tab_Calculs[[#This Row],[index_date_livraison]]-1,7)*(MAX(Tab_Calculs[[#This Row],[Début periode livraison]],Tab_Calculs[[#This Row],[Début mois]])-Tab_Calculs[[#This Row],[Début mois]])</f>
        <v>#VALUE!</v>
      </c>
      <c r="P1404">
        <f ca="1">INDEX(INDIRECT(CONCATENATE("Tab_",Tab_Calculs[[#This Row],[Colonne1]])),Tab_Calculs[[#This Row],[index_date_livraison]],7)*(1+MIN(Tab_Calculs[[#This Row],[Date_livraison]],Tab_Calculs[[#This Row],[fin mois]])-MAX(Tab_Calculs[[#This Row],[Début mois]],Tab_Calculs[[#This Row],[Début periode livraison]]))</f>
        <v>0</v>
      </c>
      <c r="Q1404" t="e">
        <f ca="1">INDEX(INDIRECT(CONCATENATE("Tab_",Tab_Calculs[[#This Row],[Colonne1]])),Tab_Calculs[[#This Row],[index_date_livraison]]+1,7)*(Tab_Calculs[[#This Row],[fin mois]]-MIN(Tab_Calculs[[#This Row],[fin mois]],Tab_Calculs[[#This Row],[Date_livraison]]))</f>
        <v>#VALUE!</v>
      </c>
      <c r="R1404" t="e">
        <f ca="1">Tab_Calculs[[#This Row],[Ratio_Cout_après_livr]]+Tab_Calculs[[#This Row],[Ratio_Cout_avant_livr]]+Tab_Calculs[[#This Row],[Ratio_Cout_avant_debut]]</f>
        <v>#VALUE!</v>
      </c>
      <c r="S1404" t="str">
        <f ca="1">IFERROR(N1404*VLOOKUP(Tab_Calculs[[#This Row],[Colonne1]],Controle_des_données!$B$7:$G$14,6,FALSE),"")</f>
        <v/>
      </c>
      <c r="T1404" t="str">
        <f ca="1">IF(Tab_Calculs[[#This Row],[Combustible ]]="Electricité (kWh)",Tab_Calculs[[#This Row],[Conso_mois_kWh]]*2.3,Tab_Calculs[[#This Row],[Conso_mois_kWh]])</f>
        <v/>
      </c>
      <c r="U1404" t="str">
        <f ca="1">IFERROR(N1404*VLOOKUP(Tab_Calculs[[#This Row],[Colonne1]],Controle_des_données!$B$7:$H$14,7,FALSE),"")</f>
        <v/>
      </c>
      <c r="V1404">
        <f ca="1">IFERROR(Tab_Calculs[[#This Row],[Cout_mois]]/Tab_Calculs[[#This Row],[Conso_mois_kWh]],0)</f>
        <v>0</v>
      </c>
      <c r="W1404" t="str">
        <f>T(VLOOKUP(Tab_Calculs[[#This Row],[Compteur]],Site!$B$33:$G$40,3,FALSE))</f>
        <v/>
      </c>
      <c r="X1404" t="str">
        <f>T(VLOOKUP(Tab_Calculs[[#This Row],[Compteur]],Site!$B$33:$G$40,4,FALSE))</f>
        <v/>
      </c>
      <c r="Y1404" t="str">
        <f>T(VLOOKUP(Tab_Calculs[[#This Row],[Compteur]],Site!$B$33:$G$40,5,FALSE))</f>
        <v/>
      </c>
      <c r="Z1404" t="str">
        <f>T(VLOOKUP(Tab_Calculs[[#This Row],[Compteur]],Site!$B$33:$G$40,6,FALSE))</f>
        <v/>
      </c>
      <c r="AA1404">
        <f>IFERROR(GETPIVOTDATA("DJU(chauffagiste)",BDD_DJU!$P$13,"annee",Tab_Calculs[[#This Row],[ANNEE]],"mois_numero",Tab_Calculs[[#This Row],[MOIS]]),0)</f>
        <v>174.2</v>
      </c>
    </row>
    <row r="1405" spans="1:27" x14ac:dyDescent="0.25">
      <c r="A1405" s="3">
        <f>DATE(Tab_Calculs[[#This Row],[ANNEE]],Tab_Calculs[[#This Row],[MOIS]],1)</f>
        <v>41760</v>
      </c>
      <c r="B1405" s="3">
        <f>EDATE(Tab_Calculs[[#This Row],[Début mois]],1)-1</f>
        <v>41790</v>
      </c>
      <c r="C1405">
        <v>5</v>
      </c>
      <c r="D1405">
        <v>2014</v>
      </c>
      <c r="E1405" t="s">
        <v>87</v>
      </c>
      <c r="F1405" t="str">
        <f>SUBSTITUTE(Tab_Calculs[[#This Row],[Compteur]]," ","_")</f>
        <v>Compteur_8</v>
      </c>
      <c r="G1405" t="str">
        <f>T(INDEX(Site!$B$33:$G$40, MATCH(Tab_Calculs[[#This Row],[Compteur]], Site!$B$33:$B$40,0),2))</f>
        <v/>
      </c>
      <c r="H1405" s="3">
        <f t="array" aca="1" ref="H1405" ca="1">MIN(IF(INDIRECT(CONCATENATE(Tab_Calculs[[#This Row],[Colonne1]],"!$B$2:$B$243"))&gt;=Calculs_Consos!$A1405,INDIRECT(CONCATENATE(Tab_Calculs[[#This Row],[Colonne1]],"!$B$2:$B$243"))))</f>
        <v>0</v>
      </c>
      <c r="I1405" s="3">
        <f ca="1">INDEX(INDIRECT(CONCATENATE("Tab_",Tab_Calculs[[#This Row],[Colonne1]])),Tab_Calculs[[#This Row],[index_date_livraison]],1)</f>
        <v>0</v>
      </c>
      <c r="J1405">
        <f ca="1">MATCH(Tab_Calculs[[#This Row],[Date_livraison]],INDIRECT(CONCATENATE("Tab_",Tab_Calculs[[#This Row],[Colonne1]],"[Fin de période]")),0)</f>
        <v>1</v>
      </c>
      <c r="K1405" t="e">
        <f ca="1">INDEX(INDIRECT(CONCATENATE("Tab_",Tab_Calculs[[#This Row],[Colonne1]])),Tab_Calculs[[#This Row],[index_date_livraison]]-1,6)*(MAX(Tab_Calculs[[#This Row],[Début periode livraison]],Tab_Calculs[[#This Row],[Début mois]])-Tab_Calculs[[#This Row],[Début mois]])</f>
        <v>#VALUE!</v>
      </c>
      <c r="L1405" s="94">
        <f ca="1">INDEX(INDIRECT(CONCATENATE("Tab_",Tab_Calculs[[#This Row],[Colonne1]])),Tab_Calculs[[#This Row],[index_date_livraison]],6)*(1+MIN(Tab_Calculs[[#This Row],[Date_livraison]],Tab_Calculs[[#This Row],[fin mois]])-MAX(Tab_Calculs[[#This Row],[Début mois]],Tab_Calculs[[#This Row],[Début periode livraison]]))</f>
        <v>0</v>
      </c>
      <c r="M1405" s="94" t="e">
        <f ca="1">INDEX(INDIRECT(CONCATENATE("Tab_",Tab_Calculs[[#This Row],[Colonne1]])),Tab_Calculs[[#This Row],[index_date_livraison]]+1,6)*(Tab_Calculs[[#This Row],[fin mois]]-MIN(Tab_Calculs[[#This Row],[fin mois]],Tab_Calculs[[#This Row],[Date_livraison]]))</f>
        <v>#VALUE!</v>
      </c>
      <c r="N1405" s="231" t="str">
        <f ca="1">IFERROR(Tab_Calculs[[#This Row],[Ratio_jour_après_livr]]+Tab_Calculs[[#This Row],[Ratio_jour_avant_livr]]+Tab_Calculs[[#This Row],[ratio_avant_debut]],"")</f>
        <v/>
      </c>
      <c r="O1405" t="e">
        <f ca="1">INDEX(INDIRECT(CONCATENATE("Tab_",Tab_Calculs[[#This Row],[Colonne1]])),Tab_Calculs[[#This Row],[index_date_livraison]]-1,7)*(MAX(Tab_Calculs[[#This Row],[Début periode livraison]],Tab_Calculs[[#This Row],[Début mois]])-Tab_Calculs[[#This Row],[Début mois]])</f>
        <v>#VALUE!</v>
      </c>
      <c r="P1405">
        <f ca="1">INDEX(INDIRECT(CONCATENATE("Tab_",Tab_Calculs[[#This Row],[Colonne1]])),Tab_Calculs[[#This Row],[index_date_livraison]],7)*(1+MIN(Tab_Calculs[[#This Row],[Date_livraison]],Tab_Calculs[[#This Row],[fin mois]])-MAX(Tab_Calculs[[#This Row],[Début mois]],Tab_Calculs[[#This Row],[Début periode livraison]]))</f>
        <v>0</v>
      </c>
      <c r="Q1405" t="e">
        <f ca="1">INDEX(INDIRECT(CONCATENATE("Tab_",Tab_Calculs[[#This Row],[Colonne1]])),Tab_Calculs[[#This Row],[index_date_livraison]]+1,7)*(Tab_Calculs[[#This Row],[fin mois]]-MIN(Tab_Calculs[[#This Row],[fin mois]],Tab_Calculs[[#This Row],[Date_livraison]]))</f>
        <v>#VALUE!</v>
      </c>
      <c r="R1405" t="e">
        <f ca="1">Tab_Calculs[[#This Row],[Ratio_Cout_après_livr]]+Tab_Calculs[[#This Row],[Ratio_Cout_avant_livr]]+Tab_Calculs[[#This Row],[Ratio_Cout_avant_debut]]</f>
        <v>#VALUE!</v>
      </c>
      <c r="S1405" t="str">
        <f ca="1">IFERROR(N1405*VLOOKUP(Tab_Calculs[[#This Row],[Colonne1]],Controle_des_données!$B$7:$G$14,6,FALSE),"")</f>
        <v/>
      </c>
      <c r="T1405" t="str">
        <f ca="1">IF(Tab_Calculs[[#This Row],[Combustible ]]="Electricité (kWh)",Tab_Calculs[[#This Row],[Conso_mois_kWh]]*2.3,Tab_Calculs[[#This Row],[Conso_mois_kWh]])</f>
        <v/>
      </c>
      <c r="U1405" t="str">
        <f ca="1">IFERROR(N1405*VLOOKUP(Tab_Calculs[[#This Row],[Colonne1]],Controle_des_données!$B$7:$H$14,7,FALSE),"")</f>
        <v/>
      </c>
      <c r="V1405">
        <f ca="1">IFERROR(Tab_Calculs[[#This Row],[Cout_mois]]/Tab_Calculs[[#This Row],[Conso_mois_kWh]],0)</f>
        <v>0</v>
      </c>
      <c r="W1405" t="str">
        <f>T(VLOOKUP(Tab_Calculs[[#This Row],[Compteur]],Site!$B$33:$G$40,3,FALSE))</f>
        <v/>
      </c>
      <c r="X1405" t="str">
        <f>T(VLOOKUP(Tab_Calculs[[#This Row],[Compteur]],Site!$B$33:$G$40,4,FALSE))</f>
        <v/>
      </c>
      <c r="Y1405" t="str">
        <f>T(VLOOKUP(Tab_Calculs[[#This Row],[Compteur]],Site!$B$33:$G$40,5,FALSE))</f>
        <v/>
      </c>
      <c r="Z1405" t="str">
        <f>T(VLOOKUP(Tab_Calculs[[#This Row],[Compteur]],Site!$B$33:$G$40,6,FALSE))</f>
        <v/>
      </c>
      <c r="AA1405">
        <f>IFERROR(GETPIVOTDATA("DJU(chauffagiste)",BDD_DJU!$P$13,"annee",Tab_Calculs[[#This Row],[ANNEE]],"mois_numero",Tab_Calculs[[#This Row],[MOIS]]),0)</f>
        <v>134.5</v>
      </c>
    </row>
    <row r="1406" spans="1:27" x14ac:dyDescent="0.25">
      <c r="A1406" s="3">
        <f>DATE(Tab_Calculs[[#This Row],[ANNEE]],Tab_Calculs[[#This Row],[MOIS]],1)</f>
        <v>41791</v>
      </c>
      <c r="B1406" s="3">
        <f>EDATE(Tab_Calculs[[#This Row],[Début mois]],1)-1</f>
        <v>41820</v>
      </c>
      <c r="C1406">
        <v>6</v>
      </c>
      <c r="D1406">
        <v>2014</v>
      </c>
      <c r="E1406" t="s">
        <v>87</v>
      </c>
      <c r="F1406" t="str">
        <f>SUBSTITUTE(Tab_Calculs[[#This Row],[Compteur]]," ","_")</f>
        <v>Compteur_8</v>
      </c>
      <c r="G1406" t="str">
        <f>T(INDEX(Site!$B$33:$G$40, MATCH(Tab_Calculs[[#This Row],[Compteur]], Site!$B$33:$B$40,0),2))</f>
        <v/>
      </c>
      <c r="H1406" s="3">
        <f t="array" aca="1" ref="H1406" ca="1">MIN(IF(INDIRECT(CONCATENATE(Tab_Calculs[[#This Row],[Colonne1]],"!$B$2:$B$243"))&gt;=Calculs_Consos!$A1406,INDIRECT(CONCATENATE(Tab_Calculs[[#This Row],[Colonne1]],"!$B$2:$B$243"))))</f>
        <v>0</v>
      </c>
      <c r="I1406" s="3">
        <f ca="1">INDEX(INDIRECT(CONCATENATE("Tab_",Tab_Calculs[[#This Row],[Colonne1]])),Tab_Calculs[[#This Row],[index_date_livraison]],1)</f>
        <v>0</v>
      </c>
      <c r="J1406">
        <f ca="1">MATCH(Tab_Calculs[[#This Row],[Date_livraison]],INDIRECT(CONCATENATE("Tab_",Tab_Calculs[[#This Row],[Colonne1]],"[Fin de période]")),0)</f>
        <v>1</v>
      </c>
      <c r="K1406" t="e">
        <f ca="1">INDEX(INDIRECT(CONCATENATE("Tab_",Tab_Calculs[[#This Row],[Colonne1]])),Tab_Calculs[[#This Row],[index_date_livraison]]-1,6)*(MAX(Tab_Calculs[[#This Row],[Début periode livraison]],Tab_Calculs[[#This Row],[Début mois]])-Tab_Calculs[[#This Row],[Début mois]])</f>
        <v>#VALUE!</v>
      </c>
      <c r="L1406" s="94">
        <f ca="1">INDEX(INDIRECT(CONCATENATE("Tab_",Tab_Calculs[[#This Row],[Colonne1]])),Tab_Calculs[[#This Row],[index_date_livraison]],6)*(1+MIN(Tab_Calculs[[#This Row],[Date_livraison]],Tab_Calculs[[#This Row],[fin mois]])-MAX(Tab_Calculs[[#This Row],[Début mois]],Tab_Calculs[[#This Row],[Début periode livraison]]))</f>
        <v>0</v>
      </c>
      <c r="M1406" s="94" t="e">
        <f ca="1">INDEX(INDIRECT(CONCATENATE("Tab_",Tab_Calculs[[#This Row],[Colonne1]])),Tab_Calculs[[#This Row],[index_date_livraison]]+1,6)*(Tab_Calculs[[#This Row],[fin mois]]-MIN(Tab_Calculs[[#This Row],[fin mois]],Tab_Calculs[[#This Row],[Date_livraison]]))</f>
        <v>#VALUE!</v>
      </c>
      <c r="N1406" s="231" t="str">
        <f ca="1">IFERROR(Tab_Calculs[[#This Row],[Ratio_jour_après_livr]]+Tab_Calculs[[#This Row],[Ratio_jour_avant_livr]]+Tab_Calculs[[#This Row],[ratio_avant_debut]],"")</f>
        <v/>
      </c>
      <c r="O1406" t="e">
        <f ca="1">INDEX(INDIRECT(CONCATENATE("Tab_",Tab_Calculs[[#This Row],[Colonne1]])),Tab_Calculs[[#This Row],[index_date_livraison]]-1,7)*(MAX(Tab_Calculs[[#This Row],[Début periode livraison]],Tab_Calculs[[#This Row],[Début mois]])-Tab_Calculs[[#This Row],[Début mois]])</f>
        <v>#VALUE!</v>
      </c>
      <c r="P1406">
        <f ca="1">INDEX(INDIRECT(CONCATENATE("Tab_",Tab_Calculs[[#This Row],[Colonne1]])),Tab_Calculs[[#This Row],[index_date_livraison]],7)*(1+MIN(Tab_Calculs[[#This Row],[Date_livraison]],Tab_Calculs[[#This Row],[fin mois]])-MAX(Tab_Calculs[[#This Row],[Début mois]],Tab_Calculs[[#This Row],[Début periode livraison]]))</f>
        <v>0</v>
      </c>
      <c r="Q1406" t="e">
        <f ca="1">INDEX(INDIRECT(CONCATENATE("Tab_",Tab_Calculs[[#This Row],[Colonne1]])),Tab_Calculs[[#This Row],[index_date_livraison]]+1,7)*(Tab_Calculs[[#This Row],[fin mois]]-MIN(Tab_Calculs[[#This Row],[fin mois]],Tab_Calculs[[#This Row],[Date_livraison]]))</f>
        <v>#VALUE!</v>
      </c>
      <c r="R1406" t="e">
        <f ca="1">Tab_Calculs[[#This Row],[Ratio_Cout_après_livr]]+Tab_Calculs[[#This Row],[Ratio_Cout_avant_livr]]+Tab_Calculs[[#This Row],[Ratio_Cout_avant_debut]]</f>
        <v>#VALUE!</v>
      </c>
      <c r="S1406" t="str">
        <f ca="1">IFERROR(N1406*VLOOKUP(Tab_Calculs[[#This Row],[Colonne1]],Controle_des_données!$B$7:$G$14,6,FALSE),"")</f>
        <v/>
      </c>
      <c r="T1406" t="str">
        <f ca="1">IF(Tab_Calculs[[#This Row],[Combustible ]]="Electricité (kWh)",Tab_Calculs[[#This Row],[Conso_mois_kWh]]*2.3,Tab_Calculs[[#This Row],[Conso_mois_kWh]])</f>
        <v/>
      </c>
      <c r="U1406" t="str">
        <f ca="1">IFERROR(N1406*VLOOKUP(Tab_Calculs[[#This Row],[Colonne1]],Controle_des_données!$B$7:$H$14,7,FALSE),"")</f>
        <v/>
      </c>
      <c r="V1406">
        <f ca="1">IFERROR(Tab_Calculs[[#This Row],[Cout_mois]]/Tab_Calculs[[#This Row],[Conso_mois_kWh]],0)</f>
        <v>0</v>
      </c>
      <c r="W1406" t="str">
        <f>T(VLOOKUP(Tab_Calculs[[#This Row],[Compteur]],Site!$B$33:$G$40,3,FALSE))</f>
        <v/>
      </c>
      <c r="X1406" t="str">
        <f>T(VLOOKUP(Tab_Calculs[[#This Row],[Compteur]],Site!$B$33:$G$40,4,FALSE))</f>
        <v/>
      </c>
      <c r="Y1406" t="str">
        <f>T(VLOOKUP(Tab_Calculs[[#This Row],[Compteur]],Site!$B$33:$G$40,5,FALSE))</f>
        <v/>
      </c>
      <c r="Z1406" t="str">
        <f>T(VLOOKUP(Tab_Calculs[[#This Row],[Compteur]],Site!$B$33:$G$40,6,FALSE))</f>
        <v/>
      </c>
      <c r="AA1406">
        <f>IFERROR(GETPIVOTDATA("DJU(chauffagiste)",BDD_DJU!$P$13,"annee",Tab_Calculs[[#This Row],[ANNEE]],"mois_numero",Tab_Calculs[[#This Row],[MOIS]]),0)</f>
        <v>48.5</v>
      </c>
    </row>
    <row r="1407" spans="1:27" x14ac:dyDescent="0.25">
      <c r="A1407" s="3">
        <f>DATE(Tab_Calculs[[#This Row],[ANNEE]],Tab_Calculs[[#This Row],[MOIS]],1)</f>
        <v>41821</v>
      </c>
      <c r="B1407" s="3">
        <f>EDATE(Tab_Calculs[[#This Row],[Début mois]],1)-1</f>
        <v>41851</v>
      </c>
      <c r="C1407">
        <v>7</v>
      </c>
      <c r="D1407">
        <v>2014</v>
      </c>
      <c r="E1407" t="s">
        <v>87</v>
      </c>
      <c r="F1407" t="str">
        <f>SUBSTITUTE(Tab_Calculs[[#This Row],[Compteur]]," ","_")</f>
        <v>Compteur_8</v>
      </c>
      <c r="G1407" t="str">
        <f>T(INDEX(Site!$B$33:$G$40, MATCH(Tab_Calculs[[#This Row],[Compteur]], Site!$B$33:$B$40,0),2))</f>
        <v/>
      </c>
      <c r="H1407" s="3">
        <f t="array" aca="1" ref="H1407" ca="1">MIN(IF(INDIRECT(CONCATENATE(Tab_Calculs[[#This Row],[Colonne1]],"!$B$2:$B$243"))&gt;=Calculs_Consos!$A1407,INDIRECT(CONCATENATE(Tab_Calculs[[#This Row],[Colonne1]],"!$B$2:$B$243"))))</f>
        <v>0</v>
      </c>
      <c r="I1407" s="3">
        <f ca="1">INDEX(INDIRECT(CONCATENATE("Tab_",Tab_Calculs[[#This Row],[Colonne1]])),Tab_Calculs[[#This Row],[index_date_livraison]],1)</f>
        <v>0</v>
      </c>
      <c r="J1407">
        <f ca="1">MATCH(Tab_Calculs[[#This Row],[Date_livraison]],INDIRECT(CONCATENATE("Tab_",Tab_Calculs[[#This Row],[Colonne1]],"[Fin de période]")),0)</f>
        <v>1</v>
      </c>
      <c r="K1407" t="e">
        <f ca="1">INDEX(INDIRECT(CONCATENATE("Tab_",Tab_Calculs[[#This Row],[Colonne1]])),Tab_Calculs[[#This Row],[index_date_livraison]]-1,6)*(MAX(Tab_Calculs[[#This Row],[Début periode livraison]],Tab_Calculs[[#This Row],[Début mois]])-Tab_Calculs[[#This Row],[Début mois]])</f>
        <v>#VALUE!</v>
      </c>
      <c r="L1407" s="94">
        <f ca="1">INDEX(INDIRECT(CONCATENATE("Tab_",Tab_Calculs[[#This Row],[Colonne1]])),Tab_Calculs[[#This Row],[index_date_livraison]],6)*(1+MIN(Tab_Calculs[[#This Row],[Date_livraison]],Tab_Calculs[[#This Row],[fin mois]])-MAX(Tab_Calculs[[#This Row],[Début mois]],Tab_Calculs[[#This Row],[Début periode livraison]]))</f>
        <v>0</v>
      </c>
      <c r="M1407" s="94" t="e">
        <f ca="1">INDEX(INDIRECT(CONCATENATE("Tab_",Tab_Calculs[[#This Row],[Colonne1]])),Tab_Calculs[[#This Row],[index_date_livraison]]+1,6)*(Tab_Calculs[[#This Row],[fin mois]]-MIN(Tab_Calculs[[#This Row],[fin mois]],Tab_Calculs[[#This Row],[Date_livraison]]))</f>
        <v>#VALUE!</v>
      </c>
      <c r="N1407" s="231" t="str">
        <f ca="1">IFERROR(Tab_Calculs[[#This Row],[Ratio_jour_après_livr]]+Tab_Calculs[[#This Row],[Ratio_jour_avant_livr]]+Tab_Calculs[[#This Row],[ratio_avant_debut]],"")</f>
        <v/>
      </c>
      <c r="O1407" t="e">
        <f ca="1">INDEX(INDIRECT(CONCATENATE("Tab_",Tab_Calculs[[#This Row],[Colonne1]])),Tab_Calculs[[#This Row],[index_date_livraison]]-1,7)*(MAX(Tab_Calculs[[#This Row],[Début periode livraison]],Tab_Calculs[[#This Row],[Début mois]])-Tab_Calculs[[#This Row],[Début mois]])</f>
        <v>#VALUE!</v>
      </c>
      <c r="P1407">
        <f ca="1">INDEX(INDIRECT(CONCATENATE("Tab_",Tab_Calculs[[#This Row],[Colonne1]])),Tab_Calculs[[#This Row],[index_date_livraison]],7)*(1+MIN(Tab_Calculs[[#This Row],[Date_livraison]],Tab_Calculs[[#This Row],[fin mois]])-MAX(Tab_Calculs[[#This Row],[Début mois]],Tab_Calculs[[#This Row],[Début periode livraison]]))</f>
        <v>0</v>
      </c>
      <c r="Q1407" t="e">
        <f ca="1">INDEX(INDIRECT(CONCATENATE("Tab_",Tab_Calculs[[#This Row],[Colonne1]])),Tab_Calculs[[#This Row],[index_date_livraison]]+1,7)*(Tab_Calculs[[#This Row],[fin mois]]-MIN(Tab_Calculs[[#This Row],[fin mois]],Tab_Calculs[[#This Row],[Date_livraison]]))</f>
        <v>#VALUE!</v>
      </c>
      <c r="R1407" t="e">
        <f ca="1">Tab_Calculs[[#This Row],[Ratio_Cout_après_livr]]+Tab_Calculs[[#This Row],[Ratio_Cout_avant_livr]]+Tab_Calculs[[#This Row],[Ratio_Cout_avant_debut]]</f>
        <v>#VALUE!</v>
      </c>
      <c r="S1407" t="str">
        <f ca="1">IFERROR(N1407*VLOOKUP(Tab_Calculs[[#This Row],[Colonne1]],Controle_des_données!$B$7:$G$14,6,FALSE),"")</f>
        <v/>
      </c>
      <c r="T1407" t="str">
        <f ca="1">IF(Tab_Calculs[[#This Row],[Combustible ]]="Electricité (kWh)",Tab_Calculs[[#This Row],[Conso_mois_kWh]]*2.3,Tab_Calculs[[#This Row],[Conso_mois_kWh]])</f>
        <v/>
      </c>
      <c r="U1407" t="str">
        <f ca="1">IFERROR(N1407*VLOOKUP(Tab_Calculs[[#This Row],[Colonne1]],Controle_des_données!$B$7:$H$14,7,FALSE),"")</f>
        <v/>
      </c>
      <c r="V1407">
        <f ca="1">IFERROR(Tab_Calculs[[#This Row],[Cout_mois]]/Tab_Calculs[[#This Row],[Conso_mois_kWh]],0)</f>
        <v>0</v>
      </c>
      <c r="W1407" t="str">
        <f>T(VLOOKUP(Tab_Calculs[[#This Row],[Compteur]],Site!$B$33:$G$40,3,FALSE))</f>
        <v/>
      </c>
      <c r="X1407" t="str">
        <f>T(VLOOKUP(Tab_Calculs[[#This Row],[Compteur]],Site!$B$33:$G$40,4,FALSE))</f>
        <v/>
      </c>
      <c r="Y1407" t="str">
        <f>T(VLOOKUP(Tab_Calculs[[#This Row],[Compteur]],Site!$B$33:$G$40,5,FALSE))</f>
        <v/>
      </c>
      <c r="Z1407" t="str">
        <f>T(VLOOKUP(Tab_Calculs[[#This Row],[Compteur]],Site!$B$33:$G$40,6,FALSE))</f>
        <v/>
      </c>
      <c r="AA1407">
        <f>IFERROR(GETPIVOTDATA("DJU(chauffagiste)",BDD_DJU!$P$13,"annee",Tab_Calculs[[#This Row],[ANNEE]],"mois_numero",Tab_Calculs[[#This Row],[MOIS]]),0)</f>
        <v>22.6</v>
      </c>
    </row>
    <row r="1408" spans="1:27" x14ac:dyDescent="0.25">
      <c r="A1408" s="3">
        <f>DATE(Tab_Calculs[[#This Row],[ANNEE]],Tab_Calculs[[#This Row],[MOIS]],1)</f>
        <v>41852</v>
      </c>
      <c r="B1408" s="3">
        <f>EDATE(Tab_Calculs[[#This Row],[Début mois]],1)-1</f>
        <v>41882</v>
      </c>
      <c r="C1408">
        <v>8</v>
      </c>
      <c r="D1408">
        <v>2014</v>
      </c>
      <c r="E1408" t="s">
        <v>87</v>
      </c>
      <c r="F1408" t="str">
        <f>SUBSTITUTE(Tab_Calculs[[#This Row],[Compteur]]," ","_")</f>
        <v>Compteur_8</v>
      </c>
      <c r="G1408" t="str">
        <f>T(INDEX(Site!$B$33:$G$40, MATCH(Tab_Calculs[[#This Row],[Compteur]], Site!$B$33:$B$40,0),2))</f>
        <v/>
      </c>
      <c r="H1408" s="3">
        <f t="array" aca="1" ref="H1408" ca="1">MIN(IF(INDIRECT(CONCATENATE(Tab_Calculs[[#This Row],[Colonne1]],"!$B$2:$B$243"))&gt;=Calculs_Consos!$A1408,INDIRECT(CONCATENATE(Tab_Calculs[[#This Row],[Colonne1]],"!$B$2:$B$243"))))</f>
        <v>0</v>
      </c>
      <c r="I1408" s="3">
        <f ca="1">INDEX(INDIRECT(CONCATENATE("Tab_",Tab_Calculs[[#This Row],[Colonne1]])),Tab_Calculs[[#This Row],[index_date_livraison]],1)</f>
        <v>0</v>
      </c>
      <c r="J1408">
        <f ca="1">MATCH(Tab_Calculs[[#This Row],[Date_livraison]],INDIRECT(CONCATENATE("Tab_",Tab_Calculs[[#This Row],[Colonne1]],"[Fin de période]")),0)</f>
        <v>1</v>
      </c>
      <c r="K1408" t="e">
        <f ca="1">INDEX(INDIRECT(CONCATENATE("Tab_",Tab_Calculs[[#This Row],[Colonne1]])),Tab_Calculs[[#This Row],[index_date_livraison]]-1,6)*(MAX(Tab_Calculs[[#This Row],[Début periode livraison]],Tab_Calculs[[#This Row],[Début mois]])-Tab_Calculs[[#This Row],[Début mois]])</f>
        <v>#VALUE!</v>
      </c>
      <c r="L1408" s="94">
        <f ca="1">INDEX(INDIRECT(CONCATENATE("Tab_",Tab_Calculs[[#This Row],[Colonne1]])),Tab_Calculs[[#This Row],[index_date_livraison]],6)*(1+MIN(Tab_Calculs[[#This Row],[Date_livraison]],Tab_Calculs[[#This Row],[fin mois]])-MAX(Tab_Calculs[[#This Row],[Début mois]],Tab_Calculs[[#This Row],[Début periode livraison]]))</f>
        <v>0</v>
      </c>
      <c r="M1408" s="94" t="e">
        <f ca="1">INDEX(INDIRECT(CONCATENATE("Tab_",Tab_Calculs[[#This Row],[Colonne1]])),Tab_Calculs[[#This Row],[index_date_livraison]]+1,6)*(Tab_Calculs[[#This Row],[fin mois]]-MIN(Tab_Calculs[[#This Row],[fin mois]],Tab_Calculs[[#This Row],[Date_livraison]]))</f>
        <v>#VALUE!</v>
      </c>
      <c r="N1408" s="231" t="str">
        <f ca="1">IFERROR(Tab_Calculs[[#This Row],[Ratio_jour_après_livr]]+Tab_Calculs[[#This Row],[Ratio_jour_avant_livr]]+Tab_Calculs[[#This Row],[ratio_avant_debut]],"")</f>
        <v/>
      </c>
      <c r="O1408" t="e">
        <f ca="1">INDEX(INDIRECT(CONCATENATE("Tab_",Tab_Calculs[[#This Row],[Colonne1]])),Tab_Calculs[[#This Row],[index_date_livraison]]-1,7)*(MAX(Tab_Calculs[[#This Row],[Début periode livraison]],Tab_Calculs[[#This Row],[Début mois]])-Tab_Calculs[[#This Row],[Début mois]])</f>
        <v>#VALUE!</v>
      </c>
      <c r="P1408">
        <f ca="1">INDEX(INDIRECT(CONCATENATE("Tab_",Tab_Calculs[[#This Row],[Colonne1]])),Tab_Calculs[[#This Row],[index_date_livraison]],7)*(1+MIN(Tab_Calculs[[#This Row],[Date_livraison]],Tab_Calculs[[#This Row],[fin mois]])-MAX(Tab_Calculs[[#This Row],[Début mois]],Tab_Calculs[[#This Row],[Début periode livraison]]))</f>
        <v>0</v>
      </c>
      <c r="Q1408" t="e">
        <f ca="1">INDEX(INDIRECT(CONCATENATE("Tab_",Tab_Calculs[[#This Row],[Colonne1]])),Tab_Calculs[[#This Row],[index_date_livraison]]+1,7)*(Tab_Calculs[[#This Row],[fin mois]]-MIN(Tab_Calculs[[#This Row],[fin mois]],Tab_Calculs[[#This Row],[Date_livraison]]))</f>
        <v>#VALUE!</v>
      </c>
      <c r="R1408" t="e">
        <f ca="1">Tab_Calculs[[#This Row],[Ratio_Cout_après_livr]]+Tab_Calculs[[#This Row],[Ratio_Cout_avant_livr]]+Tab_Calculs[[#This Row],[Ratio_Cout_avant_debut]]</f>
        <v>#VALUE!</v>
      </c>
      <c r="S1408" t="str">
        <f ca="1">IFERROR(N1408*VLOOKUP(Tab_Calculs[[#This Row],[Colonne1]],Controle_des_données!$B$7:$G$14,6,FALSE),"")</f>
        <v/>
      </c>
      <c r="T1408" t="str">
        <f ca="1">IF(Tab_Calculs[[#This Row],[Combustible ]]="Electricité (kWh)",Tab_Calculs[[#This Row],[Conso_mois_kWh]]*2.3,Tab_Calculs[[#This Row],[Conso_mois_kWh]])</f>
        <v/>
      </c>
      <c r="U1408" t="str">
        <f ca="1">IFERROR(N1408*VLOOKUP(Tab_Calculs[[#This Row],[Colonne1]],Controle_des_données!$B$7:$H$14,7,FALSE),"")</f>
        <v/>
      </c>
      <c r="V1408">
        <f ca="1">IFERROR(Tab_Calculs[[#This Row],[Cout_mois]]/Tab_Calculs[[#This Row],[Conso_mois_kWh]],0)</f>
        <v>0</v>
      </c>
      <c r="W1408" t="str">
        <f>T(VLOOKUP(Tab_Calculs[[#This Row],[Compteur]],Site!$B$33:$G$40,3,FALSE))</f>
        <v/>
      </c>
      <c r="X1408" t="str">
        <f>T(VLOOKUP(Tab_Calculs[[#This Row],[Compteur]],Site!$B$33:$G$40,4,FALSE))</f>
        <v/>
      </c>
      <c r="Y1408" t="str">
        <f>T(VLOOKUP(Tab_Calculs[[#This Row],[Compteur]],Site!$B$33:$G$40,5,FALSE))</f>
        <v/>
      </c>
      <c r="Z1408" t="str">
        <f>T(VLOOKUP(Tab_Calculs[[#This Row],[Compteur]],Site!$B$33:$G$40,6,FALSE))</f>
        <v/>
      </c>
      <c r="AA1408">
        <f>IFERROR(GETPIVOTDATA("DJU(chauffagiste)",BDD_DJU!$P$13,"annee",Tab_Calculs[[#This Row],[ANNEE]],"mois_numero",Tab_Calculs[[#This Row],[MOIS]]),0)</f>
        <v>51.9</v>
      </c>
    </row>
    <row r="1409" spans="1:27" x14ac:dyDescent="0.25">
      <c r="A1409" s="3">
        <f>DATE(Tab_Calculs[[#This Row],[ANNEE]],Tab_Calculs[[#This Row],[MOIS]],1)</f>
        <v>41883</v>
      </c>
      <c r="B1409" s="3">
        <f>EDATE(Tab_Calculs[[#This Row],[Début mois]],1)-1</f>
        <v>41912</v>
      </c>
      <c r="C1409">
        <v>9</v>
      </c>
      <c r="D1409">
        <v>2014</v>
      </c>
      <c r="E1409" t="s">
        <v>87</v>
      </c>
      <c r="F1409" t="str">
        <f>SUBSTITUTE(Tab_Calculs[[#This Row],[Compteur]]," ","_")</f>
        <v>Compteur_8</v>
      </c>
      <c r="G1409" t="str">
        <f>T(INDEX(Site!$B$33:$G$40, MATCH(Tab_Calculs[[#This Row],[Compteur]], Site!$B$33:$B$40,0),2))</f>
        <v/>
      </c>
      <c r="H1409" s="3">
        <f t="array" aca="1" ref="H1409" ca="1">MIN(IF(INDIRECT(CONCATENATE(Tab_Calculs[[#This Row],[Colonne1]],"!$B$2:$B$243"))&gt;=Calculs_Consos!$A1409,INDIRECT(CONCATENATE(Tab_Calculs[[#This Row],[Colonne1]],"!$B$2:$B$243"))))</f>
        <v>0</v>
      </c>
      <c r="I1409" s="3">
        <f ca="1">INDEX(INDIRECT(CONCATENATE("Tab_",Tab_Calculs[[#This Row],[Colonne1]])),Tab_Calculs[[#This Row],[index_date_livraison]],1)</f>
        <v>0</v>
      </c>
      <c r="J1409">
        <f ca="1">MATCH(Tab_Calculs[[#This Row],[Date_livraison]],INDIRECT(CONCATENATE("Tab_",Tab_Calculs[[#This Row],[Colonne1]],"[Fin de période]")),0)</f>
        <v>1</v>
      </c>
      <c r="K1409" t="e">
        <f ca="1">INDEX(INDIRECT(CONCATENATE("Tab_",Tab_Calculs[[#This Row],[Colonne1]])),Tab_Calculs[[#This Row],[index_date_livraison]]-1,6)*(MAX(Tab_Calculs[[#This Row],[Début periode livraison]],Tab_Calculs[[#This Row],[Début mois]])-Tab_Calculs[[#This Row],[Début mois]])</f>
        <v>#VALUE!</v>
      </c>
      <c r="L1409" s="94">
        <f ca="1">INDEX(INDIRECT(CONCATENATE("Tab_",Tab_Calculs[[#This Row],[Colonne1]])),Tab_Calculs[[#This Row],[index_date_livraison]],6)*(1+MIN(Tab_Calculs[[#This Row],[Date_livraison]],Tab_Calculs[[#This Row],[fin mois]])-MAX(Tab_Calculs[[#This Row],[Début mois]],Tab_Calculs[[#This Row],[Début periode livraison]]))</f>
        <v>0</v>
      </c>
      <c r="M1409" s="94" t="e">
        <f ca="1">INDEX(INDIRECT(CONCATENATE("Tab_",Tab_Calculs[[#This Row],[Colonne1]])),Tab_Calculs[[#This Row],[index_date_livraison]]+1,6)*(Tab_Calculs[[#This Row],[fin mois]]-MIN(Tab_Calculs[[#This Row],[fin mois]],Tab_Calculs[[#This Row],[Date_livraison]]))</f>
        <v>#VALUE!</v>
      </c>
      <c r="N1409" s="231" t="str">
        <f ca="1">IFERROR(Tab_Calculs[[#This Row],[Ratio_jour_après_livr]]+Tab_Calculs[[#This Row],[Ratio_jour_avant_livr]]+Tab_Calculs[[#This Row],[ratio_avant_debut]],"")</f>
        <v/>
      </c>
      <c r="O1409" t="e">
        <f ca="1">INDEX(INDIRECT(CONCATENATE("Tab_",Tab_Calculs[[#This Row],[Colonne1]])),Tab_Calculs[[#This Row],[index_date_livraison]]-1,7)*(MAX(Tab_Calculs[[#This Row],[Début periode livraison]],Tab_Calculs[[#This Row],[Début mois]])-Tab_Calculs[[#This Row],[Début mois]])</f>
        <v>#VALUE!</v>
      </c>
      <c r="P1409">
        <f ca="1">INDEX(INDIRECT(CONCATENATE("Tab_",Tab_Calculs[[#This Row],[Colonne1]])),Tab_Calculs[[#This Row],[index_date_livraison]],7)*(1+MIN(Tab_Calculs[[#This Row],[Date_livraison]],Tab_Calculs[[#This Row],[fin mois]])-MAX(Tab_Calculs[[#This Row],[Début mois]],Tab_Calculs[[#This Row],[Début periode livraison]]))</f>
        <v>0</v>
      </c>
      <c r="Q1409" t="e">
        <f ca="1">INDEX(INDIRECT(CONCATENATE("Tab_",Tab_Calculs[[#This Row],[Colonne1]])),Tab_Calculs[[#This Row],[index_date_livraison]]+1,7)*(Tab_Calculs[[#This Row],[fin mois]]-MIN(Tab_Calculs[[#This Row],[fin mois]],Tab_Calculs[[#This Row],[Date_livraison]]))</f>
        <v>#VALUE!</v>
      </c>
      <c r="R1409" t="e">
        <f ca="1">Tab_Calculs[[#This Row],[Ratio_Cout_après_livr]]+Tab_Calculs[[#This Row],[Ratio_Cout_avant_livr]]+Tab_Calculs[[#This Row],[Ratio_Cout_avant_debut]]</f>
        <v>#VALUE!</v>
      </c>
      <c r="S1409" t="str">
        <f ca="1">IFERROR(N1409*VLOOKUP(Tab_Calculs[[#This Row],[Colonne1]],Controle_des_données!$B$7:$G$14,6,FALSE),"")</f>
        <v/>
      </c>
      <c r="T1409" t="str">
        <f ca="1">IF(Tab_Calculs[[#This Row],[Combustible ]]="Electricité (kWh)",Tab_Calculs[[#This Row],[Conso_mois_kWh]]*2.3,Tab_Calculs[[#This Row],[Conso_mois_kWh]])</f>
        <v/>
      </c>
      <c r="U1409" t="str">
        <f ca="1">IFERROR(N1409*VLOOKUP(Tab_Calculs[[#This Row],[Colonne1]],Controle_des_données!$B$7:$H$14,7,FALSE),"")</f>
        <v/>
      </c>
      <c r="V1409">
        <f ca="1">IFERROR(Tab_Calculs[[#This Row],[Cout_mois]]/Tab_Calculs[[#This Row],[Conso_mois_kWh]],0)</f>
        <v>0</v>
      </c>
      <c r="W1409" t="str">
        <f>T(VLOOKUP(Tab_Calculs[[#This Row],[Compteur]],Site!$B$33:$G$40,3,FALSE))</f>
        <v/>
      </c>
      <c r="X1409" t="str">
        <f>T(VLOOKUP(Tab_Calculs[[#This Row],[Compteur]],Site!$B$33:$G$40,4,FALSE))</f>
        <v/>
      </c>
      <c r="Y1409" t="str">
        <f>T(VLOOKUP(Tab_Calculs[[#This Row],[Compteur]],Site!$B$33:$G$40,5,FALSE))</f>
        <v/>
      </c>
      <c r="Z1409" t="str">
        <f>T(VLOOKUP(Tab_Calculs[[#This Row],[Compteur]],Site!$B$33:$G$40,6,FALSE))</f>
        <v/>
      </c>
      <c r="AA1409">
        <f>IFERROR(GETPIVOTDATA("DJU(chauffagiste)",BDD_DJU!$P$13,"annee",Tab_Calculs[[#This Row],[ANNEE]],"mois_numero",Tab_Calculs[[#This Row],[MOIS]]),0)</f>
        <v>54.3</v>
      </c>
    </row>
    <row r="1410" spans="1:27" x14ac:dyDescent="0.25">
      <c r="A1410" s="3">
        <f>DATE(Tab_Calculs[[#This Row],[ANNEE]],Tab_Calculs[[#This Row],[MOIS]],1)</f>
        <v>41913</v>
      </c>
      <c r="B1410" s="3">
        <f>EDATE(Tab_Calculs[[#This Row],[Début mois]],1)-1</f>
        <v>41943</v>
      </c>
      <c r="C1410">
        <v>10</v>
      </c>
      <c r="D1410">
        <v>2014</v>
      </c>
      <c r="E1410" t="s">
        <v>87</v>
      </c>
      <c r="F1410" t="str">
        <f>SUBSTITUTE(Tab_Calculs[[#This Row],[Compteur]]," ","_")</f>
        <v>Compteur_8</v>
      </c>
      <c r="G1410" t="str">
        <f>T(INDEX(Site!$B$33:$G$40, MATCH(Tab_Calculs[[#This Row],[Compteur]], Site!$B$33:$B$40,0),2))</f>
        <v/>
      </c>
      <c r="H1410" s="3">
        <f t="array" aca="1" ref="H1410" ca="1">MIN(IF(INDIRECT(CONCATENATE(Tab_Calculs[[#This Row],[Colonne1]],"!$B$2:$B$243"))&gt;=Calculs_Consos!$A1410,INDIRECT(CONCATENATE(Tab_Calculs[[#This Row],[Colonne1]],"!$B$2:$B$243"))))</f>
        <v>0</v>
      </c>
      <c r="I1410" s="3">
        <f ca="1">INDEX(INDIRECT(CONCATENATE("Tab_",Tab_Calculs[[#This Row],[Colonne1]])),Tab_Calculs[[#This Row],[index_date_livraison]],1)</f>
        <v>0</v>
      </c>
      <c r="J1410">
        <f ca="1">MATCH(Tab_Calculs[[#This Row],[Date_livraison]],INDIRECT(CONCATENATE("Tab_",Tab_Calculs[[#This Row],[Colonne1]],"[Fin de période]")),0)</f>
        <v>1</v>
      </c>
      <c r="K1410" t="e">
        <f ca="1">INDEX(INDIRECT(CONCATENATE("Tab_",Tab_Calculs[[#This Row],[Colonne1]])),Tab_Calculs[[#This Row],[index_date_livraison]]-1,6)*(MAX(Tab_Calculs[[#This Row],[Début periode livraison]],Tab_Calculs[[#This Row],[Début mois]])-Tab_Calculs[[#This Row],[Début mois]])</f>
        <v>#VALUE!</v>
      </c>
      <c r="L1410" s="94">
        <f ca="1">INDEX(INDIRECT(CONCATENATE("Tab_",Tab_Calculs[[#This Row],[Colonne1]])),Tab_Calculs[[#This Row],[index_date_livraison]],6)*(1+MIN(Tab_Calculs[[#This Row],[Date_livraison]],Tab_Calculs[[#This Row],[fin mois]])-MAX(Tab_Calculs[[#This Row],[Début mois]],Tab_Calculs[[#This Row],[Début periode livraison]]))</f>
        <v>0</v>
      </c>
      <c r="M1410" s="94" t="e">
        <f ca="1">INDEX(INDIRECT(CONCATENATE("Tab_",Tab_Calculs[[#This Row],[Colonne1]])),Tab_Calculs[[#This Row],[index_date_livraison]]+1,6)*(Tab_Calculs[[#This Row],[fin mois]]-MIN(Tab_Calculs[[#This Row],[fin mois]],Tab_Calculs[[#This Row],[Date_livraison]]))</f>
        <v>#VALUE!</v>
      </c>
      <c r="N1410" s="231" t="str">
        <f ca="1">IFERROR(Tab_Calculs[[#This Row],[Ratio_jour_après_livr]]+Tab_Calculs[[#This Row],[Ratio_jour_avant_livr]]+Tab_Calculs[[#This Row],[ratio_avant_debut]],"")</f>
        <v/>
      </c>
      <c r="O1410" t="e">
        <f ca="1">INDEX(INDIRECT(CONCATENATE("Tab_",Tab_Calculs[[#This Row],[Colonne1]])),Tab_Calculs[[#This Row],[index_date_livraison]]-1,7)*(MAX(Tab_Calculs[[#This Row],[Début periode livraison]],Tab_Calculs[[#This Row],[Début mois]])-Tab_Calculs[[#This Row],[Début mois]])</f>
        <v>#VALUE!</v>
      </c>
      <c r="P1410">
        <f ca="1">INDEX(INDIRECT(CONCATENATE("Tab_",Tab_Calculs[[#This Row],[Colonne1]])),Tab_Calculs[[#This Row],[index_date_livraison]],7)*(1+MIN(Tab_Calculs[[#This Row],[Date_livraison]],Tab_Calculs[[#This Row],[fin mois]])-MAX(Tab_Calculs[[#This Row],[Début mois]],Tab_Calculs[[#This Row],[Début periode livraison]]))</f>
        <v>0</v>
      </c>
      <c r="Q1410" t="e">
        <f ca="1">INDEX(INDIRECT(CONCATENATE("Tab_",Tab_Calculs[[#This Row],[Colonne1]])),Tab_Calculs[[#This Row],[index_date_livraison]]+1,7)*(Tab_Calculs[[#This Row],[fin mois]]-MIN(Tab_Calculs[[#This Row],[fin mois]],Tab_Calculs[[#This Row],[Date_livraison]]))</f>
        <v>#VALUE!</v>
      </c>
      <c r="R1410" t="e">
        <f ca="1">Tab_Calculs[[#This Row],[Ratio_Cout_après_livr]]+Tab_Calculs[[#This Row],[Ratio_Cout_avant_livr]]+Tab_Calculs[[#This Row],[Ratio_Cout_avant_debut]]</f>
        <v>#VALUE!</v>
      </c>
      <c r="S1410" t="str">
        <f ca="1">IFERROR(N1410*VLOOKUP(Tab_Calculs[[#This Row],[Colonne1]],Controle_des_données!$B$7:$G$14,6,FALSE),"")</f>
        <v/>
      </c>
      <c r="T1410" t="str">
        <f ca="1">IF(Tab_Calculs[[#This Row],[Combustible ]]="Electricité (kWh)",Tab_Calculs[[#This Row],[Conso_mois_kWh]]*2.3,Tab_Calculs[[#This Row],[Conso_mois_kWh]])</f>
        <v/>
      </c>
      <c r="U1410" t="str">
        <f ca="1">IFERROR(N1410*VLOOKUP(Tab_Calculs[[#This Row],[Colonne1]],Controle_des_données!$B$7:$H$14,7,FALSE),"")</f>
        <v/>
      </c>
      <c r="V1410">
        <f ca="1">IFERROR(Tab_Calculs[[#This Row],[Cout_mois]]/Tab_Calculs[[#This Row],[Conso_mois_kWh]],0)</f>
        <v>0</v>
      </c>
      <c r="W1410" t="str">
        <f>T(VLOOKUP(Tab_Calculs[[#This Row],[Compteur]],Site!$B$33:$G$40,3,FALSE))</f>
        <v/>
      </c>
      <c r="X1410" t="str">
        <f>T(VLOOKUP(Tab_Calculs[[#This Row],[Compteur]],Site!$B$33:$G$40,4,FALSE))</f>
        <v/>
      </c>
      <c r="Y1410" t="str">
        <f>T(VLOOKUP(Tab_Calculs[[#This Row],[Compteur]],Site!$B$33:$G$40,5,FALSE))</f>
        <v/>
      </c>
      <c r="Z1410" t="str">
        <f>T(VLOOKUP(Tab_Calculs[[#This Row],[Compteur]],Site!$B$33:$G$40,6,FALSE))</f>
        <v/>
      </c>
      <c r="AA1410">
        <f>IFERROR(GETPIVOTDATA("DJU(chauffagiste)",BDD_DJU!$P$13,"annee",Tab_Calculs[[#This Row],[ANNEE]],"mois_numero",Tab_Calculs[[#This Row],[MOIS]]),0)</f>
        <v>124.2</v>
      </c>
    </row>
    <row r="1411" spans="1:27" x14ac:dyDescent="0.25">
      <c r="A1411" s="3">
        <f>DATE(Tab_Calculs[[#This Row],[ANNEE]],Tab_Calculs[[#This Row],[MOIS]],1)</f>
        <v>41944</v>
      </c>
      <c r="B1411" s="3">
        <f>EDATE(Tab_Calculs[[#This Row],[Début mois]],1)-1</f>
        <v>41973</v>
      </c>
      <c r="C1411">
        <v>11</v>
      </c>
      <c r="D1411">
        <v>2014</v>
      </c>
      <c r="E1411" t="s">
        <v>87</v>
      </c>
      <c r="F1411" t="str">
        <f>SUBSTITUTE(Tab_Calculs[[#This Row],[Compteur]]," ","_")</f>
        <v>Compteur_8</v>
      </c>
      <c r="G1411" t="str">
        <f>T(INDEX(Site!$B$33:$G$40, MATCH(Tab_Calculs[[#This Row],[Compteur]], Site!$B$33:$B$40,0),2))</f>
        <v/>
      </c>
      <c r="H1411" s="3">
        <f t="array" aca="1" ref="H1411" ca="1">MIN(IF(INDIRECT(CONCATENATE(Tab_Calculs[[#This Row],[Colonne1]],"!$B$2:$B$243"))&gt;=Calculs_Consos!$A1411,INDIRECT(CONCATENATE(Tab_Calculs[[#This Row],[Colonne1]],"!$B$2:$B$243"))))</f>
        <v>0</v>
      </c>
      <c r="I1411" s="3">
        <f ca="1">INDEX(INDIRECT(CONCATENATE("Tab_",Tab_Calculs[[#This Row],[Colonne1]])),Tab_Calculs[[#This Row],[index_date_livraison]],1)</f>
        <v>0</v>
      </c>
      <c r="J1411">
        <f ca="1">MATCH(Tab_Calculs[[#This Row],[Date_livraison]],INDIRECT(CONCATENATE("Tab_",Tab_Calculs[[#This Row],[Colonne1]],"[Fin de période]")),0)</f>
        <v>1</v>
      </c>
      <c r="K1411" t="e">
        <f ca="1">INDEX(INDIRECT(CONCATENATE("Tab_",Tab_Calculs[[#This Row],[Colonne1]])),Tab_Calculs[[#This Row],[index_date_livraison]]-1,6)*(MAX(Tab_Calculs[[#This Row],[Début periode livraison]],Tab_Calculs[[#This Row],[Début mois]])-Tab_Calculs[[#This Row],[Début mois]])</f>
        <v>#VALUE!</v>
      </c>
      <c r="L1411" s="94">
        <f ca="1">INDEX(INDIRECT(CONCATENATE("Tab_",Tab_Calculs[[#This Row],[Colonne1]])),Tab_Calculs[[#This Row],[index_date_livraison]],6)*(1+MIN(Tab_Calculs[[#This Row],[Date_livraison]],Tab_Calculs[[#This Row],[fin mois]])-MAX(Tab_Calculs[[#This Row],[Début mois]],Tab_Calculs[[#This Row],[Début periode livraison]]))</f>
        <v>0</v>
      </c>
      <c r="M1411" s="94" t="e">
        <f ca="1">INDEX(INDIRECT(CONCATENATE("Tab_",Tab_Calculs[[#This Row],[Colonne1]])),Tab_Calculs[[#This Row],[index_date_livraison]]+1,6)*(Tab_Calculs[[#This Row],[fin mois]]-MIN(Tab_Calculs[[#This Row],[fin mois]],Tab_Calculs[[#This Row],[Date_livraison]]))</f>
        <v>#VALUE!</v>
      </c>
      <c r="N1411" s="231" t="str">
        <f ca="1">IFERROR(Tab_Calculs[[#This Row],[Ratio_jour_après_livr]]+Tab_Calculs[[#This Row],[Ratio_jour_avant_livr]]+Tab_Calculs[[#This Row],[ratio_avant_debut]],"")</f>
        <v/>
      </c>
      <c r="O1411" t="e">
        <f ca="1">INDEX(INDIRECT(CONCATENATE("Tab_",Tab_Calculs[[#This Row],[Colonne1]])),Tab_Calculs[[#This Row],[index_date_livraison]]-1,7)*(MAX(Tab_Calculs[[#This Row],[Début periode livraison]],Tab_Calculs[[#This Row],[Début mois]])-Tab_Calculs[[#This Row],[Début mois]])</f>
        <v>#VALUE!</v>
      </c>
      <c r="P1411">
        <f ca="1">INDEX(INDIRECT(CONCATENATE("Tab_",Tab_Calculs[[#This Row],[Colonne1]])),Tab_Calculs[[#This Row],[index_date_livraison]],7)*(1+MIN(Tab_Calculs[[#This Row],[Date_livraison]],Tab_Calculs[[#This Row],[fin mois]])-MAX(Tab_Calculs[[#This Row],[Début mois]],Tab_Calculs[[#This Row],[Début periode livraison]]))</f>
        <v>0</v>
      </c>
      <c r="Q1411" t="e">
        <f ca="1">INDEX(INDIRECT(CONCATENATE("Tab_",Tab_Calculs[[#This Row],[Colonne1]])),Tab_Calculs[[#This Row],[index_date_livraison]]+1,7)*(Tab_Calculs[[#This Row],[fin mois]]-MIN(Tab_Calculs[[#This Row],[fin mois]],Tab_Calculs[[#This Row],[Date_livraison]]))</f>
        <v>#VALUE!</v>
      </c>
      <c r="R1411" t="e">
        <f ca="1">Tab_Calculs[[#This Row],[Ratio_Cout_après_livr]]+Tab_Calculs[[#This Row],[Ratio_Cout_avant_livr]]+Tab_Calculs[[#This Row],[Ratio_Cout_avant_debut]]</f>
        <v>#VALUE!</v>
      </c>
      <c r="S1411" t="str">
        <f ca="1">IFERROR(N1411*VLOOKUP(Tab_Calculs[[#This Row],[Colonne1]],Controle_des_données!$B$7:$G$14,6,FALSE),"")</f>
        <v/>
      </c>
      <c r="T1411" t="str">
        <f ca="1">IF(Tab_Calculs[[#This Row],[Combustible ]]="Electricité (kWh)",Tab_Calculs[[#This Row],[Conso_mois_kWh]]*2.3,Tab_Calculs[[#This Row],[Conso_mois_kWh]])</f>
        <v/>
      </c>
      <c r="U1411" t="str">
        <f ca="1">IFERROR(N1411*VLOOKUP(Tab_Calculs[[#This Row],[Colonne1]],Controle_des_données!$B$7:$H$14,7,FALSE),"")</f>
        <v/>
      </c>
      <c r="V1411">
        <f ca="1">IFERROR(Tab_Calculs[[#This Row],[Cout_mois]]/Tab_Calculs[[#This Row],[Conso_mois_kWh]],0)</f>
        <v>0</v>
      </c>
      <c r="W1411" t="str">
        <f>T(VLOOKUP(Tab_Calculs[[#This Row],[Compteur]],Site!$B$33:$G$40,3,FALSE))</f>
        <v/>
      </c>
      <c r="X1411" t="str">
        <f>T(VLOOKUP(Tab_Calculs[[#This Row],[Compteur]],Site!$B$33:$G$40,4,FALSE))</f>
        <v/>
      </c>
      <c r="Y1411" t="str">
        <f>T(VLOOKUP(Tab_Calculs[[#This Row],[Compteur]],Site!$B$33:$G$40,5,FALSE))</f>
        <v/>
      </c>
      <c r="Z1411" t="str">
        <f>T(VLOOKUP(Tab_Calculs[[#This Row],[Compteur]],Site!$B$33:$G$40,6,FALSE))</f>
        <v/>
      </c>
      <c r="AA1411">
        <f>IFERROR(GETPIVOTDATA("DJU(chauffagiste)",BDD_DJU!$P$13,"annee",Tab_Calculs[[#This Row],[ANNEE]],"mois_numero",Tab_Calculs[[#This Row],[MOIS]]),0)</f>
        <v>219.5</v>
      </c>
    </row>
    <row r="1412" spans="1:27" x14ac:dyDescent="0.25">
      <c r="A1412" s="3">
        <f>DATE(Tab_Calculs[[#This Row],[ANNEE]],Tab_Calculs[[#This Row],[MOIS]],1)</f>
        <v>41974</v>
      </c>
      <c r="B1412" s="3">
        <f>EDATE(Tab_Calculs[[#This Row],[Début mois]],1)-1</f>
        <v>42004</v>
      </c>
      <c r="C1412">
        <v>12</v>
      </c>
      <c r="D1412">
        <v>2014</v>
      </c>
      <c r="E1412" t="s">
        <v>87</v>
      </c>
      <c r="F1412" t="str">
        <f>SUBSTITUTE(Tab_Calculs[[#This Row],[Compteur]]," ","_")</f>
        <v>Compteur_8</v>
      </c>
      <c r="G1412" t="str">
        <f>T(INDEX(Site!$B$33:$G$40, MATCH(Tab_Calculs[[#This Row],[Compteur]], Site!$B$33:$B$40,0),2))</f>
        <v/>
      </c>
      <c r="H1412" s="3">
        <f t="array" aca="1" ref="H1412" ca="1">MIN(IF(INDIRECT(CONCATENATE(Tab_Calculs[[#This Row],[Colonne1]],"!$B$2:$B$243"))&gt;=Calculs_Consos!$A1412,INDIRECT(CONCATENATE(Tab_Calculs[[#This Row],[Colonne1]],"!$B$2:$B$243"))))</f>
        <v>0</v>
      </c>
      <c r="I1412" s="3">
        <f ca="1">INDEX(INDIRECT(CONCATENATE("Tab_",Tab_Calculs[[#This Row],[Colonne1]])),Tab_Calculs[[#This Row],[index_date_livraison]],1)</f>
        <v>0</v>
      </c>
      <c r="J1412">
        <f ca="1">MATCH(Tab_Calculs[[#This Row],[Date_livraison]],INDIRECT(CONCATENATE("Tab_",Tab_Calculs[[#This Row],[Colonne1]],"[Fin de période]")),0)</f>
        <v>1</v>
      </c>
      <c r="K1412" t="e">
        <f ca="1">INDEX(INDIRECT(CONCATENATE("Tab_",Tab_Calculs[[#This Row],[Colonne1]])),Tab_Calculs[[#This Row],[index_date_livraison]]-1,6)*(MAX(Tab_Calculs[[#This Row],[Début periode livraison]],Tab_Calculs[[#This Row],[Début mois]])-Tab_Calculs[[#This Row],[Début mois]])</f>
        <v>#VALUE!</v>
      </c>
      <c r="L1412" s="94">
        <f ca="1">INDEX(INDIRECT(CONCATENATE("Tab_",Tab_Calculs[[#This Row],[Colonne1]])),Tab_Calculs[[#This Row],[index_date_livraison]],6)*(1+MIN(Tab_Calculs[[#This Row],[Date_livraison]],Tab_Calculs[[#This Row],[fin mois]])-MAX(Tab_Calculs[[#This Row],[Début mois]],Tab_Calculs[[#This Row],[Début periode livraison]]))</f>
        <v>0</v>
      </c>
      <c r="M1412" s="94" t="e">
        <f ca="1">INDEX(INDIRECT(CONCATENATE("Tab_",Tab_Calculs[[#This Row],[Colonne1]])),Tab_Calculs[[#This Row],[index_date_livraison]]+1,6)*(Tab_Calculs[[#This Row],[fin mois]]-MIN(Tab_Calculs[[#This Row],[fin mois]],Tab_Calculs[[#This Row],[Date_livraison]]))</f>
        <v>#VALUE!</v>
      </c>
      <c r="N1412" s="231" t="str">
        <f ca="1">IFERROR(Tab_Calculs[[#This Row],[Ratio_jour_après_livr]]+Tab_Calculs[[#This Row],[Ratio_jour_avant_livr]]+Tab_Calculs[[#This Row],[ratio_avant_debut]],"")</f>
        <v/>
      </c>
      <c r="O1412" t="e">
        <f ca="1">INDEX(INDIRECT(CONCATENATE("Tab_",Tab_Calculs[[#This Row],[Colonne1]])),Tab_Calculs[[#This Row],[index_date_livraison]]-1,7)*(MAX(Tab_Calculs[[#This Row],[Début periode livraison]],Tab_Calculs[[#This Row],[Début mois]])-Tab_Calculs[[#This Row],[Début mois]])</f>
        <v>#VALUE!</v>
      </c>
      <c r="P1412">
        <f ca="1">INDEX(INDIRECT(CONCATENATE("Tab_",Tab_Calculs[[#This Row],[Colonne1]])),Tab_Calculs[[#This Row],[index_date_livraison]],7)*(1+MIN(Tab_Calculs[[#This Row],[Date_livraison]],Tab_Calculs[[#This Row],[fin mois]])-MAX(Tab_Calculs[[#This Row],[Début mois]],Tab_Calculs[[#This Row],[Début periode livraison]]))</f>
        <v>0</v>
      </c>
      <c r="Q1412" t="e">
        <f ca="1">INDEX(INDIRECT(CONCATENATE("Tab_",Tab_Calculs[[#This Row],[Colonne1]])),Tab_Calculs[[#This Row],[index_date_livraison]]+1,7)*(Tab_Calculs[[#This Row],[fin mois]]-MIN(Tab_Calculs[[#This Row],[fin mois]],Tab_Calculs[[#This Row],[Date_livraison]]))</f>
        <v>#VALUE!</v>
      </c>
      <c r="R1412" t="e">
        <f ca="1">Tab_Calculs[[#This Row],[Ratio_Cout_après_livr]]+Tab_Calculs[[#This Row],[Ratio_Cout_avant_livr]]+Tab_Calculs[[#This Row],[Ratio_Cout_avant_debut]]</f>
        <v>#VALUE!</v>
      </c>
      <c r="S1412" t="str">
        <f ca="1">IFERROR(N1412*VLOOKUP(Tab_Calculs[[#This Row],[Colonne1]],Controle_des_données!$B$7:$G$14,6,FALSE),"")</f>
        <v/>
      </c>
      <c r="T1412" t="str">
        <f ca="1">IF(Tab_Calculs[[#This Row],[Combustible ]]="Electricité (kWh)",Tab_Calculs[[#This Row],[Conso_mois_kWh]]*2.3,Tab_Calculs[[#This Row],[Conso_mois_kWh]])</f>
        <v/>
      </c>
      <c r="U1412" t="str">
        <f ca="1">IFERROR(N1412*VLOOKUP(Tab_Calculs[[#This Row],[Colonne1]],Controle_des_données!$B$7:$H$14,7,FALSE),"")</f>
        <v/>
      </c>
      <c r="V1412">
        <f ca="1">IFERROR(Tab_Calculs[[#This Row],[Cout_mois]]/Tab_Calculs[[#This Row],[Conso_mois_kWh]],0)</f>
        <v>0</v>
      </c>
      <c r="W1412" t="str">
        <f>T(VLOOKUP(Tab_Calculs[[#This Row],[Compteur]],Site!$B$33:$G$40,3,FALSE))</f>
        <v/>
      </c>
      <c r="X1412" t="str">
        <f>T(VLOOKUP(Tab_Calculs[[#This Row],[Compteur]],Site!$B$33:$G$40,4,FALSE))</f>
        <v/>
      </c>
      <c r="Y1412" t="str">
        <f>T(VLOOKUP(Tab_Calculs[[#This Row],[Compteur]],Site!$B$33:$G$40,5,FALSE))</f>
        <v/>
      </c>
      <c r="Z1412" t="str">
        <f>T(VLOOKUP(Tab_Calculs[[#This Row],[Compteur]],Site!$B$33:$G$40,6,FALSE))</f>
        <v/>
      </c>
      <c r="AA1412">
        <f>IFERROR(GETPIVOTDATA("DJU(chauffagiste)",BDD_DJU!$P$13,"annee",Tab_Calculs[[#This Row],[ANNEE]],"mois_numero",Tab_Calculs[[#This Row],[MOIS]]),0)</f>
        <v>374.8</v>
      </c>
    </row>
    <row r="1413" spans="1:27" x14ac:dyDescent="0.25">
      <c r="A1413" s="3">
        <f>DATE(Tab_Calculs[[#This Row],[ANNEE]],Tab_Calculs[[#This Row],[MOIS]],1)</f>
        <v>42005</v>
      </c>
      <c r="B1413" s="3">
        <f>EDATE(Tab_Calculs[[#This Row],[Début mois]],1)-1</f>
        <v>42035</v>
      </c>
      <c r="C1413">
        <v>1</v>
      </c>
      <c r="D1413">
        <f>D1401+1</f>
        <v>2015</v>
      </c>
      <c r="E1413" t="s">
        <v>87</v>
      </c>
      <c r="F1413" t="str">
        <f>SUBSTITUTE(Tab_Calculs[[#This Row],[Compteur]]," ","_")</f>
        <v>Compteur_8</v>
      </c>
      <c r="G1413" t="str">
        <f>T(INDEX(Site!$B$33:$G$40, MATCH(Tab_Calculs[[#This Row],[Compteur]], Site!$B$33:$B$40,0),2))</f>
        <v/>
      </c>
      <c r="H1413" s="3">
        <f t="array" aca="1" ref="H1413" ca="1">MIN(IF(INDIRECT(CONCATENATE(Tab_Calculs[[#This Row],[Colonne1]],"!$B$2:$B$243"))&gt;=Calculs_Consos!$A1413,INDIRECT(CONCATENATE(Tab_Calculs[[#This Row],[Colonne1]],"!$B$2:$B$243"))))</f>
        <v>0</v>
      </c>
      <c r="I1413" s="3">
        <f ca="1">INDEX(INDIRECT(CONCATENATE("Tab_",Tab_Calculs[[#This Row],[Colonne1]])),Tab_Calculs[[#This Row],[index_date_livraison]],1)</f>
        <v>0</v>
      </c>
      <c r="J1413">
        <f ca="1">MATCH(Tab_Calculs[[#This Row],[Date_livraison]],INDIRECT(CONCATENATE("Tab_",Tab_Calculs[[#This Row],[Colonne1]],"[Fin de période]")),0)</f>
        <v>1</v>
      </c>
      <c r="K1413" t="e">
        <f ca="1">INDEX(INDIRECT(CONCATENATE("Tab_",Tab_Calculs[[#This Row],[Colonne1]])),Tab_Calculs[[#This Row],[index_date_livraison]]-1,6)*(MAX(Tab_Calculs[[#This Row],[Début periode livraison]],Tab_Calculs[[#This Row],[Début mois]])-Tab_Calculs[[#This Row],[Début mois]])</f>
        <v>#VALUE!</v>
      </c>
      <c r="L1413" s="94">
        <f ca="1">INDEX(INDIRECT(CONCATENATE("Tab_",Tab_Calculs[[#This Row],[Colonne1]])),Tab_Calculs[[#This Row],[index_date_livraison]],6)*(1+MIN(Tab_Calculs[[#This Row],[Date_livraison]],Tab_Calculs[[#This Row],[fin mois]])-MAX(Tab_Calculs[[#This Row],[Début mois]],Tab_Calculs[[#This Row],[Début periode livraison]]))</f>
        <v>0</v>
      </c>
      <c r="M1413" s="94" t="e">
        <f ca="1">INDEX(INDIRECT(CONCATENATE("Tab_",Tab_Calculs[[#This Row],[Colonne1]])),Tab_Calculs[[#This Row],[index_date_livraison]]+1,6)*(Tab_Calculs[[#This Row],[fin mois]]-MIN(Tab_Calculs[[#This Row],[fin mois]],Tab_Calculs[[#This Row],[Date_livraison]]))</f>
        <v>#VALUE!</v>
      </c>
      <c r="N1413" s="231" t="str">
        <f ca="1">IFERROR(Tab_Calculs[[#This Row],[Ratio_jour_après_livr]]+Tab_Calculs[[#This Row],[Ratio_jour_avant_livr]]+Tab_Calculs[[#This Row],[ratio_avant_debut]],"")</f>
        <v/>
      </c>
      <c r="O1413" t="e">
        <f ca="1">INDEX(INDIRECT(CONCATENATE("Tab_",Tab_Calculs[[#This Row],[Colonne1]])),Tab_Calculs[[#This Row],[index_date_livraison]]-1,7)*(MAX(Tab_Calculs[[#This Row],[Début periode livraison]],Tab_Calculs[[#This Row],[Début mois]])-Tab_Calculs[[#This Row],[Début mois]])</f>
        <v>#VALUE!</v>
      </c>
      <c r="P1413">
        <f ca="1">INDEX(INDIRECT(CONCATENATE("Tab_",Tab_Calculs[[#This Row],[Colonne1]])),Tab_Calculs[[#This Row],[index_date_livraison]],7)*(1+MIN(Tab_Calculs[[#This Row],[Date_livraison]],Tab_Calculs[[#This Row],[fin mois]])-MAX(Tab_Calculs[[#This Row],[Début mois]],Tab_Calculs[[#This Row],[Début periode livraison]]))</f>
        <v>0</v>
      </c>
      <c r="Q1413" t="e">
        <f ca="1">INDEX(INDIRECT(CONCATENATE("Tab_",Tab_Calculs[[#This Row],[Colonne1]])),Tab_Calculs[[#This Row],[index_date_livraison]]+1,7)*(Tab_Calculs[[#This Row],[fin mois]]-MIN(Tab_Calculs[[#This Row],[fin mois]],Tab_Calculs[[#This Row],[Date_livraison]]))</f>
        <v>#VALUE!</v>
      </c>
      <c r="R1413" t="e">
        <f ca="1">Tab_Calculs[[#This Row],[Ratio_Cout_après_livr]]+Tab_Calculs[[#This Row],[Ratio_Cout_avant_livr]]+Tab_Calculs[[#This Row],[Ratio_Cout_avant_debut]]</f>
        <v>#VALUE!</v>
      </c>
      <c r="S1413" t="str">
        <f ca="1">IFERROR(N1413*VLOOKUP(Tab_Calculs[[#This Row],[Colonne1]],Controle_des_données!$B$7:$G$14,6,FALSE),"")</f>
        <v/>
      </c>
      <c r="T1413" t="str">
        <f ca="1">IF(Tab_Calculs[[#This Row],[Combustible ]]="Electricité (kWh)",Tab_Calculs[[#This Row],[Conso_mois_kWh]]*2.3,Tab_Calculs[[#This Row],[Conso_mois_kWh]])</f>
        <v/>
      </c>
      <c r="U1413" t="str">
        <f ca="1">IFERROR(N1413*VLOOKUP(Tab_Calculs[[#This Row],[Colonne1]],Controle_des_données!$B$7:$H$14,7,FALSE),"")</f>
        <v/>
      </c>
      <c r="V1413">
        <f ca="1">IFERROR(Tab_Calculs[[#This Row],[Cout_mois]]/Tab_Calculs[[#This Row],[Conso_mois_kWh]],0)</f>
        <v>0</v>
      </c>
      <c r="W1413" t="str">
        <f>T(VLOOKUP(Tab_Calculs[[#This Row],[Compteur]],Site!$B$33:$G$40,3,FALSE))</f>
        <v/>
      </c>
      <c r="X1413" t="str">
        <f>T(VLOOKUP(Tab_Calculs[[#This Row],[Compteur]],Site!$B$33:$G$40,4,FALSE))</f>
        <v/>
      </c>
      <c r="Y1413" t="str">
        <f>T(VLOOKUP(Tab_Calculs[[#This Row],[Compteur]],Site!$B$33:$G$40,5,FALSE))</f>
        <v/>
      </c>
      <c r="Z1413" t="str">
        <f>T(VLOOKUP(Tab_Calculs[[#This Row],[Compteur]],Site!$B$33:$G$40,6,FALSE))</f>
        <v/>
      </c>
      <c r="AA1413">
        <f>IFERROR(GETPIVOTDATA("DJU(chauffagiste)",BDD_DJU!$P$13,"annee",Tab_Calculs[[#This Row],[ANNEE]],"mois_numero",Tab_Calculs[[#This Row],[MOIS]]),0)</f>
        <v>392.1</v>
      </c>
    </row>
    <row r="1414" spans="1:27" x14ac:dyDescent="0.25">
      <c r="A1414" s="3">
        <f>DATE(Tab_Calculs[[#This Row],[ANNEE]],Tab_Calculs[[#This Row],[MOIS]],1)</f>
        <v>42036</v>
      </c>
      <c r="B1414" s="3">
        <f>EDATE(Tab_Calculs[[#This Row],[Début mois]],1)-1</f>
        <v>42063</v>
      </c>
      <c r="C1414">
        <v>2</v>
      </c>
      <c r="D1414">
        <f t="shared" ref="D1414:D1477" si="49">D1402+1</f>
        <v>2015</v>
      </c>
      <c r="E1414" t="s">
        <v>87</v>
      </c>
      <c r="F1414" t="str">
        <f>SUBSTITUTE(Tab_Calculs[[#This Row],[Compteur]]," ","_")</f>
        <v>Compteur_8</v>
      </c>
      <c r="G1414" t="str">
        <f>T(INDEX(Site!$B$33:$G$40, MATCH(Tab_Calculs[[#This Row],[Compteur]], Site!$B$33:$B$40,0),2))</f>
        <v/>
      </c>
      <c r="H1414" s="3">
        <f t="array" aca="1" ref="H1414" ca="1">MIN(IF(INDIRECT(CONCATENATE(Tab_Calculs[[#This Row],[Colonne1]],"!$B$2:$B$243"))&gt;=Calculs_Consos!$A1414,INDIRECT(CONCATENATE(Tab_Calculs[[#This Row],[Colonne1]],"!$B$2:$B$243"))))</f>
        <v>0</v>
      </c>
      <c r="I1414" s="3">
        <f ca="1">INDEX(INDIRECT(CONCATENATE("Tab_",Tab_Calculs[[#This Row],[Colonne1]])),Tab_Calculs[[#This Row],[index_date_livraison]],1)</f>
        <v>0</v>
      </c>
      <c r="J1414">
        <f ca="1">MATCH(Tab_Calculs[[#This Row],[Date_livraison]],INDIRECT(CONCATENATE("Tab_",Tab_Calculs[[#This Row],[Colonne1]],"[Fin de période]")),0)</f>
        <v>1</v>
      </c>
      <c r="K1414" t="e">
        <f ca="1">INDEX(INDIRECT(CONCATENATE("Tab_",Tab_Calculs[[#This Row],[Colonne1]])),Tab_Calculs[[#This Row],[index_date_livraison]]-1,6)*(MAX(Tab_Calculs[[#This Row],[Début periode livraison]],Tab_Calculs[[#This Row],[Début mois]])-Tab_Calculs[[#This Row],[Début mois]])</f>
        <v>#VALUE!</v>
      </c>
      <c r="L1414" s="94">
        <f ca="1">INDEX(INDIRECT(CONCATENATE("Tab_",Tab_Calculs[[#This Row],[Colonne1]])),Tab_Calculs[[#This Row],[index_date_livraison]],6)*(1+MIN(Tab_Calculs[[#This Row],[Date_livraison]],Tab_Calculs[[#This Row],[fin mois]])-MAX(Tab_Calculs[[#This Row],[Début mois]],Tab_Calculs[[#This Row],[Début periode livraison]]))</f>
        <v>0</v>
      </c>
      <c r="M1414" s="94" t="e">
        <f ca="1">INDEX(INDIRECT(CONCATENATE("Tab_",Tab_Calculs[[#This Row],[Colonne1]])),Tab_Calculs[[#This Row],[index_date_livraison]]+1,6)*(Tab_Calculs[[#This Row],[fin mois]]-MIN(Tab_Calculs[[#This Row],[fin mois]],Tab_Calculs[[#This Row],[Date_livraison]]))</f>
        <v>#VALUE!</v>
      </c>
      <c r="N1414" s="231" t="str">
        <f ca="1">IFERROR(Tab_Calculs[[#This Row],[Ratio_jour_après_livr]]+Tab_Calculs[[#This Row],[Ratio_jour_avant_livr]]+Tab_Calculs[[#This Row],[ratio_avant_debut]],"")</f>
        <v/>
      </c>
      <c r="O1414" t="e">
        <f ca="1">INDEX(INDIRECT(CONCATENATE("Tab_",Tab_Calculs[[#This Row],[Colonne1]])),Tab_Calculs[[#This Row],[index_date_livraison]]-1,7)*(MAX(Tab_Calculs[[#This Row],[Début periode livraison]],Tab_Calculs[[#This Row],[Début mois]])-Tab_Calculs[[#This Row],[Début mois]])</f>
        <v>#VALUE!</v>
      </c>
      <c r="P1414">
        <f ca="1">INDEX(INDIRECT(CONCATENATE("Tab_",Tab_Calculs[[#This Row],[Colonne1]])),Tab_Calculs[[#This Row],[index_date_livraison]],7)*(1+MIN(Tab_Calculs[[#This Row],[Date_livraison]],Tab_Calculs[[#This Row],[fin mois]])-MAX(Tab_Calculs[[#This Row],[Début mois]],Tab_Calculs[[#This Row],[Début periode livraison]]))</f>
        <v>0</v>
      </c>
      <c r="Q1414" t="e">
        <f ca="1">INDEX(INDIRECT(CONCATENATE("Tab_",Tab_Calculs[[#This Row],[Colonne1]])),Tab_Calculs[[#This Row],[index_date_livraison]]+1,7)*(Tab_Calculs[[#This Row],[fin mois]]-MIN(Tab_Calculs[[#This Row],[fin mois]],Tab_Calculs[[#This Row],[Date_livraison]]))</f>
        <v>#VALUE!</v>
      </c>
      <c r="R1414" t="e">
        <f ca="1">Tab_Calculs[[#This Row],[Ratio_Cout_après_livr]]+Tab_Calculs[[#This Row],[Ratio_Cout_avant_livr]]+Tab_Calculs[[#This Row],[Ratio_Cout_avant_debut]]</f>
        <v>#VALUE!</v>
      </c>
      <c r="S1414" t="str">
        <f ca="1">IFERROR(N1414*VLOOKUP(Tab_Calculs[[#This Row],[Colonne1]],Controle_des_données!$B$7:$G$14,6,FALSE),"")</f>
        <v/>
      </c>
      <c r="T1414" t="str">
        <f ca="1">IF(Tab_Calculs[[#This Row],[Combustible ]]="Electricité (kWh)",Tab_Calculs[[#This Row],[Conso_mois_kWh]]*2.3,Tab_Calculs[[#This Row],[Conso_mois_kWh]])</f>
        <v/>
      </c>
      <c r="U1414" t="str">
        <f ca="1">IFERROR(N1414*VLOOKUP(Tab_Calculs[[#This Row],[Colonne1]],Controle_des_données!$B$7:$H$14,7,FALSE),"")</f>
        <v/>
      </c>
      <c r="V1414">
        <f ca="1">IFERROR(Tab_Calculs[[#This Row],[Cout_mois]]/Tab_Calculs[[#This Row],[Conso_mois_kWh]],0)</f>
        <v>0</v>
      </c>
      <c r="W1414" t="str">
        <f>T(VLOOKUP(Tab_Calculs[[#This Row],[Compteur]],Site!$B$33:$G$40,3,FALSE))</f>
        <v/>
      </c>
      <c r="X1414" t="str">
        <f>T(VLOOKUP(Tab_Calculs[[#This Row],[Compteur]],Site!$B$33:$G$40,4,FALSE))</f>
        <v/>
      </c>
      <c r="Y1414" t="str">
        <f>T(VLOOKUP(Tab_Calculs[[#This Row],[Compteur]],Site!$B$33:$G$40,5,FALSE))</f>
        <v/>
      </c>
      <c r="Z1414" t="str">
        <f>T(VLOOKUP(Tab_Calculs[[#This Row],[Compteur]],Site!$B$33:$G$40,6,FALSE))</f>
        <v/>
      </c>
      <c r="AA1414">
        <f>IFERROR(GETPIVOTDATA("DJU(chauffagiste)",BDD_DJU!$P$13,"annee",Tab_Calculs[[#This Row],[ANNEE]],"mois_numero",Tab_Calculs[[#This Row],[MOIS]]),0)</f>
        <v>366.9</v>
      </c>
    </row>
    <row r="1415" spans="1:27" x14ac:dyDescent="0.25">
      <c r="A1415" s="3">
        <f>DATE(Tab_Calculs[[#This Row],[ANNEE]],Tab_Calculs[[#This Row],[MOIS]],1)</f>
        <v>42064</v>
      </c>
      <c r="B1415" s="3">
        <f>EDATE(Tab_Calculs[[#This Row],[Début mois]],1)-1</f>
        <v>42094</v>
      </c>
      <c r="C1415">
        <v>3</v>
      </c>
      <c r="D1415">
        <f t="shared" si="49"/>
        <v>2015</v>
      </c>
      <c r="E1415" t="s">
        <v>87</v>
      </c>
      <c r="F1415" t="str">
        <f>SUBSTITUTE(Tab_Calculs[[#This Row],[Compteur]]," ","_")</f>
        <v>Compteur_8</v>
      </c>
      <c r="G1415" t="str">
        <f>T(INDEX(Site!$B$33:$G$40, MATCH(Tab_Calculs[[#This Row],[Compteur]], Site!$B$33:$B$40,0),2))</f>
        <v/>
      </c>
      <c r="H1415" s="3">
        <f t="array" aca="1" ref="H1415" ca="1">MIN(IF(INDIRECT(CONCATENATE(Tab_Calculs[[#This Row],[Colonne1]],"!$B$2:$B$243"))&gt;=Calculs_Consos!$A1415,INDIRECT(CONCATENATE(Tab_Calculs[[#This Row],[Colonne1]],"!$B$2:$B$243"))))</f>
        <v>0</v>
      </c>
      <c r="I1415" s="3">
        <f ca="1">INDEX(INDIRECT(CONCATENATE("Tab_",Tab_Calculs[[#This Row],[Colonne1]])),Tab_Calculs[[#This Row],[index_date_livraison]],1)</f>
        <v>0</v>
      </c>
      <c r="J1415">
        <f ca="1">MATCH(Tab_Calculs[[#This Row],[Date_livraison]],INDIRECT(CONCATENATE("Tab_",Tab_Calculs[[#This Row],[Colonne1]],"[Fin de période]")),0)</f>
        <v>1</v>
      </c>
      <c r="K1415" t="e">
        <f ca="1">INDEX(INDIRECT(CONCATENATE("Tab_",Tab_Calculs[[#This Row],[Colonne1]])),Tab_Calculs[[#This Row],[index_date_livraison]]-1,6)*(MAX(Tab_Calculs[[#This Row],[Début periode livraison]],Tab_Calculs[[#This Row],[Début mois]])-Tab_Calculs[[#This Row],[Début mois]])</f>
        <v>#VALUE!</v>
      </c>
      <c r="L1415" s="94">
        <f ca="1">INDEX(INDIRECT(CONCATENATE("Tab_",Tab_Calculs[[#This Row],[Colonne1]])),Tab_Calculs[[#This Row],[index_date_livraison]],6)*(1+MIN(Tab_Calculs[[#This Row],[Date_livraison]],Tab_Calculs[[#This Row],[fin mois]])-MAX(Tab_Calculs[[#This Row],[Début mois]],Tab_Calculs[[#This Row],[Début periode livraison]]))</f>
        <v>0</v>
      </c>
      <c r="M1415" s="94" t="e">
        <f ca="1">INDEX(INDIRECT(CONCATENATE("Tab_",Tab_Calculs[[#This Row],[Colonne1]])),Tab_Calculs[[#This Row],[index_date_livraison]]+1,6)*(Tab_Calculs[[#This Row],[fin mois]]-MIN(Tab_Calculs[[#This Row],[fin mois]],Tab_Calculs[[#This Row],[Date_livraison]]))</f>
        <v>#VALUE!</v>
      </c>
      <c r="N1415" s="231" t="str">
        <f ca="1">IFERROR(Tab_Calculs[[#This Row],[Ratio_jour_après_livr]]+Tab_Calculs[[#This Row],[Ratio_jour_avant_livr]]+Tab_Calculs[[#This Row],[ratio_avant_debut]],"")</f>
        <v/>
      </c>
      <c r="O1415" t="e">
        <f ca="1">INDEX(INDIRECT(CONCATENATE("Tab_",Tab_Calculs[[#This Row],[Colonne1]])),Tab_Calculs[[#This Row],[index_date_livraison]]-1,7)*(MAX(Tab_Calculs[[#This Row],[Début periode livraison]],Tab_Calculs[[#This Row],[Début mois]])-Tab_Calculs[[#This Row],[Début mois]])</f>
        <v>#VALUE!</v>
      </c>
      <c r="P1415">
        <f ca="1">INDEX(INDIRECT(CONCATENATE("Tab_",Tab_Calculs[[#This Row],[Colonne1]])),Tab_Calculs[[#This Row],[index_date_livraison]],7)*(1+MIN(Tab_Calculs[[#This Row],[Date_livraison]],Tab_Calculs[[#This Row],[fin mois]])-MAX(Tab_Calculs[[#This Row],[Début mois]],Tab_Calculs[[#This Row],[Début periode livraison]]))</f>
        <v>0</v>
      </c>
      <c r="Q1415" t="e">
        <f ca="1">INDEX(INDIRECT(CONCATENATE("Tab_",Tab_Calculs[[#This Row],[Colonne1]])),Tab_Calculs[[#This Row],[index_date_livraison]]+1,7)*(Tab_Calculs[[#This Row],[fin mois]]-MIN(Tab_Calculs[[#This Row],[fin mois]],Tab_Calculs[[#This Row],[Date_livraison]]))</f>
        <v>#VALUE!</v>
      </c>
      <c r="R1415" t="e">
        <f ca="1">Tab_Calculs[[#This Row],[Ratio_Cout_après_livr]]+Tab_Calculs[[#This Row],[Ratio_Cout_avant_livr]]+Tab_Calculs[[#This Row],[Ratio_Cout_avant_debut]]</f>
        <v>#VALUE!</v>
      </c>
      <c r="S1415" t="str">
        <f ca="1">IFERROR(N1415*VLOOKUP(Tab_Calculs[[#This Row],[Colonne1]],Controle_des_données!$B$7:$G$14,6,FALSE),"")</f>
        <v/>
      </c>
      <c r="T1415" t="str">
        <f ca="1">IF(Tab_Calculs[[#This Row],[Combustible ]]="Electricité (kWh)",Tab_Calculs[[#This Row],[Conso_mois_kWh]]*2.3,Tab_Calculs[[#This Row],[Conso_mois_kWh]])</f>
        <v/>
      </c>
      <c r="U1415" t="str">
        <f ca="1">IFERROR(N1415*VLOOKUP(Tab_Calculs[[#This Row],[Colonne1]],Controle_des_données!$B$7:$H$14,7,FALSE),"")</f>
        <v/>
      </c>
      <c r="V1415">
        <f ca="1">IFERROR(Tab_Calculs[[#This Row],[Cout_mois]]/Tab_Calculs[[#This Row],[Conso_mois_kWh]],0)</f>
        <v>0</v>
      </c>
      <c r="W1415" t="str">
        <f>T(VLOOKUP(Tab_Calculs[[#This Row],[Compteur]],Site!$B$33:$G$40,3,FALSE))</f>
        <v/>
      </c>
      <c r="X1415" t="str">
        <f>T(VLOOKUP(Tab_Calculs[[#This Row],[Compteur]],Site!$B$33:$G$40,4,FALSE))</f>
        <v/>
      </c>
      <c r="Y1415" t="str">
        <f>T(VLOOKUP(Tab_Calculs[[#This Row],[Compteur]],Site!$B$33:$G$40,5,FALSE))</f>
        <v/>
      </c>
      <c r="Z1415" t="str">
        <f>T(VLOOKUP(Tab_Calculs[[#This Row],[Compteur]],Site!$B$33:$G$40,6,FALSE))</f>
        <v/>
      </c>
      <c r="AA1415">
        <f>IFERROR(GETPIVOTDATA("DJU(chauffagiste)",BDD_DJU!$P$13,"annee",Tab_Calculs[[#This Row],[ANNEE]],"mois_numero",Tab_Calculs[[#This Row],[MOIS]]),0)</f>
        <v>303.8</v>
      </c>
    </row>
    <row r="1416" spans="1:27" x14ac:dyDescent="0.25">
      <c r="A1416" s="3">
        <f>DATE(Tab_Calculs[[#This Row],[ANNEE]],Tab_Calculs[[#This Row],[MOIS]],1)</f>
        <v>42095</v>
      </c>
      <c r="B1416" s="3">
        <f>EDATE(Tab_Calculs[[#This Row],[Début mois]],1)-1</f>
        <v>42124</v>
      </c>
      <c r="C1416">
        <v>4</v>
      </c>
      <c r="D1416">
        <f t="shared" si="49"/>
        <v>2015</v>
      </c>
      <c r="E1416" t="s">
        <v>87</v>
      </c>
      <c r="F1416" t="str">
        <f>SUBSTITUTE(Tab_Calculs[[#This Row],[Compteur]]," ","_")</f>
        <v>Compteur_8</v>
      </c>
      <c r="G1416" t="str">
        <f>T(INDEX(Site!$B$33:$G$40, MATCH(Tab_Calculs[[#This Row],[Compteur]], Site!$B$33:$B$40,0),2))</f>
        <v/>
      </c>
      <c r="H1416" s="3">
        <f t="array" aca="1" ref="H1416" ca="1">MIN(IF(INDIRECT(CONCATENATE(Tab_Calculs[[#This Row],[Colonne1]],"!$B$2:$B$243"))&gt;=Calculs_Consos!$A1416,INDIRECT(CONCATENATE(Tab_Calculs[[#This Row],[Colonne1]],"!$B$2:$B$243"))))</f>
        <v>0</v>
      </c>
      <c r="I1416" s="3">
        <f ca="1">INDEX(INDIRECT(CONCATENATE("Tab_",Tab_Calculs[[#This Row],[Colonne1]])),Tab_Calculs[[#This Row],[index_date_livraison]],1)</f>
        <v>0</v>
      </c>
      <c r="J1416">
        <f ca="1">MATCH(Tab_Calculs[[#This Row],[Date_livraison]],INDIRECT(CONCATENATE("Tab_",Tab_Calculs[[#This Row],[Colonne1]],"[Fin de période]")),0)</f>
        <v>1</v>
      </c>
      <c r="K1416" t="e">
        <f ca="1">INDEX(INDIRECT(CONCATENATE("Tab_",Tab_Calculs[[#This Row],[Colonne1]])),Tab_Calculs[[#This Row],[index_date_livraison]]-1,6)*(MAX(Tab_Calculs[[#This Row],[Début periode livraison]],Tab_Calculs[[#This Row],[Début mois]])-Tab_Calculs[[#This Row],[Début mois]])</f>
        <v>#VALUE!</v>
      </c>
      <c r="L1416" s="94">
        <f ca="1">INDEX(INDIRECT(CONCATENATE("Tab_",Tab_Calculs[[#This Row],[Colonne1]])),Tab_Calculs[[#This Row],[index_date_livraison]],6)*(1+MIN(Tab_Calculs[[#This Row],[Date_livraison]],Tab_Calculs[[#This Row],[fin mois]])-MAX(Tab_Calculs[[#This Row],[Début mois]],Tab_Calculs[[#This Row],[Début periode livraison]]))</f>
        <v>0</v>
      </c>
      <c r="M1416" s="94" t="e">
        <f ca="1">INDEX(INDIRECT(CONCATENATE("Tab_",Tab_Calculs[[#This Row],[Colonne1]])),Tab_Calculs[[#This Row],[index_date_livraison]]+1,6)*(Tab_Calculs[[#This Row],[fin mois]]-MIN(Tab_Calculs[[#This Row],[fin mois]],Tab_Calculs[[#This Row],[Date_livraison]]))</f>
        <v>#VALUE!</v>
      </c>
      <c r="N1416" s="231" t="str">
        <f ca="1">IFERROR(Tab_Calculs[[#This Row],[Ratio_jour_après_livr]]+Tab_Calculs[[#This Row],[Ratio_jour_avant_livr]]+Tab_Calculs[[#This Row],[ratio_avant_debut]],"")</f>
        <v/>
      </c>
      <c r="O1416" t="e">
        <f ca="1">INDEX(INDIRECT(CONCATENATE("Tab_",Tab_Calculs[[#This Row],[Colonne1]])),Tab_Calculs[[#This Row],[index_date_livraison]]-1,7)*(MAX(Tab_Calculs[[#This Row],[Début periode livraison]],Tab_Calculs[[#This Row],[Début mois]])-Tab_Calculs[[#This Row],[Début mois]])</f>
        <v>#VALUE!</v>
      </c>
      <c r="P1416">
        <f ca="1">INDEX(INDIRECT(CONCATENATE("Tab_",Tab_Calculs[[#This Row],[Colonne1]])),Tab_Calculs[[#This Row],[index_date_livraison]],7)*(1+MIN(Tab_Calculs[[#This Row],[Date_livraison]],Tab_Calculs[[#This Row],[fin mois]])-MAX(Tab_Calculs[[#This Row],[Début mois]],Tab_Calculs[[#This Row],[Début periode livraison]]))</f>
        <v>0</v>
      </c>
      <c r="Q1416" t="e">
        <f ca="1">INDEX(INDIRECT(CONCATENATE("Tab_",Tab_Calculs[[#This Row],[Colonne1]])),Tab_Calculs[[#This Row],[index_date_livraison]]+1,7)*(Tab_Calculs[[#This Row],[fin mois]]-MIN(Tab_Calculs[[#This Row],[fin mois]],Tab_Calculs[[#This Row],[Date_livraison]]))</f>
        <v>#VALUE!</v>
      </c>
      <c r="R1416" t="e">
        <f ca="1">Tab_Calculs[[#This Row],[Ratio_Cout_après_livr]]+Tab_Calculs[[#This Row],[Ratio_Cout_avant_livr]]+Tab_Calculs[[#This Row],[Ratio_Cout_avant_debut]]</f>
        <v>#VALUE!</v>
      </c>
      <c r="S1416" t="str">
        <f ca="1">IFERROR(N1416*VLOOKUP(Tab_Calculs[[#This Row],[Colonne1]],Controle_des_données!$B$7:$G$14,6,FALSE),"")</f>
        <v/>
      </c>
      <c r="T1416" t="str">
        <f ca="1">IF(Tab_Calculs[[#This Row],[Combustible ]]="Electricité (kWh)",Tab_Calculs[[#This Row],[Conso_mois_kWh]]*2.3,Tab_Calculs[[#This Row],[Conso_mois_kWh]])</f>
        <v/>
      </c>
      <c r="U1416" t="str">
        <f ca="1">IFERROR(N1416*VLOOKUP(Tab_Calculs[[#This Row],[Colonne1]],Controle_des_données!$B$7:$H$14,7,FALSE),"")</f>
        <v/>
      </c>
      <c r="V1416">
        <f ca="1">IFERROR(Tab_Calculs[[#This Row],[Cout_mois]]/Tab_Calculs[[#This Row],[Conso_mois_kWh]],0)</f>
        <v>0</v>
      </c>
      <c r="W1416" t="str">
        <f>T(VLOOKUP(Tab_Calculs[[#This Row],[Compteur]],Site!$B$33:$G$40,3,FALSE))</f>
        <v/>
      </c>
      <c r="X1416" t="str">
        <f>T(VLOOKUP(Tab_Calculs[[#This Row],[Compteur]],Site!$B$33:$G$40,4,FALSE))</f>
        <v/>
      </c>
      <c r="Y1416" t="str">
        <f>T(VLOOKUP(Tab_Calculs[[#This Row],[Compteur]],Site!$B$33:$G$40,5,FALSE))</f>
        <v/>
      </c>
      <c r="Z1416" t="str">
        <f>T(VLOOKUP(Tab_Calculs[[#This Row],[Compteur]],Site!$B$33:$G$40,6,FALSE))</f>
        <v/>
      </c>
      <c r="AA1416">
        <f>IFERROR(GETPIVOTDATA("DJU(chauffagiste)",BDD_DJU!$P$13,"annee",Tab_Calculs[[#This Row],[ANNEE]],"mois_numero",Tab_Calculs[[#This Row],[MOIS]]),0)</f>
        <v>166.6</v>
      </c>
    </row>
    <row r="1417" spans="1:27" x14ac:dyDescent="0.25">
      <c r="A1417" s="3">
        <f>DATE(Tab_Calculs[[#This Row],[ANNEE]],Tab_Calculs[[#This Row],[MOIS]],1)</f>
        <v>42125</v>
      </c>
      <c r="B1417" s="3">
        <f>EDATE(Tab_Calculs[[#This Row],[Début mois]],1)-1</f>
        <v>42155</v>
      </c>
      <c r="C1417">
        <v>5</v>
      </c>
      <c r="D1417">
        <f t="shared" si="49"/>
        <v>2015</v>
      </c>
      <c r="E1417" t="s">
        <v>87</v>
      </c>
      <c r="F1417" t="str">
        <f>SUBSTITUTE(Tab_Calculs[[#This Row],[Compteur]]," ","_")</f>
        <v>Compteur_8</v>
      </c>
      <c r="G1417" t="str">
        <f>T(INDEX(Site!$B$33:$G$40, MATCH(Tab_Calculs[[#This Row],[Compteur]], Site!$B$33:$B$40,0),2))</f>
        <v/>
      </c>
      <c r="H1417" s="3">
        <f t="array" aca="1" ref="H1417" ca="1">MIN(IF(INDIRECT(CONCATENATE(Tab_Calculs[[#This Row],[Colonne1]],"!$B$2:$B$243"))&gt;=Calculs_Consos!$A1417,INDIRECT(CONCATENATE(Tab_Calculs[[#This Row],[Colonne1]],"!$B$2:$B$243"))))</f>
        <v>0</v>
      </c>
      <c r="I1417" s="3">
        <f ca="1">INDEX(INDIRECT(CONCATENATE("Tab_",Tab_Calculs[[#This Row],[Colonne1]])),Tab_Calculs[[#This Row],[index_date_livraison]],1)</f>
        <v>0</v>
      </c>
      <c r="J1417">
        <f ca="1">MATCH(Tab_Calculs[[#This Row],[Date_livraison]],INDIRECT(CONCATENATE("Tab_",Tab_Calculs[[#This Row],[Colonne1]],"[Fin de période]")),0)</f>
        <v>1</v>
      </c>
      <c r="K1417" t="e">
        <f ca="1">INDEX(INDIRECT(CONCATENATE("Tab_",Tab_Calculs[[#This Row],[Colonne1]])),Tab_Calculs[[#This Row],[index_date_livraison]]-1,6)*(MAX(Tab_Calculs[[#This Row],[Début periode livraison]],Tab_Calculs[[#This Row],[Début mois]])-Tab_Calculs[[#This Row],[Début mois]])</f>
        <v>#VALUE!</v>
      </c>
      <c r="L1417" s="94">
        <f ca="1">INDEX(INDIRECT(CONCATENATE("Tab_",Tab_Calculs[[#This Row],[Colonne1]])),Tab_Calculs[[#This Row],[index_date_livraison]],6)*(1+MIN(Tab_Calculs[[#This Row],[Date_livraison]],Tab_Calculs[[#This Row],[fin mois]])-MAX(Tab_Calculs[[#This Row],[Début mois]],Tab_Calculs[[#This Row],[Début periode livraison]]))</f>
        <v>0</v>
      </c>
      <c r="M1417" s="94" t="e">
        <f ca="1">INDEX(INDIRECT(CONCATENATE("Tab_",Tab_Calculs[[#This Row],[Colonne1]])),Tab_Calculs[[#This Row],[index_date_livraison]]+1,6)*(Tab_Calculs[[#This Row],[fin mois]]-MIN(Tab_Calculs[[#This Row],[fin mois]],Tab_Calculs[[#This Row],[Date_livraison]]))</f>
        <v>#VALUE!</v>
      </c>
      <c r="N1417" s="231" t="str">
        <f ca="1">IFERROR(Tab_Calculs[[#This Row],[Ratio_jour_après_livr]]+Tab_Calculs[[#This Row],[Ratio_jour_avant_livr]]+Tab_Calculs[[#This Row],[ratio_avant_debut]],"")</f>
        <v/>
      </c>
      <c r="O1417" t="e">
        <f ca="1">INDEX(INDIRECT(CONCATENATE("Tab_",Tab_Calculs[[#This Row],[Colonne1]])),Tab_Calculs[[#This Row],[index_date_livraison]]-1,7)*(MAX(Tab_Calculs[[#This Row],[Début periode livraison]],Tab_Calculs[[#This Row],[Début mois]])-Tab_Calculs[[#This Row],[Début mois]])</f>
        <v>#VALUE!</v>
      </c>
      <c r="P1417">
        <f ca="1">INDEX(INDIRECT(CONCATENATE("Tab_",Tab_Calculs[[#This Row],[Colonne1]])),Tab_Calculs[[#This Row],[index_date_livraison]],7)*(1+MIN(Tab_Calculs[[#This Row],[Date_livraison]],Tab_Calculs[[#This Row],[fin mois]])-MAX(Tab_Calculs[[#This Row],[Début mois]],Tab_Calculs[[#This Row],[Début periode livraison]]))</f>
        <v>0</v>
      </c>
      <c r="Q1417" t="e">
        <f ca="1">INDEX(INDIRECT(CONCATENATE("Tab_",Tab_Calculs[[#This Row],[Colonne1]])),Tab_Calculs[[#This Row],[index_date_livraison]]+1,7)*(Tab_Calculs[[#This Row],[fin mois]]-MIN(Tab_Calculs[[#This Row],[fin mois]],Tab_Calculs[[#This Row],[Date_livraison]]))</f>
        <v>#VALUE!</v>
      </c>
      <c r="R1417" t="e">
        <f ca="1">Tab_Calculs[[#This Row],[Ratio_Cout_après_livr]]+Tab_Calculs[[#This Row],[Ratio_Cout_avant_livr]]+Tab_Calculs[[#This Row],[Ratio_Cout_avant_debut]]</f>
        <v>#VALUE!</v>
      </c>
      <c r="S1417" t="str">
        <f ca="1">IFERROR(N1417*VLOOKUP(Tab_Calculs[[#This Row],[Colonne1]],Controle_des_données!$B$7:$G$14,6,FALSE),"")</f>
        <v/>
      </c>
      <c r="T1417" t="str">
        <f ca="1">IF(Tab_Calculs[[#This Row],[Combustible ]]="Electricité (kWh)",Tab_Calculs[[#This Row],[Conso_mois_kWh]]*2.3,Tab_Calculs[[#This Row],[Conso_mois_kWh]])</f>
        <v/>
      </c>
      <c r="U1417" t="str">
        <f ca="1">IFERROR(N1417*VLOOKUP(Tab_Calculs[[#This Row],[Colonne1]],Controle_des_données!$B$7:$H$14,7,FALSE),"")</f>
        <v/>
      </c>
      <c r="V1417">
        <f ca="1">IFERROR(Tab_Calculs[[#This Row],[Cout_mois]]/Tab_Calculs[[#This Row],[Conso_mois_kWh]],0)</f>
        <v>0</v>
      </c>
      <c r="W1417" t="str">
        <f>T(VLOOKUP(Tab_Calculs[[#This Row],[Compteur]],Site!$B$33:$G$40,3,FALSE))</f>
        <v/>
      </c>
      <c r="X1417" t="str">
        <f>T(VLOOKUP(Tab_Calculs[[#This Row],[Compteur]],Site!$B$33:$G$40,4,FALSE))</f>
        <v/>
      </c>
      <c r="Y1417" t="str">
        <f>T(VLOOKUP(Tab_Calculs[[#This Row],[Compteur]],Site!$B$33:$G$40,5,FALSE))</f>
        <v/>
      </c>
      <c r="Z1417" t="str">
        <f>T(VLOOKUP(Tab_Calculs[[#This Row],[Compteur]],Site!$B$33:$G$40,6,FALSE))</f>
        <v/>
      </c>
      <c r="AA1417">
        <f>IFERROR(GETPIVOTDATA("DJU(chauffagiste)",BDD_DJU!$P$13,"annee",Tab_Calculs[[#This Row],[ANNEE]],"mois_numero",Tab_Calculs[[#This Row],[MOIS]]),0)</f>
        <v>119.9</v>
      </c>
    </row>
    <row r="1418" spans="1:27" x14ac:dyDescent="0.25">
      <c r="A1418" s="3">
        <f>DATE(Tab_Calculs[[#This Row],[ANNEE]],Tab_Calculs[[#This Row],[MOIS]],1)</f>
        <v>42156</v>
      </c>
      <c r="B1418" s="3">
        <f>EDATE(Tab_Calculs[[#This Row],[Début mois]],1)-1</f>
        <v>42185</v>
      </c>
      <c r="C1418">
        <v>6</v>
      </c>
      <c r="D1418">
        <f t="shared" si="49"/>
        <v>2015</v>
      </c>
      <c r="E1418" t="s">
        <v>87</v>
      </c>
      <c r="F1418" t="str">
        <f>SUBSTITUTE(Tab_Calculs[[#This Row],[Compteur]]," ","_")</f>
        <v>Compteur_8</v>
      </c>
      <c r="G1418" t="str">
        <f>T(INDEX(Site!$B$33:$G$40, MATCH(Tab_Calculs[[#This Row],[Compteur]], Site!$B$33:$B$40,0),2))</f>
        <v/>
      </c>
      <c r="H1418" s="3">
        <f t="array" aca="1" ref="H1418" ca="1">MIN(IF(INDIRECT(CONCATENATE(Tab_Calculs[[#This Row],[Colonne1]],"!$B$2:$B$243"))&gt;=Calculs_Consos!$A1418,INDIRECT(CONCATENATE(Tab_Calculs[[#This Row],[Colonne1]],"!$B$2:$B$243"))))</f>
        <v>0</v>
      </c>
      <c r="I1418" s="3">
        <f ca="1">INDEX(INDIRECT(CONCATENATE("Tab_",Tab_Calculs[[#This Row],[Colonne1]])),Tab_Calculs[[#This Row],[index_date_livraison]],1)</f>
        <v>0</v>
      </c>
      <c r="J1418">
        <f ca="1">MATCH(Tab_Calculs[[#This Row],[Date_livraison]],INDIRECT(CONCATENATE("Tab_",Tab_Calculs[[#This Row],[Colonne1]],"[Fin de période]")),0)</f>
        <v>1</v>
      </c>
      <c r="K1418" t="e">
        <f ca="1">INDEX(INDIRECT(CONCATENATE("Tab_",Tab_Calculs[[#This Row],[Colonne1]])),Tab_Calculs[[#This Row],[index_date_livraison]]-1,6)*(MAX(Tab_Calculs[[#This Row],[Début periode livraison]],Tab_Calculs[[#This Row],[Début mois]])-Tab_Calculs[[#This Row],[Début mois]])</f>
        <v>#VALUE!</v>
      </c>
      <c r="L1418" s="94">
        <f ca="1">INDEX(INDIRECT(CONCATENATE("Tab_",Tab_Calculs[[#This Row],[Colonne1]])),Tab_Calculs[[#This Row],[index_date_livraison]],6)*(1+MIN(Tab_Calculs[[#This Row],[Date_livraison]],Tab_Calculs[[#This Row],[fin mois]])-MAX(Tab_Calculs[[#This Row],[Début mois]],Tab_Calculs[[#This Row],[Début periode livraison]]))</f>
        <v>0</v>
      </c>
      <c r="M1418" s="94" t="e">
        <f ca="1">INDEX(INDIRECT(CONCATENATE("Tab_",Tab_Calculs[[#This Row],[Colonne1]])),Tab_Calculs[[#This Row],[index_date_livraison]]+1,6)*(Tab_Calculs[[#This Row],[fin mois]]-MIN(Tab_Calculs[[#This Row],[fin mois]],Tab_Calculs[[#This Row],[Date_livraison]]))</f>
        <v>#VALUE!</v>
      </c>
      <c r="N1418" s="231" t="str">
        <f ca="1">IFERROR(Tab_Calculs[[#This Row],[Ratio_jour_après_livr]]+Tab_Calculs[[#This Row],[Ratio_jour_avant_livr]]+Tab_Calculs[[#This Row],[ratio_avant_debut]],"")</f>
        <v/>
      </c>
      <c r="O1418" t="e">
        <f ca="1">INDEX(INDIRECT(CONCATENATE("Tab_",Tab_Calculs[[#This Row],[Colonne1]])),Tab_Calculs[[#This Row],[index_date_livraison]]-1,7)*(MAX(Tab_Calculs[[#This Row],[Début periode livraison]],Tab_Calculs[[#This Row],[Début mois]])-Tab_Calculs[[#This Row],[Début mois]])</f>
        <v>#VALUE!</v>
      </c>
      <c r="P1418">
        <f ca="1">INDEX(INDIRECT(CONCATENATE("Tab_",Tab_Calculs[[#This Row],[Colonne1]])),Tab_Calculs[[#This Row],[index_date_livraison]],7)*(1+MIN(Tab_Calculs[[#This Row],[Date_livraison]],Tab_Calculs[[#This Row],[fin mois]])-MAX(Tab_Calculs[[#This Row],[Début mois]],Tab_Calculs[[#This Row],[Début periode livraison]]))</f>
        <v>0</v>
      </c>
      <c r="Q1418" t="e">
        <f ca="1">INDEX(INDIRECT(CONCATENATE("Tab_",Tab_Calculs[[#This Row],[Colonne1]])),Tab_Calculs[[#This Row],[index_date_livraison]]+1,7)*(Tab_Calculs[[#This Row],[fin mois]]-MIN(Tab_Calculs[[#This Row],[fin mois]],Tab_Calculs[[#This Row],[Date_livraison]]))</f>
        <v>#VALUE!</v>
      </c>
      <c r="R1418" t="e">
        <f ca="1">Tab_Calculs[[#This Row],[Ratio_Cout_après_livr]]+Tab_Calculs[[#This Row],[Ratio_Cout_avant_livr]]+Tab_Calculs[[#This Row],[Ratio_Cout_avant_debut]]</f>
        <v>#VALUE!</v>
      </c>
      <c r="S1418" t="str">
        <f ca="1">IFERROR(N1418*VLOOKUP(Tab_Calculs[[#This Row],[Colonne1]],Controle_des_données!$B$7:$G$14,6,FALSE),"")</f>
        <v/>
      </c>
      <c r="T1418" t="str">
        <f ca="1">IF(Tab_Calculs[[#This Row],[Combustible ]]="Electricité (kWh)",Tab_Calculs[[#This Row],[Conso_mois_kWh]]*2.3,Tab_Calculs[[#This Row],[Conso_mois_kWh]])</f>
        <v/>
      </c>
      <c r="U1418" t="str">
        <f ca="1">IFERROR(N1418*VLOOKUP(Tab_Calculs[[#This Row],[Colonne1]],Controle_des_données!$B$7:$H$14,7,FALSE),"")</f>
        <v/>
      </c>
      <c r="V1418">
        <f ca="1">IFERROR(Tab_Calculs[[#This Row],[Cout_mois]]/Tab_Calculs[[#This Row],[Conso_mois_kWh]],0)</f>
        <v>0</v>
      </c>
      <c r="W1418" t="str">
        <f>T(VLOOKUP(Tab_Calculs[[#This Row],[Compteur]],Site!$B$33:$G$40,3,FALSE))</f>
        <v/>
      </c>
      <c r="X1418" t="str">
        <f>T(VLOOKUP(Tab_Calculs[[#This Row],[Compteur]],Site!$B$33:$G$40,4,FALSE))</f>
        <v/>
      </c>
      <c r="Y1418" t="str">
        <f>T(VLOOKUP(Tab_Calculs[[#This Row],[Compteur]],Site!$B$33:$G$40,5,FALSE))</f>
        <v/>
      </c>
      <c r="Z1418" t="str">
        <f>T(VLOOKUP(Tab_Calculs[[#This Row],[Compteur]],Site!$B$33:$G$40,6,FALSE))</f>
        <v/>
      </c>
      <c r="AA1418">
        <f>IFERROR(GETPIVOTDATA("DJU(chauffagiste)",BDD_DJU!$P$13,"annee",Tab_Calculs[[#This Row],[ANNEE]],"mois_numero",Tab_Calculs[[#This Row],[MOIS]]),0)</f>
        <v>51.8</v>
      </c>
    </row>
    <row r="1419" spans="1:27" x14ac:dyDescent="0.25">
      <c r="A1419" s="3">
        <f>DATE(Tab_Calculs[[#This Row],[ANNEE]],Tab_Calculs[[#This Row],[MOIS]],1)</f>
        <v>42186</v>
      </c>
      <c r="B1419" s="3">
        <f>EDATE(Tab_Calculs[[#This Row],[Début mois]],1)-1</f>
        <v>42216</v>
      </c>
      <c r="C1419">
        <v>7</v>
      </c>
      <c r="D1419">
        <f t="shared" si="49"/>
        <v>2015</v>
      </c>
      <c r="E1419" t="s">
        <v>87</v>
      </c>
      <c r="F1419" t="str">
        <f>SUBSTITUTE(Tab_Calculs[[#This Row],[Compteur]]," ","_")</f>
        <v>Compteur_8</v>
      </c>
      <c r="G1419" t="str">
        <f>T(INDEX(Site!$B$33:$G$40, MATCH(Tab_Calculs[[#This Row],[Compteur]], Site!$B$33:$B$40,0),2))</f>
        <v/>
      </c>
      <c r="H1419" s="3">
        <f t="array" aca="1" ref="H1419" ca="1">MIN(IF(INDIRECT(CONCATENATE(Tab_Calculs[[#This Row],[Colonne1]],"!$B$2:$B$243"))&gt;=Calculs_Consos!$A1419,INDIRECT(CONCATENATE(Tab_Calculs[[#This Row],[Colonne1]],"!$B$2:$B$243"))))</f>
        <v>0</v>
      </c>
      <c r="I1419" s="3">
        <f ca="1">INDEX(INDIRECT(CONCATENATE("Tab_",Tab_Calculs[[#This Row],[Colonne1]])),Tab_Calculs[[#This Row],[index_date_livraison]],1)</f>
        <v>0</v>
      </c>
      <c r="J1419">
        <f ca="1">MATCH(Tab_Calculs[[#This Row],[Date_livraison]],INDIRECT(CONCATENATE("Tab_",Tab_Calculs[[#This Row],[Colonne1]],"[Fin de période]")),0)</f>
        <v>1</v>
      </c>
      <c r="K1419" t="e">
        <f ca="1">INDEX(INDIRECT(CONCATENATE("Tab_",Tab_Calculs[[#This Row],[Colonne1]])),Tab_Calculs[[#This Row],[index_date_livraison]]-1,6)*(MAX(Tab_Calculs[[#This Row],[Début periode livraison]],Tab_Calculs[[#This Row],[Début mois]])-Tab_Calculs[[#This Row],[Début mois]])</f>
        <v>#VALUE!</v>
      </c>
      <c r="L1419" s="94">
        <f ca="1">INDEX(INDIRECT(CONCATENATE("Tab_",Tab_Calculs[[#This Row],[Colonne1]])),Tab_Calculs[[#This Row],[index_date_livraison]],6)*(1+MIN(Tab_Calculs[[#This Row],[Date_livraison]],Tab_Calculs[[#This Row],[fin mois]])-MAX(Tab_Calculs[[#This Row],[Début mois]],Tab_Calculs[[#This Row],[Début periode livraison]]))</f>
        <v>0</v>
      </c>
      <c r="M1419" s="94" t="e">
        <f ca="1">INDEX(INDIRECT(CONCATENATE("Tab_",Tab_Calculs[[#This Row],[Colonne1]])),Tab_Calculs[[#This Row],[index_date_livraison]]+1,6)*(Tab_Calculs[[#This Row],[fin mois]]-MIN(Tab_Calculs[[#This Row],[fin mois]],Tab_Calculs[[#This Row],[Date_livraison]]))</f>
        <v>#VALUE!</v>
      </c>
      <c r="N1419" s="231" t="str">
        <f ca="1">IFERROR(Tab_Calculs[[#This Row],[Ratio_jour_après_livr]]+Tab_Calculs[[#This Row],[Ratio_jour_avant_livr]]+Tab_Calculs[[#This Row],[ratio_avant_debut]],"")</f>
        <v/>
      </c>
      <c r="O1419" t="e">
        <f ca="1">INDEX(INDIRECT(CONCATENATE("Tab_",Tab_Calculs[[#This Row],[Colonne1]])),Tab_Calculs[[#This Row],[index_date_livraison]]-1,7)*(MAX(Tab_Calculs[[#This Row],[Début periode livraison]],Tab_Calculs[[#This Row],[Début mois]])-Tab_Calculs[[#This Row],[Début mois]])</f>
        <v>#VALUE!</v>
      </c>
      <c r="P1419">
        <f ca="1">INDEX(INDIRECT(CONCATENATE("Tab_",Tab_Calculs[[#This Row],[Colonne1]])),Tab_Calculs[[#This Row],[index_date_livraison]],7)*(1+MIN(Tab_Calculs[[#This Row],[Date_livraison]],Tab_Calculs[[#This Row],[fin mois]])-MAX(Tab_Calculs[[#This Row],[Début mois]],Tab_Calculs[[#This Row],[Début periode livraison]]))</f>
        <v>0</v>
      </c>
      <c r="Q1419" t="e">
        <f ca="1">INDEX(INDIRECT(CONCATENATE("Tab_",Tab_Calculs[[#This Row],[Colonne1]])),Tab_Calculs[[#This Row],[index_date_livraison]]+1,7)*(Tab_Calculs[[#This Row],[fin mois]]-MIN(Tab_Calculs[[#This Row],[fin mois]],Tab_Calculs[[#This Row],[Date_livraison]]))</f>
        <v>#VALUE!</v>
      </c>
      <c r="R1419" t="e">
        <f ca="1">Tab_Calculs[[#This Row],[Ratio_Cout_après_livr]]+Tab_Calculs[[#This Row],[Ratio_Cout_avant_livr]]+Tab_Calculs[[#This Row],[Ratio_Cout_avant_debut]]</f>
        <v>#VALUE!</v>
      </c>
      <c r="S1419" t="str">
        <f ca="1">IFERROR(N1419*VLOOKUP(Tab_Calculs[[#This Row],[Colonne1]],Controle_des_données!$B$7:$G$14,6,FALSE),"")</f>
        <v/>
      </c>
      <c r="T1419" t="str">
        <f ca="1">IF(Tab_Calculs[[#This Row],[Combustible ]]="Electricité (kWh)",Tab_Calculs[[#This Row],[Conso_mois_kWh]]*2.3,Tab_Calculs[[#This Row],[Conso_mois_kWh]])</f>
        <v/>
      </c>
      <c r="U1419" t="str">
        <f ca="1">IFERROR(N1419*VLOOKUP(Tab_Calculs[[#This Row],[Colonne1]],Controle_des_données!$B$7:$H$14,7,FALSE),"")</f>
        <v/>
      </c>
      <c r="V1419">
        <f ca="1">IFERROR(Tab_Calculs[[#This Row],[Cout_mois]]/Tab_Calculs[[#This Row],[Conso_mois_kWh]],0)</f>
        <v>0</v>
      </c>
      <c r="W1419" t="str">
        <f>T(VLOOKUP(Tab_Calculs[[#This Row],[Compteur]],Site!$B$33:$G$40,3,FALSE))</f>
        <v/>
      </c>
      <c r="X1419" t="str">
        <f>T(VLOOKUP(Tab_Calculs[[#This Row],[Compteur]],Site!$B$33:$G$40,4,FALSE))</f>
        <v/>
      </c>
      <c r="Y1419" t="str">
        <f>T(VLOOKUP(Tab_Calculs[[#This Row],[Compteur]],Site!$B$33:$G$40,5,FALSE))</f>
        <v/>
      </c>
      <c r="Z1419" t="str">
        <f>T(VLOOKUP(Tab_Calculs[[#This Row],[Compteur]],Site!$B$33:$G$40,6,FALSE))</f>
        <v/>
      </c>
      <c r="AA1419">
        <f>IFERROR(GETPIVOTDATA("DJU(chauffagiste)",BDD_DJU!$P$13,"annee",Tab_Calculs[[#This Row],[ANNEE]],"mois_numero",Tab_Calculs[[#This Row],[MOIS]]),0)</f>
        <v>29</v>
      </c>
    </row>
    <row r="1420" spans="1:27" x14ac:dyDescent="0.25">
      <c r="A1420" s="3">
        <f>DATE(Tab_Calculs[[#This Row],[ANNEE]],Tab_Calculs[[#This Row],[MOIS]],1)</f>
        <v>42217</v>
      </c>
      <c r="B1420" s="3">
        <f>EDATE(Tab_Calculs[[#This Row],[Début mois]],1)-1</f>
        <v>42247</v>
      </c>
      <c r="C1420">
        <v>8</v>
      </c>
      <c r="D1420">
        <f t="shared" si="49"/>
        <v>2015</v>
      </c>
      <c r="E1420" t="s">
        <v>87</v>
      </c>
      <c r="F1420" t="str">
        <f>SUBSTITUTE(Tab_Calculs[[#This Row],[Compteur]]," ","_")</f>
        <v>Compteur_8</v>
      </c>
      <c r="G1420" t="str">
        <f>T(INDEX(Site!$B$33:$G$40, MATCH(Tab_Calculs[[#This Row],[Compteur]], Site!$B$33:$B$40,0),2))</f>
        <v/>
      </c>
      <c r="H1420" s="3">
        <f t="array" aca="1" ref="H1420" ca="1">MIN(IF(INDIRECT(CONCATENATE(Tab_Calculs[[#This Row],[Colonne1]],"!$B$2:$B$243"))&gt;=Calculs_Consos!$A1420,INDIRECT(CONCATENATE(Tab_Calculs[[#This Row],[Colonne1]],"!$B$2:$B$243"))))</f>
        <v>0</v>
      </c>
      <c r="I1420" s="3">
        <f ca="1">INDEX(INDIRECT(CONCATENATE("Tab_",Tab_Calculs[[#This Row],[Colonne1]])),Tab_Calculs[[#This Row],[index_date_livraison]],1)</f>
        <v>0</v>
      </c>
      <c r="J1420">
        <f ca="1">MATCH(Tab_Calculs[[#This Row],[Date_livraison]],INDIRECT(CONCATENATE("Tab_",Tab_Calculs[[#This Row],[Colonne1]],"[Fin de période]")),0)</f>
        <v>1</v>
      </c>
      <c r="K1420" t="e">
        <f ca="1">INDEX(INDIRECT(CONCATENATE("Tab_",Tab_Calculs[[#This Row],[Colonne1]])),Tab_Calculs[[#This Row],[index_date_livraison]]-1,6)*(MAX(Tab_Calculs[[#This Row],[Début periode livraison]],Tab_Calculs[[#This Row],[Début mois]])-Tab_Calculs[[#This Row],[Début mois]])</f>
        <v>#VALUE!</v>
      </c>
      <c r="L1420" s="94">
        <f ca="1">INDEX(INDIRECT(CONCATENATE("Tab_",Tab_Calculs[[#This Row],[Colonne1]])),Tab_Calculs[[#This Row],[index_date_livraison]],6)*(1+MIN(Tab_Calculs[[#This Row],[Date_livraison]],Tab_Calculs[[#This Row],[fin mois]])-MAX(Tab_Calculs[[#This Row],[Début mois]],Tab_Calculs[[#This Row],[Début periode livraison]]))</f>
        <v>0</v>
      </c>
      <c r="M1420" s="94" t="e">
        <f ca="1">INDEX(INDIRECT(CONCATENATE("Tab_",Tab_Calculs[[#This Row],[Colonne1]])),Tab_Calculs[[#This Row],[index_date_livraison]]+1,6)*(Tab_Calculs[[#This Row],[fin mois]]-MIN(Tab_Calculs[[#This Row],[fin mois]],Tab_Calculs[[#This Row],[Date_livraison]]))</f>
        <v>#VALUE!</v>
      </c>
      <c r="N1420" s="231" t="str">
        <f ca="1">IFERROR(Tab_Calculs[[#This Row],[Ratio_jour_après_livr]]+Tab_Calculs[[#This Row],[Ratio_jour_avant_livr]]+Tab_Calculs[[#This Row],[ratio_avant_debut]],"")</f>
        <v/>
      </c>
      <c r="O1420" t="e">
        <f ca="1">INDEX(INDIRECT(CONCATENATE("Tab_",Tab_Calculs[[#This Row],[Colonne1]])),Tab_Calculs[[#This Row],[index_date_livraison]]-1,7)*(MAX(Tab_Calculs[[#This Row],[Début periode livraison]],Tab_Calculs[[#This Row],[Début mois]])-Tab_Calculs[[#This Row],[Début mois]])</f>
        <v>#VALUE!</v>
      </c>
      <c r="P1420">
        <f ca="1">INDEX(INDIRECT(CONCATENATE("Tab_",Tab_Calculs[[#This Row],[Colonne1]])),Tab_Calculs[[#This Row],[index_date_livraison]],7)*(1+MIN(Tab_Calculs[[#This Row],[Date_livraison]],Tab_Calculs[[#This Row],[fin mois]])-MAX(Tab_Calculs[[#This Row],[Début mois]],Tab_Calculs[[#This Row],[Début periode livraison]]))</f>
        <v>0</v>
      </c>
      <c r="Q1420" t="e">
        <f ca="1">INDEX(INDIRECT(CONCATENATE("Tab_",Tab_Calculs[[#This Row],[Colonne1]])),Tab_Calculs[[#This Row],[index_date_livraison]]+1,7)*(Tab_Calculs[[#This Row],[fin mois]]-MIN(Tab_Calculs[[#This Row],[fin mois]],Tab_Calculs[[#This Row],[Date_livraison]]))</f>
        <v>#VALUE!</v>
      </c>
      <c r="R1420" t="e">
        <f ca="1">Tab_Calculs[[#This Row],[Ratio_Cout_après_livr]]+Tab_Calculs[[#This Row],[Ratio_Cout_avant_livr]]+Tab_Calculs[[#This Row],[Ratio_Cout_avant_debut]]</f>
        <v>#VALUE!</v>
      </c>
      <c r="S1420" t="str">
        <f ca="1">IFERROR(N1420*VLOOKUP(Tab_Calculs[[#This Row],[Colonne1]],Controle_des_données!$B$7:$G$14,6,FALSE),"")</f>
        <v/>
      </c>
      <c r="T1420" t="str">
        <f ca="1">IF(Tab_Calculs[[#This Row],[Combustible ]]="Electricité (kWh)",Tab_Calculs[[#This Row],[Conso_mois_kWh]]*2.3,Tab_Calculs[[#This Row],[Conso_mois_kWh]])</f>
        <v/>
      </c>
      <c r="U1420" t="str">
        <f ca="1">IFERROR(N1420*VLOOKUP(Tab_Calculs[[#This Row],[Colonne1]],Controle_des_données!$B$7:$H$14,7,FALSE),"")</f>
        <v/>
      </c>
      <c r="V1420">
        <f ca="1">IFERROR(Tab_Calculs[[#This Row],[Cout_mois]]/Tab_Calculs[[#This Row],[Conso_mois_kWh]],0)</f>
        <v>0</v>
      </c>
      <c r="W1420" t="str">
        <f>T(VLOOKUP(Tab_Calculs[[#This Row],[Compteur]],Site!$B$33:$G$40,3,FALSE))</f>
        <v/>
      </c>
      <c r="X1420" t="str">
        <f>T(VLOOKUP(Tab_Calculs[[#This Row],[Compteur]],Site!$B$33:$G$40,4,FALSE))</f>
        <v/>
      </c>
      <c r="Y1420" t="str">
        <f>T(VLOOKUP(Tab_Calculs[[#This Row],[Compteur]],Site!$B$33:$G$40,5,FALSE))</f>
        <v/>
      </c>
      <c r="Z1420" t="str">
        <f>T(VLOOKUP(Tab_Calculs[[#This Row],[Compteur]],Site!$B$33:$G$40,6,FALSE))</f>
        <v/>
      </c>
      <c r="AA1420">
        <f>IFERROR(GETPIVOTDATA("DJU(chauffagiste)",BDD_DJU!$P$13,"annee",Tab_Calculs[[#This Row],[ANNEE]],"mois_numero",Tab_Calculs[[#This Row],[MOIS]]),0)</f>
        <v>32</v>
      </c>
    </row>
    <row r="1421" spans="1:27" x14ac:dyDescent="0.25">
      <c r="A1421" s="3">
        <f>DATE(Tab_Calculs[[#This Row],[ANNEE]],Tab_Calculs[[#This Row],[MOIS]],1)</f>
        <v>42248</v>
      </c>
      <c r="B1421" s="3">
        <f>EDATE(Tab_Calculs[[#This Row],[Début mois]],1)-1</f>
        <v>42277</v>
      </c>
      <c r="C1421">
        <v>9</v>
      </c>
      <c r="D1421">
        <f t="shared" si="49"/>
        <v>2015</v>
      </c>
      <c r="E1421" t="s">
        <v>87</v>
      </c>
      <c r="F1421" t="str">
        <f>SUBSTITUTE(Tab_Calculs[[#This Row],[Compteur]]," ","_")</f>
        <v>Compteur_8</v>
      </c>
      <c r="G1421" t="str">
        <f>T(INDEX(Site!$B$33:$G$40, MATCH(Tab_Calculs[[#This Row],[Compteur]], Site!$B$33:$B$40,0),2))</f>
        <v/>
      </c>
      <c r="H1421" s="3">
        <f t="array" aca="1" ref="H1421" ca="1">MIN(IF(INDIRECT(CONCATENATE(Tab_Calculs[[#This Row],[Colonne1]],"!$B$2:$B$243"))&gt;=Calculs_Consos!$A1421,INDIRECT(CONCATENATE(Tab_Calculs[[#This Row],[Colonne1]],"!$B$2:$B$243"))))</f>
        <v>0</v>
      </c>
      <c r="I1421" s="3">
        <f ca="1">INDEX(INDIRECT(CONCATENATE("Tab_",Tab_Calculs[[#This Row],[Colonne1]])),Tab_Calculs[[#This Row],[index_date_livraison]],1)</f>
        <v>0</v>
      </c>
      <c r="J1421">
        <f ca="1">MATCH(Tab_Calculs[[#This Row],[Date_livraison]],INDIRECT(CONCATENATE("Tab_",Tab_Calculs[[#This Row],[Colonne1]],"[Fin de période]")),0)</f>
        <v>1</v>
      </c>
      <c r="K1421" t="e">
        <f ca="1">INDEX(INDIRECT(CONCATENATE("Tab_",Tab_Calculs[[#This Row],[Colonne1]])),Tab_Calculs[[#This Row],[index_date_livraison]]-1,6)*(MAX(Tab_Calculs[[#This Row],[Début periode livraison]],Tab_Calculs[[#This Row],[Début mois]])-Tab_Calculs[[#This Row],[Début mois]])</f>
        <v>#VALUE!</v>
      </c>
      <c r="L1421" s="94">
        <f ca="1">INDEX(INDIRECT(CONCATENATE("Tab_",Tab_Calculs[[#This Row],[Colonne1]])),Tab_Calculs[[#This Row],[index_date_livraison]],6)*(1+MIN(Tab_Calculs[[#This Row],[Date_livraison]],Tab_Calculs[[#This Row],[fin mois]])-MAX(Tab_Calculs[[#This Row],[Début mois]],Tab_Calculs[[#This Row],[Début periode livraison]]))</f>
        <v>0</v>
      </c>
      <c r="M1421" s="94" t="e">
        <f ca="1">INDEX(INDIRECT(CONCATENATE("Tab_",Tab_Calculs[[#This Row],[Colonne1]])),Tab_Calculs[[#This Row],[index_date_livraison]]+1,6)*(Tab_Calculs[[#This Row],[fin mois]]-MIN(Tab_Calculs[[#This Row],[fin mois]],Tab_Calculs[[#This Row],[Date_livraison]]))</f>
        <v>#VALUE!</v>
      </c>
      <c r="N1421" s="231" t="str">
        <f ca="1">IFERROR(Tab_Calculs[[#This Row],[Ratio_jour_après_livr]]+Tab_Calculs[[#This Row],[Ratio_jour_avant_livr]]+Tab_Calculs[[#This Row],[ratio_avant_debut]],"")</f>
        <v/>
      </c>
      <c r="O1421" t="e">
        <f ca="1">INDEX(INDIRECT(CONCATENATE("Tab_",Tab_Calculs[[#This Row],[Colonne1]])),Tab_Calculs[[#This Row],[index_date_livraison]]-1,7)*(MAX(Tab_Calculs[[#This Row],[Début periode livraison]],Tab_Calculs[[#This Row],[Début mois]])-Tab_Calculs[[#This Row],[Début mois]])</f>
        <v>#VALUE!</v>
      </c>
      <c r="P1421">
        <f ca="1">INDEX(INDIRECT(CONCATENATE("Tab_",Tab_Calculs[[#This Row],[Colonne1]])),Tab_Calculs[[#This Row],[index_date_livraison]],7)*(1+MIN(Tab_Calculs[[#This Row],[Date_livraison]],Tab_Calculs[[#This Row],[fin mois]])-MAX(Tab_Calculs[[#This Row],[Début mois]],Tab_Calculs[[#This Row],[Début periode livraison]]))</f>
        <v>0</v>
      </c>
      <c r="Q1421" t="e">
        <f ca="1">INDEX(INDIRECT(CONCATENATE("Tab_",Tab_Calculs[[#This Row],[Colonne1]])),Tab_Calculs[[#This Row],[index_date_livraison]]+1,7)*(Tab_Calculs[[#This Row],[fin mois]]-MIN(Tab_Calculs[[#This Row],[fin mois]],Tab_Calculs[[#This Row],[Date_livraison]]))</f>
        <v>#VALUE!</v>
      </c>
      <c r="R1421" t="e">
        <f ca="1">Tab_Calculs[[#This Row],[Ratio_Cout_après_livr]]+Tab_Calculs[[#This Row],[Ratio_Cout_avant_livr]]+Tab_Calculs[[#This Row],[Ratio_Cout_avant_debut]]</f>
        <v>#VALUE!</v>
      </c>
      <c r="S1421" t="str">
        <f ca="1">IFERROR(N1421*VLOOKUP(Tab_Calculs[[#This Row],[Colonne1]],Controle_des_données!$B$7:$G$14,6,FALSE),"")</f>
        <v/>
      </c>
      <c r="T1421" t="str">
        <f ca="1">IF(Tab_Calculs[[#This Row],[Combustible ]]="Electricité (kWh)",Tab_Calculs[[#This Row],[Conso_mois_kWh]]*2.3,Tab_Calculs[[#This Row],[Conso_mois_kWh]])</f>
        <v/>
      </c>
      <c r="U1421" t="str">
        <f ca="1">IFERROR(N1421*VLOOKUP(Tab_Calculs[[#This Row],[Colonne1]],Controle_des_données!$B$7:$H$14,7,FALSE),"")</f>
        <v/>
      </c>
      <c r="V1421">
        <f ca="1">IFERROR(Tab_Calculs[[#This Row],[Cout_mois]]/Tab_Calculs[[#This Row],[Conso_mois_kWh]],0)</f>
        <v>0</v>
      </c>
      <c r="W1421" t="str">
        <f>T(VLOOKUP(Tab_Calculs[[#This Row],[Compteur]],Site!$B$33:$G$40,3,FALSE))</f>
        <v/>
      </c>
      <c r="X1421" t="str">
        <f>T(VLOOKUP(Tab_Calculs[[#This Row],[Compteur]],Site!$B$33:$G$40,4,FALSE))</f>
        <v/>
      </c>
      <c r="Y1421" t="str">
        <f>T(VLOOKUP(Tab_Calculs[[#This Row],[Compteur]],Site!$B$33:$G$40,5,FALSE))</f>
        <v/>
      </c>
      <c r="Z1421" t="str">
        <f>T(VLOOKUP(Tab_Calculs[[#This Row],[Compteur]],Site!$B$33:$G$40,6,FALSE))</f>
        <v/>
      </c>
      <c r="AA1421">
        <f>IFERROR(GETPIVOTDATA("DJU(chauffagiste)",BDD_DJU!$P$13,"annee",Tab_Calculs[[#This Row],[ANNEE]],"mois_numero",Tab_Calculs[[#This Row],[MOIS]]),0)</f>
        <v>96.9</v>
      </c>
    </row>
    <row r="1422" spans="1:27" x14ac:dyDescent="0.25">
      <c r="A1422" s="3">
        <f>DATE(Tab_Calculs[[#This Row],[ANNEE]],Tab_Calculs[[#This Row],[MOIS]],1)</f>
        <v>42278</v>
      </c>
      <c r="B1422" s="3">
        <f>EDATE(Tab_Calculs[[#This Row],[Début mois]],1)-1</f>
        <v>42308</v>
      </c>
      <c r="C1422">
        <v>10</v>
      </c>
      <c r="D1422">
        <f t="shared" si="49"/>
        <v>2015</v>
      </c>
      <c r="E1422" t="s">
        <v>87</v>
      </c>
      <c r="F1422" t="str">
        <f>SUBSTITUTE(Tab_Calculs[[#This Row],[Compteur]]," ","_")</f>
        <v>Compteur_8</v>
      </c>
      <c r="G1422" t="str">
        <f>T(INDEX(Site!$B$33:$G$40, MATCH(Tab_Calculs[[#This Row],[Compteur]], Site!$B$33:$B$40,0),2))</f>
        <v/>
      </c>
      <c r="H1422" s="3">
        <f t="array" aca="1" ref="H1422" ca="1">MIN(IF(INDIRECT(CONCATENATE(Tab_Calculs[[#This Row],[Colonne1]],"!$B$2:$B$243"))&gt;=Calculs_Consos!$A1422,INDIRECT(CONCATENATE(Tab_Calculs[[#This Row],[Colonne1]],"!$B$2:$B$243"))))</f>
        <v>0</v>
      </c>
      <c r="I1422" s="3">
        <f ca="1">INDEX(INDIRECT(CONCATENATE("Tab_",Tab_Calculs[[#This Row],[Colonne1]])),Tab_Calculs[[#This Row],[index_date_livraison]],1)</f>
        <v>0</v>
      </c>
      <c r="J1422">
        <f ca="1">MATCH(Tab_Calculs[[#This Row],[Date_livraison]],INDIRECT(CONCATENATE("Tab_",Tab_Calculs[[#This Row],[Colonne1]],"[Fin de période]")),0)</f>
        <v>1</v>
      </c>
      <c r="K1422" t="e">
        <f ca="1">INDEX(INDIRECT(CONCATENATE("Tab_",Tab_Calculs[[#This Row],[Colonne1]])),Tab_Calculs[[#This Row],[index_date_livraison]]-1,6)*(MAX(Tab_Calculs[[#This Row],[Début periode livraison]],Tab_Calculs[[#This Row],[Début mois]])-Tab_Calculs[[#This Row],[Début mois]])</f>
        <v>#VALUE!</v>
      </c>
      <c r="L1422" s="94">
        <f ca="1">INDEX(INDIRECT(CONCATENATE("Tab_",Tab_Calculs[[#This Row],[Colonne1]])),Tab_Calculs[[#This Row],[index_date_livraison]],6)*(1+MIN(Tab_Calculs[[#This Row],[Date_livraison]],Tab_Calculs[[#This Row],[fin mois]])-MAX(Tab_Calculs[[#This Row],[Début mois]],Tab_Calculs[[#This Row],[Début periode livraison]]))</f>
        <v>0</v>
      </c>
      <c r="M1422" s="94" t="e">
        <f ca="1">INDEX(INDIRECT(CONCATENATE("Tab_",Tab_Calculs[[#This Row],[Colonne1]])),Tab_Calculs[[#This Row],[index_date_livraison]]+1,6)*(Tab_Calculs[[#This Row],[fin mois]]-MIN(Tab_Calculs[[#This Row],[fin mois]],Tab_Calculs[[#This Row],[Date_livraison]]))</f>
        <v>#VALUE!</v>
      </c>
      <c r="N1422" s="231" t="str">
        <f ca="1">IFERROR(Tab_Calculs[[#This Row],[Ratio_jour_après_livr]]+Tab_Calculs[[#This Row],[Ratio_jour_avant_livr]]+Tab_Calculs[[#This Row],[ratio_avant_debut]],"")</f>
        <v/>
      </c>
      <c r="O1422" t="e">
        <f ca="1">INDEX(INDIRECT(CONCATENATE("Tab_",Tab_Calculs[[#This Row],[Colonne1]])),Tab_Calculs[[#This Row],[index_date_livraison]]-1,7)*(MAX(Tab_Calculs[[#This Row],[Début periode livraison]],Tab_Calculs[[#This Row],[Début mois]])-Tab_Calculs[[#This Row],[Début mois]])</f>
        <v>#VALUE!</v>
      </c>
      <c r="P1422">
        <f ca="1">INDEX(INDIRECT(CONCATENATE("Tab_",Tab_Calculs[[#This Row],[Colonne1]])),Tab_Calculs[[#This Row],[index_date_livraison]],7)*(1+MIN(Tab_Calculs[[#This Row],[Date_livraison]],Tab_Calculs[[#This Row],[fin mois]])-MAX(Tab_Calculs[[#This Row],[Début mois]],Tab_Calculs[[#This Row],[Début periode livraison]]))</f>
        <v>0</v>
      </c>
      <c r="Q1422" t="e">
        <f ca="1">INDEX(INDIRECT(CONCATENATE("Tab_",Tab_Calculs[[#This Row],[Colonne1]])),Tab_Calculs[[#This Row],[index_date_livraison]]+1,7)*(Tab_Calculs[[#This Row],[fin mois]]-MIN(Tab_Calculs[[#This Row],[fin mois]],Tab_Calculs[[#This Row],[Date_livraison]]))</f>
        <v>#VALUE!</v>
      </c>
      <c r="R1422" t="e">
        <f ca="1">Tab_Calculs[[#This Row],[Ratio_Cout_après_livr]]+Tab_Calculs[[#This Row],[Ratio_Cout_avant_livr]]+Tab_Calculs[[#This Row],[Ratio_Cout_avant_debut]]</f>
        <v>#VALUE!</v>
      </c>
      <c r="S1422" t="str">
        <f ca="1">IFERROR(N1422*VLOOKUP(Tab_Calculs[[#This Row],[Colonne1]],Controle_des_données!$B$7:$G$14,6,FALSE),"")</f>
        <v/>
      </c>
      <c r="T1422" t="str">
        <f ca="1">IF(Tab_Calculs[[#This Row],[Combustible ]]="Electricité (kWh)",Tab_Calculs[[#This Row],[Conso_mois_kWh]]*2.3,Tab_Calculs[[#This Row],[Conso_mois_kWh]])</f>
        <v/>
      </c>
      <c r="U1422" t="str">
        <f ca="1">IFERROR(N1422*VLOOKUP(Tab_Calculs[[#This Row],[Colonne1]],Controle_des_données!$B$7:$H$14,7,FALSE),"")</f>
        <v/>
      </c>
      <c r="V1422">
        <f ca="1">IFERROR(Tab_Calculs[[#This Row],[Cout_mois]]/Tab_Calculs[[#This Row],[Conso_mois_kWh]],0)</f>
        <v>0</v>
      </c>
      <c r="W1422" t="str">
        <f>T(VLOOKUP(Tab_Calculs[[#This Row],[Compteur]],Site!$B$33:$G$40,3,FALSE))</f>
        <v/>
      </c>
      <c r="X1422" t="str">
        <f>T(VLOOKUP(Tab_Calculs[[#This Row],[Compteur]],Site!$B$33:$G$40,4,FALSE))</f>
        <v/>
      </c>
      <c r="Y1422" t="str">
        <f>T(VLOOKUP(Tab_Calculs[[#This Row],[Compteur]],Site!$B$33:$G$40,5,FALSE))</f>
        <v/>
      </c>
      <c r="Z1422" t="str">
        <f>T(VLOOKUP(Tab_Calculs[[#This Row],[Compteur]],Site!$B$33:$G$40,6,FALSE))</f>
        <v/>
      </c>
      <c r="AA1422">
        <f>IFERROR(GETPIVOTDATA("DJU(chauffagiste)",BDD_DJU!$P$13,"annee",Tab_Calculs[[#This Row],[ANNEE]],"mois_numero",Tab_Calculs[[#This Row],[MOIS]]),0)</f>
        <v>181.1</v>
      </c>
    </row>
    <row r="1423" spans="1:27" x14ac:dyDescent="0.25">
      <c r="A1423" s="3">
        <f>DATE(Tab_Calculs[[#This Row],[ANNEE]],Tab_Calculs[[#This Row],[MOIS]],1)</f>
        <v>42309</v>
      </c>
      <c r="B1423" s="3">
        <f>EDATE(Tab_Calculs[[#This Row],[Début mois]],1)-1</f>
        <v>42338</v>
      </c>
      <c r="C1423">
        <v>11</v>
      </c>
      <c r="D1423">
        <f t="shared" si="49"/>
        <v>2015</v>
      </c>
      <c r="E1423" t="s">
        <v>87</v>
      </c>
      <c r="F1423" t="str">
        <f>SUBSTITUTE(Tab_Calculs[[#This Row],[Compteur]]," ","_")</f>
        <v>Compteur_8</v>
      </c>
      <c r="G1423" t="str">
        <f>T(INDEX(Site!$B$33:$G$40, MATCH(Tab_Calculs[[#This Row],[Compteur]], Site!$B$33:$B$40,0),2))</f>
        <v/>
      </c>
      <c r="H1423" s="3">
        <f t="array" aca="1" ref="H1423" ca="1">MIN(IF(INDIRECT(CONCATENATE(Tab_Calculs[[#This Row],[Colonne1]],"!$B$2:$B$243"))&gt;=Calculs_Consos!$A1423,INDIRECT(CONCATENATE(Tab_Calculs[[#This Row],[Colonne1]],"!$B$2:$B$243"))))</f>
        <v>0</v>
      </c>
      <c r="I1423" s="3">
        <f ca="1">INDEX(INDIRECT(CONCATENATE("Tab_",Tab_Calculs[[#This Row],[Colonne1]])),Tab_Calculs[[#This Row],[index_date_livraison]],1)</f>
        <v>0</v>
      </c>
      <c r="J1423">
        <f ca="1">MATCH(Tab_Calculs[[#This Row],[Date_livraison]],INDIRECT(CONCATENATE("Tab_",Tab_Calculs[[#This Row],[Colonne1]],"[Fin de période]")),0)</f>
        <v>1</v>
      </c>
      <c r="K1423" t="e">
        <f ca="1">INDEX(INDIRECT(CONCATENATE("Tab_",Tab_Calculs[[#This Row],[Colonne1]])),Tab_Calculs[[#This Row],[index_date_livraison]]-1,6)*(MAX(Tab_Calculs[[#This Row],[Début periode livraison]],Tab_Calculs[[#This Row],[Début mois]])-Tab_Calculs[[#This Row],[Début mois]])</f>
        <v>#VALUE!</v>
      </c>
      <c r="L1423" s="94">
        <f ca="1">INDEX(INDIRECT(CONCATENATE("Tab_",Tab_Calculs[[#This Row],[Colonne1]])),Tab_Calculs[[#This Row],[index_date_livraison]],6)*(1+MIN(Tab_Calculs[[#This Row],[Date_livraison]],Tab_Calculs[[#This Row],[fin mois]])-MAX(Tab_Calculs[[#This Row],[Début mois]],Tab_Calculs[[#This Row],[Début periode livraison]]))</f>
        <v>0</v>
      </c>
      <c r="M1423" s="94" t="e">
        <f ca="1">INDEX(INDIRECT(CONCATENATE("Tab_",Tab_Calculs[[#This Row],[Colonne1]])),Tab_Calculs[[#This Row],[index_date_livraison]]+1,6)*(Tab_Calculs[[#This Row],[fin mois]]-MIN(Tab_Calculs[[#This Row],[fin mois]],Tab_Calculs[[#This Row],[Date_livraison]]))</f>
        <v>#VALUE!</v>
      </c>
      <c r="N1423" s="231" t="str">
        <f ca="1">IFERROR(Tab_Calculs[[#This Row],[Ratio_jour_après_livr]]+Tab_Calculs[[#This Row],[Ratio_jour_avant_livr]]+Tab_Calculs[[#This Row],[ratio_avant_debut]],"")</f>
        <v/>
      </c>
      <c r="O1423" t="e">
        <f ca="1">INDEX(INDIRECT(CONCATENATE("Tab_",Tab_Calculs[[#This Row],[Colonne1]])),Tab_Calculs[[#This Row],[index_date_livraison]]-1,7)*(MAX(Tab_Calculs[[#This Row],[Début periode livraison]],Tab_Calculs[[#This Row],[Début mois]])-Tab_Calculs[[#This Row],[Début mois]])</f>
        <v>#VALUE!</v>
      </c>
      <c r="P1423">
        <f ca="1">INDEX(INDIRECT(CONCATENATE("Tab_",Tab_Calculs[[#This Row],[Colonne1]])),Tab_Calculs[[#This Row],[index_date_livraison]],7)*(1+MIN(Tab_Calculs[[#This Row],[Date_livraison]],Tab_Calculs[[#This Row],[fin mois]])-MAX(Tab_Calculs[[#This Row],[Début mois]],Tab_Calculs[[#This Row],[Début periode livraison]]))</f>
        <v>0</v>
      </c>
      <c r="Q1423" t="e">
        <f ca="1">INDEX(INDIRECT(CONCATENATE("Tab_",Tab_Calculs[[#This Row],[Colonne1]])),Tab_Calculs[[#This Row],[index_date_livraison]]+1,7)*(Tab_Calculs[[#This Row],[fin mois]]-MIN(Tab_Calculs[[#This Row],[fin mois]],Tab_Calculs[[#This Row],[Date_livraison]]))</f>
        <v>#VALUE!</v>
      </c>
      <c r="R1423" t="e">
        <f ca="1">Tab_Calculs[[#This Row],[Ratio_Cout_après_livr]]+Tab_Calculs[[#This Row],[Ratio_Cout_avant_livr]]+Tab_Calculs[[#This Row],[Ratio_Cout_avant_debut]]</f>
        <v>#VALUE!</v>
      </c>
      <c r="S1423" t="str">
        <f ca="1">IFERROR(N1423*VLOOKUP(Tab_Calculs[[#This Row],[Colonne1]],Controle_des_données!$B$7:$G$14,6,FALSE),"")</f>
        <v/>
      </c>
      <c r="T1423" t="str">
        <f ca="1">IF(Tab_Calculs[[#This Row],[Combustible ]]="Electricité (kWh)",Tab_Calculs[[#This Row],[Conso_mois_kWh]]*2.3,Tab_Calculs[[#This Row],[Conso_mois_kWh]])</f>
        <v/>
      </c>
      <c r="U1423" t="str">
        <f ca="1">IFERROR(N1423*VLOOKUP(Tab_Calculs[[#This Row],[Colonne1]],Controle_des_données!$B$7:$H$14,7,FALSE),"")</f>
        <v/>
      </c>
      <c r="V1423">
        <f ca="1">IFERROR(Tab_Calculs[[#This Row],[Cout_mois]]/Tab_Calculs[[#This Row],[Conso_mois_kWh]],0)</f>
        <v>0</v>
      </c>
      <c r="W1423" t="str">
        <f>T(VLOOKUP(Tab_Calculs[[#This Row],[Compteur]],Site!$B$33:$G$40,3,FALSE))</f>
        <v/>
      </c>
      <c r="X1423" t="str">
        <f>T(VLOOKUP(Tab_Calculs[[#This Row],[Compteur]],Site!$B$33:$G$40,4,FALSE))</f>
        <v/>
      </c>
      <c r="Y1423" t="str">
        <f>T(VLOOKUP(Tab_Calculs[[#This Row],[Compteur]],Site!$B$33:$G$40,5,FALSE))</f>
        <v/>
      </c>
      <c r="Z1423" t="str">
        <f>T(VLOOKUP(Tab_Calculs[[#This Row],[Compteur]],Site!$B$33:$G$40,6,FALSE))</f>
        <v/>
      </c>
      <c r="AA1423">
        <f>IFERROR(GETPIVOTDATA("DJU(chauffagiste)",BDD_DJU!$P$13,"annee",Tab_Calculs[[#This Row],[ANNEE]],"mois_numero",Tab_Calculs[[#This Row],[MOIS]]),0)</f>
        <v>191.1</v>
      </c>
    </row>
    <row r="1424" spans="1:27" x14ac:dyDescent="0.25">
      <c r="A1424" s="3">
        <f>DATE(Tab_Calculs[[#This Row],[ANNEE]],Tab_Calculs[[#This Row],[MOIS]],1)</f>
        <v>42339</v>
      </c>
      <c r="B1424" s="3">
        <f>EDATE(Tab_Calculs[[#This Row],[Début mois]],1)-1</f>
        <v>42369</v>
      </c>
      <c r="C1424">
        <v>12</v>
      </c>
      <c r="D1424">
        <f t="shared" si="49"/>
        <v>2015</v>
      </c>
      <c r="E1424" t="s">
        <v>87</v>
      </c>
      <c r="F1424" t="str">
        <f>SUBSTITUTE(Tab_Calculs[[#This Row],[Compteur]]," ","_")</f>
        <v>Compteur_8</v>
      </c>
      <c r="G1424" t="str">
        <f>T(INDEX(Site!$B$33:$G$40, MATCH(Tab_Calculs[[#This Row],[Compteur]], Site!$B$33:$B$40,0),2))</f>
        <v/>
      </c>
      <c r="H1424" s="3">
        <f t="array" aca="1" ref="H1424" ca="1">MIN(IF(INDIRECT(CONCATENATE(Tab_Calculs[[#This Row],[Colonne1]],"!$B$2:$B$243"))&gt;=Calculs_Consos!$A1424,INDIRECT(CONCATENATE(Tab_Calculs[[#This Row],[Colonne1]],"!$B$2:$B$243"))))</f>
        <v>0</v>
      </c>
      <c r="I1424" s="3">
        <f ca="1">INDEX(INDIRECT(CONCATENATE("Tab_",Tab_Calculs[[#This Row],[Colonne1]])),Tab_Calculs[[#This Row],[index_date_livraison]],1)</f>
        <v>0</v>
      </c>
      <c r="J1424">
        <f ca="1">MATCH(Tab_Calculs[[#This Row],[Date_livraison]],INDIRECT(CONCATENATE("Tab_",Tab_Calculs[[#This Row],[Colonne1]],"[Fin de période]")),0)</f>
        <v>1</v>
      </c>
      <c r="K1424" t="e">
        <f ca="1">INDEX(INDIRECT(CONCATENATE("Tab_",Tab_Calculs[[#This Row],[Colonne1]])),Tab_Calculs[[#This Row],[index_date_livraison]]-1,6)*(MAX(Tab_Calculs[[#This Row],[Début periode livraison]],Tab_Calculs[[#This Row],[Début mois]])-Tab_Calculs[[#This Row],[Début mois]])</f>
        <v>#VALUE!</v>
      </c>
      <c r="L1424" s="94">
        <f ca="1">INDEX(INDIRECT(CONCATENATE("Tab_",Tab_Calculs[[#This Row],[Colonne1]])),Tab_Calculs[[#This Row],[index_date_livraison]],6)*(1+MIN(Tab_Calculs[[#This Row],[Date_livraison]],Tab_Calculs[[#This Row],[fin mois]])-MAX(Tab_Calculs[[#This Row],[Début mois]],Tab_Calculs[[#This Row],[Début periode livraison]]))</f>
        <v>0</v>
      </c>
      <c r="M1424" s="94" t="e">
        <f ca="1">INDEX(INDIRECT(CONCATENATE("Tab_",Tab_Calculs[[#This Row],[Colonne1]])),Tab_Calculs[[#This Row],[index_date_livraison]]+1,6)*(Tab_Calculs[[#This Row],[fin mois]]-MIN(Tab_Calculs[[#This Row],[fin mois]],Tab_Calculs[[#This Row],[Date_livraison]]))</f>
        <v>#VALUE!</v>
      </c>
      <c r="N1424" s="231" t="str">
        <f ca="1">IFERROR(Tab_Calculs[[#This Row],[Ratio_jour_après_livr]]+Tab_Calculs[[#This Row],[Ratio_jour_avant_livr]]+Tab_Calculs[[#This Row],[ratio_avant_debut]],"")</f>
        <v/>
      </c>
      <c r="O1424" t="e">
        <f ca="1">INDEX(INDIRECT(CONCATENATE("Tab_",Tab_Calculs[[#This Row],[Colonne1]])),Tab_Calculs[[#This Row],[index_date_livraison]]-1,7)*(MAX(Tab_Calculs[[#This Row],[Début periode livraison]],Tab_Calculs[[#This Row],[Début mois]])-Tab_Calculs[[#This Row],[Début mois]])</f>
        <v>#VALUE!</v>
      </c>
      <c r="P1424">
        <f ca="1">INDEX(INDIRECT(CONCATENATE("Tab_",Tab_Calculs[[#This Row],[Colonne1]])),Tab_Calculs[[#This Row],[index_date_livraison]],7)*(1+MIN(Tab_Calculs[[#This Row],[Date_livraison]],Tab_Calculs[[#This Row],[fin mois]])-MAX(Tab_Calculs[[#This Row],[Début mois]],Tab_Calculs[[#This Row],[Début periode livraison]]))</f>
        <v>0</v>
      </c>
      <c r="Q1424" t="e">
        <f ca="1">INDEX(INDIRECT(CONCATENATE("Tab_",Tab_Calculs[[#This Row],[Colonne1]])),Tab_Calculs[[#This Row],[index_date_livraison]]+1,7)*(Tab_Calculs[[#This Row],[fin mois]]-MIN(Tab_Calculs[[#This Row],[fin mois]],Tab_Calculs[[#This Row],[Date_livraison]]))</f>
        <v>#VALUE!</v>
      </c>
      <c r="R1424" t="e">
        <f ca="1">Tab_Calculs[[#This Row],[Ratio_Cout_après_livr]]+Tab_Calculs[[#This Row],[Ratio_Cout_avant_livr]]+Tab_Calculs[[#This Row],[Ratio_Cout_avant_debut]]</f>
        <v>#VALUE!</v>
      </c>
      <c r="S1424" t="str">
        <f ca="1">IFERROR(N1424*VLOOKUP(Tab_Calculs[[#This Row],[Colonne1]],Controle_des_données!$B$7:$G$14,6,FALSE),"")</f>
        <v/>
      </c>
      <c r="T1424" t="str">
        <f ca="1">IF(Tab_Calculs[[#This Row],[Combustible ]]="Electricité (kWh)",Tab_Calculs[[#This Row],[Conso_mois_kWh]]*2.3,Tab_Calculs[[#This Row],[Conso_mois_kWh]])</f>
        <v/>
      </c>
      <c r="U1424" t="str">
        <f ca="1">IFERROR(N1424*VLOOKUP(Tab_Calculs[[#This Row],[Colonne1]],Controle_des_données!$B$7:$H$14,7,FALSE),"")</f>
        <v/>
      </c>
      <c r="V1424">
        <f ca="1">IFERROR(Tab_Calculs[[#This Row],[Cout_mois]]/Tab_Calculs[[#This Row],[Conso_mois_kWh]],0)</f>
        <v>0</v>
      </c>
      <c r="W1424" t="str">
        <f>T(VLOOKUP(Tab_Calculs[[#This Row],[Compteur]],Site!$B$33:$G$40,3,FALSE))</f>
        <v/>
      </c>
      <c r="X1424" t="str">
        <f>T(VLOOKUP(Tab_Calculs[[#This Row],[Compteur]],Site!$B$33:$G$40,4,FALSE))</f>
        <v/>
      </c>
      <c r="Y1424" t="str">
        <f>T(VLOOKUP(Tab_Calculs[[#This Row],[Compteur]],Site!$B$33:$G$40,5,FALSE))</f>
        <v/>
      </c>
      <c r="Z1424" t="str">
        <f>T(VLOOKUP(Tab_Calculs[[#This Row],[Compteur]],Site!$B$33:$G$40,6,FALSE))</f>
        <v/>
      </c>
      <c r="AA1424">
        <f>IFERROR(GETPIVOTDATA("DJU(chauffagiste)",BDD_DJU!$P$13,"annee",Tab_Calculs[[#This Row],[ANNEE]],"mois_numero",Tab_Calculs[[#This Row],[MOIS]]),0)</f>
        <v>258.5</v>
      </c>
    </row>
    <row r="1425" spans="1:27" x14ac:dyDescent="0.25">
      <c r="A1425" s="3">
        <f>DATE(Tab_Calculs[[#This Row],[ANNEE]],Tab_Calculs[[#This Row],[MOIS]],1)</f>
        <v>42370</v>
      </c>
      <c r="B1425" s="3">
        <f>EDATE(Tab_Calculs[[#This Row],[Début mois]],1)-1</f>
        <v>42400</v>
      </c>
      <c r="C1425">
        <f>C1413</f>
        <v>1</v>
      </c>
      <c r="D1425">
        <f t="shared" si="49"/>
        <v>2016</v>
      </c>
      <c r="E1425" t="s">
        <v>87</v>
      </c>
      <c r="F1425" t="str">
        <f>SUBSTITUTE(Tab_Calculs[[#This Row],[Compteur]]," ","_")</f>
        <v>Compteur_8</v>
      </c>
      <c r="G1425" t="str">
        <f>T(INDEX(Site!$B$33:$G$40, MATCH(Tab_Calculs[[#This Row],[Compteur]], Site!$B$33:$B$40,0),2))</f>
        <v/>
      </c>
      <c r="H1425" s="3">
        <f t="array" aca="1" ref="H1425" ca="1">MIN(IF(INDIRECT(CONCATENATE(Tab_Calculs[[#This Row],[Colonne1]],"!$B$2:$B$243"))&gt;=Calculs_Consos!$A1425,INDIRECT(CONCATENATE(Tab_Calculs[[#This Row],[Colonne1]],"!$B$2:$B$243"))))</f>
        <v>0</v>
      </c>
      <c r="I1425" s="3">
        <f ca="1">INDEX(INDIRECT(CONCATENATE("Tab_",Tab_Calculs[[#This Row],[Colonne1]])),Tab_Calculs[[#This Row],[index_date_livraison]],1)</f>
        <v>0</v>
      </c>
      <c r="J1425">
        <f ca="1">MATCH(Tab_Calculs[[#This Row],[Date_livraison]],INDIRECT(CONCATENATE("Tab_",Tab_Calculs[[#This Row],[Colonne1]],"[Fin de période]")),0)</f>
        <v>1</v>
      </c>
      <c r="K1425" t="e">
        <f ca="1">INDEX(INDIRECT(CONCATENATE("Tab_",Tab_Calculs[[#This Row],[Colonne1]])),Tab_Calculs[[#This Row],[index_date_livraison]]-1,6)*(MAX(Tab_Calculs[[#This Row],[Début periode livraison]],Tab_Calculs[[#This Row],[Début mois]])-Tab_Calculs[[#This Row],[Début mois]])</f>
        <v>#VALUE!</v>
      </c>
      <c r="L1425" s="94">
        <f ca="1">INDEX(INDIRECT(CONCATENATE("Tab_",Tab_Calculs[[#This Row],[Colonne1]])),Tab_Calculs[[#This Row],[index_date_livraison]],6)*(1+MIN(Tab_Calculs[[#This Row],[Date_livraison]],Tab_Calculs[[#This Row],[fin mois]])-MAX(Tab_Calculs[[#This Row],[Début mois]],Tab_Calculs[[#This Row],[Début periode livraison]]))</f>
        <v>0</v>
      </c>
      <c r="M1425" s="94" t="e">
        <f ca="1">INDEX(INDIRECT(CONCATENATE("Tab_",Tab_Calculs[[#This Row],[Colonne1]])),Tab_Calculs[[#This Row],[index_date_livraison]]+1,6)*(Tab_Calculs[[#This Row],[fin mois]]-MIN(Tab_Calculs[[#This Row],[fin mois]],Tab_Calculs[[#This Row],[Date_livraison]]))</f>
        <v>#VALUE!</v>
      </c>
      <c r="N1425" s="231" t="str">
        <f ca="1">IFERROR(Tab_Calculs[[#This Row],[Ratio_jour_après_livr]]+Tab_Calculs[[#This Row],[Ratio_jour_avant_livr]]+Tab_Calculs[[#This Row],[ratio_avant_debut]],"")</f>
        <v/>
      </c>
      <c r="O1425" t="e">
        <f ca="1">INDEX(INDIRECT(CONCATENATE("Tab_",Tab_Calculs[[#This Row],[Colonne1]])),Tab_Calculs[[#This Row],[index_date_livraison]]-1,7)*(MAX(Tab_Calculs[[#This Row],[Début periode livraison]],Tab_Calculs[[#This Row],[Début mois]])-Tab_Calculs[[#This Row],[Début mois]])</f>
        <v>#VALUE!</v>
      </c>
      <c r="P1425">
        <f ca="1">INDEX(INDIRECT(CONCATENATE("Tab_",Tab_Calculs[[#This Row],[Colonne1]])),Tab_Calculs[[#This Row],[index_date_livraison]],7)*(1+MIN(Tab_Calculs[[#This Row],[Date_livraison]],Tab_Calculs[[#This Row],[fin mois]])-MAX(Tab_Calculs[[#This Row],[Début mois]],Tab_Calculs[[#This Row],[Début periode livraison]]))</f>
        <v>0</v>
      </c>
      <c r="Q1425" t="e">
        <f ca="1">INDEX(INDIRECT(CONCATENATE("Tab_",Tab_Calculs[[#This Row],[Colonne1]])),Tab_Calculs[[#This Row],[index_date_livraison]]+1,7)*(Tab_Calculs[[#This Row],[fin mois]]-MIN(Tab_Calculs[[#This Row],[fin mois]],Tab_Calculs[[#This Row],[Date_livraison]]))</f>
        <v>#VALUE!</v>
      </c>
      <c r="R1425" t="e">
        <f ca="1">Tab_Calculs[[#This Row],[Ratio_Cout_après_livr]]+Tab_Calculs[[#This Row],[Ratio_Cout_avant_livr]]+Tab_Calculs[[#This Row],[Ratio_Cout_avant_debut]]</f>
        <v>#VALUE!</v>
      </c>
      <c r="S1425" t="str">
        <f ca="1">IFERROR(N1425*VLOOKUP(Tab_Calculs[[#This Row],[Colonne1]],Controle_des_données!$B$7:$G$14,6,FALSE),"")</f>
        <v/>
      </c>
      <c r="T1425" t="str">
        <f ca="1">IF(Tab_Calculs[[#This Row],[Combustible ]]="Electricité (kWh)",Tab_Calculs[[#This Row],[Conso_mois_kWh]]*2.3,Tab_Calculs[[#This Row],[Conso_mois_kWh]])</f>
        <v/>
      </c>
      <c r="U1425" t="str">
        <f ca="1">IFERROR(N1425*VLOOKUP(Tab_Calculs[[#This Row],[Colonne1]],Controle_des_données!$B$7:$H$14,7,FALSE),"")</f>
        <v/>
      </c>
      <c r="V1425">
        <f ca="1">IFERROR(Tab_Calculs[[#This Row],[Cout_mois]]/Tab_Calculs[[#This Row],[Conso_mois_kWh]],0)</f>
        <v>0</v>
      </c>
      <c r="W1425" t="str">
        <f>T(VLOOKUP(Tab_Calculs[[#This Row],[Compteur]],Site!$B$33:$G$40,3,FALSE))</f>
        <v/>
      </c>
      <c r="X1425" t="str">
        <f>T(VLOOKUP(Tab_Calculs[[#This Row],[Compteur]],Site!$B$33:$G$40,4,FALSE))</f>
        <v/>
      </c>
      <c r="Y1425" t="str">
        <f>T(VLOOKUP(Tab_Calculs[[#This Row],[Compteur]],Site!$B$33:$G$40,5,FALSE))</f>
        <v/>
      </c>
      <c r="Z1425" t="str">
        <f>T(VLOOKUP(Tab_Calculs[[#This Row],[Compteur]],Site!$B$33:$G$40,6,FALSE))</f>
        <v/>
      </c>
      <c r="AA1425">
        <f>IFERROR(GETPIVOTDATA("DJU(chauffagiste)",BDD_DJU!$P$13,"annee",Tab_Calculs[[#This Row],[ANNEE]],"mois_numero",Tab_Calculs[[#This Row],[MOIS]]),0)</f>
        <v>348.4</v>
      </c>
    </row>
    <row r="1426" spans="1:27" x14ac:dyDescent="0.25">
      <c r="A1426" s="3">
        <f>DATE(Tab_Calculs[[#This Row],[ANNEE]],Tab_Calculs[[#This Row],[MOIS]],1)</f>
        <v>42401</v>
      </c>
      <c r="B1426" s="3">
        <f>EDATE(Tab_Calculs[[#This Row],[Début mois]],1)-1</f>
        <v>42429</v>
      </c>
      <c r="C1426">
        <f t="shared" ref="C1426:C1489" si="50">C1414</f>
        <v>2</v>
      </c>
      <c r="D1426">
        <f t="shared" si="49"/>
        <v>2016</v>
      </c>
      <c r="E1426" t="s">
        <v>87</v>
      </c>
      <c r="F1426" t="str">
        <f>SUBSTITUTE(Tab_Calculs[[#This Row],[Compteur]]," ","_")</f>
        <v>Compteur_8</v>
      </c>
      <c r="G1426" t="str">
        <f>T(INDEX(Site!$B$33:$G$40, MATCH(Tab_Calculs[[#This Row],[Compteur]], Site!$B$33:$B$40,0),2))</f>
        <v/>
      </c>
      <c r="H1426" s="3">
        <f t="array" aca="1" ref="H1426" ca="1">MIN(IF(INDIRECT(CONCATENATE(Tab_Calculs[[#This Row],[Colonne1]],"!$B$2:$B$243"))&gt;=Calculs_Consos!$A1426,INDIRECT(CONCATENATE(Tab_Calculs[[#This Row],[Colonne1]],"!$B$2:$B$243"))))</f>
        <v>0</v>
      </c>
      <c r="I1426" s="3">
        <f ca="1">INDEX(INDIRECT(CONCATENATE("Tab_",Tab_Calculs[[#This Row],[Colonne1]])),Tab_Calculs[[#This Row],[index_date_livraison]],1)</f>
        <v>0</v>
      </c>
      <c r="J1426">
        <f ca="1">MATCH(Tab_Calculs[[#This Row],[Date_livraison]],INDIRECT(CONCATENATE("Tab_",Tab_Calculs[[#This Row],[Colonne1]],"[Fin de période]")),0)</f>
        <v>1</v>
      </c>
      <c r="K1426" t="e">
        <f ca="1">INDEX(INDIRECT(CONCATENATE("Tab_",Tab_Calculs[[#This Row],[Colonne1]])),Tab_Calculs[[#This Row],[index_date_livraison]]-1,6)*(MAX(Tab_Calculs[[#This Row],[Début periode livraison]],Tab_Calculs[[#This Row],[Début mois]])-Tab_Calculs[[#This Row],[Début mois]])</f>
        <v>#VALUE!</v>
      </c>
      <c r="L1426" s="94">
        <f ca="1">INDEX(INDIRECT(CONCATENATE("Tab_",Tab_Calculs[[#This Row],[Colonne1]])),Tab_Calculs[[#This Row],[index_date_livraison]],6)*(1+MIN(Tab_Calculs[[#This Row],[Date_livraison]],Tab_Calculs[[#This Row],[fin mois]])-MAX(Tab_Calculs[[#This Row],[Début mois]],Tab_Calculs[[#This Row],[Début periode livraison]]))</f>
        <v>0</v>
      </c>
      <c r="M1426" s="94" t="e">
        <f ca="1">INDEX(INDIRECT(CONCATENATE("Tab_",Tab_Calculs[[#This Row],[Colonne1]])),Tab_Calculs[[#This Row],[index_date_livraison]]+1,6)*(Tab_Calculs[[#This Row],[fin mois]]-MIN(Tab_Calculs[[#This Row],[fin mois]],Tab_Calculs[[#This Row],[Date_livraison]]))</f>
        <v>#VALUE!</v>
      </c>
      <c r="N1426" s="231" t="str">
        <f ca="1">IFERROR(Tab_Calculs[[#This Row],[Ratio_jour_après_livr]]+Tab_Calculs[[#This Row],[Ratio_jour_avant_livr]]+Tab_Calculs[[#This Row],[ratio_avant_debut]],"")</f>
        <v/>
      </c>
      <c r="O1426" t="e">
        <f ca="1">INDEX(INDIRECT(CONCATENATE("Tab_",Tab_Calculs[[#This Row],[Colonne1]])),Tab_Calculs[[#This Row],[index_date_livraison]]-1,7)*(MAX(Tab_Calculs[[#This Row],[Début periode livraison]],Tab_Calculs[[#This Row],[Début mois]])-Tab_Calculs[[#This Row],[Début mois]])</f>
        <v>#VALUE!</v>
      </c>
      <c r="P1426">
        <f ca="1">INDEX(INDIRECT(CONCATENATE("Tab_",Tab_Calculs[[#This Row],[Colonne1]])),Tab_Calculs[[#This Row],[index_date_livraison]],7)*(1+MIN(Tab_Calculs[[#This Row],[Date_livraison]],Tab_Calculs[[#This Row],[fin mois]])-MAX(Tab_Calculs[[#This Row],[Début mois]],Tab_Calculs[[#This Row],[Début periode livraison]]))</f>
        <v>0</v>
      </c>
      <c r="Q1426" t="e">
        <f ca="1">INDEX(INDIRECT(CONCATENATE("Tab_",Tab_Calculs[[#This Row],[Colonne1]])),Tab_Calculs[[#This Row],[index_date_livraison]]+1,7)*(Tab_Calculs[[#This Row],[fin mois]]-MIN(Tab_Calculs[[#This Row],[fin mois]],Tab_Calculs[[#This Row],[Date_livraison]]))</f>
        <v>#VALUE!</v>
      </c>
      <c r="R1426" t="e">
        <f ca="1">Tab_Calculs[[#This Row],[Ratio_Cout_après_livr]]+Tab_Calculs[[#This Row],[Ratio_Cout_avant_livr]]+Tab_Calculs[[#This Row],[Ratio_Cout_avant_debut]]</f>
        <v>#VALUE!</v>
      </c>
      <c r="S1426" t="str">
        <f ca="1">IFERROR(N1426*VLOOKUP(Tab_Calculs[[#This Row],[Colonne1]],Controle_des_données!$B$7:$G$14,6,FALSE),"")</f>
        <v/>
      </c>
      <c r="T1426" t="str">
        <f ca="1">IF(Tab_Calculs[[#This Row],[Combustible ]]="Electricité (kWh)",Tab_Calculs[[#This Row],[Conso_mois_kWh]]*2.3,Tab_Calculs[[#This Row],[Conso_mois_kWh]])</f>
        <v/>
      </c>
      <c r="U1426" t="str">
        <f ca="1">IFERROR(N1426*VLOOKUP(Tab_Calculs[[#This Row],[Colonne1]],Controle_des_données!$B$7:$H$14,7,FALSE),"")</f>
        <v/>
      </c>
      <c r="V1426">
        <f ca="1">IFERROR(Tab_Calculs[[#This Row],[Cout_mois]]/Tab_Calculs[[#This Row],[Conso_mois_kWh]],0)</f>
        <v>0</v>
      </c>
      <c r="W1426" t="str">
        <f>T(VLOOKUP(Tab_Calculs[[#This Row],[Compteur]],Site!$B$33:$G$40,3,FALSE))</f>
        <v/>
      </c>
      <c r="X1426" t="str">
        <f>T(VLOOKUP(Tab_Calculs[[#This Row],[Compteur]],Site!$B$33:$G$40,4,FALSE))</f>
        <v/>
      </c>
      <c r="Y1426" t="str">
        <f>T(VLOOKUP(Tab_Calculs[[#This Row],[Compteur]],Site!$B$33:$G$40,5,FALSE))</f>
        <v/>
      </c>
      <c r="Z1426" t="str">
        <f>T(VLOOKUP(Tab_Calculs[[#This Row],[Compteur]],Site!$B$33:$G$40,6,FALSE))</f>
        <v/>
      </c>
      <c r="AA1426">
        <f>IFERROR(GETPIVOTDATA("DJU(chauffagiste)",BDD_DJU!$P$13,"annee",Tab_Calculs[[#This Row],[ANNEE]],"mois_numero",Tab_Calculs[[#This Row],[MOIS]]),0)</f>
        <v>321.2</v>
      </c>
    </row>
    <row r="1427" spans="1:27" x14ac:dyDescent="0.25">
      <c r="A1427" s="3">
        <f>DATE(Tab_Calculs[[#This Row],[ANNEE]],Tab_Calculs[[#This Row],[MOIS]],1)</f>
        <v>42430</v>
      </c>
      <c r="B1427" s="3">
        <f>EDATE(Tab_Calculs[[#This Row],[Début mois]],1)-1</f>
        <v>42460</v>
      </c>
      <c r="C1427">
        <f t="shared" si="50"/>
        <v>3</v>
      </c>
      <c r="D1427">
        <f t="shared" si="49"/>
        <v>2016</v>
      </c>
      <c r="E1427" t="s">
        <v>87</v>
      </c>
      <c r="F1427" t="str">
        <f>SUBSTITUTE(Tab_Calculs[[#This Row],[Compteur]]," ","_")</f>
        <v>Compteur_8</v>
      </c>
      <c r="G1427" t="str">
        <f>T(INDEX(Site!$B$33:$G$40, MATCH(Tab_Calculs[[#This Row],[Compteur]], Site!$B$33:$B$40,0),2))</f>
        <v/>
      </c>
      <c r="H1427" s="3">
        <f t="array" aca="1" ref="H1427" ca="1">MIN(IF(INDIRECT(CONCATENATE(Tab_Calculs[[#This Row],[Colonne1]],"!$B$2:$B$243"))&gt;=Calculs_Consos!$A1427,INDIRECT(CONCATENATE(Tab_Calculs[[#This Row],[Colonne1]],"!$B$2:$B$243"))))</f>
        <v>0</v>
      </c>
      <c r="I1427" s="3">
        <f ca="1">INDEX(INDIRECT(CONCATENATE("Tab_",Tab_Calculs[[#This Row],[Colonne1]])),Tab_Calculs[[#This Row],[index_date_livraison]],1)</f>
        <v>0</v>
      </c>
      <c r="J1427">
        <f ca="1">MATCH(Tab_Calculs[[#This Row],[Date_livraison]],INDIRECT(CONCATENATE("Tab_",Tab_Calculs[[#This Row],[Colonne1]],"[Fin de période]")),0)</f>
        <v>1</v>
      </c>
      <c r="K1427" t="e">
        <f ca="1">INDEX(INDIRECT(CONCATENATE("Tab_",Tab_Calculs[[#This Row],[Colonne1]])),Tab_Calculs[[#This Row],[index_date_livraison]]-1,6)*(MAX(Tab_Calculs[[#This Row],[Début periode livraison]],Tab_Calculs[[#This Row],[Début mois]])-Tab_Calculs[[#This Row],[Début mois]])</f>
        <v>#VALUE!</v>
      </c>
      <c r="L1427" s="94">
        <f ca="1">INDEX(INDIRECT(CONCATENATE("Tab_",Tab_Calculs[[#This Row],[Colonne1]])),Tab_Calculs[[#This Row],[index_date_livraison]],6)*(1+MIN(Tab_Calculs[[#This Row],[Date_livraison]],Tab_Calculs[[#This Row],[fin mois]])-MAX(Tab_Calculs[[#This Row],[Début mois]],Tab_Calculs[[#This Row],[Début periode livraison]]))</f>
        <v>0</v>
      </c>
      <c r="M1427" s="94" t="e">
        <f ca="1">INDEX(INDIRECT(CONCATENATE("Tab_",Tab_Calculs[[#This Row],[Colonne1]])),Tab_Calculs[[#This Row],[index_date_livraison]]+1,6)*(Tab_Calculs[[#This Row],[fin mois]]-MIN(Tab_Calculs[[#This Row],[fin mois]],Tab_Calculs[[#This Row],[Date_livraison]]))</f>
        <v>#VALUE!</v>
      </c>
      <c r="N1427" s="231" t="str">
        <f ca="1">IFERROR(Tab_Calculs[[#This Row],[Ratio_jour_après_livr]]+Tab_Calculs[[#This Row],[Ratio_jour_avant_livr]]+Tab_Calculs[[#This Row],[ratio_avant_debut]],"")</f>
        <v/>
      </c>
      <c r="O1427" t="e">
        <f ca="1">INDEX(INDIRECT(CONCATENATE("Tab_",Tab_Calculs[[#This Row],[Colonne1]])),Tab_Calculs[[#This Row],[index_date_livraison]]-1,7)*(MAX(Tab_Calculs[[#This Row],[Début periode livraison]],Tab_Calculs[[#This Row],[Début mois]])-Tab_Calculs[[#This Row],[Début mois]])</f>
        <v>#VALUE!</v>
      </c>
      <c r="P1427">
        <f ca="1">INDEX(INDIRECT(CONCATENATE("Tab_",Tab_Calculs[[#This Row],[Colonne1]])),Tab_Calculs[[#This Row],[index_date_livraison]],7)*(1+MIN(Tab_Calculs[[#This Row],[Date_livraison]],Tab_Calculs[[#This Row],[fin mois]])-MAX(Tab_Calculs[[#This Row],[Début mois]],Tab_Calculs[[#This Row],[Début periode livraison]]))</f>
        <v>0</v>
      </c>
      <c r="Q1427" t="e">
        <f ca="1">INDEX(INDIRECT(CONCATENATE("Tab_",Tab_Calculs[[#This Row],[Colonne1]])),Tab_Calculs[[#This Row],[index_date_livraison]]+1,7)*(Tab_Calculs[[#This Row],[fin mois]]-MIN(Tab_Calculs[[#This Row],[fin mois]],Tab_Calculs[[#This Row],[Date_livraison]]))</f>
        <v>#VALUE!</v>
      </c>
      <c r="R1427" t="e">
        <f ca="1">Tab_Calculs[[#This Row],[Ratio_Cout_après_livr]]+Tab_Calculs[[#This Row],[Ratio_Cout_avant_livr]]+Tab_Calculs[[#This Row],[Ratio_Cout_avant_debut]]</f>
        <v>#VALUE!</v>
      </c>
      <c r="S1427" t="str">
        <f ca="1">IFERROR(N1427*VLOOKUP(Tab_Calculs[[#This Row],[Colonne1]],Controle_des_données!$B$7:$G$14,6,FALSE),"")</f>
        <v/>
      </c>
      <c r="T1427" t="str">
        <f ca="1">IF(Tab_Calculs[[#This Row],[Combustible ]]="Electricité (kWh)",Tab_Calculs[[#This Row],[Conso_mois_kWh]]*2.3,Tab_Calculs[[#This Row],[Conso_mois_kWh]])</f>
        <v/>
      </c>
      <c r="U1427" t="str">
        <f ca="1">IFERROR(N1427*VLOOKUP(Tab_Calculs[[#This Row],[Colonne1]],Controle_des_données!$B$7:$H$14,7,FALSE),"")</f>
        <v/>
      </c>
      <c r="V1427">
        <f ca="1">IFERROR(Tab_Calculs[[#This Row],[Cout_mois]]/Tab_Calculs[[#This Row],[Conso_mois_kWh]],0)</f>
        <v>0</v>
      </c>
      <c r="W1427" t="str">
        <f>T(VLOOKUP(Tab_Calculs[[#This Row],[Compteur]],Site!$B$33:$G$40,3,FALSE))</f>
        <v/>
      </c>
      <c r="X1427" t="str">
        <f>T(VLOOKUP(Tab_Calculs[[#This Row],[Compteur]],Site!$B$33:$G$40,4,FALSE))</f>
        <v/>
      </c>
      <c r="Y1427" t="str">
        <f>T(VLOOKUP(Tab_Calculs[[#This Row],[Compteur]],Site!$B$33:$G$40,5,FALSE))</f>
        <v/>
      </c>
      <c r="Z1427" t="str">
        <f>T(VLOOKUP(Tab_Calculs[[#This Row],[Compteur]],Site!$B$33:$G$40,6,FALSE))</f>
        <v/>
      </c>
      <c r="AA1427">
        <f>IFERROR(GETPIVOTDATA("DJU(chauffagiste)",BDD_DJU!$P$13,"annee",Tab_Calculs[[#This Row],[ANNEE]],"mois_numero",Tab_Calculs[[#This Row],[MOIS]]),0)</f>
        <v>328.3</v>
      </c>
    </row>
    <row r="1428" spans="1:27" x14ac:dyDescent="0.25">
      <c r="A1428" s="3">
        <f>DATE(Tab_Calculs[[#This Row],[ANNEE]],Tab_Calculs[[#This Row],[MOIS]],1)</f>
        <v>42461</v>
      </c>
      <c r="B1428" s="3">
        <f>EDATE(Tab_Calculs[[#This Row],[Début mois]],1)-1</f>
        <v>42490</v>
      </c>
      <c r="C1428">
        <f t="shared" si="50"/>
        <v>4</v>
      </c>
      <c r="D1428">
        <f t="shared" si="49"/>
        <v>2016</v>
      </c>
      <c r="E1428" t="s">
        <v>87</v>
      </c>
      <c r="F1428" t="str">
        <f>SUBSTITUTE(Tab_Calculs[[#This Row],[Compteur]]," ","_")</f>
        <v>Compteur_8</v>
      </c>
      <c r="G1428" t="str">
        <f>T(INDEX(Site!$B$33:$G$40, MATCH(Tab_Calculs[[#This Row],[Compteur]], Site!$B$33:$B$40,0),2))</f>
        <v/>
      </c>
      <c r="H1428" s="3">
        <f t="array" aca="1" ref="H1428" ca="1">MIN(IF(INDIRECT(CONCATENATE(Tab_Calculs[[#This Row],[Colonne1]],"!$B$2:$B$243"))&gt;=Calculs_Consos!$A1428,INDIRECT(CONCATENATE(Tab_Calculs[[#This Row],[Colonne1]],"!$B$2:$B$243"))))</f>
        <v>0</v>
      </c>
      <c r="I1428" s="3">
        <f ca="1">INDEX(INDIRECT(CONCATENATE("Tab_",Tab_Calculs[[#This Row],[Colonne1]])),Tab_Calculs[[#This Row],[index_date_livraison]],1)</f>
        <v>0</v>
      </c>
      <c r="J1428">
        <f ca="1">MATCH(Tab_Calculs[[#This Row],[Date_livraison]],INDIRECT(CONCATENATE("Tab_",Tab_Calculs[[#This Row],[Colonne1]],"[Fin de période]")),0)</f>
        <v>1</v>
      </c>
      <c r="K1428" t="e">
        <f ca="1">INDEX(INDIRECT(CONCATENATE("Tab_",Tab_Calculs[[#This Row],[Colonne1]])),Tab_Calculs[[#This Row],[index_date_livraison]]-1,6)*(MAX(Tab_Calculs[[#This Row],[Début periode livraison]],Tab_Calculs[[#This Row],[Début mois]])-Tab_Calculs[[#This Row],[Début mois]])</f>
        <v>#VALUE!</v>
      </c>
      <c r="L1428" s="94">
        <f ca="1">INDEX(INDIRECT(CONCATENATE("Tab_",Tab_Calculs[[#This Row],[Colonne1]])),Tab_Calculs[[#This Row],[index_date_livraison]],6)*(1+MIN(Tab_Calculs[[#This Row],[Date_livraison]],Tab_Calculs[[#This Row],[fin mois]])-MAX(Tab_Calculs[[#This Row],[Début mois]],Tab_Calculs[[#This Row],[Début periode livraison]]))</f>
        <v>0</v>
      </c>
      <c r="M1428" s="94" t="e">
        <f ca="1">INDEX(INDIRECT(CONCATENATE("Tab_",Tab_Calculs[[#This Row],[Colonne1]])),Tab_Calculs[[#This Row],[index_date_livraison]]+1,6)*(Tab_Calculs[[#This Row],[fin mois]]-MIN(Tab_Calculs[[#This Row],[fin mois]],Tab_Calculs[[#This Row],[Date_livraison]]))</f>
        <v>#VALUE!</v>
      </c>
      <c r="N1428" s="231" t="str">
        <f ca="1">IFERROR(Tab_Calculs[[#This Row],[Ratio_jour_après_livr]]+Tab_Calculs[[#This Row],[Ratio_jour_avant_livr]]+Tab_Calculs[[#This Row],[ratio_avant_debut]],"")</f>
        <v/>
      </c>
      <c r="O1428" t="e">
        <f ca="1">INDEX(INDIRECT(CONCATENATE("Tab_",Tab_Calculs[[#This Row],[Colonne1]])),Tab_Calculs[[#This Row],[index_date_livraison]]-1,7)*(MAX(Tab_Calculs[[#This Row],[Début periode livraison]],Tab_Calculs[[#This Row],[Début mois]])-Tab_Calculs[[#This Row],[Début mois]])</f>
        <v>#VALUE!</v>
      </c>
      <c r="P1428">
        <f ca="1">INDEX(INDIRECT(CONCATENATE("Tab_",Tab_Calculs[[#This Row],[Colonne1]])),Tab_Calculs[[#This Row],[index_date_livraison]],7)*(1+MIN(Tab_Calculs[[#This Row],[Date_livraison]],Tab_Calculs[[#This Row],[fin mois]])-MAX(Tab_Calculs[[#This Row],[Début mois]],Tab_Calculs[[#This Row],[Début periode livraison]]))</f>
        <v>0</v>
      </c>
      <c r="Q1428" t="e">
        <f ca="1">INDEX(INDIRECT(CONCATENATE("Tab_",Tab_Calculs[[#This Row],[Colonne1]])),Tab_Calculs[[#This Row],[index_date_livraison]]+1,7)*(Tab_Calculs[[#This Row],[fin mois]]-MIN(Tab_Calculs[[#This Row],[fin mois]],Tab_Calculs[[#This Row],[Date_livraison]]))</f>
        <v>#VALUE!</v>
      </c>
      <c r="R1428" t="e">
        <f ca="1">Tab_Calculs[[#This Row],[Ratio_Cout_après_livr]]+Tab_Calculs[[#This Row],[Ratio_Cout_avant_livr]]+Tab_Calculs[[#This Row],[Ratio_Cout_avant_debut]]</f>
        <v>#VALUE!</v>
      </c>
      <c r="S1428" t="str">
        <f ca="1">IFERROR(N1428*VLOOKUP(Tab_Calculs[[#This Row],[Colonne1]],Controle_des_données!$B$7:$G$14,6,FALSE),"")</f>
        <v/>
      </c>
      <c r="T1428" t="str">
        <f ca="1">IF(Tab_Calculs[[#This Row],[Combustible ]]="Electricité (kWh)",Tab_Calculs[[#This Row],[Conso_mois_kWh]]*2.3,Tab_Calculs[[#This Row],[Conso_mois_kWh]])</f>
        <v/>
      </c>
      <c r="U1428" t="str">
        <f ca="1">IFERROR(N1428*VLOOKUP(Tab_Calculs[[#This Row],[Colonne1]],Controle_des_données!$B$7:$H$14,7,FALSE),"")</f>
        <v/>
      </c>
      <c r="V1428">
        <f ca="1">IFERROR(Tab_Calculs[[#This Row],[Cout_mois]]/Tab_Calculs[[#This Row],[Conso_mois_kWh]],0)</f>
        <v>0</v>
      </c>
      <c r="W1428" t="str">
        <f>T(VLOOKUP(Tab_Calculs[[#This Row],[Compteur]],Site!$B$33:$G$40,3,FALSE))</f>
        <v/>
      </c>
      <c r="X1428" t="str">
        <f>T(VLOOKUP(Tab_Calculs[[#This Row],[Compteur]],Site!$B$33:$G$40,4,FALSE))</f>
        <v/>
      </c>
      <c r="Y1428" t="str">
        <f>T(VLOOKUP(Tab_Calculs[[#This Row],[Compteur]],Site!$B$33:$G$40,5,FALSE))</f>
        <v/>
      </c>
      <c r="Z1428" t="str">
        <f>T(VLOOKUP(Tab_Calculs[[#This Row],[Compteur]],Site!$B$33:$G$40,6,FALSE))</f>
        <v/>
      </c>
      <c r="AA1428">
        <f>IFERROR(GETPIVOTDATA("DJU(chauffagiste)",BDD_DJU!$P$13,"annee",Tab_Calculs[[#This Row],[ANNEE]],"mois_numero",Tab_Calculs[[#This Row],[MOIS]]),0)</f>
        <v>252.6</v>
      </c>
    </row>
    <row r="1429" spans="1:27" x14ac:dyDescent="0.25">
      <c r="A1429" s="3">
        <f>DATE(Tab_Calculs[[#This Row],[ANNEE]],Tab_Calculs[[#This Row],[MOIS]],1)</f>
        <v>42491</v>
      </c>
      <c r="B1429" s="3">
        <f>EDATE(Tab_Calculs[[#This Row],[Début mois]],1)-1</f>
        <v>42521</v>
      </c>
      <c r="C1429">
        <f t="shared" si="50"/>
        <v>5</v>
      </c>
      <c r="D1429">
        <f t="shared" si="49"/>
        <v>2016</v>
      </c>
      <c r="E1429" t="s">
        <v>87</v>
      </c>
      <c r="F1429" t="str">
        <f>SUBSTITUTE(Tab_Calculs[[#This Row],[Compteur]]," ","_")</f>
        <v>Compteur_8</v>
      </c>
      <c r="G1429" t="str">
        <f>T(INDEX(Site!$B$33:$G$40, MATCH(Tab_Calculs[[#This Row],[Compteur]], Site!$B$33:$B$40,0),2))</f>
        <v/>
      </c>
      <c r="H1429" s="3">
        <f t="array" aca="1" ref="H1429" ca="1">MIN(IF(INDIRECT(CONCATENATE(Tab_Calculs[[#This Row],[Colonne1]],"!$B$2:$B$243"))&gt;=Calculs_Consos!$A1429,INDIRECT(CONCATENATE(Tab_Calculs[[#This Row],[Colonne1]],"!$B$2:$B$243"))))</f>
        <v>0</v>
      </c>
      <c r="I1429" s="3">
        <f ca="1">INDEX(INDIRECT(CONCATENATE("Tab_",Tab_Calculs[[#This Row],[Colonne1]])),Tab_Calculs[[#This Row],[index_date_livraison]],1)</f>
        <v>0</v>
      </c>
      <c r="J1429">
        <f ca="1">MATCH(Tab_Calculs[[#This Row],[Date_livraison]],INDIRECT(CONCATENATE("Tab_",Tab_Calculs[[#This Row],[Colonne1]],"[Fin de période]")),0)</f>
        <v>1</v>
      </c>
      <c r="K1429" t="e">
        <f ca="1">INDEX(INDIRECT(CONCATENATE("Tab_",Tab_Calculs[[#This Row],[Colonne1]])),Tab_Calculs[[#This Row],[index_date_livraison]]-1,6)*(MAX(Tab_Calculs[[#This Row],[Début periode livraison]],Tab_Calculs[[#This Row],[Début mois]])-Tab_Calculs[[#This Row],[Début mois]])</f>
        <v>#VALUE!</v>
      </c>
      <c r="L1429" s="94">
        <f ca="1">INDEX(INDIRECT(CONCATENATE("Tab_",Tab_Calculs[[#This Row],[Colonne1]])),Tab_Calculs[[#This Row],[index_date_livraison]],6)*(1+MIN(Tab_Calculs[[#This Row],[Date_livraison]],Tab_Calculs[[#This Row],[fin mois]])-MAX(Tab_Calculs[[#This Row],[Début mois]],Tab_Calculs[[#This Row],[Début periode livraison]]))</f>
        <v>0</v>
      </c>
      <c r="M1429" s="94" t="e">
        <f ca="1">INDEX(INDIRECT(CONCATENATE("Tab_",Tab_Calculs[[#This Row],[Colonne1]])),Tab_Calculs[[#This Row],[index_date_livraison]]+1,6)*(Tab_Calculs[[#This Row],[fin mois]]-MIN(Tab_Calculs[[#This Row],[fin mois]],Tab_Calculs[[#This Row],[Date_livraison]]))</f>
        <v>#VALUE!</v>
      </c>
      <c r="N1429" s="231" t="str">
        <f ca="1">IFERROR(Tab_Calculs[[#This Row],[Ratio_jour_après_livr]]+Tab_Calculs[[#This Row],[Ratio_jour_avant_livr]]+Tab_Calculs[[#This Row],[ratio_avant_debut]],"")</f>
        <v/>
      </c>
      <c r="O1429" t="e">
        <f ca="1">INDEX(INDIRECT(CONCATENATE("Tab_",Tab_Calculs[[#This Row],[Colonne1]])),Tab_Calculs[[#This Row],[index_date_livraison]]-1,7)*(MAX(Tab_Calculs[[#This Row],[Début periode livraison]],Tab_Calculs[[#This Row],[Début mois]])-Tab_Calculs[[#This Row],[Début mois]])</f>
        <v>#VALUE!</v>
      </c>
      <c r="P1429">
        <f ca="1">INDEX(INDIRECT(CONCATENATE("Tab_",Tab_Calculs[[#This Row],[Colonne1]])),Tab_Calculs[[#This Row],[index_date_livraison]],7)*(1+MIN(Tab_Calculs[[#This Row],[Date_livraison]],Tab_Calculs[[#This Row],[fin mois]])-MAX(Tab_Calculs[[#This Row],[Début mois]],Tab_Calculs[[#This Row],[Début periode livraison]]))</f>
        <v>0</v>
      </c>
      <c r="Q1429" t="e">
        <f ca="1">INDEX(INDIRECT(CONCATENATE("Tab_",Tab_Calculs[[#This Row],[Colonne1]])),Tab_Calculs[[#This Row],[index_date_livraison]]+1,7)*(Tab_Calculs[[#This Row],[fin mois]]-MIN(Tab_Calculs[[#This Row],[fin mois]],Tab_Calculs[[#This Row],[Date_livraison]]))</f>
        <v>#VALUE!</v>
      </c>
      <c r="R1429" t="e">
        <f ca="1">Tab_Calculs[[#This Row],[Ratio_Cout_après_livr]]+Tab_Calculs[[#This Row],[Ratio_Cout_avant_livr]]+Tab_Calculs[[#This Row],[Ratio_Cout_avant_debut]]</f>
        <v>#VALUE!</v>
      </c>
      <c r="S1429" t="str">
        <f ca="1">IFERROR(N1429*VLOOKUP(Tab_Calculs[[#This Row],[Colonne1]],Controle_des_données!$B$7:$G$14,6,FALSE),"")</f>
        <v/>
      </c>
      <c r="T1429" t="str">
        <f ca="1">IF(Tab_Calculs[[#This Row],[Combustible ]]="Electricité (kWh)",Tab_Calculs[[#This Row],[Conso_mois_kWh]]*2.3,Tab_Calculs[[#This Row],[Conso_mois_kWh]])</f>
        <v/>
      </c>
      <c r="U1429" t="str">
        <f ca="1">IFERROR(N1429*VLOOKUP(Tab_Calculs[[#This Row],[Colonne1]],Controle_des_données!$B$7:$H$14,7,FALSE),"")</f>
        <v/>
      </c>
      <c r="V1429">
        <f ca="1">IFERROR(Tab_Calculs[[#This Row],[Cout_mois]]/Tab_Calculs[[#This Row],[Conso_mois_kWh]],0)</f>
        <v>0</v>
      </c>
      <c r="W1429" t="str">
        <f>T(VLOOKUP(Tab_Calculs[[#This Row],[Compteur]],Site!$B$33:$G$40,3,FALSE))</f>
        <v/>
      </c>
      <c r="X1429" t="str">
        <f>T(VLOOKUP(Tab_Calculs[[#This Row],[Compteur]],Site!$B$33:$G$40,4,FALSE))</f>
        <v/>
      </c>
      <c r="Y1429" t="str">
        <f>T(VLOOKUP(Tab_Calculs[[#This Row],[Compteur]],Site!$B$33:$G$40,5,FALSE))</f>
        <v/>
      </c>
      <c r="Z1429" t="str">
        <f>T(VLOOKUP(Tab_Calculs[[#This Row],[Compteur]],Site!$B$33:$G$40,6,FALSE))</f>
        <v/>
      </c>
      <c r="AA1429">
        <f>IFERROR(GETPIVOTDATA("DJU(chauffagiste)",BDD_DJU!$P$13,"annee",Tab_Calculs[[#This Row],[ANNEE]],"mois_numero",Tab_Calculs[[#This Row],[MOIS]]),0)</f>
        <v>124.3</v>
      </c>
    </row>
    <row r="1430" spans="1:27" x14ac:dyDescent="0.25">
      <c r="A1430" s="3">
        <f>DATE(Tab_Calculs[[#This Row],[ANNEE]],Tab_Calculs[[#This Row],[MOIS]],1)</f>
        <v>42522</v>
      </c>
      <c r="B1430" s="3">
        <f>EDATE(Tab_Calculs[[#This Row],[Début mois]],1)-1</f>
        <v>42551</v>
      </c>
      <c r="C1430">
        <f t="shared" si="50"/>
        <v>6</v>
      </c>
      <c r="D1430">
        <f t="shared" si="49"/>
        <v>2016</v>
      </c>
      <c r="E1430" t="s">
        <v>87</v>
      </c>
      <c r="F1430" t="str">
        <f>SUBSTITUTE(Tab_Calculs[[#This Row],[Compteur]]," ","_")</f>
        <v>Compteur_8</v>
      </c>
      <c r="G1430" t="str">
        <f>T(INDEX(Site!$B$33:$G$40, MATCH(Tab_Calculs[[#This Row],[Compteur]], Site!$B$33:$B$40,0),2))</f>
        <v/>
      </c>
      <c r="H1430" s="3">
        <f t="array" aca="1" ref="H1430" ca="1">MIN(IF(INDIRECT(CONCATENATE(Tab_Calculs[[#This Row],[Colonne1]],"!$B$2:$B$243"))&gt;=Calculs_Consos!$A1430,INDIRECT(CONCATENATE(Tab_Calculs[[#This Row],[Colonne1]],"!$B$2:$B$243"))))</f>
        <v>0</v>
      </c>
      <c r="I1430" s="3">
        <f ca="1">INDEX(INDIRECT(CONCATENATE("Tab_",Tab_Calculs[[#This Row],[Colonne1]])),Tab_Calculs[[#This Row],[index_date_livraison]],1)</f>
        <v>0</v>
      </c>
      <c r="J1430">
        <f ca="1">MATCH(Tab_Calculs[[#This Row],[Date_livraison]],INDIRECT(CONCATENATE("Tab_",Tab_Calculs[[#This Row],[Colonne1]],"[Fin de période]")),0)</f>
        <v>1</v>
      </c>
      <c r="K1430" t="e">
        <f ca="1">INDEX(INDIRECT(CONCATENATE("Tab_",Tab_Calculs[[#This Row],[Colonne1]])),Tab_Calculs[[#This Row],[index_date_livraison]]-1,6)*(MAX(Tab_Calculs[[#This Row],[Début periode livraison]],Tab_Calculs[[#This Row],[Début mois]])-Tab_Calculs[[#This Row],[Début mois]])</f>
        <v>#VALUE!</v>
      </c>
      <c r="L1430" s="94">
        <f ca="1">INDEX(INDIRECT(CONCATENATE("Tab_",Tab_Calculs[[#This Row],[Colonne1]])),Tab_Calculs[[#This Row],[index_date_livraison]],6)*(1+MIN(Tab_Calculs[[#This Row],[Date_livraison]],Tab_Calculs[[#This Row],[fin mois]])-MAX(Tab_Calculs[[#This Row],[Début mois]],Tab_Calculs[[#This Row],[Début periode livraison]]))</f>
        <v>0</v>
      </c>
      <c r="M1430" s="94" t="e">
        <f ca="1">INDEX(INDIRECT(CONCATENATE("Tab_",Tab_Calculs[[#This Row],[Colonne1]])),Tab_Calculs[[#This Row],[index_date_livraison]]+1,6)*(Tab_Calculs[[#This Row],[fin mois]]-MIN(Tab_Calculs[[#This Row],[fin mois]],Tab_Calculs[[#This Row],[Date_livraison]]))</f>
        <v>#VALUE!</v>
      </c>
      <c r="N1430" s="231" t="str">
        <f ca="1">IFERROR(Tab_Calculs[[#This Row],[Ratio_jour_après_livr]]+Tab_Calculs[[#This Row],[Ratio_jour_avant_livr]]+Tab_Calculs[[#This Row],[ratio_avant_debut]],"")</f>
        <v/>
      </c>
      <c r="O1430" t="e">
        <f ca="1">INDEX(INDIRECT(CONCATENATE("Tab_",Tab_Calculs[[#This Row],[Colonne1]])),Tab_Calculs[[#This Row],[index_date_livraison]]-1,7)*(MAX(Tab_Calculs[[#This Row],[Début periode livraison]],Tab_Calculs[[#This Row],[Début mois]])-Tab_Calculs[[#This Row],[Début mois]])</f>
        <v>#VALUE!</v>
      </c>
      <c r="P1430">
        <f ca="1">INDEX(INDIRECT(CONCATENATE("Tab_",Tab_Calculs[[#This Row],[Colonne1]])),Tab_Calculs[[#This Row],[index_date_livraison]],7)*(1+MIN(Tab_Calculs[[#This Row],[Date_livraison]],Tab_Calculs[[#This Row],[fin mois]])-MAX(Tab_Calculs[[#This Row],[Début mois]],Tab_Calculs[[#This Row],[Début periode livraison]]))</f>
        <v>0</v>
      </c>
      <c r="Q1430" t="e">
        <f ca="1">INDEX(INDIRECT(CONCATENATE("Tab_",Tab_Calculs[[#This Row],[Colonne1]])),Tab_Calculs[[#This Row],[index_date_livraison]]+1,7)*(Tab_Calculs[[#This Row],[fin mois]]-MIN(Tab_Calculs[[#This Row],[fin mois]],Tab_Calculs[[#This Row],[Date_livraison]]))</f>
        <v>#VALUE!</v>
      </c>
      <c r="R1430" t="e">
        <f ca="1">Tab_Calculs[[#This Row],[Ratio_Cout_après_livr]]+Tab_Calculs[[#This Row],[Ratio_Cout_avant_livr]]+Tab_Calculs[[#This Row],[Ratio_Cout_avant_debut]]</f>
        <v>#VALUE!</v>
      </c>
      <c r="S1430" t="str">
        <f ca="1">IFERROR(N1430*VLOOKUP(Tab_Calculs[[#This Row],[Colonne1]],Controle_des_données!$B$7:$G$14,6,FALSE),"")</f>
        <v/>
      </c>
      <c r="T1430" t="str">
        <f ca="1">IF(Tab_Calculs[[#This Row],[Combustible ]]="Electricité (kWh)",Tab_Calculs[[#This Row],[Conso_mois_kWh]]*2.3,Tab_Calculs[[#This Row],[Conso_mois_kWh]])</f>
        <v/>
      </c>
      <c r="U1430" t="str">
        <f ca="1">IFERROR(N1430*VLOOKUP(Tab_Calculs[[#This Row],[Colonne1]],Controle_des_données!$B$7:$H$14,7,FALSE),"")</f>
        <v/>
      </c>
      <c r="V1430">
        <f ca="1">IFERROR(Tab_Calculs[[#This Row],[Cout_mois]]/Tab_Calculs[[#This Row],[Conso_mois_kWh]],0)</f>
        <v>0</v>
      </c>
      <c r="W1430" t="str">
        <f>T(VLOOKUP(Tab_Calculs[[#This Row],[Compteur]],Site!$B$33:$G$40,3,FALSE))</f>
        <v/>
      </c>
      <c r="X1430" t="str">
        <f>T(VLOOKUP(Tab_Calculs[[#This Row],[Compteur]],Site!$B$33:$G$40,4,FALSE))</f>
        <v/>
      </c>
      <c r="Y1430" t="str">
        <f>T(VLOOKUP(Tab_Calculs[[#This Row],[Compteur]],Site!$B$33:$G$40,5,FALSE))</f>
        <v/>
      </c>
      <c r="Z1430" t="str">
        <f>T(VLOOKUP(Tab_Calculs[[#This Row],[Compteur]],Site!$B$33:$G$40,6,FALSE))</f>
        <v/>
      </c>
      <c r="AA1430">
        <f>IFERROR(GETPIVOTDATA("DJU(chauffagiste)",BDD_DJU!$P$13,"annee",Tab_Calculs[[#This Row],[ANNEE]],"mois_numero",Tab_Calculs[[#This Row],[MOIS]]),0)</f>
        <v>47.7</v>
      </c>
    </row>
    <row r="1431" spans="1:27" x14ac:dyDescent="0.25">
      <c r="A1431" s="3">
        <f>DATE(Tab_Calculs[[#This Row],[ANNEE]],Tab_Calculs[[#This Row],[MOIS]],1)</f>
        <v>42552</v>
      </c>
      <c r="B1431" s="3">
        <f>EDATE(Tab_Calculs[[#This Row],[Début mois]],1)-1</f>
        <v>42582</v>
      </c>
      <c r="C1431">
        <f t="shared" si="50"/>
        <v>7</v>
      </c>
      <c r="D1431">
        <f t="shared" si="49"/>
        <v>2016</v>
      </c>
      <c r="E1431" t="s">
        <v>87</v>
      </c>
      <c r="F1431" t="str">
        <f>SUBSTITUTE(Tab_Calculs[[#This Row],[Compteur]]," ","_")</f>
        <v>Compteur_8</v>
      </c>
      <c r="G1431" t="str">
        <f>T(INDEX(Site!$B$33:$G$40, MATCH(Tab_Calculs[[#This Row],[Compteur]], Site!$B$33:$B$40,0),2))</f>
        <v/>
      </c>
      <c r="H1431" s="3">
        <f t="array" aca="1" ref="H1431" ca="1">MIN(IF(INDIRECT(CONCATENATE(Tab_Calculs[[#This Row],[Colonne1]],"!$B$2:$B$243"))&gt;=Calculs_Consos!$A1431,INDIRECT(CONCATENATE(Tab_Calculs[[#This Row],[Colonne1]],"!$B$2:$B$243"))))</f>
        <v>0</v>
      </c>
      <c r="I1431" s="3">
        <f ca="1">INDEX(INDIRECT(CONCATENATE("Tab_",Tab_Calculs[[#This Row],[Colonne1]])),Tab_Calculs[[#This Row],[index_date_livraison]],1)</f>
        <v>0</v>
      </c>
      <c r="J1431">
        <f ca="1">MATCH(Tab_Calculs[[#This Row],[Date_livraison]],INDIRECT(CONCATENATE("Tab_",Tab_Calculs[[#This Row],[Colonne1]],"[Fin de période]")),0)</f>
        <v>1</v>
      </c>
      <c r="K1431" t="e">
        <f ca="1">INDEX(INDIRECT(CONCATENATE("Tab_",Tab_Calculs[[#This Row],[Colonne1]])),Tab_Calculs[[#This Row],[index_date_livraison]]-1,6)*(MAX(Tab_Calculs[[#This Row],[Début periode livraison]],Tab_Calculs[[#This Row],[Début mois]])-Tab_Calculs[[#This Row],[Début mois]])</f>
        <v>#VALUE!</v>
      </c>
      <c r="L1431" s="94">
        <f ca="1">INDEX(INDIRECT(CONCATENATE("Tab_",Tab_Calculs[[#This Row],[Colonne1]])),Tab_Calculs[[#This Row],[index_date_livraison]],6)*(1+MIN(Tab_Calculs[[#This Row],[Date_livraison]],Tab_Calculs[[#This Row],[fin mois]])-MAX(Tab_Calculs[[#This Row],[Début mois]],Tab_Calculs[[#This Row],[Début periode livraison]]))</f>
        <v>0</v>
      </c>
      <c r="M1431" s="94" t="e">
        <f ca="1">INDEX(INDIRECT(CONCATENATE("Tab_",Tab_Calculs[[#This Row],[Colonne1]])),Tab_Calculs[[#This Row],[index_date_livraison]]+1,6)*(Tab_Calculs[[#This Row],[fin mois]]-MIN(Tab_Calculs[[#This Row],[fin mois]],Tab_Calculs[[#This Row],[Date_livraison]]))</f>
        <v>#VALUE!</v>
      </c>
      <c r="N1431" s="231" t="str">
        <f ca="1">IFERROR(Tab_Calculs[[#This Row],[Ratio_jour_après_livr]]+Tab_Calculs[[#This Row],[Ratio_jour_avant_livr]]+Tab_Calculs[[#This Row],[ratio_avant_debut]],"")</f>
        <v/>
      </c>
      <c r="O1431" t="e">
        <f ca="1">INDEX(INDIRECT(CONCATENATE("Tab_",Tab_Calculs[[#This Row],[Colonne1]])),Tab_Calculs[[#This Row],[index_date_livraison]]-1,7)*(MAX(Tab_Calculs[[#This Row],[Début periode livraison]],Tab_Calculs[[#This Row],[Début mois]])-Tab_Calculs[[#This Row],[Début mois]])</f>
        <v>#VALUE!</v>
      </c>
      <c r="P1431">
        <f ca="1">INDEX(INDIRECT(CONCATENATE("Tab_",Tab_Calculs[[#This Row],[Colonne1]])),Tab_Calculs[[#This Row],[index_date_livraison]],7)*(1+MIN(Tab_Calculs[[#This Row],[Date_livraison]],Tab_Calculs[[#This Row],[fin mois]])-MAX(Tab_Calculs[[#This Row],[Début mois]],Tab_Calculs[[#This Row],[Début periode livraison]]))</f>
        <v>0</v>
      </c>
      <c r="Q1431" t="e">
        <f ca="1">INDEX(INDIRECT(CONCATENATE("Tab_",Tab_Calculs[[#This Row],[Colonne1]])),Tab_Calculs[[#This Row],[index_date_livraison]]+1,7)*(Tab_Calculs[[#This Row],[fin mois]]-MIN(Tab_Calculs[[#This Row],[fin mois]],Tab_Calculs[[#This Row],[Date_livraison]]))</f>
        <v>#VALUE!</v>
      </c>
      <c r="R1431" t="e">
        <f ca="1">Tab_Calculs[[#This Row],[Ratio_Cout_après_livr]]+Tab_Calculs[[#This Row],[Ratio_Cout_avant_livr]]+Tab_Calculs[[#This Row],[Ratio_Cout_avant_debut]]</f>
        <v>#VALUE!</v>
      </c>
      <c r="S1431" t="str">
        <f ca="1">IFERROR(N1431*VLOOKUP(Tab_Calculs[[#This Row],[Colonne1]],Controle_des_données!$B$7:$G$14,6,FALSE),"")</f>
        <v/>
      </c>
      <c r="T1431" t="str">
        <f ca="1">IF(Tab_Calculs[[#This Row],[Combustible ]]="Electricité (kWh)",Tab_Calculs[[#This Row],[Conso_mois_kWh]]*2.3,Tab_Calculs[[#This Row],[Conso_mois_kWh]])</f>
        <v/>
      </c>
      <c r="U1431" t="str">
        <f ca="1">IFERROR(N1431*VLOOKUP(Tab_Calculs[[#This Row],[Colonne1]],Controle_des_données!$B$7:$H$14,7,FALSE),"")</f>
        <v/>
      </c>
      <c r="V1431">
        <f ca="1">IFERROR(Tab_Calculs[[#This Row],[Cout_mois]]/Tab_Calculs[[#This Row],[Conso_mois_kWh]],0)</f>
        <v>0</v>
      </c>
      <c r="W1431" t="str">
        <f>T(VLOOKUP(Tab_Calculs[[#This Row],[Compteur]],Site!$B$33:$G$40,3,FALSE))</f>
        <v/>
      </c>
      <c r="X1431" t="str">
        <f>T(VLOOKUP(Tab_Calculs[[#This Row],[Compteur]],Site!$B$33:$G$40,4,FALSE))</f>
        <v/>
      </c>
      <c r="Y1431" t="str">
        <f>T(VLOOKUP(Tab_Calculs[[#This Row],[Compteur]],Site!$B$33:$G$40,5,FALSE))</f>
        <v/>
      </c>
      <c r="Z1431" t="str">
        <f>T(VLOOKUP(Tab_Calculs[[#This Row],[Compteur]],Site!$B$33:$G$40,6,FALSE))</f>
        <v/>
      </c>
      <c r="AA1431">
        <f>IFERROR(GETPIVOTDATA("DJU(chauffagiste)",BDD_DJU!$P$13,"annee",Tab_Calculs[[#This Row],[ANNEE]],"mois_numero",Tab_Calculs[[#This Row],[MOIS]]),0)</f>
        <v>32.299999999999997</v>
      </c>
    </row>
    <row r="1432" spans="1:27" x14ac:dyDescent="0.25">
      <c r="A1432" s="3">
        <f>DATE(Tab_Calculs[[#This Row],[ANNEE]],Tab_Calculs[[#This Row],[MOIS]],1)</f>
        <v>42583</v>
      </c>
      <c r="B1432" s="3">
        <f>EDATE(Tab_Calculs[[#This Row],[Début mois]],1)-1</f>
        <v>42613</v>
      </c>
      <c r="C1432">
        <f t="shared" si="50"/>
        <v>8</v>
      </c>
      <c r="D1432">
        <f t="shared" si="49"/>
        <v>2016</v>
      </c>
      <c r="E1432" t="s">
        <v>87</v>
      </c>
      <c r="F1432" t="str">
        <f>SUBSTITUTE(Tab_Calculs[[#This Row],[Compteur]]," ","_")</f>
        <v>Compteur_8</v>
      </c>
      <c r="G1432" t="str">
        <f>T(INDEX(Site!$B$33:$G$40, MATCH(Tab_Calculs[[#This Row],[Compteur]], Site!$B$33:$B$40,0),2))</f>
        <v/>
      </c>
      <c r="H1432" s="3">
        <f t="array" aca="1" ref="H1432" ca="1">MIN(IF(INDIRECT(CONCATENATE(Tab_Calculs[[#This Row],[Colonne1]],"!$B$2:$B$243"))&gt;=Calculs_Consos!$A1432,INDIRECT(CONCATENATE(Tab_Calculs[[#This Row],[Colonne1]],"!$B$2:$B$243"))))</f>
        <v>0</v>
      </c>
      <c r="I1432" s="3">
        <f ca="1">INDEX(INDIRECT(CONCATENATE("Tab_",Tab_Calculs[[#This Row],[Colonne1]])),Tab_Calculs[[#This Row],[index_date_livraison]],1)</f>
        <v>0</v>
      </c>
      <c r="J1432">
        <f ca="1">MATCH(Tab_Calculs[[#This Row],[Date_livraison]],INDIRECT(CONCATENATE("Tab_",Tab_Calculs[[#This Row],[Colonne1]],"[Fin de période]")),0)</f>
        <v>1</v>
      </c>
      <c r="K1432" t="e">
        <f ca="1">INDEX(INDIRECT(CONCATENATE("Tab_",Tab_Calculs[[#This Row],[Colonne1]])),Tab_Calculs[[#This Row],[index_date_livraison]]-1,6)*(MAX(Tab_Calculs[[#This Row],[Début periode livraison]],Tab_Calculs[[#This Row],[Début mois]])-Tab_Calculs[[#This Row],[Début mois]])</f>
        <v>#VALUE!</v>
      </c>
      <c r="L1432" s="94">
        <f ca="1">INDEX(INDIRECT(CONCATENATE("Tab_",Tab_Calculs[[#This Row],[Colonne1]])),Tab_Calculs[[#This Row],[index_date_livraison]],6)*(1+MIN(Tab_Calculs[[#This Row],[Date_livraison]],Tab_Calculs[[#This Row],[fin mois]])-MAX(Tab_Calculs[[#This Row],[Début mois]],Tab_Calculs[[#This Row],[Début periode livraison]]))</f>
        <v>0</v>
      </c>
      <c r="M1432" s="94" t="e">
        <f ca="1">INDEX(INDIRECT(CONCATENATE("Tab_",Tab_Calculs[[#This Row],[Colonne1]])),Tab_Calculs[[#This Row],[index_date_livraison]]+1,6)*(Tab_Calculs[[#This Row],[fin mois]]-MIN(Tab_Calculs[[#This Row],[fin mois]],Tab_Calculs[[#This Row],[Date_livraison]]))</f>
        <v>#VALUE!</v>
      </c>
      <c r="N1432" s="231" t="str">
        <f ca="1">IFERROR(Tab_Calculs[[#This Row],[Ratio_jour_après_livr]]+Tab_Calculs[[#This Row],[Ratio_jour_avant_livr]]+Tab_Calculs[[#This Row],[ratio_avant_debut]],"")</f>
        <v/>
      </c>
      <c r="O1432" t="e">
        <f ca="1">INDEX(INDIRECT(CONCATENATE("Tab_",Tab_Calculs[[#This Row],[Colonne1]])),Tab_Calculs[[#This Row],[index_date_livraison]]-1,7)*(MAX(Tab_Calculs[[#This Row],[Début periode livraison]],Tab_Calculs[[#This Row],[Début mois]])-Tab_Calculs[[#This Row],[Début mois]])</f>
        <v>#VALUE!</v>
      </c>
      <c r="P1432">
        <f ca="1">INDEX(INDIRECT(CONCATENATE("Tab_",Tab_Calculs[[#This Row],[Colonne1]])),Tab_Calculs[[#This Row],[index_date_livraison]],7)*(1+MIN(Tab_Calculs[[#This Row],[Date_livraison]],Tab_Calculs[[#This Row],[fin mois]])-MAX(Tab_Calculs[[#This Row],[Début mois]],Tab_Calculs[[#This Row],[Début periode livraison]]))</f>
        <v>0</v>
      </c>
      <c r="Q1432" t="e">
        <f ca="1">INDEX(INDIRECT(CONCATENATE("Tab_",Tab_Calculs[[#This Row],[Colonne1]])),Tab_Calculs[[#This Row],[index_date_livraison]]+1,7)*(Tab_Calculs[[#This Row],[fin mois]]-MIN(Tab_Calculs[[#This Row],[fin mois]],Tab_Calculs[[#This Row],[Date_livraison]]))</f>
        <v>#VALUE!</v>
      </c>
      <c r="R1432" t="e">
        <f ca="1">Tab_Calculs[[#This Row],[Ratio_Cout_après_livr]]+Tab_Calculs[[#This Row],[Ratio_Cout_avant_livr]]+Tab_Calculs[[#This Row],[Ratio_Cout_avant_debut]]</f>
        <v>#VALUE!</v>
      </c>
      <c r="S1432" t="str">
        <f ca="1">IFERROR(N1432*VLOOKUP(Tab_Calculs[[#This Row],[Colonne1]],Controle_des_données!$B$7:$G$14,6,FALSE),"")</f>
        <v/>
      </c>
      <c r="T1432" t="str">
        <f ca="1">IF(Tab_Calculs[[#This Row],[Combustible ]]="Electricité (kWh)",Tab_Calculs[[#This Row],[Conso_mois_kWh]]*2.3,Tab_Calculs[[#This Row],[Conso_mois_kWh]])</f>
        <v/>
      </c>
      <c r="U1432" t="str">
        <f ca="1">IFERROR(N1432*VLOOKUP(Tab_Calculs[[#This Row],[Colonne1]],Controle_des_données!$B$7:$H$14,7,FALSE),"")</f>
        <v/>
      </c>
      <c r="V1432">
        <f ca="1">IFERROR(Tab_Calculs[[#This Row],[Cout_mois]]/Tab_Calculs[[#This Row],[Conso_mois_kWh]],0)</f>
        <v>0</v>
      </c>
      <c r="W1432" t="str">
        <f>T(VLOOKUP(Tab_Calculs[[#This Row],[Compteur]],Site!$B$33:$G$40,3,FALSE))</f>
        <v/>
      </c>
      <c r="X1432" t="str">
        <f>T(VLOOKUP(Tab_Calculs[[#This Row],[Compteur]],Site!$B$33:$G$40,4,FALSE))</f>
        <v/>
      </c>
      <c r="Y1432" t="str">
        <f>T(VLOOKUP(Tab_Calculs[[#This Row],[Compteur]],Site!$B$33:$G$40,5,FALSE))</f>
        <v/>
      </c>
      <c r="Z1432" t="str">
        <f>T(VLOOKUP(Tab_Calculs[[#This Row],[Compteur]],Site!$B$33:$G$40,6,FALSE))</f>
        <v/>
      </c>
      <c r="AA1432">
        <f>IFERROR(GETPIVOTDATA("DJU(chauffagiste)",BDD_DJU!$P$13,"annee",Tab_Calculs[[#This Row],[ANNEE]],"mois_numero",Tab_Calculs[[#This Row],[MOIS]]),0)</f>
        <v>33.799999999999997</v>
      </c>
    </row>
    <row r="1433" spans="1:27" x14ac:dyDescent="0.25">
      <c r="A1433" s="3">
        <f>DATE(Tab_Calculs[[#This Row],[ANNEE]],Tab_Calculs[[#This Row],[MOIS]],1)</f>
        <v>42614</v>
      </c>
      <c r="B1433" s="3">
        <f>EDATE(Tab_Calculs[[#This Row],[Début mois]],1)-1</f>
        <v>42643</v>
      </c>
      <c r="C1433">
        <f t="shared" si="50"/>
        <v>9</v>
      </c>
      <c r="D1433">
        <f t="shared" si="49"/>
        <v>2016</v>
      </c>
      <c r="E1433" t="s">
        <v>87</v>
      </c>
      <c r="F1433" t="str">
        <f>SUBSTITUTE(Tab_Calculs[[#This Row],[Compteur]]," ","_")</f>
        <v>Compteur_8</v>
      </c>
      <c r="G1433" t="str">
        <f>T(INDEX(Site!$B$33:$G$40, MATCH(Tab_Calculs[[#This Row],[Compteur]], Site!$B$33:$B$40,0),2))</f>
        <v/>
      </c>
      <c r="H1433" s="3">
        <f t="array" aca="1" ref="H1433" ca="1">MIN(IF(INDIRECT(CONCATENATE(Tab_Calculs[[#This Row],[Colonne1]],"!$B$2:$B$243"))&gt;=Calculs_Consos!$A1433,INDIRECT(CONCATENATE(Tab_Calculs[[#This Row],[Colonne1]],"!$B$2:$B$243"))))</f>
        <v>0</v>
      </c>
      <c r="I1433" s="3">
        <f ca="1">INDEX(INDIRECT(CONCATENATE("Tab_",Tab_Calculs[[#This Row],[Colonne1]])),Tab_Calculs[[#This Row],[index_date_livraison]],1)</f>
        <v>0</v>
      </c>
      <c r="J1433">
        <f ca="1">MATCH(Tab_Calculs[[#This Row],[Date_livraison]],INDIRECT(CONCATENATE("Tab_",Tab_Calculs[[#This Row],[Colonne1]],"[Fin de période]")),0)</f>
        <v>1</v>
      </c>
      <c r="K1433" t="e">
        <f ca="1">INDEX(INDIRECT(CONCATENATE("Tab_",Tab_Calculs[[#This Row],[Colonne1]])),Tab_Calculs[[#This Row],[index_date_livraison]]-1,6)*(MAX(Tab_Calculs[[#This Row],[Début periode livraison]],Tab_Calculs[[#This Row],[Début mois]])-Tab_Calculs[[#This Row],[Début mois]])</f>
        <v>#VALUE!</v>
      </c>
      <c r="L1433" s="94">
        <f ca="1">INDEX(INDIRECT(CONCATENATE("Tab_",Tab_Calculs[[#This Row],[Colonne1]])),Tab_Calculs[[#This Row],[index_date_livraison]],6)*(1+MIN(Tab_Calculs[[#This Row],[Date_livraison]],Tab_Calculs[[#This Row],[fin mois]])-MAX(Tab_Calculs[[#This Row],[Début mois]],Tab_Calculs[[#This Row],[Début periode livraison]]))</f>
        <v>0</v>
      </c>
      <c r="M1433" s="94" t="e">
        <f ca="1">INDEX(INDIRECT(CONCATENATE("Tab_",Tab_Calculs[[#This Row],[Colonne1]])),Tab_Calculs[[#This Row],[index_date_livraison]]+1,6)*(Tab_Calculs[[#This Row],[fin mois]]-MIN(Tab_Calculs[[#This Row],[fin mois]],Tab_Calculs[[#This Row],[Date_livraison]]))</f>
        <v>#VALUE!</v>
      </c>
      <c r="N1433" s="231" t="str">
        <f ca="1">IFERROR(Tab_Calculs[[#This Row],[Ratio_jour_après_livr]]+Tab_Calculs[[#This Row],[Ratio_jour_avant_livr]]+Tab_Calculs[[#This Row],[ratio_avant_debut]],"")</f>
        <v/>
      </c>
      <c r="O1433" t="e">
        <f ca="1">INDEX(INDIRECT(CONCATENATE("Tab_",Tab_Calculs[[#This Row],[Colonne1]])),Tab_Calculs[[#This Row],[index_date_livraison]]-1,7)*(MAX(Tab_Calculs[[#This Row],[Début periode livraison]],Tab_Calculs[[#This Row],[Début mois]])-Tab_Calculs[[#This Row],[Début mois]])</f>
        <v>#VALUE!</v>
      </c>
      <c r="P1433">
        <f ca="1">INDEX(INDIRECT(CONCATENATE("Tab_",Tab_Calculs[[#This Row],[Colonne1]])),Tab_Calculs[[#This Row],[index_date_livraison]],7)*(1+MIN(Tab_Calculs[[#This Row],[Date_livraison]],Tab_Calculs[[#This Row],[fin mois]])-MAX(Tab_Calculs[[#This Row],[Début mois]],Tab_Calculs[[#This Row],[Début periode livraison]]))</f>
        <v>0</v>
      </c>
      <c r="Q1433" t="e">
        <f ca="1">INDEX(INDIRECT(CONCATENATE("Tab_",Tab_Calculs[[#This Row],[Colonne1]])),Tab_Calculs[[#This Row],[index_date_livraison]]+1,7)*(Tab_Calculs[[#This Row],[fin mois]]-MIN(Tab_Calculs[[#This Row],[fin mois]],Tab_Calculs[[#This Row],[Date_livraison]]))</f>
        <v>#VALUE!</v>
      </c>
      <c r="R1433" t="e">
        <f ca="1">Tab_Calculs[[#This Row],[Ratio_Cout_après_livr]]+Tab_Calculs[[#This Row],[Ratio_Cout_avant_livr]]+Tab_Calculs[[#This Row],[Ratio_Cout_avant_debut]]</f>
        <v>#VALUE!</v>
      </c>
      <c r="S1433" t="str">
        <f ca="1">IFERROR(N1433*VLOOKUP(Tab_Calculs[[#This Row],[Colonne1]],Controle_des_données!$B$7:$G$14,6,FALSE),"")</f>
        <v/>
      </c>
      <c r="T1433" t="str">
        <f ca="1">IF(Tab_Calculs[[#This Row],[Combustible ]]="Electricité (kWh)",Tab_Calculs[[#This Row],[Conso_mois_kWh]]*2.3,Tab_Calculs[[#This Row],[Conso_mois_kWh]])</f>
        <v/>
      </c>
      <c r="U1433" t="str">
        <f ca="1">IFERROR(N1433*VLOOKUP(Tab_Calculs[[#This Row],[Colonne1]],Controle_des_données!$B$7:$H$14,7,FALSE),"")</f>
        <v/>
      </c>
      <c r="V1433">
        <f ca="1">IFERROR(Tab_Calculs[[#This Row],[Cout_mois]]/Tab_Calculs[[#This Row],[Conso_mois_kWh]],0)</f>
        <v>0</v>
      </c>
      <c r="W1433" t="str">
        <f>T(VLOOKUP(Tab_Calculs[[#This Row],[Compteur]],Site!$B$33:$G$40,3,FALSE))</f>
        <v/>
      </c>
      <c r="X1433" t="str">
        <f>T(VLOOKUP(Tab_Calculs[[#This Row],[Compteur]],Site!$B$33:$G$40,4,FALSE))</f>
        <v/>
      </c>
      <c r="Y1433" t="str">
        <f>T(VLOOKUP(Tab_Calculs[[#This Row],[Compteur]],Site!$B$33:$G$40,5,FALSE))</f>
        <v/>
      </c>
      <c r="Z1433" t="str">
        <f>T(VLOOKUP(Tab_Calculs[[#This Row],[Compteur]],Site!$B$33:$G$40,6,FALSE))</f>
        <v/>
      </c>
      <c r="AA1433">
        <f>IFERROR(GETPIVOTDATA("DJU(chauffagiste)",BDD_DJU!$P$13,"annee",Tab_Calculs[[#This Row],[ANNEE]],"mois_numero",Tab_Calculs[[#This Row],[MOIS]]),0)</f>
        <v>43.5</v>
      </c>
    </row>
    <row r="1434" spans="1:27" x14ac:dyDescent="0.25">
      <c r="A1434" s="3">
        <f>DATE(Tab_Calculs[[#This Row],[ANNEE]],Tab_Calculs[[#This Row],[MOIS]],1)</f>
        <v>42644</v>
      </c>
      <c r="B1434" s="3">
        <f>EDATE(Tab_Calculs[[#This Row],[Début mois]],1)-1</f>
        <v>42674</v>
      </c>
      <c r="C1434">
        <f t="shared" si="50"/>
        <v>10</v>
      </c>
      <c r="D1434">
        <f t="shared" si="49"/>
        <v>2016</v>
      </c>
      <c r="E1434" t="s">
        <v>87</v>
      </c>
      <c r="F1434" t="str">
        <f>SUBSTITUTE(Tab_Calculs[[#This Row],[Compteur]]," ","_")</f>
        <v>Compteur_8</v>
      </c>
      <c r="G1434" t="str">
        <f>T(INDEX(Site!$B$33:$G$40, MATCH(Tab_Calculs[[#This Row],[Compteur]], Site!$B$33:$B$40,0),2))</f>
        <v/>
      </c>
      <c r="H1434" s="3">
        <f t="array" aca="1" ref="H1434" ca="1">MIN(IF(INDIRECT(CONCATENATE(Tab_Calculs[[#This Row],[Colonne1]],"!$B$2:$B$243"))&gt;=Calculs_Consos!$A1434,INDIRECT(CONCATENATE(Tab_Calculs[[#This Row],[Colonne1]],"!$B$2:$B$243"))))</f>
        <v>0</v>
      </c>
      <c r="I1434" s="3">
        <f ca="1">INDEX(INDIRECT(CONCATENATE("Tab_",Tab_Calculs[[#This Row],[Colonne1]])),Tab_Calculs[[#This Row],[index_date_livraison]],1)</f>
        <v>0</v>
      </c>
      <c r="J1434">
        <f ca="1">MATCH(Tab_Calculs[[#This Row],[Date_livraison]],INDIRECT(CONCATENATE("Tab_",Tab_Calculs[[#This Row],[Colonne1]],"[Fin de période]")),0)</f>
        <v>1</v>
      </c>
      <c r="K1434" t="e">
        <f ca="1">INDEX(INDIRECT(CONCATENATE("Tab_",Tab_Calculs[[#This Row],[Colonne1]])),Tab_Calculs[[#This Row],[index_date_livraison]]-1,6)*(MAX(Tab_Calculs[[#This Row],[Début periode livraison]],Tab_Calculs[[#This Row],[Début mois]])-Tab_Calculs[[#This Row],[Début mois]])</f>
        <v>#VALUE!</v>
      </c>
      <c r="L1434" s="94">
        <f ca="1">INDEX(INDIRECT(CONCATENATE("Tab_",Tab_Calculs[[#This Row],[Colonne1]])),Tab_Calculs[[#This Row],[index_date_livraison]],6)*(1+MIN(Tab_Calculs[[#This Row],[Date_livraison]],Tab_Calculs[[#This Row],[fin mois]])-MAX(Tab_Calculs[[#This Row],[Début mois]],Tab_Calculs[[#This Row],[Début periode livraison]]))</f>
        <v>0</v>
      </c>
      <c r="M1434" s="94" t="e">
        <f ca="1">INDEX(INDIRECT(CONCATENATE("Tab_",Tab_Calculs[[#This Row],[Colonne1]])),Tab_Calculs[[#This Row],[index_date_livraison]]+1,6)*(Tab_Calculs[[#This Row],[fin mois]]-MIN(Tab_Calculs[[#This Row],[fin mois]],Tab_Calculs[[#This Row],[Date_livraison]]))</f>
        <v>#VALUE!</v>
      </c>
      <c r="N1434" s="231" t="str">
        <f ca="1">IFERROR(Tab_Calculs[[#This Row],[Ratio_jour_après_livr]]+Tab_Calculs[[#This Row],[Ratio_jour_avant_livr]]+Tab_Calculs[[#This Row],[ratio_avant_debut]],"")</f>
        <v/>
      </c>
      <c r="O1434" t="e">
        <f ca="1">INDEX(INDIRECT(CONCATENATE("Tab_",Tab_Calculs[[#This Row],[Colonne1]])),Tab_Calculs[[#This Row],[index_date_livraison]]-1,7)*(MAX(Tab_Calculs[[#This Row],[Début periode livraison]],Tab_Calculs[[#This Row],[Début mois]])-Tab_Calculs[[#This Row],[Début mois]])</f>
        <v>#VALUE!</v>
      </c>
      <c r="P1434">
        <f ca="1">INDEX(INDIRECT(CONCATENATE("Tab_",Tab_Calculs[[#This Row],[Colonne1]])),Tab_Calculs[[#This Row],[index_date_livraison]],7)*(1+MIN(Tab_Calculs[[#This Row],[Date_livraison]],Tab_Calculs[[#This Row],[fin mois]])-MAX(Tab_Calculs[[#This Row],[Début mois]],Tab_Calculs[[#This Row],[Début periode livraison]]))</f>
        <v>0</v>
      </c>
      <c r="Q1434" t="e">
        <f ca="1">INDEX(INDIRECT(CONCATENATE("Tab_",Tab_Calculs[[#This Row],[Colonne1]])),Tab_Calculs[[#This Row],[index_date_livraison]]+1,7)*(Tab_Calculs[[#This Row],[fin mois]]-MIN(Tab_Calculs[[#This Row],[fin mois]],Tab_Calculs[[#This Row],[Date_livraison]]))</f>
        <v>#VALUE!</v>
      </c>
      <c r="R1434" t="e">
        <f ca="1">Tab_Calculs[[#This Row],[Ratio_Cout_après_livr]]+Tab_Calculs[[#This Row],[Ratio_Cout_avant_livr]]+Tab_Calculs[[#This Row],[Ratio_Cout_avant_debut]]</f>
        <v>#VALUE!</v>
      </c>
      <c r="S1434" t="str">
        <f ca="1">IFERROR(N1434*VLOOKUP(Tab_Calculs[[#This Row],[Colonne1]],Controle_des_données!$B$7:$G$14,6,FALSE),"")</f>
        <v/>
      </c>
      <c r="T1434" t="str">
        <f ca="1">IF(Tab_Calculs[[#This Row],[Combustible ]]="Electricité (kWh)",Tab_Calculs[[#This Row],[Conso_mois_kWh]]*2.3,Tab_Calculs[[#This Row],[Conso_mois_kWh]])</f>
        <v/>
      </c>
      <c r="U1434" t="str">
        <f ca="1">IFERROR(N1434*VLOOKUP(Tab_Calculs[[#This Row],[Colonne1]],Controle_des_données!$B$7:$H$14,7,FALSE),"")</f>
        <v/>
      </c>
      <c r="V1434">
        <f ca="1">IFERROR(Tab_Calculs[[#This Row],[Cout_mois]]/Tab_Calculs[[#This Row],[Conso_mois_kWh]],0)</f>
        <v>0</v>
      </c>
      <c r="W1434" t="str">
        <f>T(VLOOKUP(Tab_Calculs[[#This Row],[Compteur]],Site!$B$33:$G$40,3,FALSE))</f>
        <v/>
      </c>
      <c r="X1434" t="str">
        <f>T(VLOOKUP(Tab_Calculs[[#This Row],[Compteur]],Site!$B$33:$G$40,4,FALSE))</f>
        <v/>
      </c>
      <c r="Y1434" t="str">
        <f>T(VLOOKUP(Tab_Calculs[[#This Row],[Compteur]],Site!$B$33:$G$40,5,FALSE))</f>
        <v/>
      </c>
      <c r="Z1434" t="str">
        <f>T(VLOOKUP(Tab_Calculs[[#This Row],[Compteur]],Site!$B$33:$G$40,6,FALSE))</f>
        <v/>
      </c>
      <c r="AA1434">
        <f>IFERROR(GETPIVOTDATA("DJU(chauffagiste)",BDD_DJU!$P$13,"annee",Tab_Calculs[[#This Row],[ANNEE]],"mois_numero",Tab_Calculs[[#This Row],[MOIS]]),0)</f>
        <v>202.6</v>
      </c>
    </row>
    <row r="1435" spans="1:27" x14ac:dyDescent="0.25">
      <c r="A1435" s="3">
        <f>DATE(Tab_Calculs[[#This Row],[ANNEE]],Tab_Calculs[[#This Row],[MOIS]],1)</f>
        <v>42675</v>
      </c>
      <c r="B1435" s="3">
        <f>EDATE(Tab_Calculs[[#This Row],[Début mois]],1)-1</f>
        <v>42704</v>
      </c>
      <c r="C1435">
        <f t="shared" si="50"/>
        <v>11</v>
      </c>
      <c r="D1435">
        <f t="shared" si="49"/>
        <v>2016</v>
      </c>
      <c r="E1435" t="s">
        <v>87</v>
      </c>
      <c r="F1435" t="str">
        <f>SUBSTITUTE(Tab_Calculs[[#This Row],[Compteur]]," ","_")</f>
        <v>Compteur_8</v>
      </c>
      <c r="G1435" t="str">
        <f>T(INDEX(Site!$B$33:$G$40, MATCH(Tab_Calculs[[#This Row],[Compteur]], Site!$B$33:$B$40,0),2))</f>
        <v/>
      </c>
      <c r="H1435" s="3">
        <f t="array" aca="1" ref="H1435" ca="1">MIN(IF(INDIRECT(CONCATENATE(Tab_Calculs[[#This Row],[Colonne1]],"!$B$2:$B$243"))&gt;=Calculs_Consos!$A1435,INDIRECT(CONCATENATE(Tab_Calculs[[#This Row],[Colonne1]],"!$B$2:$B$243"))))</f>
        <v>0</v>
      </c>
      <c r="I1435" s="3">
        <f ca="1">INDEX(INDIRECT(CONCATENATE("Tab_",Tab_Calculs[[#This Row],[Colonne1]])),Tab_Calculs[[#This Row],[index_date_livraison]],1)</f>
        <v>0</v>
      </c>
      <c r="J1435">
        <f ca="1">MATCH(Tab_Calculs[[#This Row],[Date_livraison]],INDIRECT(CONCATENATE("Tab_",Tab_Calculs[[#This Row],[Colonne1]],"[Fin de période]")),0)</f>
        <v>1</v>
      </c>
      <c r="K1435" t="e">
        <f ca="1">INDEX(INDIRECT(CONCATENATE("Tab_",Tab_Calculs[[#This Row],[Colonne1]])),Tab_Calculs[[#This Row],[index_date_livraison]]-1,6)*(MAX(Tab_Calculs[[#This Row],[Début periode livraison]],Tab_Calculs[[#This Row],[Début mois]])-Tab_Calculs[[#This Row],[Début mois]])</f>
        <v>#VALUE!</v>
      </c>
      <c r="L1435" s="94">
        <f ca="1">INDEX(INDIRECT(CONCATENATE("Tab_",Tab_Calculs[[#This Row],[Colonne1]])),Tab_Calculs[[#This Row],[index_date_livraison]],6)*(1+MIN(Tab_Calculs[[#This Row],[Date_livraison]],Tab_Calculs[[#This Row],[fin mois]])-MAX(Tab_Calculs[[#This Row],[Début mois]],Tab_Calculs[[#This Row],[Début periode livraison]]))</f>
        <v>0</v>
      </c>
      <c r="M1435" s="94" t="e">
        <f ca="1">INDEX(INDIRECT(CONCATENATE("Tab_",Tab_Calculs[[#This Row],[Colonne1]])),Tab_Calculs[[#This Row],[index_date_livraison]]+1,6)*(Tab_Calculs[[#This Row],[fin mois]]-MIN(Tab_Calculs[[#This Row],[fin mois]],Tab_Calculs[[#This Row],[Date_livraison]]))</f>
        <v>#VALUE!</v>
      </c>
      <c r="N1435" s="231" t="str">
        <f ca="1">IFERROR(Tab_Calculs[[#This Row],[Ratio_jour_après_livr]]+Tab_Calculs[[#This Row],[Ratio_jour_avant_livr]]+Tab_Calculs[[#This Row],[ratio_avant_debut]],"")</f>
        <v/>
      </c>
      <c r="O1435" t="e">
        <f ca="1">INDEX(INDIRECT(CONCATENATE("Tab_",Tab_Calculs[[#This Row],[Colonne1]])),Tab_Calculs[[#This Row],[index_date_livraison]]-1,7)*(MAX(Tab_Calculs[[#This Row],[Début periode livraison]],Tab_Calculs[[#This Row],[Début mois]])-Tab_Calculs[[#This Row],[Début mois]])</f>
        <v>#VALUE!</v>
      </c>
      <c r="P1435">
        <f ca="1">INDEX(INDIRECT(CONCATENATE("Tab_",Tab_Calculs[[#This Row],[Colonne1]])),Tab_Calculs[[#This Row],[index_date_livraison]],7)*(1+MIN(Tab_Calculs[[#This Row],[Date_livraison]],Tab_Calculs[[#This Row],[fin mois]])-MAX(Tab_Calculs[[#This Row],[Début mois]],Tab_Calculs[[#This Row],[Début periode livraison]]))</f>
        <v>0</v>
      </c>
      <c r="Q1435" t="e">
        <f ca="1">INDEX(INDIRECT(CONCATENATE("Tab_",Tab_Calculs[[#This Row],[Colonne1]])),Tab_Calculs[[#This Row],[index_date_livraison]]+1,7)*(Tab_Calculs[[#This Row],[fin mois]]-MIN(Tab_Calculs[[#This Row],[fin mois]],Tab_Calculs[[#This Row],[Date_livraison]]))</f>
        <v>#VALUE!</v>
      </c>
      <c r="R1435" t="e">
        <f ca="1">Tab_Calculs[[#This Row],[Ratio_Cout_après_livr]]+Tab_Calculs[[#This Row],[Ratio_Cout_avant_livr]]+Tab_Calculs[[#This Row],[Ratio_Cout_avant_debut]]</f>
        <v>#VALUE!</v>
      </c>
      <c r="S1435" t="str">
        <f ca="1">IFERROR(N1435*VLOOKUP(Tab_Calculs[[#This Row],[Colonne1]],Controle_des_données!$B$7:$G$14,6,FALSE),"")</f>
        <v/>
      </c>
      <c r="T1435" t="str">
        <f ca="1">IF(Tab_Calculs[[#This Row],[Combustible ]]="Electricité (kWh)",Tab_Calculs[[#This Row],[Conso_mois_kWh]]*2.3,Tab_Calculs[[#This Row],[Conso_mois_kWh]])</f>
        <v/>
      </c>
      <c r="U1435" t="str">
        <f ca="1">IFERROR(N1435*VLOOKUP(Tab_Calculs[[#This Row],[Colonne1]],Controle_des_données!$B$7:$H$14,7,FALSE),"")</f>
        <v/>
      </c>
      <c r="V1435">
        <f ca="1">IFERROR(Tab_Calculs[[#This Row],[Cout_mois]]/Tab_Calculs[[#This Row],[Conso_mois_kWh]],0)</f>
        <v>0</v>
      </c>
      <c r="W1435" t="str">
        <f>T(VLOOKUP(Tab_Calculs[[#This Row],[Compteur]],Site!$B$33:$G$40,3,FALSE))</f>
        <v/>
      </c>
      <c r="X1435" t="str">
        <f>T(VLOOKUP(Tab_Calculs[[#This Row],[Compteur]],Site!$B$33:$G$40,4,FALSE))</f>
        <v/>
      </c>
      <c r="Y1435" t="str">
        <f>T(VLOOKUP(Tab_Calculs[[#This Row],[Compteur]],Site!$B$33:$G$40,5,FALSE))</f>
        <v/>
      </c>
      <c r="Z1435" t="str">
        <f>T(VLOOKUP(Tab_Calculs[[#This Row],[Compteur]],Site!$B$33:$G$40,6,FALSE))</f>
        <v/>
      </c>
      <c r="AA1435">
        <f>IFERROR(GETPIVOTDATA("DJU(chauffagiste)",BDD_DJU!$P$13,"annee",Tab_Calculs[[#This Row],[ANNEE]],"mois_numero",Tab_Calculs[[#This Row],[MOIS]]),0)</f>
        <v>289.2</v>
      </c>
    </row>
    <row r="1436" spans="1:27" x14ac:dyDescent="0.25">
      <c r="A1436" s="3">
        <f>DATE(Tab_Calculs[[#This Row],[ANNEE]],Tab_Calculs[[#This Row],[MOIS]],1)</f>
        <v>42705</v>
      </c>
      <c r="B1436" s="3">
        <f>EDATE(Tab_Calculs[[#This Row],[Début mois]],1)-1</f>
        <v>42735</v>
      </c>
      <c r="C1436">
        <f t="shared" si="50"/>
        <v>12</v>
      </c>
      <c r="D1436">
        <f t="shared" si="49"/>
        <v>2016</v>
      </c>
      <c r="E1436" t="s">
        <v>87</v>
      </c>
      <c r="F1436" t="str">
        <f>SUBSTITUTE(Tab_Calculs[[#This Row],[Compteur]]," ","_")</f>
        <v>Compteur_8</v>
      </c>
      <c r="G1436" t="str">
        <f>T(INDEX(Site!$B$33:$G$40, MATCH(Tab_Calculs[[#This Row],[Compteur]], Site!$B$33:$B$40,0),2))</f>
        <v/>
      </c>
      <c r="H1436" s="3">
        <f t="array" aca="1" ref="H1436" ca="1">MIN(IF(INDIRECT(CONCATENATE(Tab_Calculs[[#This Row],[Colonne1]],"!$B$2:$B$243"))&gt;=Calculs_Consos!$A1436,INDIRECT(CONCATENATE(Tab_Calculs[[#This Row],[Colonne1]],"!$B$2:$B$243"))))</f>
        <v>0</v>
      </c>
      <c r="I1436" s="3">
        <f ca="1">INDEX(INDIRECT(CONCATENATE("Tab_",Tab_Calculs[[#This Row],[Colonne1]])),Tab_Calculs[[#This Row],[index_date_livraison]],1)</f>
        <v>0</v>
      </c>
      <c r="J1436">
        <f ca="1">MATCH(Tab_Calculs[[#This Row],[Date_livraison]],INDIRECT(CONCATENATE("Tab_",Tab_Calculs[[#This Row],[Colonne1]],"[Fin de période]")),0)</f>
        <v>1</v>
      </c>
      <c r="K1436" t="e">
        <f ca="1">INDEX(INDIRECT(CONCATENATE("Tab_",Tab_Calculs[[#This Row],[Colonne1]])),Tab_Calculs[[#This Row],[index_date_livraison]]-1,6)*(MAX(Tab_Calculs[[#This Row],[Début periode livraison]],Tab_Calculs[[#This Row],[Début mois]])-Tab_Calculs[[#This Row],[Début mois]])</f>
        <v>#VALUE!</v>
      </c>
      <c r="L1436" s="94">
        <f ca="1">INDEX(INDIRECT(CONCATENATE("Tab_",Tab_Calculs[[#This Row],[Colonne1]])),Tab_Calculs[[#This Row],[index_date_livraison]],6)*(1+MIN(Tab_Calculs[[#This Row],[Date_livraison]],Tab_Calculs[[#This Row],[fin mois]])-MAX(Tab_Calculs[[#This Row],[Début mois]],Tab_Calculs[[#This Row],[Début periode livraison]]))</f>
        <v>0</v>
      </c>
      <c r="M1436" s="94" t="e">
        <f ca="1">INDEX(INDIRECT(CONCATENATE("Tab_",Tab_Calculs[[#This Row],[Colonne1]])),Tab_Calculs[[#This Row],[index_date_livraison]]+1,6)*(Tab_Calculs[[#This Row],[fin mois]]-MIN(Tab_Calculs[[#This Row],[fin mois]],Tab_Calculs[[#This Row],[Date_livraison]]))</f>
        <v>#VALUE!</v>
      </c>
      <c r="N1436" s="231" t="str">
        <f ca="1">IFERROR(Tab_Calculs[[#This Row],[Ratio_jour_après_livr]]+Tab_Calculs[[#This Row],[Ratio_jour_avant_livr]]+Tab_Calculs[[#This Row],[ratio_avant_debut]],"")</f>
        <v/>
      </c>
      <c r="O1436" t="e">
        <f ca="1">INDEX(INDIRECT(CONCATENATE("Tab_",Tab_Calculs[[#This Row],[Colonne1]])),Tab_Calculs[[#This Row],[index_date_livraison]]-1,7)*(MAX(Tab_Calculs[[#This Row],[Début periode livraison]],Tab_Calculs[[#This Row],[Début mois]])-Tab_Calculs[[#This Row],[Début mois]])</f>
        <v>#VALUE!</v>
      </c>
      <c r="P1436">
        <f ca="1">INDEX(INDIRECT(CONCATENATE("Tab_",Tab_Calculs[[#This Row],[Colonne1]])),Tab_Calculs[[#This Row],[index_date_livraison]],7)*(1+MIN(Tab_Calculs[[#This Row],[Date_livraison]],Tab_Calculs[[#This Row],[fin mois]])-MAX(Tab_Calculs[[#This Row],[Début mois]],Tab_Calculs[[#This Row],[Début periode livraison]]))</f>
        <v>0</v>
      </c>
      <c r="Q1436" t="e">
        <f ca="1">INDEX(INDIRECT(CONCATENATE("Tab_",Tab_Calculs[[#This Row],[Colonne1]])),Tab_Calculs[[#This Row],[index_date_livraison]]+1,7)*(Tab_Calculs[[#This Row],[fin mois]]-MIN(Tab_Calculs[[#This Row],[fin mois]],Tab_Calculs[[#This Row],[Date_livraison]]))</f>
        <v>#VALUE!</v>
      </c>
      <c r="R1436" t="e">
        <f ca="1">Tab_Calculs[[#This Row],[Ratio_Cout_après_livr]]+Tab_Calculs[[#This Row],[Ratio_Cout_avant_livr]]+Tab_Calculs[[#This Row],[Ratio_Cout_avant_debut]]</f>
        <v>#VALUE!</v>
      </c>
      <c r="S1436" t="str">
        <f ca="1">IFERROR(N1436*VLOOKUP(Tab_Calculs[[#This Row],[Colonne1]],Controle_des_données!$B$7:$G$14,6,FALSE),"")</f>
        <v/>
      </c>
      <c r="T1436" t="str">
        <f ca="1">IF(Tab_Calculs[[#This Row],[Combustible ]]="Electricité (kWh)",Tab_Calculs[[#This Row],[Conso_mois_kWh]]*2.3,Tab_Calculs[[#This Row],[Conso_mois_kWh]])</f>
        <v/>
      </c>
      <c r="U1436" t="str">
        <f ca="1">IFERROR(N1436*VLOOKUP(Tab_Calculs[[#This Row],[Colonne1]],Controle_des_données!$B$7:$H$14,7,FALSE),"")</f>
        <v/>
      </c>
      <c r="V1436">
        <f ca="1">IFERROR(Tab_Calculs[[#This Row],[Cout_mois]]/Tab_Calculs[[#This Row],[Conso_mois_kWh]],0)</f>
        <v>0</v>
      </c>
      <c r="W1436" t="str">
        <f>T(VLOOKUP(Tab_Calculs[[#This Row],[Compteur]],Site!$B$33:$G$40,3,FALSE))</f>
        <v/>
      </c>
      <c r="X1436" t="str">
        <f>T(VLOOKUP(Tab_Calculs[[#This Row],[Compteur]],Site!$B$33:$G$40,4,FALSE))</f>
        <v/>
      </c>
      <c r="Y1436" t="str">
        <f>T(VLOOKUP(Tab_Calculs[[#This Row],[Compteur]],Site!$B$33:$G$40,5,FALSE))</f>
        <v/>
      </c>
      <c r="Z1436" t="str">
        <f>T(VLOOKUP(Tab_Calculs[[#This Row],[Compteur]],Site!$B$33:$G$40,6,FALSE))</f>
        <v/>
      </c>
      <c r="AA1436">
        <f>IFERROR(GETPIVOTDATA("DJU(chauffagiste)",BDD_DJU!$P$13,"annee",Tab_Calculs[[#This Row],[ANNEE]],"mois_numero",Tab_Calculs[[#This Row],[MOIS]]),0)</f>
        <v>370.4</v>
      </c>
    </row>
    <row r="1437" spans="1:27" x14ac:dyDescent="0.25">
      <c r="A1437" s="3">
        <f>DATE(Tab_Calculs[[#This Row],[ANNEE]],Tab_Calculs[[#This Row],[MOIS]],1)</f>
        <v>42736</v>
      </c>
      <c r="B1437" s="3">
        <f>EDATE(Tab_Calculs[[#This Row],[Début mois]],1)-1</f>
        <v>42766</v>
      </c>
      <c r="C1437">
        <f t="shared" si="50"/>
        <v>1</v>
      </c>
      <c r="D1437">
        <f t="shared" si="49"/>
        <v>2017</v>
      </c>
      <c r="E1437" t="s">
        <v>87</v>
      </c>
      <c r="F1437" t="str">
        <f>SUBSTITUTE(Tab_Calculs[[#This Row],[Compteur]]," ","_")</f>
        <v>Compteur_8</v>
      </c>
      <c r="G1437" t="str">
        <f>T(INDEX(Site!$B$33:$G$40, MATCH(Tab_Calculs[[#This Row],[Compteur]], Site!$B$33:$B$40,0),2))</f>
        <v/>
      </c>
      <c r="H1437" s="3">
        <f t="array" aca="1" ref="H1437" ca="1">MIN(IF(INDIRECT(CONCATENATE(Tab_Calculs[[#This Row],[Colonne1]],"!$B$2:$B$243"))&gt;=Calculs_Consos!$A1437,INDIRECT(CONCATENATE(Tab_Calculs[[#This Row],[Colonne1]],"!$B$2:$B$243"))))</f>
        <v>0</v>
      </c>
      <c r="I1437" s="3">
        <f ca="1">INDEX(INDIRECT(CONCATENATE("Tab_",Tab_Calculs[[#This Row],[Colonne1]])),Tab_Calculs[[#This Row],[index_date_livraison]],1)</f>
        <v>0</v>
      </c>
      <c r="J1437">
        <f ca="1">MATCH(Tab_Calculs[[#This Row],[Date_livraison]],INDIRECT(CONCATENATE("Tab_",Tab_Calculs[[#This Row],[Colonne1]],"[Fin de période]")),0)</f>
        <v>1</v>
      </c>
      <c r="K1437" t="e">
        <f ca="1">INDEX(INDIRECT(CONCATENATE("Tab_",Tab_Calculs[[#This Row],[Colonne1]])),Tab_Calculs[[#This Row],[index_date_livraison]]-1,6)*(MAX(Tab_Calculs[[#This Row],[Début periode livraison]],Tab_Calculs[[#This Row],[Début mois]])-Tab_Calculs[[#This Row],[Début mois]])</f>
        <v>#VALUE!</v>
      </c>
      <c r="L1437" s="94">
        <f ca="1">INDEX(INDIRECT(CONCATENATE("Tab_",Tab_Calculs[[#This Row],[Colonne1]])),Tab_Calculs[[#This Row],[index_date_livraison]],6)*(1+MIN(Tab_Calculs[[#This Row],[Date_livraison]],Tab_Calculs[[#This Row],[fin mois]])-MAX(Tab_Calculs[[#This Row],[Début mois]],Tab_Calculs[[#This Row],[Début periode livraison]]))</f>
        <v>0</v>
      </c>
      <c r="M1437" s="94" t="e">
        <f ca="1">INDEX(INDIRECT(CONCATENATE("Tab_",Tab_Calculs[[#This Row],[Colonne1]])),Tab_Calculs[[#This Row],[index_date_livraison]]+1,6)*(Tab_Calculs[[#This Row],[fin mois]]-MIN(Tab_Calculs[[#This Row],[fin mois]],Tab_Calculs[[#This Row],[Date_livraison]]))</f>
        <v>#VALUE!</v>
      </c>
      <c r="N1437" s="231" t="str">
        <f ca="1">IFERROR(Tab_Calculs[[#This Row],[Ratio_jour_après_livr]]+Tab_Calculs[[#This Row],[Ratio_jour_avant_livr]]+Tab_Calculs[[#This Row],[ratio_avant_debut]],"")</f>
        <v/>
      </c>
      <c r="O1437" t="e">
        <f ca="1">INDEX(INDIRECT(CONCATENATE("Tab_",Tab_Calculs[[#This Row],[Colonne1]])),Tab_Calculs[[#This Row],[index_date_livraison]]-1,7)*(MAX(Tab_Calculs[[#This Row],[Début periode livraison]],Tab_Calculs[[#This Row],[Début mois]])-Tab_Calculs[[#This Row],[Début mois]])</f>
        <v>#VALUE!</v>
      </c>
      <c r="P1437">
        <f ca="1">INDEX(INDIRECT(CONCATENATE("Tab_",Tab_Calculs[[#This Row],[Colonne1]])),Tab_Calculs[[#This Row],[index_date_livraison]],7)*(1+MIN(Tab_Calculs[[#This Row],[Date_livraison]],Tab_Calculs[[#This Row],[fin mois]])-MAX(Tab_Calculs[[#This Row],[Début mois]],Tab_Calculs[[#This Row],[Début periode livraison]]))</f>
        <v>0</v>
      </c>
      <c r="Q1437" t="e">
        <f ca="1">INDEX(INDIRECT(CONCATENATE("Tab_",Tab_Calculs[[#This Row],[Colonne1]])),Tab_Calculs[[#This Row],[index_date_livraison]]+1,7)*(Tab_Calculs[[#This Row],[fin mois]]-MIN(Tab_Calculs[[#This Row],[fin mois]],Tab_Calculs[[#This Row],[Date_livraison]]))</f>
        <v>#VALUE!</v>
      </c>
      <c r="R1437" t="e">
        <f ca="1">Tab_Calculs[[#This Row],[Ratio_Cout_après_livr]]+Tab_Calculs[[#This Row],[Ratio_Cout_avant_livr]]+Tab_Calculs[[#This Row],[Ratio_Cout_avant_debut]]</f>
        <v>#VALUE!</v>
      </c>
      <c r="S1437" t="str">
        <f ca="1">IFERROR(N1437*VLOOKUP(Tab_Calculs[[#This Row],[Colonne1]],Controle_des_données!$B$7:$G$14,6,FALSE),"")</f>
        <v/>
      </c>
      <c r="T1437" t="str">
        <f ca="1">IF(Tab_Calculs[[#This Row],[Combustible ]]="Electricité (kWh)",Tab_Calculs[[#This Row],[Conso_mois_kWh]]*2.3,Tab_Calculs[[#This Row],[Conso_mois_kWh]])</f>
        <v/>
      </c>
      <c r="U1437" t="str">
        <f ca="1">IFERROR(N1437*VLOOKUP(Tab_Calculs[[#This Row],[Colonne1]],Controle_des_données!$B$7:$H$14,7,FALSE),"")</f>
        <v/>
      </c>
      <c r="V1437">
        <f ca="1">IFERROR(Tab_Calculs[[#This Row],[Cout_mois]]/Tab_Calculs[[#This Row],[Conso_mois_kWh]],0)</f>
        <v>0</v>
      </c>
      <c r="W1437" t="str">
        <f>T(VLOOKUP(Tab_Calculs[[#This Row],[Compteur]],Site!$B$33:$G$40,3,FALSE))</f>
        <v/>
      </c>
      <c r="X1437" t="str">
        <f>T(VLOOKUP(Tab_Calculs[[#This Row],[Compteur]],Site!$B$33:$G$40,4,FALSE))</f>
        <v/>
      </c>
      <c r="Y1437" t="str">
        <f>T(VLOOKUP(Tab_Calculs[[#This Row],[Compteur]],Site!$B$33:$G$40,5,FALSE))</f>
        <v/>
      </c>
      <c r="Z1437" t="str">
        <f>T(VLOOKUP(Tab_Calculs[[#This Row],[Compteur]],Site!$B$33:$G$40,6,FALSE))</f>
        <v/>
      </c>
      <c r="AA1437">
        <f>IFERROR(GETPIVOTDATA("DJU(chauffagiste)",BDD_DJU!$P$13,"annee",Tab_Calculs[[#This Row],[ANNEE]],"mois_numero",Tab_Calculs[[#This Row],[MOIS]]),0)</f>
        <v>451.9</v>
      </c>
    </row>
    <row r="1438" spans="1:27" x14ac:dyDescent="0.25">
      <c r="A1438" s="3">
        <f>DATE(Tab_Calculs[[#This Row],[ANNEE]],Tab_Calculs[[#This Row],[MOIS]],1)</f>
        <v>42767</v>
      </c>
      <c r="B1438" s="3">
        <f>EDATE(Tab_Calculs[[#This Row],[Début mois]],1)-1</f>
        <v>42794</v>
      </c>
      <c r="C1438">
        <f t="shared" si="50"/>
        <v>2</v>
      </c>
      <c r="D1438">
        <f>D1426+1</f>
        <v>2017</v>
      </c>
      <c r="E1438" t="s">
        <v>87</v>
      </c>
      <c r="F1438" t="str">
        <f>SUBSTITUTE(Tab_Calculs[[#This Row],[Compteur]]," ","_")</f>
        <v>Compteur_8</v>
      </c>
      <c r="G1438" t="str">
        <f>T(INDEX(Site!$B$33:$G$40, MATCH(Tab_Calculs[[#This Row],[Compteur]], Site!$B$33:$B$40,0),2))</f>
        <v/>
      </c>
      <c r="H1438" s="3">
        <f t="array" aca="1" ref="H1438" ca="1">MIN(IF(INDIRECT(CONCATENATE(Tab_Calculs[[#This Row],[Colonne1]],"!$B$2:$B$243"))&gt;=Calculs_Consos!$A1438,INDIRECT(CONCATENATE(Tab_Calculs[[#This Row],[Colonne1]],"!$B$2:$B$243"))))</f>
        <v>0</v>
      </c>
      <c r="I1438" s="3">
        <f ca="1">INDEX(INDIRECT(CONCATENATE("Tab_",Tab_Calculs[[#This Row],[Colonne1]])),Tab_Calculs[[#This Row],[index_date_livraison]],1)</f>
        <v>0</v>
      </c>
      <c r="J1438">
        <f ca="1">MATCH(Tab_Calculs[[#This Row],[Date_livraison]],INDIRECT(CONCATENATE("Tab_",Tab_Calculs[[#This Row],[Colonne1]],"[Fin de période]")),0)</f>
        <v>1</v>
      </c>
      <c r="K1438" t="e">
        <f ca="1">INDEX(INDIRECT(CONCATENATE("Tab_",Tab_Calculs[[#This Row],[Colonne1]])),Tab_Calculs[[#This Row],[index_date_livraison]]-1,6)*(MAX(Tab_Calculs[[#This Row],[Début periode livraison]],Tab_Calculs[[#This Row],[Début mois]])-Tab_Calculs[[#This Row],[Début mois]])</f>
        <v>#VALUE!</v>
      </c>
      <c r="L1438" s="94">
        <f ca="1">INDEX(INDIRECT(CONCATENATE("Tab_",Tab_Calculs[[#This Row],[Colonne1]])),Tab_Calculs[[#This Row],[index_date_livraison]],6)*(1+MIN(Tab_Calculs[[#This Row],[Date_livraison]],Tab_Calculs[[#This Row],[fin mois]])-MAX(Tab_Calculs[[#This Row],[Début mois]],Tab_Calculs[[#This Row],[Début periode livraison]]))</f>
        <v>0</v>
      </c>
      <c r="M1438" s="94" t="e">
        <f ca="1">INDEX(INDIRECT(CONCATENATE("Tab_",Tab_Calculs[[#This Row],[Colonne1]])),Tab_Calculs[[#This Row],[index_date_livraison]]+1,6)*(Tab_Calculs[[#This Row],[fin mois]]-MIN(Tab_Calculs[[#This Row],[fin mois]],Tab_Calculs[[#This Row],[Date_livraison]]))</f>
        <v>#VALUE!</v>
      </c>
      <c r="N1438" s="231" t="str">
        <f ca="1">IFERROR(Tab_Calculs[[#This Row],[Ratio_jour_après_livr]]+Tab_Calculs[[#This Row],[Ratio_jour_avant_livr]]+Tab_Calculs[[#This Row],[ratio_avant_debut]],"")</f>
        <v/>
      </c>
      <c r="O1438" t="e">
        <f ca="1">INDEX(INDIRECT(CONCATENATE("Tab_",Tab_Calculs[[#This Row],[Colonne1]])),Tab_Calculs[[#This Row],[index_date_livraison]]-1,7)*(MAX(Tab_Calculs[[#This Row],[Début periode livraison]],Tab_Calculs[[#This Row],[Début mois]])-Tab_Calculs[[#This Row],[Début mois]])</f>
        <v>#VALUE!</v>
      </c>
      <c r="P1438">
        <f ca="1">INDEX(INDIRECT(CONCATENATE("Tab_",Tab_Calculs[[#This Row],[Colonne1]])),Tab_Calculs[[#This Row],[index_date_livraison]],7)*(1+MIN(Tab_Calculs[[#This Row],[Date_livraison]],Tab_Calculs[[#This Row],[fin mois]])-MAX(Tab_Calculs[[#This Row],[Début mois]],Tab_Calculs[[#This Row],[Début periode livraison]]))</f>
        <v>0</v>
      </c>
      <c r="Q1438" t="e">
        <f ca="1">INDEX(INDIRECT(CONCATENATE("Tab_",Tab_Calculs[[#This Row],[Colonne1]])),Tab_Calculs[[#This Row],[index_date_livraison]]+1,7)*(Tab_Calculs[[#This Row],[fin mois]]-MIN(Tab_Calculs[[#This Row],[fin mois]],Tab_Calculs[[#This Row],[Date_livraison]]))</f>
        <v>#VALUE!</v>
      </c>
      <c r="R1438" t="e">
        <f ca="1">Tab_Calculs[[#This Row],[Ratio_Cout_après_livr]]+Tab_Calculs[[#This Row],[Ratio_Cout_avant_livr]]+Tab_Calculs[[#This Row],[Ratio_Cout_avant_debut]]</f>
        <v>#VALUE!</v>
      </c>
      <c r="S1438" t="str">
        <f ca="1">IFERROR(N1438*VLOOKUP(Tab_Calculs[[#This Row],[Colonne1]],Controle_des_données!$B$7:$G$14,6,FALSE),"")</f>
        <v/>
      </c>
      <c r="T1438" t="str">
        <f ca="1">IF(Tab_Calculs[[#This Row],[Combustible ]]="Electricité (kWh)",Tab_Calculs[[#This Row],[Conso_mois_kWh]]*2.3,Tab_Calculs[[#This Row],[Conso_mois_kWh]])</f>
        <v/>
      </c>
      <c r="U1438" t="str">
        <f ca="1">IFERROR(N1438*VLOOKUP(Tab_Calculs[[#This Row],[Colonne1]],Controle_des_données!$B$7:$H$14,7,FALSE),"")</f>
        <v/>
      </c>
      <c r="V1438">
        <f ca="1">IFERROR(Tab_Calculs[[#This Row],[Cout_mois]]/Tab_Calculs[[#This Row],[Conso_mois_kWh]],0)</f>
        <v>0</v>
      </c>
      <c r="W1438" t="str">
        <f>T(VLOOKUP(Tab_Calculs[[#This Row],[Compteur]],Site!$B$33:$G$40,3,FALSE))</f>
        <v/>
      </c>
      <c r="X1438" t="str">
        <f>T(VLOOKUP(Tab_Calculs[[#This Row],[Compteur]],Site!$B$33:$G$40,4,FALSE))</f>
        <v/>
      </c>
      <c r="Y1438" t="str">
        <f>T(VLOOKUP(Tab_Calculs[[#This Row],[Compteur]],Site!$B$33:$G$40,5,FALSE))</f>
        <v/>
      </c>
      <c r="Z1438" t="str">
        <f>T(VLOOKUP(Tab_Calculs[[#This Row],[Compteur]],Site!$B$33:$G$40,6,FALSE))</f>
        <v/>
      </c>
      <c r="AA1438">
        <f>IFERROR(GETPIVOTDATA("DJU(chauffagiste)",BDD_DJU!$P$13,"annee",Tab_Calculs[[#This Row],[ANNEE]],"mois_numero",Tab_Calculs[[#This Row],[MOIS]]),0)</f>
        <v>287.8</v>
      </c>
    </row>
    <row r="1439" spans="1:27" x14ac:dyDescent="0.25">
      <c r="A1439" s="3">
        <f>DATE(Tab_Calculs[[#This Row],[ANNEE]],Tab_Calculs[[#This Row],[MOIS]],1)</f>
        <v>42795</v>
      </c>
      <c r="B1439" s="3">
        <f>EDATE(Tab_Calculs[[#This Row],[Début mois]],1)-1</f>
        <v>42825</v>
      </c>
      <c r="C1439">
        <f t="shared" si="50"/>
        <v>3</v>
      </c>
      <c r="D1439">
        <f t="shared" si="49"/>
        <v>2017</v>
      </c>
      <c r="E1439" t="s">
        <v>87</v>
      </c>
      <c r="F1439" t="str">
        <f>SUBSTITUTE(Tab_Calculs[[#This Row],[Compteur]]," ","_")</f>
        <v>Compteur_8</v>
      </c>
      <c r="G1439" t="str">
        <f>T(INDEX(Site!$B$33:$G$40, MATCH(Tab_Calculs[[#This Row],[Compteur]], Site!$B$33:$B$40,0),2))</f>
        <v/>
      </c>
      <c r="H1439" s="3">
        <f t="array" aca="1" ref="H1439" ca="1">MIN(IF(INDIRECT(CONCATENATE(Tab_Calculs[[#This Row],[Colonne1]],"!$B$2:$B$243"))&gt;=Calculs_Consos!$A1439,INDIRECT(CONCATENATE(Tab_Calculs[[#This Row],[Colonne1]],"!$B$2:$B$243"))))</f>
        <v>0</v>
      </c>
      <c r="I1439" s="3">
        <f ca="1">INDEX(INDIRECT(CONCATENATE("Tab_",Tab_Calculs[[#This Row],[Colonne1]])),Tab_Calculs[[#This Row],[index_date_livraison]],1)</f>
        <v>0</v>
      </c>
      <c r="J1439">
        <f ca="1">MATCH(Tab_Calculs[[#This Row],[Date_livraison]],INDIRECT(CONCATENATE("Tab_",Tab_Calculs[[#This Row],[Colonne1]],"[Fin de période]")),0)</f>
        <v>1</v>
      </c>
      <c r="K1439" t="e">
        <f ca="1">INDEX(INDIRECT(CONCATENATE("Tab_",Tab_Calculs[[#This Row],[Colonne1]])),Tab_Calculs[[#This Row],[index_date_livraison]]-1,6)*(MAX(Tab_Calculs[[#This Row],[Début periode livraison]],Tab_Calculs[[#This Row],[Début mois]])-Tab_Calculs[[#This Row],[Début mois]])</f>
        <v>#VALUE!</v>
      </c>
      <c r="L1439" s="94">
        <f ca="1">INDEX(INDIRECT(CONCATENATE("Tab_",Tab_Calculs[[#This Row],[Colonne1]])),Tab_Calculs[[#This Row],[index_date_livraison]],6)*(1+MIN(Tab_Calculs[[#This Row],[Date_livraison]],Tab_Calculs[[#This Row],[fin mois]])-MAX(Tab_Calculs[[#This Row],[Début mois]],Tab_Calculs[[#This Row],[Début periode livraison]]))</f>
        <v>0</v>
      </c>
      <c r="M1439" s="94" t="e">
        <f ca="1">INDEX(INDIRECT(CONCATENATE("Tab_",Tab_Calculs[[#This Row],[Colonne1]])),Tab_Calculs[[#This Row],[index_date_livraison]]+1,6)*(Tab_Calculs[[#This Row],[fin mois]]-MIN(Tab_Calculs[[#This Row],[fin mois]],Tab_Calculs[[#This Row],[Date_livraison]]))</f>
        <v>#VALUE!</v>
      </c>
      <c r="N1439" s="231" t="str">
        <f ca="1">IFERROR(Tab_Calculs[[#This Row],[Ratio_jour_après_livr]]+Tab_Calculs[[#This Row],[Ratio_jour_avant_livr]]+Tab_Calculs[[#This Row],[ratio_avant_debut]],"")</f>
        <v/>
      </c>
      <c r="O1439" t="e">
        <f ca="1">INDEX(INDIRECT(CONCATENATE("Tab_",Tab_Calculs[[#This Row],[Colonne1]])),Tab_Calculs[[#This Row],[index_date_livraison]]-1,7)*(MAX(Tab_Calculs[[#This Row],[Début periode livraison]],Tab_Calculs[[#This Row],[Début mois]])-Tab_Calculs[[#This Row],[Début mois]])</f>
        <v>#VALUE!</v>
      </c>
      <c r="P1439">
        <f ca="1">INDEX(INDIRECT(CONCATENATE("Tab_",Tab_Calculs[[#This Row],[Colonne1]])),Tab_Calculs[[#This Row],[index_date_livraison]],7)*(1+MIN(Tab_Calculs[[#This Row],[Date_livraison]],Tab_Calculs[[#This Row],[fin mois]])-MAX(Tab_Calculs[[#This Row],[Début mois]],Tab_Calculs[[#This Row],[Début periode livraison]]))</f>
        <v>0</v>
      </c>
      <c r="Q1439" t="e">
        <f ca="1">INDEX(INDIRECT(CONCATENATE("Tab_",Tab_Calculs[[#This Row],[Colonne1]])),Tab_Calculs[[#This Row],[index_date_livraison]]+1,7)*(Tab_Calculs[[#This Row],[fin mois]]-MIN(Tab_Calculs[[#This Row],[fin mois]],Tab_Calculs[[#This Row],[Date_livraison]]))</f>
        <v>#VALUE!</v>
      </c>
      <c r="R1439" t="e">
        <f ca="1">Tab_Calculs[[#This Row],[Ratio_Cout_après_livr]]+Tab_Calculs[[#This Row],[Ratio_Cout_avant_livr]]+Tab_Calculs[[#This Row],[Ratio_Cout_avant_debut]]</f>
        <v>#VALUE!</v>
      </c>
      <c r="S1439" t="str">
        <f ca="1">IFERROR(N1439*VLOOKUP(Tab_Calculs[[#This Row],[Colonne1]],Controle_des_données!$B$7:$G$14,6,FALSE),"")</f>
        <v/>
      </c>
      <c r="T1439" t="str">
        <f ca="1">IF(Tab_Calculs[[#This Row],[Combustible ]]="Electricité (kWh)",Tab_Calculs[[#This Row],[Conso_mois_kWh]]*2.3,Tab_Calculs[[#This Row],[Conso_mois_kWh]])</f>
        <v/>
      </c>
      <c r="U1439" t="str">
        <f ca="1">IFERROR(N1439*VLOOKUP(Tab_Calculs[[#This Row],[Colonne1]],Controle_des_données!$B$7:$H$14,7,FALSE),"")</f>
        <v/>
      </c>
      <c r="V1439">
        <f ca="1">IFERROR(Tab_Calculs[[#This Row],[Cout_mois]]/Tab_Calculs[[#This Row],[Conso_mois_kWh]],0)</f>
        <v>0</v>
      </c>
      <c r="W1439" t="str">
        <f>T(VLOOKUP(Tab_Calculs[[#This Row],[Compteur]],Site!$B$33:$G$40,3,FALSE))</f>
        <v/>
      </c>
      <c r="X1439" t="str">
        <f>T(VLOOKUP(Tab_Calculs[[#This Row],[Compteur]],Site!$B$33:$G$40,4,FALSE))</f>
        <v/>
      </c>
      <c r="Y1439" t="str">
        <f>T(VLOOKUP(Tab_Calculs[[#This Row],[Compteur]],Site!$B$33:$G$40,5,FALSE))</f>
        <v/>
      </c>
      <c r="Z1439" t="str">
        <f>T(VLOOKUP(Tab_Calculs[[#This Row],[Compteur]],Site!$B$33:$G$40,6,FALSE))</f>
        <v/>
      </c>
      <c r="AA1439">
        <f>IFERROR(GETPIVOTDATA("DJU(chauffagiste)",BDD_DJU!$P$13,"annee",Tab_Calculs[[#This Row],[ANNEE]],"mois_numero",Tab_Calculs[[#This Row],[MOIS]]),0)</f>
        <v>226.3</v>
      </c>
    </row>
    <row r="1440" spans="1:27" x14ac:dyDescent="0.25">
      <c r="A1440" s="3">
        <f>DATE(Tab_Calculs[[#This Row],[ANNEE]],Tab_Calculs[[#This Row],[MOIS]],1)</f>
        <v>42826</v>
      </c>
      <c r="B1440" s="3">
        <f>EDATE(Tab_Calculs[[#This Row],[Début mois]],1)-1</f>
        <v>42855</v>
      </c>
      <c r="C1440">
        <f t="shared" si="50"/>
        <v>4</v>
      </c>
      <c r="D1440">
        <f t="shared" si="49"/>
        <v>2017</v>
      </c>
      <c r="E1440" t="s">
        <v>87</v>
      </c>
      <c r="F1440" t="str">
        <f>SUBSTITUTE(Tab_Calculs[[#This Row],[Compteur]]," ","_")</f>
        <v>Compteur_8</v>
      </c>
      <c r="G1440" t="str">
        <f>T(INDEX(Site!$B$33:$G$40, MATCH(Tab_Calculs[[#This Row],[Compteur]], Site!$B$33:$B$40,0),2))</f>
        <v/>
      </c>
      <c r="H1440" s="3">
        <f t="array" aca="1" ref="H1440" ca="1">MIN(IF(INDIRECT(CONCATENATE(Tab_Calculs[[#This Row],[Colonne1]],"!$B$2:$B$243"))&gt;=Calculs_Consos!$A1440,INDIRECT(CONCATENATE(Tab_Calculs[[#This Row],[Colonne1]],"!$B$2:$B$243"))))</f>
        <v>0</v>
      </c>
      <c r="I1440" s="3">
        <f ca="1">INDEX(INDIRECT(CONCATENATE("Tab_",Tab_Calculs[[#This Row],[Colonne1]])),Tab_Calculs[[#This Row],[index_date_livraison]],1)</f>
        <v>0</v>
      </c>
      <c r="J1440">
        <f ca="1">MATCH(Tab_Calculs[[#This Row],[Date_livraison]],INDIRECT(CONCATENATE("Tab_",Tab_Calculs[[#This Row],[Colonne1]],"[Fin de période]")),0)</f>
        <v>1</v>
      </c>
      <c r="K1440" t="e">
        <f ca="1">INDEX(INDIRECT(CONCATENATE("Tab_",Tab_Calculs[[#This Row],[Colonne1]])),Tab_Calculs[[#This Row],[index_date_livraison]]-1,6)*(MAX(Tab_Calculs[[#This Row],[Début periode livraison]],Tab_Calculs[[#This Row],[Début mois]])-Tab_Calculs[[#This Row],[Début mois]])</f>
        <v>#VALUE!</v>
      </c>
      <c r="L1440" s="94">
        <f ca="1">INDEX(INDIRECT(CONCATENATE("Tab_",Tab_Calculs[[#This Row],[Colonne1]])),Tab_Calculs[[#This Row],[index_date_livraison]],6)*(1+MIN(Tab_Calculs[[#This Row],[Date_livraison]],Tab_Calculs[[#This Row],[fin mois]])-MAX(Tab_Calculs[[#This Row],[Début mois]],Tab_Calculs[[#This Row],[Début periode livraison]]))</f>
        <v>0</v>
      </c>
      <c r="M1440" s="94" t="e">
        <f ca="1">INDEX(INDIRECT(CONCATENATE("Tab_",Tab_Calculs[[#This Row],[Colonne1]])),Tab_Calculs[[#This Row],[index_date_livraison]]+1,6)*(Tab_Calculs[[#This Row],[fin mois]]-MIN(Tab_Calculs[[#This Row],[fin mois]],Tab_Calculs[[#This Row],[Date_livraison]]))</f>
        <v>#VALUE!</v>
      </c>
      <c r="N1440" s="231" t="str">
        <f ca="1">IFERROR(Tab_Calculs[[#This Row],[Ratio_jour_après_livr]]+Tab_Calculs[[#This Row],[Ratio_jour_avant_livr]]+Tab_Calculs[[#This Row],[ratio_avant_debut]],"")</f>
        <v/>
      </c>
      <c r="O1440" t="e">
        <f ca="1">INDEX(INDIRECT(CONCATENATE("Tab_",Tab_Calculs[[#This Row],[Colonne1]])),Tab_Calculs[[#This Row],[index_date_livraison]]-1,7)*(MAX(Tab_Calculs[[#This Row],[Début periode livraison]],Tab_Calculs[[#This Row],[Début mois]])-Tab_Calculs[[#This Row],[Début mois]])</f>
        <v>#VALUE!</v>
      </c>
      <c r="P1440">
        <f ca="1">INDEX(INDIRECT(CONCATENATE("Tab_",Tab_Calculs[[#This Row],[Colonne1]])),Tab_Calculs[[#This Row],[index_date_livraison]],7)*(1+MIN(Tab_Calculs[[#This Row],[Date_livraison]],Tab_Calculs[[#This Row],[fin mois]])-MAX(Tab_Calculs[[#This Row],[Début mois]],Tab_Calculs[[#This Row],[Début periode livraison]]))</f>
        <v>0</v>
      </c>
      <c r="Q1440" t="e">
        <f ca="1">INDEX(INDIRECT(CONCATENATE("Tab_",Tab_Calculs[[#This Row],[Colonne1]])),Tab_Calculs[[#This Row],[index_date_livraison]]+1,7)*(Tab_Calculs[[#This Row],[fin mois]]-MIN(Tab_Calculs[[#This Row],[fin mois]],Tab_Calculs[[#This Row],[Date_livraison]]))</f>
        <v>#VALUE!</v>
      </c>
      <c r="R1440" t="e">
        <f ca="1">Tab_Calculs[[#This Row],[Ratio_Cout_après_livr]]+Tab_Calculs[[#This Row],[Ratio_Cout_avant_livr]]+Tab_Calculs[[#This Row],[Ratio_Cout_avant_debut]]</f>
        <v>#VALUE!</v>
      </c>
      <c r="S1440" t="str">
        <f ca="1">IFERROR(N1440*VLOOKUP(Tab_Calculs[[#This Row],[Colonne1]],Controle_des_données!$B$7:$G$14,6,FALSE),"")</f>
        <v/>
      </c>
      <c r="T1440" t="str">
        <f ca="1">IF(Tab_Calculs[[#This Row],[Combustible ]]="Electricité (kWh)",Tab_Calculs[[#This Row],[Conso_mois_kWh]]*2.3,Tab_Calculs[[#This Row],[Conso_mois_kWh]])</f>
        <v/>
      </c>
      <c r="U1440" t="str">
        <f ca="1">IFERROR(N1440*VLOOKUP(Tab_Calculs[[#This Row],[Colonne1]],Controle_des_données!$B$7:$H$14,7,FALSE),"")</f>
        <v/>
      </c>
      <c r="V1440">
        <f ca="1">IFERROR(Tab_Calculs[[#This Row],[Cout_mois]]/Tab_Calculs[[#This Row],[Conso_mois_kWh]],0)</f>
        <v>0</v>
      </c>
      <c r="W1440" t="str">
        <f>T(VLOOKUP(Tab_Calculs[[#This Row],[Compteur]],Site!$B$33:$G$40,3,FALSE))</f>
        <v/>
      </c>
      <c r="X1440" t="str">
        <f>T(VLOOKUP(Tab_Calculs[[#This Row],[Compteur]],Site!$B$33:$G$40,4,FALSE))</f>
        <v/>
      </c>
      <c r="Y1440" t="str">
        <f>T(VLOOKUP(Tab_Calculs[[#This Row],[Compteur]],Site!$B$33:$G$40,5,FALSE))</f>
        <v/>
      </c>
      <c r="Z1440" t="str">
        <f>T(VLOOKUP(Tab_Calculs[[#This Row],[Compteur]],Site!$B$33:$G$40,6,FALSE))</f>
        <v/>
      </c>
      <c r="AA1440">
        <f>IFERROR(GETPIVOTDATA("DJU(chauffagiste)",BDD_DJU!$P$13,"annee",Tab_Calculs[[#This Row],[ANNEE]],"mois_numero",Tab_Calculs[[#This Row],[MOIS]]),0)</f>
        <v>227.8</v>
      </c>
    </row>
    <row r="1441" spans="1:27" x14ac:dyDescent="0.25">
      <c r="A1441" s="3">
        <f>DATE(Tab_Calculs[[#This Row],[ANNEE]],Tab_Calculs[[#This Row],[MOIS]],1)</f>
        <v>42856</v>
      </c>
      <c r="B1441" s="3">
        <f>EDATE(Tab_Calculs[[#This Row],[Début mois]],1)-1</f>
        <v>42886</v>
      </c>
      <c r="C1441">
        <f t="shared" si="50"/>
        <v>5</v>
      </c>
      <c r="D1441">
        <f t="shared" si="49"/>
        <v>2017</v>
      </c>
      <c r="E1441" t="s">
        <v>87</v>
      </c>
      <c r="F1441" t="str">
        <f>SUBSTITUTE(Tab_Calculs[[#This Row],[Compteur]]," ","_")</f>
        <v>Compteur_8</v>
      </c>
      <c r="G1441" t="str">
        <f>T(INDEX(Site!$B$33:$G$40, MATCH(Tab_Calculs[[#This Row],[Compteur]], Site!$B$33:$B$40,0),2))</f>
        <v/>
      </c>
      <c r="H1441" s="3">
        <f t="array" aca="1" ref="H1441" ca="1">MIN(IF(INDIRECT(CONCATENATE(Tab_Calculs[[#This Row],[Colonne1]],"!$B$2:$B$243"))&gt;=Calculs_Consos!$A1441,INDIRECT(CONCATENATE(Tab_Calculs[[#This Row],[Colonne1]],"!$B$2:$B$243"))))</f>
        <v>0</v>
      </c>
      <c r="I1441" s="3">
        <f ca="1">INDEX(INDIRECT(CONCATENATE("Tab_",Tab_Calculs[[#This Row],[Colonne1]])),Tab_Calculs[[#This Row],[index_date_livraison]],1)</f>
        <v>0</v>
      </c>
      <c r="J1441">
        <f ca="1">MATCH(Tab_Calculs[[#This Row],[Date_livraison]],INDIRECT(CONCATENATE("Tab_",Tab_Calculs[[#This Row],[Colonne1]],"[Fin de période]")),0)</f>
        <v>1</v>
      </c>
      <c r="K1441" t="e">
        <f ca="1">INDEX(INDIRECT(CONCATENATE("Tab_",Tab_Calculs[[#This Row],[Colonne1]])),Tab_Calculs[[#This Row],[index_date_livraison]]-1,6)*(MAX(Tab_Calculs[[#This Row],[Début periode livraison]],Tab_Calculs[[#This Row],[Début mois]])-Tab_Calculs[[#This Row],[Début mois]])</f>
        <v>#VALUE!</v>
      </c>
      <c r="L1441" s="94">
        <f ca="1">INDEX(INDIRECT(CONCATENATE("Tab_",Tab_Calculs[[#This Row],[Colonne1]])),Tab_Calculs[[#This Row],[index_date_livraison]],6)*(1+MIN(Tab_Calculs[[#This Row],[Date_livraison]],Tab_Calculs[[#This Row],[fin mois]])-MAX(Tab_Calculs[[#This Row],[Début mois]],Tab_Calculs[[#This Row],[Début periode livraison]]))</f>
        <v>0</v>
      </c>
      <c r="M1441" s="94" t="e">
        <f ca="1">INDEX(INDIRECT(CONCATENATE("Tab_",Tab_Calculs[[#This Row],[Colonne1]])),Tab_Calculs[[#This Row],[index_date_livraison]]+1,6)*(Tab_Calculs[[#This Row],[fin mois]]-MIN(Tab_Calculs[[#This Row],[fin mois]],Tab_Calculs[[#This Row],[Date_livraison]]))</f>
        <v>#VALUE!</v>
      </c>
      <c r="N1441" s="231" t="str">
        <f ca="1">IFERROR(Tab_Calculs[[#This Row],[Ratio_jour_après_livr]]+Tab_Calculs[[#This Row],[Ratio_jour_avant_livr]]+Tab_Calculs[[#This Row],[ratio_avant_debut]],"")</f>
        <v/>
      </c>
      <c r="O1441" t="e">
        <f ca="1">INDEX(INDIRECT(CONCATENATE("Tab_",Tab_Calculs[[#This Row],[Colonne1]])),Tab_Calculs[[#This Row],[index_date_livraison]]-1,7)*(MAX(Tab_Calculs[[#This Row],[Début periode livraison]],Tab_Calculs[[#This Row],[Début mois]])-Tab_Calculs[[#This Row],[Début mois]])</f>
        <v>#VALUE!</v>
      </c>
      <c r="P1441">
        <f ca="1">INDEX(INDIRECT(CONCATENATE("Tab_",Tab_Calculs[[#This Row],[Colonne1]])),Tab_Calculs[[#This Row],[index_date_livraison]],7)*(1+MIN(Tab_Calculs[[#This Row],[Date_livraison]],Tab_Calculs[[#This Row],[fin mois]])-MAX(Tab_Calculs[[#This Row],[Début mois]],Tab_Calculs[[#This Row],[Début periode livraison]]))</f>
        <v>0</v>
      </c>
      <c r="Q1441" t="e">
        <f ca="1">INDEX(INDIRECT(CONCATENATE("Tab_",Tab_Calculs[[#This Row],[Colonne1]])),Tab_Calculs[[#This Row],[index_date_livraison]]+1,7)*(Tab_Calculs[[#This Row],[fin mois]]-MIN(Tab_Calculs[[#This Row],[fin mois]],Tab_Calculs[[#This Row],[Date_livraison]]))</f>
        <v>#VALUE!</v>
      </c>
      <c r="R1441" t="e">
        <f ca="1">Tab_Calculs[[#This Row],[Ratio_Cout_après_livr]]+Tab_Calculs[[#This Row],[Ratio_Cout_avant_livr]]+Tab_Calculs[[#This Row],[Ratio_Cout_avant_debut]]</f>
        <v>#VALUE!</v>
      </c>
      <c r="S1441" t="str">
        <f ca="1">IFERROR(N1441*VLOOKUP(Tab_Calculs[[#This Row],[Colonne1]],Controle_des_données!$B$7:$G$14,6,FALSE),"")</f>
        <v/>
      </c>
      <c r="T1441" t="str">
        <f ca="1">IF(Tab_Calculs[[#This Row],[Combustible ]]="Electricité (kWh)",Tab_Calculs[[#This Row],[Conso_mois_kWh]]*2.3,Tab_Calculs[[#This Row],[Conso_mois_kWh]])</f>
        <v/>
      </c>
      <c r="U1441" t="str">
        <f ca="1">IFERROR(N1441*VLOOKUP(Tab_Calculs[[#This Row],[Colonne1]],Controle_des_données!$B$7:$H$14,7,FALSE),"")</f>
        <v/>
      </c>
      <c r="V1441">
        <f ca="1">IFERROR(Tab_Calculs[[#This Row],[Cout_mois]]/Tab_Calculs[[#This Row],[Conso_mois_kWh]],0)</f>
        <v>0</v>
      </c>
      <c r="W1441" t="str">
        <f>T(VLOOKUP(Tab_Calculs[[#This Row],[Compteur]],Site!$B$33:$G$40,3,FALSE))</f>
        <v/>
      </c>
      <c r="X1441" t="str">
        <f>T(VLOOKUP(Tab_Calculs[[#This Row],[Compteur]],Site!$B$33:$G$40,4,FALSE))</f>
        <v/>
      </c>
      <c r="Y1441" t="str">
        <f>T(VLOOKUP(Tab_Calculs[[#This Row],[Compteur]],Site!$B$33:$G$40,5,FALSE))</f>
        <v/>
      </c>
      <c r="Z1441" t="str">
        <f>T(VLOOKUP(Tab_Calculs[[#This Row],[Compteur]],Site!$B$33:$G$40,6,FALSE))</f>
        <v/>
      </c>
      <c r="AA1441">
        <f>IFERROR(GETPIVOTDATA("DJU(chauffagiste)",BDD_DJU!$P$13,"annee",Tab_Calculs[[#This Row],[ANNEE]],"mois_numero",Tab_Calculs[[#This Row],[MOIS]]),0)</f>
        <v>98</v>
      </c>
    </row>
    <row r="1442" spans="1:27" x14ac:dyDescent="0.25">
      <c r="A1442" s="3">
        <f>DATE(Tab_Calculs[[#This Row],[ANNEE]],Tab_Calculs[[#This Row],[MOIS]],1)</f>
        <v>42887</v>
      </c>
      <c r="B1442" s="3">
        <f>EDATE(Tab_Calculs[[#This Row],[Début mois]],1)-1</f>
        <v>42916</v>
      </c>
      <c r="C1442">
        <f t="shared" si="50"/>
        <v>6</v>
      </c>
      <c r="D1442">
        <f t="shared" si="49"/>
        <v>2017</v>
      </c>
      <c r="E1442" t="s">
        <v>87</v>
      </c>
      <c r="F1442" t="str">
        <f>SUBSTITUTE(Tab_Calculs[[#This Row],[Compteur]]," ","_")</f>
        <v>Compteur_8</v>
      </c>
      <c r="G1442" t="str">
        <f>T(INDEX(Site!$B$33:$G$40, MATCH(Tab_Calculs[[#This Row],[Compteur]], Site!$B$33:$B$40,0),2))</f>
        <v/>
      </c>
      <c r="H1442" s="3">
        <f t="array" aca="1" ref="H1442" ca="1">MIN(IF(INDIRECT(CONCATENATE(Tab_Calculs[[#This Row],[Colonne1]],"!$B$2:$B$243"))&gt;=Calculs_Consos!$A1442,INDIRECT(CONCATENATE(Tab_Calculs[[#This Row],[Colonne1]],"!$B$2:$B$243"))))</f>
        <v>0</v>
      </c>
      <c r="I1442" s="3">
        <f ca="1">INDEX(INDIRECT(CONCATENATE("Tab_",Tab_Calculs[[#This Row],[Colonne1]])),Tab_Calculs[[#This Row],[index_date_livraison]],1)</f>
        <v>0</v>
      </c>
      <c r="J1442">
        <f ca="1">MATCH(Tab_Calculs[[#This Row],[Date_livraison]],INDIRECT(CONCATENATE("Tab_",Tab_Calculs[[#This Row],[Colonne1]],"[Fin de période]")),0)</f>
        <v>1</v>
      </c>
      <c r="K1442" t="e">
        <f ca="1">INDEX(INDIRECT(CONCATENATE("Tab_",Tab_Calculs[[#This Row],[Colonne1]])),Tab_Calculs[[#This Row],[index_date_livraison]]-1,6)*(MAX(Tab_Calculs[[#This Row],[Début periode livraison]],Tab_Calculs[[#This Row],[Début mois]])-Tab_Calculs[[#This Row],[Début mois]])</f>
        <v>#VALUE!</v>
      </c>
      <c r="L1442" s="94">
        <f ca="1">INDEX(INDIRECT(CONCATENATE("Tab_",Tab_Calculs[[#This Row],[Colonne1]])),Tab_Calculs[[#This Row],[index_date_livraison]],6)*(1+MIN(Tab_Calculs[[#This Row],[Date_livraison]],Tab_Calculs[[#This Row],[fin mois]])-MAX(Tab_Calculs[[#This Row],[Début mois]],Tab_Calculs[[#This Row],[Début periode livraison]]))</f>
        <v>0</v>
      </c>
      <c r="M1442" s="94" t="e">
        <f ca="1">INDEX(INDIRECT(CONCATENATE("Tab_",Tab_Calculs[[#This Row],[Colonne1]])),Tab_Calculs[[#This Row],[index_date_livraison]]+1,6)*(Tab_Calculs[[#This Row],[fin mois]]-MIN(Tab_Calculs[[#This Row],[fin mois]],Tab_Calculs[[#This Row],[Date_livraison]]))</f>
        <v>#VALUE!</v>
      </c>
      <c r="N1442" s="231" t="str">
        <f ca="1">IFERROR(Tab_Calculs[[#This Row],[Ratio_jour_après_livr]]+Tab_Calculs[[#This Row],[Ratio_jour_avant_livr]]+Tab_Calculs[[#This Row],[ratio_avant_debut]],"")</f>
        <v/>
      </c>
      <c r="O1442" t="e">
        <f ca="1">INDEX(INDIRECT(CONCATENATE("Tab_",Tab_Calculs[[#This Row],[Colonne1]])),Tab_Calculs[[#This Row],[index_date_livraison]]-1,7)*(MAX(Tab_Calculs[[#This Row],[Début periode livraison]],Tab_Calculs[[#This Row],[Début mois]])-Tab_Calculs[[#This Row],[Début mois]])</f>
        <v>#VALUE!</v>
      </c>
      <c r="P1442">
        <f ca="1">INDEX(INDIRECT(CONCATENATE("Tab_",Tab_Calculs[[#This Row],[Colonne1]])),Tab_Calculs[[#This Row],[index_date_livraison]],7)*(1+MIN(Tab_Calculs[[#This Row],[Date_livraison]],Tab_Calculs[[#This Row],[fin mois]])-MAX(Tab_Calculs[[#This Row],[Début mois]],Tab_Calculs[[#This Row],[Début periode livraison]]))</f>
        <v>0</v>
      </c>
      <c r="Q1442" t="e">
        <f ca="1">INDEX(INDIRECT(CONCATENATE("Tab_",Tab_Calculs[[#This Row],[Colonne1]])),Tab_Calculs[[#This Row],[index_date_livraison]]+1,7)*(Tab_Calculs[[#This Row],[fin mois]]-MIN(Tab_Calculs[[#This Row],[fin mois]],Tab_Calculs[[#This Row],[Date_livraison]]))</f>
        <v>#VALUE!</v>
      </c>
      <c r="R1442" t="e">
        <f ca="1">Tab_Calculs[[#This Row],[Ratio_Cout_après_livr]]+Tab_Calculs[[#This Row],[Ratio_Cout_avant_livr]]+Tab_Calculs[[#This Row],[Ratio_Cout_avant_debut]]</f>
        <v>#VALUE!</v>
      </c>
      <c r="S1442" t="str">
        <f ca="1">IFERROR(N1442*VLOOKUP(Tab_Calculs[[#This Row],[Colonne1]],Controle_des_données!$B$7:$G$14,6,FALSE),"")</f>
        <v/>
      </c>
      <c r="T1442" t="str">
        <f ca="1">IF(Tab_Calculs[[#This Row],[Combustible ]]="Electricité (kWh)",Tab_Calculs[[#This Row],[Conso_mois_kWh]]*2.3,Tab_Calculs[[#This Row],[Conso_mois_kWh]])</f>
        <v/>
      </c>
      <c r="U1442" t="str">
        <f ca="1">IFERROR(N1442*VLOOKUP(Tab_Calculs[[#This Row],[Colonne1]],Controle_des_données!$B$7:$H$14,7,FALSE),"")</f>
        <v/>
      </c>
      <c r="V1442">
        <f ca="1">IFERROR(Tab_Calculs[[#This Row],[Cout_mois]]/Tab_Calculs[[#This Row],[Conso_mois_kWh]],0)</f>
        <v>0</v>
      </c>
      <c r="W1442" t="str">
        <f>T(VLOOKUP(Tab_Calculs[[#This Row],[Compteur]],Site!$B$33:$G$40,3,FALSE))</f>
        <v/>
      </c>
      <c r="X1442" t="str">
        <f>T(VLOOKUP(Tab_Calculs[[#This Row],[Compteur]],Site!$B$33:$G$40,4,FALSE))</f>
        <v/>
      </c>
      <c r="Y1442" t="str">
        <f>T(VLOOKUP(Tab_Calculs[[#This Row],[Compteur]],Site!$B$33:$G$40,5,FALSE))</f>
        <v/>
      </c>
      <c r="Z1442" t="str">
        <f>T(VLOOKUP(Tab_Calculs[[#This Row],[Compteur]],Site!$B$33:$G$40,6,FALSE))</f>
        <v/>
      </c>
      <c r="AA1442">
        <f>IFERROR(GETPIVOTDATA("DJU(chauffagiste)",BDD_DJU!$P$13,"annee",Tab_Calculs[[#This Row],[ANNEE]],"mois_numero",Tab_Calculs[[#This Row],[MOIS]]),0)</f>
        <v>30.9</v>
      </c>
    </row>
    <row r="1443" spans="1:27" x14ac:dyDescent="0.25">
      <c r="A1443" s="3">
        <f>DATE(Tab_Calculs[[#This Row],[ANNEE]],Tab_Calculs[[#This Row],[MOIS]],1)</f>
        <v>42917</v>
      </c>
      <c r="B1443" s="3">
        <f>EDATE(Tab_Calculs[[#This Row],[Début mois]],1)-1</f>
        <v>42947</v>
      </c>
      <c r="C1443">
        <f t="shared" si="50"/>
        <v>7</v>
      </c>
      <c r="D1443">
        <f t="shared" si="49"/>
        <v>2017</v>
      </c>
      <c r="E1443" t="s">
        <v>87</v>
      </c>
      <c r="F1443" t="str">
        <f>SUBSTITUTE(Tab_Calculs[[#This Row],[Compteur]]," ","_")</f>
        <v>Compteur_8</v>
      </c>
      <c r="G1443" t="str">
        <f>T(INDEX(Site!$B$33:$G$40, MATCH(Tab_Calculs[[#This Row],[Compteur]], Site!$B$33:$B$40,0),2))</f>
        <v/>
      </c>
      <c r="H1443" s="3">
        <f t="array" aca="1" ref="H1443" ca="1">MIN(IF(INDIRECT(CONCATENATE(Tab_Calculs[[#This Row],[Colonne1]],"!$B$2:$B$243"))&gt;=Calculs_Consos!$A1443,INDIRECT(CONCATENATE(Tab_Calculs[[#This Row],[Colonne1]],"!$B$2:$B$243"))))</f>
        <v>0</v>
      </c>
      <c r="I1443" s="3">
        <f ca="1">INDEX(INDIRECT(CONCATENATE("Tab_",Tab_Calculs[[#This Row],[Colonne1]])),Tab_Calculs[[#This Row],[index_date_livraison]],1)</f>
        <v>0</v>
      </c>
      <c r="J1443">
        <f ca="1">MATCH(Tab_Calculs[[#This Row],[Date_livraison]],INDIRECT(CONCATENATE("Tab_",Tab_Calculs[[#This Row],[Colonne1]],"[Fin de période]")),0)</f>
        <v>1</v>
      </c>
      <c r="K1443" t="e">
        <f ca="1">INDEX(INDIRECT(CONCATENATE("Tab_",Tab_Calculs[[#This Row],[Colonne1]])),Tab_Calculs[[#This Row],[index_date_livraison]]-1,6)*(MAX(Tab_Calculs[[#This Row],[Début periode livraison]],Tab_Calculs[[#This Row],[Début mois]])-Tab_Calculs[[#This Row],[Début mois]])</f>
        <v>#VALUE!</v>
      </c>
      <c r="L1443" s="94">
        <f ca="1">INDEX(INDIRECT(CONCATENATE("Tab_",Tab_Calculs[[#This Row],[Colonne1]])),Tab_Calculs[[#This Row],[index_date_livraison]],6)*(1+MIN(Tab_Calculs[[#This Row],[Date_livraison]],Tab_Calculs[[#This Row],[fin mois]])-MAX(Tab_Calculs[[#This Row],[Début mois]],Tab_Calculs[[#This Row],[Début periode livraison]]))</f>
        <v>0</v>
      </c>
      <c r="M1443" s="94" t="e">
        <f ca="1">INDEX(INDIRECT(CONCATENATE("Tab_",Tab_Calculs[[#This Row],[Colonne1]])),Tab_Calculs[[#This Row],[index_date_livraison]]+1,6)*(Tab_Calculs[[#This Row],[fin mois]]-MIN(Tab_Calculs[[#This Row],[fin mois]],Tab_Calculs[[#This Row],[Date_livraison]]))</f>
        <v>#VALUE!</v>
      </c>
      <c r="N1443" s="231" t="str">
        <f ca="1">IFERROR(Tab_Calculs[[#This Row],[Ratio_jour_après_livr]]+Tab_Calculs[[#This Row],[Ratio_jour_avant_livr]]+Tab_Calculs[[#This Row],[ratio_avant_debut]],"")</f>
        <v/>
      </c>
      <c r="O1443" t="e">
        <f ca="1">INDEX(INDIRECT(CONCATENATE("Tab_",Tab_Calculs[[#This Row],[Colonne1]])),Tab_Calculs[[#This Row],[index_date_livraison]]-1,7)*(MAX(Tab_Calculs[[#This Row],[Début periode livraison]],Tab_Calculs[[#This Row],[Début mois]])-Tab_Calculs[[#This Row],[Début mois]])</f>
        <v>#VALUE!</v>
      </c>
      <c r="P1443">
        <f ca="1">INDEX(INDIRECT(CONCATENATE("Tab_",Tab_Calculs[[#This Row],[Colonne1]])),Tab_Calculs[[#This Row],[index_date_livraison]],7)*(1+MIN(Tab_Calculs[[#This Row],[Date_livraison]],Tab_Calculs[[#This Row],[fin mois]])-MAX(Tab_Calculs[[#This Row],[Début mois]],Tab_Calculs[[#This Row],[Début periode livraison]]))</f>
        <v>0</v>
      </c>
      <c r="Q1443" t="e">
        <f ca="1">INDEX(INDIRECT(CONCATENATE("Tab_",Tab_Calculs[[#This Row],[Colonne1]])),Tab_Calculs[[#This Row],[index_date_livraison]]+1,7)*(Tab_Calculs[[#This Row],[fin mois]]-MIN(Tab_Calculs[[#This Row],[fin mois]],Tab_Calculs[[#This Row],[Date_livraison]]))</f>
        <v>#VALUE!</v>
      </c>
      <c r="R1443" t="e">
        <f ca="1">Tab_Calculs[[#This Row],[Ratio_Cout_après_livr]]+Tab_Calculs[[#This Row],[Ratio_Cout_avant_livr]]+Tab_Calculs[[#This Row],[Ratio_Cout_avant_debut]]</f>
        <v>#VALUE!</v>
      </c>
      <c r="S1443" t="str">
        <f ca="1">IFERROR(N1443*VLOOKUP(Tab_Calculs[[#This Row],[Colonne1]],Controle_des_données!$B$7:$G$14,6,FALSE),"")</f>
        <v/>
      </c>
      <c r="T1443" t="str">
        <f ca="1">IF(Tab_Calculs[[#This Row],[Combustible ]]="Electricité (kWh)",Tab_Calculs[[#This Row],[Conso_mois_kWh]]*2.3,Tab_Calculs[[#This Row],[Conso_mois_kWh]])</f>
        <v/>
      </c>
      <c r="U1443" t="str">
        <f ca="1">IFERROR(N1443*VLOOKUP(Tab_Calculs[[#This Row],[Colonne1]],Controle_des_données!$B$7:$H$14,7,FALSE),"")</f>
        <v/>
      </c>
      <c r="V1443">
        <f ca="1">IFERROR(Tab_Calculs[[#This Row],[Cout_mois]]/Tab_Calculs[[#This Row],[Conso_mois_kWh]],0)</f>
        <v>0</v>
      </c>
      <c r="W1443" t="str">
        <f>T(VLOOKUP(Tab_Calculs[[#This Row],[Compteur]],Site!$B$33:$G$40,3,FALSE))</f>
        <v/>
      </c>
      <c r="X1443" t="str">
        <f>T(VLOOKUP(Tab_Calculs[[#This Row],[Compteur]],Site!$B$33:$G$40,4,FALSE))</f>
        <v/>
      </c>
      <c r="Y1443" t="str">
        <f>T(VLOOKUP(Tab_Calculs[[#This Row],[Compteur]],Site!$B$33:$G$40,5,FALSE))</f>
        <v/>
      </c>
      <c r="Z1443" t="str">
        <f>T(VLOOKUP(Tab_Calculs[[#This Row],[Compteur]],Site!$B$33:$G$40,6,FALSE))</f>
        <v/>
      </c>
      <c r="AA1443">
        <f>IFERROR(GETPIVOTDATA("DJU(chauffagiste)",BDD_DJU!$P$13,"annee",Tab_Calculs[[#This Row],[ANNEE]],"mois_numero",Tab_Calculs[[#This Row],[MOIS]]),0)</f>
        <v>23.6</v>
      </c>
    </row>
    <row r="1444" spans="1:27" x14ac:dyDescent="0.25">
      <c r="A1444" s="3">
        <f>DATE(Tab_Calculs[[#This Row],[ANNEE]],Tab_Calculs[[#This Row],[MOIS]],1)</f>
        <v>42948</v>
      </c>
      <c r="B1444" s="3">
        <f>EDATE(Tab_Calculs[[#This Row],[Début mois]],1)-1</f>
        <v>42978</v>
      </c>
      <c r="C1444">
        <f t="shared" si="50"/>
        <v>8</v>
      </c>
      <c r="D1444">
        <f t="shared" si="49"/>
        <v>2017</v>
      </c>
      <c r="E1444" t="s">
        <v>87</v>
      </c>
      <c r="F1444" t="str">
        <f>SUBSTITUTE(Tab_Calculs[[#This Row],[Compteur]]," ","_")</f>
        <v>Compteur_8</v>
      </c>
      <c r="G1444" t="str">
        <f>T(INDEX(Site!$B$33:$G$40, MATCH(Tab_Calculs[[#This Row],[Compteur]], Site!$B$33:$B$40,0),2))</f>
        <v/>
      </c>
      <c r="H1444" s="3">
        <f t="array" aca="1" ref="H1444" ca="1">MIN(IF(INDIRECT(CONCATENATE(Tab_Calculs[[#This Row],[Colonne1]],"!$B$2:$B$243"))&gt;=Calculs_Consos!$A1444,INDIRECT(CONCATENATE(Tab_Calculs[[#This Row],[Colonne1]],"!$B$2:$B$243"))))</f>
        <v>0</v>
      </c>
      <c r="I1444" s="3">
        <f ca="1">INDEX(INDIRECT(CONCATENATE("Tab_",Tab_Calculs[[#This Row],[Colonne1]])),Tab_Calculs[[#This Row],[index_date_livraison]],1)</f>
        <v>0</v>
      </c>
      <c r="J1444">
        <f ca="1">MATCH(Tab_Calculs[[#This Row],[Date_livraison]],INDIRECT(CONCATENATE("Tab_",Tab_Calculs[[#This Row],[Colonne1]],"[Fin de période]")),0)</f>
        <v>1</v>
      </c>
      <c r="K1444" t="e">
        <f ca="1">INDEX(INDIRECT(CONCATENATE("Tab_",Tab_Calculs[[#This Row],[Colonne1]])),Tab_Calculs[[#This Row],[index_date_livraison]]-1,6)*(MAX(Tab_Calculs[[#This Row],[Début periode livraison]],Tab_Calculs[[#This Row],[Début mois]])-Tab_Calculs[[#This Row],[Début mois]])</f>
        <v>#VALUE!</v>
      </c>
      <c r="L1444" s="94">
        <f ca="1">INDEX(INDIRECT(CONCATENATE("Tab_",Tab_Calculs[[#This Row],[Colonne1]])),Tab_Calculs[[#This Row],[index_date_livraison]],6)*(1+MIN(Tab_Calculs[[#This Row],[Date_livraison]],Tab_Calculs[[#This Row],[fin mois]])-MAX(Tab_Calculs[[#This Row],[Début mois]],Tab_Calculs[[#This Row],[Début periode livraison]]))</f>
        <v>0</v>
      </c>
      <c r="M1444" s="94" t="e">
        <f ca="1">INDEX(INDIRECT(CONCATENATE("Tab_",Tab_Calculs[[#This Row],[Colonne1]])),Tab_Calculs[[#This Row],[index_date_livraison]]+1,6)*(Tab_Calculs[[#This Row],[fin mois]]-MIN(Tab_Calculs[[#This Row],[fin mois]],Tab_Calculs[[#This Row],[Date_livraison]]))</f>
        <v>#VALUE!</v>
      </c>
      <c r="N1444" s="231" t="str">
        <f ca="1">IFERROR(Tab_Calculs[[#This Row],[Ratio_jour_après_livr]]+Tab_Calculs[[#This Row],[Ratio_jour_avant_livr]]+Tab_Calculs[[#This Row],[ratio_avant_debut]],"")</f>
        <v/>
      </c>
      <c r="O1444" t="e">
        <f ca="1">INDEX(INDIRECT(CONCATENATE("Tab_",Tab_Calculs[[#This Row],[Colonne1]])),Tab_Calculs[[#This Row],[index_date_livraison]]-1,7)*(MAX(Tab_Calculs[[#This Row],[Début periode livraison]],Tab_Calculs[[#This Row],[Début mois]])-Tab_Calculs[[#This Row],[Début mois]])</f>
        <v>#VALUE!</v>
      </c>
      <c r="P1444">
        <f ca="1">INDEX(INDIRECT(CONCATENATE("Tab_",Tab_Calculs[[#This Row],[Colonne1]])),Tab_Calculs[[#This Row],[index_date_livraison]],7)*(1+MIN(Tab_Calculs[[#This Row],[Date_livraison]],Tab_Calculs[[#This Row],[fin mois]])-MAX(Tab_Calculs[[#This Row],[Début mois]],Tab_Calculs[[#This Row],[Début periode livraison]]))</f>
        <v>0</v>
      </c>
      <c r="Q1444" t="e">
        <f ca="1">INDEX(INDIRECT(CONCATENATE("Tab_",Tab_Calculs[[#This Row],[Colonne1]])),Tab_Calculs[[#This Row],[index_date_livraison]]+1,7)*(Tab_Calculs[[#This Row],[fin mois]]-MIN(Tab_Calculs[[#This Row],[fin mois]],Tab_Calculs[[#This Row],[Date_livraison]]))</f>
        <v>#VALUE!</v>
      </c>
      <c r="R1444" t="e">
        <f ca="1">Tab_Calculs[[#This Row],[Ratio_Cout_après_livr]]+Tab_Calculs[[#This Row],[Ratio_Cout_avant_livr]]+Tab_Calculs[[#This Row],[Ratio_Cout_avant_debut]]</f>
        <v>#VALUE!</v>
      </c>
      <c r="S1444" t="str">
        <f ca="1">IFERROR(N1444*VLOOKUP(Tab_Calculs[[#This Row],[Colonne1]],Controle_des_données!$B$7:$G$14,6,FALSE),"")</f>
        <v/>
      </c>
      <c r="T1444" t="str">
        <f ca="1">IF(Tab_Calculs[[#This Row],[Combustible ]]="Electricité (kWh)",Tab_Calculs[[#This Row],[Conso_mois_kWh]]*2.3,Tab_Calculs[[#This Row],[Conso_mois_kWh]])</f>
        <v/>
      </c>
      <c r="U1444" t="str">
        <f ca="1">IFERROR(N1444*VLOOKUP(Tab_Calculs[[#This Row],[Colonne1]],Controle_des_données!$B$7:$H$14,7,FALSE),"")</f>
        <v/>
      </c>
      <c r="V1444">
        <f ca="1">IFERROR(Tab_Calculs[[#This Row],[Cout_mois]]/Tab_Calculs[[#This Row],[Conso_mois_kWh]],0)</f>
        <v>0</v>
      </c>
      <c r="W1444" t="str">
        <f>T(VLOOKUP(Tab_Calculs[[#This Row],[Compteur]],Site!$B$33:$G$40,3,FALSE))</f>
        <v/>
      </c>
      <c r="X1444" t="str">
        <f>T(VLOOKUP(Tab_Calculs[[#This Row],[Compteur]],Site!$B$33:$G$40,4,FALSE))</f>
        <v/>
      </c>
      <c r="Y1444" t="str">
        <f>T(VLOOKUP(Tab_Calculs[[#This Row],[Compteur]],Site!$B$33:$G$40,5,FALSE))</f>
        <v/>
      </c>
      <c r="Z1444" t="str">
        <f>T(VLOOKUP(Tab_Calculs[[#This Row],[Compteur]],Site!$B$33:$G$40,6,FALSE))</f>
        <v/>
      </c>
      <c r="AA1444">
        <f>IFERROR(GETPIVOTDATA("DJU(chauffagiste)",BDD_DJU!$P$13,"annee",Tab_Calculs[[#This Row],[ANNEE]],"mois_numero",Tab_Calculs[[#This Row],[MOIS]]),0)</f>
        <v>32.200000000000003</v>
      </c>
    </row>
    <row r="1445" spans="1:27" x14ac:dyDescent="0.25">
      <c r="A1445" s="3">
        <f>DATE(Tab_Calculs[[#This Row],[ANNEE]],Tab_Calculs[[#This Row],[MOIS]],1)</f>
        <v>42979</v>
      </c>
      <c r="B1445" s="3">
        <f>EDATE(Tab_Calculs[[#This Row],[Début mois]],1)-1</f>
        <v>43008</v>
      </c>
      <c r="C1445">
        <f t="shared" si="50"/>
        <v>9</v>
      </c>
      <c r="D1445">
        <f t="shared" si="49"/>
        <v>2017</v>
      </c>
      <c r="E1445" t="s">
        <v>87</v>
      </c>
      <c r="F1445" t="str">
        <f>SUBSTITUTE(Tab_Calculs[[#This Row],[Compteur]]," ","_")</f>
        <v>Compteur_8</v>
      </c>
      <c r="G1445" t="str">
        <f>T(INDEX(Site!$B$33:$G$40, MATCH(Tab_Calculs[[#This Row],[Compteur]], Site!$B$33:$B$40,0),2))</f>
        <v/>
      </c>
      <c r="H1445" s="3">
        <f t="array" aca="1" ref="H1445" ca="1">MIN(IF(INDIRECT(CONCATENATE(Tab_Calculs[[#This Row],[Colonne1]],"!$B$2:$B$243"))&gt;=Calculs_Consos!$A1445,INDIRECT(CONCATENATE(Tab_Calculs[[#This Row],[Colonne1]],"!$B$2:$B$243"))))</f>
        <v>0</v>
      </c>
      <c r="I1445" s="3">
        <f ca="1">INDEX(INDIRECT(CONCATENATE("Tab_",Tab_Calculs[[#This Row],[Colonne1]])),Tab_Calculs[[#This Row],[index_date_livraison]],1)</f>
        <v>0</v>
      </c>
      <c r="J1445">
        <f ca="1">MATCH(Tab_Calculs[[#This Row],[Date_livraison]],INDIRECT(CONCATENATE("Tab_",Tab_Calculs[[#This Row],[Colonne1]],"[Fin de période]")),0)</f>
        <v>1</v>
      </c>
      <c r="K1445" t="e">
        <f ca="1">INDEX(INDIRECT(CONCATENATE("Tab_",Tab_Calculs[[#This Row],[Colonne1]])),Tab_Calculs[[#This Row],[index_date_livraison]]-1,6)*(MAX(Tab_Calculs[[#This Row],[Début periode livraison]],Tab_Calculs[[#This Row],[Début mois]])-Tab_Calculs[[#This Row],[Début mois]])</f>
        <v>#VALUE!</v>
      </c>
      <c r="L1445" s="94">
        <f ca="1">INDEX(INDIRECT(CONCATENATE("Tab_",Tab_Calculs[[#This Row],[Colonne1]])),Tab_Calculs[[#This Row],[index_date_livraison]],6)*(1+MIN(Tab_Calculs[[#This Row],[Date_livraison]],Tab_Calculs[[#This Row],[fin mois]])-MAX(Tab_Calculs[[#This Row],[Début mois]],Tab_Calculs[[#This Row],[Début periode livraison]]))</f>
        <v>0</v>
      </c>
      <c r="M1445" s="94" t="e">
        <f ca="1">INDEX(INDIRECT(CONCATENATE("Tab_",Tab_Calculs[[#This Row],[Colonne1]])),Tab_Calculs[[#This Row],[index_date_livraison]]+1,6)*(Tab_Calculs[[#This Row],[fin mois]]-MIN(Tab_Calculs[[#This Row],[fin mois]],Tab_Calculs[[#This Row],[Date_livraison]]))</f>
        <v>#VALUE!</v>
      </c>
      <c r="N1445" s="231" t="str">
        <f ca="1">IFERROR(Tab_Calculs[[#This Row],[Ratio_jour_après_livr]]+Tab_Calculs[[#This Row],[Ratio_jour_avant_livr]]+Tab_Calculs[[#This Row],[ratio_avant_debut]],"")</f>
        <v/>
      </c>
      <c r="O1445" t="e">
        <f ca="1">INDEX(INDIRECT(CONCATENATE("Tab_",Tab_Calculs[[#This Row],[Colonne1]])),Tab_Calculs[[#This Row],[index_date_livraison]]-1,7)*(MAX(Tab_Calculs[[#This Row],[Début periode livraison]],Tab_Calculs[[#This Row],[Début mois]])-Tab_Calculs[[#This Row],[Début mois]])</f>
        <v>#VALUE!</v>
      </c>
      <c r="P1445">
        <f ca="1">INDEX(INDIRECT(CONCATENATE("Tab_",Tab_Calculs[[#This Row],[Colonne1]])),Tab_Calculs[[#This Row],[index_date_livraison]],7)*(1+MIN(Tab_Calculs[[#This Row],[Date_livraison]],Tab_Calculs[[#This Row],[fin mois]])-MAX(Tab_Calculs[[#This Row],[Début mois]],Tab_Calculs[[#This Row],[Début periode livraison]]))</f>
        <v>0</v>
      </c>
      <c r="Q1445" t="e">
        <f ca="1">INDEX(INDIRECT(CONCATENATE("Tab_",Tab_Calculs[[#This Row],[Colonne1]])),Tab_Calculs[[#This Row],[index_date_livraison]]+1,7)*(Tab_Calculs[[#This Row],[fin mois]]-MIN(Tab_Calculs[[#This Row],[fin mois]],Tab_Calculs[[#This Row],[Date_livraison]]))</f>
        <v>#VALUE!</v>
      </c>
      <c r="R1445" t="e">
        <f ca="1">Tab_Calculs[[#This Row],[Ratio_Cout_après_livr]]+Tab_Calculs[[#This Row],[Ratio_Cout_avant_livr]]+Tab_Calculs[[#This Row],[Ratio_Cout_avant_debut]]</f>
        <v>#VALUE!</v>
      </c>
      <c r="S1445" t="str">
        <f ca="1">IFERROR(N1445*VLOOKUP(Tab_Calculs[[#This Row],[Colonne1]],Controle_des_données!$B$7:$G$14,6,FALSE),"")</f>
        <v/>
      </c>
      <c r="T1445" t="str">
        <f ca="1">IF(Tab_Calculs[[#This Row],[Combustible ]]="Electricité (kWh)",Tab_Calculs[[#This Row],[Conso_mois_kWh]]*2.3,Tab_Calculs[[#This Row],[Conso_mois_kWh]])</f>
        <v/>
      </c>
      <c r="U1445" t="str">
        <f ca="1">IFERROR(N1445*VLOOKUP(Tab_Calculs[[#This Row],[Colonne1]],Controle_des_données!$B$7:$H$14,7,FALSE),"")</f>
        <v/>
      </c>
      <c r="V1445">
        <f ca="1">IFERROR(Tab_Calculs[[#This Row],[Cout_mois]]/Tab_Calculs[[#This Row],[Conso_mois_kWh]],0)</f>
        <v>0</v>
      </c>
      <c r="W1445" t="str">
        <f>T(VLOOKUP(Tab_Calculs[[#This Row],[Compteur]],Site!$B$33:$G$40,3,FALSE))</f>
        <v/>
      </c>
      <c r="X1445" t="str">
        <f>T(VLOOKUP(Tab_Calculs[[#This Row],[Compteur]],Site!$B$33:$G$40,4,FALSE))</f>
        <v/>
      </c>
      <c r="Y1445" t="str">
        <f>T(VLOOKUP(Tab_Calculs[[#This Row],[Compteur]],Site!$B$33:$G$40,5,FALSE))</f>
        <v/>
      </c>
      <c r="Z1445" t="str">
        <f>T(VLOOKUP(Tab_Calculs[[#This Row],[Compteur]],Site!$B$33:$G$40,6,FALSE))</f>
        <v/>
      </c>
      <c r="AA1445">
        <f>IFERROR(GETPIVOTDATA("DJU(chauffagiste)",BDD_DJU!$P$13,"annee",Tab_Calculs[[#This Row],[ANNEE]],"mois_numero",Tab_Calculs[[#This Row],[MOIS]]),0)</f>
        <v>82.3</v>
      </c>
    </row>
    <row r="1446" spans="1:27" x14ac:dyDescent="0.25">
      <c r="A1446" s="3">
        <f>DATE(Tab_Calculs[[#This Row],[ANNEE]],Tab_Calculs[[#This Row],[MOIS]],1)</f>
        <v>43009</v>
      </c>
      <c r="B1446" s="3">
        <f>EDATE(Tab_Calculs[[#This Row],[Début mois]],1)-1</f>
        <v>43039</v>
      </c>
      <c r="C1446">
        <f t="shared" si="50"/>
        <v>10</v>
      </c>
      <c r="D1446">
        <f t="shared" si="49"/>
        <v>2017</v>
      </c>
      <c r="E1446" t="s">
        <v>87</v>
      </c>
      <c r="F1446" t="str">
        <f>SUBSTITUTE(Tab_Calculs[[#This Row],[Compteur]]," ","_")</f>
        <v>Compteur_8</v>
      </c>
      <c r="G1446" t="str">
        <f>T(INDEX(Site!$B$33:$G$40, MATCH(Tab_Calculs[[#This Row],[Compteur]], Site!$B$33:$B$40,0),2))</f>
        <v/>
      </c>
      <c r="H1446" s="3">
        <f t="array" aca="1" ref="H1446" ca="1">MIN(IF(INDIRECT(CONCATENATE(Tab_Calculs[[#This Row],[Colonne1]],"!$B$2:$B$243"))&gt;=Calculs_Consos!$A1446,INDIRECT(CONCATENATE(Tab_Calculs[[#This Row],[Colonne1]],"!$B$2:$B$243"))))</f>
        <v>0</v>
      </c>
      <c r="I1446" s="3">
        <f ca="1">INDEX(INDIRECT(CONCATENATE("Tab_",Tab_Calculs[[#This Row],[Colonne1]])),Tab_Calculs[[#This Row],[index_date_livraison]],1)</f>
        <v>0</v>
      </c>
      <c r="J1446">
        <f ca="1">MATCH(Tab_Calculs[[#This Row],[Date_livraison]],INDIRECT(CONCATENATE("Tab_",Tab_Calculs[[#This Row],[Colonne1]],"[Fin de période]")),0)</f>
        <v>1</v>
      </c>
      <c r="K1446" t="e">
        <f ca="1">INDEX(INDIRECT(CONCATENATE("Tab_",Tab_Calculs[[#This Row],[Colonne1]])),Tab_Calculs[[#This Row],[index_date_livraison]]-1,6)*(MAX(Tab_Calculs[[#This Row],[Début periode livraison]],Tab_Calculs[[#This Row],[Début mois]])-Tab_Calculs[[#This Row],[Début mois]])</f>
        <v>#VALUE!</v>
      </c>
      <c r="L1446" s="94">
        <f ca="1">INDEX(INDIRECT(CONCATENATE("Tab_",Tab_Calculs[[#This Row],[Colonne1]])),Tab_Calculs[[#This Row],[index_date_livraison]],6)*(1+MIN(Tab_Calculs[[#This Row],[Date_livraison]],Tab_Calculs[[#This Row],[fin mois]])-MAX(Tab_Calculs[[#This Row],[Début mois]],Tab_Calculs[[#This Row],[Début periode livraison]]))</f>
        <v>0</v>
      </c>
      <c r="M1446" s="94" t="e">
        <f ca="1">INDEX(INDIRECT(CONCATENATE("Tab_",Tab_Calculs[[#This Row],[Colonne1]])),Tab_Calculs[[#This Row],[index_date_livraison]]+1,6)*(Tab_Calculs[[#This Row],[fin mois]]-MIN(Tab_Calculs[[#This Row],[fin mois]],Tab_Calculs[[#This Row],[Date_livraison]]))</f>
        <v>#VALUE!</v>
      </c>
      <c r="N1446" s="231" t="str">
        <f ca="1">IFERROR(Tab_Calculs[[#This Row],[Ratio_jour_après_livr]]+Tab_Calculs[[#This Row],[Ratio_jour_avant_livr]]+Tab_Calculs[[#This Row],[ratio_avant_debut]],"")</f>
        <v/>
      </c>
      <c r="O1446" t="e">
        <f ca="1">INDEX(INDIRECT(CONCATENATE("Tab_",Tab_Calculs[[#This Row],[Colonne1]])),Tab_Calculs[[#This Row],[index_date_livraison]]-1,7)*(MAX(Tab_Calculs[[#This Row],[Début periode livraison]],Tab_Calculs[[#This Row],[Début mois]])-Tab_Calculs[[#This Row],[Début mois]])</f>
        <v>#VALUE!</v>
      </c>
      <c r="P1446">
        <f ca="1">INDEX(INDIRECT(CONCATENATE("Tab_",Tab_Calculs[[#This Row],[Colonne1]])),Tab_Calculs[[#This Row],[index_date_livraison]],7)*(1+MIN(Tab_Calculs[[#This Row],[Date_livraison]],Tab_Calculs[[#This Row],[fin mois]])-MAX(Tab_Calculs[[#This Row],[Début mois]],Tab_Calculs[[#This Row],[Début periode livraison]]))</f>
        <v>0</v>
      </c>
      <c r="Q1446" t="e">
        <f ca="1">INDEX(INDIRECT(CONCATENATE("Tab_",Tab_Calculs[[#This Row],[Colonne1]])),Tab_Calculs[[#This Row],[index_date_livraison]]+1,7)*(Tab_Calculs[[#This Row],[fin mois]]-MIN(Tab_Calculs[[#This Row],[fin mois]],Tab_Calculs[[#This Row],[Date_livraison]]))</f>
        <v>#VALUE!</v>
      </c>
      <c r="R1446" t="e">
        <f ca="1">Tab_Calculs[[#This Row],[Ratio_Cout_après_livr]]+Tab_Calculs[[#This Row],[Ratio_Cout_avant_livr]]+Tab_Calculs[[#This Row],[Ratio_Cout_avant_debut]]</f>
        <v>#VALUE!</v>
      </c>
      <c r="S1446" t="str">
        <f ca="1">IFERROR(N1446*VLOOKUP(Tab_Calculs[[#This Row],[Colonne1]],Controle_des_données!$B$7:$G$14,6,FALSE),"")</f>
        <v/>
      </c>
      <c r="T1446" t="str">
        <f ca="1">IF(Tab_Calculs[[#This Row],[Combustible ]]="Electricité (kWh)",Tab_Calculs[[#This Row],[Conso_mois_kWh]]*2.3,Tab_Calculs[[#This Row],[Conso_mois_kWh]])</f>
        <v/>
      </c>
      <c r="U1446" t="str">
        <f ca="1">IFERROR(N1446*VLOOKUP(Tab_Calculs[[#This Row],[Colonne1]],Controle_des_données!$B$7:$H$14,7,FALSE),"")</f>
        <v/>
      </c>
      <c r="V1446">
        <f ca="1">IFERROR(Tab_Calculs[[#This Row],[Cout_mois]]/Tab_Calculs[[#This Row],[Conso_mois_kWh]],0)</f>
        <v>0</v>
      </c>
      <c r="W1446" t="str">
        <f>T(VLOOKUP(Tab_Calculs[[#This Row],[Compteur]],Site!$B$33:$G$40,3,FALSE))</f>
        <v/>
      </c>
      <c r="X1446" t="str">
        <f>T(VLOOKUP(Tab_Calculs[[#This Row],[Compteur]],Site!$B$33:$G$40,4,FALSE))</f>
        <v/>
      </c>
      <c r="Y1446" t="str">
        <f>T(VLOOKUP(Tab_Calculs[[#This Row],[Compteur]],Site!$B$33:$G$40,5,FALSE))</f>
        <v/>
      </c>
      <c r="Z1446" t="str">
        <f>T(VLOOKUP(Tab_Calculs[[#This Row],[Compteur]],Site!$B$33:$G$40,6,FALSE))</f>
        <v/>
      </c>
      <c r="AA1446">
        <f>IFERROR(GETPIVOTDATA("DJU(chauffagiste)",BDD_DJU!$P$13,"annee",Tab_Calculs[[#This Row],[ANNEE]],"mois_numero",Tab_Calculs[[#This Row],[MOIS]]),0)</f>
        <v>126.4</v>
      </c>
    </row>
    <row r="1447" spans="1:27" x14ac:dyDescent="0.25">
      <c r="A1447" s="3">
        <f>DATE(Tab_Calculs[[#This Row],[ANNEE]],Tab_Calculs[[#This Row],[MOIS]],1)</f>
        <v>43040</v>
      </c>
      <c r="B1447" s="3">
        <f>EDATE(Tab_Calculs[[#This Row],[Début mois]],1)-1</f>
        <v>43069</v>
      </c>
      <c r="C1447">
        <f t="shared" si="50"/>
        <v>11</v>
      </c>
      <c r="D1447">
        <f t="shared" si="49"/>
        <v>2017</v>
      </c>
      <c r="E1447" t="s">
        <v>87</v>
      </c>
      <c r="F1447" t="str">
        <f>SUBSTITUTE(Tab_Calculs[[#This Row],[Compteur]]," ","_")</f>
        <v>Compteur_8</v>
      </c>
      <c r="G1447" t="str">
        <f>T(INDEX(Site!$B$33:$G$40, MATCH(Tab_Calculs[[#This Row],[Compteur]], Site!$B$33:$B$40,0),2))</f>
        <v/>
      </c>
      <c r="H1447" s="3">
        <f t="array" aca="1" ref="H1447" ca="1">MIN(IF(INDIRECT(CONCATENATE(Tab_Calculs[[#This Row],[Colonne1]],"!$B$2:$B$243"))&gt;=Calculs_Consos!$A1447,INDIRECT(CONCATENATE(Tab_Calculs[[#This Row],[Colonne1]],"!$B$2:$B$243"))))</f>
        <v>0</v>
      </c>
      <c r="I1447" s="3">
        <f ca="1">INDEX(INDIRECT(CONCATENATE("Tab_",Tab_Calculs[[#This Row],[Colonne1]])),Tab_Calculs[[#This Row],[index_date_livraison]],1)</f>
        <v>0</v>
      </c>
      <c r="J1447">
        <f ca="1">MATCH(Tab_Calculs[[#This Row],[Date_livraison]],INDIRECT(CONCATENATE("Tab_",Tab_Calculs[[#This Row],[Colonne1]],"[Fin de période]")),0)</f>
        <v>1</v>
      </c>
      <c r="K1447" t="e">
        <f ca="1">INDEX(INDIRECT(CONCATENATE("Tab_",Tab_Calculs[[#This Row],[Colonne1]])),Tab_Calculs[[#This Row],[index_date_livraison]]-1,6)*(MAX(Tab_Calculs[[#This Row],[Début periode livraison]],Tab_Calculs[[#This Row],[Début mois]])-Tab_Calculs[[#This Row],[Début mois]])</f>
        <v>#VALUE!</v>
      </c>
      <c r="L1447" s="94">
        <f ca="1">INDEX(INDIRECT(CONCATENATE("Tab_",Tab_Calculs[[#This Row],[Colonne1]])),Tab_Calculs[[#This Row],[index_date_livraison]],6)*(1+MIN(Tab_Calculs[[#This Row],[Date_livraison]],Tab_Calculs[[#This Row],[fin mois]])-MAX(Tab_Calculs[[#This Row],[Début mois]],Tab_Calculs[[#This Row],[Début periode livraison]]))</f>
        <v>0</v>
      </c>
      <c r="M1447" s="94" t="e">
        <f ca="1">INDEX(INDIRECT(CONCATENATE("Tab_",Tab_Calculs[[#This Row],[Colonne1]])),Tab_Calculs[[#This Row],[index_date_livraison]]+1,6)*(Tab_Calculs[[#This Row],[fin mois]]-MIN(Tab_Calculs[[#This Row],[fin mois]],Tab_Calculs[[#This Row],[Date_livraison]]))</f>
        <v>#VALUE!</v>
      </c>
      <c r="N1447" s="231" t="str">
        <f ca="1">IFERROR(Tab_Calculs[[#This Row],[Ratio_jour_après_livr]]+Tab_Calculs[[#This Row],[Ratio_jour_avant_livr]]+Tab_Calculs[[#This Row],[ratio_avant_debut]],"")</f>
        <v/>
      </c>
      <c r="O1447" t="e">
        <f ca="1">INDEX(INDIRECT(CONCATENATE("Tab_",Tab_Calculs[[#This Row],[Colonne1]])),Tab_Calculs[[#This Row],[index_date_livraison]]-1,7)*(MAX(Tab_Calculs[[#This Row],[Début periode livraison]],Tab_Calculs[[#This Row],[Début mois]])-Tab_Calculs[[#This Row],[Début mois]])</f>
        <v>#VALUE!</v>
      </c>
      <c r="P1447">
        <f ca="1">INDEX(INDIRECT(CONCATENATE("Tab_",Tab_Calculs[[#This Row],[Colonne1]])),Tab_Calculs[[#This Row],[index_date_livraison]],7)*(1+MIN(Tab_Calculs[[#This Row],[Date_livraison]],Tab_Calculs[[#This Row],[fin mois]])-MAX(Tab_Calculs[[#This Row],[Début mois]],Tab_Calculs[[#This Row],[Début periode livraison]]))</f>
        <v>0</v>
      </c>
      <c r="Q1447" t="e">
        <f ca="1">INDEX(INDIRECT(CONCATENATE("Tab_",Tab_Calculs[[#This Row],[Colonne1]])),Tab_Calculs[[#This Row],[index_date_livraison]]+1,7)*(Tab_Calculs[[#This Row],[fin mois]]-MIN(Tab_Calculs[[#This Row],[fin mois]],Tab_Calculs[[#This Row],[Date_livraison]]))</f>
        <v>#VALUE!</v>
      </c>
      <c r="R1447" t="e">
        <f ca="1">Tab_Calculs[[#This Row],[Ratio_Cout_après_livr]]+Tab_Calculs[[#This Row],[Ratio_Cout_avant_livr]]+Tab_Calculs[[#This Row],[Ratio_Cout_avant_debut]]</f>
        <v>#VALUE!</v>
      </c>
      <c r="S1447" t="str">
        <f ca="1">IFERROR(N1447*VLOOKUP(Tab_Calculs[[#This Row],[Colonne1]],Controle_des_données!$B$7:$G$14,6,FALSE),"")</f>
        <v/>
      </c>
      <c r="T1447" t="str">
        <f ca="1">IF(Tab_Calculs[[#This Row],[Combustible ]]="Electricité (kWh)",Tab_Calculs[[#This Row],[Conso_mois_kWh]]*2.3,Tab_Calculs[[#This Row],[Conso_mois_kWh]])</f>
        <v/>
      </c>
      <c r="U1447" t="str">
        <f ca="1">IFERROR(N1447*VLOOKUP(Tab_Calculs[[#This Row],[Colonne1]],Controle_des_données!$B$7:$H$14,7,FALSE),"")</f>
        <v/>
      </c>
      <c r="V1447">
        <f ca="1">IFERROR(Tab_Calculs[[#This Row],[Cout_mois]]/Tab_Calculs[[#This Row],[Conso_mois_kWh]],0)</f>
        <v>0</v>
      </c>
      <c r="W1447" t="str">
        <f>T(VLOOKUP(Tab_Calculs[[#This Row],[Compteur]],Site!$B$33:$G$40,3,FALSE))</f>
        <v/>
      </c>
      <c r="X1447" t="str">
        <f>T(VLOOKUP(Tab_Calculs[[#This Row],[Compteur]],Site!$B$33:$G$40,4,FALSE))</f>
        <v/>
      </c>
      <c r="Y1447" t="str">
        <f>T(VLOOKUP(Tab_Calculs[[#This Row],[Compteur]],Site!$B$33:$G$40,5,FALSE))</f>
        <v/>
      </c>
      <c r="Z1447" t="str">
        <f>T(VLOOKUP(Tab_Calculs[[#This Row],[Compteur]],Site!$B$33:$G$40,6,FALSE))</f>
        <v/>
      </c>
      <c r="AA1447">
        <f>IFERROR(GETPIVOTDATA("DJU(chauffagiste)",BDD_DJU!$P$13,"annee",Tab_Calculs[[#This Row],[ANNEE]],"mois_numero",Tab_Calculs[[#This Row],[MOIS]]),0)</f>
        <v>289.89999999999998</v>
      </c>
    </row>
    <row r="1448" spans="1:27" x14ac:dyDescent="0.25">
      <c r="A1448" s="3">
        <f>DATE(Tab_Calculs[[#This Row],[ANNEE]],Tab_Calculs[[#This Row],[MOIS]],1)</f>
        <v>43070</v>
      </c>
      <c r="B1448" s="3">
        <f>EDATE(Tab_Calculs[[#This Row],[Début mois]],1)-1</f>
        <v>43100</v>
      </c>
      <c r="C1448">
        <f t="shared" si="50"/>
        <v>12</v>
      </c>
      <c r="D1448">
        <f t="shared" si="49"/>
        <v>2017</v>
      </c>
      <c r="E1448" t="s">
        <v>87</v>
      </c>
      <c r="F1448" t="str">
        <f>SUBSTITUTE(Tab_Calculs[[#This Row],[Compteur]]," ","_")</f>
        <v>Compteur_8</v>
      </c>
      <c r="G1448" t="str">
        <f>T(INDEX(Site!$B$33:$G$40, MATCH(Tab_Calculs[[#This Row],[Compteur]], Site!$B$33:$B$40,0),2))</f>
        <v/>
      </c>
      <c r="H1448" s="3">
        <f t="array" aca="1" ref="H1448" ca="1">MIN(IF(INDIRECT(CONCATENATE(Tab_Calculs[[#This Row],[Colonne1]],"!$B$2:$B$243"))&gt;=Calculs_Consos!$A1448,INDIRECT(CONCATENATE(Tab_Calculs[[#This Row],[Colonne1]],"!$B$2:$B$243"))))</f>
        <v>0</v>
      </c>
      <c r="I1448" s="3">
        <f ca="1">INDEX(INDIRECT(CONCATENATE("Tab_",Tab_Calculs[[#This Row],[Colonne1]])),Tab_Calculs[[#This Row],[index_date_livraison]],1)</f>
        <v>0</v>
      </c>
      <c r="J1448">
        <f ca="1">MATCH(Tab_Calculs[[#This Row],[Date_livraison]],INDIRECT(CONCATENATE("Tab_",Tab_Calculs[[#This Row],[Colonne1]],"[Fin de période]")),0)</f>
        <v>1</v>
      </c>
      <c r="K1448" t="e">
        <f ca="1">INDEX(INDIRECT(CONCATENATE("Tab_",Tab_Calculs[[#This Row],[Colonne1]])),Tab_Calculs[[#This Row],[index_date_livraison]]-1,6)*(MAX(Tab_Calculs[[#This Row],[Début periode livraison]],Tab_Calculs[[#This Row],[Début mois]])-Tab_Calculs[[#This Row],[Début mois]])</f>
        <v>#VALUE!</v>
      </c>
      <c r="L1448" s="94">
        <f ca="1">INDEX(INDIRECT(CONCATENATE("Tab_",Tab_Calculs[[#This Row],[Colonne1]])),Tab_Calculs[[#This Row],[index_date_livraison]],6)*(1+MIN(Tab_Calculs[[#This Row],[Date_livraison]],Tab_Calculs[[#This Row],[fin mois]])-MAX(Tab_Calculs[[#This Row],[Début mois]],Tab_Calculs[[#This Row],[Début periode livraison]]))</f>
        <v>0</v>
      </c>
      <c r="M1448" s="94" t="e">
        <f ca="1">INDEX(INDIRECT(CONCATENATE("Tab_",Tab_Calculs[[#This Row],[Colonne1]])),Tab_Calculs[[#This Row],[index_date_livraison]]+1,6)*(Tab_Calculs[[#This Row],[fin mois]]-MIN(Tab_Calculs[[#This Row],[fin mois]],Tab_Calculs[[#This Row],[Date_livraison]]))</f>
        <v>#VALUE!</v>
      </c>
      <c r="N1448" s="231" t="str">
        <f ca="1">IFERROR(Tab_Calculs[[#This Row],[Ratio_jour_après_livr]]+Tab_Calculs[[#This Row],[Ratio_jour_avant_livr]]+Tab_Calculs[[#This Row],[ratio_avant_debut]],"")</f>
        <v/>
      </c>
      <c r="O1448" t="e">
        <f ca="1">INDEX(INDIRECT(CONCATENATE("Tab_",Tab_Calculs[[#This Row],[Colonne1]])),Tab_Calculs[[#This Row],[index_date_livraison]]-1,7)*(MAX(Tab_Calculs[[#This Row],[Début periode livraison]],Tab_Calculs[[#This Row],[Début mois]])-Tab_Calculs[[#This Row],[Début mois]])</f>
        <v>#VALUE!</v>
      </c>
      <c r="P1448">
        <f ca="1">INDEX(INDIRECT(CONCATENATE("Tab_",Tab_Calculs[[#This Row],[Colonne1]])),Tab_Calculs[[#This Row],[index_date_livraison]],7)*(1+MIN(Tab_Calculs[[#This Row],[Date_livraison]],Tab_Calculs[[#This Row],[fin mois]])-MAX(Tab_Calculs[[#This Row],[Début mois]],Tab_Calculs[[#This Row],[Début periode livraison]]))</f>
        <v>0</v>
      </c>
      <c r="Q1448" t="e">
        <f ca="1">INDEX(INDIRECT(CONCATENATE("Tab_",Tab_Calculs[[#This Row],[Colonne1]])),Tab_Calculs[[#This Row],[index_date_livraison]]+1,7)*(Tab_Calculs[[#This Row],[fin mois]]-MIN(Tab_Calculs[[#This Row],[fin mois]],Tab_Calculs[[#This Row],[Date_livraison]]))</f>
        <v>#VALUE!</v>
      </c>
      <c r="R1448" t="e">
        <f ca="1">Tab_Calculs[[#This Row],[Ratio_Cout_après_livr]]+Tab_Calculs[[#This Row],[Ratio_Cout_avant_livr]]+Tab_Calculs[[#This Row],[Ratio_Cout_avant_debut]]</f>
        <v>#VALUE!</v>
      </c>
      <c r="S1448" t="str">
        <f ca="1">IFERROR(N1448*VLOOKUP(Tab_Calculs[[#This Row],[Colonne1]],Controle_des_données!$B$7:$G$14,6,FALSE),"")</f>
        <v/>
      </c>
      <c r="T1448" t="str">
        <f ca="1">IF(Tab_Calculs[[#This Row],[Combustible ]]="Electricité (kWh)",Tab_Calculs[[#This Row],[Conso_mois_kWh]]*2.3,Tab_Calculs[[#This Row],[Conso_mois_kWh]])</f>
        <v/>
      </c>
      <c r="U1448" t="str">
        <f ca="1">IFERROR(N1448*VLOOKUP(Tab_Calculs[[#This Row],[Colonne1]],Controle_des_données!$B$7:$H$14,7,FALSE),"")</f>
        <v/>
      </c>
      <c r="V1448">
        <f ca="1">IFERROR(Tab_Calculs[[#This Row],[Cout_mois]]/Tab_Calculs[[#This Row],[Conso_mois_kWh]],0)</f>
        <v>0</v>
      </c>
      <c r="W1448" t="str">
        <f>T(VLOOKUP(Tab_Calculs[[#This Row],[Compteur]],Site!$B$33:$G$40,3,FALSE))</f>
        <v/>
      </c>
      <c r="X1448" t="str">
        <f>T(VLOOKUP(Tab_Calculs[[#This Row],[Compteur]],Site!$B$33:$G$40,4,FALSE))</f>
        <v/>
      </c>
      <c r="Y1448" t="str">
        <f>T(VLOOKUP(Tab_Calculs[[#This Row],[Compteur]],Site!$B$33:$G$40,5,FALSE))</f>
        <v/>
      </c>
      <c r="Z1448" t="str">
        <f>T(VLOOKUP(Tab_Calculs[[#This Row],[Compteur]],Site!$B$33:$G$40,6,FALSE))</f>
        <v/>
      </c>
      <c r="AA1448">
        <f>IFERROR(GETPIVOTDATA("DJU(chauffagiste)",BDD_DJU!$P$13,"annee",Tab_Calculs[[#This Row],[ANNEE]],"mois_numero",Tab_Calculs[[#This Row],[MOIS]]),0)</f>
        <v>366.2</v>
      </c>
    </row>
    <row r="1449" spans="1:27" x14ac:dyDescent="0.25">
      <c r="A1449" s="3">
        <f>DATE(Tab_Calculs[[#This Row],[ANNEE]],Tab_Calculs[[#This Row],[MOIS]],1)</f>
        <v>43101</v>
      </c>
      <c r="B1449" s="3">
        <f>EDATE(Tab_Calculs[[#This Row],[Début mois]],1)-1</f>
        <v>43131</v>
      </c>
      <c r="C1449">
        <f t="shared" si="50"/>
        <v>1</v>
      </c>
      <c r="D1449">
        <f t="shared" si="49"/>
        <v>2018</v>
      </c>
      <c r="E1449" t="s">
        <v>87</v>
      </c>
      <c r="F1449" t="str">
        <f>SUBSTITUTE(Tab_Calculs[[#This Row],[Compteur]]," ","_")</f>
        <v>Compteur_8</v>
      </c>
      <c r="G1449" t="str">
        <f>T(INDEX(Site!$B$33:$G$40, MATCH(Tab_Calculs[[#This Row],[Compteur]], Site!$B$33:$B$40,0),2))</f>
        <v/>
      </c>
      <c r="H1449" s="3">
        <f t="array" aca="1" ref="H1449" ca="1">MIN(IF(INDIRECT(CONCATENATE(Tab_Calculs[[#This Row],[Colonne1]],"!$B$2:$B$243"))&gt;=Calculs_Consos!$A1449,INDIRECT(CONCATENATE(Tab_Calculs[[#This Row],[Colonne1]],"!$B$2:$B$243"))))</f>
        <v>0</v>
      </c>
      <c r="I1449" s="3">
        <f ca="1">INDEX(INDIRECT(CONCATENATE("Tab_",Tab_Calculs[[#This Row],[Colonne1]])),Tab_Calculs[[#This Row],[index_date_livraison]],1)</f>
        <v>0</v>
      </c>
      <c r="J1449">
        <f ca="1">MATCH(Tab_Calculs[[#This Row],[Date_livraison]],INDIRECT(CONCATENATE("Tab_",Tab_Calculs[[#This Row],[Colonne1]],"[Fin de période]")),0)</f>
        <v>1</v>
      </c>
      <c r="K1449" t="e">
        <f ca="1">INDEX(INDIRECT(CONCATENATE("Tab_",Tab_Calculs[[#This Row],[Colonne1]])),Tab_Calculs[[#This Row],[index_date_livraison]]-1,6)*(MAX(Tab_Calculs[[#This Row],[Début periode livraison]],Tab_Calculs[[#This Row],[Début mois]])-Tab_Calculs[[#This Row],[Début mois]])</f>
        <v>#VALUE!</v>
      </c>
      <c r="L1449" s="94">
        <f ca="1">INDEX(INDIRECT(CONCATENATE("Tab_",Tab_Calculs[[#This Row],[Colonne1]])),Tab_Calculs[[#This Row],[index_date_livraison]],6)*(1+MIN(Tab_Calculs[[#This Row],[Date_livraison]],Tab_Calculs[[#This Row],[fin mois]])-MAX(Tab_Calculs[[#This Row],[Début mois]],Tab_Calculs[[#This Row],[Début periode livraison]]))</f>
        <v>0</v>
      </c>
      <c r="M1449" s="94" t="e">
        <f ca="1">INDEX(INDIRECT(CONCATENATE("Tab_",Tab_Calculs[[#This Row],[Colonne1]])),Tab_Calculs[[#This Row],[index_date_livraison]]+1,6)*(Tab_Calculs[[#This Row],[fin mois]]-MIN(Tab_Calculs[[#This Row],[fin mois]],Tab_Calculs[[#This Row],[Date_livraison]]))</f>
        <v>#VALUE!</v>
      </c>
      <c r="N1449" s="231" t="str">
        <f ca="1">IFERROR(Tab_Calculs[[#This Row],[Ratio_jour_après_livr]]+Tab_Calculs[[#This Row],[Ratio_jour_avant_livr]]+Tab_Calculs[[#This Row],[ratio_avant_debut]],"")</f>
        <v/>
      </c>
      <c r="O1449" t="e">
        <f ca="1">INDEX(INDIRECT(CONCATENATE("Tab_",Tab_Calculs[[#This Row],[Colonne1]])),Tab_Calculs[[#This Row],[index_date_livraison]]-1,7)*(MAX(Tab_Calculs[[#This Row],[Début periode livraison]],Tab_Calculs[[#This Row],[Début mois]])-Tab_Calculs[[#This Row],[Début mois]])</f>
        <v>#VALUE!</v>
      </c>
      <c r="P1449">
        <f ca="1">INDEX(INDIRECT(CONCATENATE("Tab_",Tab_Calculs[[#This Row],[Colonne1]])),Tab_Calculs[[#This Row],[index_date_livraison]],7)*(1+MIN(Tab_Calculs[[#This Row],[Date_livraison]],Tab_Calculs[[#This Row],[fin mois]])-MAX(Tab_Calculs[[#This Row],[Début mois]],Tab_Calculs[[#This Row],[Début periode livraison]]))</f>
        <v>0</v>
      </c>
      <c r="Q1449" t="e">
        <f ca="1">INDEX(INDIRECT(CONCATENATE("Tab_",Tab_Calculs[[#This Row],[Colonne1]])),Tab_Calculs[[#This Row],[index_date_livraison]]+1,7)*(Tab_Calculs[[#This Row],[fin mois]]-MIN(Tab_Calculs[[#This Row],[fin mois]],Tab_Calculs[[#This Row],[Date_livraison]]))</f>
        <v>#VALUE!</v>
      </c>
      <c r="R1449" t="e">
        <f ca="1">Tab_Calculs[[#This Row],[Ratio_Cout_après_livr]]+Tab_Calculs[[#This Row],[Ratio_Cout_avant_livr]]+Tab_Calculs[[#This Row],[Ratio_Cout_avant_debut]]</f>
        <v>#VALUE!</v>
      </c>
      <c r="S1449" t="str">
        <f ca="1">IFERROR(N1449*VLOOKUP(Tab_Calculs[[#This Row],[Colonne1]],Controle_des_données!$B$7:$G$14,6,FALSE),"")</f>
        <v/>
      </c>
      <c r="T1449" t="str">
        <f ca="1">IF(Tab_Calculs[[#This Row],[Combustible ]]="Electricité (kWh)",Tab_Calculs[[#This Row],[Conso_mois_kWh]]*2.3,Tab_Calculs[[#This Row],[Conso_mois_kWh]])</f>
        <v/>
      </c>
      <c r="U1449" t="str">
        <f ca="1">IFERROR(N1449*VLOOKUP(Tab_Calculs[[#This Row],[Colonne1]],Controle_des_données!$B$7:$H$14,7,FALSE),"")</f>
        <v/>
      </c>
      <c r="V1449">
        <f ca="1">IFERROR(Tab_Calculs[[#This Row],[Cout_mois]]/Tab_Calculs[[#This Row],[Conso_mois_kWh]],0)</f>
        <v>0</v>
      </c>
      <c r="W1449" t="str">
        <f>T(VLOOKUP(Tab_Calculs[[#This Row],[Compteur]],Site!$B$33:$G$40,3,FALSE))</f>
        <v/>
      </c>
      <c r="X1449" t="str">
        <f>T(VLOOKUP(Tab_Calculs[[#This Row],[Compteur]],Site!$B$33:$G$40,4,FALSE))</f>
        <v/>
      </c>
      <c r="Y1449" t="str">
        <f>T(VLOOKUP(Tab_Calculs[[#This Row],[Compteur]],Site!$B$33:$G$40,5,FALSE))</f>
        <v/>
      </c>
      <c r="Z1449" t="str">
        <f>T(VLOOKUP(Tab_Calculs[[#This Row],[Compteur]],Site!$B$33:$G$40,6,FALSE))</f>
        <v/>
      </c>
      <c r="AA1449">
        <f>IFERROR(GETPIVOTDATA("DJU(chauffagiste)",BDD_DJU!$P$13,"annee",Tab_Calculs[[#This Row],[ANNEE]],"mois_numero",Tab_Calculs[[#This Row],[MOIS]]),0)</f>
        <v>298.60000000000002</v>
      </c>
    </row>
    <row r="1450" spans="1:27" x14ac:dyDescent="0.25">
      <c r="A1450" s="3">
        <f>DATE(Tab_Calculs[[#This Row],[ANNEE]],Tab_Calculs[[#This Row],[MOIS]],1)</f>
        <v>43132</v>
      </c>
      <c r="B1450" s="3">
        <f>EDATE(Tab_Calculs[[#This Row],[Début mois]],1)-1</f>
        <v>43159</v>
      </c>
      <c r="C1450">
        <f t="shared" si="50"/>
        <v>2</v>
      </c>
      <c r="D1450">
        <f t="shared" si="49"/>
        <v>2018</v>
      </c>
      <c r="E1450" t="s">
        <v>87</v>
      </c>
      <c r="F1450" t="str">
        <f>SUBSTITUTE(Tab_Calculs[[#This Row],[Compteur]]," ","_")</f>
        <v>Compteur_8</v>
      </c>
      <c r="G1450" t="str">
        <f>T(INDEX(Site!$B$33:$G$40, MATCH(Tab_Calculs[[#This Row],[Compteur]], Site!$B$33:$B$40,0),2))</f>
        <v/>
      </c>
      <c r="H1450" s="3">
        <f t="array" aca="1" ref="H1450" ca="1">MIN(IF(INDIRECT(CONCATENATE(Tab_Calculs[[#This Row],[Colonne1]],"!$B$2:$B$243"))&gt;=Calculs_Consos!$A1450,INDIRECT(CONCATENATE(Tab_Calculs[[#This Row],[Colonne1]],"!$B$2:$B$243"))))</f>
        <v>0</v>
      </c>
      <c r="I1450" s="3">
        <f ca="1">INDEX(INDIRECT(CONCATENATE("Tab_",Tab_Calculs[[#This Row],[Colonne1]])),Tab_Calculs[[#This Row],[index_date_livraison]],1)</f>
        <v>0</v>
      </c>
      <c r="J1450">
        <f ca="1">MATCH(Tab_Calculs[[#This Row],[Date_livraison]],INDIRECT(CONCATENATE("Tab_",Tab_Calculs[[#This Row],[Colonne1]],"[Fin de période]")),0)</f>
        <v>1</v>
      </c>
      <c r="K1450" t="e">
        <f ca="1">INDEX(INDIRECT(CONCATENATE("Tab_",Tab_Calculs[[#This Row],[Colonne1]])),Tab_Calculs[[#This Row],[index_date_livraison]]-1,6)*(MAX(Tab_Calculs[[#This Row],[Début periode livraison]],Tab_Calculs[[#This Row],[Début mois]])-Tab_Calculs[[#This Row],[Début mois]])</f>
        <v>#VALUE!</v>
      </c>
      <c r="L1450" s="94">
        <f ca="1">INDEX(INDIRECT(CONCATENATE("Tab_",Tab_Calculs[[#This Row],[Colonne1]])),Tab_Calculs[[#This Row],[index_date_livraison]],6)*(1+MIN(Tab_Calculs[[#This Row],[Date_livraison]],Tab_Calculs[[#This Row],[fin mois]])-MAX(Tab_Calculs[[#This Row],[Début mois]],Tab_Calculs[[#This Row],[Début periode livraison]]))</f>
        <v>0</v>
      </c>
      <c r="M1450" s="94" t="e">
        <f ca="1">INDEX(INDIRECT(CONCATENATE("Tab_",Tab_Calculs[[#This Row],[Colonne1]])),Tab_Calculs[[#This Row],[index_date_livraison]]+1,6)*(Tab_Calculs[[#This Row],[fin mois]]-MIN(Tab_Calculs[[#This Row],[fin mois]],Tab_Calculs[[#This Row],[Date_livraison]]))</f>
        <v>#VALUE!</v>
      </c>
      <c r="N1450" s="231" t="str">
        <f ca="1">IFERROR(Tab_Calculs[[#This Row],[Ratio_jour_après_livr]]+Tab_Calculs[[#This Row],[Ratio_jour_avant_livr]]+Tab_Calculs[[#This Row],[ratio_avant_debut]],"")</f>
        <v/>
      </c>
      <c r="O1450" t="e">
        <f ca="1">INDEX(INDIRECT(CONCATENATE("Tab_",Tab_Calculs[[#This Row],[Colonne1]])),Tab_Calculs[[#This Row],[index_date_livraison]]-1,7)*(MAX(Tab_Calculs[[#This Row],[Début periode livraison]],Tab_Calculs[[#This Row],[Début mois]])-Tab_Calculs[[#This Row],[Début mois]])</f>
        <v>#VALUE!</v>
      </c>
      <c r="P1450">
        <f ca="1">INDEX(INDIRECT(CONCATENATE("Tab_",Tab_Calculs[[#This Row],[Colonne1]])),Tab_Calculs[[#This Row],[index_date_livraison]],7)*(1+MIN(Tab_Calculs[[#This Row],[Date_livraison]],Tab_Calculs[[#This Row],[fin mois]])-MAX(Tab_Calculs[[#This Row],[Début mois]],Tab_Calculs[[#This Row],[Début periode livraison]]))</f>
        <v>0</v>
      </c>
      <c r="Q1450" t="e">
        <f ca="1">INDEX(INDIRECT(CONCATENATE("Tab_",Tab_Calculs[[#This Row],[Colonne1]])),Tab_Calculs[[#This Row],[index_date_livraison]]+1,7)*(Tab_Calculs[[#This Row],[fin mois]]-MIN(Tab_Calculs[[#This Row],[fin mois]],Tab_Calculs[[#This Row],[Date_livraison]]))</f>
        <v>#VALUE!</v>
      </c>
      <c r="R1450" t="e">
        <f ca="1">Tab_Calculs[[#This Row],[Ratio_Cout_après_livr]]+Tab_Calculs[[#This Row],[Ratio_Cout_avant_livr]]+Tab_Calculs[[#This Row],[Ratio_Cout_avant_debut]]</f>
        <v>#VALUE!</v>
      </c>
      <c r="S1450" t="str">
        <f ca="1">IFERROR(N1450*VLOOKUP(Tab_Calculs[[#This Row],[Colonne1]],Controle_des_données!$B$7:$G$14,6,FALSE),"")</f>
        <v/>
      </c>
      <c r="T1450" t="str">
        <f ca="1">IF(Tab_Calculs[[#This Row],[Combustible ]]="Electricité (kWh)",Tab_Calculs[[#This Row],[Conso_mois_kWh]]*2.3,Tab_Calculs[[#This Row],[Conso_mois_kWh]])</f>
        <v/>
      </c>
      <c r="U1450" t="str">
        <f ca="1">IFERROR(N1450*VLOOKUP(Tab_Calculs[[#This Row],[Colonne1]],Controle_des_données!$B$7:$H$14,7,FALSE),"")</f>
        <v/>
      </c>
      <c r="V1450">
        <f ca="1">IFERROR(Tab_Calculs[[#This Row],[Cout_mois]]/Tab_Calculs[[#This Row],[Conso_mois_kWh]],0)</f>
        <v>0</v>
      </c>
      <c r="W1450" t="str">
        <f>T(VLOOKUP(Tab_Calculs[[#This Row],[Compteur]],Site!$B$33:$G$40,3,FALSE))</f>
        <v/>
      </c>
      <c r="X1450" t="str">
        <f>T(VLOOKUP(Tab_Calculs[[#This Row],[Compteur]],Site!$B$33:$G$40,4,FALSE))</f>
        <v/>
      </c>
      <c r="Y1450" t="str">
        <f>T(VLOOKUP(Tab_Calculs[[#This Row],[Compteur]],Site!$B$33:$G$40,5,FALSE))</f>
        <v/>
      </c>
      <c r="Z1450" t="str">
        <f>T(VLOOKUP(Tab_Calculs[[#This Row],[Compteur]],Site!$B$33:$G$40,6,FALSE))</f>
        <v/>
      </c>
      <c r="AA1450">
        <f>IFERROR(GETPIVOTDATA("DJU(chauffagiste)",BDD_DJU!$P$13,"annee",Tab_Calculs[[#This Row],[ANNEE]],"mois_numero",Tab_Calculs[[#This Row],[MOIS]]),0)</f>
        <v>415.2</v>
      </c>
    </row>
    <row r="1451" spans="1:27" x14ac:dyDescent="0.25">
      <c r="A1451" s="3">
        <f>DATE(Tab_Calculs[[#This Row],[ANNEE]],Tab_Calculs[[#This Row],[MOIS]],1)</f>
        <v>43160</v>
      </c>
      <c r="B1451" s="3">
        <f>EDATE(Tab_Calculs[[#This Row],[Début mois]],1)-1</f>
        <v>43190</v>
      </c>
      <c r="C1451">
        <f t="shared" si="50"/>
        <v>3</v>
      </c>
      <c r="D1451">
        <f t="shared" si="49"/>
        <v>2018</v>
      </c>
      <c r="E1451" t="s">
        <v>87</v>
      </c>
      <c r="F1451" t="str">
        <f>SUBSTITUTE(Tab_Calculs[[#This Row],[Compteur]]," ","_")</f>
        <v>Compteur_8</v>
      </c>
      <c r="G1451" t="str">
        <f>T(INDEX(Site!$B$33:$G$40, MATCH(Tab_Calculs[[#This Row],[Compteur]], Site!$B$33:$B$40,0),2))</f>
        <v/>
      </c>
      <c r="H1451" s="3">
        <f t="array" aca="1" ref="H1451" ca="1">MIN(IF(INDIRECT(CONCATENATE(Tab_Calculs[[#This Row],[Colonne1]],"!$B$2:$B$243"))&gt;=Calculs_Consos!$A1451,INDIRECT(CONCATENATE(Tab_Calculs[[#This Row],[Colonne1]],"!$B$2:$B$243"))))</f>
        <v>0</v>
      </c>
      <c r="I1451" s="3">
        <f ca="1">INDEX(INDIRECT(CONCATENATE("Tab_",Tab_Calculs[[#This Row],[Colonne1]])),Tab_Calculs[[#This Row],[index_date_livraison]],1)</f>
        <v>0</v>
      </c>
      <c r="J1451">
        <f ca="1">MATCH(Tab_Calculs[[#This Row],[Date_livraison]],INDIRECT(CONCATENATE("Tab_",Tab_Calculs[[#This Row],[Colonne1]],"[Fin de période]")),0)</f>
        <v>1</v>
      </c>
      <c r="K1451" t="e">
        <f ca="1">INDEX(INDIRECT(CONCATENATE("Tab_",Tab_Calculs[[#This Row],[Colonne1]])),Tab_Calculs[[#This Row],[index_date_livraison]]-1,6)*(MAX(Tab_Calculs[[#This Row],[Début periode livraison]],Tab_Calculs[[#This Row],[Début mois]])-Tab_Calculs[[#This Row],[Début mois]])</f>
        <v>#VALUE!</v>
      </c>
      <c r="L1451" s="94">
        <f ca="1">INDEX(INDIRECT(CONCATENATE("Tab_",Tab_Calculs[[#This Row],[Colonne1]])),Tab_Calculs[[#This Row],[index_date_livraison]],6)*(1+MIN(Tab_Calculs[[#This Row],[Date_livraison]],Tab_Calculs[[#This Row],[fin mois]])-MAX(Tab_Calculs[[#This Row],[Début mois]],Tab_Calculs[[#This Row],[Début periode livraison]]))</f>
        <v>0</v>
      </c>
      <c r="M1451" s="94" t="e">
        <f ca="1">INDEX(INDIRECT(CONCATENATE("Tab_",Tab_Calculs[[#This Row],[Colonne1]])),Tab_Calculs[[#This Row],[index_date_livraison]]+1,6)*(Tab_Calculs[[#This Row],[fin mois]]-MIN(Tab_Calculs[[#This Row],[fin mois]],Tab_Calculs[[#This Row],[Date_livraison]]))</f>
        <v>#VALUE!</v>
      </c>
      <c r="N1451" s="231" t="str">
        <f ca="1">IFERROR(Tab_Calculs[[#This Row],[Ratio_jour_après_livr]]+Tab_Calculs[[#This Row],[Ratio_jour_avant_livr]]+Tab_Calculs[[#This Row],[ratio_avant_debut]],"")</f>
        <v/>
      </c>
      <c r="O1451" t="e">
        <f ca="1">INDEX(INDIRECT(CONCATENATE("Tab_",Tab_Calculs[[#This Row],[Colonne1]])),Tab_Calculs[[#This Row],[index_date_livraison]]-1,7)*(MAX(Tab_Calculs[[#This Row],[Début periode livraison]],Tab_Calculs[[#This Row],[Début mois]])-Tab_Calculs[[#This Row],[Début mois]])</f>
        <v>#VALUE!</v>
      </c>
      <c r="P1451">
        <f ca="1">INDEX(INDIRECT(CONCATENATE("Tab_",Tab_Calculs[[#This Row],[Colonne1]])),Tab_Calculs[[#This Row],[index_date_livraison]],7)*(1+MIN(Tab_Calculs[[#This Row],[Date_livraison]],Tab_Calculs[[#This Row],[fin mois]])-MAX(Tab_Calculs[[#This Row],[Début mois]],Tab_Calculs[[#This Row],[Début periode livraison]]))</f>
        <v>0</v>
      </c>
      <c r="Q1451" t="e">
        <f ca="1">INDEX(INDIRECT(CONCATENATE("Tab_",Tab_Calculs[[#This Row],[Colonne1]])),Tab_Calculs[[#This Row],[index_date_livraison]]+1,7)*(Tab_Calculs[[#This Row],[fin mois]]-MIN(Tab_Calculs[[#This Row],[fin mois]],Tab_Calculs[[#This Row],[Date_livraison]]))</f>
        <v>#VALUE!</v>
      </c>
      <c r="R1451" t="e">
        <f ca="1">Tab_Calculs[[#This Row],[Ratio_Cout_après_livr]]+Tab_Calculs[[#This Row],[Ratio_Cout_avant_livr]]+Tab_Calculs[[#This Row],[Ratio_Cout_avant_debut]]</f>
        <v>#VALUE!</v>
      </c>
      <c r="S1451" t="str">
        <f ca="1">IFERROR(N1451*VLOOKUP(Tab_Calculs[[#This Row],[Colonne1]],Controle_des_données!$B$7:$G$14,6,FALSE),"")</f>
        <v/>
      </c>
      <c r="T1451" t="str">
        <f ca="1">IF(Tab_Calculs[[#This Row],[Combustible ]]="Electricité (kWh)",Tab_Calculs[[#This Row],[Conso_mois_kWh]]*2.3,Tab_Calculs[[#This Row],[Conso_mois_kWh]])</f>
        <v/>
      </c>
      <c r="U1451" t="str">
        <f ca="1">IFERROR(N1451*VLOOKUP(Tab_Calculs[[#This Row],[Colonne1]],Controle_des_données!$B$7:$H$14,7,FALSE),"")</f>
        <v/>
      </c>
      <c r="V1451">
        <f ca="1">IFERROR(Tab_Calculs[[#This Row],[Cout_mois]]/Tab_Calculs[[#This Row],[Conso_mois_kWh]],0)</f>
        <v>0</v>
      </c>
      <c r="W1451" t="str">
        <f>T(VLOOKUP(Tab_Calculs[[#This Row],[Compteur]],Site!$B$33:$G$40,3,FALSE))</f>
        <v/>
      </c>
      <c r="X1451" t="str">
        <f>T(VLOOKUP(Tab_Calculs[[#This Row],[Compteur]],Site!$B$33:$G$40,4,FALSE))</f>
        <v/>
      </c>
      <c r="Y1451" t="str">
        <f>T(VLOOKUP(Tab_Calculs[[#This Row],[Compteur]],Site!$B$33:$G$40,5,FALSE))</f>
        <v/>
      </c>
      <c r="Z1451" t="str">
        <f>T(VLOOKUP(Tab_Calculs[[#This Row],[Compteur]],Site!$B$33:$G$40,6,FALSE))</f>
        <v/>
      </c>
      <c r="AA1451">
        <f>IFERROR(GETPIVOTDATA("DJU(chauffagiste)",BDD_DJU!$P$13,"annee",Tab_Calculs[[#This Row],[ANNEE]],"mois_numero",Tab_Calculs[[#This Row],[MOIS]]),0)</f>
        <v>305.39999999999998</v>
      </c>
    </row>
    <row r="1452" spans="1:27" x14ac:dyDescent="0.25">
      <c r="A1452" s="3">
        <f>DATE(Tab_Calculs[[#This Row],[ANNEE]],Tab_Calculs[[#This Row],[MOIS]],1)</f>
        <v>43191</v>
      </c>
      <c r="B1452" s="3">
        <f>EDATE(Tab_Calculs[[#This Row],[Début mois]],1)-1</f>
        <v>43220</v>
      </c>
      <c r="C1452">
        <f t="shared" si="50"/>
        <v>4</v>
      </c>
      <c r="D1452">
        <f t="shared" si="49"/>
        <v>2018</v>
      </c>
      <c r="E1452" t="s">
        <v>87</v>
      </c>
      <c r="F1452" t="str">
        <f>SUBSTITUTE(Tab_Calculs[[#This Row],[Compteur]]," ","_")</f>
        <v>Compteur_8</v>
      </c>
      <c r="G1452" t="str">
        <f>T(INDEX(Site!$B$33:$G$40, MATCH(Tab_Calculs[[#This Row],[Compteur]], Site!$B$33:$B$40,0),2))</f>
        <v/>
      </c>
      <c r="H1452" s="3">
        <f t="array" aca="1" ref="H1452" ca="1">MIN(IF(INDIRECT(CONCATENATE(Tab_Calculs[[#This Row],[Colonne1]],"!$B$2:$B$243"))&gt;=Calculs_Consos!$A1452,INDIRECT(CONCATENATE(Tab_Calculs[[#This Row],[Colonne1]],"!$B$2:$B$243"))))</f>
        <v>0</v>
      </c>
      <c r="I1452" s="3">
        <f ca="1">INDEX(INDIRECT(CONCATENATE("Tab_",Tab_Calculs[[#This Row],[Colonne1]])),Tab_Calculs[[#This Row],[index_date_livraison]],1)</f>
        <v>0</v>
      </c>
      <c r="J1452">
        <f ca="1">MATCH(Tab_Calculs[[#This Row],[Date_livraison]],INDIRECT(CONCATENATE("Tab_",Tab_Calculs[[#This Row],[Colonne1]],"[Fin de période]")),0)</f>
        <v>1</v>
      </c>
      <c r="K1452" t="e">
        <f ca="1">INDEX(INDIRECT(CONCATENATE("Tab_",Tab_Calculs[[#This Row],[Colonne1]])),Tab_Calculs[[#This Row],[index_date_livraison]]-1,6)*(MAX(Tab_Calculs[[#This Row],[Début periode livraison]],Tab_Calculs[[#This Row],[Début mois]])-Tab_Calculs[[#This Row],[Début mois]])</f>
        <v>#VALUE!</v>
      </c>
      <c r="L1452" s="94">
        <f ca="1">INDEX(INDIRECT(CONCATENATE("Tab_",Tab_Calculs[[#This Row],[Colonne1]])),Tab_Calculs[[#This Row],[index_date_livraison]],6)*(1+MIN(Tab_Calculs[[#This Row],[Date_livraison]],Tab_Calculs[[#This Row],[fin mois]])-MAX(Tab_Calculs[[#This Row],[Début mois]],Tab_Calculs[[#This Row],[Début periode livraison]]))</f>
        <v>0</v>
      </c>
      <c r="M1452" s="94" t="e">
        <f ca="1">INDEX(INDIRECT(CONCATENATE("Tab_",Tab_Calculs[[#This Row],[Colonne1]])),Tab_Calculs[[#This Row],[index_date_livraison]]+1,6)*(Tab_Calculs[[#This Row],[fin mois]]-MIN(Tab_Calculs[[#This Row],[fin mois]],Tab_Calculs[[#This Row],[Date_livraison]]))</f>
        <v>#VALUE!</v>
      </c>
      <c r="N1452" s="231" t="str">
        <f ca="1">IFERROR(Tab_Calculs[[#This Row],[Ratio_jour_après_livr]]+Tab_Calculs[[#This Row],[Ratio_jour_avant_livr]]+Tab_Calculs[[#This Row],[ratio_avant_debut]],"")</f>
        <v/>
      </c>
      <c r="O1452" t="e">
        <f ca="1">INDEX(INDIRECT(CONCATENATE("Tab_",Tab_Calculs[[#This Row],[Colonne1]])),Tab_Calculs[[#This Row],[index_date_livraison]]-1,7)*(MAX(Tab_Calculs[[#This Row],[Début periode livraison]],Tab_Calculs[[#This Row],[Début mois]])-Tab_Calculs[[#This Row],[Début mois]])</f>
        <v>#VALUE!</v>
      </c>
      <c r="P1452">
        <f ca="1">INDEX(INDIRECT(CONCATENATE("Tab_",Tab_Calculs[[#This Row],[Colonne1]])),Tab_Calculs[[#This Row],[index_date_livraison]],7)*(1+MIN(Tab_Calculs[[#This Row],[Date_livraison]],Tab_Calculs[[#This Row],[fin mois]])-MAX(Tab_Calculs[[#This Row],[Début mois]],Tab_Calculs[[#This Row],[Début periode livraison]]))</f>
        <v>0</v>
      </c>
      <c r="Q1452" t="e">
        <f ca="1">INDEX(INDIRECT(CONCATENATE("Tab_",Tab_Calculs[[#This Row],[Colonne1]])),Tab_Calculs[[#This Row],[index_date_livraison]]+1,7)*(Tab_Calculs[[#This Row],[fin mois]]-MIN(Tab_Calculs[[#This Row],[fin mois]],Tab_Calculs[[#This Row],[Date_livraison]]))</f>
        <v>#VALUE!</v>
      </c>
      <c r="R1452" t="e">
        <f ca="1">Tab_Calculs[[#This Row],[Ratio_Cout_après_livr]]+Tab_Calculs[[#This Row],[Ratio_Cout_avant_livr]]+Tab_Calculs[[#This Row],[Ratio_Cout_avant_debut]]</f>
        <v>#VALUE!</v>
      </c>
      <c r="S1452" t="str">
        <f ca="1">IFERROR(N1452*VLOOKUP(Tab_Calculs[[#This Row],[Colonne1]],Controle_des_données!$B$7:$G$14,6,FALSE),"")</f>
        <v/>
      </c>
      <c r="T1452" t="str">
        <f ca="1">IF(Tab_Calculs[[#This Row],[Combustible ]]="Electricité (kWh)",Tab_Calculs[[#This Row],[Conso_mois_kWh]]*2.3,Tab_Calculs[[#This Row],[Conso_mois_kWh]])</f>
        <v/>
      </c>
      <c r="U1452" t="str">
        <f ca="1">IFERROR(N1452*VLOOKUP(Tab_Calculs[[#This Row],[Colonne1]],Controle_des_données!$B$7:$H$14,7,FALSE),"")</f>
        <v/>
      </c>
      <c r="V1452">
        <f ca="1">IFERROR(Tab_Calculs[[#This Row],[Cout_mois]]/Tab_Calculs[[#This Row],[Conso_mois_kWh]],0)</f>
        <v>0</v>
      </c>
      <c r="W1452" t="str">
        <f>T(VLOOKUP(Tab_Calculs[[#This Row],[Compteur]],Site!$B$33:$G$40,3,FALSE))</f>
        <v/>
      </c>
      <c r="X1452" t="str">
        <f>T(VLOOKUP(Tab_Calculs[[#This Row],[Compteur]],Site!$B$33:$G$40,4,FALSE))</f>
        <v/>
      </c>
      <c r="Y1452" t="str">
        <f>T(VLOOKUP(Tab_Calculs[[#This Row],[Compteur]],Site!$B$33:$G$40,5,FALSE))</f>
        <v/>
      </c>
      <c r="Z1452" t="str">
        <f>T(VLOOKUP(Tab_Calculs[[#This Row],[Compteur]],Site!$B$33:$G$40,6,FALSE))</f>
        <v/>
      </c>
      <c r="AA1452">
        <f>IFERROR(GETPIVOTDATA("DJU(chauffagiste)",BDD_DJU!$P$13,"annee",Tab_Calculs[[#This Row],[ANNEE]],"mois_numero",Tab_Calculs[[#This Row],[MOIS]]),0)</f>
        <v>152.19999999999999</v>
      </c>
    </row>
    <row r="1453" spans="1:27" x14ac:dyDescent="0.25">
      <c r="A1453" s="3">
        <f>DATE(Tab_Calculs[[#This Row],[ANNEE]],Tab_Calculs[[#This Row],[MOIS]],1)</f>
        <v>43221</v>
      </c>
      <c r="B1453" s="3">
        <f>EDATE(Tab_Calculs[[#This Row],[Début mois]],1)-1</f>
        <v>43251</v>
      </c>
      <c r="C1453">
        <f t="shared" si="50"/>
        <v>5</v>
      </c>
      <c r="D1453">
        <f t="shared" si="49"/>
        <v>2018</v>
      </c>
      <c r="E1453" t="s">
        <v>87</v>
      </c>
      <c r="F1453" t="str">
        <f>SUBSTITUTE(Tab_Calculs[[#This Row],[Compteur]]," ","_")</f>
        <v>Compteur_8</v>
      </c>
      <c r="G1453" t="str">
        <f>T(INDEX(Site!$B$33:$G$40, MATCH(Tab_Calculs[[#This Row],[Compteur]], Site!$B$33:$B$40,0),2))</f>
        <v/>
      </c>
      <c r="H1453" s="3">
        <f t="array" aca="1" ref="H1453" ca="1">MIN(IF(INDIRECT(CONCATENATE(Tab_Calculs[[#This Row],[Colonne1]],"!$B$2:$B$243"))&gt;=Calculs_Consos!$A1453,INDIRECT(CONCATENATE(Tab_Calculs[[#This Row],[Colonne1]],"!$B$2:$B$243"))))</f>
        <v>0</v>
      </c>
      <c r="I1453" s="3">
        <f ca="1">INDEX(INDIRECT(CONCATENATE("Tab_",Tab_Calculs[[#This Row],[Colonne1]])),Tab_Calculs[[#This Row],[index_date_livraison]],1)</f>
        <v>0</v>
      </c>
      <c r="J1453">
        <f ca="1">MATCH(Tab_Calculs[[#This Row],[Date_livraison]],INDIRECT(CONCATENATE("Tab_",Tab_Calculs[[#This Row],[Colonne1]],"[Fin de période]")),0)</f>
        <v>1</v>
      </c>
      <c r="K1453" t="e">
        <f ca="1">INDEX(INDIRECT(CONCATENATE("Tab_",Tab_Calculs[[#This Row],[Colonne1]])),Tab_Calculs[[#This Row],[index_date_livraison]]-1,6)*(MAX(Tab_Calculs[[#This Row],[Début periode livraison]],Tab_Calculs[[#This Row],[Début mois]])-Tab_Calculs[[#This Row],[Début mois]])</f>
        <v>#VALUE!</v>
      </c>
      <c r="L1453" s="94">
        <f ca="1">INDEX(INDIRECT(CONCATENATE("Tab_",Tab_Calculs[[#This Row],[Colonne1]])),Tab_Calculs[[#This Row],[index_date_livraison]],6)*(1+MIN(Tab_Calculs[[#This Row],[Date_livraison]],Tab_Calculs[[#This Row],[fin mois]])-MAX(Tab_Calculs[[#This Row],[Début mois]],Tab_Calculs[[#This Row],[Début periode livraison]]))</f>
        <v>0</v>
      </c>
      <c r="M1453" s="94" t="e">
        <f ca="1">INDEX(INDIRECT(CONCATENATE("Tab_",Tab_Calculs[[#This Row],[Colonne1]])),Tab_Calculs[[#This Row],[index_date_livraison]]+1,6)*(Tab_Calculs[[#This Row],[fin mois]]-MIN(Tab_Calculs[[#This Row],[fin mois]],Tab_Calculs[[#This Row],[Date_livraison]]))</f>
        <v>#VALUE!</v>
      </c>
      <c r="N1453" s="231" t="str">
        <f ca="1">IFERROR(Tab_Calculs[[#This Row],[Ratio_jour_après_livr]]+Tab_Calculs[[#This Row],[Ratio_jour_avant_livr]]+Tab_Calculs[[#This Row],[ratio_avant_debut]],"")</f>
        <v/>
      </c>
      <c r="O1453" t="e">
        <f ca="1">INDEX(INDIRECT(CONCATENATE("Tab_",Tab_Calculs[[#This Row],[Colonne1]])),Tab_Calculs[[#This Row],[index_date_livraison]]-1,7)*(MAX(Tab_Calculs[[#This Row],[Début periode livraison]],Tab_Calculs[[#This Row],[Début mois]])-Tab_Calculs[[#This Row],[Début mois]])</f>
        <v>#VALUE!</v>
      </c>
      <c r="P1453">
        <f ca="1">INDEX(INDIRECT(CONCATENATE("Tab_",Tab_Calculs[[#This Row],[Colonne1]])),Tab_Calculs[[#This Row],[index_date_livraison]],7)*(1+MIN(Tab_Calculs[[#This Row],[Date_livraison]],Tab_Calculs[[#This Row],[fin mois]])-MAX(Tab_Calculs[[#This Row],[Début mois]],Tab_Calculs[[#This Row],[Début periode livraison]]))</f>
        <v>0</v>
      </c>
      <c r="Q1453" t="e">
        <f ca="1">INDEX(INDIRECT(CONCATENATE("Tab_",Tab_Calculs[[#This Row],[Colonne1]])),Tab_Calculs[[#This Row],[index_date_livraison]]+1,7)*(Tab_Calculs[[#This Row],[fin mois]]-MIN(Tab_Calculs[[#This Row],[fin mois]],Tab_Calculs[[#This Row],[Date_livraison]]))</f>
        <v>#VALUE!</v>
      </c>
      <c r="R1453" t="e">
        <f ca="1">Tab_Calculs[[#This Row],[Ratio_Cout_après_livr]]+Tab_Calculs[[#This Row],[Ratio_Cout_avant_livr]]+Tab_Calculs[[#This Row],[Ratio_Cout_avant_debut]]</f>
        <v>#VALUE!</v>
      </c>
      <c r="S1453" t="str">
        <f ca="1">IFERROR(N1453*VLOOKUP(Tab_Calculs[[#This Row],[Colonne1]],Controle_des_données!$B$7:$G$14,6,FALSE),"")</f>
        <v/>
      </c>
      <c r="T1453" t="str">
        <f ca="1">IF(Tab_Calculs[[#This Row],[Combustible ]]="Electricité (kWh)",Tab_Calculs[[#This Row],[Conso_mois_kWh]]*2.3,Tab_Calculs[[#This Row],[Conso_mois_kWh]])</f>
        <v/>
      </c>
      <c r="U1453" t="str">
        <f ca="1">IFERROR(N1453*VLOOKUP(Tab_Calculs[[#This Row],[Colonne1]],Controle_des_données!$B$7:$H$14,7,FALSE),"")</f>
        <v/>
      </c>
      <c r="V1453">
        <f ca="1">IFERROR(Tab_Calculs[[#This Row],[Cout_mois]]/Tab_Calculs[[#This Row],[Conso_mois_kWh]],0)</f>
        <v>0</v>
      </c>
      <c r="W1453" t="str">
        <f>T(VLOOKUP(Tab_Calculs[[#This Row],[Compteur]],Site!$B$33:$G$40,3,FALSE))</f>
        <v/>
      </c>
      <c r="X1453" t="str">
        <f>T(VLOOKUP(Tab_Calculs[[#This Row],[Compteur]],Site!$B$33:$G$40,4,FALSE))</f>
        <v/>
      </c>
      <c r="Y1453" t="str">
        <f>T(VLOOKUP(Tab_Calculs[[#This Row],[Compteur]],Site!$B$33:$G$40,5,FALSE))</f>
        <v/>
      </c>
      <c r="Z1453" t="str">
        <f>T(VLOOKUP(Tab_Calculs[[#This Row],[Compteur]],Site!$B$33:$G$40,6,FALSE))</f>
        <v/>
      </c>
      <c r="AA1453">
        <f>IFERROR(GETPIVOTDATA("DJU(chauffagiste)",BDD_DJU!$P$13,"annee",Tab_Calculs[[#This Row],[ANNEE]],"mois_numero",Tab_Calculs[[#This Row],[MOIS]]),0)</f>
        <v>95.8</v>
      </c>
    </row>
    <row r="1454" spans="1:27" x14ac:dyDescent="0.25">
      <c r="A1454" s="3">
        <f>DATE(Tab_Calculs[[#This Row],[ANNEE]],Tab_Calculs[[#This Row],[MOIS]],1)</f>
        <v>43252</v>
      </c>
      <c r="B1454" s="3">
        <f>EDATE(Tab_Calculs[[#This Row],[Début mois]],1)-1</f>
        <v>43281</v>
      </c>
      <c r="C1454">
        <f t="shared" si="50"/>
        <v>6</v>
      </c>
      <c r="D1454">
        <f t="shared" si="49"/>
        <v>2018</v>
      </c>
      <c r="E1454" t="s">
        <v>87</v>
      </c>
      <c r="F1454" t="str">
        <f>SUBSTITUTE(Tab_Calculs[[#This Row],[Compteur]]," ","_")</f>
        <v>Compteur_8</v>
      </c>
      <c r="G1454" t="str">
        <f>T(INDEX(Site!$B$33:$G$40, MATCH(Tab_Calculs[[#This Row],[Compteur]], Site!$B$33:$B$40,0),2))</f>
        <v/>
      </c>
      <c r="H1454" s="3">
        <f t="array" aca="1" ref="H1454" ca="1">MIN(IF(INDIRECT(CONCATENATE(Tab_Calculs[[#This Row],[Colonne1]],"!$B$2:$B$243"))&gt;=Calculs_Consos!$A1454,INDIRECT(CONCATENATE(Tab_Calculs[[#This Row],[Colonne1]],"!$B$2:$B$243"))))</f>
        <v>0</v>
      </c>
      <c r="I1454" s="3">
        <f ca="1">INDEX(INDIRECT(CONCATENATE("Tab_",Tab_Calculs[[#This Row],[Colonne1]])),Tab_Calculs[[#This Row],[index_date_livraison]],1)</f>
        <v>0</v>
      </c>
      <c r="J1454">
        <f ca="1">MATCH(Tab_Calculs[[#This Row],[Date_livraison]],INDIRECT(CONCATENATE("Tab_",Tab_Calculs[[#This Row],[Colonne1]],"[Fin de période]")),0)</f>
        <v>1</v>
      </c>
      <c r="K1454" t="e">
        <f ca="1">INDEX(INDIRECT(CONCATENATE("Tab_",Tab_Calculs[[#This Row],[Colonne1]])),Tab_Calculs[[#This Row],[index_date_livraison]]-1,6)*(MAX(Tab_Calculs[[#This Row],[Début periode livraison]],Tab_Calculs[[#This Row],[Début mois]])-Tab_Calculs[[#This Row],[Début mois]])</f>
        <v>#VALUE!</v>
      </c>
      <c r="L1454" s="94">
        <f ca="1">INDEX(INDIRECT(CONCATENATE("Tab_",Tab_Calculs[[#This Row],[Colonne1]])),Tab_Calculs[[#This Row],[index_date_livraison]],6)*(1+MIN(Tab_Calculs[[#This Row],[Date_livraison]],Tab_Calculs[[#This Row],[fin mois]])-MAX(Tab_Calculs[[#This Row],[Début mois]],Tab_Calculs[[#This Row],[Début periode livraison]]))</f>
        <v>0</v>
      </c>
      <c r="M1454" s="94" t="e">
        <f ca="1">INDEX(INDIRECT(CONCATENATE("Tab_",Tab_Calculs[[#This Row],[Colonne1]])),Tab_Calculs[[#This Row],[index_date_livraison]]+1,6)*(Tab_Calculs[[#This Row],[fin mois]]-MIN(Tab_Calculs[[#This Row],[fin mois]],Tab_Calculs[[#This Row],[Date_livraison]]))</f>
        <v>#VALUE!</v>
      </c>
      <c r="N1454" s="231" t="str">
        <f ca="1">IFERROR(Tab_Calculs[[#This Row],[Ratio_jour_après_livr]]+Tab_Calculs[[#This Row],[Ratio_jour_avant_livr]]+Tab_Calculs[[#This Row],[ratio_avant_debut]],"")</f>
        <v/>
      </c>
      <c r="O1454" t="e">
        <f ca="1">INDEX(INDIRECT(CONCATENATE("Tab_",Tab_Calculs[[#This Row],[Colonne1]])),Tab_Calculs[[#This Row],[index_date_livraison]]-1,7)*(MAX(Tab_Calculs[[#This Row],[Début periode livraison]],Tab_Calculs[[#This Row],[Début mois]])-Tab_Calculs[[#This Row],[Début mois]])</f>
        <v>#VALUE!</v>
      </c>
      <c r="P1454">
        <f ca="1">INDEX(INDIRECT(CONCATENATE("Tab_",Tab_Calculs[[#This Row],[Colonne1]])),Tab_Calculs[[#This Row],[index_date_livraison]],7)*(1+MIN(Tab_Calculs[[#This Row],[Date_livraison]],Tab_Calculs[[#This Row],[fin mois]])-MAX(Tab_Calculs[[#This Row],[Début mois]],Tab_Calculs[[#This Row],[Début periode livraison]]))</f>
        <v>0</v>
      </c>
      <c r="Q1454" t="e">
        <f ca="1">INDEX(INDIRECT(CONCATENATE("Tab_",Tab_Calculs[[#This Row],[Colonne1]])),Tab_Calculs[[#This Row],[index_date_livraison]]+1,7)*(Tab_Calculs[[#This Row],[fin mois]]-MIN(Tab_Calculs[[#This Row],[fin mois]],Tab_Calculs[[#This Row],[Date_livraison]]))</f>
        <v>#VALUE!</v>
      </c>
      <c r="R1454" t="e">
        <f ca="1">Tab_Calculs[[#This Row],[Ratio_Cout_après_livr]]+Tab_Calculs[[#This Row],[Ratio_Cout_avant_livr]]+Tab_Calculs[[#This Row],[Ratio_Cout_avant_debut]]</f>
        <v>#VALUE!</v>
      </c>
      <c r="S1454" t="str">
        <f ca="1">IFERROR(N1454*VLOOKUP(Tab_Calculs[[#This Row],[Colonne1]],Controle_des_données!$B$7:$G$14,6,FALSE),"")</f>
        <v/>
      </c>
      <c r="T1454" t="str">
        <f ca="1">IF(Tab_Calculs[[#This Row],[Combustible ]]="Electricité (kWh)",Tab_Calculs[[#This Row],[Conso_mois_kWh]]*2.3,Tab_Calculs[[#This Row],[Conso_mois_kWh]])</f>
        <v/>
      </c>
      <c r="U1454" t="str">
        <f ca="1">IFERROR(N1454*VLOOKUP(Tab_Calculs[[#This Row],[Colonne1]],Controle_des_données!$B$7:$H$14,7,FALSE),"")</f>
        <v/>
      </c>
      <c r="V1454">
        <f ca="1">IFERROR(Tab_Calculs[[#This Row],[Cout_mois]]/Tab_Calculs[[#This Row],[Conso_mois_kWh]],0)</f>
        <v>0</v>
      </c>
      <c r="W1454" t="str">
        <f>T(VLOOKUP(Tab_Calculs[[#This Row],[Compteur]],Site!$B$33:$G$40,3,FALSE))</f>
        <v/>
      </c>
      <c r="X1454" t="str">
        <f>T(VLOOKUP(Tab_Calculs[[#This Row],[Compteur]],Site!$B$33:$G$40,4,FALSE))</f>
        <v/>
      </c>
      <c r="Y1454" t="str">
        <f>T(VLOOKUP(Tab_Calculs[[#This Row],[Compteur]],Site!$B$33:$G$40,5,FALSE))</f>
        <v/>
      </c>
      <c r="Z1454" t="str">
        <f>T(VLOOKUP(Tab_Calculs[[#This Row],[Compteur]],Site!$B$33:$G$40,6,FALSE))</f>
        <v/>
      </c>
      <c r="AA1454">
        <f>IFERROR(GETPIVOTDATA("DJU(chauffagiste)",BDD_DJU!$P$13,"annee",Tab_Calculs[[#This Row],[ANNEE]],"mois_numero",Tab_Calculs[[#This Row],[MOIS]]),0)</f>
        <v>25.4</v>
      </c>
    </row>
    <row r="1455" spans="1:27" x14ac:dyDescent="0.25">
      <c r="A1455" s="3">
        <f>DATE(Tab_Calculs[[#This Row],[ANNEE]],Tab_Calculs[[#This Row],[MOIS]],1)</f>
        <v>43282</v>
      </c>
      <c r="B1455" s="3">
        <f>EDATE(Tab_Calculs[[#This Row],[Début mois]],1)-1</f>
        <v>43312</v>
      </c>
      <c r="C1455">
        <f t="shared" si="50"/>
        <v>7</v>
      </c>
      <c r="D1455">
        <f t="shared" si="49"/>
        <v>2018</v>
      </c>
      <c r="E1455" t="s">
        <v>87</v>
      </c>
      <c r="F1455" t="str">
        <f>SUBSTITUTE(Tab_Calculs[[#This Row],[Compteur]]," ","_")</f>
        <v>Compteur_8</v>
      </c>
      <c r="G1455" t="str">
        <f>T(INDEX(Site!$B$33:$G$40, MATCH(Tab_Calculs[[#This Row],[Compteur]], Site!$B$33:$B$40,0),2))</f>
        <v/>
      </c>
      <c r="H1455" s="3">
        <f t="array" aca="1" ref="H1455" ca="1">MIN(IF(INDIRECT(CONCATENATE(Tab_Calculs[[#This Row],[Colonne1]],"!$B$2:$B$243"))&gt;=Calculs_Consos!$A1455,INDIRECT(CONCATENATE(Tab_Calculs[[#This Row],[Colonne1]],"!$B$2:$B$243"))))</f>
        <v>0</v>
      </c>
      <c r="I1455" s="3">
        <f ca="1">INDEX(INDIRECT(CONCATENATE("Tab_",Tab_Calculs[[#This Row],[Colonne1]])),Tab_Calculs[[#This Row],[index_date_livraison]],1)</f>
        <v>0</v>
      </c>
      <c r="J1455">
        <f ca="1">MATCH(Tab_Calculs[[#This Row],[Date_livraison]],INDIRECT(CONCATENATE("Tab_",Tab_Calculs[[#This Row],[Colonne1]],"[Fin de période]")),0)</f>
        <v>1</v>
      </c>
      <c r="K1455" t="e">
        <f ca="1">INDEX(INDIRECT(CONCATENATE("Tab_",Tab_Calculs[[#This Row],[Colonne1]])),Tab_Calculs[[#This Row],[index_date_livraison]]-1,6)*(MAX(Tab_Calculs[[#This Row],[Début periode livraison]],Tab_Calculs[[#This Row],[Début mois]])-Tab_Calculs[[#This Row],[Début mois]])</f>
        <v>#VALUE!</v>
      </c>
      <c r="L1455" s="94">
        <f ca="1">INDEX(INDIRECT(CONCATENATE("Tab_",Tab_Calculs[[#This Row],[Colonne1]])),Tab_Calculs[[#This Row],[index_date_livraison]],6)*(1+MIN(Tab_Calculs[[#This Row],[Date_livraison]],Tab_Calculs[[#This Row],[fin mois]])-MAX(Tab_Calculs[[#This Row],[Début mois]],Tab_Calculs[[#This Row],[Début periode livraison]]))</f>
        <v>0</v>
      </c>
      <c r="M1455" s="94" t="e">
        <f ca="1">INDEX(INDIRECT(CONCATENATE("Tab_",Tab_Calculs[[#This Row],[Colonne1]])),Tab_Calculs[[#This Row],[index_date_livraison]]+1,6)*(Tab_Calculs[[#This Row],[fin mois]]-MIN(Tab_Calculs[[#This Row],[fin mois]],Tab_Calculs[[#This Row],[Date_livraison]]))</f>
        <v>#VALUE!</v>
      </c>
      <c r="N1455" s="231" t="str">
        <f ca="1">IFERROR(Tab_Calculs[[#This Row],[Ratio_jour_après_livr]]+Tab_Calculs[[#This Row],[Ratio_jour_avant_livr]]+Tab_Calculs[[#This Row],[ratio_avant_debut]],"")</f>
        <v/>
      </c>
      <c r="O1455" t="e">
        <f ca="1">INDEX(INDIRECT(CONCATENATE("Tab_",Tab_Calculs[[#This Row],[Colonne1]])),Tab_Calculs[[#This Row],[index_date_livraison]]-1,7)*(MAX(Tab_Calculs[[#This Row],[Début periode livraison]],Tab_Calculs[[#This Row],[Début mois]])-Tab_Calculs[[#This Row],[Début mois]])</f>
        <v>#VALUE!</v>
      </c>
      <c r="P1455">
        <f ca="1">INDEX(INDIRECT(CONCATENATE("Tab_",Tab_Calculs[[#This Row],[Colonne1]])),Tab_Calculs[[#This Row],[index_date_livraison]],7)*(1+MIN(Tab_Calculs[[#This Row],[Date_livraison]],Tab_Calculs[[#This Row],[fin mois]])-MAX(Tab_Calculs[[#This Row],[Début mois]],Tab_Calculs[[#This Row],[Début periode livraison]]))</f>
        <v>0</v>
      </c>
      <c r="Q1455" t="e">
        <f ca="1">INDEX(INDIRECT(CONCATENATE("Tab_",Tab_Calculs[[#This Row],[Colonne1]])),Tab_Calculs[[#This Row],[index_date_livraison]]+1,7)*(Tab_Calculs[[#This Row],[fin mois]]-MIN(Tab_Calculs[[#This Row],[fin mois]],Tab_Calculs[[#This Row],[Date_livraison]]))</f>
        <v>#VALUE!</v>
      </c>
      <c r="R1455" t="e">
        <f ca="1">Tab_Calculs[[#This Row],[Ratio_Cout_après_livr]]+Tab_Calculs[[#This Row],[Ratio_Cout_avant_livr]]+Tab_Calculs[[#This Row],[Ratio_Cout_avant_debut]]</f>
        <v>#VALUE!</v>
      </c>
      <c r="S1455" t="str">
        <f ca="1">IFERROR(N1455*VLOOKUP(Tab_Calculs[[#This Row],[Colonne1]],Controle_des_données!$B$7:$G$14,6,FALSE),"")</f>
        <v/>
      </c>
      <c r="T1455" t="str">
        <f ca="1">IF(Tab_Calculs[[#This Row],[Combustible ]]="Electricité (kWh)",Tab_Calculs[[#This Row],[Conso_mois_kWh]]*2.3,Tab_Calculs[[#This Row],[Conso_mois_kWh]])</f>
        <v/>
      </c>
      <c r="U1455" t="str">
        <f ca="1">IFERROR(N1455*VLOOKUP(Tab_Calculs[[#This Row],[Colonne1]],Controle_des_données!$B$7:$H$14,7,FALSE),"")</f>
        <v/>
      </c>
      <c r="V1455">
        <f ca="1">IFERROR(Tab_Calculs[[#This Row],[Cout_mois]]/Tab_Calculs[[#This Row],[Conso_mois_kWh]],0)</f>
        <v>0</v>
      </c>
      <c r="W1455" t="str">
        <f>T(VLOOKUP(Tab_Calculs[[#This Row],[Compteur]],Site!$B$33:$G$40,3,FALSE))</f>
        <v/>
      </c>
      <c r="X1455" t="str">
        <f>T(VLOOKUP(Tab_Calculs[[#This Row],[Compteur]],Site!$B$33:$G$40,4,FALSE))</f>
        <v/>
      </c>
      <c r="Y1455" t="str">
        <f>T(VLOOKUP(Tab_Calculs[[#This Row],[Compteur]],Site!$B$33:$G$40,5,FALSE))</f>
        <v/>
      </c>
      <c r="Z1455" t="str">
        <f>T(VLOOKUP(Tab_Calculs[[#This Row],[Compteur]],Site!$B$33:$G$40,6,FALSE))</f>
        <v/>
      </c>
      <c r="AA1455">
        <f>IFERROR(GETPIVOTDATA("DJU(chauffagiste)",BDD_DJU!$P$13,"annee",Tab_Calculs[[#This Row],[ANNEE]],"mois_numero",Tab_Calculs[[#This Row],[MOIS]]),0)</f>
        <v>5.9</v>
      </c>
    </row>
    <row r="1456" spans="1:27" x14ac:dyDescent="0.25">
      <c r="A1456" s="3">
        <f>DATE(Tab_Calculs[[#This Row],[ANNEE]],Tab_Calculs[[#This Row],[MOIS]],1)</f>
        <v>43313</v>
      </c>
      <c r="B1456" s="3">
        <f>EDATE(Tab_Calculs[[#This Row],[Début mois]],1)-1</f>
        <v>43343</v>
      </c>
      <c r="C1456">
        <f t="shared" si="50"/>
        <v>8</v>
      </c>
      <c r="D1456">
        <f t="shared" si="49"/>
        <v>2018</v>
      </c>
      <c r="E1456" t="s">
        <v>87</v>
      </c>
      <c r="F1456" t="str">
        <f>SUBSTITUTE(Tab_Calculs[[#This Row],[Compteur]]," ","_")</f>
        <v>Compteur_8</v>
      </c>
      <c r="G1456" t="str">
        <f>T(INDEX(Site!$B$33:$G$40, MATCH(Tab_Calculs[[#This Row],[Compteur]], Site!$B$33:$B$40,0),2))</f>
        <v/>
      </c>
      <c r="H1456" s="3">
        <f t="array" aca="1" ref="H1456" ca="1">MIN(IF(INDIRECT(CONCATENATE(Tab_Calculs[[#This Row],[Colonne1]],"!$B$2:$B$243"))&gt;=Calculs_Consos!$A1456,INDIRECT(CONCATENATE(Tab_Calculs[[#This Row],[Colonne1]],"!$B$2:$B$243"))))</f>
        <v>0</v>
      </c>
      <c r="I1456" s="3">
        <f ca="1">INDEX(INDIRECT(CONCATENATE("Tab_",Tab_Calculs[[#This Row],[Colonne1]])),Tab_Calculs[[#This Row],[index_date_livraison]],1)</f>
        <v>0</v>
      </c>
      <c r="J1456">
        <f ca="1">MATCH(Tab_Calculs[[#This Row],[Date_livraison]],INDIRECT(CONCATENATE("Tab_",Tab_Calculs[[#This Row],[Colonne1]],"[Fin de période]")),0)</f>
        <v>1</v>
      </c>
      <c r="K1456" t="e">
        <f ca="1">INDEX(INDIRECT(CONCATENATE("Tab_",Tab_Calculs[[#This Row],[Colonne1]])),Tab_Calculs[[#This Row],[index_date_livraison]]-1,6)*(MAX(Tab_Calculs[[#This Row],[Début periode livraison]],Tab_Calculs[[#This Row],[Début mois]])-Tab_Calculs[[#This Row],[Début mois]])</f>
        <v>#VALUE!</v>
      </c>
      <c r="L1456" s="94">
        <f ca="1">INDEX(INDIRECT(CONCATENATE("Tab_",Tab_Calculs[[#This Row],[Colonne1]])),Tab_Calculs[[#This Row],[index_date_livraison]],6)*(1+MIN(Tab_Calculs[[#This Row],[Date_livraison]],Tab_Calculs[[#This Row],[fin mois]])-MAX(Tab_Calculs[[#This Row],[Début mois]],Tab_Calculs[[#This Row],[Début periode livraison]]))</f>
        <v>0</v>
      </c>
      <c r="M1456" s="94" t="e">
        <f ca="1">INDEX(INDIRECT(CONCATENATE("Tab_",Tab_Calculs[[#This Row],[Colonne1]])),Tab_Calculs[[#This Row],[index_date_livraison]]+1,6)*(Tab_Calculs[[#This Row],[fin mois]]-MIN(Tab_Calculs[[#This Row],[fin mois]],Tab_Calculs[[#This Row],[Date_livraison]]))</f>
        <v>#VALUE!</v>
      </c>
      <c r="N1456" s="231" t="str">
        <f ca="1">IFERROR(Tab_Calculs[[#This Row],[Ratio_jour_après_livr]]+Tab_Calculs[[#This Row],[Ratio_jour_avant_livr]]+Tab_Calculs[[#This Row],[ratio_avant_debut]],"")</f>
        <v/>
      </c>
      <c r="O1456" t="e">
        <f ca="1">INDEX(INDIRECT(CONCATENATE("Tab_",Tab_Calculs[[#This Row],[Colonne1]])),Tab_Calculs[[#This Row],[index_date_livraison]]-1,7)*(MAX(Tab_Calculs[[#This Row],[Début periode livraison]],Tab_Calculs[[#This Row],[Début mois]])-Tab_Calculs[[#This Row],[Début mois]])</f>
        <v>#VALUE!</v>
      </c>
      <c r="P1456">
        <f ca="1">INDEX(INDIRECT(CONCATENATE("Tab_",Tab_Calculs[[#This Row],[Colonne1]])),Tab_Calculs[[#This Row],[index_date_livraison]],7)*(1+MIN(Tab_Calculs[[#This Row],[Date_livraison]],Tab_Calculs[[#This Row],[fin mois]])-MAX(Tab_Calculs[[#This Row],[Début mois]],Tab_Calculs[[#This Row],[Début periode livraison]]))</f>
        <v>0</v>
      </c>
      <c r="Q1456" t="e">
        <f ca="1">INDEX(INDIRECT(CONCATENATE("Tab_",Tab_Calculs[[#This Row],[Colonne1]])),Tab_Calculs[[#This Row],[index_date_livraison]]+1,7)*(Tab_Calculs[[#This Row],[fin mois]]-MIN(Tab_Calculs[[#This Row],[fin mois]],Tab_Calculs[[#This Row],[Date_livraison]]))</f>
        <v>#VALUE!</v>
      </c>
      <c r="R1456" t="e">
        <f ca="1">Tab_Calculs[[#This Row],[Ratio_Cout_après_livr]]+Tab_Calculs[[#This Row],[Ratio_Cout_avant_livr]]+Tab_Calculs[[#This Row],[Ratio_Cout_avant_debut]]</f>
        <v>#VALUE!</v>
      </c>
      <c r="S1456" t="str">
        <f ca="1">IFERROR(N1456*VLOOKUP(Tab_Calculs[[#This Row],[Colonne1]],Controle_des_données!$B$7:$G$14,6,FALSE),"")</f>
        <v/>
      </c>
      <c r="T1456" t="str">
        <f ca="1">IF(Tab_Calculs[[#This Row],[Combustible ]]="Electricité (kWh)",Tab_Calculs[[#This Row],[Conso_mois_kWh]]*2.3,Tab_Calculs[[#This Row],[Conso_mois_kWh]])</f>
        <v/>
      </c>
      <c r="U1456" t="str">
        <f ca="1">IFERROR(N1456*VLOOKUP(Tab_Calculs[[#This Row],[Colonne1]],Controle_des_données!$B$7:$H$14,7,FALSE),"")</f>
        <v/>
      </c>
      <c r="V1456">
        <f ca="1">IFERROR(Tab_Calculs[[#This Row],[Cout_mois]]/Tab_Calculs[[#This Row],[Conso_mois_kWh]],0)</f>
        <v>0</v>
      </c>
      <c r="W1456" t="str">
        <f>T(VLOOKUP(Tab_Calculs[[#This Row],[Compteur]],Site!$B$33:$G$40,3,FALSE))</f>
        <v/>
      </c>
      <c r="X1456" t="str">
        <f>T(VLOOKUP(Tab_Calculs[[#This Row],[Compteur]],Site!$B$33:$G$40,4,FALSE))</f>
        <v/>
      </c>
      <c r="Y1456" t="str">
        <f>T(VLOOKUP(Tab_Calculs[[#This Row],[Compteur]],Site!$B$33:$G$40,5,FALSE))</f>
        <v/>
      </c>
      <c r="Z1456" t="str">
        <f>T(VLOOKUP(Tab_Calculs[[#This Row],[Compteur]],Site!$B$33:$G$40,6,FALSE))</f>
        <v/>
      </c>
      <c r="AA1456">
        <f>IFERROR(GETPIVOTDATA("DJU(chauffagiste)",BDD_DJU!$P$13,"annee",Tab_Calculs[[#This Row],[ANNEE]],"mois_numero",Tab_Calculs[[#This Row],[MOIS]]),0)</f>
        <v>26</v>
      </c>
    </row>
    <row r="1457" spans="1:27" x14ac:dyDescent="0.25">
      <c r="A1457" s="3">
        <f>DATE(Tab_Calculs[[#This Row],[ANNEE]],Tab_Calculs[[#This Row],[MOIS]],1)</f>
        <v>43344</v>
      </c>
      <c r="B1457" s="3">
        <f>EDATE(Tab_Calculs[[#This Row],[Début mois]],1)-1</f>
        <v>43373</v>
      </c>
      <c r="C1457">
        <f t="shared" si="50"/>
        <v>9</v>
      </c>
      <c r="D1457">
        <f>D1445+1</f>
        <v>2018</v>
      </c>
      <c r="E1457" t="s">
        <v>87</v>
      </c>
      <c r="F1457" t="str">
        <f>SUBSTITUTE(Tab_Calculs[[#This Row],[Compteur]]," ","_")</f>
        <v>Compteur_8</v>
      </c>
      <c r="G1457" t="str">
        <f>T(INDEX(Site!$B$33:$G$40, MATCH(Tab_Calculs[[#This Row],[Compteur]], Site!$B$33:$B$40,0),2))</f>
        <v/>
      </c>
      <c r="H1457" s="3">
        <f t="array" aca="1" ref="H1457" ca="1">MIN(IF(INDIRECT(CONCATENATE(Tab_Calculs[[#This Row],[Colonne1]],"!$B$2:$B$243"))&gt;=Calculs_Consos!$A1457,INDIRECT(CONCATENATE(Tab_Calculs[[#This Row],[Colonne1]],"!$B$2:$B$243"))))</f>
        <v>0</v>
      </c>
      <c r="I1457" s="3">
        <f ca="1">INDEX(INDIRECT(CONCATENATE("Tab_",Tab_Calculs[[#This Row],[Colonne1]])),Tab_Calculs[[#This Row],[index_date_livraison]],1)</f>
        <v>0</v>
      </c>
      <c r="J1457">
        <f ca="1">MATCH(Tab_Calculs[[#This Row],[Date_livraison]],INDIRECT(CONCATENATE("Tab_",Tab_Calculs[[#This Row],[Colonne1]],"[Fin de période]")),0)</f>
        <v>1</v>
      </c>
      <c r="K1457" t="e">
        <f ca="1">INDEX(INDIRECT(CONCATENATE("Tab_",Tab_Calculs[[#This Row],[Colonne1]])),Tab_Calculs[[#This Row],[index_date_livraison]]-1,6)*(MAX(Tab_Calculs[[#This Row],[Début periode livraison]],Tab_Calculs[[#This Row],[Début mois]])-Tab_Calculs[[#This Row],[Début mois]])</f>
        <v>#VALUE!</v>
      </c>
      <c r="L1457" s="94">
        <f ca="1">INDEX(INDIRECT(CONCATENATE("Tab_",Tab_Calculs[[#This Row],[Colonne1]])),Tab_Calculs[[#This Row],[index_date_livraison]],6)*(1+MIN(Tab_Calculs[[#This Row],[Date_livraison]],Tab_Calculs[[#This Row],[fin mois]])-MAX(Tab_Calculs[[#This Row],[Début mois]],Tab_Calculs[[#This Row],[Début periode livraison]]))</f>
        <v>0</v>
      </c>
      <c r="M1457" s="94" t="e">
        <f ca="1">INDEX(INDIRECT(CONCATENATE("Tab_",Tab_Calculs[[#This Row],[Colonne1]])),Tab_Calculs[[#This Row],[index_date_livraison]]+1,6)*(Tab_Calculs[[#This Row],[fin mois]]-MIN(Tab_Calculs[[#This Row],[fin mois]],Tab_Calculs[[#This Row],[Date_livraison]]))</f>
        <v>#VALUE!</v>
      </c>
      <c r="N1457" s="231" t="str">
        <f ca="1">IFERROR(Tab_Calculs[[#This Row],[Ratio_jour_après_livr]]+Tab_Calculs[[#This Row],[Ratio_jour_avant_livr]]+Tab_Calculs[[#This Row],[ratio_avant_debut]],"")</f>
        <v/>
      </c>
      <c r="O1457" t="e">
        <f ca="1">INDEX(INDIRECT(CONCATENATE("Tab_",Tab_Calculs[[#This Row],[Colonne1]])),Tab_Calculs[[#This Row],[index_date_livraison]]-1,7)*(MAX(Tab_Calculs[[#This Row],[Début periode livraison]],Tab_Calculs[[#This Row],[Début mois]])-Tab_Calculs[[#This Row],[Début mois]])</f>
        <v>#VALUE!</v>
      </c>
      <c r="P1457">
        <f ca="1">INDEX(INDIRECT(CONCATENATE("Tab_",Tab_Calculs[[#This Row],[Colonne1]])),Tab_Calculs[[#This Row],[index_date_livraison]],7)*(1+MIN(Tab_Calculs[[#This Row],[Date_livraison]],Tab_Calculs[[#This Row],[fin mois]])-MAX(Tab_Calculs[[#This Row],[Début mois]],Tab_Calculs[[#This Row],[Début periode livraison]]))</f>
        <v>0</v>
      </c>
      <c r="Q1457" t="e">
        <f ca="1">INDEX(INDIRECT(CONCATENATE("Tab_",Tab_Calculs[[#This Row],[Colonne1]])),Tab_Calculs[[#This Row],[index_date_livraison]]+1,7)*(Tab_Calculs[[#This Row],[fin mois]]-MIN(Tab_Calculs[[#This Row],[fin mois]],Tab_Calculs[[#This Row],[Date_livraison]]))</f>
        <v>#VALUE!</v>
      </c>
      <c r="R1457" t="e">
        <f ca="1">Tab_Calculs[[#This Row],[Ratio_Cout_après_livr]]+Tab_Calculs[[#This Row],[Ratio_Cout_avant_livr]]+Tab_Calculs[[#This Row],[Ratio_Cout_avant_debut]]</f>
        <v>#VALUE!</v>
      </c>
      <c r="S1457" t="str">
        <f ca="1">IFERROR(N1457*VLOOKUP(Tab_Calculs[[#This Row],[Colonne1]],Controle_des_données!$B$7:$G$14,6,FALSE),"")</f>
        <v/>
      </c>
      <c r="T1457" t="str">
        <f ca="1">IF(Tab_Calculs[[#This Row],[Combustible ]]="Electricité (kWh)",Tab_Calculs[[#This Row],[Conso_mois_kWh]]*2.3,Tab_Calculs[[#This Row],[Conso_mois_kWh]])</f>
        <v/>
      </c>
      <c r="U1457" t="str">
        <f ca="1">IFERROR(N1457*VLOOKUP(Tab_Calculs[[#This Row],[Colonne1]],Controle_des_données!$B$7:$H$14,7,FALSE),"")</f>
        <v/>
      </c>
      <c r="V1457">
        <f ca="1">IFERROR(Tab_Calculs[[#This Row],[Cout_mois]]/Tab_Calculs[[#This Row],[Conso_mois_kWh]],0)</f>
        <v>0</v>
      </c>
      <c r="W1457" t="str">
        <f>T(VLOOKUP(Tab_Calculs[[#This Row],[Compteur]],Site!$B$33:$G$40,3,FALSE))</f>
        <v/>
      </c>
      <c r="X1457" t="str">
        <f>T(VLOOKUP(Tab_Calculs[[#This Row],[Compteur]],Site!$B$33:$G$40,4,FALSE))</f>
        <v/>
      </c>
      <c r="Y1457" t="str">
        <f>T(VLOOKUP(Tab_Calculs[[#This Row],[Compteur]],Site!$B$33:$G$40,5,FALSE))</f>
        <v/>
      </c>
      <c r="Z1457" t="str">
        <f>T(VLOOKUP(Tab_Calculs[[#This Row],[Compteur]],Site!$B$33:$G$40,6,FALSE))</f>
        <v/>
      </c>
      <c r="AA1457">
        <f>IFERROR(GETPIVOTDATA("DJU(chauffagiste)",BDD_DJU!$P$13,"annee",Tab_Calculs[[#This Row],[ANNEE]],"mois_numero",Tab_Calculs[[#This Row],[MOIS]]),0)</f>
        <v>73.599999999999994</v>
      </c>
    </row>
    <row r="1458" spans="1:27" x14ac:dyDescent="0.25">
      <c r="A1458" s="3">
        <f>DATE(Tab_Calculs[[#This Row],[ANNEE]],Tab_Calculs[[#This Row],[MOIS]],1)</f>
        <v>43374</v>
      </c>
      <c r="B1458" s="3">
        <f>EDATE(Tab_Calculs[[#This Row],[Début mois]],1)-1</f>
        <v>43404</v>
      </c>
      <c r="C1458">
        <f t="shared" si="50"/>
        <v>10</v>
      </c>
      <c r="D1458">
        <f t="shared" si="49"/>
        <v>2018</v>
      </c>
      <c r="E1458" t="s">
        <v>87</v>
      </c>
      <c r="F1458" t="str">
        <f>SUBSTITUTE(Tab_Calculs[[#This Row],[Compteur]]," ","_")</f>
        <v>Compteur_8</v>
      </c>
      <c r="G1458" t="str">
        <f>T(INDEX(Site!$B$33:$G$40, MATCH(Tab_Calculs[[#This Row],[Compteur]], Site!$B$33:$B$40,0),2))</f>
        <v/>
      </c>
      <c r="H1458" s="3">
        <f t="array" aca="1" ref="H1458" ca="1">MIN(IF(INDIRECT(CONCATENATE(Tab_Calculs[[#This Row],[Colonne1]],"!$B$2:$B$243"))&gt;=Calculs_Consos!$A1458,INDIRECT(CONCATENATE(Tab_Calculs[[#This Row],[Colonne1]],"!$B$2:$B$243"))))</f>
        <v>0</v>
      </c>
      <c r="I1458" s="3">
        <f ca="1">INDEX(INDIRECT(CONCATENATE("Tab_",Tab_Calculs[[#This Row],[Colonne1]])),Tab_Calculs[[#This Row],[index_date_livraison]],1)</f>
        <v>0</v>
      </c>
      <c r="J1458">
        <f ca="1">MATCH(Tab_Calculs[[#This Row],[Date_livraison]],INDIRECT(CONCATENATE("Tab_",Tab_Calculs[[#This Row],[Colonne1]],"[Fin de période]")),0)</f>
        <v>1</v>
      </c>
      <c r="K1458" t="e">
        <f ca="1">INDEX(INDIRECT(CONCATENATE("Tab_",Tab_Calculs[[#This Row],[Colonne1]])),Tab_Calculs[[#This Row],[index_date_livraison]]-1,6)*(MAX(Tab_Calculs[[#This Row],[Début periode livraison]],Tab_Calculs[[#This Row],[Début mois]])-Tab_Calculs[[#This Row],[Début mois]])</f>
        <v>#VALUE!</v>
      </c>
      <c r="L1458" s="94">
        <f ca="1">INDEX(INDIRECT(CONCATENATE("Tab_",Tab_Calculs[[#This Row],[Colonne1]])),Tab_Calculs[[#This Row],[index_date_livraison]],6)*(1+MIN(Tab_Calculs[[#This Row],[Date_livraison]],Tab_Calculs[[#This Row],[fin mois]])-MAX(Tab_Calculs[[#This Row],[Début mois]],Tab_Calculs[[#This Row],[Début periode livraison]]))</f>
        <v>0</v>
      </c>
      <c r="M1458" s="94" t="e">
        <f ca="1">INDEX(INDIRECT(CONCATENATE("Tab_",Tab_Calculs[[#This Row],[Colonne1]])),Tab_Calculs[[#This Row],[index_date_livraison]]+1,6)*(Tab_Calculs[[#This Row],[fin mois]]-MIN(Tab_Calculs[[#This Row],[fin mois]],Tab_Calculs[[#This Row],[Date_livraison]]))</f>
        <v>#VALUE!</v>
      </c>
      <c r="N1458" s="231" t="str">
        <f ca="1">IFERROR(Tab_Calculs[[#This Row],[Ratio_jour_après_livr]]+Tab_Calculs[[#This Row],[Ratio_jour_avant_livr]]+Tab_Calculs[[#This Row],[ratio_avant_debut]],"")</f>
        <v/>
      </c>
      <c r="O1458" t="e">
        <f ca="1">INDEX(INDIRECT(CONCATENATE("Tab_",Tab_Calculs[[#This Row],[Colonne1]])),Tab_Calculs[[#This Row],[index_date_livraison]]-1,7)*(MAX(Tab_Calculs[[#This Row],[Début periode livraison]],Tab_Calculs[[#This Row],[Début mois]])-Tab_Calculs[[#This Row],[Début mois]])</f>
        <v>#VALUE!</v>
      </c>
      <c r="P1458">
        <f ca="1">INDEX(INDIRECT(CONCATENATE("Tab_",Tab_Calculs[[#This Row],[Colonne1]])),Tab_Calculs[[#This Row],[index_date_livraison]],7)*(1+MIN(Tab_Calculs[[#This Row],[Date_livraison]],Tab_Calculs[[#This Row],[fin mois]])-MAX(Tab_Calculs[[#This Row],[Début mois]],Tab_Calculs[[#This Row],[Début periode livraison]]))</f>
        <v>0</v>
      </c>
      <c r="Q1458" t="e">
        <f ca="1">INDEX(INDIRECT(CONCATENATE("Tab_",Tab_Calculs[[#This Row],[Colonne1]])),Tab_Calculs[[#This Row],[index_date_livraison]]+1,7)*(Tab_Calculs[[#This Row],[fin mois]]-MIN(Tab_Calculs[[#This Row],[fin mois]],Tab_Calculs[[#This Row],[Date_livraison]]))</f>
        <v>#VALUE!</v>
      </c>
      <c r="R1458" t="e">
        <f ca="1">Tab_Calculs[[#This Row],[Ratio_Cout_après_livr]]+Tab_Calculs[[#This Row],[Ratio_Cout_avant_livr]]+Tab_Calculs[[#This Row],[Ratio_Cout_avant_debut]]</f>
        <v>#VALUE!</v>
      </c>
      <c r="S1458" t="str">
        <f ca="1">IFERROR(N1458*VLOOKUP(Tab_Calculs[[#This Row],[Colonne1]],Controle_des_données!$B$7:$G$14,6,FALSE),"")</f>
        <v/>
      </c>
      <c r="T1458" t="str">
        <f ca="1">IF(Tab_Calculs[[#This Row],[Combustible ]]="Electricité (kWh)",Tab_Calculs[[#This Row],[Conso_mois_kWh]]*2.3,Tab_Calculs[[#This Row],[Conso_mois_kWh]])</f>
        <v/>
      </c>
      <c r="U1458" t="str">
        <f ca="1">IFERROR(N1458*VLOOKUP(Tab_Calculs[[#This Row],[Colonne1]],Controle_des_données!$B$7:$H$14,7,FALSE),"")</f>
        <v/>
      </c>
      <c r="V1458">
        <f ca="1">IFERROR(Tab_Calculs[[#This Row],[Cout_mois]]/Tab_Calculs[[#This Row],[Conso_mois_kWh]],0)</f>
        <v>0</v>
      </c>
      <c r="W1458" t="str">
        <f>T(VLOOKUP(Tab_Calculs[[#This Row],[Compteur]],Site!$B$33:$G$40,3,FALSE))</f>
        <v/>
      </c>
      <c r="X1458" t="str">
        <f>T(VLOOKUP(Tab_Calculs[[#This Row],[Compteur]],Site!$B$33:$G$40,4,FALSE))</f>
        <v/>
      </c>
      <c r="Y1458" t="str">
        <f>T(VLOOKUP(Tab_Calculs[[#This Row],[Compteur]],Site!$B$33:$G$40,5,FALSE))</f>
        <v/>
      </c>
      <c r="Z1458" t="str">
        <f>T(VLOOKUP(Tab_Calculs[[#This Row],[Compteur]],Site!$B$33:$G$40,6,FALSE))</f>
        <v/>
      </c>
      <c r="AA1458">
        <f>IFERROR(GETPIVOTDATA("DJU(chauffagiste)",BDD_DJU!$P$13,"annee",Tab_Calculs[[#This Row],[ANNEE]],"mois_numero",Tab_Calculs[[#This Row],[MOIS]]),0)</f>
        <v>157.5</v>
      </c>
    </row>
    <row r="1459" spans="1:27" x14ac:dyDescent="0.25">
      <c r="A1459" s="3">
        <f>DATE(Tab_Calculs[[#This Row],[ANNEE]],Tab_Calculs[[#This Row],[MOIS]],1)</f>
        <v>43405</v>
      </c>
      <c r="B1459" s="3">
        <f>EDATE(Tab_Calculs[[#This Row],[Début mois]],1)-1</f>
        <v>43434</v>
      </c>
      <c r="C1459">
        <f t="shared" si="50"/>
        <v>11</v>
      </c>
      <c r="D1459">
        <f t="shared" si="49"/>
        <v>2018</v>
      </c>
      <c r="E1459" t="s">
        <v>87</v>
      </c>
      <c r="F1459" t="str">
        <f>SUBSTITUTE(Tab_Calculs[[#This Row],[Compteur]]," ","_")</f>
        <v>Compteur_8</v>
      </c>
      <c r="G1459" t="str">
        <f>T(INDEX(Site!$B$33:$G$40, MATCH(Tab_Calculs[[#This Row],[Compteur]], Site!$B$33:$B$40,0),2))</f>
        <v/>
      </c>
      <c r="H1459" s="3">
        <f t="array" aca="1" ref="H1459" ca="1">MIN(IF(INDIRECT(CONCATENATE(Tab_Calculs[[#This Row],[Colonne1]],"!$B$2:$B$243"))&gt;=Calculs_Consos!$A1459,INDIRECT(CONCATENATE(Tab_Calculs[[#This Row],[Colonne1]],"!$B$2:$B$243"))))</f>
        <v>0</v>
      </c>
      <c r="I1459" s="3">
        <f ca="1">INDEX(INDIRECT(CONCATENATE("Tab_",Tab_Calculs[[#This Row],[Colonne1]])),Tab_Calculs[[#This Row],[index_date_livraison]],1)</f>
        <v>0</v>
      </c>
      <c r="J1459">
        <f ca="1">MATCH(Tab_Calculs[[#This Row],[Date_livraison]],INDIRECT(CONCATENATE("Tab_",Tab_Calculs[[#This Row],[Colonne1]],"[Fin de période]")),0)</f>
        <v>1</v>
      </c>
      <c r="K1459" t="e">
        <f ca="1">INDEX(INDIRECT(CONCATENATE("Tab_",Tab_Calculs[[#This Row],[Colonne1]])),Tab_Calculs[[#This Row],[index_date_livraison]]-1,6)*(MAX(Tab_Calculs[[#This Row],[Début periode livraison]],Tab_Calculs[[#This Row],[Début mois]])-Tab_Calculs[[#This Row],[Début mois]])</f>
        <v>#VALUE!</v>
      </c>
      <c r="L1459" s="94">
        <f ca="1">INDEX(INDIRECT(CONCATENATE("Tab_",Tab_Calculs[[#This Row],[Colonne1]])),Tab_Calculs[[#This Row],[index_date_livraison]],6)*(1+MIN(Tab_Calculs[[#This Row],[Date_livraison]],Tab_Calculs[[#This Row],[fin mois]])-MAX(Tab_Calculs[[#This Row],[Début mois]],Tab_Calculs[[#This Row],[Début periode livraison]]))</f>
        <v>0</v>
      </c>
      <c r="M1459" s="94" t="e">
        <f ca="1">INDEX(INDIRECT(CONCATENATE("Tab_",Tab_Calculs[[#This Row],[Colonne1]])),Tab_Calculs[[#This Row],[index_date_livraison]]+1,6)*(Tab_Calculs[[#This Row],[fin mois]]-MIN(Tab_Calculs[[#This Row],[fin mois]],Tab_Calculs[[#This Row],[Date_livraison]]))</f>
        <v>#VALUE!</v>
      </c>
      <c r="N1459" s="231" t="str">
        <f ca="1">IFERROR(Tab_Calculs[[#This Row],[Ratio_jour_après_livr]]+Tab_Calculs[[#This Row],[Ratio_jour_avant_livr]]+Tab_Calculs[[#This Row],[ratio_avant_debut]],"")</f>
        <v/>
      </c>
      <c r="O1459" t="e">
        <f ca="1">INDEX(INDIRECT(CONCATENATE("Tab_",Tab_Calculs[[#This Row],[Colonne1]])),Tab_Calculs[[#This Row],[index_date_livraison]]-1,7)*(MAX(Tab_Calculs[[#This Row],[Début periode livraison]],Tab_Calculs[[#This Row],[Début mois]])-Tab_Calculs[[#This Row],[Début mois]])</f>
        <v>#VALUE!</v>
      </c>
      <c r="P1459">
        <f ca="1">INDEX(INDIRECT(CONCATENATE("Tab_",Tab_Calculs[[#This Row],[Colonne1]])),Tab_Calculs[[#This Row],[index_date_livraison]],7)*(1+MIN(Tab_Calculs[[#This Row],[Date_livraison]],Tab_Calculs[[#This Row],[fin mois]])-MAX(Tab_Calculs[[#This Row],[Début mois]],Tab_Calculs[[#This Row],[Début periode livraison]]))</f>
        <v>0</v>
      </c>
      <c r="Q1459" t="e">
        <f ca="1">INDEX(INDIRECT(CONCATENATE("Tab_",Tab_Calculs[[#This Row],[Colonne1]])),Tab_Calculs[[#This Row],[index_date_livraison]]+1,7)*(Tab_Calculs[[#This Row],[fin mois]]-MIN(Tab_Calculs[[#This Row],[fin mois]],Tab_Calculs[[#This Row],[Date_livraison]]))</f>
        <v>#VALUE!</v>
      </c>
      <c r="R1459" t="e">
        <f ca="1">Tab_Calculs[[#This Row],[Ratio_Cout_après_livr]]+Tab_Calculs[[#This Row],[Ratio_Cout_avant_livr]]+Tab_Calculs[[#This Row],[Ratio_Cout_avant_debut]]</f>
        <v>#VALUE!</v>
      </c>
      <c r="S1459" t="str">
        <f ca="1">IFERROR(N1459*VLOOKUP(Tab_Calculs[[#This Row],[Colonne1]],Controle_des_données!$B$7:$G$14,6,FALSE),"")</f>
        <v/>
      </c>
      <c r="T1459" t="str">
        <f ca="1">IF(Tab_Calculs[[#This Row],[Combustible ]]="Electricité (kWh)",Tab_Calculs[[#This Row],[Conso_mois_kWh]]*2.3,Tab_Calculs[[#This Row],[Conso_mois_kWh]])</f>
        <v/>
      </c>
      <c r="U1459" t="str">
        <f ca="1">IFERROR(N1459*VLOOKUP(Tab_Calculs[[#This Row],[Colonne1]],Controle_des_données!$B$7:$H$14,7,FALSE),"")</f>
        <v/>
      </c>
      <c r="V1459">
        <f ca="1">IFERROR(Tab_Calculs[[#This Row],[Cout_mois]]/Tab_Calculs[[#This Row],[Conso_mois_kWh]],0)</f>
        <v>0</v>
      </c>
      <c r="W1459" t="str">
        <f>T(VLOOKUP(Tab_Calculs[[#This Row],[Compteur]],Site!$B$33:$G$40,3,FALSE))</f>
        <v/>
      </c>
      <c r="X1459" t="str">
        <f>T(VLOOKUP(Tab_Calculs[[#This Row],[Compteur]],Site!$B$33:$G$40,4,FALSE))</f>
        <v/>
      </c>
      <c r="Y1459" t="str">
        <f>T(VLOOKUP(Tab_Calculs[[#This Row],[Compteur]],Site!$B$33:$G$40,5,FALSE))</f>
        <v/>
      </c>
      <c r="Z1459" t="str">
        <f>T(VLOOKUP(Tab_Calculs[[#This Row],[Compteur]],Site!$B$33:$G$40,6,FALSE))</f>
        <v/>
      </c>
      <c r="AA1459">
        <f>IFERROR(GETPIVOTDATA("DJU(chauffagiste)",BDD_DJU!$P$13,"annee",Tab_Calculs[[#This Row],[ANNEE]],"mois_numero",Tab_Calculs[[#This Row],[MOIS]]),0)</f>
        <v>278</v>
      </c>
    </row>
    <row r="1460" spans="1:27" x14ac:dyDescent="0.25">
      <c r="A1460" s="3">
        <f>DATE(Tab_Calculs[[#This Row],[ANNEE]],Tab_Calculs[[#This Row],[MOIS]],1)</f>
        <v>43435</v>
      </c>
      <c r="B1460" s="3">
        <f>EDATE(Tab_Calculs[[#This Row],[Début mois]],1)-1</f>
        <v>43465</v>
      </c>
      <c r="C1460">
        <f t="shared" si="50"/>
        <v>12</v>
      </c>
      <c r="D1460">
        <f t="shared" si="49"/>
        <v>2018</v>
      </c>
      <c r="E1460" t="s">
        <v>87</v>
      </c>
      <c r="F1460" t="str">
        <f>SUBSTITUTE(Tab_Calculs[[#This Row],[Compteur]]," ","_")</f>
        <v>Compteur_8</v>
      </c>
      <c r="G1460" t="str">
        <f>T(INDEX(Site!$B$33:$G$40, MATCH(Tab_Calculs[[#This Row],[Compteur]], Site!$B$33:$B$40,0),2))</f>
        <v/>
      </c>
      <c r="H1460" s="3">
        <f t="array" aca="1" ref="H1460" ca="1">MIN(IF(INDIRECT(CONCATENATE(Tab_Calculs[[#This Row],[Colonne1]],"!$B$2:$B$243"))&gt;=Calculs_Consos!$A1460,INDIRECT(CONCATENATE(Tab_Calculs[[#This Row],[Colonne1]],"!$B$2:$B$243"))))</f>
        <v>0</v>
      </c>
      <c r="I1460" s="3">
        <f ca="1">INDEX(INDIRECT(CONCATENATE("Tab_",Tab_Calculs[[#This Row],[Colonne1]])),Tab_Calculs[[#This Row],[index_date_livraison]],1)</f>
        <v>0</v>
      </c>
      <c r="J1460">
        <f ca="1">MATCH(Tab_Calculs[[#This Row],[Date_livraison]],INDIRECT(CONCATENATE("Tab_",Tab_Calculs[[#This Row],[Colonne1]],"[Fin de période]")),0)</f>
        <v>1</v>
      </c>
      <c r="K1460" t="e">
        <f ca="1">INDEX(INDIRECT(CONCATENATE("Tab_",Tab_Calculs[[#This Row],[Colonne1]])),Tab_Calculs[[#This Row],[index_date_livraison]]-1,6)*(MAX(Tab_Calculs[[#This Row],[Début periode livraison]],Tab_Calculs[[#This Row],[Début mois]])-Tab_Calculs[[#This Row],[Début mois]])</f>
        <v>#VALUE!</v>
      </c>
      <c r="L1460" s="94">
        <f ca="1">INDEX(INDIRECT(CONCATENATE("Tab_",Tab_Calculs[[#This Row],[Colonne1]])),Tab_Calculs[[#This Row],[index_date_livraison]],6)*(1+MIN(Tab_Calculs[[#This Row],[Date_livraison]],Tab_Calculs[[#This Row],[fin mois]])-MAX(Tab_Calculs[[#This Row],[Début mois]],Tab_Calculs[[#This Row],[Début periode livraison]]))</f>
        <v>0</v>
      </c>
      <c r="M1460" s="94" t="e">
        <f ca="1">INDEX(INDIRECT(CONCATENATE("Tab_",Tab_Calculs[[#This Row],[Colonne1]])),Tab_Calculs[[#This Row],[index_date_livraison]]+1,6)*(Tab_Calculs[[#This Row],[fin mois]]-MIN(Tab_Calculs[[#This Row],[fin mois]],Tab_Calculs[[#This Row],[Date_livraison]]))</f>
        <v>#VALUE!</v>
      </c>
      <c r="N1460" s="231" t="str">
        <f ca="1">IFERROR(Tab_Calculs[[#This Row],[Ratio_jour_après_livr]]+Tab_Calculs[[#This Row],[Ratio_jour_avant_livr]]+Tab_Calculs[[#This Row],[ratio_avant_debut]],"")</f>
        <v/>
      </c>
      <c r="O1460" t="e">
        <f ca="1">INDEX(INDIRECT(CONCATENATE("Tab_",Tab_Calculs[[#This Row],[Colonne1]])),Tab_Calculs[[#This Row],[index_date_livraison]]-1,7)*(MAX(Tab_Calculs[[#This Row],[Début periode livraison]],Tab_Calculs[[#This Row],[Début mois]])-Tab_Calculs[[#This Row],[Début mois]])</f>
        <v>#VALUE!</v>
      </c>
      <c r="P1460">
        <f ca="1">INDEX(INDIRECT(CONCATENATE("Tab_",Tab_Calculs[[#This Row],[Colonne1]])),Tab_Calculs[[#This Row],[index_date_livraison]],7)*(1+MIN(Tab_Calculs[[#This Row],[Date_livraison]],Tab_Calculs[[#This Row],[fin mois]])-MAX(Tab_Calculs[[#This Row],[Début mois]],Tab_Calculs[[#This Row],[Début periode livraison]]))</f>
        <v>0</v>
      </c>
      <c r="Q1460" t="e">
        <f ca="1">INDEX(INDIRECT(CONCATENATE("Tab_",Tab_Calculs[[#This Row],[Colonne1]])),Tab_Calculs[[#This Row],[index_date_livraison]]+1,7)*(Tab_Calculs[[#This Row],[fin mois]]-MIN(Tab_Calculs[[#This Row],[fin mois]],Tab_Calculs[[#This Row],[Date_livraison]]))</f>
        <v>#VALUE!</v>
      </c>
      <c r="R1460" t="e">
        <f ca="1">Tab_Calculs[[#This Row],[Ratio_Cout_après_livr]]+Tab_Calculs[[#This Row],[Ratio_Cout_avant_livr]]+Tab_Calculs[[#This Row],[Ratio_Cout_avant_debut]]</f>
        <v>#VALUE!</v>
      </c>
      <c r="S1460" t="str">
        <f ca="1">IFERROR(N1460*VLOOKUP(Tab_Calculs[[#This Row],[Colonne1]],Controle_des_données!$B$7:$G$14,6,FALSE),"")</f>
        <v/>
      </c>
      <c r="T1460" t="str">
        <f ca="1">IF(Tab_Calculs[[#This Row],[Combustible ]]="Electricité (kWh)",Tab_Calculs[[#This Row],[Conso_mois_kWh]]*2.3,Tab_Calculs[[#This Row],[Conso_mois_kWh]])</f>
        <v/>
      </c>
      <c r="U1460" t="str">
        <f ca="1">IFERROR(N1460*VLOOKUP(Tab_Calculs[[#This Row],[Colonne1]],Controle_des_données!$B$7:$H$14,7,FALSE),"")</f>
        <v/>
      </c>
      <c r="V1460">
        <f ca="1">IFERROR(Tab_Calculs[[#This Row],[Cout_mois]]/Tab_Calculs[[#This Row],[Conso_mois_kWh]],0)</f>
        <v>0</v>
      </c>
      <c r="W1460" t="str">
        <f>T(VLOOKUP(Tab_Calculs[[#This Row],[Compteur]],Site!$B$33:$G$40,3,FALSE))</f>
        <v/>
      </c>
      <c r="X1460" t="str">
        <f>T(VLOOKUP(Tab_Calculs[[#This Row],[Compteur]],Site!$B$33:$G$40,4,FALSE))</f>
        <v/>
      </c>
      <c r="Y1460" t="str">
        <f>T(VLOOKUP(Tab_Calculs[[#This Row],[Compteur]],Site!$B$33:$G$40,5,FALSE))</f>
        <v/>
      </c>
      <c r="Z1460" t="str">
        <f>T(VLOOKUP(Tab_Calculs[[#This Row],[Compteur]],Site!$B$33:$G$40,6,FALSE))</f>
        <v/>
      </c>
      <c r="AA1460">
        <f>IFERROR(GETPIVOTDATA("DJU(chauffagiste)",BDD_DJU!$P$13,"annee",Tab_Calculs[[#This Row],[ANNEE]],"mois_numero",Tab_Calculs[[#This Row],[MOIS]]),0)</f>
        <v>319.2</v>
      </c>
    </row>
    <row r="1461" spans="1:27" x14ac:dyDescent="0.25">
      <c r="A1461" s="3">
        <f>DATE(Tab_Calculs[[#This Row],[ANNEE]],Tab_Calculs[[#This Row],[MOIS]],1)</f>
        <v>43466</v>
      </c>
      <c r="B1461" s="3">
        <f>EDATE(Tab_Calculs[[#This Row],[Début mois]],1)-1</f>
        <v>43496</v>
      </c>
      <c r="C1461">
        <f t="shared" si="50"/>
        <v>1</v>
      </c>
      <c r="D1461">
        <f t="shared" si="49"/>
        <v>2019</v>
      </c>
      <c r="E1461" t="s">
        <v>87</v>
      </c>
      <c r="F1461" t="str">
        <f>SUBSTITUTE(Tab_Calculs[[#This Row],[Compteur]]," ","_")</f>
        <v>Compteur_8</v>
      </c>
      <c r="G1461" t="str">
        <f>T(INDEX(Site!$B$33:$G$40, MATCH(Tab_Calculs[[#This Row],[Compteur]], Site!$B$33:$B$40,0),2))</f>
        <v/>
      </c>
      <c r="H1461" s="3">
        <f t="array" aca="1" ref="H1461" ca="1">MIN(IF(INDIRECT(CONCATENATE(Tab_Calculs[[#This Row],[Colonne1]],"!$B$2:$B$243"))&gt;=Calculs_Consos!$A1461,INDIRECT(CONCATENATE(Tab_Calculs[[#This Row],[Colonne1]],"!$B$2:$B$243"))))</f>
        <v>0</v>
      </c>
      <c r="I1461" s="3">
        <f ca="1">INDEX(INDIRECT(CONCATENATE("Tab_",Tab_Calculs[[#This Row],[Colonne1]])),Tab_Calculs[[#This Row],[index_date_livraison]],1)</f>
        <v>0</v>
      </c>
      <c r="J1461">
        <f ca="1">MATCH(Tab_Calculs[[#This Row],[Date_livraison]],INDIRECT(CONCATENATE("Tab_",Tab_Calculs[[#This Row],[Colonne1]],"[Fin de période]")),0)</f>
        <v>1</v>
      </c>
      <c r="K1461" t="e">
        <f ca="1">INDEX(INDIRECT(CONCATENATE("Tab_",Tab_Calculs[[#This Row],[Colonne1]])),Tab_Calculs[[#This Row],[index_date_livraison]]-1,6)*(MAX(Tab_Calculs[[#This Row],[Début periode livraison]],Tab_Calculs[[#This Row],[Début mois]])-Tab_Calculs[[#This Row],[Début mois]])</f>
        <v>#VALUE!</v>
      </c>
      <c r="L1461" s="94">
        <f ca="1">INDEX(INDIRECT(CONCATENATE("Tab_",Tab_Calculs[[#This Row],[Colonne1]])),Tab_Calculs[[#This Row],[index_date_livraison]],6)*(1+MIN(Tab_Calculs[[#This Row],[Date_livraison]],Tab_Calculs[[#This Row],[fin mois]])-MAX(Tab_Calculs[[#This Row],[Début mois]],Tab_Calculs[[#This Row],[Début periode livraison]]))</f>
        <v>0</v>
      </c>
      <c r="M1461" s="94" t="e">
        <f ca="1">INDEX(INDIRECT(CONCATENATE("Tab_",Tab_Calculs[[#This Row],[Colonne1]])),Tab_Calculs[[#This Row],[index_date_livraison]]+1,6)*(Tab_Calculs[[#This Row],[fin mois]]-MIN(Tab_Calculs[[#This Row],[fin mois]],Tab_Calculs[[#This Row],[Date_livraison]]))</f>
        <v>#VALUE!</v>
      </c>
      <c r="N1461" s="231" t="str">
        <f ca="1">IFERROR(Tab_Calculs[[#This Row],[Ratio_jour_après_livr]]+Tab_Calculs[[#This Row],[Ratio_jour_avant_livr]]+Tab_Calculs[[#This Row],[ratio_avant_debut]],"")</f>
        <v/>
      </c>
      <c r="O1461" t="e">
        <f ca="1">INDEX(INDIRECT(CONCATENATE("Tab_",Tab_Calculs[[#This Row],[Colonne1]])),Tab_Calculs[[#This Row],[index_date_livraison]]-1,7)*(MAX(Tab_Calculs[[#This Row],[Début periode livraison]],Tab_Calculs[[#This Row],[Début mois]])-Tab_Calculs[[#This Row],[Début mois]])</f>
        <v>#VALUE!</v>
      </c>
      <c r="P1461">
        <f ca="1">INDEX(INDIRECT(CONCATENATE("Tab_",Tab_Calculs[[#This Row],[Colonne1]])),Tab_Calculs[[#This Row],[index_date_livraison]],7)*(1+MIN(Tab_Calculs[[#This Row],[Date_livraison]],Tab_Calculs[[#This Row],[fin mois]])-MAX(Tab_Calculs[[#This Row],[Début mois]],Tab_Calculs[[#This Row],[Début periode livraison]]))</f>
        <v>0</v>
      </c>
      <c r="Q1461" t="e">
        <f ca="1">INDEX(INDIRECT(CONCATENATE("Tab_",Tab_Calculs[[#This Row],[Colonne1]])),Tab_Calculs[[#This Row],[index_date_livraison]]+1,7)*(Tab_Calculs[[#This Row],[fin mois]]-MIN(Tab_Calculs[[#This Row],[fin mois]],Tab_Calculs[[#This Row],[Date_livraison]]))</f>
        <v>#VALUE!</v>
      </c>
      <c r="R1461" t="e">
        <f ca="1">Tab_Calculs[[#This Row],[Ratio_Cout_après_livr]]+Tab_Calculs[[#This Row],[Ratio_Cout_avant_livr]]+Tab_Calculs[[#This Row],[Ratio_Cout_avant_debut]]</f>
        <v>#VALUE!</v>
      </c>
      <c r="S1461" t="str">
        <f ca="1">IFERROR(N1461*VLOOKUP(Tab_Calculs[[#This Row],[Colonne1]],Controle_des_données!$B$7:$G$14,6,FALSE),"")</f>
        <v/>
      </c>
      <c r="T1461" t="str">
        <f ca="1">IF(Tab_Calculs[[#This Row],[Combustible ]]="Electricité (kWh)",Tab_Calculs[[#This Row],[Conso_mois_kWh]]*2.3,Tab_Calculs[[#This Row],[Conso_mois_kWh]])</f>
        <v/>
      </c>
      <c r="U1461" t="str">
        <f ca="1">IFERROR(N1461*VLOOKUP(Tab_Calculs[[#This Row],[Colonne1]],Controle_des_données!$B$7:$H$14,7,FALSE),"")</f>
        <v/>
      </c>
      <c r="V1461">
        <f ca="1">IFERROR(Tab_Calculs[[#This Row],[Cout_mois]]/Tab_Calculs[[#This Row],[Conso_mois_kWh]],0)</f>
        <v>0</v>
      </c>
      <c r="W1461" t="str">
        <f>T(VLOOKUP(Tab_Calculs[[#This Row],[Compteur]],Site!$B$33:$G$40,3,FALSE))</f>
        <v/>
      </c>
      <c r="X1461" t="str">
        <f>T(VLOOKUP(Tab_Calculs[[#This Row],[Compteur]],Site!$B$33:$G$40,4,FALSE))</f>
        <v/>
      </c>
      <c r="Y1461" t="str">
        <f>T(VLOOKUP(Tab_Calculs[[#This Row],[Compteur]],Site!$B$33:$G$40,5,FALSE))</f>
        <v/>
      </c>
      <c r="Z1461" t="str">
        <f>T(VLOOKUP(Tab_Calculs[[#This Row],[Compteur]],Site!$B$33:$G$40,6,FALSE))</f>
        <v/>
      </c>
      <c r="AA1461">
        <f>IFERROR(GETPIVOTDATA("DJU(chauffagiste)",BDD_DJU!$P$13,"annee",Tab_Calculs[[#This Row],[ANNEE]],"mois_numero",Tab_Calculs[[#This Row],[MOIS]]),0)</f>
        <v>402.2</v>
      </c>
    </row>
    <row r="1462" spans="1:27" x14ac:dyDescent="0.25">
      <c r="A1462" s="3">
        <f>DATE(Tab_Calculs[[#This Row],[ANNEE]],Tab_Calculs[[#This Row],[MOIS]],1)</f>
        <v>43497</v>
      </c>
      <c r="B1462" s="3">
        <f>EDATE(Tab_Calculs[[#This Row],[Début mois]],1)-1</f>
        <v>43524</v>
      </c>
      <c r="C1462">
        <f t="shared" si="50"/>
        <v>2</v>
      </c>
      <c r="D1462">
        <f t="shared" si="49"/>
        <v>2019</v>
      </c>
      <c r="E1462" t="s">
        <v>87</v>
      </c>
      <c r="F1462" t="str">
        <f>SUBSTITUTE(Tab_Calculs[[#This Row],[Compteur]]," ","_")</f>
        <v>Compteur_8</v>
      </c>
      <c r="G1462" t="str">
        <f>T(INDEX(Site!$B$33:$G$40, MATCH(Tab_Calculs[[#This Row],[Compteur]], Site!$B$33:$B$40,0),2))</f>
        <v/>
      </c>
      <c r="H1462" s="3">
        <f t="array" aca="1" ref="H1462" ca="1">MIN(IF(INDIRECT(CONCATENATE(Tab_Calculs[[#This Row],[Colonne1]],"!$B$2:$B$243"))&gt;=Calculs_Consos!$A1462,INDIRECT(CONCATENATE(Tab_Calculs[[#This Row],[Colonne1]],"!$B$2:$B$243"))))</f>
        <v>0</v>
      </c>
      <c r="I1462" s="3">
        <f ca="1">INDEX(INDIRECT(CONCATENATE("Tab_",Tab_Calculs[[#This Row],[Colonne1]])),Tab_Calculs[[#This Row],[index_date_livraison]],1)</f>
        <v>0</v>
      </c>
      <c r="J1462">
        <f ca="1">MATCH(Tab_Calculs[[#This Row],[Date_livraison]],INDIRECT(CONCATENATE("Tab_",Tab_Calculs[[#This Row],[Colonne1]],"[Fin de période]")),0)</f>
        <v>1</v>
      </c>
      <c r="K1462" t="e">
        <f ca="1">INDEX(INDIRECT(CONCATENATE("Tab_",Tab_Calculs[[#This Row],[Colonne1]])),Tab_Calculs[[#This Row],[index_date_livraison]]-1,6)*(MAX(Tab_Calculs[[#This Row],[Début periode livraison]],Tab_Calculs[[#This Row],[Début mois]])-Tab_Calculs[[#This Row],[Début mois]])</f>
        <v>#VALUE!</v>
      </c>
      <c r="L1462" s="94">
        <f ca="1">INDEX(INDIRECT(CONCATENATE("Tab_",Tab_Calculs[[#This Row],[Colonne1]])),Tab_Calculs[[#This Row],[index_date_livraison]],6)*(1+MIN(Tab_Calculs[[#This Row],[Date_livraison]],Tab_Calculs[[#This Row],[fin mois]])-MAX(Tab_Calculs[[#This Row],[Début mois]],Tab_Calculs[[#This Row],[Début periode livraison]]))</f>
        <v>0</v>
      </c>
      <c r="M1462" s="94" t="e">
        <f ca="1">INDEX(INDIRECT(CONCATENATE("Tab_",Tab_Calculs[[#This Row],[Colonne1]])),Tab_Calculs[[#This Row],[index_date_livraison]]+1,6)*(Tab_Calculs[[#This Row],[fin mois]]-MIN(Tab_Calculs[[#This Row],[fin mois]],Tab_Calculs[[#This Row],[Date_livraison]]))</f>
        <v>#VALUE!</v>
      </c>
      <c r="N1462" s="231" t="str">
        <f ca="1">IFERROR(Tab_Calculs[[#This Row],[Ratio_jour_après_livr]]+Tab_Calculs[[#This Row],[Ratio_jour_avant_livr]]+Tab_Calculs[[#This Row],[ratio_avant_debut]],"")</f>
        <v/>
      </c>
      <c r="O1462" t="e">
        <f ca="1">INDEX(INDIRECT(CONCATENATE("Tab_",Tab_Calculs[[#This Row],[Colonne1]])),Tab_Calculs[[#This Row],[index_date_livraison]]-1,7)*(MAX(Tab_Calculs[[#This Row],[Début periode livraison]],Tab_Calculs[[#This Row],[Début mois]])-Tab_Calculs[[#This Row],[Début mois]])</f>
        <v>#VALUE!</v>
      </c>
      <c r="P1462">
        <f ca="1">INDEX(INDIRECT(CONCATENATE("Tab_",Tab_Calculs[[#This Row],[Colonne1]])),Tab_Calculs[[#This Row],[index_date_livraison]],7)*(1+MIN(Tab_Calculs[[#This Row],[Date_livraison]],Tab_Calculs[[#This Row],[fin mois]])-MAX(Tab_Calculs[[#This Row],[Début mois]],Tab_Calculs[[#This Row],[Début periode livraison]]))</f>
        <v>0</v>
      </c>
      <c r="Q1462" t="e">
        <f ca="1">INDEX(INDIRECT(CONCATENATE("Tab_",Tab_Calculs[[#This Row],[Colonne1]])),Tab_Calculs[[#This Row],[index_date_livraison]]+1,7)*(Tab_Calculs[[#This Row],[fin mois]]-MIN(Tab_Calculs[[#This Row],[fin mois]],Tab_Calculs[[#This Row],[Date_livraison]]))</f>
        <v>#VALUE!</v>
      </c>
      <c r="R1462" t="e">
        <f ca="1">Tab_Calculs[[#This Row],[Ratio_Cout_après_livr]]+Tab_Calculs[[#This Row],[Ratio_Cout_avant_livr]]+Tab_Calculs[[#This Row],[Ratio_Cout_avant_debut]]</f>
        <v>#VALUE!</v>
      </c>
      <c r="S1462" t="str">
        <f ca="1">IFERROR(N1462*VLOOKUP(Tab_Calculs[[#This Row],[Colonne1]],Controle_des_données!$B$7:$G$14,6,FALSE),"")</f>
        <v/>
      </c>
      <c r="T1462" t="str">
        <f ca="1">IF(Tab_Calculs[[#This Row],[Combustible ]]="Electricité (kWh)",Tab_Calculs[[#This Row],[Conso_mois_kWh]]*2.3,Tab_Calculs[[#This Row],[Conso_mois_kWh]])</f>
        <v/>
      </c>
      <c r="U1462" t="str">
        <f ca="1">IFERROR(N1462*VLOOKUP(Tab_Calculs[[#This Row],[Colonne1]],Controle_des_données!$B$7:$H$14,7,FALSE),"")</f>
        <v/>
      </c>
      <c r="V1462">
        <f ca="1">IFERROR(Tab_Calculs[[#This Row],[Cout_mois]]/Tab_Calculs[[#This Row],[Conso_mois_kWh]],0)</f>
        <v>0</v>
      </c>
      <c r="W1462" t="str">
        <f>T(VLOOKUP(Tab_Calculs[[#This Row],[Compteur]],Site!$B$33:$G$40,3,FALSE))</f>
        <v/>
      </c>
      <c r="X1462" t="str">
        <f>T(VLOOKUP(Tab_Calculs[[#This Row],[Compteur]],Site!$B$33:$G$40,4,FALSE))</f>
        <v/>
      </c>
      <c r="Y1462" t="str">
        <f>T(VLOOKUP(Tab_Calculs[[#This Row],[Compteur]],Site!$B$33:$G$40,5,FALSE))</f>
        <v/>
      </c>
      <c r="Z1462" t="str">
        <f>T(VLOOKUP(Tab_Calculs[[#This Row],[Compteur]],Site!$B$33:$G$40,6,FALSE))</f>
        <v/>
      </c>
      <c r="AA1462">
        <f>IFERROR(GETPIVOTDATA("DJU(chauffagiste)",BDD_DJU!$P$13,"annee",Tab_Calculs[[#This Row],[ANNEE]],"mois_numero",Tab_Calculs[[#This Row],[MOIS]]),0)</f>
        <v>297.3</v>
      </c>
    </row>
    <row r="1463" spans="1:27" x14ac:dyDescent="0.25">
      <c r="A1463" s="3">
        <f>DATE(Tab_Calculs[[#This Row],[ANNEE]],Tab_Calculs[[#This Row],[MOIS]],1)</f>
        <v>43525</v>
      </c>
      <c r="B1463" s="3">
        <f>EDATE(Tab_Calculs[[#This Row],[Début mois]],1)-1</f>
        <v>43555</v>
      </c>
      <c r="C1463">
        <f t="shared" si="50"/>
        <v>3</v>
      </c>
      <c r="D1463">
        <f t="shared" si="49"/>
        <v>2019</v>
      </c>
      <c r="E1463" t="s">
        <v>87</v>
      </c>
      <c r="F1463" t="str">
        <f>SUBSTITUTE(Tab_Calculs[[#This Row],[Compteur]]," ","_")</f>
        <v>Compteur_8</v>
      </c>
      <c r="G1463" t="str">
        <f>T(INDEX(Site!$B$33:$G$40, MATCH(Tab_Calculs[[#This Row],[Compteur]], Site!$B$33:$B$40,0),2))</f>
        <v/>
      </c>
      <c r="H1463" s="3">
        <f t="array" aca="1" ref="H1463" ca="1">MIN(IF(INDIRECT(CONCATENATE(Tab_Calculs[[#This Row],[Colonne1]],"!$B$2:$B$243"))&gt;=Calculs_Consos!$A1463,INDIRECT(CONCATENATE(Tab_Calculs[[#This Row],[Colonne1]],"!$B$2:$B$243"))))</f>
        <v>0</v>
      </c>
      <c r="I1463" s="3">
        <f ca="1">INDEX(INDIRECT(CONCATENATE("Tab_",Tab_Calculs[[#This Row],[Colonne1]])),Tab_Calculs[[#This Row],[index_date_livraison]],1)</f>
        <v>0</v>
      </c>
      <c r="J1463">
        <f ca="1">MATCH(Tab_Calculs[[#This Row],[Date_livraison]],INDIRECT(CONCATENATE("Tab_",Tab_Calculs[[#This Row],[Colonne1]],"[Fin de période]")),0)</f>
        <v>1</v>
      </c>
      <c r="K1463" t="e">
        <f ca="1">INDEX(INDIRECT(CONCATENATE("Tab_",Tab_Calculs[[#This Row],[Colonne1]])),Tab_Calculs[[#This Row],[index_date_livraison]]-1,6)*(MAX(Tab_Calculs[[#This Row],[Début periode livraison]],Tab_Calculs[[#This Row],[Début mois]])-Tab_Calculs[[#This Row],[Début mois]])</f>
        <v>#VALUE!</v>
      </c>
      <c r="L1463" s="94">
        <f ca="1">INDEX(INDIRECT(CONCATENATE("Tab_",Tab_Calculs[[#This Row],[Colonne1]])),Tab_Calculs[[#This Row],[index_date_livraison]],6)*(1+MIN(Tab_Calculs[[#This Row],[Date_livraison]],Tab_Calculs[[#This Row],[fin mois]])-MAX(Tab_Calculs[[#This Row],[Début mois]],Tab_Calculs[[#This Row],[Début periode livraison]]))</f>
        <v>0</v>
      </c>
      <c r="M1463" s="94" t="e">
        <f ca="1">INDEX(INDIRECT(CONCATENATE("Tab_",Tab_Calculs[[#This Row],[Colonne1]])),Tab_Calculs[[#This Row],[index_date_livraison]]+1,6)*(Tab_Calculs[[#This Row],[fin mois]]-MIN(Tab_Calculs[[#This Row],[fin mois]],Tab_Calculs[[#This Row],[Date_livraison]]))</f>
        <v>#VALUE!</v>
      </c>
      <c r="N1463" s="231" t="str">
        <f ca="1">IFERROR(Tab_Calculs[[#This Row],[Ratio_jour_après_livr]]+Tab_Calculs[[#This Row],[Ratio_jour_avant_livr]]+Tab_Calculs[[#This Row],[ratio_avant_debut]],"")</f>
        <v/>
      </c>
      <c r="O1463" t="e">
        <f ca="1">INDEX(INDIRECT(CONCATENATE("Tab_",Tab_Calculs[[#This Row],[Colonne1]])),Tab_Calculs[[#This Row],[index_date_livraison]]-1,7)*(MAX(Tab_Calculs[[#This Row],[Début periode livraison]],Tab_Calculs[[#This Row],[Début mois]])-Tab_Calculs[[#This Row],[Début mois]])</f>
        <v>#VALUE!</v>
      </c>
      <c r="P1463">
        <f ca="1">INDEX(INDIRECT(CONCATENATE("Tab_",Tab_Calculs[[#This Row],[Colonne1]])),Tab_Calculs[[#This Row],[index_date_livraison]],7)*(1+MIN(Tab_Calculs[[#This Row],[Date_livraison]],Tab_Calculs[[#This Row],[fin mois]])-MAX(Tab_Calculs[[#This Row],[Début mois]],Tab_Calculs[[#This Row],[Début periode livraison]]))</f>
        <v>0</v>
      </c>
      <c r="Q1463" t="e">
        <f ca="1">INDEX(INDIRECT(CONCATENATE("Tab_",Tab_Calculs[[#This Row],[Colonne1]])),Tab_Calculs[[#This Row],[index_date_livraison]]+1,7)*(Tab_Calculs[[#This Row],[fin mois]]-MIN(Tab_Calculs[[#This Row],[fin mois]],Tab_Calculs[[#This Row],[Date_livraison]]))</f>
        <v>#VALUE!</v>
      </c>
      <c r="R1463" t="e">
        <f ca="1">Tab_Calculs[[#This Row],[Ratio_Cout_après_livr]]+Tab_Calculs[[#This Row],[Ratio_Cout_avant_livr]]+Tab_Calculs[[#This Row],[Ratio_Cout_avant_debut]]</f>
        <v>#VALUE!</v>
      </c>
      <c r="S1463" t="str">
        <f ca="1">IFERROR(N1463*VLOOKUP(Tab_Calculs[[#This Row],[Colonne1]],Controle_des_données!$B$7:$G$14,6,FALSE),"")</f>
        <v/>
      </c>
      <c r="T1463" t="str">
        <f ca="1">IF(Tab_Calculs[[#This Row],[Combustible ]]="Electricité (kWh)",Tab_Calculs[[#This Row],[Conso_mois_kWh]]*2.3,Tab_Calculs[[#This Row],[Conso_mois_kWh]])</f>
        <v/>
      </c>
      <c r="U1463" t="str">
        <f ca="1">IFERROR(N1463*VLOOKUP(Tab_Calculs[[#This Row],[Colonne1]],Controle_des_données!$B$7:$H$14,7,FALSE),"")</f>
        <v/>
      </c>
      <c r="V1463">
        <f ca="1">IFERROR(Tab_Calculs[[#This Row],[Cout_mois]]/Tab_Calculs[[#This Row],[Conso_mois_kWh]],0)</f>
        <v>0</v>
      </c>
      <c r="W1463" t="str">
        <f>T(VLOOKUP(Tab_Calculs[[#This Row],[Compteur]],Site!$B$33:$G$40,3,FALSE))</f>
        <v/>
      </c>
      <c r="X1463" t="str">
        <f>T(VLOOKUP(Tab_Calculs[[#This Row],[Compteur]],Site!$B$33:$G$40,4,FALSE))</f>
        <v/>
      </c>
      <c r="Y1463" t="str">
        <f>T(VLOOKUP(Tab_Calculs[[#This Row],[Compteur]],Site!$B$33:$G$40,5,FALSE))</f>
        <v/>
      </c>
      <c r="Z1463" t="str">
        <f>T(VLOOKUP(Tab_Calculs[[#This Row],[Compteur]],Site!$B$33:$G$40,6,FALSE))</f>
        <v/>
      </c>
      <c r="AA1463">
        <f>IFERROR(GETPIVOTDATA("DJU(chauffagiste)",BDD_DJU!$P$13,"annee",Tab_Calculs[[#This Row],[ANNEE]],"mois_numero",Tab_Calculs[[#This Row],[MOIS]]),0)</f>
        <v>260.39999999999998</v>
      </c>
    </row>
    <row r="1464" spans="1:27" x14ac:dyDescent="0.25">
      <c r="A1464" s="3">
        <f>DATE(Tab_Calculs[[#This Row],[ANNEE]],Tab_Calculs[[#This Row],[MOIS]],1)</f>
        <v>43556</v>
      </c>
      <c r="B1464" s="3">
        <f>EDATE(Tab_Calculs[[#This Row],[Début mois]],1)-1</f>
        <v>43585</v>
      </c>
      <c r="C1464">
        <f t="shared" si="50"/>
        <v>4</v>
      </c>
      <c r="D1464">
        <f t="shared" si="49"/>
        <v>2019</v>
      </c>
      <c r="E1464" t="s">
        <v>87</v>
      </c>
      <c r="F1464" t="str">
        <f>SUBSTITUTE(Tab_Calculs[[#This Row],[Compteur]]," ","_")</f>
        <v>Compteur_8</v>
      </c>
      <c r="G1464" t="str">
        <f>T(INDEX(Site!$B$33:$G$40, MATCH(Tab_Calculs[[#This Row],[Compteur]], Site!$B$33:$B$40,0),2))</f>
        <v/>
      </c>
      <c r="H1464" s="3">
        <f t="array" aca="1" ref="H1464" ca="1">MIN(IF(INDIRECT(CONCATENATE(Tab_Calculs[[#This Row],[Colonne1]],"!$B$2:$B$243"))&gt;=Calculs_Consos!$A1464,INDIRECT(CONCATENATE(Tab_Calculs[[#This Row],[Colonne1]],"!$B$2:$B$243"))))</f>
        <v>0</v>
      </c>
      <c r="I1464" s="3">
        <f ca="1">INDEX(INDIRECT(CONCATENATE("Tab_",Tab_Calculs[[#This Row],[Colonne1]])),Tab_Calculs[[#This Row],[index_date_livraison]],1)</f>
        <v>0</v>
      </c>
      <c r="J1464">
        <f ca="1">MATCH(Tab_Calculs[[#This Row],[Date_livraison]],INDIRECT(CONCATENATE("Tab_",Tab_Calculs[[#This Row],[Colonne1]],"[Fin de période]")),0)</f>
        <v>1</v>
      </c>
      <c r="K1464" t="e">
        <f ca="1">INDEX(INDIRECT(CONCATENATE("Tab_",Tab_Calculs[[#This Row],[Colonne1]])),Tab_Calculs[[#This Row],[index_date_livraison]]-1,6)*(MAX(Tab_Calculs[[#This Row],[Début periode livraison]],Tab_Calculs[[#This Row],[Début mois]])-Tab_Calculs[[#This Row],[Début mois]])</f>
        <v>#VALUE!</v>
      </c>
      <c r="L1464" s="94">
        <f ca="1">INDEX(INDIRECT(CONCATENATE("Tab_",Tab_Calculs[[#This Row],[Colonne1]])),Tab_Calculs[[#This Row],[index_date_livraison]],6)*(1+MIN(Tab_Calculs[[#This Row],[Date_livraison]],Tab_Calculs[[#This Row],[fin mois]])-MAX(Tab_Calculs[[#This Row],[Début mois]],Tab_Calculs[[#This Row],[Début periode livraison]]))</f>
        <v>0</v>
      </c>
      <c r="M1464" s="94" t="e">
        <f ca="1">INDEX(INDIRECT(CONCATENATE("Tab_",Tab_Calculs[[#This Row],[Colonne1]])),Tab_Calculs[[#This Row],[index_date_livraison]]+1,6)*(Tab_Calculs[[#This Row],[fin mois]]-MIN(Tab_Calculs[[#This Row],[fin mois]],Tab_Calculs[[#This Row],[Date_livraison]]))</f>
        <v>#VALUE!</v>
      </c>
      <c r="N1464" s="231" t="str">
        <f ca="1">IFERROR(Tab_Calculs[[#This Row],[Ratio_jour_après_livr]]+Tab_Calculs[[#This Row],[Ratio_jour_avant_livr]]+Tab_Calculs[[#This Row],[ratio_avant_debut]],"")</f>
        <v/>
      </c>
      <c r="O1464" t="e">
        <f ca="1">INDEX(INDIRECT(CONCATENATE("Tab_",Tab_Calculs[[#This Row],[Colonne1]])),Tab_Calculs[[#This Row],[index_date_livraison]]-1,7)*(MAX(Tab_Calculs[[#This Row],[Début periode livraison]],Tab_Calculs[[#This Row],[Début mois]])-Tab_Calculs[[#This Row],[Début mois]])</f>
        <v>#VALUE!</v>
      </c>
      <c r="P1464">
        <f ca="1">INDEX(INDIRECT(CONCATENATE("Tab_",Tab_Calculs[[#This Row],[Colonne1]])),Tab_Calculs[[#This Row],[index_date_livraison]],7)*(1+MIN(Tab_Calculs[[#This Row],[Date_livraison]],Tab_Calculs[[#This Row],[fin mois]])-MAX(Tab_Calculs[[#This Row],[Début mois]],Tab_Calculs[[#This Row],[Début periode livraison]]))</f>
        <v>0</v>
      </c>
      <c r="Q1464" t="e">
        <f ca="1">INDEX(INDIRECT(CONCATENATE("Tab_",Tab_Calculs[[#This Row],[Colonne1]])),Tab_Calculs[[#This Row],[index_date_livraison]]+1,7)*(Tab_Calculs[[#This Row],[fin mois]]-MIN(Tab_Calculs[[#This Row],[fin mois]],Tab_Calculs[[#This Row],[Date_livraison]]))</f>
        <v>#VALUE!</v>
      </c>
      <c r="R1464" t="e">
        <f ca="1">Tab_Calculs[[#This Row],[Ratio_Cout_après_livr]]+Tab_Calculs[[#This Row],[Ratio_Cout_avant_livr]]+Tab_Calculs[[#This Row],[Ratio_Cout_avant_debut]]</f>
        <v>#VALUE!</v>
      </c>
      <c r="S1464" t="str">
        <f ca="1">IFERROR(N1464*VLOOKUP(Tab_Calculs[[#This Row],[Colonne1]],Controle_des_données!$B$7:$G$14,6,FALSE),"")</f>
        <v/>
      </c>
      <c r="T1464" t="str">
        <f ca="1">IF(Tab_Calculs[[#This Row],[Combustible ]]="Electricité (kWh)",Tab_Calculs[[#This Row],[Conso_mois_kWh]]*2.3,Tab_Calculs[[#This Row],[Conso_mois_kWh]])</f>
        <v/>
      </c>
      <c r="U1464" t="str">
        <f ca="1">IFERROR(N1464*VLOOKUP(Tab_Calculs[[#This Row],[Colonne1]],Controle_des_données!$B$7:$H$14,7,FALSE),"")</f>
        <v/>
      </c>
      <c r="V1464">
        <f ca="1">IFERROR(Tab_Calculs[[#This Row],[Cout_mois]]/Tab_Calculs[[#This Row],[Conso_mois_kWh]],0)</f>
        <v>0</v>
      </c>
      <c r="W1464" t="str">
        <f>T(VLOOKUP(Tab_Calculs[[#This Row],[Compteur]],Site!$B$33:$G$40,3,FALSE))</f>
        <v/>
      </c>
      <c r="X1464" t="str">
        <f>T(VLOOKUP(Tab_Calculs[[#This Row],[Compteur]],Site!$B$33:$G$40,4,FALSE))</f>
        <v/>
      </c>
      <c r="Y1464" t="str">
        <f>T(VLOOKUP(Tab_Calculs[[#This Row],[Compteur]],Site!$B$33:$G$40,5,FALSE))</f>
        <v/>
      </c>
      <c r="Z1464" t="str">
        <f>T(VLOOKUP(Tab_Calculs[[#This Row],[Compteur]],Site!$B$33:$G$40,6,FALSE))</f>
        <v/>
      </c>
      <c r="AA1464">
        <f>IFERROR(GETPIVOTDATA("DJU(chauffagiste)",BDD_DJU!$P$13,"annee",Tab_Calculs[[#This Row],[ANNEE]],"mois_numero",Tab_Calculs[[#This Row],[MOIS]]),0)</f>
        <v>201.4</v>
      </c>
    </row>
    <row r="1465" spans="1:27" x14ac:dyDescent="0.25">
      <c r="A1465" s="3">
        <f>DATE(Tab_Calculs[[#This Row],[ANNEE]],Tab_Calculs[[#This Row],[MOIS]],1)</f>
        <v>43586</v>
      </c>
      <c r="B1465" s="3">
        <f>EDATE(Tab_Calculs[[#This Row],[Début mois]],1)-1</f>
        <v>43616</v>
      </c>
      <c r="C1465">
        <f t="shared" si="50"/>
        <v>5</v>
      </c>
      <c r="D1465">
        <f t="shared" si="49"/>
        <v>2019</v>
      </c>
      <c r="E1465" t="s">
        <v>87</v>
      </c>
      <c r="F1465" t="str">
        <f>SUBSTITUTE(Tab_Calculs[[#This Row],[Compteur]]," ","_")</f>
        <v>Compteur_8</v>
      </c>
      <c r="G1465" t="str">
        <f>T(INDEX(Site!$B$33:$G$40, MATCH(Tab_Calculs[[#This Row],[Compteur]], Site!$B$33:$B$40,0),2))</f>
        <v/>
      </c>
      <c r="H1465" s="3">
        <f t="array" aca="1" ref="H1465" ca="1">MIN(IF(INDIRECT(CONCATENATE(Tab_Calculs[[#This Row],[Colonne1]],"!$B$2:$B$243"))&gt;=Calculs_Consos!$A1465,INDIRECT(CONCATENATE(Tab_Calculs[[#This Row],[Colonne1]],"!$B$2:$B$243"))))</f>
        <v>0</v>
      </c>
      <c r="I1465" s="3">
        <f ca="1">INDEX(INDIRECT(CONCATENATE("Tab_",Tab_Calculs[[#This Row],[Colonne1]])),Tab_Calculs[[#This Row],[index_date_livraison]],1)</f>
        <v>0</v>
      </c>
      <c r="J1465">
        <f ca="1">MATCH(Tab_Calculs[[#This Row],[Date_livraison]],INDIRECT(CONCATENATE("Tab_",Tab_Calculs[[#This Row],[Colonne1]],"[Fin de période]")),0)</f>
        <v>1</v>
      </c>
      <c r="K1465" t="e">
        <f ca="1">INDEX(INDIRECT(CONCATENATE("Tab_",Tab_Calculs[[#This Row],[Colonne1]])),Tab_Calculs[[#This Row],[index_date_livraison]]-1,6)*(MAX(Tab_Calculs[[#This Row],[Début periode livraison]],Tab_Calculs[[#This Row],[Début mois]])-Tab_Calculs[[#This Row],[Début mois]])</f>
        <v>#VALUE!</v>
      </c>
      <c r="L1465" s="94">
        <f ca="1">INDEX(INDIRECT(CONCATENATE("Tab_",Tab_Calculs[[#This Row],[Colonne1]])),Tab_Calculs[[#This Row],[index_date_livraison]],6)*(1+MIN(Tab_Calculs[[#This Row],[Date_livraison]],Tab_Calculs[[#This Row],[fin mois]])-MAX(Tab_Calculs[[#This Row],[Début mois]],Tab_Calculs[[#This Row],[Début periode livraison]]))</f>
        <v>0</v>
      </c>
      <c r="M1465" s="94" t="e">
        <f ca="1">INDEX(INDIRECT(CONCATENATE("Tab_",Tab_Calculs[[#This Row],[Colonne1]])),Tab_Calculs[[#This Row],[index_date_livraison]]+1,6)*(Tab_Calculs[[#This Row],[fin mois]]-MIN(Tab_Calculs[[#This Row],[fin mois]],Tab_Calculs[[#This Row],[Date_livraison]]))</f>
        <v>#VALUE!</v>
      </c>
      <c r="N1465" s="231" t="str">
        <f ca="1">IFERROR(Tab_Calculs[[#This Row],[Ratio_jour_après_livr]]+Tab_Calculs[[#This Row],[Ratio_jour_avant_livr]]+Tab_Calculs[[#This Row],[ratio_avant_debut]],"")</f>
        <v/>
      </c>
      <c r="O1465" t="e">
        <f ca="1">INDEX(INDIRECT(CONCATENATE("Tab_",Tab_Calculs[[#This Row],[Colonne1]])),Tab_Calculs[[#This Row],[index_date_livraison]]-1,7)*(MAX(Tab_Calculs[[#This Row],[Début periode livraison]],Tab_Calculs[[#This Row],[Début mois]])-Tab_Calculs[[#This Row],[Début mois]])</f>
        <v>#VALUE!</v>
      </c>
      <c r="P1465">
        <f ca="1">INDEX(INDIRECT(CONCATENATE("Tab_",Tab_Calculs[[#This Row],[Colonne1]])),Tab_Calculs[[#This Row],[index_date_livraison]],7)*(1+MIN(Tab_Calculs[[#This Row],[Date_livraison]],Tab_Calculs[[#This Row],[fin mois]])-MAX(Tab_Calculs[[#This Row],[Début mois]],Tab_Calculs[[#This Row],[Début periode livraison]]))</f>
        <v>0</v>
      </c>
      <c r="Q1465" t="e">
        <f ca="1">INDEX(INDIRECT(CONCATENATE("Tab_",Tab_Calculs[[#This Row],[Colonne1]])),Tab_Calculs[[#This Row],[index_date_livraison]]+1,7)*(Tab_Calculs[[#This Row],[fin mois]]-MIN(Tab_Calculs[[#This Row],[fin mois]],Tab_Calculs[[#This Row],[Date_livraison]]))</f>
        <v>#VALUE!</v>
      </c>
      <c r="R1465" t="e">
        <f ca="1">Tab_Calculs[[#This Row],[Ratio_Cout_après_livr]]+Tab_Calculs[[#This Row],[Ratio_Cout_avant_livr]]+Tab_Calculs[[#This Row],[Ratio_Cout_avant_debut]]</f>
        <v>#VALUE!</v>
      </c>
      <c r="S1465" t="str">
        <f ca="1">IFERROR(N1465*VLOOKUP(Tab_Calculs[[#This Row],[Colonne1]],Controle_des_données!$B$7:$G$14,6,FALSE),"")</f>
        <v/>
      </c>
      <c r="T1465" t="str">
        <f ca="1">IF(Tab_Calculs[[#This Row],[Combustible ]]="Electricité (kWh)",Tab_Calculs[[#This Row],[Conso_mois_kWh]]*2.3,Tab_Calculs[[#This Row],[Conso_mois_kWh]])</f>
        <v/>
      </c>
      <c r="U1465" t="str">
        <f ca="1">IFERROR(N1465*VLOOKUP(Tab_Calculs[[#This Row],[Colonne1]],Controle_des_données!$B$7:$H$14,7,FALSE),"")</f>
        <v/>
      </c>
      <c r="V1465">
        <f ca="1">IFERROR(Tab_Calculs[[#This Row],[Cout_mois]]/Tab_Calculs[[#This Row],[Conso_mois_kWh]],0)</f>
        <v>0</v>
      </c>
      <c r="W1465" t="str">
        <f>T(VLOOKUP(Tab_Calculs[[#This Row],[Compteur]],Site!$B$33:$G$40,3,FALSE))</f>
        <v/>
      </c>
      <c r="X1465" t="str">
        <f>T(VLOOKUP(Tab_Calculs[[#This Row],[Compteur]],Site!$B$33:$G$40,4,FALSE))</f>
        <v/>
      </c>
      <c r="Y1465" t="str">
        <f>T(VLOOKUP(Tab_Calculs[[#This Row],[Compteur]],Site!$B$33:$G$40,5,FALSE))</f>
        <v/>
      </c>
      <c r="Z1465" t="str">
        <f>T(VLOOKUP(Tab_Calculs[[#This Row],[Compteur]],Site!$B$33:$G$40,6,FALSE))</f>
        <v/>
      </c>
      <c r="AA1465">
        <f>IFERROR(GETPIVOTDATA("DJU(chauffagiste)",BDD_DJU!$P$13,"annee",Tab_Calculs[[#This Row],[ANNEE]],"mois_numero",Tab_Calculs[[#This Row],[MOIS]]),0)</f>
        <v>147.9</v>
      </c>
    </row>
    <row r="1466" spans="1:27" x14ac:dyDescent="0.25">
      <c r="A1466" s="3">
        <f>DATE(Tab_Calculs[[#This Row],[ANNEE]],Tab_Calculs[[#This Row],[MOIS]],1)</f>
        <v>43617</v>
      </c>
      <c r="B1466" s="3">
        <f>EDATE(Tab_Calculs[[#This Row],[Début mois]],1)-1</f>
        <v>43646</v>
      </c>
      <c r="C1466">
        <f t="shared" si="50"/>
        <v>6</v>
      </c>
      <c r="D1466">
        <f t="shared" si="49"/>
        <v>2019</v>
      </c>
      <c r="E1466" t="s">
        <v>87</v>
      </c>
      <c r="F1466" t="str">
        <f>SUBSTITUTE(Tab_Calculs[[#This Row],[Compteur]]," ","_")</f>
        <v>Compteur_8</v>
      </c>
      <c r="G1466" t="str">
        <f>T(INDEX(Site!$B$33:$G$40, MATCH(Tab_Calculs[[#This Row],[Compteur]], Site!$B$33:$B$40,0),2))</f>
        <v/>
      </c>
      <c r="H1466" s="3">
        <f t="array" aca="1" ref="H1466" ca="1">MIN(IF(INDIRECT(CONCATENATE(Tab_Calculs[[#This Row],[Colonne1]],"!$B$2:$B$243"))&gt;=Calculs_Consos!$A1466,INDIRECT(CONCATENATE(Tab_Calculs[[#This Row],[Colonne1]],"!$B$2:$B$243"))))</f>
        <v>0</v>
      </c>
      <c r="I1466" s="3">
        <f ca="1">INDEX(INDIRECT(CONCATENATE("Tab_",Tab_Calculs[[#This Row],[Colonne1]])),Tab_Calculs[[#This Row],[index_date_livraison]],1)</f>
        <v>0</v>
      </c>
      <c r="J1466">
        <f ca="1">MATCH(Tab_Calculs[[#This Row],[Date_livraison]],INDIRECT(CONCATENATE("Tab_",Tab_Calculs[[#This Row],[Colonne1]],"[Fin de période]")),0)</f>
        <v>1</v>
      </c>
      <c r="K1466" t="e">
        <f ca="1">INDEX(INDIRECT(CONCATENATE("Tab_",Tab_Calculs[[#This Row],[Colonne1]])),Tab_Calculs[[#This Row],[index_date_livraison]]-1,6)*(MAX(Tab_Calculs[[#This Row],[Début periode livraison]],Tab_Calculs[[#This Row],[Début mois]])-Tab_Calculs[[#This Row],[Début mois]])</f>
        <v>#VALUE!</v>
      </c>
      <c r="L1466" s="94">
        <f ca="1">INDEX(INDIRECT(CONCATENATE("Tab_",Tab_Calculs[[#This Row],[Colonne1]])),Tab_Calculs[[#This Row],[index_date_livraison]],6)*(1+MIN(Tab_Calculs[[#This Row],[Date_livraison]],Tab_Calculs[[#This Row],[fin mois]])-MAX(Tab_Calculs[[#This Row],[Début mois]],Tab_Calculs[[#This Row],[Début periode livraison]]))</f>
        <v>0</v>
      </c>
      <c r="M1466" s="94" t="e">
        <f ca="1">INDEX(INDIRECT(CONCATENATE("Tab_",Tab_Calculs[[#This Row],[Colonne1]])),Tab_Calculs[[#This Row],[index_date_livraison]]+1,6)*(Tab_Calculs[[#This Row],[fin mois]]-MIN(Tab_Calculs[[#This Row],[fin mois]],Tab_Calculs[[#This Row],[Date_livraison]]))</f>
        <v>#VALUE!</v>
      </c>
      <c r="N1466" s="231" t="str">
        <f ca="1">IFERROR(Tab_Calculs[[#This Row],[Ratio_jour_après_livr]]+Tab_Calculs[[#This Row],[Ratio_jour_avant_livr]]+Tab_Calculs[[#This Row],[ratio_avant_debut]],"")</f>
        <v/>
      </c>
      <c r="O1466" t="e">
        <f ca="1">INDEX(INDIRECT(CONCATENATE("Tab_",Tab_Calculs[[#This Row],[Colonne1]])),Tab_Calculs[[#This Row],[index_date_livraison]]-1,7)*(MAX(Tab_Calculs[[#This Row],[Début periode livraison]],Tab_Calculs[[#This Row],[Début mois]])-Tab_Calculs[[#This Row],[Début mois]])</f>
        <v>#VALUE!</v>
      </c>
      <c r="P1466">
        <f ca="1">INDEX(INDIRECT(CONCATENATE("Tab_",Tab_Calculs[[#This Row],[Colonne1]])),Tab_Calculs[[#This Row],[index_date_livraison]],7)*(1+MIN(Tab_Calculs[[#This Row],[Date_livraison]],Tab_Calculs[[#This Row],[fin mois]])-MAX(Tab_Calculs[[#This Row],[Début mois]],Tab_Calculs[[#This Row],[Début periode livraison]]))</f>
        <v>0</v>
      </c>
      <c r="Q1466" t="e">
        <f ca="1">INDEX(INDIRECT(CONCATENATE("Tab_",Tab_Calculs[[#This Row],[Colonne1]])),Tab_Calculs[[#This Row],[index_date_livraison]]+1,7)*(Tab_Calculs[[#This Row],[fin mois]]-MIN(Tab_Calculs[[#This Row],[fin mois]],Tab_Calculs[[#This Row],[Date_livraison]]))</f>
        <v>#VALUE!</v>
      </c>
      <c r="R1466" t="e">
        <f ca="1">Tab_Calculs[[#This Row],[Ratio_Cout_après_livr]]+Tab_Calculs[[#This Row],[Ratio_Cout_avant_livr]]+Tab_Calculs[[#This Row],[Ratio_Cout_avant_debut]]</f>
        <v>#VALUE!</v>
      </c>
      <c r="S1466" t="str">
        <f ca="1">IFERROR(N1466*VLOOKUP(Tab_Calculs[[#This Row],[Colonne1]],Controle_des_données!$B$7:$G$14,6,FALSE),"")</f>
        <v/>
      </c>
      <c r="T1466" t="str">
        <f ca="1">IF(Tab_Calculs[[#This Row],[Combustible ]]="Electricité (kWh)",Tab_Calculs[[#This Row],[Conso_mois_kWh]]*2.3,Tab_Calculs[[#This Row],[Conso_mois_kWh]])</f>
        <v/>
      </c>
      <c r="U1466" t="str">
        <f ca="1">IFERROR(N1466*VLOOKUP(Tab_Calculs[[#This Row],[Colonne1]],Controle_des_données!$B$7:$H$14,7,FALSE),"")</f>
        <v/>
      </c>
      <c r="V1466">
        <f ca="1">IFERROR(Tab_Calculs[[#This Row],[Cout_mois]]/Tab_Calculs[[#This Row],[Conso_mois_kWh]],0)</f>
        <v>0</v>
      </c>
      <c r="W1466" t="str">
        <f>T(VLOOKUP(Tab_Calculs[[#This Row],[Compteur]],Site!$B$33:$G$40,3,FALSE))</f>
        <v/>
      </c>
      <c r="X1466" t="str">
        <f>T(VLOOKUP(Tab_Calculs[[#This Row],[Compteur]],Site!$B$33:$G$40,4,FALSE))</f>
        <v/>
      </c>
      <c r="Y1466" t="str">
        <f>T(VLOOKUP(Tab_Calculs[[#This Row],[Compteur]],Site!$B$33:$G$40,5,FALSE))</f>
        <v/>
      </c>
      <c r="Z1466" t="str">
        <f>T(VLOOKUP(Tab_Calculs[[#This Row],[Compteur]],Site!$B$33:$G$40,6,FALSE))</f>
        <v/>
      </c>
      <c r="AA1466">
        <f>IFERROR(GETPIVOTDATA("DJU(chauffagiste)",BDD_DJU!$P$13,"annee",Tab_Calculs[[#This Row],[ANNEE]],"mois_numero",Tab_Calculs[[#This Row],[MOIS]]),0)</f>
        <v>54.1</v>
      </c>
    </row>
    <row r="1467" spans="1:27" x14ac:dyDescent="0.25">
      <c r="A1467" s="3">
        <f>DATE(Tab_Calculs[[#This Row],[ANNEE]],Tab_Calculs[[#This Row],[MOIS]],1)</f>
        <v>43647</v>
      </c>
      <c r="B1467" s="3">
        <f>EDATE(Tab_Calculs[[#This Row],[Début mois]],1)-1</f>
        <v>43677</v>
      </c>
      <c r="C1467">
        <f t="shared" si="50"/>
        <v>7</v>
      </c>
      <c r="D1467">
        <f t="shared" si="49"/>
        <v>2019</v>
      </c>
      <c r="E1467" t="s">
        <v>87</v>
      </c>
      <c r="F1467" t="str">
        <f>SUBSTITUTE(Tab_Calculs[[#This Row],[Compteur]]," ","_")</f>
        <v>Compteur_8</v>
      </c>
      <c r="G1467" t="str">
        <f>T(INDEX(Site!$B$33:$G$40, MATCH(Tab_Calculs[[#This Row],[Compteur]], Site!$B$33:$B$40,0),2))</f>
        <v/>
      </c>
      <c r="H1467" s="3">
        <f t="array" aca="1" ref="H1467" ca="1">MIN(IF(INDIRECT(CONCATENATE(Tab_Calculs[[#This Row],[Colonne1]],"!$B$2:$B$243"))&gt;=Calculs_Consos!$A1467,INDIRECT(CONCATENATE(Tab_Calculs[[#This Row],[Colonne1]],"!$B$2:$B$243"))))</f>
        <v>0</v>
      </c>
      <c r="I1467" s="3">
        <f ca="1">INDEX(INDIRECT(CONCATENATE("Tab_",Tab_Calculs[[#This Row],[Colonne1]])),Tab_Calculs[[#This Row],[index_date_livraison]],1)</f>
        <v>0</v>
      </c>
      <c r="J1467">
        <f ca="1">MATCH(Tab_Calculs[[#This Row],[Date_livraison]],INDIRECT(CONCATENATE("Tab_",Tab_Calculs[[#This Row],[Colonne1]],"[Fin de période]")),0)</f>
        <v>1</v>
      </c>
      <c r="K1467" t="e">
        <f ca="1">INDEX(INDIRECT(CONCATENATE("Tab_",Tab_Calculs[[#This Row],[Colonne1]])),Tab_Calculs[[#This Row],[index_date_livraison]]-1,6)*(MAX(Tab_Calculs[[#This Row],[Début periode livraison]],Tab_Calculs[[#This Row],[Début mois]])-Tab_Calculs[[#This Row],[Début mois]])</f>
        <v>#VALUE!</v>
      </c>
      <c r="L1467" s="94">
        <f ca="1">INDEX(INDIRECT(CONCATENATE("Tab_",Tab_Calculs[[#This Row],[Colonne1]])),Tab_Calculs[[#This Row],[index_date_livraison]],6)*(1+MIN(Tab_Calculs[[#This Row],[Date_livraison]],Tab_Calculs[[#This Row],[fin mois]])-MAX(Tab_Calculs[[#This Row],[Début mois]],Tab_Calculs[[#This Row],[Début periode livraison]]))</f>
        <v>0</v>
      </c>
      <c r="M1467" s="94" t="e">
        <f ca="1">INDEX(INDIRECT(CONCATENATE("Tab_",Tab_Calculs[[#This Row],[Colonne1]])),Tab_Calculs[[#This Row],[index_date_livraison]]+1,6)*(Tab_Calculs[[#This Row],[fin mois]]-MIN(Tab_Calculs[[#This Row],[fin mois]],Tab_Calculs[[#This Row],[Date_livraison]]))</f>
        <v>#VALUE!</v>
      </c>
      <c r="N1467" s="231" t="str">
        <f ca="1">IFERROR(Tab_Calculs[[#This Row],[Ratio_jour_après_livr]]+Tab_Calculs[[#This Row],[Ratio_jour_avant_livr]]+Tab_Calculs[[#This Row],[ratio_avant_debut]],"")</f>
        <v/>
      </c>
      <c r="O1467" t="e">
        <f ca="1">INDEX(INDIRECT(CONCATENATE("Tab_",Tab_Calculs[[#This Row],[Colonne1]])),Tab_Calculs[[#This Row],[index_date_livraison]]-1,7)*(MAX(Tab_Calculs[[#This Row],[Début periode livraison]],Tab_Calculs[[#This Row],[Début mois]])-Tab_Calculs[[#This Row],[Début mois]])</f>
        <v>#VALUE!</v>
      </c>
      <c r="P1467">
        <f ca="1">INDEX(INDIRECT(CONCATENATE("Tab_",Tab_Calculs[[#This Row],[Colonne1]])),Tab_Calculs[[#This Row],[index_date_livraison]],7)*(1+MIN(Tab_Calculs[[#This Row],[Date_livraison]],Tab_Calculs[[#This Row],[fin mois]])-MAX(Tab_Calculs[[#This Row],[Début mois]],Tab_Calculs[[#This Row],[Début periode livraison]]))</f>
        <v>0</v>
      </c>
      <c r="Q1467" t="e">
        <f ca="1">INDEX(INDIRECT(CONCATENATE("Tab_",Tab_Calculs[[#This Row],[Colonne1]])),Tab_Calculs[[#This Row],[index_date_livraison]]+1,7)*(Tab_Calculs[[#This Row],[fin mois]]-MIN(Tab_Calculs[[#This Row],[fin mois]],Tab_Calculs[[#This Row],[Date_livraison]]))</f>
        <v>#VALUE!</v>
      </c>
      <c r="R1467" t="e">
        <f ca="1">Tab_Calculs[[#This Row],[Ratio_Cout_après_livr]]+Tab_Calculs[[#This Row],[Ratio_Cout_avant_livr]]+Tab_Calculs[[#This Row],[Ratio_Cout_avant_debut]]</f>
        <v>#VALUE!</v>
      </c>
      <c r="S1467" t="str">
        <f ca="1">IFERROR(N1467*VLOOKUP(Tab_Calculs[[#This Row],[Colonne1]],Controle_des_données!$B$7:$G$14,6,FALSE),"")</f>
        <v/>
      </c>
      <c r="T1467" t="str">
        <f ca="1">IF(Tab_Calculs[[#This Row],[Combustible ]]="Electricité (kWh)",Tab_Calculs[[#This Row],[Conso_mois_kWh]]*2.3,Tab_Calculs[[#This Row],[Conso_mois_kWh]])</f>
        <v/>
      </c>
      <c r="U1467" t="str">
        <f ca="1">IFERROR(N1467*VLOOKUP(Tab_Calculs[[#This Row],[Colonne1]],Controle_des_données!$B$7:$H$14,7,FALSE),"")</f>
        <v/>
      </c>
      <c r="V1467">
        <f ca="1">IFERROR(Tab_Calculs[[#This Row],[Cout_mois]]/Tab_Calculs[[#This Row],[Conso_mois_kWh]],0)</f>
        <v>0</v>
      </c>
      <c r="W1467" t="str">
        <f>T(VLOOKUP(Tab_Calculs[[#This Row],[Compteur]],Site!$B$33:$G$40,3,FALSE))</f>
        <v/>
      </c>
      <c r="X1467" t="str">
        <f>T(VLOOKUP(Tab_Calculs[[#This Row],[Compteur]],Site!$B$33:$G$40,4,FALSE))</f>
        <v/>
      </c>
      <c r="Y1467" t="str">
        <f>T(VLOOKUP(Tab_Calculs[[#This Row],[Compteur]],Site!$B$33:$G$40,5,FALSE))</f>
        <v/>
      </c>
      <c r="Z1467" t="str">
        <f>T(VLOOKUP(Tab_Calculs[[#This Row],[Compteur]],Site!$B$33:$G$40,6,FALSE))</f>
        <v/>
      </c>
      <c r="AA1467">
        <f>IFERROR(GETPIVOTDATA("DJU(chauffagiste)",BDD_DJU!$P$13,"annee",Tab_Calculs[[#This Row],[ANNEE]],"mois_numero",Tab_Calculs[[#This Row],[MOIS]]),0)</f>
        <v>15.5</v>
      </c>
    </row>
    <row r="1468" spans="1:27" x14ac:dyDescent="0.25">
      <c r="A1468" s="3">
        <f>DATE(Tab_Calculs[[#This Row],[ANNEE]],Tab_Calculs[[#This Row],[MOIS]],1)</f>
        <v>43678</v>
      </c>
      <c r="B1468" s="3">
        <f>EDATE(Tab_Calculs[[#This Row],[Début mois]],1)-1</f>
        <v>43708</v>
      </c>
      <c r="C1468">
        <f t="shared" si="50"/>
        <v>8</v>
      </c>
      <c r="D1468">
        <f t="shared" si="49"/>
        <v>2019</v>
      </c>
      <c r="E1468" t="s">
        <v>87</v>
      </c>
      <c r="F1468" t="str">
        <f>SUBSTITUTE(Tab_Calculs[[#This Row],[Compteur]]," ","_")</f>
        <v>Compteur_8</v>
      </c>
      <c r="G1468" t="str">
        <f>T(INDEX(Site!$B$33:$G$40, MATCH(Tab_Calculs[[#This Row],[Compteur]], Site!$B$33:$B$40,0),2))</f>
        <v/>
      </c>
      <c r="H1468" s="3">
        <f t="array" aca="1" ref="H1468" ca="1">MIN(IF(INDIRECT(CONCATENATE(Tab_Calculs[[#This Row],[Colonne1]],"!$B$2:$B$243"))&gt;=Calculs_Consos!$A1468,INDIRECT(CONCATENATE(Tab_Calculs[[#This Row],[Colonne1]],"!$B$2:$B$243"))))</f>
        <v>0</v>
      </c>
      <c r="I1468" s="3">
        <f ca="1">INDEX(INDIRECT(CONCATENATE("Tab_",Tab_Calculs[[#This Row],[Colonne1]])),Tab_Calculs[[#This Row],[index_date_livraison]],1)</f>
        <v>0</v>
      </c>
      <c r="J1468">
        <f ca="1">MATCH(Tab_Calculs[[#This Row],[Date_livraison]],INDIRECT(CONCATENATE("Tab_",Tab_Calculs[[#This Row],[Colonne1]],"[Fin de période]")),0)</f>
        <v>1</v>
      </c>
      <c r="K1468" t="e">
        <f ca="1">INDEX(INDIRECT(CONCATENATE("Tab_",Tab_Calculs[[#This Row],[Colonne1]])),Tab_Calculs[[#This Row],[index_date_livraison]]-1,6)*(MAX(Tab_Calculs[[#This Row],[Début periode livraison]],Tab_Calculs[[#This Row],[Début mois]])-Tab_Calculs[[#This Row],[Début mois]])</f>
        <v>#VALUE!</v>
      </c>
      <c r="L1468" s="94">
        <f ca="1">INDEX(INDIRECT(CONCATENATE("Tab_",Tab_Calculs[[#This Row],[Colonne1]])),Tab_Calculs[[#This Row],[index_date_livraison]],6)*(1+MIN(Tab_Calculs[[#This Row],[Date_livraison]],Tab_Calculs[[#This Row],[fin mois]])-MAX(Tab_Calculs[[#This Row],[Début mois]],Tab_Calculs[[#This Row],[Début periode livraison]]))</f>
        <v>0</v>
      </c>
      <c r="M1468" s="94" t="e">
        <f ca="1">INDEX(INDIRECT(CONCATENATE("Tab_",Tab_Calculs[[#This Row],[Colonne1]])),Tab_Calculs[[#This Row],[index_date_livraison]]+1,6)*(Tab_Calculs[[#This Row],[fin mois]]-MIN(Tab_Calculs[[#This Row],[fin mois]],Tab_Calculs[[#This Row],[Date_livraison]]))</f>
        <v>#VALUE!</v>
      </c>
      <c r="N1468" s="231" t="str">
        <f ca="1">IFERROR(Tab_Calculs[[#This Row],[Ratio_jour_après_livr]]+Tab_Calculs[[#This Row],[Ratio_jour_avant_livr]]+Tab_Calculs[[#This Row],[ratio_avant_debut]],"")</f>
        <v/>
      </c>
      <c r="O1468" t="e">
        <f ca="1">INDEX(INDIRECT(CONCATENATE("Tab_",Tab_Calculs[[#This Row],[Colonne1]])),Tab_Calculs[[#This Row],[index_date_livraison]]-1,7)*(MAX(Tab_Calculs[[#This Row],[Début periode livraison]],Tab_Calculs[[#This Row],[Début mois]])-Tab_Calculs[[#This Row],[Début mois]])</f>
        <v>#VALUE!</v>
      </c>
      <c r="P1468">
        <f ca="1">INDEX(INDIRECT(CONCATENATE("Tab_",Tab_Calculs[[#This Row],[Colonne1]])),Tab_Calculs[[#This Row],[index_date_livraison]],7)*(1+MIN(Tab_Calculs[[#This Row],[Date_livraison]],Tab_Calculs[[#This Row],[fin mois]])-MAX(Tab_Calculs[[#This Row],[Début mois]],Tab_Calculs[[#This Row],[Début periode livraison]]))</f>
        <v>0</v>
      </c>
      <c r="Q1468" t="e">
        <f ca="1">INDEX(INDIRECT(CONCATENATE("Tab_",Tab_Calculs[[#This Row],[Colonne1]])),Tab_Calculs[[#This Row],[index_date_livraison]]+1,7)*(Tab_Calculs[[#This Row],[fin mois]]-MIN(Tab_Calculs[[#This Row],[fin mois]],Tab_Calculs[[#This Row],[Date_livraison]]))</f>
        <v>#VALUE!</v>
      </c>
      <c r="R1468" t="e">
        <f ca="1">Tab_Calculs[[#This Row],[Ratio_Cout_après_livr]]+Tab_Calculs[[#This Row],[Ratio_Cout_avant_livr]]+Tab_Calculs[[#This Row],[Ratio_Cout_avant_debut]]</f>
        <v>#VALUE!</v>
      </c>
      <c r="S1468" t="str">
        <f ca="1">IFERROR(N1468*VLOOKUP(Tab_Calculs[[#This Row],[Colonne1]],Controle_des_données!$B$7:$G$14,6,FALSE),"")</f>
        <v/>
      </c>
      <c r="T1468" t="str">
        <f ca="1">IF(Tab_Calculs[[#This Row],[Combustible ]]="Electricité (kWh)",Tab_Calculs[[#This Row],[Conso_mois_kWh]]*2.3,Tab_Calculs[[#This Row],[Conso_mois_kWh]])</f>
        <v/>
      </c>
      <c r="U1468" t="str">
        <f ca="1">IFERROR(N1468*VLOOKUP(Tab_Calculs[[#This Row],[Colonne1]],Controle_des_données!$B$7:$H$14,7,FALSE),"")</f>
        <v/>
      </c>
      <c r="V1468">
        <f ca="1">IFERROR(Tab_Calculs[[#This Row],[Cout_mois]]/Tab_Calculs[[#This Row],[Conso_mois_kWh]],0)</f>
        <v>0</v>
      </c>
      <c r="W1468" t="str">
        <f>T(VLOOKUP(Tab_Calculs[[#This Row],[Compteur]],Site!$B$33:$G$40,3,FALSE))</f>
        <v/>
      </c>
      <c r="X1468" t="str">
        <f>T(VLOOKUP(Tab_Calculs[[#This Row],[Compteur]],Site!$B$33:$G$40,4,FALSE))</f>
        <v/>
      </c>
      <c r="Y1468" t="str">
        <f>T(VLOOKUP(Tab_Calculs[[#This Row],[Compteur]],Site!$B$33:$G$40,5,FALSE))</f>
        <v/>
      </c>
      <c r="Z1468" t="str">
        <f>T(VLOOKUP(Tab_Calculs[[#This Row],[Compteur]],Site!$B$33:$G$40,6,FALSE))</f>
        <v/>
      </c>
      <c r="AA1468">
        <f>IFERROR(GETPIVOTDATA("DJU(chauffagiste)",BDD_DJU!$P$13,"annee",Tab_Calculs[[#This Row],[ANNEE]],"mois_numero",Tab_Calculs[[#This Row],[MOIS]]),0)</f>
        <v>30.2</v>
      </c>
    </row>
    <row r="1469" spans="1:27" x14ac:dyDescent="0.25">
      <c r="A1469" s="3">
        <f>DATE(Tab_Calculs[[#This Row],[ANNEE]],Tab_Calculs[[#This Row],[MOIS]],1)</f>
        <v>43709</v>
      </c>
      <c r="B1469" s="3">
        <f>EDATE(Tab_Calculs[[#This Row],[Début mois]],1)-1</f>
        <v>43738</v>
      </c>
      <c r="C1469">
        <f t="shared" si="50"/>
        <v>9</v>
      </c>
      <c r="D1469">
        <f t="shared" si="49"/>
        <v>2019</v>
      </c>
      <c r="E1469" t="s">
        <v>87</v>
      </c>
      <c r="F1469" t="str">
        <f>SUBSTITUTE(Tab_Calculs[[#This Row],[Compteur]]," ","_")</f>
        <v>Compteur_8</v>
      </c>
      <c r="G1469" t="str">
        <f>T(INDEX(Site!$B$33:$G$40, MATCH(Tab_Calculs[[#This Row],[Compteur]], Site!$B$33:$B$40,0),2))</f>
        <v/>
      </c>
      <c r="H1469" s="3">
        <f t="array" aca="1" ref="H1469" ca="1">MIN(IF(INDIRECT(CONCATENATE(Tab_Calculs[[#This Row],[Colonne1]],"!$B$2:$B$243"))&gt;=Calculs_Consos!$A1469,INDIRECT(CONCATENATE(Tab_Calculs[[#This Row],[Colonne1]],"!$B$2:$B$243"))))</f>
        <v>0</v>
      </c>
      <c r="I1469" s="3">
        <f ca="1">INDEX(INDIRECT(CONCATENATE("Tab_",Tab_Calculs[[#This Row],[Colonne1]])),Tab_Calculs[[#This Row],[index_date_livraison]],1)</f>
        <v>0</v>
      </c>
      <c r="J1469">
        <f ca="1">MATCH(Tab_Calculs[[#This Row],[Date_livraison]],INDIRECT(CONCATENATE("Tab_",Tab_Calculs[[#This Row],[Colonne1]],"[Fin de période]")),0)</f>
        <v>1</v>
      </c>
      <c r="K1469" t="e">
        <f ca="1">INDEX(INDIRECT(CONCATENATE("Tab_",Tab_Calculs[[#This Row],[Colonne1]])),Tab_Calculs[[#This Row],[index_date_livraison]]-1,6)*(MAX(Tab_Calculs[[#This Row],[Début periode livraison]],Tab_Calculs[[#This Row],[Début mois]])-Tab_Calculs[[#This Row],[Début mois]])</f>
        <v>#VALUE!</v>
      </c>
      <c r="L1469" s="94">
        <f ca="1">INDEX(INDIRECT(CONCATENATE("Tab_",Tab_Calculs[[#This Row],[Colonne1]])),Tab_Calculs[[#This Row],[index_date_livraison]],6)*(1+MIN(Tab_Calculs[[#This Row],[Date_livraison]],Tab_Calculs[[#This Row],[fin mois]])-MAX(Tab_Calculs[[#This Row],[Début mois]],Tab_Calculs[[#This Row],[Début periode livraison]]))</f>
        <v>0</v>
      </c>
      <c r="M1469" s="94" t="e">
        <f ca="1">INDEX(INDIRECT(CONCATENATE("Tab_",Tab_Calculs[[#This Row],[Colonne1]])),Tab_Calculs[[#This Row],[index_date_livraison]]+1,6)*(Tab_Calculs[[#This Row],[fin mois]]-MIN(Tab_Calculs[[#This Row],[fin mois]],Tab_Calculs[[#This Row],[Date_livraison]]))</f>
        <v>#VALUE!</v>
      </c>
      <c r="N1469" s="231" t="str">
        <f ca="1">IFERROR(Tab_Calculs[[#This Row],[Ratio_jour_après_livr]]+Tab_Calculs[[#This Row],[Ratio_jour_avant_livr]]+Tab_Calculs[[#This Row],[ratio_avant_debut]],"")</f>
        <v/>
      </c>
      <c r="O1469" t="e">
        <f ca="1">INDEX(INDIRECT(CONCATENATE("Tab_",Tab_Calculs[[#This Row],[Colonne1]])),Tab_Calculs[[#This Row],[index_date_livraison]]-1,7)*(MAX(Tab_Calculs[[#This Row],[Début periode livraison]],Tab_Calculs[[#This Row],[Début mois]])-Tab_Calculs[[#This Row],[Début mois]])</f>
        <v>#VALUE!</v>
      </c>
      <c r="P1469">
        <f ca="1">INDEX(INDIRECT(CONCATENATE("Tab_",Tab_Calculs[[#This Row],[Colonne1]])),Tab_Calculs[[#This Row],[index_date_livraison]],7)*(1+MIN(Tab_Calculs[[#This Row],[Date_livraison]],Tab_Calculs[[#This Row],[fin mois]])-MAX(Tab_Calculs[[#This Row],[Début mois]],Tab_Calculs[[#This Row],[Début periode livraison]]))</f>
        <v>0</v>
      </c>
      <c r="Q1469" t="e">
        <f ca="1">INDEX(INDIRECT(CONCATENATE("Tab_",Tab_Calculs[[#This Row],[Colonne1]])),Tab_Calculs[[#This Row],[index_date_livraison]]+1,7)*(Tab_Calculs[[#This Row],[fin mois]]-MIN(Tab_Calculs[[#This Row],[fin mois]],Tab_Calculs[[#This Row],[Date_livraison]]))</f>
        <v>#VALUE!</v>
      </c>
      <c r="R1469" t="e">
        <f ca="1">Tab_Calculs[[#This Row],[Ratio_Cout_après_livr]]+Tab_Calculs[[#This Row],[Ratio_Cout_avant_livr]]+Tab_Calculs[[#This Row],[Ratio_Cout_avant_debut]]</f>
        <v>#VALUE!</v>
      </c>
      <c r="S1469" t="str">
        <f ca="1">IFERROR(N1469*VLOOKUP(Tab_Calculs[[#This Row],[Colonne1]],Controle_des_données!$B$7:$G$14,6,FALSE),"")</f>
        <v/>
      </c>
      <c r="T1469" t="str">
        <f ca="1">IF(Tab_Calculs[[#This Row],[Combustible ]]="Electricité (kWh)",Tab_Calculs[[#This Row],[Conso_mois_kWh]]*2.3,Tab_Calculs[[#This Row],[Conso_mois_kWh]])</f>
        <v/>
      </c>
      <c r="U1469" t="str">
        <f ca="1">IFERROR(N1469*VLOOKUP(Tab_Calculs[[#This Row],[Colonne1]],Controle_des_données!$B$7:$H$14,7,FALSE),"")</f>
        <v/>
      </c>
      <c r="V1469">
        <f ca="1">IFERROR(Tab_Calculs[[#This Row],[Cout_mois]]/Tab_Calculs[[#This Row],[Conso_mois_kWh]],0)</f>
        <v>0</v>
      </c>
      <c r="W1469" t="str">
        <f>T(VLOOKUP(Tab_Calculs[[#This Row],[Compteur]],Site!$B$33:$G$40,3,FALSE))</f>
        <v/>
      </c>
      <c r="X1469" t="str">
        <f>T(VLOOKUP(Tab_Calculs[[#This Row],[Compteur]],Site!$B$33:$G$40,4,FALSE))</f>
        <v/>
      </c>
      <c r="Y1469" t="str">
        <f>T(VLOOKUP(Tab_Calculs[[#This Row],[Compteur]],Site!$B$33:$G$40,5,FALSE))</f>
        <v/>
      </c>
      <c r="Z1469" t="str">
        <f>T(VLOOKUP(Tab_Calculs[[#This Row],[Compteur]],Site!$B$33:$G$40,6,FALSE))</f>
        <v/>
      </c>
      <c r="AA1469">
        <f>IFERROR(GETPIVOTDATA("DJU(chauffagiste)",BDD_DJU!$P$13,"annee",Tab_Calculs[[#This Row],[ANNEE]],"mois_numero",Tab_Calculs[[#This Row],[MOIS]]),0)</f>
        <v>64.7</v>
      </c>
    </row>
    <row r="1470" spans="1:27" x14ac:dyDescent="0.25">
      <c r="A1470" s="3">
        <f>DATE(Tab_Calculs[[#This Row],[ANNEE]],Tab_Calculs[[#This Row],[MOIS]],1)</f>
        <v>43739</v>
      </c>
      <c r="B1470" s="3">
        <f>EDATE(Tab_Calculs[[#This Row],[Début mois]],1)-1</f>
        <v>43769</v>
      </c>
      <c r="C1470">
        <f t="shared" si="50"/>
        <v>10</v>
      </c>
      <c r="D1470">
        <f t="shared" si="49"/>
        <v>2019</v>
      </c>
      <c r="E1470" t="s">
        <v>87</v>
      </c>
      <c r="F1470" t="str">
        <f>SUBSTITUTE(Tab_Calculs[[#This Row],[Compteur]]," ","_")</f>
        <v>Compteur_8</v>
      </c>
      <c r="G1470" t="str">
        <f>T(INDEX(Site!$B$33:$G$40, MATCH(Tab_Calculs[[#This Row],[Compteur]], Site!$B$33:$B$40,0),2))</f>
        <v/>
      </c>
      <c r="H1470" s="3">
        <f t="array" aca="1" ref="H1470" ca="1">MIN(IF(INDIRECT(CONCATENATE(Tab_Calculs[[#This Row],[Colonne1]],"!$B$2:$B$243"))&gt;=Calculs_Consos!$A1470,INDIRECT(CONCATENATE(Tab_Calculs[[#This Row],[Colonne1]],"!$B$2:$B$243"))))</f>
        <v>0</v>
      </c>
      <c r="I1470" s="3">
        <f ca="1">INDEX(INDIRECT(CONCATENATE("Tab_",Tab_Calculs[[#This Row],[Colonne1]])),Tab_Calculs[[#This Row],[index_date_livraison]],1)</f>
        <v>0</v>
      </c>
      <c r="J1470">
        <f ca="1">MATCH(Tab_Calculs[[#This Row],[Date_livraison]],INDIRECT(CONCATENATE("Tab_",Tab_Calculs[[#This Row],[Colonne1]],"[Fin de période]")),0)</f>
        <v>1</v>
      </c>
      <c r="K1470" t="e">
        <f ca="1">INDEX(INDIRECT(CONCATENATE("Tab_",Tab_Calculs[[#This Row],[Colonne1]])),Tab_Calculs[[#This Row],[index_date_livraison]]-1,6)*(MAX(Tab_Calculs[[#This Row],[Début periode livraison]],Tab_Calculs[[#This Row],[Début mois]])-Tab_Calculs[[#This Row],[Début mois]])</f>
        <v>#VALUE!</v>
      </c>
      <c r="L1470" s="94">
        <f ca="1">INDEX(INDIRECT(CONCATENATE("Tab_",Tab_Calculs[[#This Row],[Colonne1]])),Tab_Calculs[[#This Row],[index_date_livraison]],6)*(1+MIN(Tab_Calculs[[#This Row],[Date_livraison]],Tab_Calculs[[#This Row],[fin mois]])-MAX(Tab_Calculs[[#This Row],[Début mois]],Tab_Calculs[[#This Row],[Début periode livraison]]))</f>
        <v>0</v>
      </c>
      <c r="M1470" s="94" t="e">
        <f ca="1">INDEX(INDIRECT(CONCATENATE("Tab_",Tab_Calculs[[#This Row],[Colonne1]])),Tab_Calculs[[#This Row],[index_date_livraison]]+1,6)*(Tab_Calculs[[#This Row],[fin mois]]-MIN(Tab_Calculs[[#This Row],[fin mois]],Tab_Calculs[[#This Row],[Date_livraison]]))</f>
        <v>#VALUE!</v>
      </c>
      <c r="N1470" s="231" t="str">
        <f ca="1">IFERROR(Tab_Calculs[[#This Row],[Ratio_jour_après_livr]]+Tab_Calculs[[#This Row],[Ratio_jour_avant_livr]]+Tab_Calculs[[#This Row],[ratio_avant_debut]],"")</f>
        <v/>
      </c>
      <c r="O1470" t="e">
        <f ca="1">INDEX(INDIRECT(CONCATENATE("Tab_",Tab_Calculs[[#This Row],[Colonne1]])),Tab_Calculs[[#This Row],[index_date_livraison]]-1,7)*(MAX(Tab_Calculs[[#This Row],[Début periode livraison]],Tab_Calculs[[#This Row],[Début mois]])-Tab_Calculs[[#This Row],[Début mois]])</f>
        <v>#VALUE!</v>
      </c>
      <c r="P1470">
        <f ca="1">INDEX(INDIRECT(CONCATENATE("Tab_",Tab_Calculs[[#This Row],[Colonne1]])),Tab_Calculs[[#This Row],[index_date_livraison]],7)*(1+MIN(Tab_Calculs[[#This Row],[Date_livraison]],Tab_Calculs[[#This Row],[fin mois]])-MAX(Tab_Calculs[[#This Row],[Début mois]],Tab_Calculs[[#This Row],[Début periode livraison]]))</f>
        <v>0</v>
      </c>
      <c r="Q1470" t="e">
        <f ca="1">INDEX(INDIRECT(CONCATENATE("Tab_",Tab_Calculs[[#This Row],[Colonne1]])),Tab_Calculs[[#This Row],[index_date_livraison]]+1,7)*(Tab_Calculs[[#This Row],[fin mois]]-MIN(Tab_Calculs[[#This Row],[fin mois]],Tab_Calculs[[#This Row],[Date_livraison]]))</f>
        <v>#VALUE!</v>
      </c>
      <c r="R1470" t="e">
        <f ca="1">Tab_Calculs[[#This Row],[Ratio_Cout_après_livr]]+Tab_Calculs[[#This Row],[Ratio_Cout_avant_livr]]+Tab_Calculs[[#This Row],[Ratio_Cout_avant_debut]]</f>
        <v>#VALUE!</v>
      </c>
      <c r="S1470" t="str">
        <f ca="1">IFERROR(N1470*VLOOKUP(Tab_Calculs[[#This Row],[Colonne1]],Controle_des_données!$B$7:$G$14,6,FALSE),"")</f>
        <v/>
      </c>
      <c r="T1470" t="str">
        <f ca="1">IF(Tab_Calculs[[#This Row],[Combustible ]]="Electricité (kWh)",Tab_Calculs[[#This Row],[Conso_mois_kWh]]*2.3,Tab_Calculs[[#This Row],[Conso_mois_kWh]])</f>
        <v/>
      </c>
      <c r="U1470" t="str">
        <f ca="1">IFERROR(N1470*VLOOKUP(Tab_Calculs[[#This Row],[Colonne1]],Controle_des_données!$B$7:$H$14,7,FALSE),"")</f>
        <v/>
      </c>
      <c r="V1470">
        <f ca="1">IFERROR(Tab_Calculs[[#This Row],[Cout_mois]]/Tab_Calculs[[#This Row],[Conso_mois_kWh]],0)</f>
        <v>0</v>
      </c>
      <c r="W1470" t="str">
        <f>T(VLOOKUP(Tab_Calculs[[#This Row],[Compteur]],Site!$B$33:$G$40,3,FALSE))</f>
        <v/>
      </c>
      <c r="X1470" t="str">
        <f>T(VLOOKUP(Tab_Calculs[[#This Row],[Compteur]],Site!$B$33:$G$40,4,FALSE))</f>
        <v/>
      </c>
      <c r="Y1470" t="str">
        <f>T(VLOOKUP(Tab_Calculs[[#This Row],[Compteur]],Site!$B$33:$G$40,5,FALSE))</f>
        <v/>
      </c>
      <c r="Z1470" t="str">
        <f>T(VLOOKUP(Tab_Calculs[[#This Row],[Compteur]],Site!$B$33:$G$40,6,FALSE))</f>
        <v/>
      </c>
      <c r="AA1470">
        <f>IFERROR(GETPIVOTDATA("DJU(chauffagiste)",BDD_DJU!$P$13,"annee",Tab_Calculs[[#This Row],[ANNEE]],"mois_numero",Tab_Calculs[[#This Row],[MOIS]]),0)</f>
        <v>128.80000000000001</v>
      </c>
    </row>
    <row r="1471" spans="1:27" x14ac:dyDescent="0.25">
      <c r="A1471" s="3">
        <f>DATE(Tab_Calculs[[#This Row],[ANNEE]],Tab_Calculs[[#This Row],[MOIS]],1)</f>
        <v>43770</v>
      </c>
      <c r="B1471" s="3">
        <f>EDATE(Tab_Calculs[[#This Row],[Début mois]],1)-1</f>
        <v>43799</v>
      </c>
      <c r="C1471">
        <f t="shared" si="50"/>
        <v>11</v>
      </c>
      <c r="D1471">
        <f t="shared" si="49"/>
        <v>2019</v>
      </c>
      <c r="E1471" t="s">
        <v>87</v>
      </c>
      <c r="F1471" t="str">
        <f>SUBSTITUTE(Tab_Calculs[[#This Row],[Compteur]]," ","_")</f>
        <v>Compteur_8</v>
      </c>
      <c r="G1471" t="str">
        <f>T(INDEX(Site!$B$33:$G$40, MATCH(Tab_Calculs[[#This Row],[Compteur]], Site!$B$33:$B$40,0),2))</f>
        <v/>
      </c>
      <c r="H1471" s="3">
        <f t="array" aca="1" ref="H1471" ca="1">MIN(IF(INDIRECT(CONCATENATE(Tab_Calculs[[#This Row],[Colonne1]],"!$B$2:$B$243"))&gt;=Calculs_Consos!$A1471,INDIRECT(CONCATENATE(Tab_Calculs[[#This Row],[Colonne1]],"!$B$2:$B$243"))))</f>
        <v>0</v>
      </c>
      <c r="I1471" s="3">
        <f ca="1">INDEX(INDIRECT(CONCATENATE("Tab_",Tab_Calculs[[#This Row],[Colonne1]])),Tab_Calculs[[#This Row],[index_date_livraison]],1)</f>
        <v>0</v>
      </c>
      <c r="J1471">
        <f ca="1">MATCH(Tab_Calculs[[#This Row],[Date_livraison]],INDIRECT(CONCATENATE("Tab_",Tab_Calculs[[#This Row],[Colonne1]],"[Fin de période]")),0)</f>
        <v>1</v>
      </c>
      <c r="K1471" t="e">
        <f ca="1">INDEX(INDIRECT(CONCATENATE("Tab_",Tab_Calculs[[#This Row],[Colonne1]])),Tab_Calculs[[#This Row],[index_date_livraison]]-1,6)*(MAX(Tab_Calculs[[#This Row],[Début periode livraison]],Tab_Calculs[[#This Row],[Début mois]])-Tab_Calculs[[#This Row],[Début mois]])</f>
        <v>#VALUE!</v>
      </c>
      <c r="L1471" s="94">
        <f ca="1">INDEX(INDIRECT(CONCATENATE("Tab_",Tab_Calculs[[#This Row],[Colonne1]])),Tab_Calculs[[#This Row],[index_date_livraison]],6)*(1+MIN(Tab_Calculs[[#This Row],[Date_livraison]],Tab_Calculs[[#This Row],[fin mois]])-MAX(Tab_Calculs[[#This Row],[Début mois]],Tab_Calculs[[#This Row],[Début periode livraison]]))</f>
        <v>0</v>
      </c>
      <c r="M1471" s="94" t="e">
        <f ca="1">INDEX(INDIRECT(CONCATENATE("Tab_",Tab_Calculs[[#This Row],[Colonne1]])),Tab_Calculs[[#This Row],[index_date_livraison]]+1,6)*(Tab_Calculs[[#This Row],[fin mois]]-MIN(Tab_Calculs[[#This Row],[fin mois]],Tab_Calculs[[#This Row],[Date_livraison]]))</f>
        <v>#VALUE!</v>
      </c>
      <c r="N1471" s="231" t="str">
        <f ca="1">IFERROR(Tab_Calculs[[#This Row],[Ratio_jour_après_livr]]+Tab_Calculs[[#This Row],[Ratio_jour_avant_livr]]+Tab_Calculs[[#This Row],[ratio_avant_debut]],"")</f>
        <v/>
      </c>
      <c r="O1471" t="e">
        <f ca="1">INDEX(INDIRECT(CONCATENATE("Tab_",Tab_Calculs[[#This Row],[Colonne1]])),Tab_Calculs[[#This Row],[index_date_livraison]]-1,7)*(MAX(Tab_Calculs[[#This Row],[Début periode livraison]],Tab_Calculs[[#This Row],[Début mois]])-Tab_Calculs[[#This Row],[Début mois]])</f>
        <v>#VALUE!</v>
      </c>
      <c r="P1471">
        <f ca="1">INDEX(INDIRECT(CONCATENATE("Tab_",Tab_Calculs[[#This Row],[Colonne1]])),Tab_Calculs[[#This Row],[index_date_livraison]],7)*(1+MIN(Tab_Calculs[[#This Row],[Date_livraison]],Tab_Calculs[[#This Row],[fin mois]])-MAX(Tab_Calculs[[#This Row],[Début mois]],Tab_Calculs[[#This Row],[Début periode livraison]]))</f>
        <v>0</v>
      </c>
      <c r="Q1471" t="e">
        <f ca="1">INDEX(INDIRECT(CONCATENATE("Tab_",Tab_Calculs[[#This Row],[Colonne1]])),Tab_Calculs[[#This Row],[index_date_livraison]]+1,7)*(Tab_Calculs[[#This Row],[fin mois]]-MIN(Tab_Calculs[[#This Row],[fin mois]],Tab_Calculs[[#This Row],[Date_livraison]]))</f>
        <v>#VALUE!</v>
      </c>
      <c r="R1471" t="e">
        <f ca="1">Tab_Calculs[[#This Row],[Ratio_Cout_après_livr]]+Tab_Calculs[[#This Row],[Ratio_Cout_avant_livr]]+Tab_Calculs[[#This Row],[Ratio_Cout_avant_debut]]</f>
        <v>#VALUE!</v>
      </c>
      <c r="S1471" t="str">
        <f ca="1">IFERROR(N1471*VLOOKUP(Tab_Calculs[[#This Row],[Colonne1]],Controle_des_données!$B$7:$G$14,6,FALSE),"")</f>
        <v/>
      </c>
      <c r="T1471" t="str">
        <f ca="1">IF(Tab_Calculs[[#This Row],[Combustible ]]="Electricité (kWh)",Tab_Calculs[[#This Row],[Conso_mois_kWh]]*2.3,Tab_Calculs[[#This Row],[Conso_mois_kWh]])</f>
        <v/>
      </c>
      <c r="U1471" t="str">
        <f ca="1">IFERROR(N1471*VLOOKUP(Tab_Calculs[[#This Row],[Colonne1]],Controle_des_données!$B$7:$H$14,7,FALSE),"")</f>
        <v/>
      </c>
      <c r="V1471">
        <f ca="1">IFERROR(Tab_Calculs[[#This Row],[Cout_mois]]/Tab_Calculs[[#This Row],[Conso_mois_kWh]],0)</f>
        <v>0</v>
      </c>
      <c r="W1471" t="str">
        <f>T(VLOOKUP(Tab_Calculs[[#This Row],[Compteur]],Site!$B$33:$G$40,3,FALSE))</f>
        <v/>
      </c>
      <c r="X1471" t="str">
        <f>T(VLOOKUP(Tab_Calculs[[#This Row],[Compteur]],Site!$B$33:$G$40,4,FALSE))</f>
        <v/>
      </c>
      <c r="Y1471" t="str">
        <f>T(VLOOKUP(Tab_Calculs[[#This Row],[Compteur]],Site!$B$33:$G$40,5,FALSE))</f>
        <v/>
      </c>
      <c r="Z1471" t="str">
        <f>T(VLOOKUP(Tab_Calculs[[#This Row],[Compteur]],Site!$B$33:$G$40,6,FALSE))</f>
        <v/>
      </c>
      <c r="AA1471">
        <f>IFERROR(GETPIVOTDATA("DJU(chauffagiste)",BDD_DJU!$P$13,"annee",Tab_Calculs[[#This Row],[ANNEE]],"mois_numero",Tab_Calculs[[#This Row],[MOIS]]),0)</f>
        <v>293.10000000000002</v>
      </c>
    </row>
    <row r="1472" spans="1:27" x14ac:dyDescent="0.25">
      <c r="A1472" s="3">
        <f>DATE(Tab_Calculs[[#This Row],[ANNEE]],Tab_Calculs[[#This Row],[MOIS]],1)</f>
        <v>43800</v>
      </c>
      <c r="B1472" s="3">
        <f>EDATE(Tab_Calculs[[#This Row],[Début mois]],1)-1</f>
        <v>43830</v>
      </c>
      <c r="C1472">
        <f t="shared" si="50"/>
        <v>12</v>
      </c>
      <c r="D1472">
        <f t="shared" si="49"/>
        <v>2019</v>
      </c>
      <c r="E1472" t="s">
        <v>87</v>
      </c>
      <c r="F1472" t="str">
        <f>SUBSTITUTE(Tab_Calculs[[#This Row],[Compteur]]," ","_")</f>
        <v>Compteur_8</v>
      </c>
      <c r="G1472" t="str">
        <f>T(INDEX(Site!$B$33:$G$40, MATCH(Tab_Calculs[[#This Row],[Compteur]], Site!$B$33:$B$40,0),2))</f>
        <v/>
      </c>
      <c r="H1472" s="3">
        <f t="array" aca="1" ref="H1472" ca="1">MIN(IF(INDIRECT(CONCATENATE(Tab_Calculs[[#This Row],[Colonne1]],"!$B$2:$B$243"))&gt;=Calculs_Consos!$A1472,INDIRECT(CONCATENATE(Tab_Calculs[[#This Row],[Colonne1]],"!$B$2:$B$243"))))</f>
        <v>0</v>
      </c>
      <c r="I1472" s="3">
        <f ca="1">INDEX(INDIRECT(CONCATENATE("Tab_",Tab_Calculs[[#This Row],[Colonne1]])),Tab_Calculs[[#This Row],[index_date_livraison]],1)</f>
        <v>0</v>
      </c>
      <c r="J1472">
        <f ca="1">MATCH(Tab_Calculs[[#This Row],[Date_livraison]],INDIRECT(CONCATENATE("Tab_",Tab_Calculs[[#This Row],[Colonne1]],"[Fin de période]")),0)</f>
        <v>1</v>
      </c>
      <c r="K1472" t="e">
        <f ca="1">INDEX(INDIRECT(CONCATENATE("Tab_",Tab_Calculs[[#This Row],[Colonne1]])),Tab_Calculs[[#This Row],[index_date_livraison]]-1,6)*(MAX(Tab_Calculs[[#This Row],[Début periode livraison]],Tab_Calculs[[#This Row],[Début mois]])-Tab_Calculs[[#This Row],[Début mois]])</f>
        <v>#VALUE!</v>
      </c>
      <c r="L1472" s="94">
        <f ca="1">INDEX(INDIRECT(CONCATENATE("Tab_",Tab_Calculs[[#This Row],[Colonne1]])),Tab_Calculs[[#This Row],[index_date_livraison]],6)*(1+MIN(Tab_Calculs[[#This Row],[Date_livraison]],Tab_Calculs[[#This Row],[fin mois]])-MAX(Tab_Calculs[[#This Row],[Début mois]],Tab_Calculs[[#This Row],[Début periode livraison]]))</f>
        <v>0</v>
      </c>
      <c r="M1472" s="94" t="e">
        <f ca="1">INDEX(INDIRECT(CONCATENATE("Tab_",Tab_Calculs[[#This Row],[Colonne1]])),Tab_Calculs[[#This Row],[index_date_livraison]]+1,6)*(Tab_Calculs[[#This Row],[fin mois]]-MIN(Tab_Calculs[[#This Row],[fin mois]],Tab_Calculs[[#This Row],[Date_livraison]]))</f>
        <v>#VALUE!</v>
      </c>
      <c r="N1472" s="231" t="str">
        <f ca="1">IFERROR(Tab_Calculs[[#This Row],[Ratio_jour_après_livr]]+Tab_Calculs[[#This Row],[Ratio_jour_avant_livr]]+Tab_Calculs[[#This Row],[ratio_avant_debut]],"")</f>
        <v/>
      </c>
      <c r="O1472" t="e">
        <f ca="1">INDEX(INDIRECT(CONCATENATE("Tab_",Tab_Calculs[[#This Row],[Colonne1]])),Tab_Calculs[[#This Row],[index_date_livraison]]-1,7)*(MAX(Tab_Calculs[[#This Row],[Début periode livraison]],Tab_Calculs[[#This Row],[Début mois]])-Tab_Calculs[[#This Row],[Début mois]])</f>
        <v>#VALUE!</v>
      </c>
      <c r="P1472">
        <f ca="1">INDEX(INDIRECT(CONCATENATE("Tab_",Tab_Calculs[[#This Row],[Colonne1]])),Tab_Calculs[[#This Row],[index_date_livraison]],7)*(1+MIN(Tab_Calculs[[#This Row],[Date_livraison]],Tab_Calculs[[#This Row],[fin mois]])-MAX(Tab_Calculs[[#This Row],[Début mois]],Tab_Calculs[[#This Row],[Début periode livraison]]))</f>
        <v>0</v>
      </c>
      <c r="Q1472" t="e">
        <f ca="1">INDEX(INDIRECT(CONCATENATE("Tab_",Tab_Calculs[[#This Row],[Colonne1]])),Tab_Calculs[[#This Row],[index_date_livraison]]+1,7)*(Tab_Calculs[[#This Row],[fin mois]]-MIN(Tab_Calculs[[#This Row],[fin mois]],Tab_Calculs[[#This Row],[Date_livraison]]))</f>
        <v>#VALUE!</v>
      </c>
      <c r="R1472" t="e">
        <f ca="1">Tab_Calculs[[#This Row],[Ratio_Cout_après_livr]]+Tab_Calculs[[#This Row],[Ratio_Cout_avant_livr]]+Tab_Calculs[[#This Row],[Ratio_Cout_avant_debut]]</f>
        <v>#VALUE!</v>
      </c>
      <c r="S1472" t="str">
        <f ca="1">IFERROR(N1472*VLOOKUP(Tab_Calculs[[#This Row],[Colonne1]],Controle_des_données!$B$7:$G$14,6,FALSE),"")</f>
        <v/>
      </c>
      <c r="T1472" t="str">
        <f ca="1">IF(Tab_Calculs[[#This Row],[Combustible ]]="Electricité (kWh)",Tab_Calculs[[#This Row],[Conso_mois_kWh]]*2.3,Tab_Calculs[[#This Row],[Conso_mois_kWh]])</f>
        <v/>
      </c>
      <c r="U1472" t="str">
        <f ca="1">IFERROR(N1472*VLOOKUP(Tab_Calculs[[#This Row],[Colonne1]],Controle_des_données!$B$7:$H$14,7,FALSE),"")</f>
        <v/>
      </c>
      <c r="V1472">
        <f ca="1">IFERROR(Tab_Calculs[[#This Row],[Cout_mois]]/Tab_Calculs[[#This Row],[Conso_mois_kWh]],0)</f>
        <v>0</v>
      </c>
      <c r="W1472" t="str">
        <f>T(VLOOKUP(Tab_Calculs[[#This Row],[Compteur]],Site!$B$33:$G$40,3,FALSE))</f>
        <v/>
      </c>
      <c r="X1472" t="str">
        <f>T(VLOOKUP(Tab_Calculs[[#This Row],[Compteur]],Site!$B$33:$G$40,4,FALSE))</f>
        <v/>
      </c>
      <c r="Y1472" t="str">
        <f>T(VLOOKUP(Tab_Calculs[[#This Row],[Compteur]],Site!$B$33:$G$40,5,FALSE))</f>
        <v/>
      </c>
      <c r="Z1472" t="str">
        <f>T(VLOOKUP(Tab_Calculs[[#This Row],[Compteur]],Site!$B$33:$G$40,6,FALSE))</f>
        <v/>
      </c>
      <c r="AA1472">
        <f>IFERROR(GETPIVOTDATA("DJU(chauffagiste)",BDD_DJU!$P$13,"annee",Tab_Calculs[[#This Row],[ANNEE]],"mois_numero",Tab_Calculs[[#This Row],[MOIS]]),0)</f>
        <v>323</v>
      </c>
    </row>
    <row r="1473" spans="1:27" x14ac:dyDescent="0.25">
      <c r="A1473" s="3">
        <f>DATE(Tab_Calculs[[#This Row],[ANNEE]],Tab_Calculs[[#This Row],[MOIS]],1)</f>
        <v>43831</v>
      </c>
      <c r="B1473" s="3">
        <f>EDATE(Tab_Calculs[[#This Row],[Début mois]],1)-1</f>
        <v>43861</v>
      </c>
      <c r="C1473">
        <f t="shared" si="50"/>
        <v>1</v>
      </c>
      <c r="D1473">
        <f t="shared" si="49"/>
        <v>2020</v>
      </c>
      <c r="E1473" t="s">
        <v>87</v>
      </c>
      <c r="F1473" t="str">
        <f>SUBSTITUTE(Tab_Calculs[[#This Row],[Compteur]]," ","_")</f>
        <v>Compteur_8</v>
      </c>
      <c r="G1473" t="str">
        <f>T(INDEX(Site!$B$33:$G$40, MATCH(Tab_Calculs[[#This Row],[Compteur]], Site!$B$33:$B$40,0),2))</f>
        <v/>
      </c>
      <c r="H1473" s="3">
        <f t="array" aca="1" ref="H1473" ca="1">MIN(IF(INDIRECT(CONCATENATE(Tab_Calculs[[#This Row],[Colonne1]],"!$B$2:$B$243"))&gt;=Calculs_Consos!$A1473,INDIRECT(CONCATENATE(Tab_Calculs[[#This Row],[Colonne1]],"!$B$2:$B$243"))))</f>
        <v>0</v>
      </c>
      <c r="I1473" s="3">
        <f ca="1">INDEX(INDIRECT(CONCATENATE("Tab_",Tab_Calculs[[#This Row],[Colonne1]])),Tab_Calculs[[#This Row],[index_date_livraison]],1)</f>
        <v>0</v>
      </c>
      <c r="J1473">
        <f ca="1">MATCH(Tab_Calculs[[#This Row],[Date_livraison]],INDIRECT(CONCATENATE("Tab_",Tab_Calculs[[#This Row],[Colonne1]],"[Fin de période]")),0)</f>
        <v>1</v>
      </c>
      <c r="K1473" t="e">
        <f ca="1">INDEX(INDIRECT(CONCATENATE("Tab_",Tab_Calculs[[#This Row],[Colonne1]])),Tab_Calculs[[#This Row],[index_date_livraison]]-1,6)*(MAX(Tab_Calculs[[#This Row],[Début periode livraison]],Tab_Calculs[[#This Row],[Début mois]])-Tab_Calculs[[#This Row],[Début mois]])</f>
        <v>#VALUE!</v>
      </c>
      <c r="L1473" s="94">
        <f ca="1">INDEX(INDIRECT(CONCATENATE("Tab_",Tab_Calculs[[#This Row],[Colonne1]])),Tab_Calculs[[#This Row],[index_date_livraison]],6)*(1+MIN(Tab_Calculs[[#This Row],[Date_livraison]],Tab_Calculs[[#This Row],[fin mois]])-MAX(Tab_Calculs[[#This Row],[Début mois]],Tab_Calculs[[#This Row],[Début periode livraison]]))</f>
        <v>0</v>
      </c>
      <c r="M1473" s="94" t="e">
        <f ca="1">INDEX(INDIRECT(CONCATENATE("Tab_",Tab_Calculs[[#This Row],[Colonne1]])),Tab_Calculs[[#This Row],[index_date_livraison]]+1,6)*(Tab_Calculs[[#This Row],[fin mois]]-MIN(Tab_Calculs[[#This Row],[fin mois]],Tab_Calculs[[#This Row],[Date_livraison]]))</f>
        <v>#VALUE!</v>
      </c>
      <c r="N1473" s="231" t="str">
        <f ca="1">IFERROR(Tab_Calculs[[#This Row],[Ratio_jour_après_livr]]+Tab_Calculs[[#This Row],[Ratio_jour_avant_livr]]+Tab_Calculs[[#This Row],[ratio_avant_debut]],"")</f>
        <v/>
      </c>
      <c r="O1473" t="e">
        <f ca="1">INDEX(INDIRECT(CONCATENATE("Tab_",Tab_Calculs[[#This Row],[Colonne1]])),Tab_Calculs[[#This Row],[index_date_livraison]]-1,7)*(MAX(Tab_Calculs[[#This Row],[Début periode livraison]],Tab_Calculs[[#This Row],[Début mois]])-Tab_Calculs[[#This Row],[Début mois]])</f>
        <v>#VALUE!</v>
      </c>
      <c r="P1473">
        <f ca="1">INDEX(INDIRECT(CONCATENATE("Tab_",Tab_Calculs[[#This Row],[Colonne1]])),Tab_Calculs[[#This Row],[index_date_livraison]],7)*(1+MIN(Tab_Calculs[[#This Row],[Date_livraison]],Tab_Calculs[[#This Row],[fin mois]])-MAX(Tab_Calculs[[#This Row],[Début mois]],Tab_Calculs[[#This Row],[Début periode livraison]]))</f>
        <v>0</v>
      </c>
      <c r="Q1473" t="e">
        <f ca="1">INDEX(INDIRECT(CONCATENATE("Tab_",Tab_Calculs[[#This Row],[Colonne1]])),Tab_Calculs[[#This Row],[index_date_livraison]]+1,7)*(Tab_Calculs[[#This Row],[fin mois]]-MIN(Tab_Calculs[[#This Row],[fin mois]],Tab_Calculs[[#This Row],[Date_livraison]]))</f>
        <v>#VALUE!</v>
      </c>
      <c r="R1473" t="e">
        <f ca="1">Tab_Calculs[[#This Row],[Ratio_Cout_après_livr]]+Tab_Calculs[[#This Row],[Ratio_Cout_avant_livr]]+Tab_Calculs[[#This Row],[Ratio_Cout_avant_debut]]</f>
        <v>#VALUE!</v>
      </c>
      <c r="S1473" t="str">
        <f ca="1">IFERROR(N1473*VLOOKUP(Tab_Calculs[[#This Row],[Colonne1]],Controle_des_données!$B$7:$G$14,6,FALSE),"")</f>
        <v/>
      </c>
      <c r="T1473" t="str">
        <f ca="1">IF(Tab_Calculs[[#This Row],[Combustible ]]="Electricité (kWh)",Tab_Calculs[[#This Row],[Conso_mois_kWh]]*2.3,Tab_Calculs[[#This Row],[Conso_mois_kWh]])</f>
        <v/>
      </c>
      <c r="U1473" t="str">
        <f ca="1">IFERROR(N1473*VLOOKUP(Tab_Calculs[[#This Row],[Colonne1]],Controle_des_données!$B$7:$H$14,7,FALSE),"")</f>
        <v/>
      </c>
      <c r="V1473">
        <f ca="1">IFERROR(Tab_Calculs[[#This Row],[Cout_mois]]/Tab_Calculs[[#This Row],[Conso_mois_kWh]],0)</f>
        <v>0</v>
      </c>
      <c r="W1473" t="str">
        <f>T(VLOOKUP(Tab_Calculs[[#This Row],[Compteur]],Site!$B$33:$G$40,3,FALSE))</f>
        <v/>
      </c>
      <c r="X1473" t="str">
        <f>T(VLOOKUP(Tab_Calculs[[#This Row],[Compteur]],Site!$B$33:$G$40,4,FALSE))</f>
        <v/>
      </c>
      <c r="Y1473" t="str">
        <f>T(VLOOKUP(Tab_Calculs[[#This Row],[Compteur]],Site!$B$33:$G$40,5,FALSE))</f>
        <v/>
      </c>
      <c r="Z1473" t="str">
        <f>T(VLOOKUP(Tab_Calculs[[#This Row],[Compteur]],Site!$B$33:$G$40,6,FALSE))</f>
        <v/>
      </c>
      <c r="AA1473">
        <f>IFERROR(GETPIVOTDATA("DJU(chauffagiste)",BDD_DJU!$P$13,"annee",Tab_Calculs[[#This Row],[ANNEE]],"mois_numero",Tab_Calculs[[#This Row],[MOIS]]),0)</f>
        <v>331.5</v>
      </c>
    </row>
    <row r="1474" spans="1:27" x14ac:dyDescent="0.25">
      <c r="A1474" s="3">
        <f>DATE(Tab_Calculs[[#This Row],[ANNEE]],Tab_Calculs[[#This Row],[MOIS]],1)</f>
        <v>43862</v>
      </c>
      <c r="B1474" s="3">
        <f>EDATE(Tab_Calculs[[#This Row],[Début mois]],1)-1</f>
        <v>43890</v>
      </c>
      <c r="C1474">
        <f t="shared" si="50"/>
        <v>2</v>
      </c>
      <c r="D1474">
        <f t="shared" si="49"/>
        <v>2020</v>
      </c>
      <c r="E1474" t="s">
        <v>87</v>
      </c>
      <c r="F1474" t="str">
        <f>SUBSTITUTE(Tab_Calculs[[#This Row],[Compteur]]," ","_")</f>
        <v>Compteur_8</v>
      </c>
      <c r="G1474" t="str">
        <f>T(INDEX(Site!$B$33:$G$40, MATCH(Tab_Calculs[[#This Row],[Compteur]], Site!$B$33:$B$40,0),2))</f>
        <v/>
      </c>
      <c r="H1474" s="3">
        <f t="array" aca="1" ref="H1474" ca="1">MIN(IF(INDIRECT(CONCATENATE(Tab_Calculs[[#This Row],[Colonne1]],"!$B$2:$B$243"))&gt;=Calculs_Consos!$A1474,INDIRECT(CONCATENATE(Tab_Calculs[[#This Row],[Colonne1]],"!$B$2:$B$243"))))</f>
        <v>0</v>
      </c>
      <c r="I1474" s="3">
        <f ca="1">INDEX(INDIRECT(CONCATENATE("Tab_",Tab_Calculs[[#This Row],[Colonne1]])),Tab_Calculs[[#This Row],[index_date_livraison]],1)</f>
        <v>0</v>
      </c>
      <c r="J1474">
        <f ca="1">MATCH(Tab_Calculs[[#This Row],[Date_livraison]],INDIRECT(CONCATENATE("Tab_",Tab_Calculs[[#This Row],[Colonne1]],"[Fin de période]")),0)</f>
        <v>1</v>
      </c>
      <c r="K1474" t="e">
        <f ca="1">INDEX(INDIRECT(CONCATENATE("Tab_",Tab_Calculs[[#This Row],[Colonne1]])),Tab_Calculs[[#This Row],[index_date_livraison]]-1,6)*(MAX(Tab_Calculs[[#This Row],[Début periode livraison]],Tab_Calculs[[#This Row],[Début mois]])-Tab_Calculs[[#This Row],[Début mois]])</f>
        <v>#VALUE!</v>
      </c>
      <c r="L1474" s="94">
        <f ca="1">INDEX(INDIRECT(CONCATENATE("Tab_",Tab_Calculs[[#This Row],[Colonne1]])),Tab_Calculs[[#This Row],[index_date_livraison]],6)*(1+MIN(Tab_Calculs[[#This Row],[Date_livraison]],Tab_Calculs[[#This Row],[fin mois]])-MAX(Tab_Calculs[[#This Row],[Début mois]],Tab_Calculs[[#This Row],[Début periode livraison]]))</f>
        <v>0</v>
      </c>
      <c r="M1474" s="94" t="e">
        <f ca="1">INDEX(INDIRECT(CONCATENATE("Tab_",Tab_Calculs[[#This Row],[Colonne1]])),Tab_Calculs[[#This Row],[index_date_livraison]]+1,6)*(Tab_Calculs[[#This Row],[fin mois]]-MIN(Tab_Calculs[[#This Row],[fin mois]],Tab_Calculs[[#This Row],[Date_livraison]]))</f>
        <v>#VALUE!</v>
      </c>
      <c r="N1474" s="231" t="str">
        <f ca="1">IFERROR(Tab_Calculs[[#This Row],[Ratio_jour_après_livr]]+Tab_Calculs[[#This Row],[Ratio_jour_avant_livr]]+Tab_Calculs[[#This Row],[ratio_avant_debut]],"")</f>
        <v/>
      </c>
      <c r="O1474" t="e">
        <f ca="1">INDEX(INDIRECT(CONCATENATE("Tab_",Tab_Calculs[[#This Row],[Colonne1]])),Tab_Calculs[[#This Row],[index_date_livraison]]-1,7)*(MAX(Tab_Calculs[[#This Row],[Début periode livraison]],Tab_Calculs[[#This Row],[Début mois]])-Tab_Calculs[[#This Row],[Début mois]])</f>
        <v>#VALUE!</v>
      </c>
      <c r="P1474">
        <f ca="1">INDEX(INDIRECT(CONCATENATE("Tab_",Tab_Calculs[[#This Row],[Colonne1]])),Tab_Calculs[[#This Row],[index_date_livraison]],7)*(1+MIN(Tab_Calculs[[#This Row],[Date_livraison]],Tab_Calculs[[#This Row],[fin mois]])-MAX(Tab_Calculs[[#This Row],[Début mois]],Tab_Calculs[[#This Row],[Début periode livraison]]))</f>
        <v>0</v>
      </c>
      <c r="Q1474" t="e">
        <f ca="1">INDEX(INDIRECT(CONCATENATE("Tab_",Tab_Calculs[[#This Row],[Colonne1]])),Tab_Calculs[[#This Row],[index_date_livraison]]+1,7)*(Tab_Calculs[[#This Row],[fin mois]]-MIN(Tab_Calculs[[#This Row],[fin mois]],Tab_Calculs[[#This Row],[Date_livraison]]))</f>
        <v>#VALUE!</v>
      </c>
      <c r="R1474" t="e">
        <f ca="1">Tab_Calculs[[#This Row],[Ratio_Cout_après_livr]]+Tab_Calculs[[#This Row],[Ratio_Cout_avant_livr]]+Tab_Calculs[[#This Row],[Ratio_Cout_avant_debut]]</f>
        <v>#VALUE!</v>
      </c>
      <c r="S1474" t="str">
        <f ca="1">IFERROR(N1474*VLOOKUP(Tab_Calculs[[#This Row],[Colonne1]],Controle_des_données!$B$7:$G$14,6,FALSE),"")</f>
        <v/>
      </c>
      <c r="T1474" t="str">
        <f ca="1">IF(Tab_Calculs[[#This Row],[Combustible ]]="Electricité (kWh)",Tab_Calculs[[#This Row],[Conso_mois_kWh]]*2.3,Tab_Calculs[[#This Row],[Conso_mois_kWh]])</f>
        <v/>
      </c>
      <c r="U1474" t="str">
        <f ca="1">IFERROR(N1474*VLOOKUP(Tab_Calculs[[#This Row],[Colonne1]],Controle_des_données!$B$7:$H$14,7,FALSE),"")</f>
        <v/>
      </c>
      <c r="V1474">
        <f ca="1">IFERROR(Tab_Calculs[[#This Row],[Cout_mois]]/Tab_Calculs[[#This Row],[Conso_mois_kWh]],0)</f>
        <v>0</v>
      </c>
      <c r="W1474" t="str">
        <f>T(VLOOKUP(Tab_Calculs[[#This Row],[Compteur]],Site!$B$33:$G$40,3,FALSE))</f>
        <v/>
      </c>
      <c r="X1474" t="str">
        <f>T(VLOOKUP(Tab_Calculs[[#This Row],[Compteur]],Site!$B$33:$G$40,4,FALSE))</f>
        <v/>
      </c>
      <c r="Y1474" t="str">
        <f>T(VLOOKUP(Tab_Calculs[[#This Row],[Compteur]],Site!$B$33:$G$40,5,FALSE))</f>
        <v/>
      </c>
      <c r="Z1474" t="str">
        <f>T(VLOOKUP(Tab_Calculs[[#This Row],[Compteur]],Site!$B$33:$G$40,6,FALSE))</f>
        <v/>
      </c>
      <c r="AA1474">
        <f>IFERROR(GETPIVOTDATA("DJU(chauffagiste)",BDD_DJU!$P$13,"annee",Tab_Calculs[[#This Row],[ANNEE]],"mois_numero",Tab_Calculs[[#This Row],[MOIS]]),0)</f>
        <v>251.6</v>
      </c>
    </row>
    <row r="1475" spans="1:27" x14ac:dyDescent="0.25">
      <c r="A1475" s="3">
        <f>DATE(Tab_Calculs[[#This Row],[ANNEE]],Tab_Calculs[[#This Row],[MOIS]],1)</f>
        <v>43891</v>
      </c>
      <c r="B1475" s="3">
        <f>EDATE(Tab_Calculs[[#This Row],[Début mois]],1)-1</f>
        <v>43921</v>
      </c>
      <c r="C1475">
        <f t="shared" si="50"/>
        <v>3</v>
      </c>
      <c r="D1475">
        <f>D1463+1</f>
        <v>2020</v>
      </c>
      <c r="E1475" t="s">
        <v>87</v>
      </c>
      <c r="F1475" t="str">
        <f>SUBSTITUTE(Tab_Calculs[[#This Row],[Compteur]]," ","_")</f>
        <v>Compteur_8</v>
      </c>
      <c r="G1475" t="str">
        <f>T(INDEX(Site!$B$33:$G$40, MATCH(Tab_Calculs[[#This Row],[Compteur]], Site!$B$33:$B$40,0),2))</f>
        <v/>
      </c>
      <c r="H1475" s="3">
        <f t="array" aca="1" ref="H1475" ca="1">MIN(IF(INDIRECT(CONCATENATE(Tab_Calculs[[#This Row],[Colonne1]],"!$B$2:$B$243"))&gt;=Calculs_Consos!$A1475,INDIRECT(CONCATENATE(Tab_Calculs[[#This Row],[Colonne1]],"!$B$2:$B$243"))))</f>
        <v>0</v>
      </c>
      <c r="I1475" s="3">
        <f ca="1">INDEX(INDIRECT(CONCATENATE("Tab_",Tab_Calculs[[#This Row],[Colonne1]])),Tab_Calculs[[#This Row],[index_date_livraison]],1)</f>
        <v>0</v>
      </c>
      <c r="J1475">
        <f ca="1">MATCH(Tab_Calculs[[#This Row],[Date_livraison]],INDIRECT(CONCATENATE("Tab_",Tab_Calculs[[#This Row],[Colonne1]],"[Fin de période]")),0)</f>
        <v>1</v>
      </c>
      <c r="K1475" t="e">
        <f ca="1">INDEX(INDIRECT(CONCATENATE("Tab_",Tab_Calculs[[#This Row],[Colonne1]])),Tab_Calculs[[#This Row],[index_date_livraison]]-1,6)*(MAX(Tab_Calculs[[#This Row],[Début periode livraison]],Tab_Calculs[[#This Row],[Début mois]])-Tab_Calculs[[#This Row],[Début mois]])</f>
        <v>#VALUE!</v>
      </c>
      <c r="L1475" s="94">
        <f ca="1">INDEX(INDIRECT(CONCATENATE("Tab_",Tab_Calculs[[#This Row],[Colonne1]])),Tab_Calculs[[#This Row],[index_date_livraison]],6)*(1+MIN(Tab_Calculs[[#This Row],[Date_livraison]],Tab_Calculs[[#This Row],[fin mois]])-MAX(Tab_Calculs[[#This Row],[Début mois]],Tab_Calculs[[#This Row],[Début periode livraison]]))</f>
        <v>0</v>
      </c>
      <c r="M1475" s="94" t="e">
        <f ca="1">INDEX(INDIRECT(CONCATENATE("Tab_",Tab_Calculs[[#This Row],[Colonne1]])),Tab_Calculs[[#This Row],[index_date_livraison]]+1,6)*(Tab_Calculs[[#This Row],[fin mois]]-MIN(Tab_Calculs[[#This Row],[fin mois]],Tab_Calculs[[#This Row],[Date_livraison]]))</f>
        <v>#VALUE!</v>
      </c>
      <c r="N1475" s="231" t="str">
        <f ca="1">IFERROR(Tab_Calculs[[#This Row],[Ratio_jour_après_livr]]+Tab_Calculs[[#This Row],[Ratio_jour_avant_livr]]+Tab_Calculs[[#This Row],[ratio_avant_debut]],"")</f>
        <v/>
      </c>
      <c r="O1475" t="e">
        <f ca="1">INDEX(INDIRECT(CONCATENATE("Tab_",Tab_Calculs[[#This Row],[Colonne1]])),Tab_Calculs[[#This Row],[index_date_livraison]]-1,7)*(MAX(Tab_Calculs[[#This Row],[Début periode livraison]],Tab_Calculs[[#This Row],[Début mois]])-Tab_Calculs[[#This Row],[Début mois]])</f>
        <v>#VALUE!</v>
      </c>
      <c r="P1475">
        <f ca="1">INDEX(INDIRECT(CONCATENATE("Tab_",Tab_Calculs[[#This Row],[Colonne1]])),Tab_Calculs[[#This Row],[index_date_livraison]],7)*(1+MIN(Tab_Calculs[[#This Row],[Date_livraison]],Tab_Calculs[[#This Row],[fin mois]])-MAX(Tab_Calculs[[#This Row],[Début mois]],Tab_Calculs[[#This Row],[Début periode livraison]]))</f>
        <v>0</v>
      </c>
      <c r="Q1475" t="e">
        <f ca="1">INDEX(INDIRECT(CONCATENATE("Tab_",Tab_Calculs[[#This Row],[Colonne1]])),Tab_Calculs[[#This Row],[index_date_livraison]]+1,7)*(Tab_Calculs[[#This Row],[fin mois]]-MIN(Tab_Calculs[[#This Row],[fin mois]],Tab_Calculs[[#This Row],[Date_livraison]]))</f>
        <v>#VALUE!</v>
      </c>
      <c r="R1475" t="e">
        <f ca="1">Tab_Calculs[[#This Row],[Ratio_Cout_après_livr]]+Tab_Calculs[[#This Row],[Ratio_Cout_avant_livr]]+Tab_Calculs[[#This Row],[Ratio_Cout_avant_debut]]</f>
        <v>#VALUE!</v>
      </c>
      <c r="S1475" t="str">
        <f ca="1">IFERROR(N1475*VLOOKUP(Tab_Calculs[[#This Row],[Colonne1]],Controle_des_données!$B$7:$G$14,6,FALSE),"")</f>
        <v/>
      </c>
      <c r="T1475" t="str">
        <f ca="1">IF(Tab_Calculs[[#This Row],[Combustible ]]="Electricité (kWh)",Tab_Calculs[[#This Row],[Conso_mois_kWh]]*2.3,Tab_Calculs[[#This Row],[Conso_mois_kWh]])</f>
        <v/>
      </c>
      <c r="U1475" t="str">
        <f ca="1">IFERROR(N1475*VLOOKUP(Tab_Calculs[[#This Row],[Colonne1]],Controle_des_données!$B$7:$H$14,7,FALSE),"")</f>
        <v/>
      </c>
      <c r="V1475">
        <f ca="1">IFERROR(Tab_Calculs[[#This Row],[Cout_mois]]/Tab_Calculs[[#This Row],[Conso_mois_kWh]],0)</f>
        <v>0</v>
      </c>
      <c r="W1475" t="str">
        <f>T(VLOOKUP(Tab_Calculs[[#This Row],[Compteur]],Site!$B$33:$G$40,3,FALSE))</f>
        <v/>
      </c>
      <c r="X1475" t="str">
        <f>T(VLOOKUP(Tab_Calculs[[#This Row],[Compteur]],Site!$B$33:$G$40,4,FALSE))</f>
        <v/>
      </c>
      <c r="Y1475" t="str">
        <f>T(VLOOKUP(Tab_Calculs[[#This Row],[Compteur]],Site!$B$33:$G$40,5,FALSE))</f>
        <v/>
      </c>
      <c r="Z1475" t="str">
        <f>T(VLOOKUP(Tab_Calculs[[#This Row],[Compteur]],Site!$B$33:$G$40,6,FALSE))</f>
        <v/>
      </c>
      <c r="AA1475">
        <f>IFERROR(GETPIVOTDATA("DJU(chauffagiste)",BDD_DJU!$P$13,"annee",Tab_Calculs[[#This Row],[ANNEE]],"mois_numero",Tab_Calculs[[#This Row],[MOIS]]),0)</f>
        <v>272.60000000000002</v>
      </c>
    </row>
    <row r="1476" spans="1:27" x14ac:dyDescent="0.25">
      <c r="A1476" s="3">
        <f>DATE(Tab_Calculs[[#This Row],[ANNEE]],Tab_Calculs[[#This Row],[MOIS]],1)</f>
        <v>43922</v>
      </c>
      <c r="B1476" s="3">
        <f>EDATE(Tab_Calculs[[#This Row],[Début mois]],1)-1</f>
        <v>43951</v>
      </c>
      <c r="C1476">
        <f t="shared" si="50"/>
        <v>4</v>
      </c>
      <c r="D1476">
        <f t="shared" si="49"/>
        <v>2020</v>
      </c>
      <c r="E1476" t="s">
        <v>87</v>
      </c>
      <c r="F1476" t="str">
        <f>SUBSTITUTE(Tab_Calculs[[#This Row],[Compteur]]," ","_")</f>
        <v>Compteur_8</v>
      </c>
      <c r="G1476" t="str">
        <f>T(INDEX(Site!$B$33:$G$40, MATCH(Tab_Calculs[[#This Row],[Compteur]], Site!$B$33:$B$40,0),2))</f>
        <v/>
      </c>
      <c r="H1476" s="3">
        <f t="array" aca="1" ref="H1476" ca="1">MIN(IF(INDIRECT(CONCATENATE(Tab_Calculs[[#This Row],[Colonne1]],"!$B$2:$B$243"))&gt;=Calculs_Consos!$A1476,INDIRECT(CONCATENATE(Tab_Calculs[[#This Row],[Colonne1]],"!$B$2:$B$243"))))</f>
        <v>0</v>
      </c>
      <c r="I1476" s="3">
        <f ca="1">INDEX(INDIRECT(CONCATENATE("Tab_",Tab_Calculs[[#This Row],[Colonne1]])),Tab_Calculs[[#This Row],[index_date_livraison]],1)</f>
        <v>0</v>
      </c>
      <c r="J1476">
        <f ca="1">MATCH(Tab_Calculs[[#This Row],[Date_livraison]],INDIRECT(CONCATENATE("Tab_",Tab_Calculs[[#This Row],[Colonne1]],"[Fin de période]")),0)</f>
        <v>1</v>
      </c>
      <c r="K1476" t="e">
        <f ca="1">INDEX(INDIRECT(CONCATENATE("Tab_",Tab_Calculs[[#This Row],[Colonne1]])),Tab_Calculs[[#This Row],[index_date_livraison]]-1,6)*(MAX(Tab_Calculs[[#This Row],[Début periode livraison]],Tab_Calculs[[#This Row],[Début mois]])-Tab_Calculs[[#This Row],[Début mois]])</f>
        <v>#VALUE!</v>
      </c>
      <c r="L1476" s="94">
        <f ca="1">INDEX(INDIRECT(CONCATENATE("Tab_",Tab_Calculs[[#This Row],[Colonne1]])),Tab_Calculs[[#This Row],[index_date_livraison]],6)*(1+MIN(Tab_Calculs[[#This Row],[Date_livraison]],Tab_Calculs[[#This Row],[fin mois]])-MAX(Tab_Calculs[[#This Row],[Début mois]],Tab_Calculs[[#This Row],[Début periode livraison]]))</f>
        <v>0</v>
      </c>
      <c r="M1476" s="94" t="e">
        <f ca="1">INDEX(INDIRECT(CONCATENATE("Tab_",Tab_Calculs[[#This Row],[Colonne1]])),Tab_Calculs[[#This Row],[index_date_livraison]]+1,6)*(Tab_Calculs[[#This Row],[fin mois]]-MIN(Tab_Calculs[[#This Row],[fin mois]],Tab_Calculs[[#This Row],[Date_livraison]]))</f>
        <v>#VALUE!</v>
      </c>
      <c r="N1476" s="231" t="str">
        <f ca="1">IFERROR(Tab_Calculs[[#This Row],[Ratio_jour_après_livr]]+Tab_Calculs[[#This Row],[Ratio_jour_avant_livr]]+Tab_Calculs[[#This Row],[ratio_avant_debut]],"")</f>
        <v/>
      </c>
      <c r="O1476" t="e">
        <f ca="1">INDEX(INDIRECT(CONCATENATE("Tab_",Tab_Calculs[[#This Row],[Colonne1]])),Tab_Calculs[[#This Row],[index_date_livraison]]-1,7)*(MAX(Tab_Calculs[[#This Row],[Début periode livraison]],Tab_Calculs[[#This Row],[Début mois]])-Tab_Calculs[[#This Row],[Début mois]])</f>
        <v>#VALUE!</v>
      </c>
      <c r="P1476">
        <f ca="1">INDEX(INDIRECT(CONCATENATE("Tab_",Tab_Calculs[[#This Row],[Colonne1]])),Tab_Calculs[[#This Row],[index_date_livraison]],7)*(1+MIN(Tab_Calculs[[#This Row],[Date_livraison]],Tab_Calculs[[#This Row],[fin mois]])-MAX(Tab_Calculs[[#This Row],[Début mois]],Tab_Calculs[[#This Row],[Début periode livraison]]))</f>
        <v>0</v>
      </c>
      <c r="Q1476" t="e">
        <f ca="1">INDEX(INDIRECT(CONCATENATE("Tab_",Tab_Calculs[[#This Row],[Colonne1]])),Tab_Calculs[[#This Row],[index_date_livraison]]+1,7)*(Tab_Calculs[[#This Row],[fin mois]]-MIN(Tab_Calculs[[#This Row],[fin mois]],Tab_Calculs[[#This Row],[Date_livraison]]))</f>
        <v>#VALUE!</v>
      </c>
      <c r="R1476" t="e">
        <f ca="1">Tab_Calculs[[#This Row],[Ratio_Cout_après_livr]]+Tab_Calculs[[#This Row],[Ratio_Cout_avant_livr]]+Tab_Calculs[[#This Row],[Ratio_Cout_avant_debut]]</f>
        <v>#VALUE!</v>
      </c>
      <c r="S1476" t="str">
        <f ca="1">IFERROR(N1476*VLOOKUP(Tab_Calculs[[#This Row],[Colonne1]],Controle_des_données!$B$7:$G$14,6,FALSE),"")</f>
        <v/>
      </c>
      <c r="T1476" t="str">
        <f ca="1">IF(Tab_Calculs[[#This Row],[Combustible ]]="Electricité (kWh)",Tab_Calculs[[#This Row],[Conso_mois_kWh]]*2.3,Tab_Calculs[[#This Row],[Conso_mois_kWh]])</f>
        <v/>
      </c>
      <c r="U1476" t="str">
        <f ca="1">IFERROR(N1476*VLOOKUP(Tab_Calculs[[#This Row],[Colonne1]],Controle_des_données!$B$7:$H$14,7,FALSE),"")</f>
        <v/>
      </c>
      <c r="V1476">
        <f ca="1">IFERROR(Tab_Calculs[[#This Row],[Cout_mois]]/Tab_Calculs[[#This Row],[Conso_mois_kWh]],0)</f>
        <v>0</v>
      </c>
      <c r="W1476" t="str">
        <f>T(VLOOKUP(Tab_Calculs[[#This Row],[Compteur]],Site!$B$33:$G$40,3,FALSE))</f>
        <v/>
      </c>
      <c r="X1476" t="str">
        <f>T(VLOOKUP(Tab_Calculs[[#This Row],[Compteur]],Site!$B$33:$G$40,4,FALSE))</f>
        <v/>
      </c>
      <c r="Y1476" t="str">
        <f>T(VLOOKUP(Tab_Calculs[[#This Row],[Compteur]],Site!$B$33:$G$40,5,FALSE))</f>
        <v/>
      </c>
      <c r="Z1476" t="str">
        <f>T(VLOOKUP(Tab_Calculs[[#This Row],[Compteur]],Site!$B$33:$G$40,6,FALSE))</f>
        <v/>
      </c>
      <c r="AA1476">
        <f>IFERROR(GETPIVOTDATA("DJU(chauffagiste)",BDD_DJU!$P$13,"annee",Tab_Calculs[[#This Row],[ANNEE]],"mois_numero",Tab_Calculs[[#This Row],[MOIS]]),0)</f>
        <v>126.3</v>
      </c>
    </row>
    <row r="1477" spans="1:27" x14ac:dyDescent="0.25">
      <c r="A1477" s="3">
        <f>DATE(Tab_Calculs[[#This Row],[ANNEE]],Tab_Calculs[[#This Row],[MOIS]],1)</f>
        <v>43952</v>
      </c>
      <c r="B1477" s="3">
        <f>EDATE(Tab_Calculs[[#This Row],[Début mois]],1)-1</f>
        <v>43982</v>
      </c>
      <c r="C1477">
        <f t="shared" si="50"/>
        <v>5</v>
      </c>
      <c r="D1477">
        <f t="shared" si="49"/>
        <v>2020</v>
      </c>
      <c r="E1477" t="s">
        <v>87</v>
      </c>
      <c r="F1477" t="str">
        <f>SUBSTITUTE(Tab_Calculs[[#This Row],[Compteur]]," ","_")</f>
        <v>Compteur_8</v>
      </c>
      <c r="G1477" t="str">
        <f>T(INDEX(Site!$B$33:$G$40, MATCH(Tab_Calculs[[#This Row],[Compteur]], Site!$B$33:$B$40,0),2))</f>
        <v/>
      </c>
      <c r="H1477" s="3">
        <f t="array" aca="1" ref="H1477" ca="1">MIN(IF(INDIRECT(CONCATENATE(Tab_Calculs[[#This Row],[Colonne1]],"!$B$2:$B$243"))&gt;=Calculs_Consos!$A1477,INDIRECT(CONCATENATE(Tab_Calculs[[#This Row],[Colonne1]],"!$B$2:$B$243"))))</f>
        <v>0</v>
      </c>
      <c r="I1477" s="3">
        <f ca="1">INDEX(INDIRECT(CONCATENATE("Tab_",Tab_Calculs[[#This Row],[Colonne1]])),Tab_Calculs[[#This Row],[index_date_livraison]],1)</f>
        <v>0</v>
      </c>
      <c r="J1477">
        <f ca="1">MATCH(Tab_Calculs[[#This Row],[Date_livraison]],INDIRECT(CONCATENATE("Tab_",Tab_Calculs[[#This Row],[Colonne1]],"[Fin de période]")),0)</f>
        <v>1</v>
      </c>
      <c r="K1477" t="e">
        <f ca="1">INDEX(INDIRECT(CONCATENATE("Tab_",Tab_Calculs[[#This Row],[Colonne1]])),Tab_Calculs[[#This Row],[index_date_livraison]]-1,6)*(MAX(Tab_Calculs[[#This Row],[Début periode livraison]],Tab_Calculs[[#This Row],[Début mois]])-Tab_Calculs[[#This Row],[Début mois]])</f>
        <v>#VALUE!</v>
      </c>
      <c r="L1477" s="94">
        <f ca="1">INDEX(INDIRECT(CONCATENATE("Tab_",Tab_Calculs[[#This Row],[Colonne1]])),Tab_Calculs[[#This Row],[index_date_livraison]],6)*(1+MIN(Tab_Calculs[[#This Row],[Date_livraison]],Tab_Calculs[[#This Row],[fin mois]])-MAX(Tab_Calculs[[#This Row],[Début mois]],Tab_Calculs[[#This Row],[Début periode livraison]]))</f>
        <v>0</v>
      </c>
      <c r="M1477" s="94" t="e">
        <f ca="1">INDEX(INDIRECT(CONCATENATE("Tab_",Tab_Calculs[[#This Row],[Colonne1]])),Tab_Calculs[[#This Row],[index_date_livraison]]+1,6)*(Tab_Calculs[[#This Row],[fin mois]]-MIN(Tab_Calculs[[#This Row],[fin mois]],Tab_Calculs[[#This Row],[Date_livraison]]))</f>
        <v>#VALUE!</v>
      </c>
      <c r="N1477" s="231" t="str">
        <f ca="1">IFERROR(Tab_Calculs[[#This Row],[Ratio_jour_après_livr]]+Tab_Calculs[[#This Row],[Ratio_jour_avant_livr]]+Tab_Calculs[[#This Row],[ratio_avant_debut]],"")</f>
        <v/>
      </c>
      <c r="O1477" t="e">
        <f ca="1">INDEX(INDIRECT(CONCATENATE("Tab_",Tab_Calculs[[#This Row],[Colonne1]])),Tab_Calculs[[#This Row],[index_date_livraison]]-1,7)*(MAX(Tab_Calculs[[#This Row],[Début periode livraison]],Tab_Calculs[[#This Row],[Début mois]])-Tab_Calculs[[#This Row],[Début mois]])</f>
        <v>#VALUE!</v>
      </c>
      <c r="P1477">
        <f ca="1">INDEX(INDIRECT(CONCATENATE("Tab_",Tab_Calculs[[#This Row],[Colonne1]])),Tab_Calculs[[#This Row],[index_date_livraison]],7)*(1+MIN(Tab_Calculs[[#This Row],[Date_livraison]],Tab_Calculs[[#This Row],[fin mois]])-MAX(Tab_Calculs[[#This Row],[Début mois]],Tab_Calculs[[#This Row],[Début periode livraison]]))</f>
        <v>0</v>
      </c>
      <c r="Q1477" t="e">
        <f ca="1">INDEX(INDIRECT(CONCATENATE("Tab_",Tab_Calculs[[#This Row],[Colonne1]])),Tab_Calculs[[#This Row],[index_date_livraison]]+1,7)*(Tab_Calculs[[#This Row],[fin mois]]-MIN(Tab_Calculs[[#This Row],[fin mois]],Tab_Calculs[[#This Row],[Date_livraison]]))</f>
        <v>#VALUE!</v>
      </c>
      <c r="R1477" t="e">
        <f ca="1">Tab_Calculs[[#This Row],[Ratio_Cout_après_livr]]+Tab_Calculs[[#This Row],[Ratio_Cout_avant_livr]]+Tab_Calculs[[#This Row],[Ratio_Cout_avant_debut]]</f>
        <v>#VALUE!</v>
      </c>
      <c r="S1477" t="str">
        <f ca="1">IFERROR(N1477*VLOOKUP(Tab_Calculs[[#This Row],[Colonne1]],Controle_des_données!$B$7:$G$14,6,FALSE),"")</f>
        <v/>
      </c>
      <c r="T1477" t="str">
        <f ca="1">IF(Tab_Calculs[[#This Row],[Combustible ]]="Electricité (kWh)",Tab_Calculs[[#This Row],[Conso_mois_kWh]]*2.3,Tab_Calculs[[#This Row],[Conso_mois_kWh]])</f>
        <v/>
      </c>
      <c r="U1477" t="str">
        <f ca="1">IFERROR(N1477*VLOOKUP(Tab_Calculs[[#This Row],[Colonne1]],Controle_des_données!$B$7:$H$14,7,FALSE),"")</f>
        <v/>
      </c>
      <c r="V1477">
        <f ca="1">IFERROR(Tab_Calculs[[#This Row],[Cout_mois]]/Tab_Calculs[[#This Row],[Conso_mois_kWh]],0)</f>
        <v>0</v>
      </c>
      <c r="W1477" t="str">
        <f>T(VLOOKUP(Tab_Calculs[[#This Row],[Compteur]],Site!$B$33:$G$40,3,FALSE))</f>
        <v/>
      </c>
      <c r="X1477" t="str">
        <f>T(VLOOKUP(Tab_Calculs[[#This Row],[Compteur]],Site!$B$33:$G$40,4,FALSE))</f>
        <v/>
      </c>
      <c r="Y1477" t="str">
        <f>T(VLOOKUP(Tab_Calculs[[#This Row],[Compteur]],Site!$B$33:$G$40,5,FALSE))</f>
        <v/>
      </c>
      <c r="Z1477" t="str">
        <f>T(VLOOKUP(Tab_Calculs[[#This Row],[Compteur]],Site!$B$33:$G$40,6,FALSE))</f>
        <v/>
      </c>
      <c r="AA1477">
        <f>IFERROR(GETPIVOTDATA("DJU(chauffagiste)",BDD_DJU!$P$13,"annee",Tab_Calculs[[#This Row],[ANNEE]],"mois_numero",Tab_Calculs[[#This Row],[MOIS]]),0)</f>
        <v>91.8</v>
      </c>
    </row>
    <row r="1478" spans="1:27" x14ac:dyDescent="0.25">
      <c r="A1478" s="3">
        <f>DATE(Tab_Calculs[[#This Row],[ANNEE]],Tab_Calculs[[#This Row],[MOIS]],1)</f>
        <v>43983</v>
      </c>
      <c r="B1478" s="3">
        <f>EDATE(Tab_Calculs[[#This Row],[Début mois]],1)-1</f>
        <v>44012</v>
      </c>
      <c r="C1478">
        <f t="shared" si="50"/>
        <v>6</v>
      </c>
      <c r="D1478">
        <f t="shared" ref="D1478:D1495" si="51">D1466+1</f>
        <v>2020</v>
      </c>
      <c r="E1478" t="s">
        <v>87</v>
      </c>
      <c r="F1478" t="str">
        <f>SUBSTITUTE(Tab_Calculs[[#This Row],[Compteur]]," ","_")</f>
        <v>Compteur_8</v>
      </c>
      <c r="G1478" t="str">
        <f>T(INDEX(Site!$B$33:$G$40, MATCH(Tab_Calculs[[#This Row],[Compteur]], Site!$B$33:$B$40,0),2))</f>
        <v/>
      </c>
      <c r="H1478" s="3">
        <f t="array" aca="1" ref="H1478" ca="1">MIN(IF(INDIRECT(CONCATENATE(Tab_Calculs[[#This Row],[Colonne1]],"!$B$2:$B$243"))&gt;=Calculs_Consos!$A1478,INDIRECT(CONCATENATE(Tab_Calculs[[#This Row],[Colonne1]],"!$B$2:$B$243"))))</f>
        <v>0</v>
      </c>
      <c r="I1478" s="3">
        <f ca="1">INDEX(INDIRECT(CONCATENATE("Tab_",Tab_Calculs[[#This Row],[Colonne1]])),Tab_Calculs[[#This Row],[index_date_livraison]],1)</f>
        <v>0</v>
      </c>
      <c r="J1478">
        <f ca="1">MATCH(Tab_Calculs[[#This Row],[Date_livraison]],INDIRECT(CONCATENATE("Tab_",Tab_Calculs[[#This Row],[Colonne1]],"[Fin de période]")),0)</f>
        <v>1</v>
      </c>
      <c r="K1478" t="e">
        <f ca="1">INDEX(INDIRECT(CONCATENATE("Tab_",Tab_Calculs[[#This Row],[Colonne1]])),Tab_Calculs[[#This Row],[index_date_livraison]]-1,6)*(MAX(Tab_Calculs[[#This Row],[Début periode livraison]],Tab_Calculs[[#This Row],[Début mois]])-Tab_Calculs[[#This Row],[Début mois]])</f>
        <v>#VALUE!</v>
      </c>
      <c r="L1478" s="94">
        <f ca="1">INDEX(INDIRECT(CONCATENATE("Tab_",Tab_Calculs[[#This Row],[Colonne1]])),Tab_Calculs[[#This Row],[index_date_livraison]],6)*(1+MIN(Tab_Calculs[[#This Row],[Date_livraison]],Tab_Calculs[[#This Row],[fin mois]])-MAX(Tab_Calculs[[#This Row],[Début mois]],Tab_Calculs[[#This Row],[Début periode livraison]]))</f>
        <v>0</v>
      </c>
      <c r="M1478" s="94" t="e">
        <f ca="1">INDEX(INDIRECT(CONCATENATE("Tab_",Tab_Calculs[[#This Row],[Colonne1]])),Tab_Calculs[[#This Row],[index_date_livraison]]+1,6)*(Tab_Calculs[[#This Row],[fin mois]]-MIN(Tab_Calculs[[#This Row],[fin mois]],Tab_Calculs[[#This Row],[Date_livraison]]))</f>
        <v>#VALUE!</v>
      </c>
      <c r="N1478" s="231" t="str">
        <f ca="1">IFERROR(Tab_Calculs[[#This Row],[Ratio_jour_après_livr]]+Tab_Calculs[[#This Row],[Ratio_jour_avant_livr]]+Tab_Calculs[[#This Row],[ratio_avant_debut]],"")</f>
        <v/>
      </c>
      <c r="O1478" t="e">
        <f ca="1">INDEX(INDIRECT(CONCATENATE("Tab_",Tab_Calculs[[#This Row],[Colonne1]])),Tab_Calculs[[#This Row],[index_date_livraison]]-1,7)*(MAX(Tab_Calculs[[#This Row],[Début periode livraison]],Tab_Calculs[[#This Row],[Début mois]])-Tab_Calculs[[#This Row],[Début mois]])</f>
        <v>#VALUE!</v>
      </c>
      <c r="P1478">
        <f ca="1">INDEX(INDIRECT(CONCATENATE("Tab_",Tab_Calculs[[#This Row],[Colonne1]])),Tab_Calculs[[#This Row],[index_date_livraison]],7)*(1+MIN(Tab_Calculs[[#This Row],[Date_livraison]],Tab_Calculs[[#This Row],[fin mois]])-MAX(Tab_Calculs[[#This Row],[Début mois]],Tab_Calculs[[#This Row],[Début periode livraison]]))</f>
        <v>0</v>
      </c>
      <c r="Q1478" t="e">
        <f ca="1">INDEX(INDIRECT(CONCATENATE("Tab_",Tab_Calculs[[#This Row],[Colonne1]])),Tab_Calculs[[#This Row],[index_date_livraison]]+1,7)*(Tab_Calculs[[#This Row],[fin mois]]-MIN(Tab_Calculs[[#This Row],[fin mois]],Tab_Calculs[[#This Row],[Date_livraison]]))</f>
        <v>#VALUE!</v>
      </c>
      <c r="R1478" t="e">
        <f ca="1">Tab_Calculs[[#This Row],[Ratio_Cout_après_livr]]+Tab_Calculs[[#This Row],[Ratio_Cout_avant_livr]]+Tab_Calculs[[#This Row],[Ratio_Cout_avant_debut]]</f>
        <v>#VALUE!</v>
      </c>
      <c r="S1478" t="str">
        <f ca="1">IFERROR(N1478*VLOOKUP(Tab_Calculs[[#This Row],[Colonne1]],Controle_des_données!$B$7:$G$14,6,FALSE),"")</f>
        <v/>
      </c>
      <c r="T1478" t="str">
        <f ca="1">IF(Tab_Calculs[[#This Row],[Combustible ]]="Electricité (kWh)",Tab_Calculs[[#This Row],[Conso_mois_kWh]]*2.3,Tab_Calculs[[#This Row],[Conso_mois_kWh]])</f>
        <v/>
      </c>
      <c r="U1478" t="str">
        <f ca="1">IFERROR(N1478*VLOOKUP(Tab_Calculs[[#This Row],[Colonne1]],Controle_des_données!$B$7:$H$14,7,FALSE),"")</f>
        <v/>
      </c>
      <c r="V1478">
        <f ca="1">IFERROR(Tab_Calculs[[#This Row],[Cout_mois]]/Tab_Calculs[[#This Row],[Conso_mois_kWh]],0)</f>
        <v>0</v>
      </c>
      <c r="W1478" t="str">
        <f>T(VLOOKUP(Tab_Calculs[[#This Row],[Compteur]],Site!$B$33:$G$40,3,FALSE))</f>
        <v/>
      </c>
      <c r="X1478" t="str">
        <f>T(VLOOKUP(Tab_Calculs[[#This Row],[Compteur]],Site!$B$33:$G$40,4,FALSE))</f>
        <v/>
      </c>
      <c r="Y1478" t="str">
        <f>T(VLOOKUP(Tab_Calculs[[#This Row],[Compteur]],Site!$B$33:$G$40,5,FALSE))</f>
        <v/>
      </c>
      <c r="Z1478" t="str">
        <f>T(VLOOKUP(Tab_Calculs[[#This Row],[Compteur]],Site!$B$33:$G$40,6,FALSE))</f>
        <v/>
      </c>
      <c r="AA1478">
        <f>IFERROR(GETPIVOTDATA("DJU(chauffagiste)",BDD_DJU!$P$13,"annee",Tab_Calculs[[#This Row],[ANNEE]],"mois_numero",Tab_Calculs[[#This Row],[MOIS]]),0)</f>
        <v>55.6</v>
      </c>
    </row>
    <row r="1479" spans="1:27" x14ac:dyDescent="0.25">
      <c r="A1479" s="3">
        <f>DATE(Tab_Calculs[[#This Row],[ANNEE]],Tab_Calculs[[#This Row],[MOIS]],1)</f>
        <v>44013</v>
      </c>
      <c r="B1479" s="3">
        <f>EDATE(Tab_Calculs[[#This Row],[Début mois]],1)-1</f>
        <v>44043</v>
      </c>
      <c r="C1479">
        <f t="shared" si="50"/>
        <v>7</v>
      </c>
      <c r="D1479">
        <f t="shared" si="51"/>
        <v>2020</v>
      </c>
      <c r="E1479" t="s">
        <v>87</v>
      </c>
      <c r="F1479" t="str">
        <f>SUBSTITUTE(Tab_Calculs[[#This Row],[Compteur]]," ","_")</f>
        <v>Compteur_8</v>
      </c>
      <c r="G1479" t="str">
        <f>T(INDEX(Site!$B$33:$G$40, MATCH(Tab_Calculs[[#This Row],[Compteur]], Site!$B$33:$B$40,0),2))</f>
        <v/>
      </c>
      <c r="H1479" s="3">
        <f t="array" aca="1" ref="H1479" ca="1">MIN(IF(INDIRECT(CONCATENATE(Tab_Calculs[[#This Row],[Colonne1]],"!$B$2:$B$243"))&gt;=Calculs_Consos!$A1479,INDIRECT(CONCATENATE(Tab_Calculs[[#This Row],[Colonne1]],"!$B$2:$B$243"))))</f>
        <v>0</v>
      </c>
      <c r="I1479" s="3">
        <f ca="1">INDEX(INDIRECT(CONCATENATE("Tab_",Tab_Calculs[[#This Row],[Colonne1]])),Tab_Calculs[[#This Row],[index_date_livraison]],1)</f>
        <v>0</v>
      </c>
      <c r="J1479">
        <f ca="1">MATCH(Tab_Calculs[[#This Row],[Date_livraison]],INDIRECT(CONCATENATE("Tab_",Tab_Calculs[[#This Row],[Colonne1]],"[Fin de période]")),0)</f>
        <v>1</v>
      </c>
      <c r="K1479" t="e">
        <f ca="1">INDEX(INDIRECT(CONCATENATE("Tab_",Tab_Calculs[[#This Row],[Colonne1]])),Tab_Calculs[[#This Row],[index_date_livraison]]-1,6)*(MAX(Tab_Calculs[[#This Row],[Début periode livraison]],Tab_Calculs[[#This Row],[Début mois]])-Tab_Calculs[[#This Row],[Début mois]])</f>
        <v>#VALUE!</v>
      </c>
      <c r="L1479" s="94">
        <f ca="1">INDEX(INDIRECT(CONCATENATE("Tab_",Tab_Calculs[[#This Row],[Colonne1]])),Tab_Calculs[[#This Row],[index_date_livraison]],6)*(1+MIN(Tab_Calculs[[#This Row],[Date_livraison]],Tab_Calculs[[#This Row],[fin mois]])-MAX(Tab_Calculs[[#This Row],[Début mois]],Tab_Calculs[[#This Row],[Début periode livraison]]))</f>
        <v>0</v>
      </c>
      <c r="M1479" s="94" t="e">
        <f ca="1">INDEX(INDIRECT(CONCATENATE("Tab_",Tab_Calculs[[#This Row],[Colonne1]])),Tab_Calculs[[#This Row],[index_date_livraison]]+1,6)*(Tab_Calculs[[#This Row],[fin mois]]-MIN(Tab_Calculs[[#This Row],[fin mois]],Tab_Calculs[[#This Row],[Date_livraison]]))</f>
        <v>#VALUE!</v>
      </c>
      <c r="N1479" s="231" t="str">
        <f ca="1">IFERROR(Tab_Calculs[[#This Row],[Ratio_jour_après_livr]]+Tab_Calculs[[#This Row],[Ratio_jour_avant_livr]]+Tab_Calculs[[#This Row],[ratio_avant_debut]],"")</f>
        <v/>
      </c>
      <c r="O1479" t="e">
        <f ca="1">INDEX(INDIRECT(CONCATENATE("Tab_",Tab_Calculs[[#This Row],[Colonne1]])),Tab_Calculs[[#This Row],[index_date_livraison]]-1,7)*(MAX(Tab_Calculs[[#This Row],[Début periode livraison]],Tab_Calculs[[#This Row],[Début mois]])-Tab_Calculs[[#This Row],[Début mois]])</f>
        <v>#VALUE!</v>
      </c>
      <c r="P1479">
        <f ca="1">INDEX(INDIRECT(CONCATENATE("Tab_",Tab_Calculs[[#This Row],[Colonne1]])),Tab_Calculs[[#This Row],[index_date_livraison]],7)*(1+MIN(Tab_Calculs[[#This Row],[Date_livraison]],Tab_Calculs[[#This Row],[fin mois]])-MAX(Tab_Calculs[[#This Row],[Début mois]],Tab_Calculs[[#This Row],[Début periode livraison]]))</f>
        <v>0</v>
      </c>
      <c r="Q1479" t="e">
        <f ca="1">INDEX(INDIRECT(CONCATENATE("Tab_",Tab_Calculs[[#This Row],[Colonne1]])),Tab_Calculs[[#This Row],[index_date_livraison]]+1,7)*(Tab_Calculs[[#This Row],[fin mois]]-MIN(Tab_Calculs[[#This Row],[fin mois]],Tab_Calculs[[#This Row],[Date_livraison]]))</f>
        <v>#VALUE!</v>
      </c>
      <c r="R1479" t="e">
        <f ca="1">Tab_Calculs[[#This Row],[Ratio_Cout_après_livr]]+Tab_Calculs[[#This Row],[Ratio_Cout_avant_livr]]+Tab_Calculs[[#This Row],[Ratio_Cout_avant_debut]]</f>
        <v>#VALUE!</v>
      </c>
      <c r="S1479" t="str">
        <f ca="1">IFERROR(N1479*VLOOKUP(Tab_Calculs[[#This Row],[Colonne1]],Controle_des_données!$B$7:$G$14,6,FALSE),"")</f>
        <v/>
      </c>
      <c r="T1479" t="str">
        <f ca="1">IF(Tab_Calculs[[#This Row],[Combustible ]]="Electricité (kWh)",Tab_Calculs[[#This Row],[Conso_mois_kWh]]*2.3,Tab_Calculs[[#This Row],[Conso_mois_kWh]])</f>
        <v/>
      </c>
      <c r="U1479" t="str">
        <f ca="1">IFERROR(N1479*VLOOKUP(Tab_Calculs[[#This Row],[Colonne1]],Controle_des_données!$B$7:$H$14,7,FALSE),"")</f>
        <v/>
      </c>
      <c r="V1479">
        <f ca="1">IFERROR(Tab_Calculs[[#This Row],[Cout_mois]]/Tab_Calculs[[#This Row],[Conso_mois_kWh]],0)</f>
        <v>0</v>
      </c>
      <c r="W1479" t="str">
        <f>T(VLOOKUP(Tab_Calculs[[#This Row],[Compteur]],Site!$B$33:$G$40,3,FALSE))</f>
        <v/>
      </c>
      <c r="X1479" t="str">
        <f>T(VLOOKUP(Tab_Calculs[[#This Row],[Compteur]],Site!$B$33:$G$40,4,FALSE))</f>
        <v/>
      </c>
      <c r="Y1479" t="str">
        <f>T(VLOOKUP(Tab_Calculs[[#This Row],[Compteur]],Site!$B$33:$G$40,5,FALSE))</f>
        <v/>
      </c>
      <c r="Z1479" t="str">
        <f>T(VLOOKUP(Tab_Calculs[[#This Row],[Compteur]],Site!$B$33:$G$40,6,FALSE))</f>
        <v/>
      </c>
      <c r="AA1479">
        <f>IFERROR(GETPIVOTDATA("DJU(chauffagiste)",BDD_DJU!$P$13,"annee",Tab_Calculs[[#This Row],[ANNEE]],"mois_numero",Tab_Calculs[[#This Row],[MOIS]]),0)</f>
        <v>32.299999999999997</v>
      </c>
    </row>
    <row r="1480" spans="1:27" x14ac:dyDescent="0.25">
      <c r="A1480" s="3">
        <f>DATE(Tab_Calculs[[#This Row],[ANNEE]],Tab_Calculs[[#This Row],[MOIS]],1)</f>
        <v>44044</v>
      </c>
      <c r="B1480" s="3">
        <f>EDATE(Tab_Calculs[[#This Row],[Début mois]],1)-1</f>
        <v>44074</v>
      </c>
      <c r="C1480">
        <f t="shared" si="50"/>
        <v>8</v>
      </c>
      <c r="D1480">
        <f t="shared" si="51"/>
        <v>2020</v>
      </c>
      <c r="E1480" t="s">
        <v>87</v>
      </c>
      <c r="F1480" t="str">
        <f>SUBSTITUTE(Tab_Calculs[[#This Row],[Compteur]]," ","_")</f>
        <v>Compteur_8</v>
      </c>
      <c r="G1480" t="str">
        <f>T(INDEX(Site!$B$33:$G$40, MATCH(Tab_Calculs[[#This Row],[Compteur]], Site!$B$33:$B$40,0),2))</f>
        <v/>
      </c>
      <c r="H1480" s="3">
        <f t="array" aca="1" ref="H1480" ca="1">MIN(IF(INDIRECT(CONCATENATE(Tab_Calculs[[#This Row],[Colonne1]],"!$B$2:$B$243"))&gt;=Calculs_Consos!$A1480,INDIRECT(CONCATENATE(Tab_Calculs[[#This Row],[Colonne1]],"!$B$2:$B$243"))))</f>
        <v>0</v>
      </c>
      <c r="I1480" s="3">
        <f ca="1">INDEX(INDIRECT(CONCATENATE("Tab_",Tab_Calculs[[#This Row],[Colonne1]])),Tab_Calculs[[#This Row],[index_date_livraison]],1)</f>
        <v>0</v>
      </c>
      <c r="J1480">
        <f ca="1">MATCH(Tab_Calculs[[#This Row],[Date_livraison]],INDIRECT(CONCATENATE("Tab_",Tab_Calculs[[#This Row],[Colonne1]],"[Fin de période]")),0)</f>
        <v>1</v>
      </c>
      <c r="K1480" t="e">
        <f ca="1">INDEX(INDIRECT(CONCATENATE("Tab_",Tab_Calculs[[#This Row],[Colonne1]])),Tab_Calculs[[#This Row],[index_date_livraison]]-1,6)*(MAX(Tab_Calculs[[#This Row],[Début periode livraison]],Tab_Calculs[[#This Row],[Début mois]])-Tab_Calculs[[#This Row],[Début mois]])</f>
        <v>#VALUE!</v>
      </c>
      <c r="L1480" s="94">
        <f ca="1">INDEX(INDIRECT(CONCATENATE("Tab_",Tab_Calculs[[#This Row],[Colonne1]])),Tab_Calculs[[#This Row],[index_date_livraison]],6)*(1+MIN(Tab_Calculs[[#This Row],[Date_livraison]],Tab_Calculs[[#This Row],[fin mois]])-MAX(Tab_Calculs[[#This Row],[Début mois]],Tab_Calculs[[#This Row],[Début periode livraison]]))</f>
        <v>0</v>
      </c>
      <c r="M1480" s="94" t="e">
        <f ca="1">INDEX(INDIRECT(CONCATENATE("Tab_",Tab_Calculs[[#This Row],[Colonne1]])),Tab_Calculs[[#This Row],[index_date_livraison]]+1,6)*(Tab_Calculs[[#This Row],[fin mois]]-MIN(Tab_Calculs[[#This Row],[fin mois]],Tab_Calculs[[#This Row],[Date_livraison]]))</f>
        <v>#VALUE!</v>
      </c>
      <c r="N1480" s="231" t="str">
        <f ca="1">IFERROR(Tab_Calculs[[#This Row],[Ratio_jour_après_livr]]+Tab_Calculs[[#This Row],[Ratio_jour_avant_livr]]+Tab_Calculs[[#This Row],[ratio_avant_debut]],"")</f>
        <v/>
      </c>
      <c r="O1480" t="e">
        <f ca="1">INDEX(INDIRECT(CONCATENATE("Tab_",Tab_Calculs[[#This Row],[Colonne1]])),Tab_Calculs[[#This Row],[index_date_livraison]]-1,7)*(MAX(Tab_Calculs[[#This Row],[Début periode livraison]],Tab_Calculs[[#This Row],[Début mois]])-Tab_Calculs[[#This Row],[Début mois]])</f>
        <v>#VALUE!</v>
      </c>
      <c r="P1480">
        <f ca="1">INDEX(INDIRECT(CONCATENATE("Tab_",Tab_Calculs[[#This Row],[Colonne1]])),Tab_Calculs[[#This Row],[index_date_livraison]],7)*(1+MIN(Tab_Calculs[[#This Row],[Date_livraison]],Tab_Calculs[[#This Row],[fin mois]])-MAX(Tab_Calculs[[#This Row],[Début mois]],Tab_Calculs[[#This Row],[Début periode livraison]]))</f>
        <v>0</v>
      </c>
      <c r="Q1480" t="e">
        <f ca="1">INDEX(INDIRECT(CONCATENATE("Tab_",Tab_Calculs[[#This Row],[Colonne1]])),Tab_Calculs[[#This Row],[index_date_livraison]]+1,7)*(Tab_Calculs[[#This Row],[fin mois]]-MIN(Tab_Calculs[[#This Row],[fin mois]],Tab_Calculs[[#This Row],[Date_livraison]]))</f>
        <v>#VALUE!</v>
      </c>
      <c r="R1480" t="e">
        <f ca="1">Tab_Calculs[[#This Row],[Ratio_Cout_après_livr]]+Tab_Calculs[[#This Row],[Ratio_Cout_avant_livr]]+Tab_Calculs[[#This Row],[Ratio_Cout_avant_debut]]</f>
        <v>#VALUE!</v>
      </c>
      <c r="S1480" t="str">
        <f ca="1">IFERROR(N1480*VLOOKUP(Tab_Calculs[[#This Row],[Colonne1]],Controle_des_données!$B$7:$G$14,6,FALSE),"")</f>
        <v/>
      </c>
      <c r="T1480" t="str">
        <f ca="1">IF(Tab_Calculs[[#This Row],[Combustible ]]="Electricité (kWh)",Tab_Calculs[[#This Row],[Conso_mois_kWh]]*2.3,Tab_Calculs[[#This Row],[Conso_mois_kWh]])</f>
        <v/>
      </c>
      <c r="U1480" t="str">
        <f ca="1">IFERROR(N1480*VLOOKUP(Tab_Calculs[[#This Row],[Colonne1]],Controle_des_données!$B$7:$H$14,7,FALSE),"")</f>
        <v/>
      </c>
      <c r="V1480">
        <f ca="1">IFERROR(Tab_Calculs[[#This Row],[Cout_mois]]/Tab_Calculs[[#This Row],[Conso_mois_kWh]],0)</f>
        <v>0</v>
      </c>
      <c r="W1480" t="str">
        <f>T(VLOOKUP(Tab_Calculs[[#This Row],[Compteur]],Site!$B$33:$G$40,3,FALSE))</f>
        <v/>
      </c>
      <c r="X1480" t="str">
        <f>T(VLOOKUP(Tab_Calculs[[#This Row],[Compteur]],Site!$B$33:$G$40,4,FALSE))</f>
        <v/>
      </c>
      <c r="Y1480" t="str">
        <f>T(VLOOKUP(Tab_Calculs[[#This Row],[Compteur]],Site!$B$33:$G$40,5,FALSE))</f>
        <v/>
      </c>
      <c r="Z1480" t="str">
        <f>T(VLOOKUP(Tab_Calculs[[#This Row],[Compteur]],Site!$B$33:$G$40,6,FALSE))</f>
        <v/>
      </c>
      <c r="AA1480">
        <f>IFERROR(GETPIVOTDATA("DJU(chauffagiste)",BDD_DJU!$P$13,"annee",Tab_Calculs[[#This Row],[ANNEE]],"mois_numero",Tab_Calculs[[#This Row],[MOIS]]),0)</f>
        <v>27.8</v>
      </c>
    </row>
    <row r="1481" spans="1:27" x14ac:dyDescent="0.25">
      <c r="A1481" s="3">
        <f>DATE(Tab_Calculs[[#This Row],[ANNEE]],Tab_Calculs[[#This Row],[MOIS]],1)</f>
        <v>44075</v>
      </c>
      <c r="B1481" s="3">
        <f>EDATE(Tab_Calculs[[#This Row],[Début mois]],1)-1</f>
        <v>44104</v>
      </c>
      <c r="C1481">
        <f t="shared" si="50"/>
        <v>9</v>
      </c>
      <c r="D1481">
        <f t="shared" si="51"/>
        <v>2020</v>
      </c>
      <c r="E1481" t="s">
        <v>87</v>
      </c>
      <c r="F1481" t="str">
        <f>SUBSTITUTE(Tab_Calculs[[#This Row],[Compteur]]," ","_")</f>
        <v>Compteur_8</v>
      </c>
      <c r="G1481" t="str">
        <f>T(INDEX(Site!$B$33:$G$40, MATCH(Tab_Calculs[[#This Row],[Compteur]], Site!$B$33:$B$40,0),2))</f>
        <v/>
      </c>
      <c r="H1481" s="3">
        <f t="array" aca="1" ref="H1481" ca="1">MIN(IF(INDIRECT(CONCATENATE(Tab_Calculs[[#This Row],[Colonne1]],"!$B$2:$B$243"))&gt;=Calculs_Consos!$A1481,INDIRECT(CONCATENATE(Tab_Calculs[[#This Row],[Colonne1]],"!$B$2:$B$243"))))</f>
        <v>0</v>
      </c>
      <c r="I1481" s="3">
        <f ca="1">INDEX(INDIRECT(CONCATENATE("Tab_",Tab_Calculs[[#This Row],[Colonne1]])),Tab_Calculs[[#This Row],[index_date_livraison]],1)</f>
        <v>0</v>
      </c>
      <c r="J1481">
        <f ca="1">MATCH(Tab_Calculs[[#This Row],[Date_livraison]],INDIRECT(CONCATENATE("Tab_",Tab_Calculs[[#This Row],[Colonne1]],"[Fin de période]")),0)</f>
        <v>1</v>
      </c>
      <c r="K1481" t="e">
        <f ca="1">INDEX(INDIRECT(CONCATENATE("Tab_",Tab_Calculs[[#This Row],[Colonne1]])),Tab_Calculs[[#This Row],[index_date_livraison]]-1,6)*(MAX(Tab_Calculs[[#This Row],[Début periode livraison]],Tab_Calculs[[#This Row],[Début mois]])-Tab_Calculs[[#This Row],[Début mois]])</f>
        <v>#VALUE!</v>
      </c>
      <c r="L1481" s="94">
        <f ca="1">INDEX(INDIRECT(CONCATENATE("Tab_",Tab_Calculs[[#This Row],[Colonne1]])),Tab_Calculs[[#This Row],[index_date_livraison]],6)*(1+MIN(Tab_Calculs[[#This Row],[Date_livraison]],Tab_Calculs[[#This Row],[fin mois]])-MAX(Tab_Calculs[[#This Row],[Début mois]],Tab_Calculs[[#This Row],[Début periode livraison]]))</f>
        <v>0</v>
      </c>
      <c r="M1481" s="94" t="e">
        <f ca="1">INDEX(INDIRECT(CONCATENATE("Tab_",Tab_Calculs[[#This Row],[Colonne1]])),Tab_Calculs[[#This Row],[index_date_livraison]]+1,6)*(Tab_Calculs[[#This Row],[fin mois]]-MIN(Tab_Calculs[[#This Row],[fin mois]],Tab_Calculs[[#This Row],[Date_livraison]]))</f>
        <v>#VALUE!</v>
      </c>
      <c r="N1481" s="231" t="str">
        <f ca="1">IFERROR(Tab_Calculs[[#This Row],[Ratio_jour_après_livr]]+Tab_Calculs[[#This Row],[Ratio_jour_avant_livr]]+Tab_Calculs[[#This Row],[ratio_avant_debut]],"")</f>
        <v/>
      </c>
      <c r="O1481" t="e">
        <f ca="1">INDEX(INDIRECT(CONCATENATE("Tab_",Tab_Calculs[[#This Row],[Colonne1]])),Tab_Calculs[[#This Row],[index_date_livraison]]-1,7)*(MAX(Tab_Calculs[[#This Row],[Début periode livraison]],Tab_Calculs[[#This Row],[Début mois]])-Tab_Calculs[[#This Row],[Début mois]])</f>
        <v>#VALUE!</v>
      </c>
      <c r="P1481">
        <f ca="1">INDEX(INDIRECT(CONCATENATE("Tab_",Tab_Calculs[[#This Row],[Colonne1]])),Tab_Calculs[[#This Row],[index_date_livraison]],7)*(1+MIN(Tab_Calculs[[#This Row],[Date_livraison]],Tab_Calculs[[#This Row],[fin mois]])-MAX(Tab_Calculs[[#This Row],[Début mois]],Tab_Calculs[[#This Row],[Début periode livraison]]))</f>
        <v>0</v>
      </c>
      <c r="Q1481" t="e">
        <f ca="1">INDEX(INDIRECT(CONCATENATE("Tab_",Tab_Calculs[[#This Row],[Colonne1]])),Tab_Calculs[[#This Row],[index_date_livraison]]+1,7)*(Tab_Calculs[[#This Row],[fin mois]]-MIN(Tab_Calculs[[#This Row],[fin mois]],Tab_Calculs[[#This Row],[Date_livraison]]))</f>
        <v>#VALUE!</v>
      </c>
      <c r="R1481" t="e">
        <f ca="1">Tab_Calculs[[#This Row],[Ratio_Cout_après_livr]]+Tab_Calculs[[#This Row],[Ratio_Cout_avant_livr]]+Tab_Calculs[[#This Row],[Ratio_Cout_avant_debut]]</f>
        <v>#VALUE!</v>
      </c>
      <c r="S1481" t="str">
        <f ca="1">IFERROR(N1481*VLOOKUP(Tab_Calculs[[#This Row],[Colonne1]],Controle_des_données!$B$7:$G$14,6,FALSE),"")</f>
        <v/>
      </c>
      <c r="T1481" t="str">
        <f ca="1">IF(Tab_Calculs[[#This Row],[Combustible ]]="Electricité (kWh)",Tab_Calculs[[#This Row],[Conso_mois_kWh]]*2.3,Tab_Calculs[[#This Row],[Conso_mois_kWh]])</f>
        <v/>
      </c>
      <c r="U1481" t="str">
        <f ca="1">IFERROR(N1481*VLOOKUP(Tab_Calculs[[#This Row],[Colonne1]],Controle_des_données!$B$7:$H$14,7,FALSE),"")</f>
        <v/>
      </c>
      <c r="V1481">
        <f ca="1">IFERROR(Tab_Calculs[[#This Row],[Cout_mois]]/Tab_Calculs[[#This Row],[Conso_mois_kWh]],0)</f>
        <v>0</v>
      </c>
      <c r="W1481" t="str">
        <f>T(VLOOKUP(Tab_Calculs[[#This Row],[Compteur]],Site!$B$33:$G$40,3,FALSE))</f>
        <v/>
      </c>
      <c r="X1481" t="str">
        <f>T(VLOOKUP(Tab_Calculs[[#This Row],[Compteur]],Site!$B$33:$G$40,4,FALSE))</f>
        <v/>
      </c>
      <c r="Y1481" t="str">
        <f>T(VLOOKUP(Tab_Calculs[[#This Row],[Compteur]],Site!$B$33:$G$40,5,FALSE))</f>
        <v/>
      </c>
      <c r="Z1481" t="str">
        <f>T(VLOOKUP(Tab_Calculs[[#This Row],[Compteur]],Site!$B$33:$G$40,6,FALSE))</f>
        <v/>
      </c>
      <c r="AA1481">
        <f>IFERROR(GETPIVOTDATA("DJU(chauffagiste)",BDD_DJU!$P$13,"annee",Tab_Calculs[[#This Row],[ANNEE]],"mois_numero",Tab_Calculs[[#This Row],[MOIS]]),0)</f>
        <v>56.6</v>
      </c>
    </row>
    <row r="1482" spans="1:27" x14ac:dyDescent="0.25">
      <c r="A1482" s="3">
        <f>DATE(Tab_Calculs[[#This Row],[ANNEE]],Tab_Calculs[[#This Row],[MOIS]],1)</f>
        <v>44105</v>
      </c>
      <c r="B1482" s="3">
        <f>EDATE(Tab_Calculs[[#This Row],[Début mois]],1)-1</f>
        <v>44135</v>
      </c>
      <c r="C1482">
        <f t="shared" si="50"/>
        <v>10</v>
      </c>
      <c r="D1482">
        <f t="shared" si="51"/>
        <v>2020</v>
      </c>
      <c r="E1482" t="s">
        <v>87</v>
      </c>
      <c r="F1482" t="str">
        <f>SUBSTITUTE(Tab_Calculs[[#This Row],[Compteur]]," ","_")</f>
        <v>Compteur_8</v>
      </c>
      <c r="G1482" t="str">
        <f>T(INDEX(Site!$B$33:$G$40, MATCH(Tab_Calculs[[#This Row],[Compteur]], Site!$B$33:$B$40,0),2))</f>
        <v/>
      </c>
      <c r="H1482" s="3">
        <f t="array" aca="1" ref="H1482" ca="1">MIN(IF(INDIRECT(CONCATENATE(Tab_Calculs[[#This Row],[Colonne1]],"!$B$2:$B$243"))&gt;=Calculs_Consos!$A1482,INDIRECT(CONCATENATE(Tab_Calculs[[#This Row],[Colonne1]],"!$B$2:$B$243"))))</f>
        <v>0</v>
      </c>
      <c r="I1482" s="3">
        <f ca="1">INDEX(INDIRECT(CONCATENATE("Tab_",Tab_Calculs[[#This Row],[Colonne1]])),Tab_Calculs[[#This Row],[index_date_livraison]],1)</f>
        <v>0</v>
      </c>
      <c r="J1482">
        <f ca="1">MATCH(Tab_Calculs[[#This Row],[Date_livraison]],INDIRECT(CONCATENATE("Tab_",Tab_Calculs[[#This Row],[Colonne1]],"[Fin de période]")),0)</f>
        <v>1</v>
      </c>
      <c r="K1482" t="e">
        <f ca="1">INDEX(INDIRECT(CONCATENATE("Tab_",Tab_Calculs[[#This Row],[Colonne1]])),Tab_Calculs[[#This Row],[index_date_livraison]]-1,6)*(MAX(Tab_Calculs[[#This Row],[Début periode livraison]],Tab_Calculs[[#This Row],[Début mois]])-Tab_Calculs[[#This Row],[Début mois]])</f>
        <v>#VALUE!</v>
      </c>
      <c r="L1482" s="94">
        <f ca="1">INDEX(INDIRECT(CONCATENATE("Tab_",Tab_Calculs[[#This Row],[Colonne1]])),Tab_Calculs[[#This Row],[index_date_livraison]],6)*(1+MIN(Tab_Calculs[[#This Row],[Date_livraison]],Tab_Calculs[[#This Row],[fin mois]])-MAX(Tab_Calculs[[#This Row],[Début mois]],Tab_Calculs[[#This Row],[Début periode livraison]]))</f>
        <v>0</v>
      </c>
      <c r="M1482" s="94" t="e">
        <f ca="1">INDEX(INDIRECT(CONCATENATE("Tab_",Tab_Calculs[[#This Row],[Colonne1]])),Tab_Calculs[[#This Row],[index_date_livraison]]+1,6)*(Tab_Calculs[[#This Row],[fin mois]]-MIN(Tab_Calculs[[#This Row],[fin mois]],Tab_Calculs[[#This Row],[Date_livraison]]))</f>
        <v>#VALUE!</v>
      </c>
      <c r="N1482" s="231" t="str">
        <f ca="1">IFERROR(Tab_Calculs[[#This Row],[Ratio_jour_après_livr]]+Tab_Calculs[[#This Row],[Ratio_jour_avant_livr]]+Tab_Calculs[[#This Row],[ratio_avant_debut]],"")</f>
        <v/>
      </c>
      <c r="O1482" t="e">
        <f ca="1">INDEX(INDIRECT(CONCATENATE("Tab_",Tab_Calculs[[#This Row],[Colonne1]])),Tab_Calculs[[#This Row],[index_date_livraison]]-1,7)*(MAX(Tab_Calculs[[#This Row],[Début periode livraison]],Tab_Calculs[[#This Row],[Début mois]])-Tab_Calculs[[#This Row],[Début mois]])</f>
        <v>#VALUE!</v>
      </c>
      <c r="P1482">
        <f ca="1">INDEX(INDIRECT(CONCATENATE("Tab_",Tab_Calculs[[#This Row],[Colonne1]])),Tab_Calculs[[#This Row],[index_date_livraison]],7)*(1+MIN(Tab_Calculs[[#This Row],[Date_livraison]],Tab_Calculs[[#This Row],[fin mois]])-MAX(Tab_Calculs[[#This Row],[Début mois]],Tab_Calculs[[#This Row],[Début periode livraison]]))</f>
        <v>0</v>
      </c>
      <c r="Q1482" t="e">
        <f ca="1">INDEX(INDIRECT(CONCATENATE("Tab_",Tab_Calculs[[#This Row],[Colonne1]])),Tab_Calculs[[#This Row],[index_date_livraison]]+1,7)*(Tab_Calculs[[#This Row],[fin mois]]-MIN(Tab_Calculs[[#This Row],[fin mois]],Tab_Calculs[[#This Row],[Date_livraison]]))</f>
        <v>#VALUE!</v>
      </c>
      <c r="R1482" t="e">
        <f ca="1">Tab_Calculs[[#This Row],[Ratio_Cout_après_livr]]+Tab_Calculs[[#This Row],[Ratio_Cout_avant_livr]]+Tab_Calculs[[#This Row],[Ratio_Cout_avant_debut]]</f>
        <v>#VALUE!</v>
      </c>
      <c r="S1482" t="str">
        <f ca="1">IFERROR(N1482*VLOOKUP(Tab_Calculs[[#This Row],[Colonne1]],Controle_des_données!$B$7:$G$14,6,FALSE),"")</f>
        <v/>
      </c>
      <c r="T1482" t="str">
        <f ca="1">IF(Tab_Calculs[[#This Row],[Combustible ]]="Electricité (kWh)",Tab_Calculs[[#This Row],[Conso_mois_kWh]]*2.3,Tab_Calculs[[#This Row],[Conso_mois_kWh]])</f>
        <v/>
      </c>
      <c r="U1482" t="str">
        <f ca="1">IFERROR(N1482*VLOOKUP(Tab_Calculs[[#This Row],[Colonne1]],Controle_des_données!$B$7:$H$14,7,FALSE),"")</f>
        <v/>
      </c>
      <c r="V1482">
        <f ca="1">IFERROR(Tab_Calculs[[#This Row],[Cout_mois]]/Tab_Calculs[[#This Row],[Conso_mois_kWh]],0)</f>
        <v>0</v>
      </c>
      <c r="W1482" t="str">
        <f>T(VLOOKUP(Tab_Calculs[[#This Row],[Compteur]],Site!$B$33:$G$40,3,FALSE))</f>
        <v/>
      </c>
      <c r="X1482" t="str">
        <f>T(VLOOKUP(Tab_Calculs[[#This Row],[Compteur]],Site!$B$33:$G$40,4,FALSE))</f>
        <v/>
      </c>
      <c r="Y1482" t="str">
        <f>T(VLOOKUP(Tab_Calculs[[#This Row],[Compteur]],Site!$B$33:$G$40,5,FALSE))</f>
        <v/>
      </c>
      <c r="Z1482" t="str">
        <f>T(VLOOKUP(Tab_Calculs[[#This Row],[Compteur]],Site!$B$33:$G$40,6,FALSE))</f>
        <v/>
      </c>
      <c r="AA1482">
        <f>IFERROR(GETPIVOTDATA("DJU(chauffagiste)",BDD_DJU!$P$13,"annee",Tab_Calculs[[#This Row],[ANNEE]],"mois_numero",Tab_Calculs[[#This Row],[MOIS]]),0)</f>
        <v>159.30000000000001</v>
      </c>
    </row>
    <row r="1483" spans="1:27" x14ac:dyDescent="0.25">
      <c r="A1483" s="3">
        <f>DATE(Tab_Calculs[[#This Row],[ANNEE]],Tab_Calculs[[#This Row],[MOIS]],1)</f>
        <v>44136</v>
      </c>
      <c r="B1483" s="3">
        <f>EDATE(Tab_Calculs[[#This Row],[Début mois]],1)-1</f>
        <v>44165</v>
      </c>
      <c r="C1483">
        <f t="shared" si="50"/>
        <v>11</v>
      </c>
      <c r="D1483">
        <f t="shared" si="51"/>
        <v>2020</v>
      </c>
      <c r="E1483" t="s">
        <v>87</v>
      </c>
      <c r="F1483" t="str">
        <f>SUBSTITUTE(Tab_Calculs[[#This Row],[Compteur]]," ","_")</f>
        <v>Compteur_8</v>
      </c>
      <c r="G1483" t="str">
        <f>T(INDEX(Site!$B$33:$G$40, MATCH(Tab_Calculs[[#This Row],[Compteur]], Site!$B$33:$B$40,0),2))</f>
        <v/>
      </c>
      <c r="H1483" s="3">
        <f t="array" aca="1" ref="H1483" ca="1">MIN(IF(INDIRECT(CONCATENATE(Tab_Calculs[[#This Row],[Colonne1]],"!$B$2:$B$243"))&gt;=Calculs_Consos!$A1483,INDIRECT(CONCATENATE(Tab_Calculs[[#This Row],[Colonne1]],"!$B$2:$B$243"))))</f>
        <v>0</v>
      </c>
      <c r="I1483" s="3">
        <f ca="1">INDEX(INDIRECT(CONCATENATE("Tab_",Tab_Calculs[[#This Row],[Colonne1]])),Tab_Calculs[[#This Row],[index_date_livraison]],1)</f>
        <v>0</v>
      </c>
      <c r="J1483">
        <f ca="1">MATCH(Tab_Calculs[[#This Row],[Date_livraison]],INDIRECT(CONCATENATE("Tab_",Tab_Calculs[[#This Row],[Colonne1]],"[Fin de période]")),0)</f>
        <v>1</v>
      </c>
      <c r="K1483" t="e">
        <f ca="1">INDEX(INDIRECT(CONCATENATE("Tab_",Tab_Calculs[[#This Row],[Colonne1]])),Tab_Calculs[[#This Row],[index_date_livraison]]-1,6)*(MAX(Tab_Calculs[[#This Row],[Début periode livraison]],Tab_Calculs[[#This Row],[Début mois]])-Tab_Calculs[[#This Row],[Début mois]])</f>
        <v>#VALUE!</v>
      </c>
      <c r="L1483" s="94">
        <f ca="1">INDEX(INDIRECT(CONCATENATE("Tab_",Tab_Calculs[[#This Row],[Colonne1]])),Tab_Calculs[[#This Row],[index_date_livraison]],6)*(1+MIN(Tab_Calculs[[#This Row],[Date_livraison]],Tab_Calculs[[#This Row],[fin mois]])-MAX(Tab_Calculs[[#This Row],[Début mois]],Tab_Calculs[[#This Row],[Début periode livraison]]))</f>
        <v>0</v>
      </c>
      <c r="M1483" s="94" t="e">
        <f ca="1">INDEX(INDIRECT(CONCATENATE("Tab_",Tab_Calculs[[#This Row],[Colonne1]])),Tab_Calculs[[#This Row],[index_date_livraison]]+1,6)*(Tab_Calculs[[#This Row],[fin mois]]-MIN(Tab_Calculs[[#This Row],[fin mois]],Tab_Calculs[[#This Row],[Date_livraison]]))</f>
        <v>#VALUE!</v>
      </c>
      <c r="N1483" s="231" t="str">
        <f ca="1">IFERROR(Tab_Calculs[[#This Row],[Ratio_jour_après_livr]]+Tab_Calculs[[#This Row],[Ratio_jour_avant_livr]]+Tab_Calculs[[#This Row],[ratio_avant_debut]],"")</f>
        <v/>
      </c>
      <c r="O1483" t="e">
        <f ca="1">INDEX(INDIRECT(CONCATENATE("Tab_",Tab_Calculs[[#This Row],[Colonne1]])),Tab_Calculs[[#This Row],[index_date_livraison]]-1,7)*(MAX(Tab_Calculs[[#This Row],[Début periode livraison]],Tab_Calculs[[#This Row],[Début mois]])-Tab_Calculs[[#This Row],[Début mois]])</f>
        <v>#VALUE!</v>
      </c>
      <c r="P1483">
        <f ca="1">INDEX(INDIRECT(CONCATENATE("Tab_",Tab_Calculs[[#This Row],[Colonne1]])),Tab_Calculs[[#This Row],[index_date_livraison]],7)*(1+MIN(Tab_Calculs[[#This Row],[Date_livraison]],Tab_Calculs[[#This Row],[fin mois]])-MAX(Tab_Calculs[[#This Row],[Début mois]],Tab_Calculs[[#This Row],[Début periode livraison]]))</f>
        <v>0</v>
      </c>
      <c r="Q1483" t="e">
        <f ca="1">INDEX(INDIRECT(CONCATENATE("Tab_",Tab_Calculs[[#This Row],[Colonne1]])),Tab_Calculs[[#This Row],[index_date_livraison]]+1,7)*(Tab_Calculs[[#This Row],[fin mois]]-MIN(Tab_Calculs[[#This Row],[fin mois]],Tab_Calculs[[#This Row],[Date_livraison]]))</f>
        <v>#VALUE!</v>
      </c>
      <c r="R1483" t="e">
        <f ca="1">Tab_Calculs[[#This Row],[Ratio_Cout_après_livr]]+Tab_Calculs[[#This Row],[Ratio_Cout_avant_livr]]+Tab_Calculs[[#This Row],[Ratio_Cout_avant_debut]]</f>
        <v>#VALUE!</v>
      </c>
      <c r="S1483" t="str">
        <f ca="1">IFERROR(N1483*VLOOKUP(Tab_Calculs[[#This Row],[Colonne1]],Controle_des_données!$B$7:$G$14,6,FALSE),"")</f>
        <v/>
      </c>
      <c r="T1483" t="str">
        <f ca="1">IF(Tab_Calculs[[#This Row],[Combustible ]]="Electricité (kWh)",Tab_Calculs[[#This Row],[Conso_mois_kWh]]*2.3,Tab_Calculs[[#This Row],[Conso_mois_kWh]])</f>
        <v/>
      </c>
      <c r="U1483" t="str">
        <f ca="1">IFERROR(N1483*VLOOKUP(Tab_Calculs[[#This Row],[Colonne1]],Controle_des_données!$B$7:$H$14,7,FALSE),"")</f>
        <v/>
      </c>
      <c r="V1483">
        <f ca="1">IFERROR(Tab_Calculs[[#This Row],[Cout_mois]]/Tab_Calculs[[#This Row],[Conso_mois_kWh]],0)</f>
        <v>0</v>
      </c>
      <c r="W1483" t="str">
        <f>T(VLOOKUP(Tab_Calculs[[#This Row],[Compteur]],Site!$B$33:$G$40,3,FALSE))</f>
        <v/>
      </c>
      <c r="X1483" t="str">
        <f>T(VLOOKUP(Tab_Calculs[[#This Row],[Compteur]],Site!$B$33:$G$40,4,FALSE))</f>
        <v/>
      </c>
      <c r="Y1483" t="str">
        <f>T(VLOOKUP(Tab_Calculs[[#This Row],[Compteur]],Site!$B$33:$G$40,5,FALSE))</f>
        <v/>
      </c>
      <c r="Z1483" t="str">
        <f>T(VLOOKUP(Tab_Calculs[[#This Row],[Compteur]],Site!$B$33:$G$40,6,FALSE))</f>
        <v/>
      </c>
      <c r="AA1483">
        <f>IFERROR(GETPIVOTDATA("DJU(chauffagiste)",BDD_DJU!$P$13,"annee",Tab_Calculs[[#This Row],[ANNEE]],"mois_numero",Tab_Calculs[[#This Row],[MOIS]]),0)</f>
        <v>237.3</v>
      </c>
    </row>
    <row r="1484" spans="1:27" x14ac:dyDescent="0.25">
      <c r="A1484" s="3">
        <f>DATE(Tab_Calculs[[#This Row],[ANNEE]],Tab_Calculs[[#This Row],[MOIS]],1)</f>
        <v>44166</v>
      </c>
      <c r="B1484" s="3">
        <f>EDATE(Tab_Calculs[[#This Row],[Début mois]],1)-1</f>
        <v>44196</v>
      </c>
      <c r="C1484">
        <f t="shared" si="50"/>
        <v>12</v>
      </c>
      <c r="D1484">
        <f t="shared" si="51"/>
        <v>2020</v>
      </c>
      <c r="E1484" t="s">
        <v>87</v>
      </c>
      <c r="F1484" t="str">
        <f>SUBSTITUTE(Tab_Calculs[[#This Row],[Compteur]]," ","_")</f>
        <v>Compteur_8</v>
      </c>
      <c r="G1484" t="str">
        <f>T(INDEX(Site!$B$33:$G$40, MATCH(Tab_Calculs[[#This Row],[Compteur]], Site!$B$33:$B$40,0),2))</f>
        <v/>
      </c>
      <c r="H1484" s="3">
        <f t="array" aca="1" ref="H1484" ca="1">MIN(IF(INDIRECT(CONCATENATE(Tab_Calculs[[#This Row],[Colonne1]],"!$B$2:$B$243"))&gt;=Calculs_Consos!$A1484,INDIRECT(CONCATENATE(Tab_Calculs[[#This Row],[Colonne1]],"!$B$2:$B$243"))))</f>
        <v>0</v>
      </c>
      <c r="I1484" s="3">
        <f ca="1">INDEX(INDIRECT(CONCATENATE("Tab_",Tab_Calculs[[#This Row],[Colonne1]])),Tab_Calculs[[#This Row],[index_date_livraison]],1)</f>
        <v>0</v>
      </c>
      <c r="J1484">
        <f ca="1">MATCH(Tab_Calculs[[#This Row],[Date_livraison]],INDIRECT(CONCATENATE("Tab_",Tab_Calculs[[#This Row],[Colonne1]],"[Fin de période]")),0)</f>
        <v>1</v>
      </c>
      <c r="K1484" t="e">
        <f ca="1">INDEX(INDIRECT(CONCATENATE("Tab_",Tab_Calculs[[#This Row],[Colonne1]])),Tab_Calculs[[#This Row],[index_date_livraison]]-1,6)*(MAX(Tab_Calculs[[#This Row],[Début periode livraison]],Tab_Calculs[[#This Row],[Début mois]])-Tab_Calculs[[#This Row],[Début mois]])</f>
        <v>#VALUE!</v>
      </c>
      <c r="L1484" s="94">
        <f ca="1">INDEX(INDIRECT(CONCATENATE("Tab_",Tab_Calculs[[#This Row],[Colonne1]])),Tab_Calculs[[#This Row],[index_date_livraison]],6)*(1+MIN(Tab_Calculs[[#This Row],[Date_livraison]],Tab_Calculs[[#This Row],[fin mois]])-MAX(Tab_Calculs[[#This Row],[Début mois]],Tab_Calculs[[#This Row],[Début periode livraison]]))</f>
        <v>0</v>
      </c>
      <c r="M1484" s="94" t="e">
        <f ca="1">INDEX(INDIRECT(CONCATENATE("Tab_",Tab_Calculs[[#This Row],[Colonne1]])),Tab_Calculs[[#This Row],[index_date_livraison]]+1,6)*(Tab_Calculs[[#This Row],[fin mois]]-MIN(Tab_Calculs[[#This Row],[fin mois]],Tab_Calculs[[#This Row],[Date_livraison]]))</f>
        <v>#VALUE!</v>
      </c>
      <c r="N1484" s="231" t="str">
        <f ca="1">IFERROR(Tab_Calculs[[#This Row],[Ratio_jour_après_livr]]+Tab_Calculs[[#This Row],[Ratio_jour_avant_livr]]+Tab_Calculs[[#This Row],[ratio_avant_debut]],"")</f>
        <v/>
      </c>
      <c r="O1484" t="e">
        <f ca="1">INDEX(INDIRECT(CONCATENATE("Tab_",Tab_Calculs[[#This Row],[Colonne1]])),Tab_Calculs[[#This Row],[index_date_livraison]]-1,7)*(MAX(Tab_Calculs[[#This Row],[Début periode livraison]],Tab_Calculs[[#This Row],[Début mois]])-Tab_Calculs[[#This Row],[Début mois]])</f>
        <v>#VALUE!</v>
      </c>
      <c r="P1484">
        <f ca="1">INDEX(INDIRECT(CONCATENATE("Tab_",Tab_Calculs[[#This Row],[Colonne1]])),Tab_Calculs[[#This Row],[index_date_livraison]],7)*(1+MIN(Tab_Calculs[[#This Row],[Date_livraison]],Tab_Calculs[[#This Row],[fin mois]])-MAX(Tab_Calculs[[#This Row],[Début mois]],Tab_Calculs[[#This Row],[Début periode livraison]]))</f>
        <v>0</v>
      </c>
      <c r="Q1484" t="e">
        <f ca="1">INDEX(INDIRECT(CONCATENATE("Tab_",Tab_Calculs[[#This Row],[Colonne1]])),Tab_Calculs[[#This Row],[index_date_livraison]]+1,7)*(Tab_Calculs[[#This Row],[fin mois]]-MIN(Tab_Calculs[[#This Row],[fin mois]],Tab_Calculs[[#This Row],[Date_livraison]]))</f>
        <v>#VALUE!</v>
      </c>
      <c r="R1484" t="e">
        <f ca="1">Tab_Calculs[[#This Row],[Ratio_Cout_après_livr]]+Tab_Calculs[[#This Row],[Ratio_Cout_avant_livr]]+Tab_Calculs[[#This Row],[Ratio_Cout_avant_debut]]</f>
        <v>#VALUE!</v>
      </c>
      <c r="S1484" t="str">
        <f ca="1">IFERROR(N1484*VLOOKUP(Tab_Calculs[[#This Row],[Colonne1]],Controle_des_données!$B$7:$G$14,6,FALSE),"")</f>
        <v/>
      </c>
      <c r="T1484" t="str">
        <f ca="1">IF(Tab_Calculs[[#This Row],[Combustible ]]="Electricité (kWh)",Tab_Calculs[[#This Row],[Conso_mois_kWh]]*2.3,Tab_Calculs[[#This Row],[Conso_mois_kWh]])</f>
        <v/>
      </c>
      <c r="U1484" t="str">
        <f ca="1">IFERROR(N1484*VLOOKUP(Tab_Calculs[[#This Row],[Colonne1]],Controle_des_données!$B$7:$H$14,7,FALSE),"")</f>
        <v/>
      </c>
      <c r="V1484">
        <f ca="1">IFERROR(Tab_Calculs[[#This Row],[Cout_mois]]/Tab_Calculs[[#This Row],[Conso_mois_kWh]],0)</f>
        <v>0</v>
      </c>
      <c r="W1484" t="str">
        <f>T(VLOOKUP(Tab_Calculs[[#This Row],[Compteur]],Site!$B$33:$G$40,3,FALSE))</f>
        <v/>
      </c>
      <c r="X1484" t="str">
        <f>T(VLOOKUP(Tab_Calculs[[#This Row],[Compteur]],Site!$B$33:$G$40,4,FALSE))</f>
        <v/>
      </c>
      <c r="Y1484" t="str">
        <f>T(VLOOKUP(Tab_Calculs[[#This Row],[Compteur]],Site!$B$33:$G$40,5,FALSE))</f>
        <v/>
      </c>
      <c r="Z1484" t="str">
        <f>T(VLOOKUP(Tab_Calculs[[#This Row],[Compteur]],Site!$B$33:$G$40,6,FALSE))</f>
        <v/>
      </c>
      <c r="AA1484">
        <f>IFERROR(GETPIVOTDATA("DJU(chauffagiste)",BDD_DJU!$P$13,"annee",Tab_Calculs[[#This Row],[ANNEE]],"mois_numero",Tab_Calculs[[#This Row],[MOIS]]),0)</f>
        <v>334.4</v>
      </c>
    </row>
    <row r="1485" spans="1:27" x14ac:dyDescent="0.25">
      <c r="A1485" s="3">
        <f>DATE(Tab_Calculs[[#This Row],[ANNEE]],Tab_Calculs[[#This Row],[MOIS]],1)</f>
        <v>44197</v>
      </c>
      <c r="B1485" s="3">
        <f>EDATE(Tab_Calculs[[#This Row],[Début mois]],1)-1</f>
        <v>44227</v>
      </c>
      <c r="C1485">
        <f t="shared" si="50"/>
        <v>1</v>
      </c>
      <c r="D1485">
        <f t="shared" si="51"/>
        <v>2021</v>
      </c>
      <c r="E1485" t="s">
        <v>87</v>
      </c>
      <c r="F1485" t="str">
        <f>SUBSTITUTE(Tab_Calculs[[#This Row],[Compteur]]," ","_")</f>
        <v>Compteur_8</v>
      </c>
      <c r="G1485" t="str">
        <f>T(INDEX(Site!$B$33:$G$40, MATCH(Tab_Calculs[[#This Row],[Compteur]], Site!$B$33:$B$40,0),2))</f>
        <v/>
      </c>
      <c r="H1485" s="3">
        <f t="array" aca="1" ref="H1485" ca="1">MIN(IF(INDIRECT(CONCATENATE(Tab_Calculs[[#This Row],[Colonne1]],"!$B$2:$B$243"))&gt;=Calculs_Consos!$A1485,INDIRECT(CONCATENATE(Tab_Calculs[[#This Row],[Colonne1]],"!$B$2:$B$243"))))</f>
        <v>0</v>
      </c>
      <c r="I1485" s="3">
        <f ca="1">INDEX(INDIRECT(CONCATENATE("Tab_",Tab_Calculs[[#This Row],[Colonne1]])),Tab_Calculs[[#This Row],[index_date_livraison]],1)</f>
        <v>0</v>
      </c>
      <c r="J1485">
        <f ca="1">MATCH(Tab_Calculs[[#This Row],[Date_livraison]],INDIRECT(CONCATENATE("Tab_",Tab_Calculs[[#This Row],[Colonne1]],"[Fin de période]")),0)</f>
        <v>1</v>
      </c>
      <c r="K1485" t="e">
        <f ca="1">INDEX(INDIRECT(CONCATENATE("Tab_",Tab_Calculs[[#This Row],[Colonne1]])),Tab_Calculs[[#This Row],[index_date_livraison]]-1,6)*(MAX(Tab_Calculs[[#This Row],[Début periode livraison]],Tab_Calculs[[#This Row],[Début mois]])-Tab_Calculs[[#This Row],[Début mois]])</f>
        <v>#VALUE!</v>
      </c>
      <c r="L1485" s="94">
        <f ca="1">INDEX(INDIRECT(CONCATENATE("Tab_",Tab_Calculs[[#This Row],[Colonne1]])),Tab_Calculs[[#This Row],[index_date_livraison]],6)*(1+MIN(Tab_Calculs[[#This Row],[Date_livraison]],Tab_Calculs[[#This Row],[fin mois]])-MAX(Tab_Calculs[[#This Row],[Début mois]],Tab_Calculs[[#This Row],[Début periode livraison]]))</f>
        <v>0</v>
      </c>
      <c r="M1485" s="94" t="e">
        <f ca="1">INDEX(INDIRECT(CONCATENATE("Tab_",Tab_Calculs[[#This Row],[Colonne1]])),Tab_Calculs[[#This Row],[index_date_livraison]]+1,6)*(Tab_Calculs[[#This Row],[fin mois]]-MIN(Tab_Calculs[[#This Row],[fin mois]],Tab_Calculs[[#This Row],[Date_livraison]]))</f>
        <v>#VALUE!</v>
      </c>
      <c r="N1485" s="231" t="str">
        <f ca="1">IFERROR(Tab_Calculs[[#This Row],[Ratio_jour_après_livr]]+Tab_Calculs[[#This Row],[Ratio_jour_avant_livr]]+Tab_Calculs[[#This Row],[ratio_avant_debut]],"")</f>
        <v/>
      </c>
      <c r="O1485" t="e">
        <f ca="1">INDEX(INDIRECT(CONCATENATE("Tab_",Tab_Calculs[[#This Row],[Colonne1]])),Tab_Calculs[[#This Row],[index_date_livraison]]-1,7)*(MAX(Tab_Calculs[[#This Row],[Début periode livraison]],Tab_Calculs[[#This Row],[Début mois]])-Tab_Calculs[[#This Row],[Début mois]])</f>
        <v>#VALUE!</v>
      </c>
      <c r="P1485">
        <f ca="1">INDEX(INDIRECT(CONCATENATE("Tab_",Tab_Calculs[[#This Row],[Colonne1]])),Tab_Calculs[[#This Row],[index_date_livraison]],7)*(1+MIN(Tab_Calculs[[#This Row],[Date_livraison]],Tab_Calculs[[#This Row],[fin mois]])-MAX(Tab_Calculs[[#This Row],[Début mois]],Tab_Calculs[[#This Row],[Début periode livraison]]))</f>
        <v>0</v>
      </c>
      <c r="Q1485" t="e">
        <f ca="1">INDEX(INDIRECT(CONCATENATE("Tab_",Tab_Calculs[[#This Row],[Colonne1]])),Tab_Calculs[[#This Row],[index_date_livraison]]+1,7)*(Tab_Calculs[[#This Row],[fin mois]]-MIN(Tab_Calculs[[#This Row],[fin mois]],Tab_Calculs[[#This Row],[Date_livraison]]))</f>
        <v>#VALUE!</v>
      </c>
      <c r="R1485" t="e">
        <f ca="1">Tab_Calculs[[#This Row],[Ratio_Cout_après_livr]]+Tab_Calculs[[#This Row],[Ratio_Cout_avant_livr]]+Tab_Calculs[[#This Row],[Ratio_Cout_avant_debut]]</f>
        <v>#VALUE!</v>
      </c>
      <c r="S1485" t="str">
        <f ca="1">IFERROR(N1485*VLOOKUP(Tab_Calculs[[#This Row],[Colonne1]],Controle_des_données!$B$7:$G$14,6,FALSE),"")</f>
        <v/>
      </c>
      <c r="T1485" t="str">
        <f ca="1">IF(Tab_Calculs[[#This Row],[Combustible ]]="Electricité (kWh)",Tab_Calculs[[#This Row],[Conso_mois_kWh]]*2.3,Tab_Calculs[[#This Row],[Conso_mois_kWh]])</f>
        <v/>
      </c>
      <c r="U1485" t="str">
        <f ca="1">IFERROR(N1485*VLOOKUP(Tab_Calculs[[#This Row],[Colonne1]],Controle_des_données!$B$7:$H$14,7,FALSE),"")</f>
        <v/>
      </c>
      <c r="V1485">
        <f ca="1">IFERROR(Tab_Calculs[[#This Row],[Cout_mois]]/Tab_Calculs[[#This Row],[Conso_mois_kWh]],0)</f>
        <v>0</v>
      </c>
      <c r="W1485" t="str">
        <f>T(VLOOKUP(Tab_Calculs[[#This Row],[Compteur]],Site!$B$33:$G$40,3,FALSE))</f>
        <v/>
      </c>
      <c r="X1485" t="str">
        <f>T(VLOOKUP(Tab_Calculs[[#This Row],[Compteur]],Site!$B$33:$G$40,4,FALSE))</f>
        <v/>
      </c>
      <c r="Y1485" t="str">
        <f>T(VLOOKUP(Tab_Calculs[[#This Row],[Compteur]],Site!$B$33:$G$40,5,FALSE))</f>
        <v/>
      </c>
      <c r="Z1485" t="str">
        <f>T(VLOOKUP(Tab_Calculs[[#This Row],[Compteur]],Site!$B$33:$G$40,6,FALSE))</f>
        <v/>
      </c>
      <c r="AA1485">
        <f>IFERROR(GETPIVOTDATA("DJU(chauffagiste)",BDD_DJU!$P$13,"annee",Tab_Calculs[[#This Row],[ANNEE]],"mois_numero",Tab_Calculs[[#This Row],[MOIS]]),0)</f>
        <v>380.1</v>
      </c>
    </row>
    <row r="1486" spans="1:27" x14ac:dyDescent="0.25">
      <c r="A1486" s="3">
        <f>DATE(Tab_Calculs[[#This Row],[ANNEE]],Tab_Calculs[[#This Row],[MOIS]],1)</f>
        <v>44228</v>
      </c>
      <c r="B1486" s="3">
        <f>EDATE(Tab_Calculs[[#This Row],[Début mois]],1)-1</f>
        <v>44255</v>
      </c>
      <c r="C1486">
        <f t="shared" si="50"/>
        <v>2</v>
      </c>
      <c r="D1486">
        <f t="shared" si="51"/>
        <v>2021</v>
      </c>
      <c r="E1486" t="s">
        <v>87</v>
      </c>
      <c r="F1486" t="str">
        <f>SUBSTITUTE(Tab_Calculs[[#This Row],[Compteur]]," ","_")</f>
        <v>Compteur_8</v>
      </c>
      <c r="G1486" t="str">
        <f>T(INDEX(Site!$B$33:$G$40, MATCH(Tab_Calculs[[#This Row],[Compteur]], Site!$B$33:$B$40,0),2))</f>
        <v/>
      </c>
      <c r="H1486" s="3">
        <f t="array" aca="1" ref="H1486" ca="1">MIN(IF(INDIRECT(CONCATENATE(Tab_Calculs[[#This Row],[Colonne1]],"!$B$2:$B$243"))&gt;=Calculs_Consos!$A1486,INDIRECT(CONCATENATE(Tab_Calculs[[#This Row],[Colonne1]],"!$B$2:$B$243"))))</f>
        <v>0</v>
      </c>
      <c r="I1486" s="3">
        <f ca="1">INDEX(INDIRECT(CONCATENATE("Tab_",Tab_Calculs[[#This Row],[Colonne1]])),Tab_Calculs[[#This Row],[index_date_livraison]],1)</f>
        <v>0</v>
      </c>
      <c r="J1486">
        <f ca="1">MATCH(Tab_Calculs[[#This Row],[Date_livraison]],INDIRECT(CONCATENATE("Tab_",Tab_Calculs[[#This Row],[Colonne1]],"[Fin de période]")),0)</f>
        <v>1</v>
      </c>
      <c r="K1486" t="e">
        <f ca="1">INDEX(INDIRECT(CONCATENATE("Tab_",Tab_Calculs[[#This Row],[Colonne1]])),Tab_Calculs[[#This Row],[index_date_livraison]]-1,6)*(MAX(Tab_Calculs[[#This Row],[Début periode livraison]],Tab_Calculs[[#This Row],[Début mois]])-Tab_Calculs[[#This Row],[Début mois]])</f>
        <v>#VALUE!</v>
      </c>
      <c r="L1486" s="94">
        <f ca="1">INDEX(INDIRECT(CONCATENATE("Tab_",Tab_Calculs[[#This Row],[Colonne1]])),Tab_Calculs[[#This Row],[index_date_livraison]],6)*(1+MIN(Tab_Calculs[[#This Row],[Date_livraison]],Tab_Calculs[[#This Row],[fin mois]])-MAX(Tab_Calculs[[#This Row],[Début mois]],Tab_Calculs[[#This Row],[Début periode livraison]]))</f>
        <v>0</v>
      </c>
      <c r="M1486" s="94" t="e">
        <f ca="1">INDEX(INDIRECT(CONCATENATE("Tab_",Tab_Calculs[[#This Row],[Colonne1]])),Tab_Calculs[[#This Row],[index_date_livraison]]+1,6)*(Tab_Calculs[[#This Row],[fin mois]]-MIN(Tab_Calculs[[#This Row],[fin mois]],Tab_Calculs[[#This Row],[Date_livraison]]))</f>
        <v>#VALUE!</v>
      </c>
      <c r="N1486" s="231" t="str">
        <f ca="1">IFERROR(Tab_Calculs[[#This Row],[Ratio_jour_après_livr]]+Tab_Calculs[[#This Row],[Ratio_jour_avant_livr]]+Tab_Calculs[[#This Row],[ratio_avant_debut]],"")</f>
        <v/>
      </c>
      <c r="O1486" t="e">
        <f ca="1">INDEX(INDIRECT(CONCATENATE("Tab_",Tab_Calculs[[#This Row],[Colonne1]])),Tab_Calculs[[#This Row],[index_date_livraison]]-1,7)*(MAX(Tab_Calculs[[#This Row],[Début periode livraison]],Tab_Calculs[[#This Row],[Début mois]])-Tab_Calculs[[#This Row],[Début mois]])</f>
        <v>#VALUE!</v>
      </c>
      <c r="P1486">
        <f ca="1">INDEX(INDIRECT(CONCATENATE("Tab_",Tab_Calculs[[#This Row],[Colonne1]])),Tab_Calculs[[#This Row],[index_date_livraison]],7)*(1+MIN(Tab_Calculs[[#This Row],[Date_livraison]],Tab_Calculs[[#This Row],[fin mois]])-MAX(Tab_Calculs[[#This Row],[Début mois]],Tab_Calculs[[#This Row],[Début periode livraison]]))</f>
        <v>0</v>
      </c>
      <c r="Q1486" t="e">
        <f ca="1">INDEX(INDIRECT(CONCATENATE("Tab_",Tab_Calculs[[#This Row],[Colonne1]])),Tab_Calculs[[#This Row],[index_date_livraison]]+1,7)*(Tab_Calculs[[#This Row],[fin mois]]-MIN(Tab_Calculs[[#This Row],[fin mois]],Tab_Calculs[[#This Row],[Date_livraison]]))</f>
        <v>#VALUE!</v>
      </c>
      <c r="R1486" t="e">
        <f ca="1">Tab_Calculs[[#This Row],[Ratio_Cout_après_livr]]+Tab_Calculs[[#This Row],[Ratio_Cout_avant_livr]]+Tab_Calculs[[#This Row],[Ratio_Cout_avant_debut]]</f>
        <v>#VALUE!</v>
      </c>
      <c r="S1486" t="str">
        <f ca="1">IFERROR(N1486*VLOOKUP(Tab_Calculs[[#This Row],[Colonne1]],Controle_des_données!$B$7:$G$14,6,FALSE),"")</f>
        <v/>
      </c>
      <c r="T1486" t="str">
        <f ca="1">IF(Tab_Calculs[[#This Row],[Combustible ]]="Electricité (kWh)",Tab_Calculs[[#This Row],[Conso_mois_kWh]]*2.3,Tab_Calculs[[#This Row],[Conso_mois_kWh]])</f>
        <v/>
      </c>
      <c r="U1486" t="str">
        <f ca="1">IFERROR(N1486*VLOOKUP(Tab_Calculs[[#This Row],[Colonne1]],Controle_des_données!$B$7:$H$14,7,FALSE),"")</f>
        <v/>
      </c>
      <c r="V1486">
        <f ca="1">IFERROR(Tab_Calculs[[#This Row],[Cout_mois]]/Tab_Calculs[[#This Row],[Conso_mois_kWh]],0)</f>
        <v>0</v>
      </c>
      <c r="W1486" t="str">
        <f>T(VLOOKUP(Tab_Calculs[[#This Row],[Compteur]],Site!$B$33:$G$40,3,FALSE))</f>
        <v/>
      </c>
      <c r="X1486" t="str">
        <f>T(VLOOKUP(Tab_Calculs[[#This Row],[Compteur]],Site!$B$33:$G$40,4,FALSE))</f>
        <v/>
      </c>
      <c r="Y1486" t="str">
        <f>T(VLOOKUP(Tab_Calculs[[#This Row],[Compteur]],Site!$B$33:$G$40,5,FALSE))</f>
        <v/>
      </c>
      <c r="Z1486" t="str">
        <f>T(VLOOKUP(Tab_Calculs[[#This Row],[Compteur]],Site!$B$33:$G$40,6,FALSE))</f>
        <v/>
      </c>
      <c r="AA1486">
        <f>IFERROR(GETPIVOTDATA("DJU(chauffagiste)",BDD_DJU!$P$13,"annee",Tab_Calculs[[#This Row],[ANNEE]],"mois_numero",Tab_Calculs[[#This Row],[MOIS]]),0)</f>
        <v>299.5</v>
      </c>
    </row>
    <row r="1487" spans="1:27" x14ac:dyDescent="0.25">
      <c r="A1487" s="3">
        <f>DATE(Tab_Calculs[[#This Row],[ANNEE]],Tab_Calculs[[#This Row],[MOIS]],1)</f>
        <v>44256</v>
      </c>
      <c r="B1487" s="3">
        <f>EDATE(Tab_Calculs[[#This Row],[Début mois]],1)-1</f>
        <v>44286</v>
      </c>
      <c r="C1487">
        <f t="shared" si="50"/>
        <v>3</v>
      </c>
      <c r="D1487">
        <f t="shared" si="51"/>
        <v>2021</v>
      </c>
      <c r="E1487" t="s">
        <v>87</v>
      </c>
      <c r="F1487" t="str">
        <f>SUBSTITUTE(Tab_Calculs[[#This Row],[Compteur]]," ","_")</f>
        <v>Compteur_8</v>
      </c>
      <c r="G1487" t="str">
        <f>T(INDEX(Site!$B$33:$G$40, MATCH(Tab_Calculs[[#This Row],[Compteur]], Site!$B$33:$B$40,0),2))</f>
        <v/>
      </c>
      <c r="H1487" s="3">
        <f t="array" aca="1" ref="H1487" ca="1">MIN(IF(INDIRECT(CONCATENATE(Tab_Calculs[[#This Row],[Colonne1]],"!$B$2:$B$243"))&gt;=Calculs_Consos!$A1487,INDIRECT(CONCATENATE(Tab_Calculs[[#This Row],[Colonne1]],"!$B$2:$B$243"))))</f>
        <v>0</v>
      </c>
      <c r="I1487" s="3">
        <f ca="1">INDEX(INDIRECT(CONCATENATE("Tab_",Tab_Calculs[[#This Row],[Colonne1]])),Tab_Calculs[[#This Row],[index_date_livraison]],1)</f>
        <v>0</v>
      </c>
      <c r="J1487">
        <f ca="1">MATCH(Tab_Calculs[[#This Row],[Date_livraison]],INDIRECT(CONCATENATE("Tab_",Tab_Calculs[[#This Row],[Colonne1]],"[Fin de période]")),0)</f>
        <v>1</v>
      </c>
      <c r="K1487" t="e">
        <f ca="1">INDEX(INDIRECT(CONCATENATE("Tab_",Tab_Calculs[[#This Row],[Colonne1]])),Tab_Calculs[[#This Row],[index_date_livraison]]-1,6)*(MAX(Tab_Calculs[[#This Row],[Début periode livraison]],Tab_Calculs[[#This Row],[Début mois]])-Tab_Calculs[[#This Row],[Début mois]])</f>
        <v>#VALUE!</v>
      </c>
      <c r="L1487" s="94">
        <f ca="1">INDEX(INDIRECT(CONCATENATE("Tab_",Tab_Calculs[[#This Row],[Colonne1]])),Tab_Calculs[[#This Row],[index_date_livraison]],6)*(1+MIN(Tab_Calculs[[#This Row],[Date_livraison]],Tab_Calculs[[#This Row],[fin mois]])-MAX(Tab_Calculs[[#This Row],[Début mois]],Tab_Calculs[[#This Row],[Début periode livraison]]))</f>
        <v>0</v>
      </c>
      <c r="M1487" s="94" t="e">
        <f ca="1">INDEX(INDIRECT(CONCATENATE("Tab_",Tab_Calculs[[#This Row],[Colonne1]])),Tab_Calculs[[#This Row],[index_date_livraison]]+1,6)*(Tab_Calculs[[#This Row],[fin mois]]-MIN(Tab_Calculs[[#This Row],[fin mois]],Tab_Calculs[[#This Row],[Date_livraison]]))</f>
        <v>#VALUE!</v>
      </c>
      <c r="N1487" s="231" t="str">
        <f ca="1">IFERROR(Tab_Calculs[[#This Row],[Ratio_jour_après_livr]]+Tab_Calculs[[#This Row],[Ratio_jour_avant_livr]]+Tab_Calculs[[#This Row],[ratio_avant_debut]],"")</f>
        <v/>
      </c>
      <c r="O1487" t="e">
        <f ca="1">INDEX(INDIRECT(CONCATENATE("Tab_",Tab_Calculs[[#This Row],[Colonne1]])),Tab_Calculs[[#This Row],[index_date_livraison]]-1,7)*(MAX(Tab_Calculs[[#This Row],[Début periode livraison]],Tab_Calculs[[#This Row],[Début mois]])-Tab_Calculs[[#This Row],[Début mois]])</f>
        <v>#VALUE!</v>
      </c>
      <c r="P1487">
        <f ca="1">INDEX(INDIRECT(CONCATENATE("Tab_",Tab_Calculs[[#This Row],[Colonne1]])),Tab_Calculs[[#This Row],[index_date_livraison]],7)*(1+MIN(Tab_Calculs[[#This Row],[Date_livraison]],Tab_Calculs[[#This Row],[fin mois]])-MAX(Tab_Calculs[[#This Row],[Début mois]],Tab_Calculs[[#This Row],[Début periode livraison]]))</f>
        <v>0</v>
      </c>
      <c r="Q1487" t="e">
        <f ca="1">INDEX(INDIRECT(CONCATENATE("Tab_",Tab_Calculs[[#This Row],[Colonne1]])),Tab_Calculs[[#This Row],[index_date_livraison]]+1,7)*(Tab_Calculs[[#This Row],[fin mois]]-MIN(Tab_Calculs[[#This Row],[fin mois]],Tab_Calculs[[#This Row],[Date_livraison]]))</f>
        <v>#VALUE!</v>
      </c>
      <c r="R1487" t="e">
        <f ca="1">Tab_Calculs[[#This Row],[Ratio_Cout_après_livr]]+Tab_Calculs[[#This Row],[Ratio_Cout_avant_livr]]+Tab_Calculs[[#This Row],[Ratio_Cout_avant_debut]]</f>
        <v>#VALUE!</v>
      </c>
      <c r="S1487" t="str">
        <f ca="1">IFERROR(N1487*VLOOKUP(Tab_Calculs[[#This Row],[Colonne1]],Controle_des_données!$B$7:$G$14,6,FALSE),"")</f>
        <v/>
      </c>
      <c r="T1487" t="str">
        <f ca="1">IF(Tab_Calculs[[#This Row],[Combustible ]]="Electricité (kWh)",Tab_Calculs[[#This Row],[Conso_mois_kWh]]*2.3,Tab_Calculs[[#This Row],[Conso_mois_kWh]])</f>
        <v/>
      </c>
      <c r="U1487" t="str">
        <f ca="1">IFERROR(N1487*VLOOKUP(Tab_Calculs[[#This Row],[Colonne1]],Controle_des_données!$B$7:$H$14,7,FALSE),"")</f>
        <v/>
      </c>
      <c r="V1487">
        <f ca="1">IFERROR(Tab_Calculs[[#This Row],[Cout_mois]]/Tab_Calculs[[#This Row],[Conso_mois_kWh]],0)</f>
        <v>0</v>
      </c>
      <c r="W1487" t="str">
        <f>T(VLOOKUP(Tab_Calculs[[#This Row],[Compteur]],Site!$B$33:$G$40,3,FALSE))</f>
        <v/>
      </c>
      <c r="X1487" t="str">
        <f>T(VLOOKUP(Tab_Calculs[[#This Row],[Compteur]],Site!$B$33:$G$40,4,FALSE))</f>
        <v/>
      </c>
      <c r="Y1487" t="str">
        <f>T(VLOOKUP(Tab_Calculs[[#This Row],[Compteur]],Site!$B$33:$G$40,5,FALSE))</f>
        <v/>
      </c>
      <c r="Z1487" t="str">
        <f>T(VLOOKUP(Tab_Calculs[[#This Row],[Compteur]],Site!$B$33:$G$40,6,FALSE))</f>
        <v/>
      </c>
      <c r="AA1487">
        <f>IFERROR(GETPIVOTDATA("DJU(chauffagiste)",BDD_DJU!$P$13,"annee",Tab_Calculs[[#This Row],[ANNEE]],"mois_numero",Tab_Calculs[[#This Row],[MOIS]]),0)</f>
        <v>303.89999999999998</v>
      </c>
    </row>
    <row r="1488" spans="1:27" x14ac:dyDescent="0.25">
      <c r="A1488" s="3">
        <f>DATE(Tab_Calculs[[#This Row],[ANNEE]],Tab_Calculs[[#This Row],[MOIS]],1)</f>
        <v>44287</v>
      </c>
      <c r="B1488" s="3">
        <f>EDATE(Tab_Calculs[[#This Row],[Début mois]],1)-1</f>
        <v>44316</v>
      </c>
      <c r="C1488">
        <f t="shared" si="50"/>
        <v>4</v>
      </c>
      <c r="D1488">
        <f t="shared" si="51"/>
        <v>2021</v>
      </c>
      <c r="E1488" t="s">
        <v>87</v>
      </c>
      <c r="F1488" t="str">
        <f>SUBSTITUTE(Tab_Calculs[[#This Row],[Compteur]]," ","_")</f>
        <v>Compteur_8</v>
      </c>
      <c r="G1488" t="str">
        <f>T(INDEX(Site!$B$33:$G$40, MATCH(Tab_Calculs[[#This Row],[Compteur]], Site!$B$33:$B$40,0),2))</f>
        <v/>
      </c>
      <c r="H1488" s="3">
        <f t="array" aca="1" ref="H1488" ca="1">MIN(IF(INDIRECT(CONCATENATE(Tab_Calculs[[#This Row],[Colonne1]],"!$B$2:$B$243"))&gt;=Calculs_Consos!$A1488,INDIRECT(CONCATENATE(Tab_Calculs[[#This Row],[Colonne1]],"!$B$2:$B$243"))))</f>
        <v>0</v>
      </c>
      <c r="I1488" s="3">
        <f ca="1">INDEX(INDIRECT(CONCATENATE("Tab_",Tab_Calculs[[#This Row],[Colonne1]])),Tab_Calculs[[#This Row],[index_date_livraison]],1)</f>
        <v>0</v>
      </c>
      <c r="J1488">
        <f ca="1">MATCH(Tab_Calculs[[#This Row],[Date_livraison]],INDIRECT(CONCATENATE("Tab_",Tab_Calculs[[#This Row],[Colonne1]],"[Fin de période]")),0)</f>
        <v>1</v>
      </c>
      <c r="K1488" t="e">
        <f ca="1">INDEX(INDIRECT(CONCATENATE("Tab_",Tab_Calculs[[#This Row],[Colonne1]])),Tab_Calculs[[#This Row],[index_date_livraison]]-1,6)*(MAX(Tab_Calculs[[#This Row],[Début periode livraison]],Tab_Calculs[[#This Row],[Début mois]])-Tab_Calculs[[#This Row],[Début mois]])</f>
        <v>#VALUE!</v>
      </c>
      <c r="L1488" s="94">
        <f ca="1">INDEX(INDIRECT(CONCATENATE("Tab_",Tab_Calculs[[#This Row],[Colonne1]])),Tab_Calculs[[#This Row],[index_date_livraison]],6)*(1+MIN(Tab_Calculs[[#This Row],[Date_livraison]],Tab_Calculs[[#This Row],[fin mois]])-MAX(Tab_Calculs[[#This Row],[Début mois]],Tab_Calculs[[#This Row],[Début periode livraison]]))</f>
        <v>0</v>
      </c>
      <c r="M1488" s="94" t="e">
        <f ca="1">INDEX(INDIRECT(CONCATENATE("Tab_",Tab_Calculs[[#This Row],[Colonne1]])),Tab_Calculs[[#This Row],[index_date_livraison]]+1,6)*(Tab_Calculs[[#This Row],[fin mois]]-MIN(Tab_Calculs[[#This Row],[fin mois]],Tab_Calculs[[#This Row],[Date_livraison]]))</f>
        <v>#VALUE!</v>
      </c>
      <c r="N1488" s="231" t="str">
        <f ca="1">IFERROR(Tab_Calculs[[#This Row],[Ratio_jour_après_livr]]+Tab_Calculs[[#This Row],[Ratio_jour_avant_livr]]+Tab_Calculs[[#This Row],[ratio_avant_debut]],"")</f>
        <v/>
      </c>
      <c r="O1488" t="e">
        <f ca="1">INDEX(INDIRECT(CONCATENATE("Tab_",Tab_Calculs[[#This Row],[Colonne1]])),Tab_Calculs[[#This Row],[index_date_livraison]]-1,7)*(MAX(Tab_Calculs[[#This Row],[Début periode livraison]],Tab_Calculs[[#This Row],[Début mois]])-Tab_Calculs[[#This Row],[Début mois]])</f>
        <v>#VALUE!</v>
      </c>
      <c r="P1488">
        <f ca="1">INDEX(INDIRECT(CONCATENATE("Tab_",Tab_Calculs[[#This Row],[Colonne1]])),Tab_Calculs[[#This Row],[index_date_livraison]],7)*(1+MIN(Tab_Calculs[[#This Row],[Date_livraison]],Tab_Calculs[[#This Row],[fin mois]])-MAX(Tab_Calculs[[#This Row],[Début mois]],Tab_Calculs[[#This Row],[Début periode livraison]]))</f>
        <v>0</v>
      </c>
      <c r="Q1488" t="e">
        <f ca="1">INDEX(INDIRECT(CONCATENATE("Tab_",Tab_Calculs[[#This Row],[Colonne1]])),Tab_Calculs[[#This Row],[index_date_livraison]]+1,7)*(Tab_Calculs[[#This Row],[fin mois]]-MIN(Tab_Calculs[[#This Row],[fin mois]],Tab_Calculs[[#This Row],[Date_livraison]]))</f>
        <v>#VALUE!</v>
      </c>
      <c r="R1488" t="e">
        <f ca="1">Tab_Calculs[[#This Row],[Ratio_Cout_après_livr]]+Tab_Calculs[[#This Row],[Ratio_Cout_avant_livr]]+Tab_Calculs[[#This Row],[Ratio_Cout_avant_debut]]</f>
        <v>#VALUE!</v>
      </c>
      <c r="S1488" t="str">
        <f ca="1">IFERROR(N1488*VLOOKUP(Tab_Calculs[[#This Row],[Colonne1]],Controle_des_données!$B$7:$G$14,6,FALSE),"")</f>
        <v/>
      </c>
      <c r="T1488" t="str">
        <f ca="1">IF(Tab_Calculs[[#This Row],[Combustible ]]="Electricité (kWh)",Tab_Calculs[[#This Row],[Conso_mois_kWh]]*2.3,Tab_Calculs[[#This Row],[Conso_mois_kWh]])</f>
        <v/>
      </c>
      <c r="U1488" t="str">
        <f ca="1">IFERROR(N1488*VLOOKUP(Tab_Calculs[[#This Row],[Colonne1]],Controle_des_données!$B$7:$H$14,7,FALSE),"")</f>
        <v/>
      </c>
      <c r="V1488">
        <f ca="1">IFERROR(Tab_Calculs[[#This Row],[Cout_mois]]/Tab_Calculs[[#This Row],[Conso_mois_kWh]],0)</f>
        <v>0</v>
      </c>
      <c r="W1488" t="str">
        <f>T(VLOOKUP(Tab_Calculs[[#This Row],[Compteur]],Site!$B$33:$G$40,3,FALSE))</f>
        <v/>
      </c>
      <c r="X1488" t="str">
        <f>T(VLOOKUP(Tab_Calculs[[#This Row],[Compteur]],Site!$B$33:$G$40,4,FALSE))</f>
        <v/>
      </c>
      <c r="Y1488" t="str">
        <f>T(VLOOKUP(Tab_Calculs[[#This Row],[Compteur]],Site!$B$33:$G$40,5,FALSE))</f>
        <v/>
      </c>
      <c r="Z1488" t="str">
        <f>T(VLOOKUP(Tab_Calculs[[#This Row],[Compteur]],Site!$B$33:$G$40,6,FALSE))</f>
        <v/>
      </c>
      <c r="AA1488">
        <f>IFERROR(GETPIVOTDATA("DJU(chauffagiste)",BDD_DJU!$P$13,"annee",Tab_Calculs[[#This Row],[ANNEE]],"mois_numero",Tab_Calculs[[#This Row],[MOIS]]),0)</f>
        <v>242.8</v>
      </c>
    </row>
    <row r="1489" spans="1:27" x14ac:dyDescent="0.25">
      <c r="A1489" s="3">
        <f>DATE(Tab_Calculs[[#This Row],[ANNEE]],Tab_Calculs[[#This Row],[MOIS]],1)</f>
        <v>44317</v>
      </c>
      <c r="B1489" s="3">
        <f>EDATE(Tab_Calculs[[#This Row],[Début mois]],1)-1</f>
        <v>44347</v>
      </c>
      <c r="C1489">
        <f t="shared" si="50"/>
        <v>5</v>
      </c>
      <c r="D1489">
        <f t="shared" si="51"/>
        <v>2021</v>
      </c>
      <c r="E1489" t="s">
        <v>87</v>
      </c>
      <c r="F1489" t="str">
        <f>SUBSTITUTE(Tab_Calculs[[#This Row],[Compteur]]," ","_")</f>
        <v>Compteur_8</v>
      </c>
      <c r="G1489" t="str">
        <f>T(INDEX(Site!$B$33:$G$40, MATCH(Tab_Calculs[[#This Row],[Compteur]], Site!$B$33:$B$40,0),2))</f>
        <v/>
      </c>
      <c r="H1489" s="3">
        <f t="array" aca="1" ref="H1489" ca="1">MIN(IF(INDIRECT(CONCATENATE(Tab_Calculs[[#This Row],[Colonne1]],"!$B$2:$B$243"))&gt;=Calculs_Consos!$A1489,INDIRECT(CONCATENATE(Tab_Calculs[[#This Row],[Colonne1]],"!$B$2:$B$243"))))</f>
        <v>0</v>
      </c>
      <c r="I1489" s="3">
        <f ca="1">INDEX(INDIRECT(CONCATENATE("Tab_",Tab_Calculs[[#This Row],[Colonne1]])),Tab_Calculs[[#This Row],[index_date_livraison]],1)</f>
        <v>0</v>
      </c>
      <c r="J1489">
        <f ca="1">MATCH(Tab_Calculs[[#This Row],[Date_livraison]],INDIRECT(CONCATENATE("Tab_",Tab_Calculs[[#This Row],[Colonne1]],"[Fin de période]")),0)</f>
        <v>1</v>
      </c>
      <c r="K1489" t="e">
        <f ca="1">INDEX(INDIRECT(CONCATENATE("Tab_",Tab_Calculs[[#This Row],[Colonne1]])),Tab_Calculs[[#This Row],[index_date_livraison]]-1,6)*(MAX(Tab_Calculs[[#This Row],[Début periode livraison]],Tab_Calculs[[#This Row],[Début mois]])-Tab_Calculs[[#This Row],[Début mois]])</f>
        <v>#VALUE!</v>
      </c>
      <c r="L1489" s="94">
        <f ca="1">INDEX(INDIRECT(CONCATENATE("Tab_",Tab_Calculs[[#This Row],[Colonne1]])),Tab_Calculs[[#This Row],[index_date_livraison]],6)*(1+MIN(Tab_Calculs[[#This Row],[Date_livraison]],Tab_Calculs[[#This Row],[fin mois]])-MAX(Tab_Calculs[[#This Row],[Début mois]],Tab_Calculs[[#This Row],[Début periode livraison]]))</f>
        <v>0</v>
      </c>
      <c r="M1489" s="94" t="e">
        <f ca="1">INDEX(INDIRECT(CONCATENATE("Tab_",Tab_Calculs[[#This Row],[Colonne1]])),Tab_Calculs[[#This Row],[index_date_livraison]]+1,6)*(Tab_Calculs[[#This Row],[fin mois]]-MIN(Tab_Calculs[[#This Row],[fin mois]],Tab_Calculs[[#This Row],[Date_livraison]]))</f>
        <v>#VALUE!</v>
      </c>
      <c r="N1489" s="231" t="str">
        <f ca="1">IFERROR(Tab_Calculs[[#This Row],[Ratio_jour_après_livr]]+Tab_Calculs[[#This Row],[Ratio_jour_avant_livr]]+Tab_Calculs[[#This Row],[ratio_avant_debut]],"")</f>
        <v/>
      </c>
      <c r="O1489" t="e">
        <f ca="1">INDEX(INDIRECT(CONCATENATE("Tab_",Tab_Calculs[[#This Row],[Colonne1]])),Tab_Calculs[[#This Row],[index_date_livraison]]-1,7)*(MAX(Tab_Calculs[[#This Row],[Début periode livraison]],Tab_Calculs[[#This Row],[Début mois]])-Tab_Calculs[[#This Row],[Début mois]])</f>
        <v>#VALUE!</v>
      </c>
      <c r="P1489">
        <f ca="1">INDEX(INDIRECT(CONCATENATE("Tab_",Tab_Calculs[[#This Row],[Colonne1]])),Tab_Calculs[[#This Row],[index_date_livraison]],7)*(1+MIN(Tab_Calculs[[#This Row],[Date_livraison]],Tab_Calculs[[#This Row],[fin mois]])-MAX(Tab_Calculs[[#This Row],[Début mois]],Tab_Calculs[[#This Row],[Début periode livraison]]))</f>
        <v>0</v>
      </c>
      <c r="Q1489" t="e">
        <f ca="1">INDEX(INDIRECT(CONCATENATE("Tab_",Tab_Calculs[[#This Row],[Colonne1]])),Tab_Calculs[[#This Row],[index_date_livraison]]+1,7)*(Tab_Calculs[[#This Row],[fin mois]]-MIN(Tab_Calculs[[#This Row],[fin mois]],Tab_Calculs[[#This Row],[Date_livraison]]))</f>
        <v>#VALUE!</v>
      </c>
      <c r="R1489" t="e">
        <f ca="1">Tab_Calculs[[#This Row],[Ratio_Cout_après_livr]]+Tab_Calculs[[#This Row],[Ratio_Cout_avant_livr]]+Tab_Calculs[[#This Row],[Ratio_Cout_avant_debut]]</f>
        <v>#VALUE!</v>
      </c>
      <c r="S1489" t="str">
        <f ca="1">IFERROR(N1489*VLOOKUP(Tab_Calculs[[#This Row],[Colonne1]],Controle_des_données!$B$7:$G$14,6,FALSE),"")</f>
        <v/>
      </c>
      <c r="T1489" t="str">
        <f ca="1">IF(Tab_Calculs[[#This Row],[Combustible ]]="Electricité (kWh)",Tab_Calculs[[#This Row],[Conso_mois_kWh]]*2.3,Tab_Calculs[[#This Row],[Conso_mois_kWh]])</f>
        <v/>
      </c>
      <c r="U1489" t="str">
        <f ca="1">IFERROR(N1489*VLOOKUP(Tab_Calculs[[#This Row],[Colonne1]],Controle_des_données!$B$7:$H$14,7,FALSE),"")</f>
        <v/>
      </c>
      <c r="V1489">
        <f ca="1">IFERROR(Tab_Calculs[[#This Row],[Cout_mois]]/Tab_Calculs[[#This Row],[Conso_mois_kWh]],0)</f>
        <v>0</v>
      </c>
      <c r="W1489" t="str">
        <f>T(VLOOKUP(Tab_Calculs[[#This Row],[Compteur]],Site!$B$33:$G$40,3,FALSE))</f>
        <v/>
      </c>
      <c r="X1489" t="str">
        <f>T(VLOOKUP(Tab_Calculs[[#This Row],[Compteur]],Site!$B$33:$G$40,4,FALSE))</f>
        <v/>
      </c>
      <c r="Y1489" t="str">
        <f>T(VLOOKUP(Tab_Calculs[[#This Row],[Compteur]],Site!$B$33:$G$40,5,FALSE))</f>
        <v/>
      </c>
      <c r="Z1489" t="str">
        <f>T(VLOOKUP(Tab_Calculs[[#This Row],[Compteur]],Site!$B$33:$G$40,6,FALSE))</f>
        <v/>
      </c>
      <c r="AA1489">
        <f>IFERROR(GETPIVOTDATA("DJU(chauffagiste)",BDD_DJU!$P$13,"annee",Tab_Calculs[[#This Row],[ANNEE]],"mois_numero",Tab_Calculs[[#This Row],[MOIS]]),0)</f>
        <v>159.4</v>
      </c>
    </row>
    <row r="1490" spans="1:27" x14ac:dyDescent="0.25">
      <c r="A1490" s="3">
        <f>DATE(Tab_Calculs[[#This Row],[ANNEE]],Tab_Calculs[[#This Row],[MOIS]],1)</f>
        <v>44348</v>
      </c>
      <c r="B1490" s="3">
        <f>EDATE(Tab_Calculs[[#This Row],[Début mois]],1)-1</f>
        <v>44377</v>
      </c>
      <c r="C1490">
        <f t="shared" ref="C1490:C1544" si="52">C1478</f>
        <v>6</v>
      </c>
      <c r="D1490">
        <f t="shared" si="51"/>
        <v>2021</v>
      </c>
      <c r="E1490" t="s">
        <v>87</v>
      </c>
      <c r="F1490" t="str">
        <f>SUBSTITUTE(Tab_Calculs[[#This Row],[Compteur]]," ","_")</f>
        <v>Compteur_8</v>
      </c>
      <c r="G1490" t="str">
        <f>T(INDEX(Site!$B$33:$G$40, MATCH(Tab_Calculs[[#This Row],[Compteur]], Site!$B$33:$B$40,0),2))</f>
        <v/>
      </c>
      <c r="H1490" s="3">
        <f t="array" aca="1" ref="H1490" ca="1">MIN(IF(INDIRECT(CONCATENATE(Tab_Calculs[[#This Row],[Colonne1]],"!$B$2:$B$243"))&gt;=Calculs_Consos!$A1490,INDIRECT(CONCATENATE(Tab_Calculs[[#This Row],[Colonne1]],"!$B$2:$B$243"))))</f>
        <v>0</v>
      </c>
      <c r="I1490" s="3">
        <f ca="1">INDEX(INDIRECT(CONCATENATE("Tab_",Tab_Calculs[[#This Row],[Colonne1]])),Tab_Calculs[[#This Row],[index_date_livraison]],1)</f>
        <v>0</v>
      </c>
      <c r="J1490">
        <f ca="1">MATCH(Tab_Calculs[[#This Row],[Date_livraison]],INDIRECT(CONCATENATE("Tab_",Tab_Calculs[[#This Row],[Colonne1]],"[Fin de période]")),0)</f>
        <v>1</v>
      </c>
      <c r="K1490" t="e">
        <f ca="1">INDEX(INDIRECT(CONCATENATE("Tab_",Tab_Calculs[[#This Row],[Colonne1]])),Tab_Calculs[[#This Row],[index_date_livraison]]-1,6)*(MAX(Tab_Calculs[[#This Row],[Début periode livraison]],Tab_Calculs[[#This Row],[Début mois]])-Tab_Calculs[[#This Row],[Début mois]])</f>
        <v>#VALUE!</v>
      </c>
      <c r="L1490" s="94">
        <f ca="1">INDEX(INDIRECT(CONCATENATE("Tab_",Tab_Calculs[[#This Row],[Colonne1]])),Tab_Calculs[[#This Row],[index_date_livraison]],6)*(1+MIN(Tab_Calculs[[#This Row],[Date_livraison]],Tab_Calculs[[#This Row],[fin mois]])-MAX(Tab_Calculs[[#This Row],[Début mois]],Tab_Calculs[[#This Row],[Début periode livraison]]))</f>
        <v>0</v>
      </c>
      <c r="M1490" s="94" t="e">
        <f ca="1">INDEX(INDIRECT(CONCATENATE("Tab_",Tab_Calculs[[#This Row],[Colonne1]])),Tab_Calculs[[#This Row],[index_date_livraison]]+1,6)*(Tab_Calculs[[#This Row],[fin mois]]-MIN(Tab_Calculs[[#This Row],[fin mois]],Tab_Calculs[[#This Row],[Date_livraison]]))</f>
        <v>#VALUE!</v>
      </c>
      <c r="N1490" s="231" t="str">
        <f ca="1">IFERROR(Tab_Calculs[[#This Row],[Ratio_jour_après_livr]]+Tab_Calculs[[#This Row],[Ratio_jour_avant_livr]]+Tab_Calculs[[#This Row],[ratio_avant_debut]],"")</f>
        <v/>
      </c>
      <c r="O1490" t="e">
        <f ca="1">INDEX(INDIRECT(CONCATENATE("Tab_",Tab_Calculs[[#This Row],[Colonne1]])),Tab_Calculs[[#This Row],[index_date_livraison]]-1,7)*(MAX(Tab_Calculs[[#This Row],[Début periode livraison]],Tab_Calculs[[#This Row],[Début mois]])-Tab_Calculs[[#This Row],[Début mois]])</f>
        <v>#VALUE!</v>
      </c>
      <c r="P1490">
        <f ca="1">INDEX(INDIRECT(CONCATENATE("Tab_",Tab_Calculs[[#This Row],[Colonne1]])),Tab_Calculs[[#This Row],[index_date_livraison]],7)*(1+MIN(Tab_Calculs[[#This Row],[Date_livraison]],Tab_Calculs[[#This Row],[fin mois]])-MAX(Tab_Calculs[[#This Row],[Début mois]],Tab_Calculs[[#This Row],[Début periode livraison]]))</f>
        <v>0</v>
      </c>
      <c r="Q1490" t="e">
        <f ca="1">INDEX(INDIRECT(CONCATENATE("Tab_",Tab_Calculs[[#This Row],[Colonne1]])),Tab_Calculs[[#This Row],[index_date_livraison]]+1,7)*(Tab_Calculs[[#This Row],[fin mois]]-MIN(Tab_Calculs[[#This Row],[fin mois]],Tab_Calculs[[#This Row],[Date_livraison]]))</f>
        <v>#VALUE!</v>
      </c>
      <c r="R1490" t="e">
        <f ca="1">Tab_Calculs[[#This Row],[Ratio_Cout_après_livr]]+Tab_Calculs[[#This Row],[Ratio_Cout_avant_livr]]+Tab_Calculs[[#This Row],[Ratio_Cout_avant_debut]]</f>
        <v>#VALUE!</v>
      </c>
      <c r="S1490" t="str">
        <f ca="1">IFERROR(N1490*VLOOKUP(Tab_Calculs[[#This Row],[Colonne1]],Controle_des_données!$B$7:$G$14,6,FALSE),"")</f>
        <v/>
      </c>
      <c r="T1490" t="str">
        <f ca="1">IF(Tab_Calculs[[#This Row],[Combustible ]]="Electricité (kWh)",Tab_Calculs[[#This Row],[Conso_mois_kWh]]*2.3,Tab_Calculs[[#This Row],[Conso_mois_kWh]])</f>
        <v/>
      </c>
      <c r="U1490" t="str">
        <f ca="1">IFERROR(N1490*VLOOKUP(Tab_Calculs[[#This Row],[Colonne1]],Controle_des_données!$B$7:$H$14,7,FALSE),"")</f>
        <v/>
      </c>
      <c r="V1490">
        <f ca="1">IFERROR(Tab_Calculs[[#This Row],[Cout_mois]]/Tab_Calculs[[#This Row],[Conso_mois_kWh]],0)</f>
        <v>0</v>
      </c>
      <c r="W1490" t="str">
        <f>T(VLOOKUP(Tab_Calculs[[#This Row],[Compteur]],Site!$B$33:$G$40,3,FALSE))</f>
        <v/>
      </c>
      <c r="X1490" t="str">
        <f>T(VLOOKUP(Tab_Calculs[[#This Row],[Compteur]],Site!$B$33:$G$40,4,FALSE))</f>
        <v/>
      </c>
      <c r="Y1490" t="str">
        <f>T(VLOOKUP(Tab_Calculs[[#This Row],[Compteur]],Site!$B$33:$G$40,5,FALSE))</f>
        <v/>
      </c>
      <c r="Z1490" t="str">
        <f>T(VLOOKUP(Tab_Calculs[[#This Row],[Compteur]],Site!$B$33:$G$40,6,FALSE))</f>
        <v/>
      </c>
      <c r="AA1490">
        <f>IFERROR(GETPIVOTDATA("DJU(chauffagiste)",BDD_DJU!$P$13,"annee",Tab_Calculs[[#This Row],[ANNEE]],"mois_numero",Tab_Calculs[[#This Row],[MOIS]]),0)</f>
        <v>29.9</v>
      </c>
    </row>
    <row r="1491" spans="1:27" x14ac:dyDescent="0.25">
      <c r="A1491" s="3">
        <f>DATE(Tab_Calculs[[#This Row],[ANNEE]],Tab_Calculs[[#This Row],[MOIS]],1)</f>
        <v>44378</v>
      </c>
      <c r="B1491" s="3">
        <f>EDATE(Tab_Calculs[[#This Row],[Début mois]],1)-1</f>
        <v>44408</v>
      </c>
      <c r="C1491">
        <f t="shared" si="52"/>
        <v>7</v>
      </c>
      <c r="D1491">
        <f t="shared" si="51"/>
        <v>2021</v>
      </c>
      <c r="E1491" t="s">
        <v>87</v>
      </c>
      <c r="F1491" t="str">
        <f>SUBSTITUTE(Tab_Calculs[[#This Row],[Compteur]]," ","_")</f>
        <v>Compteur_8</v>
      </c>
      <c r="G1491" t="str">
        <f>T(INDEX(Site!$B$33:$G$40, MATCH(Tab_Calculs[[#This Row],[Compteur]], Site!$B$33:$B$40,0),2))</f>
        <v/>
      </c>
      <c r="H1491" s="3">
        <f t="array" aca="1" ref="H1491" ca="1">MIN(IF(INDIRECT(CONCATENATE(Tab_Calculs[[#This Row],[Colonne1]],"!$B$2:$B$243"))&gt;=Calculs_Consos!$A1491,INDIRECT(CONCATENATE(Tab_Calculs[[#This Row],[Colonne1]],"!$B$2:$B$243"))))</f>
        <v>0</v>
      </c>
      <c r="I1491" s="3">
        <f ca="1">INDEX(INDIRECT(CONCATENATE("Tab_",Tab_Calculs[[#This Row],[Colonne1]])),Tab_Calculs[[#This Row],[index_date_livraison]],1)</f>
        <v>0</v>
      </c>
      <c r="J1491">
        <f ca="1">MATCH(Tab_Calculs[[#This Row],[Date_livraison]],INDIRECT(CONCATENATE("Tab_",Tab_Calculs[[#This Row],[Colonne1]],"[Fin de période]")),0)</f>
        <v>1</v>
      </c>
      <c r="K1491" t="e">
        <f ca="1">INDEX(INDIRECT(CONCATENATE("Tab_",Tab_Calculs[[#This Row],[Colonne1]])),Tab_Calculs[[#This Row],[index_date_livraison]]-1,6)*(MAX(Tab_Calculs[[#This Row],[Début periode livraison]],Tab_Calculs[[#This Row],[Début mois]])-Tab_Calculs[[#This Row],[Début mois]])</f>
        <v>#VALUE!</v>
      </c>
      <c r="L1491" s="94">
        <f ca="1">INDEX(INDIRECT(CONCATENATE("Tab_",Tab_Calculs[[#This Row],[Colonne1]])),Tab_Calculs[[#This Row],[index_date_livraison]],6)*(1+MIN(Tab_Calculs[[#This Row],[Date_livraison]],Tab_Calculs[[#This Row],[fin mois]])-MAX(Tab_Calculs[[#This Row],[Début mois]],Tab_Calculs[[#This Row],[Début periode livraison]]))</f>
        <v>0</v>
      </c>
      <c r="M1491" s="94" t="e">
        <f ca="1">INDEX(INDIRECT(CONCATENATE("Tab_",Tab_Calculs[[#This Row],[Colonne1]])),Tab_Calculs[[#This Row],[index_date_livraison]]+1,6)*(Tab_Calculs[[#This Row],[fin mois]]-MIN(Tab_Calculs[[#This Row],[fin mois]],Tab_Calculs[[#This Row],[Date_livraison]]))</f>
        <v>#VALUE!</v>
      </c>
      <c r="N1491" s="231" t="str">
        <f ca="1">IFERROR(Tab_Calculs[[#This Row],[Ratio_jour_après_livr]]+Tab_Calculs[[#This Row],[Ratio_jour_avant_livr]]+Tab_Calculs[[#This Row],[ratio_avant_debut]],"")</f>
        <v/>
      </c>
      <c r="O1491" t="e">
        <f ca="1">INDEX(INDIRECT(CONCATENATE("Tab_",Tab_Calculs[[#This Row],[Colonne1]])),Tab_Calculs[[#This Row],[index_date_livraison]]-1,7)*(MAX(Tab_Calculs[[#This Row],[Début periode livraison]],Tab_Calculs[[#This Row],[Début mois]])-Tab_Calculs[[#This Row],[Début mois]])</f>
        <v>#VALUE!</v>
      </c>
      <c r="P1491">
        <f ca="1">INDEX(INDIRECT(CONCATENATE("Tab_",Tab_Calculs[[#This Row],[Colonne1]])),Tab_Calculs[[#This Row],[index_date_livraison]],7)*(1+MIN(Tab_Calculs[[#This Row],[Date_livraison]],Tab_Calculs[[#This Row],[fin mois]])-MAX(Tab_Calculs[[#This Row],[Début mois]],Tab_Calculs[[#This Row],[Début periode livraison]]))</f>
        <v>0</v>
      </c>
      <c r="Q1491" t="e">
        <f ca="1">INDEX(INDIRECT(CONCATENATE("Tab_",Tab_Calculs[[#This Row],[Colonne1]])),Tab_Calculs[[#This Row],[index_date_livraison]]+1,7)*(Tab_Calculs[[#This Row],[fin mois]]-MIN(Tab_Calculs[[#This Row],[fin mois]],Tab_Calculs[[#This Row],[Date_livraison]]))</f>
        <v>#VALUE!</v>
      </c>
      <c r="R1491" t="e">
        <f ca="1">Tab_Calculs[[#This Row],[Ratio_Cout_après_livr]]+Tab_Calculs[[#This Row],[Ratio_Cout_avant_livr]]+Tab_Calculs[[#This Row],[Ratio_Cout_avant_debut]]</f>
        <v>#VALUE!</v>
      </c>
      <c r="S1491" t="str">
        <f ca="1">IFERROR(N1491*VLOOKUP(Tab_Calculs[[#This Row],[Colonne1]],Controle_des_données!$B$7:$G$14,6,FALSE),"")</f>
        <v/>
      </c>
      <c r="T1491" t="str">
        <f ca="1">IF(Tab_Calculs[[#This Row],[Combustible ]]="Electricité (kWh)",Tab_Calculs[[#This Row],[Conso_mois_kWh]]*2.3,Tab_Calculs[[#This Row],[Conso_mois_kWh]])</f>
        <v/>
      </c>
      <c r="U1491" t="str">
        <f ca="1">IFERROR(N1491*VLOOKUP(Tab_Calculs[[#This Row],[Colonne1]],Controle_des_données!$B$7:$H$14,7,FALSE),"")</f>
        <v/>
      </c>
      <c r="V1491">
        <f ca="1">IFERROR(Tab_Calculs[[#This Row],[Cout_mois]]/Tab_Calculs[[#This Row],[Conso_mois_kWh]],0)</f>
        <v>0</v>
      </c>
      <c r="W1491" t="str">
        <f>T(VLOOKUP(Tab_Calculs[[#This Row],[Compteur]],Site!$B$33:$G$40,3,FALSE))</f>
        <v/>
      </c>
      <c r="X1491" t="str">
        <f>T(VLOOKUP(Tab_Calculs[[#This Row],[Compteur]],Site!$B$33:$G$40,4,FALSE))</f>
        <v/>
      </c>
      <c r="Y1491" t="str">
        <f>T(VLOOKUP(Tab_Calculs[[#This Row],[Compteur]],Site!$B$33:$G$40,5,FALSE))</f>
        <v/>
      </c>
      <c r="Z1491" t="str">
        <f>T(VLOOKUP(Tab_Calculs[[#This Row],[Compteur]],Site!$B$33:$G$40,6,FALSE))</f>
        <v/>
      </c>
      <c r="AA1491">
        <f>IFERROR(GETPIVOTDATA("DJU(chauffagiste)",BDD_DJU!$P$13,"annee",Tab_Calculs[[#This Row],[ANNEE]],"mois_numero",Tab_Calculs[[#This Row],[MOIS]]),0)</f>
        <v>22.4</v>
      </c>
    </row>
    <row r="1492" spans="1:27" x14ac:dyDescent="0.25">
      <c r="A1492" s="3">
        <f>DATE(Tab_Calculs[[#This Row],[ANNEE]],Tab_Calculs[[#This Row],[MOIS]],1)</f>
        <v>44409</v>
      </c>
      <c r="B1492" s="3">
        <f>EDATE(Tab_Calculs[[#This Row],[Début mois]],1)-1</f>
        <v>44439</v>
      </c>
      <c r="C1492">
        <f t="shared" si="52"/>
        <v>8</v>
      </c>
      <c r="D1492">
        <f t="shared" si="51"/>
        <v>2021</v>
      </c>
      <c r="E1492" t="s">
        <v>87</v>
      </c>
      <c r="F1492" t="str">
        <f>SUBSTITUTE(Tab_Calculs[[#This Row],[Compteur]]," ","_")</f>
        <v>Compteur_8</v>
      </c>
      <c r="G1492" t="str">
        <f>T(INDEX(Site!$B$33:$G$40, MATCH(Tab_Calculs[[#This Row],[Compteur]], Site!$B$33:$B$40,0),2))</f>
        <v/>
      </c>
      <c r="H1492" s="3">
        <f t="array" aca="1" ref="H1492" ca="1">MIN(IF(INDIRECT(CONCATENATE(Tab_Calculs[[#This Row],[Colonne1]],"!$B$2:$B$243"))&gt;=Calculs_Consos!$A1492,INDIRECT(CONCATENATE(Tab_Calculs[[#This Row],[Colonne1]],"!$B$2:$B$243"))))</f>
        <v>0</v>
      </c>
      <c r="I1492" s="3">
        <f ca="1">INDEX(INDIRECT(CONCATENATE("Tab_",Tab_Calculs[[#This Row],[Colonne1]])),Tab_Calculs[[#This Row],[index_date_livraison]],1)</f>
        <v>0</v>
      </c>
      <c r="J1492">
        <f ca="1">MATCH(Tab_Calculs[[#This Row],[Date_livraison]],INDIRECT(CONCATENATE("Tab_",Tab_Calculs[[#This Row],[Colonne1]],"[Fin de période]")),0)</f>
        <v>1</v>
      </c>
      <c r="K1492" t="e">
        <f ca="1">INDEX(INDIRECT(CONCATENATE("Tab_",Tab_Calculs[[#This Row],[Colonne1]])),Tab_Calculs[[#This Row],[index_date_livraison]]-1,6)*(MAX(Tab_Calculs[[#This Row],[Début periode livraison]],Tab_Calculs[[#This Row],[Début mois]])-Tab_Calculs[[#This Row],[Début mois]])</f>
        <v>#VALUE!</v>
      </c>
      <c r="L1492" s="94">
        <f ca="1">INDEX(INDIRECT(CONCATENATE("Tab_",Tab_Calculs[[#This Row],[Colonne1]])),Tab_Calculs[[#This Row],[index_date_livraison]],6)*(1+MIN(Tab_Calculs[[#This Row],[Date_livraison]],Tab_Calculs[[#This Row],[fin mois]])-MAX(Tab_Calculs[[#This Row],[Début mois]],Tab_Calculs[[#This Row],[Début periode livraison]]))</f>
        <v>0</v>
      </c>
      <c r="M1492" s="94" t="e">
        <f ca="1">INDEX(INDIRECT(CONCATENATE("Tab_",Tab_Calculs[[#This Row],[Colonne1]])),Tab_Calculs[[#This Row],[index_date_livraison]]+1,6)*(Tab_Calculs[[#This Row],[fin mois]]-MIN(Tab_Calculs[[#This Row],[fin mois]],Tab_Calculs[[#This Row],[Date_livraison]]))</f>
        <v>#VALUE!</v>
      </c>
      <c r="N1492" s="231" t="str">
        <f ca="1">IFERROR(Tab_Calculs[[#This Row],[Ratio_jour_après_livr]]+Tab_Calculs[[#This Row],[Ratio_jour_avant_livr]]+Tab_Calculs[[#This Row],[ratio_avant_debut]],"")</f>
        <v/>
      </c>
      <c r="O1492" t="e">
        <f ca="1">INDEX(INDIRECT(CONCATENATE("Tab_",Tab_Calculs[[#This Row],[Colonne1]])),Tab_Calculs[[#This Row],[index_date_livraison]]-1,7)*(MAX(Tab_Calculs[[#This Row],[Début periode livraison]],Tab_Calculs[[#This Row],[Début mois]])-Tab_Calculs[[#This Row],[Début mois]])</f>
        <v>#VALUE!</v>
      </c>
      <c r="P1492">
        <f ca="1">INDEX(INDIRECT(CONCATENATE("Tab_",Tab_Calculs[[#This Row],[Colonne1]])),Tab_Calculs[[#This Row],[index_date_livraison]],7)*(1+MIN(Tab_Calculs[[#This Row],[Date_livraison]],Tab_Calculs[[#This Row],[fin mois]])-MAX(Tab_Calculs[[#This Row],[Début mois]],Tab_Calculs[[#This Row],[Début periode livraison]]))</f>
        <v>0</v>
      </c>
      <c r="Q1492" t="e">
        <f ca="1">INDEX(INDIRECT(CONCATENATE("Tab_",Tab_Calculs[[#This Row],[Colonne1]])),Tab_Calculs[[#This Row],[index_date_livraison]]+1,7)*(Tab_Calculs[[#This Row],[fin mois]]-MIN(Tab_Calculs[[#This Row],[fin mois]],Tab_Calculs[[#This Row],[Date_livraison]]))</f>
        <v>#VALUE!</v>
      </c>
      <c r="R1492" t="e">
        <f ca="1">Tab_Calculs[[#This Row],[Ratio_Cout_après_livr]]+Tab_Calculs[[#This Row],[Ratio_Cout_avant_livr]]+Tab_Calculs[[#This Row],[Ratio_Cout_avant_debut]]</f>
        <v>#VALUE!</v>
      </c>
      <c r="S1492" t="str">
        <f ca="1">IFERROR(N1492*VLOOKUP(Tab_Calculs[[#This Row],[Colonne1]],Controle_des_données!$B$7:$G$14,6,FALSE),"")</f>
        <v/>
      </c>
      <c r="T1492" t="str">
        <f ca="1">IF(Tab_Calculs[[#This Row],[Combustible ]]="Electricité (kWh)",Tab_Calculs[[#This Row],[Conso_mois_kWh]]*2.3,Tab_Calculs[[#This Row],[Conso_mois_kWh]])</f>
        <v/>
      </c>
      <c r="U1492" t="str">
        <f ca="1">IFERROR(N1492*VLOOKUP(Tab_Calculs[[#This Row],[Colonne1]],Controle_des_données!$B$7:$H$14,7,FALSE),"")</f>
        <v/>
      </c>
      <c r="V1492">
        <f ca="1">IFERROR(Tab_Calculs[[#This Row],[Cout_mois]]/Tab_Calculs[[#This Row],[Conso_mois_kWh]],0)</f>
        <v>0</v>
      </c>
      <c r="W1492" t="str">
        <f>T(VLOOKUP(Tab_Calculs[[#This Row],[Compteur]],Site!$B$33:$G$40,3,FALSE))</f>
        <v/>
      </c>
      <c r="X1492" t="str">
        <f>T(VLOOKUP(Tab_Calculs[[#This Row],[Compteur]],Site!$B$33:$G$40,4,FALSE))</f>
        <v/>
      </c>
      <c r="Y1492" t="str">
        <f>T(VLOOKUP(Tab_Calculs[[#This Row],[Compteur]],Site!$B$33:$G$40,5,FALSE))</f>
        <v/>
      </c>
      <c r="Z1492" t="str">
        <f>T(VLOOKUP(Tab_Calculs[[#This Row],[Compteur]],Site!$B$33:$G$40,6,FALSE))</f>
        <v/>
      </c>
      <c r="AA1492">
        <f>IFERROR(GETPIVOTDATA("DJU(chauffagiste)",BDD_DJU!$P$13,"annee",Tab_Calculs[[#This Row],[ANNEE]],"mois_numero",Tab_Calculs[[#This Row],[MOIS]]),0)</f>
        <v>35.9</v>
      </c>
    </row>
    <row r="1493" spans="1:27" x14ac:dyDescent="0.25">
      <c r="A1493" s="3">
        <f>DATE(Tab_Calculs[[#This Row],[ANNEE]],Tab_Calculs[[#This Row],[MOIS]],1)</f>
        <v>44440</v>
      </c>
      <c r="B1493" s="3">
        <f>EDATE(Tab_Calculs[[#This Row],[Début mois]],1)-1</f>
        <v>44469</v>
      </c>
      <c r="C1493">
        <f t="shared" si="52"/>
        <v>9</v>
      </c>
      <c r="D1493">
        <f t="shared" si="51"/>
        <v>2021</v>
      </c>
      <c r="E1493" t="s">
        <v>87</v>
      </c>
      <c r="F1493" t="str">
        <f>SUBSTITUTE(Tab_Calculs[[#This Row],[Compteur]]," ","_")</f>
        <v>Compteur_8</v>
      </c>
      <c r="G1493" t="str">
        <f>T(INDEX(Site!$B$33:$G$40, MATCH(Tab_Calculs[[#This Row],[Compteur]], Site!$B$33:$B$40,0),2))</f>
        <v/>
      </c>
      <c r="H1493" s="3">
        <f t="array" aca="1" ref="H1493" ca="1">MIN(IF(INDIRECT(CONCATENATE(Tab_Calculs[[#This Row],[Colonne1]],"!$B$2:$B$243"))&gt;=Calculs_Consos!$A1493,INDIRECT(CONCATENATE(Tab_Calculs[[#This Row],[Colonne1]],"!$B$2:$B$243"))))</f>
        <v>0</v>
      </c>
      <c r="I1493" s="3">
        <f ca="1">INDEX(INDIRECT(CONCATENATE("Tab_",Tab_Calculs[[#This Row],[Colonne1]])),Tab_Calculs[[#This Row],[index_date_livraison]],1)</f>
        <v>0</v>
      </c>
      <c r="J1493">
        <f ca="1">MATCH(Tab_Calculs[[#This Row],[Date_livraison]],INDIRECT(CONCATENATE("Tab_",Tab_Calculs[[#This Row],[Colonne1]],"[Fin de période]")),0)</f>
        <v>1</v>
      </c>
      <c r="K1493" t="e">
        <f ca="1">INDEX(INDIRECT(CONCATENATE("Tab_",Tab_Calculs[[#This Row],[Colonne1]])),Tab_Calculs[[#This Row],[index_date_livraison]]-1,6)*(MAX(Tab_Calculs[[#This Row],[Début periode livraison]],Tab_Calculs[[#This Row],[Début mois]])-Tab_Calculs[[#This Row],[Début mois]])</f>
        <v>#VALUE!</v>
      </c>
      <c r="L1493" s="94">
        <f ca="1">INDEX(INDIRECT(CONCATENATE("Tab_",Tab_Calculs[[#This Row],[Colonne1]])),Tab_Calculs[[#This Row],[index_date_livraison]],6)*(1+MIN(Tab_Calculs[[#This Row],[Date_livraison]],Tab_Calculs[[#This Row],[fin mois]])-MAX(Tab_Calculs[[#This Row],[Début mois]],Tab_Calculs[[#This Row],[Début periode livraison]]))</f>
        <v>0</v>
      </c>
      <c r="M1493" s="94" t="e">
        <f ca="1">INDEX(INDIRECT(CONCATENATE("Tab_",Tab_Calculs[[#This Row],[Colonne1]])),Tab_Calculs[[#This Row],[index_date_livraison]]+1,6)*(Tab_Calculs[[#This Row],[fin mois]]-MIN(Tab_Calculs[[#This Row],[fin mois]],Tab_Calculs[[#This Row],[Date_livraison]]))</f>
        <v>#VALUE!</v>
      </c>
      <c r="N1493" s="231" t="str">
        <f ca="1">IFERROR(Tab_Calculs[[#This Row],[Ratio_jour_après_livr]]+Tab_Calculs[[#This Row],[Ratio_jour_avant_livr]]+Tab_Calculs[[#This Row],[ratio_avant_debut]],"")</f>
        <v/>
      </c>
      <c r="O1493" t="e">
        <f ca="1">INDEX(INDIRECT(CONCATENATE("Tab_",Tab_Calculs[[#This Row],[Colonne1]])),Tab_Calculs[[#This Row],[index_date_livraison]]-1,7)*(MAX(Tab_Calculs[[#This Row],[Début periode livraison]],Tab_Calculs[[#This Row],[Début mois]])-Tab_Calculs[[#This Row],[Début mois]])</f>
        <v>#VALUE!</v>
      </c>
      <c r="P1493">
        <f ca="1">INDEX(INDIRECT(CONCATENATE("Tab_",Tab_Calculs[[#This Row],[Colonne1]])),Tab_Calculs[[#This Row],[index_date_livraison]],7)*(1+MIN(Tab_Calculs[[#This Row],[Date_livraison]],Tab_Calculs[[#This Row],[fin mois]])-MAX(Tab_Calculs[[#This Row],[Début mois]],Tab_Calculs[[#This Row],[Début periode livraison]]))</f>
        <v>0</v>
      </c>
      <c r="Q1493" t="e">
        <f ca="1">INDEX(INDIRECT(CONCATENATE("Tab_",Tab_Calculs[[#This Row],[Colonne1]])),Tab_Calculs[[#This Row],[index_date_livraison]]+1,7)*(Tab_Calculs[[#This Row],[fin mois]]-MIN(Tab_Calculs[[#This Row],[fin mois]],Tab_Calculs[[#This Row],[Date_livraison]]))</f>
        <v>#VALUE!</v>
      </c>
      <c r="R1493" t="e">
        <f ca="1">Tab_Calculs[[#This Row],[Ratio_Cout_après_livr]]+Tab_Calculs[[#This Row],[Ratio_Cout_avant_livr]]+Tab_Calculs[[#This Row],[Ratio_Cout_avant_debut]]</f>
        <v>#VALUE!</v>
      </c>
      <c r="S1493" t="str">
        <f ca="1">IFERROR(N1493*VLOOKUP(Tab_Calculs[[#This Row],[Colonne1]],Controle_des_données!$B$7:$G$14,6,FALSE),"")</f>
        <v/>
      </c>
      <c r="T1493" t="str">
        <f ca="1">IF(Tab_Calculs[[#This Row],[Combustible ]]="Electricité (kWh)",Tab_Calculs[[#This Row],[Conso_mois_kWh]]*2.3,Tab_Calculs[[#This Row],[Conso_mois_kWh]])</f>
        <v/>
      </c>
      <c r="U1493" t="str">
        <f ca="1">IFERROR(N1493*VLOOKUP(Tab_Calculs[[#This Row],[Colonne1]],Controle_des_données!$B$7:$H$14,7,FALSE),"")</f>
        <v/>
      </c>
      <c r="V1493">
        <f ca="1">IFERROR(Tab_Calculs[[#This Row],[Cout_mois]]/Tab_Calculs[[#This Row],[Conso_mois_kWh]],0)</f>
        <v>0</v>
      </c>
      <c r="W1493" t="str">
        <f>T(VLOOKUP(Tab_Calculs[[#This Row],[Compteur]],Site!$B$33:$G$40,3,FALSE))</f>
        <v/>
      </c>
      <c r="X1493" t="str">
        <f>T(VLOOKUP(Tab_Calculs[[#This Row],[Compteur]],Site!$B$33:$G$40,4,FALSE))</f>
        <v/>
      </c>
      <c r="Y1493" t="str">
        <f>T(VLOOKUP(Tab_Calculs[[#This Row],[Compteur]],Site!$B$33:$G$40,5,FALSE))</f>
        <v/>
      </c>
      <c r="Z1493" t="str">
        <f>T(VLOOKUP(Tab_Calculs[[#This Row],[Compteur]],Site!$B$33:$G$40,6,FALSE))</f>
        <v/>
      </c>
      <c r="AA1493">
        <f>IFERROR(GETPIVOTDATA("DJU(chauffagiste)",BDD_DJU!$P$13,"annee",Tab_Calculs[[#This Row],[ANNEE]],"mois_numero",Tab_Calculs[[#This Row],[MOIS]]),0)</f>
        <v>47.8</v>
      </c>
    </row>
    <row r="1494" spans="1:27" x14ac:dyDescent="0.25">
      <c r="A1494" s="3">
        <f>DATE(Tab_Calculs[[#This Row],[ANNEE]],Tab_Calculs[[#This Row],[MOIS]],1)</f>
        <v>44470</v>
      </c>
      <c r="B1494" s="3">
        <f>EDATE(Tab_Calculs[[#This Row],[Début mois]],1)-1</f>
        <v>44500</v>
      </c>
      <c r="C1494">
        <f t="shared" si="52"/>
        <v>10</v>
      </c>
      <c r="D1494">
        <f t="shared" si="51"/>
        <v>2021</v>
      </c>
      <c r="E1494" t="s">
        <v>87</v>
      </c>
      <c r="F1494" t="str">
        <f>SUBSTITUTE(Tab_Calculs[[#This Row],[Compteur]]," ","_")</f>
        <v>Compteur_8</v>
      </c>
      <c r="G1494" t="str">
        <f>T(INDEX(Site!$B$33:$G$40, MATCH(Tab_Calculs[[#This Row],[Compteur]], Site!$B$33:$B$40,0),2))</f>
        <v/>
      </c>
      <c r="H1494" s="3">
        <f t="array" aca="1" ref="H1494" ca="1">MIN(IF(INDIRECT(CONCATENATE(Tab_Calculs[[#This Row],[Colonne1]],"!$B$2:$B$243"))&gt;=Calculs_Consos!$A1494,INDIRECT(CONCATENATE(Tab_Calculs[[#This Row],[Colonne1]],"!$B$2:$B$243"))))</f>
        <v>0</v>
      </c>
      <c r="I1494" s="3">
        <f ca="1">INDEX(INDIRECT(CONCATENATE("Tab_",Tab_Calculs[[#This Row],[Colonne1]])),Tab_Calculs[[#This Row],[index_date_livraison]],1)</f>
        <v>0</v>
      </c>
      <c r="J1494">
        <f ca="1">MATCH(Tab_Calculs[[#This Row],[Date_livraison]],INDIRECT(CONCATENATE("Tab_",Tab_Calculs[[#This Row],[Colonne1]],"[Fin de période]")),0)</f>
        <v>1</v>
      </c>
      <c r="K1494" t="e">
        <f ca="1">INDEX(INDIRECT(CONCATENATE("Tab_",Tab_Calculs[[#This Row],[Colonne1]])),Tab_Calculs[[#This Row],[index_date_livraison]]-1,6)*(MAX(Tab_Calculs[[#This Row],[Début periode livraison]],Tab_Calculs[[#This Row],[Début mois]])-Tab_Calculs[[#This Row],[Début mois]])</f>
        <v>#VALUE!</v>
      </c>
      <c r="L1494" s="94">
        <f ca="1">INDEX(INDIRECT(CONCATENATE("Tab_",Tab_Calculs[[#This Row],[Colonne1]])),Tab_Calculs[[#This Row],[index_date_livraison]],6)*(1+MIN(Tab_Calculs[[#This Row],[Date_livraison]],Tab_Calculs[[#This Row],[fin mois]])-MAX(Tab_Calculs[[#This Row],[Début mois]],Tab_Calculs[[#This Row],[Début periode livraison]]))</f>
        <v>0</v>
      </c>
      <c r="M1494" s="94" t="e">
        <f ca="1">INDEX(INDIRECT(CONCATENATE("Tab_",Tab_Calculs[[#This Row],[Colonne1]])),Tab_Calculs[[#This Row],[index_date_livraison]]+1,6)*(Tab_Calculs[[#This Row],[fin mois]]-MIN(Tab_Calculs[[#This Row],[fin mois]],Tab_Calculs[[#This Row],[Date_livraison]]))</f>
        <v>#VALUE!</v>
      </c>
      <c r="N1494" s="231" t="str">
        <f ca="1">IFERROR(Tab_Calculs[[#This Row],[Ratio_jour_après_livr]]+Tab_Calculs[[#This Row],[Ratio_jour_avant_livr]]+Tab_Calculs[[#This Row],[ratio_avant_debut]],"")</f>
        <v/>
      </c>
      <c r="O1494" t="e">
        <f ca="1">INDEX(INDIRECT(CONCATENATE("Tab_",Tab_Calculs[[#This Row],[Colonne1]])),Tab_Calculs[[#This Row],[index_date_livraison]]-1,7)*(MAX(Tab_Calculs[[#This Row],[Début periode livraison]],Tab_Calculs[[#This Row],[Début mois]])-Tab_Calculs[[#This Row],[Début mois]])</f>
        <v>#VALUE!</v>
      </c>
      <c r="P1494">
        <f ca="1">INDEX(INDIRECT(CONCATENATE("Tab_",Tab_Calculs[[#This Row],[Colonne1]])),Tab_Calculs[[#This Row],[index_date_livraison]],7)*(1+MIN(Tab_Calculs[[#This Row],[Date_livraison]],Tab_Calculs[[#This Row],[fin mois]])-MAX(Tab_Calculs[[#This Row],[Début mois]],Tab_Calculs[[#This Row],[Début periode livraison]]))</f>
        <v>0</v>
      </c>
      <c r="Q1494" t="e">
        <f ca="1">INDEX(INDIRECT(CONCATENATE("Tab_",Tab_Calculs[[#This Row],[Colonne1]])),Tab_Calculs[[#This Row],[index_date_livraison]]+1,7)*(Tab_Calculs[[#This Row],[fin mois]]-MIN(Tab_Calculs[[#This Row],[fin mois]],Tab_Calculs[[#This Row],[Date_livraison]]))</f>
        <v>#VALUE!</v>
      </c>
      <c r="R1494" t="e">
        <f ca="1">Tab_Calculs[[#This Row],[Ratio_Cout_après_livr]]+Tab_Calculs[[#This Row],[Ratio_Cout_avant_livr]]+Tab_Calculs[[#This Row],[Ratio_Cout_avant_debut]]</f>
        <v>#VALUE!</v>
      </c>
      <c r="S1494" t="str">
        <f ca="1">IFERROR(N1494*VLOOKUP(Tab_Calculs[[#This Row],[Colonne1]],Controle_des_données!$B$7:$G$14,6,FALSE),"")</f>
        <v/>
      </c>
      <c r="T1494" t="str">
        <f ca="1">IF(Tab_Calculs[[#This Row],[Combustible ]]="Electricité (kWh)",Tab_Calculs[[#This Row],[Conso_mois_kWh]]*2.3,Tab_Calculs[[#This Row],[Conso_mois_kWh]])</f>
        <v/>
      </c>
      <c r="U1494" t="str">
        <f ca="1">IFERROR(N1494*VLOOKUP(Tab_Calculs[[#This Row],[Colonne1]],Controle_des_données!$B$7:$H$14,7,FALSE),"")</f>
        <v/>
      </c>
      <c r="V1494">
        <f ca="1">IFERROR(Tab_Calculs[[#This Row],[Cout_mois]]/Tab_Calculs[[#This Row],[Conso_mois_kWh]],0)</f>
        <v>0</v>
      </c>
      <c r="W1494" t="str">
        <f>T(VLOOKUP(Tab_Calculs[[#This Row],[Compteur]],Site!$B$33:$G$40,3,FALSE))</f>
        <v/>
      </c>
      <c r="X1494" t="str">
        <f>T(VLOOKUP(Tab_Calculs[[#This Row],[Compteur]],Site!$B$33:$G$40,4,FALSE))</f>
        <v/>
      </c>
      <c r="Y1494" t="str">
        <f>T(VLOOKUP(Tab_Calculs[[#This Row],[Compteur]],Site!$B$33:$G$40,5,FALSE))</f>
        <v/>
      </c>
      <c r="Z1494" t="str">
        <f>T(VLOOKUP(Tab_Calculs[[#This Row],[Compteur]],Site!$B$33:$G$40,6,FALSE))</f>
        <v/>
      </c>
      <c r="AA1494">
        <f>IFERROR(GETPIVOTDATA("DJU(chauffagiste)",BDD_DJU!$P$13,"annee",Tab_Calculs[[#This Row],[ANNEE]],"mois_numero",Tab_Calculs[[#This Row],[MOIS]]),0)</f>
        <v>170.5</v>
      </c>
    </row>
    <row r="1495" spans="1:27" x14ac:dyDescent="0.25">
      <c r="A1495" s="3">
        <f>DATE(Tab_Calculs[[#This Row],[ANNEE]],Tab_Calculs[[#This Row],[MOIS]],1)</f>
        <v>44501</v>
      </c>
      <c r="B1495" s="3">
        <f>EDATE(Tab_Calculs[[#This Row],[Début mois]],1)-1</f>
        <v>44530</v>
      </c>
      <c r="C1495">
        <f t="shared" si="52"/>
        <v>11</v>
      </c>
      <c r="D1495">
        <f t="shared" si="51"/>
        <v>2021</v>
      </c>
      <c r="E1495" t="s">
        <v>87</v>
      </c>
      <c r="F1495" t="str">
        <f>SUBSTITUTE(Tab_Calculs[[#This Row],[Compteur]]," ","_")</f>
        <v>Compteur_8</v>
      </c>
      <c r="G1495" t="str">
        <f>T(INDEX(Site!$B$33:$G$40, MATCH(Tab_Calculs[[#This Row],[Compteur]], Site!$B$33:$B$40,0),2))</f>
        <v/>
      </c>
      <c r="H1495" s="3">
        <f t="array" aca="1" ref="H1495" ca="1">MIN(IF(INDIRECT(CONCATENATE(Tab_Calculs[[#This Row],[Colonne1]],"!$B$2:$B$243"))&gt;=Calculs_Consos!$A1495,INDIRECT(CONCATENATE(Tab_Calculs[[#This Row],[Colonne1]],"!$B$2:$B$243"))))</f>
        <v>0</v>
      </c>
      <c r="I1495" s="3">
        <f ca="1">INDEX(INDIRECT(CONCATENATE("Tab_",Tab_Calculs[[#This Row],[Colonne1]])),Tab_Calculs[[#This Row],[index_date_livraison]],1)</f>
        <v>0</v>
      </c>
      <c r="J1495">
        <f ca="1">MATCH(Tab_Calculs[[#This Row],[Date_livraison]],INDIRECT(CONCATENATE("Tab_",Tab_Calculs[[#This Row],[Colonne1]],"[Fin de période]")),0)</f>
        <v>1</v>
      </c>
      <c r="K1495" t="e">
        <f ca="1">INDEX(INDIRECT(CONCATENATE("Tab_",Tab_Calculs[[#This Row],[Colonne1]])),Tab_Calculs[[#This Row],[index_date_livraison]]-1,6)*(MAX(Tab_Calculs[[#This Row],[Début periode livraison]],Tab_Calculs[[#This Row],[Début mois]])-Tab_Calculs[[#This Row],[Début mois]])</f>
        <v>#VALUE!</v>
      </c>
      <c r="L1495" s="94">
        <f ca="1">INDEX(INDIRECT(CONCATENATE("Tab_",Tab_Calculs[[#This Row],[Colonne1]])),Tab_Calculs[[#This Row],[index_date_livraison]],6)*(1+MIN(Tab_Calculs[[#This Row],[Date_livraison]],Tab_Calculs[[#This Row],[fin mois]])-MAX(Tab_Calculs[[#This Row],[Début mois]],Tab_Calculs[[#This Row],[Début periode livraison]]))</f>
        <v>0</v>
      </c>
      <c r="M1495" s="94" t="e">
        <f ca="1">INDEX(INDIRECT(CONCATENATE("Tab_",Tab_Calculs[[#This Row],[Colonne1]])),Tab_Calculs[[#This Row],[index_date_livraison]]+1,6)*(Tab_Calculs[[#This Row],[fin mois]]-MIN(Tab_Calculs[[#This Row],[fin mois]],Tab_Calculs[[#This Row],[Date_livraison]]))</f>
        <v>#VALUE!</v>
      </c>
      <c r="N1495" s="231" t="str">
        <f ca="1">IFERROR(Tab_Calculs[[#This Row],[Ratio_jour_après_livr]]+Tab_Calculs[[#This Row],[Ratio_jour_avant_livr]]+Tab_Calculs[[#This Row],[ratio_avant_debut]],"")</f>
        <v/>
      </c>
      <c r="O1495" t="e">
        <f ca="1">INDEX(INDIRECT(CONCATENATE("Tab_",Tab_Calculs[[#This Row],[Colonne1]])),Tab_Calculs[[#This Row],[index_date_livraison]]-1,7)*(MAX(Tab_Calculs[[#This Row],[Début periode livraison]],Tab_Calculs[[#This Row],[Début mois]])-Tab_Calculs[[#This Row],[Début mois]])</f>
        <v>#VALUE!</v>
      </c>
      <c r="P1495">
        <f ca="1">INDEX(INDIRECT(CONCATENATE("Tab_",Tab_Calculs[[#This Row],[Colonne1]])),Tab_Calculs[[#This Row],[index_date_livraison]],7)*(1+MIN(Tab_Calculs[[#This Row],[Date_livraison]],Tab_Calculs[[#This Row],[fin mois]])-MAX(Tab_Calculs[[#This Row],[Début mois]],Tab_Calculs[[#This Row],[Début periode livraison]]))</f>
        <v>0</v>
      </c>
      <c r="Q1495" t="e">
        <f ca="1">INDEX(INDIRECT(CONCATENATE("Tab_",Tab_Calculs[[#This Row],[Colonne1]])),Tab_Calculs[[#This Row],[index_date_livraison]]+1,7)*(Tab_Calculs[[#This Row],[fin mois]]-MIN(Tab_Calculs[[#This Row],[fin mois]],Tab_Calculs[[#This Row],[Date_livraison]]))</f>
        <v>#VALUE!</v>
      </c>
      <c r="R1495" t="e">
        <f ca="1">Tab_Calculs[[#This Row],[Ratio_Cout_après_livr]]+Tab_Calculs[[#This Row],[Ratio_Cout_avant_livr]]+Tab_Calculs[[#This Row],[Ratio_Cout_avant_debut]]</f>
        <v>#VALUE!</v>
      </c>
      <c r="S1495" t="str">
        <f ca="1">IFERROR(N1495*VLOOKUP(Tab_Calculs[[#This Row],[Colonne1]],Controle_des_données!$B$7:$G$14,6,FALSE),"")</f>
        <v/>
      </c>
      <c r="T1495" t="str">
        <f ca="1">IF(Tab_Calculs[[#This Row],[Combustible ]]="Electricité (kWh)",Tab_Calculs[[#This Row],[Conso_mois_kWh]]*2.3,Tab_Calculs[[#This Row],[Conso_mois_kWh]])</f>
        <v/>
      </c>
      <c r="U1495" t="str">
        <f ca="1">IFERROR(N1495*VLOOKUP(Tab_Calculs[[#This Row],[Colonne1]],Controle_des_données!$B$7:$H$14,7,FALSE),"")</f>
        <v/>
      </c>
      <c r="V1495">
        <f ca="1">IFERROR(Tab_Calculs[[#This Row],[Cout_mois]]/Tab_Calculs[[#This Row],[Conso_mois_kWh]],0)</f>
        <v>0</v>
      </c>
      <c r="W1495" t="str">
        <f>T(VLOOKUP(Tab_Calculs[[#This Row],[Compteur]],Site!$B$33:$G$40,3,FALSE))</f>
        <v/>
      </c>
      <c r="X1495" t="str">
        <f>T(VLOOKUP(Tab_Calculs[[#This Row],[Compteur]],Site!$B$33:$G$40,4,FALSE))</f>
        <v/>
      </c>
      <c r="Y1495" t="str">
        <f>T(VLOOKUP(Tab_Calculs[[#This Row],[Compteur]],Site!$B$33:$G$40,5,FALSE))</f>
        <v/>
      </c>
      <c r="Z1495" t="str">
        <f>T(VLOOKUP(Tab_Calculs[[#This Row],[Compteur]],Site!$B$33:$G$40,6,FALSE))</f>
        <v/>
      </c>
      <c r="AA1495">
        <f>IFERROR(GETPIVOTDATA("DJU(chauffagiste)",BDD_DJU!$P$13,"annee",Tab_Calculs[[#This Row],[ANNEE]],"mois_numero",Tab_Calculs[[#This Row],[MOIS]]),0)</f>
        <v>326.8</v>
      </c>
    </row>
    <row r="1496" spans="1:27" x14ac:dyDescent="0.25">
      <c r="A1496" s="3">
        <f>DATE(Tab_Calculs[[#This Row],[ANNEE]],Tab_Calculs[[#This Row],[MOIS]],1)</f>
        <v>44531</v>
      </c>
      <c r="B1496" s="3">
        <f>EDATE(Tab_Calculs[[#This Row],[Début mois]],1)-1</f>
        <v>44561</v>
      </c>
      <c r="C1496">
        <f t="shared" si="52"/>
        <v>12</v>
      </c>
      <c r="D1496">
        <f>D1484+1</f>
        <v>2021</v>
      </c>
      <c r="E1496" t="s">
        <v>87</v>
      </c>
      <c r="F1496" t="str">
        <f>SUBSTITUTE(Tab_Calculs[[#This Row],[Compteur]]," ","_")</f>
        <v>Compteur_8</v>
      </c>
      <c r="G1496" t="str">
        <f>T(INDEX(Site!$B$33:$G$40, MATCH(Tab_Calculs[[#This Row],[Compteur]], Site!$B$33:$B$40,0),2))</f>
        <v/>
      </c>
      <c r="H1496" s="3">
        <f t="array" aca="1" ref="H1496" ca="1">MIN(IF(INDIRECT(CONCATENATE(Tab_Calculs[[#This Row],[Colonne1]],"!$B$2:$B$243"))&gt;=Calculs_Consos!$A1496,INDIRECT(CONCATENATE(Tab_Calculs[[#This Row],[Colonne1]],"!$B$2:$B$243"))))</f>
        <v>0</v>
      </c>
      <c r="I1496" s="3">
        <f ca="1">INDEX(INDIRECT(CONCATENATE("Tab_",Tab_Calculs[[#This Row],[Colonne1]])),Tab_Calculs[[#This Row],[index_date_livraison]],1)</f>
        <v>0</v>
      </c>
      <c r="J1496">
        <f ca="1">MATCH(Tab_Calculs[[#This Row],[Date_livraison]],INDIRECT(CONCATENATE("Tab_",Tab_Calculs[[#This Row],[Colonne1]],"[Fin de période]")),0)</f>
        <v>1</v>
      </c>
      <c r="K1496" t="e">
        <f ca="1">INDEX(INDIRECT(CONCATENATE("Tab_",Tab_Calculs[[#This Row],[Colonne1]])),Tab_Calculs[[#This Row],[index_date_livraison]]-1,6)*(MAX(Tab_Calculs[[#This Row],[Début periode livraison]],Tab_Calculs[[#This Row],[Début mois]])-Tab_Calculs[[#This Row],[Début mois]])</f>
        <v>#VALUE!</v>
      </c>
      <c r="L1496" s="94">
        <f ca="1">INDEX(INDIRECT(CONCATENATE("Tab_",Tab_Calculs[[#This Row],[Colonne1]])),Tab_Calculs[[#This Row],[index_date_livraison]],6)*(1+MIN(Tab_Calculs[[#This Row],[Date_livraison]],Tab_Calculs[[#This Row],[fin mois]])-MAX(Tab_Calculs[[#This Row],[Début mois]],Tab_Calculs[[#This Row],[Début periode livraison]]))</f>
        <v>0</v>
      </c>
      <c r="M1496" s="94" t="e">
        <f ca="1">INDEX(INDIRECT(CONCATENATE("Tab_",Tab_Calculs[[#This Row],[Colonne1]])),Tab_Calculs[[#This Row],[index_date_livraison]]+1,6)*(Tab_Calculs[[#This Row],[fin mois]]-MIN(Tab_Calculs[[#This Row],[fin mois]],Tab_Calculs[[#This Row],[Date_livraison]]))</f>
        <v>#VALUE!</v>
      </c>
      <c r="N1496" s="231" t="str">
        <f ca="1">IFERROR(Tab_Calculs[[#This Row],[Ratio_jour_après_livr]]+Tab_Calculs[[#This Row],[Ratio_jour_avant_livr]]+Tab_Calculs[[#This Row],[ratio_avant_debut]],"")</f>
        <v/>
      </c>
      <c r="O1496" t="e">
        <f ca="1">INDEX(INDIRECT(CONCATENATE("Tab_",Tab_Calculs[[#This Row],[Colonne1]])),Tab_Calculs[[#This Row],[index_date_livraison]]-1,7)*(MAX(Tab_Calculs[[#This Row],[Début periode livraison]],Tab_Calculs[[#This Row],[Début mois]])-Tab_Calculs[[#This Row],[Début mois]])</f>
        <v>#VALUE!</v>
      </c>
      <c r="P1496">
        <f ca="1">INDEX(INDIRECT(CONCATENATE("Tab_",Tab_Calculs[[#This Row],[Colonne1]])),Tab_Calculs[[#This Row],[index_date_livraison]],7)*(1+MIN(Tab_Calculs[[#This Row],[Date_livraison]],Tab_Calculs[[#This Row],[fin mois]])-MAX(Tab_Calculs[[#This Row],[Début mois]],Tab_Calculs[[#This Row],[Début periode livraison]]))</f>
        <v>0</v>
      </c>
      <c r="Q1496" t="e">
        <f ca="1">INDEX(INDIRECT(CONCATENATE("Tab_",Tab_Calculs[[#This Row],[Colonne1]])),Tab_Calculs[[#This Row],[index_date_livraison]]+1,7)*(Tab_Calculs[[#This Row],[fin mois]]-MIN(Tab_Calculs[[#This Row],[fin mois]],Tab_Calculs[[#This Row],[Date_livraison]]))</f>
        <v>#VALUE!</v>
      </c>
      <c r="R1496" t="e">
        <f ca="1">Tab_Calculs[[#This Row],[Ratio_Cout_après_livr]]+Tab_Calculs[[#This Row],[Ratio_Cout_avant_livr]]+Tab_Calculs[[#This Row],[Ratio_Cout_avant_debut]]</f>
        <v>#VALUE!</v>
      </c>
      <c r="S1496" t="str">
        <f ca="1">IFERROR(N1496*VLOOKUP(Tab_Calculs[[#This Row],[Colonne1]],Controle_des_données!$B$7:$G$14,6,FALSE),"")</f>
        <v/>
      </c>
      <c r="T1496" t="str">
        <f ca="1">IF(Tab_Calculs[[#This Row],[Combustible ]]="Electricité (kWh)",Tab_Calculs[[#This Row],[Conso_mois_kWh]]*2.3,Tab_Calculs[[#This Row],[Conso_mois_kWh]])</f>
        <v/>
      </c>
      <c r="U1496" t="str">
        <f ca="1">IFERROR(N1496*VLOOKUP(Tab_Calculs[[#This Row],[Colonne1]],Controle_des_données!$B$7:$H$14,7,FALSE),"")</f>
        <v/>
      </c>
      <c r="V1496">
        <f ca="1">IFERROR(Tab_Calculs[[#This Row],[Cout_mois]]/Tab_Calculs[[#This Row],[Conso_mois_kWh]],0)</f>
        <v>0</v>
      </c>
      <c r="W1496" t="str">
        <f>T(VLOOKUP(Tab_Calculs[[#This Row],[Compteur]],Site!$B$33:$G$40,3,FALSE))</f>
        <v/>
      </c>
      <c r="X1496" t="str">
        <f>T(VLOOKUP(Tab_Calculs[[#This Row],[Compteur]],Site!$B$33:$G$40,4,FALSE))</f>
        <v/>
      </c>
      <c r="Y1496" t="str">
        <f>T(VLOOKUP(Tab_Calculs[[#This Row],[Compteur]],Site!$B$33:$G$40,5,FALSE))</f>
        <v/>
      </c>
      <c r="Z1496" t="str">
        <f>T(VLOOKUP(Tab_Calculs[[#This Row],[Compteur]],Site!$B$33:$G$40,6,FALSE))</f>
        <v/>
      </c>
      <c r="AA1496">
        <f>IFERROR(GETPIVOTDATA("DJU(chauffagiste)",BDD_DJU!$P$13,"annee",Tab_Calculs[[#This Row],[ANNEE]],"mois_numero",Tab_Calculs[[#This Row],[MOIS]]),0)</f>
        <v>336.7</v>
      </c>
    </row>
    <row r="1497" spans="1:27" x14ac:dyDescent="0.25">
      <c r="A1497" s="3">
        <f>DATE(Tab_Calculs[[#This Row],[ANNEE]],Tab_Calculs[[#This Row],[MOIS]],1)</f>
        <v>44562</v>
      </c>
      <c r="B1497" s="3">
        <f>EDATE(Tab_Calculs[[#This Row],[Début mois]],1)-1</f>
        <v>44592</v>
      </c>
      <c r="C1497">
        <f t="shared" si="52"/>
        <v>1</v>
      </c>
      <c r="D1497">
        <f t="shared" ref="D1497:D1509" si="53">D1485+1</f>
        <v>2022</v>
      </c>
      <c r="E1497" t="s">
        <v>87</v>
      </c>
      <c r="F1497" t="str">
        <f>SUBSTITUTE(Tab_Calculs[[#This Row],[Compteur]]," ","_")</f>
        <v>Compteur_8</v>
      </c>
      <c r="G1497" t="str">
        <f>T(INDEX(Site!$B$33:$G$40, MATCH(Tab_Calculs[[#This Row],[Compteur]], Site!$B$33:$B$40,0),2))</f>
        <v/>
      </c>
      <c r="H1497" s="3">
        <f t="array" aca="1" ref="H1497" ca="1">MIN(IF(INDIRECT(CONCATENATE(Tab_Calculs[[#This Row],[Colonne1]],"!$B$2:$B$243"))&gt;=Calculs_Consos!$A1497,INDIRECT(CONCATENATE(Tab_Calculs[[#This Row],[Colonne1]],"!$B$2:$B$243"))))</f>
        <v>0</v>
      </c>
      <c r="I1497" s="3">
        <f ca="1">INDEX(INDIRECT(CONCATENATE("Tab_",Tab_Calculs[[#This Row],[Colonne1]])),Tab_Calculs[[#This Row],[index_date_livraison]],1)</f>
        <v>0</v>
      </c>
      <c r="J1497">
        <f ca="1">MATCH(Tab_Calculs[[#This Row],[Date_livraison]],INDIRECT(CONCATENATE("Tab_",Tab_Calculs[[#This Row],[Colonne1]],"[Fin de période]")),0)</f>
        <v>1</v>
      </c>
      <c r="K1497" t="e">
        <f ca="1">INDEX(INDIRECT(CONCATENATE("Tab_",Tab_Calculs[[#This Row],[Colonne1]])),Tab_Calculs[[#This Row],[index_date_livraison]]-1,6)*(MAX(Tab_Calculs[[#This Row],[Début periode livraison]],Tab_Calculs[[#This Row],[Début mois]])-Tab_Calculs[[#This Row],[Début mois]])</f>
        <v>#VALUE!</v>
      </c>
      <c r="L1497" s="94">
        <f ca="1">INDEX(INDIRECT(CONCATENATE("Tab_",Tab_Calculs[[#This Row],[Colonne1]])),Tab_Calculs[[#This Row],[index_date_livraison]],6)*(1+MIN(Tab_Calculs[[#This Row],[Date_livraison]],Tab_Calculs[[#This Row],[fin mois]])-MAX(Tab_Calculs[[#This Row],[Début mois]],Tab_Calculs[[#This Row],[Début periode livraison]]))</f>
        <v>0</v>
      </c>
      <c r="M1497" s="94" t="e">
        <f ca="1">INDEX(INDIRECT(CONCATENATE("Tab_",Tab_Calculs[[#This Row],[Colonne1]])),Tab_Calculs[[#This Row],[index_date_livraison]]+1,6)*(Tab_Calculs[[#This Row],[fin mois]]-MIN(Tab_Calculs[[#This Row],[fin mois]],Tab_Calculs[[#This Row],[Date_livraison]]))</f>
        <v>#VALUE!</v>
      </c>
      <c r="N1497" s="231" t="str">
        <f ca="1">IFERROR(Tab_Calculs[[#This Row],[Ratio_jour_après_livr]]+Tab_Calculs[[#This Row],[Ratio_jour_avant_livr]]+Tab_Calculs[[#This Row],[ratio_avant_debut]],"")</f>
        <v/>
      </c>
      <c r="O1497" t="e">
        <f ca="1">INDEX(INDIRECT(CONCATENATE("Tab_",Tab_Calculs[[#This Row],[Colonne1]])),Tab_Calculs[[#This Row],[index_date_livraison]]-1,7)*(MAX(Tab_Calculs[[#This Row],[Début periode livraison]],Tab_Calculs[[#This Row],[Début mois]])-Tab_Calculs[[#This Row],[Début mois]])</f>
        <v>#VALUE!</v>
      </c>
      <c r="P1497">
        <f ca="1">INDEX(INDIRECT(CONCATENATE("Tab_",Tab_Calculs[[#This Row],[Colonne1]])),Tab_Calculs[[#This Row],[index_date_livraison]],7)*(1+MIN(Tab_Calculs[[#This Row],[Date_livraison]],Tab_Calculs[[#This Row],[fin mois]])-MAX(Tab_Calculs[[#This Row],[Début mois]],Tab_Calculs[[#This Row],[Début periode livraison]]))</f>
        <v>0</v>
      </c>
      <c r="Q1497" t="e">
        <f ca="1">INDEX(INDIRECT(CONCATENATE("Tab_",Tab_Calculs[[#This Row],[Colonne1]])),Tab_Calculs[[#This Row],[index_date_livraison]]+1,7)*(Tab_Calculs[[#This Row],[fin mois]]-MIN(Tab_Calculs[[#This Row],[fin mois]],Tab_Calculs[[#This Row],[Date_livraison]]))</f>
        <v>#VALUE!</v>
      </c>
      <c r="R1497" t="e">
        <f ca="1">Tab_Calculs[[#This Row],[Ratio_Cout_après_livr]]+Tab_Calculs[[#This Row],[Ratio_Cout_avant_livr]]+Tab_Calculs[[#This Row],[Ratio_Cout_avant_debut]]</f>
        <v>#VALUE!</v>
      </c>
      <c r="S1497" t="str">
        <f ca="1">IFERROR(N1497*VLOOKUP(Tab_Calculs[[#This Row],[Colonne1]],Controle_des_données!$B$7:$G$14,6,FALSE),"")</f>
        <v/>
      </c>
      <c r="T1497" t="str">
        <f ca="1">IF(Tab_Calculs[[#This Row],[Combustible ]]="Electricité (kWh)",Tab_Calculs[[#This Row],[Conso_mois_kWh]]*2.3,Tab_Calculs[[#This Row],[Conso_mois_kWh]])</f>
        <v/>
      </c>
      <c r="U1497" t="str">
        <f ca="1">IFERROR(N1497*VLOOKUP(Tab_Calculs[[#This Row],[Colonne1]],Controle_des_données!$B$7:$H$14,7,FALSE),"")</f>
        <v/>
      </c>
      <c r="V1497">
        <f ca="1">IFERROR(Tab_Calculs[[#This Row],[Cout_mois]]/Tab_Calculs[[#This Row],[Conso_mois_kWh]],0)</f>
        <v>0</v>
      </c>
      <c r="W1497" t="str">
        <f>T(VLOOKUP(Tab_Calculs[[#This Row],[Compteur]],Site!$B$33:$G$40,3,FALSE))</f>
        <v/>
      </c>
      <c r="X1497" t="str">
        <f>T(VLOOKUP(Tab_Calculs[[#This Row],[Compteur]],Site!$B$33:$G$40,4,FALSE))</f>
        <v/>
      </c>
      <c r="Y1497" t="str">
        <f>T(VLOOKUP(Tab_Calculs[[#This Row],[Compteur]],Site!$B$33:$G$40,5,FALSE))</f>
        <v/>
      </c>
      <c r="Z1497" t="str">
        <f>T(VLOOKUP(Tab_Calculs[[#This Row],[Compteur]],Site!$B$33:$G$40,6,FALSE))</f>
        <v/>
      </c>
      <c r="AA1497">
        <f>IFERROR(GETPIVOTDATA("DJU(chauffagiste)",BDD_DJU!$P$13,"annee",Tab_Calculs[[#This Row],[ANNEE]],"mois_numero",Tab_Calculs[[#This Row],[MOIS]]),0)</f>
        <v>396.3</v>
      </c>
    </row>
    <row r="1498" spans="1:27" x14ac:dyDescent="0.25">
      <c r="A1498" s="3">
        <f>DATE(Tab_Calculs[[#This Row],[ANNEE]],Tab_Calculs[[#This Row],[MOIS]],1)</f>
        <v>44593</v>
      </c>
      <c r="B1498" s="3">
        <f>EDATE(Tab_Calculs[[#This Row],[Début mois]],1)-1</f>
        <v>44620</v>
      </c>
      <c r="C1498">
        <f t="shared" si="52"/>
        <v>2</v>
      </c>
      <c r="D1498">
        <f t="shared" si="53"/>
        <v>2022</v>
      </c>
      <c r="E1498" t="s">
        <v>87</v>
      </c>
      <c r="F1498" t="str">
        <f>SUBSTITUTE(Tab_Calculs[[#This Row],[Compteur]]," ","_")</f>
        <v>Compteur_8</v>
      </c>
      <c r="G1498" t="str">
        <f>T(INDEX(Site!$B$33:$G$40, MATCH(Tab_Calculs[[#This Row],[Compteur]], Site!$B$33:$B$40,0),2))</f>
        <v/>
      </c>
      <c r="H1498" s="3">
        <f t="array" aca="1" ref="H1498" ca="1">MIN(IF(INDIRECT(CONCATENATE(Tab_Calculs[[#This Row],[Colonne1]],"!$B$2:$B$243"))&gt;=Calculs_Consos!$A1498,INDIRECT(CONCATENATE(Tab_Calculs[[#This Row],[Colonne1]],"!$B$2:$B$243"))))</f>
        <v>0</v>
      </c>
      <c r="I1498" s="3">
        <f ca="1">INDEX(INDIRECT(CONCATENATE("Tab_",Tab_Calculs[[#This Row],[Colonne1]])),Tab_Calculs[[#This Row],[index_date_livraison]],1)</f>
        <v>0</v>
      </c>
      <c r="J1498">
        <f ca="1">MATCH(Tab_Calculs[[#This Row],[Date_livraison]],INDIRECT(CONCATENATE("Tab_",Tab_Calculs[[#This Row],[Colonne1]],"[Fin de période]")),0)</f>
        <v>1</v>
      </c>
      <c r="K1498" t="e">
        <f ca="1">INDEX(INDIRECT(CONCATENATE("Tab_",Tab_Calculs[[#This Row],[Colonne1]])),Tab_Calculs[[#This Row],[index_date_livraison]]-1,6)*(MAX(Tab_Calculs[[#This Row],[Début periode livraison]],Tab_Calculs[[#This Row],[Début mois]])-Tab_Calculs[[#This Row],[Début mois]])</f>
        <v>#VALUE!</v>
      </c>
      <c r="L1498" s="94">
        <f ca="1">INDEX(INDIRECT(CONCATENATE("Tab_",Tab_Calculs[[#This Row],[Colonne1]])),Tab_Calculs[[#This Row],[index_date_livraison]],6)*(1+MIN(Tab_Calculs[[#This Row],[Date_livraison]],Tab_Calculs[[#This Row],[fin mois]])-MAX(Tab_Calculs[[#This Row],[Début mois]],Tab_Calculs[[#This Row],[Début periode livraison]]))</f>
        <v>0</v>
      </c>
      <c r="M1498" s="94" t="e">
        <f ca="1">INDEX(INDIRECT(CONCATENATE("Tab_",Tab_Calculs[[#This Row],[Colonne1]])),Tab_Calculs[[#This Row],[index_date_livraison]]+1,6)*(Tab_Calculs[[#This Row],[fin mois]]-MIN(Tab_Calculs[[#This Row],[fin mois]],Tab_Calculs[[#This Row],[Date_livraison]]))</f>
        <v>#VALUE!</v>
      </c>
      <c r="N1498" s="231" t="str">
        <f ca="1">IFERROR(Tab_Calculs[[#This Row],[Ratio_jour_après_livr]]+Tab_Calculs[[#This Row],[Ratio_jour_avant_livr]]+Tab_Calculs[[#This Row],[ratio_avant_debut]],"")</f>
        <v/>
      </c>
      <c r="O1498" t="e">
        <f ca="1">INDEX(INDIRECT(CONCATENATE("Tab_",Tab_Calculs[[#This Row],[Colonne1]])),Tab_Calculs[[#This Row],[index_date_livraison]]-1,7)*(MAX(Tab_Calculs[[#This Row],[Début periode livraison]],Tab_Calculs[[#This Row],[Début mois]])-Tab_Calculs[[#This Row],[Début mois]])</f>
        <v>#VALUE!</v>
      </c>
      <c r="P1498">
        <f ca="1">INDEX(INDIRECT(CONCATENATE("Tab_",Tab_Calculs[[#This Row],[Colonne1]])),Tab_Calculs[[#This Row],[index_date_livraison]],7)*(1+MIN(Tab_Calculs[[#This Row],[Date_livraison]],Tab_Calculs[[#This Row],[fin mois]])-MAX(Tab_Calculs[[#This Row],[Début mois]],Tab_Calculs[[#This Row],[Début periode livraison]]))</f>
        <v>0</v>
      </c>
      <c r="Q1498" t="e">
        <f ca="1">INDEX(INDIRECT(CONCATENATE("Tab_",Tab_Calculs[[#This Row],[Colonne1]])),Tab_Calculs[[#This Row],[index_date_livraison]]+1,7)*(Tab_Calculs[[#This Row],[fin mois]]-MIN(Tab_Calculs[[#This Row],[fin mois]],Tab_Calculs[[#This Row],[Date_livraison]]))</f>
        <v>#VALUE!</v>
      </c>
      <c r="R1498" t="e">
        <f ca="1">Tab_Calculs[[#This Row],[Ratio_Cout_après_livr]]+Tab_Calculs[[#This Row],[Ratio_Cout_avant_livr]]+Tab_Calculs[[#This Row],[Ratio_Cout_avant_debut]]</f>
        <v>#VALUE!</v>
      </c>
      <c r="S1498" t="str">
        <f ca="1">IFERROR(N1498*VLOOKUP(Tab_Calculs[[#This Row],[Colonne1]],Controle_des_données!$B$7:$G$14,6,FALSE),"")</f>
        <v/>
      </c>
      <c r="T1498" t="str">
        <f ca="1">IF(Tab_Calculs[[#This Row],[Combustible ]]="Electricité (kWh)",Tab_Calculs[[#This Row],[Conso_mois_kWh]]*2.3,Tab_Calculs[[#This Row],[Conso_mois_kWh]])</f>
        <v/>
      </c>
      <c r="U1498" t="str">
        <f ca="1">IFERROR(N1498*VLOOKUP(Tab_Calculs[[#This Row],[Colonne1]],Controle_des_données!$B$7:$H$14,7,FALSE),"")</f>
        <v/>
      </c>
      <c r="V1498">
        <f ca="1">IFERROR(Tab_Calculs[[#This Row],[Cout_mois]]/Tab_Calculs[[#This Row],[Conso_mois_kWh]],0)</f>
        <v>0</v>
      </c>
      <c r="W1498" t="str">
        <f>T(VLOOKUP(Tab_Calculs[[#This Row],[Compteur]],Site!$B$33:$G$40,3,FALSE))</f>
        <v/>
      </c>
      <c r="X1498" t="str">
        <f>T(VLOOKUP(Tab_Calculs[[#This Row],[Compteur]],Site!$B$33:$G$40,4,FALSE))</f>
        <v/>
      </c>
      <c r="Y1498" t="str">
        <f>T(VLOOKUP(Tab_Calculs[[#This Row],[Compteur]],Site!$B$33:$G$40,5,FALSE))</f>
        <v/>
      </c>
      <c r="Z1498" t="str">
        <f>T(VLOOKUP(Tab_Calculs[[#This Row],[Compteur]],Site!$B$33:$G$40,6,FALSE))</f>
        <v/>
      </c>
      <c r="AA1498">
        <f>IFERROR(GETPIVOTDATA("DJU(chauffagiste)",BDD_DJU!$P$13,"annee",Tab_Calculs[[#This Row],[ANNEE]],"mois_numero",Tab_Calculs[[#This Row],[MOIS]]),0)</f>
        <v>286.10000000000002</v>
      </c>
    </row>
    <row r="1499" spans="1:27" x14ac:dyDescent="0.25">
      <c r="A1499" s="3">
        <f>DATE(Tab_Calculs[[#This Row],[ANNEE]],Tab_Calculs[[#This Row],[MOIS]],1)</f>
        <v>44621</v>
      </c>
      <c r="B1499" s="3">
        <f>EDATE(Tab_Calculs[[#This Row],[Début mois]],1)-1</f>
        <v>44651</v>
      </c>
      <c r="C1499">
        <f t="shared" si="52"/>
        <v>3</v>
      </c>
      <c r="D1499">
        <f t="shared" si="53"/>
        <v>2022</v>
      </c>
      <c r="E1499" t="s">
        <v>87</v>
      </c>
      <c r="F1499" t="str">
        <f>SUBSTITUTE(Tab_Calculs[[#This Row],[Compteur]]," ","_")</f>
        <v>Compteur_8</v>
      </c>
      <c r="G1499" t="str">
        <f>T(INDEX(Site!$B$33:$G$40, MATCH(Tab_Calculs[[#This Row],[Compteur]], Site!$B$33:$B$40,0),2))</f>
        <v/>
      </c>
      <c r="H1499" s="3">
        <f t="array" aca="1" ref="H1499" ca="1">MIN(IF(INDIRECT(CONCATENATE(Tab_Calculs[[#This Row],[Colonne1]],"!$B$2:$B$243"))&gt;=Calculs_Consos!$A1499,INDIRECT(CONCATENATE(Tab_Calculs[[#This Row],[Colonne1]],"!$B$2:$B$243"))))</f>
        <v>0</v>
      </c>
      <c r="I1499" s="3">
        <f ca="1">INDEX(INDIRECT(CONCATENATE("Tab_",Tab_Calculs[[#This Row],[Colonne1]])),Tab_Calculs[[#This Row],[index_date_livraison]],1)</f>
        <v>0</v>
      </c>
      <c r="J1499">
        <f ca="1">MATCH(Tab_Calculs[[#This Row],[Date_livraison]],INDIRECT(CONCATENATE("Tab_",Tab_Calculs[[#This Row],[Colonne1]],"[Fin de période]")),0)</f>
        <v>1</v>
      </c>
      <c r="K1499" t="e">
        <f ca="1">INDEX(INDIRECT(CONCATENATE("Tab_",Tab_Calculs[[#This Row],[Colonne1]])),Tab_Calculs[[#This Row],[index_date_livraison]]-1,6)*(MAX(Tab_Calculs[[#This Row],[Début periode livraison]],Tab_Calculs[[#This Row],[Début mois]])-Tab_Calculs[[#This Row],[Début mois]])</f>
        <v>#VALUE!</v>
      </c>
      <c r="L1499" s="94">
        <f ca="1">INDEX(INDIRECT(CONCATENATE("Tab_",Tab_Calculs[[#This Row],[Colonne1]])),Tab_Calculs[[#This Row],[index_date_livraison]],6)*(1+MIN(Tab_Calculs[[#This Row],[Date_livraison]],Tab_Calculs[[#This Row],[fin mois]])-MAX(Tab_Calculs[[#This Row],[Début mois]],Tab_Calculs[[#This Row],[Début periode livraison]]))</f>
        <v>0</v>
      </c>
      <c r="M1499" s="94" t="e">
        <f ca="1">INDEX(INDIRECT(CONCATENATE("Tab_",Tab_Calculs[[#This Row],[Colonne1]])),Tab_Calculs[[#This Row],[index_date_livraison]]+1,6)*(Tab_Calculs[[#This Row],[fin mois]]-MIN(Tab_Calculs[[#This Row],[fin mois]],Tab_Calculs[[#This Row],[Date_livraison]]))</f>
        <v>#VALUE!</v>
      </c>
      <c r="N1499" s="231" t="str">
        <f ca="1">IFERROR(Tab_Calculs[[#This Row],[Ratio_jour_après_livr]]+Tab_Calculs[[#This Row],[Ratio_jour_avant_livr]]+Tab_Calculs[[#This Row],[ratio_avant_debut]],"")</f>
        <v/>
      </c>
      <c r="O1499" t="e">
        <f ca="1">INDEX(INDIRECT(CONCATENATE("Tab_",Tab_Calculs[[#This Row],[Colonne1]])),Tab_Calculs[[#This Row],[index_date_livraison]]-1,7)*(MAX(Tab_Calculs[[#This Row],[Début periode livraison]],Tab_Calculs[[#This Row],[Début mois]])-Tab_Calculs[[#This Row],[Début mois]])</f>
        <v>#VALUE!</v>
      </c>
      <c r="P1499">
        <f ca="1">INDEX(INDIRECT(CONCATENATE("Tab_",Tab_Calculs[[#This Row],[Colonne1]])),Tab_Calculs[[#This Row],[index_date_livraison]],7)*(1+MIN(Tab_Calculs[[#This Row],[Date_livraison]],Tab_Calculs[[#This Row],[fin mois]])-MAX(Tab_Calculs[[#This Row],[Début mois]],Tab_Calculs[[#This Row],[Début periode livraison]]))</f>
        <v>0</v>
      </c>
      <c r="Q1499" t="e">
        <f ca="1">INDEX(INDIRECT(CONCATENATE("Tab_",Tab_Calculs[[#This Row],[Colonne1]])),Tab_Calculs[[#This Row],[index_date_livraison]]+1,7)*(Tab_Calculs[[#This Row],[fin mois]]-MIN(Tab_Calculs[[#This Row],[fin mois]],Tab_Calculs[[#This Row],[Date_livraison]]))</f>
        <v>#VALUE!</v>
      </c>
      <c r="R1499" t="e">
        <f ca="1">Tab_Calculs[[#This Row],[Ratio_Cout_après_livr]]+Tab_Calculs[[#This Row],[Ratio_Cout_avant_livr]]+Tab_Calculs[[#This Row],[Ratio_Cout_avant_debut]]</f>
        <v>#VALUE!</v>
      </c>
      <c r="S1499" t="str">
        <f ca="1">IFERROR(N1499*VLOOKUP(Tab_Calculs[[#This Row],[Colonne1]],Controle_des_données!$B$7:$G$14,6,FALSE),"")</f>
        <v/>
      </c>
      <c r="T1499" t="str">
        <f ca="1">IF(Tab_Calculs[[#This Row],[Combustible ]]="Electricité (kWh)",Tab_Calculs[[#This Row],[Conso_mois_kWh]]*2.3,Tab_Calculs[[#This Row],[Conso_mois_kWh]])</f>
        <v/>
      </c>
      <c r="U1499" t="str">
        <f ca="1">IFERROR(N1499*VLOOKUP(Tab_Calculs[[#This Row],[Colonne1]],Controle_des_données!$B$7:$H$14,7,FALSE),"")</f>
        <v/>
      </c>
      <c r="V1499">
        <f ca="1">IFERROR(Tab_Calculs[[#This Row],[Cout_mois]]/Tab_Calculs[[#This Row],[Conso_mois_kWh]],0)</f>
        <v>0</v>
      </c>
      <c r="W1499" t="str">
        <f>T(VLOOKUP(Tab_Calculs[[#This Row],[Compteur]],Site!$B$33:$G$40,3,FALSE))</f>
        <v/>
      </c>
      <c r="X1499" t="str">
        <f>T(VLOOKUP(Tab_Calculs[[#This Row],[Compteur]],Site!$B$33:$G$40,4,FALSE))</f>
        <v/>
      </c>
      <c r="Y1499" t="str">
        <f>T(VLOOKUP(Tab_Calculs[[#This Row],[Compteur]],Site!$B$33:$G$40,5,FALSE))</f>
        <v/>
      </c>
      <c r="Z1499" t="str">
        <f>T(VLOOKUP(Tab_Calculs[[#This Row],[Compteur]],Site!$B$33:$G$40,6,FALSE))</f>
        <v/>
      </c>
      <c r="AA1499">
        <f>IFERROR(GETPIVOTDATA("DJU(chauffagiste)",BDD_DJU!$P$13,"annee",Tab_Calculs[[#This Row],[ANNEE]],"mois_numero",Tab_Calculs[[#This Row],[MOIS]]),0)</f>
        <v>239.8</v>
      </c>
    </row>
    <row r="1500" spans="1:27" x14ac:dyDescent="0.25">
      <c r="A1500" s="3">
        <f>DATE(Tab_Calculs[[#This Row],[ANNEE]],Tab_Calculs[[#This Row],[MOIS]],1)</f>
        <v>44652</v>
      </c>
      <c r="B1500" s="3">
        <f>EDATE(Tab_Calculs[[#This Row],[Début mois]],1)-1</f>
        <v>44681</v>
      </c>
      <c r="C1500">
        <f t="shared" si="52"/>
        <v>4</v>
      </c>
      <c r="D1500">
        <f t="shared" si="53"/>
        <v>2022</v>
      </c>
      <c r="E1500" t="s">
        <v>87</v>
      </c>
      <c r="F1500" t="str">
        <f>SUBSTITUTE(Tab_Calculs[[#This Row],[Compteur]]," ","_")</f>
        <v>Compteur_8</v>
      </c>
      <c r="G1500" t="str">
        <f>T(INDEX(Site!$B$33:$G$40, MATCH(Tab_Calculs[[#This Row],[Compteur]], Site!$B$33:$B$40,0),2))</f>
        <v/>
      </c>
      <c r="H1500" s="3">
        <f t="array" aca="1" ref="H1500" ca="1">MIN(IF(INDIRECT(CONCATENATE(Tab_Calculs[[#This Row],[Colonne1]],"!$B$2:$B$243"))&gt;=Calculs_Consos!$A1500,INDIRECT(CONCATENATE(Tab_Calculs[[#This Row],[Colonne1]],"!$B$2:$B$243"))))</f>
        <v>0</v>
      </c>
      <c r="I1500" s="3">
        <f ca="1">INDEX(INDIRECT(CONCATENATE("Tab_",Tab_Calculs[[#This Row],[Colonne1]])),Tab_Calculs[[#This Row],[index_date_livraison]],1)</f>
        <v>0</v>
      </c>
      <c r="J1500">
        <f ca="1">MATCH(Tab_Calculs[[#This Row],[Date_livraison]],INDIRECT(CONCATENATE("Tab_",Tab_Calculs[[#This Row],[Colonne1]],"[Fin de période]")),0)</f>
        <v>1</v>
      </c>
      <c r="K1500" t="e">
        <f ca="1">INDEX(INDIRECT(CONCATENATE("Tab_",Tab_Calculs[[#This Row],[Colonne1]])),Tab_Calculs[[#This Row],[index_date_livraison]]-1,6)*(MAX(Tab_Calculs[[#This Row],[Début periode livraison]],Tab_Calculs[[#This Row],[Début mois]])-Tab_Calculs[[#This Row],[Début mois]])</f>
        <v>#VALUE!</v>
      </c>
      <c r="L1500" s="94">
        <f ca="1">INDEX(INDIRECT(CONCATENATE("Tab_",Tab_Calculs[[#This Row],[Colonne1]])),Tab_Calculs[[#This Row],[index_date_livraison]],6)*(1+MIN(Tab_Calculs[[#This Row],[Date_livraison]],Tab_Calculs[[#This Row],[fin mois]])-MAX(Tab_Calculs[[#This Row],[Début mois]],Tab_Calculs[[#This Row],[Début periode livraison]]))</f>
        <v>0</v>
      </c>
      <c r="M1500" s="94" t="e">
        <f ca="1">INDEX(INDIRECT(CONCATENATE("Tab_",Tab_Calculs[[#This Row],[Colonne1]])),Tab_Calculs[[#This Row],[index_date_livraison]]+1,6)*(Tab_Calculs[[#This Row],[fin mois]]-MIN(Tab_Calculs[[#This Row],[fin mois]],Tab_Calculs[[#This Row],[Date_livraison]]))</f>
        <v>#VALUE!</v>
      </c>
      <c r="N1500" s="231" t="str">
        <f ca="1">IFERROR(Tab_Calculs[[#This Row],[Ratio_jour_après_livr]]+Tab_Calculs[[#This Row],[Ratio_jour_avant_livr]]+Tab_Calculs[[#This Row],[ratio_avant_debut]],"")</f>
        <v/>
      </c>
      <c r="O1500" t="e">
        <f ca="1">INDEX(INDIRECT(CONCATENATE("Tab_",Tab_Calculs[[#This Row],[Colonne1]])),Tab_Calculs[[#This Row],[index_date_livraison]]-1,7)*(MAX(Tab_Calculs[[#This Row],[Début periode livraison]],Tab_Calculs[[#This Row],[Début mois]])-Tab_Calculs[[#This Row],[Début mois]])</f>
        <v>#VALUE!</v>
      </c>
      <c r="P1500">
        <f ca="1">INDEX(INDIRECT(CONCATENATE("Tab_",Tab_Calculs[[#This Row],[Colonne1]])),Tab_Calculs[[#This Row],[index_date_livraison]],7)*(1+MIN(Tab_Calculs[[#This Row],[Date_livraison]],Tab_Calculs[[#This Row],[fin mois]])-MAX(Tab_Calculs[[#This Row],[Début mois]],Tab_Calculs[[#This Row],[Début periode livraison]]))</f>
        <v>0</v>
      </c>
      <c r="Q1500" t="e">
        <f ca="1">INDEX(INDIRECT(CONCATENATE("Tab_",Tab_Calculs[[#This Row],[Colonne1]])),Tab_Calculs[[#This Row],[index_date_livraison]]+1,7)*(Tab_Calculs[[#This Row],[fin mois]]-MIN(Tab_Calculs[[#This Row],[fin mois]],Tab_Calculs[[#This Row],[Date_livraison]]))</f>
        <v>#VALUE!</v>
      </c>
      <c r="R1500" t="e">
        <f ca="1">Tab_Calculs[[#This Row],[Ratio_Cout_après_livr]]+Tab_Calculs[[#This Row],[Ratio_Cout_avant_livr]]+Tab_Calculs[[#This Row],[Ratio_Cout_avant_debut]]</f>
        <v>#VALUE!</v>
      </c>
      <c r="S1500" t="str">
        <f ca="1">IFERROR(N1500*VLOOKUP(Tab_Calculs[[#This Row],[Colonne1]],Controle_des_données!$B$7:$G$14,6,FALSE),"")</f>
        <v/>
      </c>
      <c r="T1500" t="str">
        <f ca="1">IF(Tab_Calculs[[#This Row],[Combustible ]]="Electricité (kWh)",Tab_Calculs[[#This Row],[Conso_mois_kWh]]*2.3,Tab_Calculs[[#This Row],[Conso_mois_kWh]])</f>
        <v/>
      </c>
      <c r="U1500" t="str">
        <f ca="1">IFERROR(N1500*VLOOKUP(Tab_Calculs[[#This Row],[Colonne1]],Controle_des_données!$B$7:$H$14,7,FALSE),"")</f>
        <v/>
      </c>
      <c r="V1500">
        <f ca="1">IFERROR(Tab_Calculs[[#This Row],[Cout_mois]]/Tab_Calculs[[#This Row],[Conso_mois_kWh]],0)</f>
        <v>0</v>
      </c>
      <c r="W1500" t="str">
        <f>T(VLOOKUP(Tab_Calculs[[#This Row],[Compteur]],Site!$B$33:$G$40,3,FALSE))</f>
        <v/>
      </c>
      <c r="X1500" t="str">
        <f>T(VLOOKUP(Tab_Calculs[[#This Row],[Compteur]],Site!$B$33:$G$40,4,FALSE))</f>
        <v/>
      </c>
      <c r="Y1500" t="str">
        <f>T(VLOOKUP(Tab_Calculs[[#This Row],[Compteur]],Site!$B$33:$G$40,5,FALSE))</f>
        <v/>
      </c>
      <c r="Z1500" t="str">
        <f>T(VLOOKUP(Tab_Calculs[[#This Row],[Compteur]],Site!$B$33:$G$40,6,FALSE))</f>
        <v/>
      </c>
      <c r="AA1500">
        <f>IFERROR(GETPIVOTDATA("DJU(chauffagiste)",BDD_DJU!$P$13,"annee",Tab_Calculs[[#This Row],[ANNEE]],"mois_numero",Tab_Calculs[[#This Row],[MOIS]]),0)</f>
        <v>192.3</v>
      </c>
    </row>
    <row r="1501" spans="1:27" x14ac:dyDescent="0.25">
      <c r="A1501" s="3">
        <f>DATE(Tab_Calculs[[#This Row],[ANNEE]],Tab_Calculs[[#This Row],[MOIS]],1)</f>
        <v>44682</v>
      </c>
      <c r="B1501" s="3">
        <f>EDATE(Tab_Calculs[[#This Row],[Début mois]],1)-1</f>
        <v>44712</v>
      </c>
      <c r="C1501">
        <f t="shared" si="52"/>
        <v>5</v>
      </c>
      <c r="D1501">
        <f t="shared" si="53"/>
        <v>2022</v>
      </c>
      <c r="E1501" t="s">
        <v>87</v>
      </c>
      <c r="F1501" t="str">
        <f>SUBSTITUTE(Tab_Calculs[[#This Row],[Compteur]]," ","_")</f>
        <v>Compteur_8</v>
      </c>
      <c r="G1501" t="str">
        <f>T(INDEX(Site!$B$33:$G$40, MATCH(Tab_Calculs[[#This Row],[Compteur]], Site!$B$33:$B$40,0),2))</f>
        <v/>
      </c>
      <c r="H1501" s="3">
        <f t="array" aca="1" ref="H1501" ca="1">MIN(IF(INDIRECT(CONCATENATE(Tab_Calculs[[#This Row],[Colonne1]],"!$B$2:$B$243"))&gt;=Calculs_Consos!$A1501,INDIRECT(CONCATENATE(Tab_Calculs[[#This Row],[Colonne1]],"!$B$2:$B$243"))))</f>
        <v>0</v>
      </c>
      <c r="I1501" s="3">
        <f ca="1">INDEX(INDIRECT(CONCATENATE("Tab_",Tab_Calculs[[#This Row],[Colonne1]])),Tab_Calculs[[#This Row],[index_date_livraison]],1)</f>
        <v>0</v>
      </c>
      <c r="J1501">
        <f ca="1">MATCH(Tab_Calculs[[#This Row],[Date_livraison]],INDIRECT(CONCATENATE("Tab_",Tab_Calculs[[#This Row],[Colonne1]],"[Fin de période]")),0)</f>
        <v>1</v>
      </c>
      <c r="K1501" t="e">
        <f ca="1">INDEX(INDIRECT(CONCATENATE("Tab_",Tab_Calculs[[#This Row],[Colonne1]])),Tab_Calculs[[#This Row],[index_date_livraison]]-1,6)*(MAX(Tab_Calculs[[#This Row],[Début periode livraison]],Tab_Calculs[[#This Row],[Début mois]])-Tab_Calculs[[#This Row],[Début mois]])</f>
        <v>#VALUE!</v>
      </c>
      <c r="L1501" s="94">
        <f ca="1">INDEX(INDIRECT(CONCATENATE("Tab_",Tab_Calculs[[#This Row],[Colonne1]])),Tab_Calculs[[#This Row],[index_date_livraison]],6)*(1+MIN(Tab_Calculs[[#This Row],[Date_livraison]],Tab_Calculs[[#This Row],[fin mois]])-MAX(Tab_Calculs[[#This Row],[Début mois]],Tab_Calculs[[#This Row],[Début periode livraison]]))</f>
        <v>0</v>
      </c>
      <c r="M1501" s="94" t="e">
        <f ca="1">INDEX(INDIRECT(CONCATENATE("Tab_",Tab_Calculs[[#This Row],[Colonne1]])),Tab_Calculs[[#This Row],[index_date_livraison]]+1,6)*(Tab_Calculs[[#This Row],[fin mois]]-MIN(Tab_Calculs[[#This Row],[fin mois]],Tab_Calculs[[#This Row],[Date_livraison]]))</f>
        <v>#VALUE!</v>
      </c>
      <c r="N1501" s="231" t="str">
        <f ca="1">IFERROR(Tab_Calculs[[#This Row],[Ratio_jour_après_livr]]+Tab_Calculs[[#This Row],[Ratio_jour_avant_livr]]+Tab_Calculs[[#This Row],[ratio_avant_debut]],"")</f>
        <v/>
      </c>
      <c r="O1501" t="e">
        <f ca="1">INDEX(INDIRECT(CONCATENATE("Tab_",Tab_Calculs[[#This Row],[Colonne1]])),Tab_Calculs[[#This Row],[index_date_livraison]]-1,7)*(MAX(Tab_Calculs[[#This Row],[Début periode livraison]],Tab_Calculs[[#This Row],[Début mois]])-Tab_Calculs[[#This Row],[Début mois]])</f>
        <v>#VALUE!</v>
      </c>
      <c r="P1501">
        <f ca="1">INDEX(INDIRECT(CONCATENATE("Tab_",Tab_Calculs[[#This Row],[Colonne1]])),Tab_Calculs[[#This Row],[index_date_livraison]],7)*(1+MIN(Tab_Calculs[[#This Row],[Date_livraison]],Tab_Calculs[[#This Row],[fin mois]])-MAX(Tab_Calculs[[#This Row],[Début mois]],Tab_Calculs[[#This Row],[Début periode livraison]]))</f>
        <v>0</v>
      </c>
      <c r="Q1501" t="e">
        <f ca="1">INDEX(INDIRECT(CONCATENATE("Tab_",Tab_Calculs[[#This Row],[Colonne1]])),Tab_Calculs[[#This Row],[index_date_livraison]]+1,7)*(Tab_Calculs[[#This Row],[fin mois]]-MIN(Tab_Calculs[[#This Row],[fin mois]],Tab_Calculs[[#This Row],[Date_livraison]]))</f>
        <v>#VALUE!</v>
      </c>
      <c r="R1501" t="e">
        <f ca="1">Tab_Calculs[[#This Row],[Ratio_Cout_après_livr]]+Tab_Calculs[[#This Row],[Ratio_Cout_avant_livr]]+Tab_Calculs[[#This Row],[Ratio_Cout_avant_debut]]</f>
        <v>#VALUE!</v>
      </c>
      <c r="S1501" t="str">
        <f ca="1">IFERROR(N1501*VLOOKUP(Tab_Calculs[[#This Row],[Colonne1]],Controle_des_données!$B$7:$G$14,6,FALSE),"")</f>
        <v/>
      </c>
      <c r="T1501" t="str">
        <f ca="1">IF(Tab_Calculs[[#This Row],[Combustible ]]="Electricité (kWh)",Tab_Calculs[[#This Row],[Conso_mois_kWh]]*2.3,Tab_Calculs[[#This Row],[Conso_mois_kWh]])</f>
        <v/>
      </c>
      <c r="U1501" t="str">
        <f ca="1">IFERROR(N1501*VLOOKUP(Tab_Calculs[[#This Row],[Colonne1]],Controle_des_données!$B$7:$H$14,7,FALSE),"")</f>
        <v/>
      </c>
      <c r="V1501">
        <f ca="1">IFERROR(Tab_Calculs[[#This Row],[Cout_mois]]/Tab_Calculs[[#This Row],[Conso_mois_kWh]],0)</f>
        <v>0</v>
      </c>
      <c r="W1501" t="str">
        <f>T(VLOOKUP(Tab_Calculs[[#This Row],[Compteur]],Site!$B$33:$G$40,3,FALSE))</f>
        <v/>
      </c>
      <c r="X1501" t="str">
        <f>T(VLOOKUP(Tab_Calculs[[#This Row],[Compteur]],Site!$B$33:$G$40,4,FALSE))</f>
        <v/>
      </c>
      <c r="Y1501" t="str">
        <f>T(VLOOKUP(Tab_Calculs[[#This Row],[Compteur]],Site!$B$33:$G$40,5,FALSE))</f>
        <v/>
      </c>
      <c r="Z1501" t="str">
        <f>T(VLOOKUP(Tab_Calculs[[#This Row],[Compteur]],Site!$B$33:$G$40,6,FALSE))</f>
        <v/>
      </c>
      <c r="AA1501">
        <f>IFERROR(GETPIVOTDATA("DJU(chauffagiste)",BDD_DJU!$P$13,"annee",Tab_Calculs[[#This Row],[ANNEE]],"mois_numero",Tab_Calculs[[#This Row],[MOIS]]),0)</f>
        <v>81.8</v>
      </c>
    </row>
    <row r="1502" spans="1:27" x14ac:dyDescent="0.25">
      <c r="A1502" s="3">
        <f>DATE(Tab_Calculs[[#This Row],[ANNEE]],Tab_Calculs[[#This Row],[MOIS]],1)</f>
        <v>44713</v>
      </c>
      <c r="B1502" s="3">
        <f>EDATE(Tab_Calculs[[#This Row],[Début mois]],1)-1</f>
        <v>44742</v>
      </c>
      <c r="C1502">
        <f t="shared" si="52"/>
        <v>6</v>
      </c>
      <c r="D1502">
        <f t="shared" si="53"/>
        <v>2022</v>
      </c>
      <c r="E1502" t="s">
        <v>87</v>
      </c>
      <c r="F1502" t="str">
        <f>SUBSTITUTE(Tab_Calculs[[#This Row],[Compteur]]," ","_")</f>
        <v>Compteur_8</v>
      </c>
      <c r="G1502" t="str">
        <f>T(INDEX(Site!$B$33:$G$40, MATCH(Tab_Calculs[[#This Row],[Compteur]], Site!$B$33:$B$40,0),2))</f>
        <v/>
      </c>
      <c r="H1502" s="3">
        <f t="array" aca="1" ref="H1502" ca="1">MIN(IF(INDIRECT(CONCATENATE(Tab_Calculs[[#This Row],[Colonne1]],"!$B$2:$B$243"))&gt;=Calculs_Consos!$A1502,INDIRECT(CONCATENATE(Tab_Calculs[[#This Row],[Colonne1]],"!$B$2:$B$243"))))</f>
        <v>0</v>
      </c>
      <c r="I1502" s="3">
        <f ca="1">INDEX(INDIRECT(CONCATENATE("Tab_",Tab_Calculs[[#This Row],[Colonne1]])),Tab_Calculs[[#This Row],[index_date_livraison]],1)</f>
        <v>0</v>
      </c>
      <c r="J1502">
        <f ca="1">MATCH(Tab_Calculs[[#This Row],[Date_livraison]],INDIRECT(CONCATENATE("Tab_",Tab_Calculs[[#This Row],[Colonne1]],"[Fin de période]")),0)</f>
        <v>1</v>
      </c>
      <c r="K1502" t="e">
        <f ca="1">INDEX(INDIRECT(CONCATENATE("Tab_",Tab_Calculs[[#This Row],[Colonne1]])),Tab_Calculs[[#This Row],[index_date_livraison]]-1,6)*(MAX(Tab_Calculs[[#This Row],[Début periode livraison]],Tab_Calculs[[#This Row],[Début mois]])-Tab_Calculs[[#This Row],[Début mois]])</f>
        <v>#VALUE!</v>
      </c>
      <c r="L1502" s="94">
        <f ca="1">INDEX(INDIRECT(CONCATENATE("Tab_",Tab_Calculs[[#This Row],[Colonne1]])),Tab_Calculs[[#This Row],[index_date_livraison]],6)*(1+MIN(Tab_Calculs[[#This Row],[Date_livraison]],Tab_Calculs[[#This Row],[fin mois]])-MAX(Tab_Calculs[[#This Row],[Début mois]],Tab_Calculs[[#This Row],[Début periode livraison]]))</f>
        <v>0</v>
      </c>
      <c r="M1502" s="94" t="e">
        <f ca="1">INDEX(INDIRECT(CONCATENATE("Tab_",Tab_Calculs[[#This Row],[Colonne1]])),Tab_Calculs[[#This Row],[index_date_livraison]]+1,6)*(Tab_Calculs[[#This Row],[fin mois]]-MIN(Tab_Calculs[[#This Row],[fin mois]],Tab_Calculs[[#This Row],[Date_livraison]]))</f>
        <v>#VALUE!</v>
      </c>
      <c r="N1502" s="231" t="str">
        <f ca="1">IFERROR(Tab_Calculs[[#This Row],[Ratio_jour_après_livr]]+Tab_Calculs[[#This Row],[Ratio_jour_avant_livr]]+Tab_Calculs[[#This Row],[ratio_avant_debut]],"")</f>
        <v/>
      </c>
      <c r="O1502" t="e">
        <f ca="1">INDEX(INDIRECT(CONCATENATE("Tab_",Tab_Calculs[[#This Row],[Colonne1]])),Tab_Calculs[[#This Row],[index_date_livraison]]-1,7)*(MAX(Tab_Calculs[[#This Row],[Début periode livraison]],Tab_Calculs[[#This Row],[Début mois]])-Tab_Calculs[[#This Row],[Début mois]])</f>
        <v>#VALUE!</v>
      </c>
      <c r="P1502">
        <f ca="1">INDEX(INDIRECT(CONCATENATE("Tab_",Tab_Calculs[[#This Row],[Colonne1]])),Tab_Calculs[[#This Row],[index_date_livraison]],7)*(1+MIN(Tab_Calculs[[#This Row],[Date_livraison]],Tab_Calculs[[#This Row],[fin mois]])-MAX(Tab_Calculs[[#This Row],[Début mois]],Tab_Calculs[[#This Row],[Début periode livraison]]))</f>
        <v>0</v>
      </c>
      <c r="Q1502" t="e">
        <f ca="1">INDEX(INDIRECT(CONCATENATE("Tab_",Tab_Calculs[[#This Row],[Colonne1]])),Tab_Calculs[[#This Row],[index_date_livraison]]+1,7)*(Tab_Calculs[[#This Row],[fin mois]]-MIN(Tab_Calculs[[#This Row],[fin mois]],Tab_Calculs[[#This Row],[Date_livraison]]))</f>
        <v>#VALUE!</v>
      </c>
      <c r="R1502" t="e">
        <f ca="1">Tab_Calculs[[#This Row],[Ratio_Cout_après_livr]]+Tab_Calculs[[#This Row],[Ratio_Cout_avant_livr]]+Tab_Calculs[[#This Row],[Ratio_Cout_avant_debut]]</f>
        <v>#VALUE!</v>
      </c>
      <c r="S1502" t="str">
        <f ca="1">IFERROR(N1502*VLOOKUP(Tab_Calculs[[#This Row],[Colonne1]],Controle_des_données!$B$7:$G$14,6,FALSE),"")</f>
        <v/>
      </c>
      <c r="T1502" t="str">
        <f ca="1">IF(Tab_Calculs[[#This Row],[Combustible ]]="Electricité (kWh)",Tab_Calculs[[#This Row],[Conso_mois_kWh]]*2.3,Tab_Calculs[[#This Row],[Conso_mois_kWh]])</f>
        <v/>
      </c>
      <c r="U1502" t="str">
        <f ca="1">IFERROR(N1502*VLOOKUP(Tab_Calculs[[#This Row],[Colonne1]],Controle_des_données!$B$7:$H$14,7,FALSE),"")</f>
        <v/>
      </c>
      <c r="V1502">
        <f ca="1">IFERROR(Tab_Calculs[[#This Row],[Cout_mois]]/Tab_Calculs[[#This Row],[Conso_mois_kWh]],0)</f>
        <v>0</v>
      </c>
      <c r="W1502" t="str">
        <f>T(VLOOKUP(Tab_Calculs[[#This Row],[Compteur]],Site!$B$33:$G$40,3,FALSE))</f>
        <v/>
      </c>
      <c r="X1502" t="str">
        <f>T(VLOOKUP(Tab_Calculs[[#This Row],[Compteur]],Site!$B$33:$G$40,4,FALSE))</f>
        <v/>
      </c>
      <c r="Y1502" t="str">
        <f>T(VLOOKUP(Tab_Calculs[[#This Row],[Compteur]],Site!$B$33:$G$40,5,FALSE))</f>
        <v/>
      </c>
      <c r="Z1502" t="str">
        <f>T(VLOOKUP(Tab_Calculs[[#This Row],[Compteur]],Site!$B$33:$G$40,6,FALSE))</f>
        <v/>
      </c>
      <c r="AA1502">
        <f>IFERROR(GETPIVOTDATA("DJU(chauffagiste)",BDD_DJU!$P$13,"annee",Tab_Calculs[[#This Row],[ANNEE]],"mois_numero",Tab_Calculs[[#This Row],[MOIS]]),0)</f>
        <v>35.5</v>
      </c>
    </row>
    <row r="1503" spans="1:27" x14ac:dyDescent="0.25">
      <c r="A1503" s="3">
        <f>DATE(Tab_Calculs[[#This Row],[ANNEE]],Tab_Calculs[[#This Row],[MOIS]],1)</f>
        <v>44743</v>
      </c>
      <c r="B1503" s="3">
        <f>EDATE(Tab_Calculs[[#This Row],[Début mois]],1)-1</f>
        <v>44773</v>
      </c>
      <c r="C1503">
        <f t="shared" si="52"/>
        <v>7</v>
      </c>
      <c r="D1503">
        <f t="shared" si="53"/>
        <v>2022</v>
      </c>
      <c r="E1503" t="s">
        <v>87</v>
      </c>
      <c r="F1503" t="str">
        <f>SUBSTITUTE(Tab_Calculs[[#This Row],[Compteur]]," ","_")</f>
        <v>Compteur_8</v>
      </c>
      <c r="G1503" t="str">
        <f>T(INDEX(Site!$B$33:$G$40, MATCH(Tab_Calculs[[#This Row],[Compteur]], Site!$B$33:$B$40,0),2))</f>
        <v/>
      </c>
      <c r="H1503" s="3">
        <f t="array" aca="1" ref="H1503" ca="1">MIN(IF(INDIRECT(CONCATENATE(Tab_Calculs[[#This Row],[Colonne1]],"!$B$2:$B$243"))&gt;=Calculs_Consos!$A1503,INDIRECT(CONCATENATE(Tab_Calculs[[#This Row],[Colonne1]],"!$B$2:$B$243"))))</f>
        <v>0</v>
      </c>
      <c r="I1503" s="3">
        <f ca="1">INDEX(INDIRECT(CONCATENATE("Tab_",Tab_Calculs[[#This Row],[Colonne1]])),Tab_Calculs[[#This Row],[index_date_livraison]],1)</f>
        <v>0</v>
      </c>
      <c r="J1503">
        <f ca="1">MATCH(Tab_Calculs[[#This Row],[Date_livraison]],INDIRECT(CONCATENATE("Tab_",Tab_Calculs[[#This Row],[Colonne1]],"[Fin de période]")),0)</f>
        <v>1</v>
      </c>
      <c r="K1503" t="e">
        <f ca="1">INDEX(INDIRECT(CONCATENATE("Tab_",Tab_Calculs[[#This Row],[Colonne1]])),Tab_Calculs[[#This Row],[index_date_livraison]]-1,6)*(MAX(Tab_Calculs[[#This Row],[Début periode livraison]],Tab_Calculs[[#This Row],[Début mois]])-Tab_Calculs[[#This Row],[Début mois]])</f>
        <v>#VALUE!</v>
      </c>
      <c r="L1503" s="94">
        <f ca="1">INDEX(INDIRECT(CONCATENATE("Tab_",Tab_Calculs[[#This Row],[Colonne1]])),Tab_Calculs[[#This Row],[index_date_livraison]],6)*(1+MIN(Tab_Calculs[[#This Row],[Date_livraison]],Tab_Calculs[[#This Row],[fin mois]])-MAX(Tab_Calculs[[#This Row],[Début mois]],Tab_Calculs[[#This Row],[Début periode livraison]]))</f>
        <v>0</v>
      </c>
      <c r="M1503" s="94" t="e">
        <f ca="1">INDEX(INDIRECT(CONCATENATE("Tab_",Tab_Calculs[[#This Row],[Colonne1]])),Tab_Calculs[[#This Row],[index_date_livraison]]+1,6)*(Tab_Calculs[[#This Row],[fin mois]]-MIN(Tab_Calculs[[#This Row],[fin mois]],Tab_Calculs[[#This Row],[Date_livraison]]))</f>
        <v>#VALUE!</v>
      </c>
      <c r="N1503" s="231" t="str">
        <f ca="1">IFERROR(Tab_Calculs[[#This Row],[Ratio_jour_après_livr]]+Tab_Calculs[[#This Row],[Ratio_jour_avant_livr]]+Tab_Calculs[[#This Row],[ratio_avant_debut]],"")</f>
        <v/>
      </c>
      <c r="O1503" t="e">
        <f ca="1">INDEX(INDIRECT(CONCATENATE("Tab_",Tab_Calculs[[#This Row],[Colonne1]])),Tab_Calculs[[#This Row],[index_date_livraison]]-1,7)*(MAX(Tab_Calculs[[#This Row],[Début periode livraison]],Tab_Calculs[[#This Row],[Début mois]])-Tab_Calculs[[#This Row],[Début mois]])</f>
        <v>#VALUE!</v>
      </c>
      <c r="P1503">
        <f ca="1">INDEX(INDIRECT(CONCATENATE("Tab_",Tab_Calculs[[#This Row],[Colonne1]])),Tab_Calculs[[#This Row],[index_date_livraison]],7)*(1+MIN(Tab_Calculs[[#This Row],[Date_livraison]],Tab_Calculs[[#This Row],[fin mois]])-MAX(Tab_Calculs[[#This Row],[Début mois]],Tab_Calculs[[#This Row],[Début periode livraison]]))</f>
        <v>0</v>
      </c>
      <c r="Q1503" t="e">
        <f ca="1">INDEX(INDIRECT(CONCATENATE("Tab_",Tab_Calculs[[#This Row],[Colonne1]])),Tab_Calculs[[#This Row],[index_date_livraison]]+1,7)*(Tab_Calculs[[#This Row],[fin mois]]-MIN(Tab_Calculs[[#This Row],[fin mois]],Tab_Calculs[[#This Row],[Date_livraison]]))</f>
        <v>#VALUE!</v>
      </c>
      <c r="R1503" t="e">
        <f ca="1">Tab_Calculs[[#This Row],[Ratio_Cout_après_livr]]+Tab_Calculs[[#This Row],[Ratio_Cout_avant_livr]]+Tab_Calculs[[#This Row],[Ratio_Cout_avant_debut]]</f>
        <v>#VALUE!</v>
      </c>
      <c r="S1503" t="str">
        <f ca="1">IFERROR(N1503*VLOOKUP(Tab_Calculs[[#This Row],[Colonne1]],Controle_des_données!$B$7:$G$14,6,FALSE),"")</f>
        <v/>
      </c>
      <c r="T1503" t="str">
        <f ca="1">IF(Tab_Calculs[[#This Row],[Combustible ]]="Electricité (kWh)",Tab_Calculs[[#This Row],[Conso_mois_kWh]]*2.3,Tab_Calculs[[#This Row],[Conso_mois_kWh]])</f>
        <v/>
      </c>
      <c r="U1503" t="str">
        <f ca="1">IFERROR(N1503*VLOOKUP(Tab_Calculs[[#This Row],[Colonne1]],Controle_des_données!$B$7:$H$14,7,FALSE),"")</f>
        <v/>
      </c>
      <c r="V1503">
        <f ca="1">IFERROR(Tab_Calculs[[#This Row],[Cout_mois]]/Tab_Calculs[[#This Row],[Conso_mois_kWh]],0)</f>
        <v>0</v>
      </c>
      <c r="W1503" t="str">
        <f>T(VLOOKUP(Tab_Calculs[[#This Row],[Compteur]],Site!$B$33:$G$40,3,FALSE))</f>
        <v/>
      </c>
      <c r="X1503" t="str">
        <f>T(VLOOKUP(Tab_Calculs[[#This Row],[Compteur]],Site!$B$33:$G$40,4,FALSE))</f>
        <v/>
      </c>
      <c r="Y1503" t="str">
        <f>T(VLOOKUP(Tab_Calculs[[#This Row],[Compteur]],Site!$B$33:$G$40,5,FALSE))</f>
        <v/>
      </c>
      <c r="Z1503" t="str">
        <f>T(VLOOKUP(Tab_Calculs[[#This Row],[Compteur]],Site!$B$33:$G$40,6,FALSE))</f>
        <v/>
      </c>
      <c r="AA1503">
        <f>IFERROR(GETPIVOTDATA("DJU(chauffagiste)",BDD_DJU!$P$13,"annee",Tab_Calculs[[#This Row],[ANNEE]],"mois_numero",Tab_Calculs[[#This Row],[MOIS]]),0)</f>
        <v>18.8</v>
      </c>
    </row>
    <row r="1504" spans="1:27" x14ac:dyDescent="0.25">
      <c r="A1504" s="3">
        <f>DATE(Tab_Calculs[[#This Row],[ANNEE]],Tab_Calculs[[#This Row],[MOIS]],1)</f>
        <v>44774</v>
      </c>
      <c r="B1504" s="3">
        <f>EDATE(Tab_Calculs[[#This Row],[Début mois]],1)-1</f>
        <v>44804</v>
      </c>
      <c r="C1504">
        <f t="shared" si="52"/>
        <v>8</v>
      </c>
      <c r="D1504">
        <f t="shared" si="53"/>
        <v>2022</v>
      </c>
      <c r="E1504" t="s">
        <v>87</v>
      </c>
      <c r="F1504" t="str">
        <f>SUBSTITUTE(Tab_Calculs[[#This Row],[Compteur]]," ","_")</f>
        <v>Compteur_8</v>
      </c>
      <c r="G1504" t="str">
        <f>T(INDEX(Site!$B$33:$G$40, MATCH(Tab_Calculs[[#This Row],[Compteur]], Site!$B$33:$B$40,0),2))</f>
        <v/>
      </c>
      <c r="H1504" s="3">
        <f t="array" aca="1" ref="H1504" ca="1">MIN(IF(INDIRECT(CONCATENATE(Tab_Calculs[[#This Row],[Colonne1]],"!$B$2:$B$243"))&gt;=Calculs_Consos!$A1504,INDIRECT(CONCATENATE(Tab_Calculs[[#This Row],[Colonne1]],"!$B$2:$B$243"))))</f>
        <v>0</v>
      </c>
      <c r="I1504" s="3">
        <f ca="1">INDEX(INDIRECT(CONCATENATE("Tab_",Tab_Calculs[[#This Row],[Colonne1]])),Tab_Calculs[[#This Row],[index_date_livraison]],1)</f>
        <v>0</v>
      </c>
      <c r="J1504">
        <f ca="1">MATCH(Tab_Calculs[[#This Row],[Date_livraison]],INDIRECT(CONCATENATE("Tab_",Tab_Calculs[[#This Row],[Colonne1]],"[Fin de période]")),0)</f>
        <v>1</v>
      </c>
      <c r="K1504" t="e">
        <f ca="1">INDEX(INDIRECT(CONCATENATE("Tab_",Tab_Calculs[[#This Row],[Colonne1]])),Tab_Calculs[[#This Row],[index_date_livraison]]-1,6)*(MAX(Tab_Calculs[[#This Row],[Début periode livraison]],Tab_Calculs[[#This Row],[Début mois]])-Tab_Calculs[[#This Row],[Début mois]])</f>
        <v>#VALUE!</v>
      </c>
      <c r="L1504" s="94">
        <f ca="1">INDEX(INDIRECT(CONCATENATE("Tab_",Tab_Calculs[[#This Row],[Colonne1]])),Tab_Calculs[[#This Row],[index_date_livraison]],6)*(1+MIN(Tab_Calculs[[#This Row],[Date_livraison]],Tab_Calculs[[#This Row],[fin mois]])-MAX(Tab_Calculs[[#This Row],[Début mois]],Tab_Calculs[[#This Row],[Début periode livraison]]))</f>
        <v>0</v>
      </c>
      <c r="M1504" s="94" t="e">
        <f ca="1">INDEX(INDIRECT(CONCATENATE("Tab_",Tab_Calculs[[#This Row],[Colonne1]])),Tab_Calculs[[#This Row],[index_date_livraison]]+1,6)*(Tab_Calculs[[#This Row],[fin mois]]-MIN(Tab_Calculs[[#This Row],[fin mois]],Tab_Calculs[[#This Row],[Date_livraison]]))</f>
        <v>#VALUE!</v>
      </c>
      <c r="N1504" s="231" t="str">
        <f ca="1">IFERROR(Tab_Calculs[[#This Row],[Ratio_jour_après_livr]]+Tab_Calculs[[#This Row],[Ratio_jour_avant_livr]]+Tab_Calculs[[#This Row],[ratio_avant_debut]],"")</f>
        <v/>
      </c>
      <c r="O1504" t="e">
        <f ca="1">INDEX(INDIRECT(CONCATENATE("Tab_",Tab_Calculs[[#This Row],[Colonne1]])),Tab_Calculs[[#This Row],[index_date_livraison]]-1,7)*(MAX(Tab_Calculs[[#This Row],[Début periode livraison]],Tab_Calculs[[#This Row],[Début mois]])-Tab_Calculs[[#This Row],[Début mois]])</f>
        <v>#VALUE!</v>
      </c>
      <c r="P1504">
        <f ca="1">INDEX(INDIRECT(CONCATENATE("Tab_",Tab_Calculs[[#This Row],[Colonne1]])),Tab_Calculs[[#This Row],[index_date_livraison]],7)*(1+MIN(Tab_Calculs[[#This Row],[Date_livraison]],Tab_Calculs[[#This Row],[fin mois]])-MAX(Tab_Calculs[[#This Row],[Début mois]],Tab_Calculs[[#This Row],[Début periode livraison]]))</f>
        <v>0</v>
      </c>
      <c r="Q1504" t="e">
        <f ca="1">INDEX(INDIRECT(CONCATENATE("Tab_",Tab_Calculs[[#This Row],[Colonne1]])),Tab_Calculs[[#This Row],[index_date_livraison]]+1,7)*(Tab_Calculs[[#This Row],[fin mois]]-MIN(Tab_Calculs[[#This Row],[fin mois]],Tab_Calculs[[#This Row],[Date_livraison]]))</f>
        <v>#VALUE!</v>
      </c>
      <c r="R1504" t="e">
        <f ca="1">Tab_Calculs[[#This Row],[Ratio_Cout_après_livr]]+Tab_Calculs[[#This Row],[Ratio_Cout_avant_livr]]+Tab_Calculs[[#This Row],[Ratio_Cout_avant_debut]]</f>
        <v>#VALUE!</v>
      </c>
      <c r="S1504" t="str">
        <f ca="1">IFERROR(N1504*VLOOKUP(Tab_Calculs[[#This Row],[Colonne1]],Controle_des_données!$B$7:$G$14,6,FALSE),"")</f>
        <v/>
      </c>
      <c r="T1504" t="str">
        <f ca="1">IF(Tab_Calculs[[#This Row],[Combustible ]]="Electricité (kWh)",Tab_Calculs[[#This Row],[Conso_mois_kWh]]*2.3,Tab_Calculs[[#This Row],[Conso_mois_kWh]])</f>
        <v/>
      </c>
      <c r="U1504" t="str">
        <f ca="1">IFERROR(N1504*VLOOKUP(Tab_Calculs[[#This Row],[Colonne1]],Controle_des_données!$B$7:$H$14,7,FALSE),"")</f>
        <v/>
      </c>
      <c r="V1504">
        <f ca="1">IFERROR(Tab_Calculs[[#This Row],[Cout_mois]]/Tab_Calculs[[#This Row],[Conso_mois_kWh]],0)</f>
        <v>0</v>
      </c>
      <c r="W1504" t="str">
        <f>T(VLOOKUP(Tab_Calculs[[#This Row],[Compteur]],Site!$B$33:$G$40,3,FALSE))</f>
        <v/>
      </c>
      <c r="X1504" t="str">
        <f>T(VLOOKUP(Tab_Calculs[[#This Row],[Compteur]],Site!$B$33:$G$40,4,FALSE))</f>
        <v/>
      </c>
      <c r="Y1504" t="str">
        <f>T(VLOOKUP(Tab_Calculs[[#This Row],[Compteur]],Site!$B$33:$G$40,5,FALSE))</f>
        <v/>
      </c>
      <c r="Z1504" t="str">
        <f>T(VLOOKUP(Tab_Calculs[[#This Row],[Compteur]],Site!$B$33:$G$40,6,FALSE))</f>
        <v/>
      </c>
      <c r="AA1504">
        <f>IFERROR(GETPIVOTDATA("DJU(chauffagiste)",BDD_DJU!$P$13,"annee",Tab_Calculs[[#This Row],[ANNEE]],"mois_numero",Tab_Calculs[[#This Row],[MOIS]]),0)</f>
        <v>10.7</v>
      </c>
    </row>
    <row r="1505" spans="1:27" x14ac:dyDescent="0.25">
      <c r="A1505" s="3">
        <f>DATE(Tab_Calculs[[#This Row],[ANNEE]],Tab_Calculs[[#This Row],[MOIS]],1)</f>
        <v>44805</v>
      </c>
      <c r="B1505" s="3">
        <f>EDATE(Tab_Calculs[[#This Row],[Début mois]],1)-1</f>
        <v>44834</v>
      </c>
      <c r="C1505">
        <f t="shared" si="52"/>
        <v>9</v>
      </c>
      <c r="D1505">
        <f t="shared" si="53"/>
        <v>2022</v>
      </c>
      <c r="E1505" t="s">
        <v>87</v>
      </c>
      <c r="F1505" t="str">
        <f>SUBSTITUTE(Tab_Calculs[[#This Row],[Compteur]]," ","_")</f>
        <v>Compteur_8</v>
      </c>
      <c r="G1505" t="str">
        <f>T(INDEX(Site!$B$33:$G$40, MATCH(Tab_Calculs[[#This Row],[Compteur]], Site!$B$33:$B$40,0),2))</f>
        <v/>
      </c>
      <c r="H1505" s="3">
        <f t="array" aca="1" ref="H1505" ca="1">MIN(IF(INDIRECT(CONCATENATE(Tab_Calculs[[#This Row],[Colonne1]],"!$B$2:$B$243"))&gt;=Calculs_Consos!$A1505,INDIRECT(CONCATENATE(Tab_Calculs[[#This Row],[Colonne1]],"!$B$2:$B$243"))))</f>
        <v>0</v>
      </c>
      <c r="I1505" s="3">
        <f ca="1">INDEX(INDIRECT(CONCATENATE("Tab_",Tab_Calculs[[#This Row],[Colonne1]])),Tab_Calculs[[#This Row],[index_date_livraison]],1)</f>
        <v>0</v>
      </c>
      <c r="J1505">
        <f ca="1">MATCH(Tab_Calculs[[#This Row],[Date_livraison]],INDIRECT(CONCATENATE("Tab_",Tab_Calculs[[#This Row],[Colonne1]],"[Fin de période]")),0)</f>
        <v>1</v>
      </c>
      <c r="K1505" t="e">
        <f ca="1">INDEX(INDIRECT(CONCATENATE("Tab_",Tab_Calculs[[#This Row],[Colonne1]])),Tab_Calculs[[#This Row],[index_date_livraison]]-1,6)*(MAX(Tab_Calculs[[#This Row],[Début periode livraison]],Tab_Calculs[[#This Row],[Début mois]])-Tab_Calculs[[#This Row],[Début mois]])</f>
        <v>#VALUE!</v>
      </c>
      <c r="L1505" s="94">
        <f ca="1">INDEX(INDIRECT(CONCATENATE("Tab_",Tab_Calculs[[#This Row],[Colonne1]])),Tab_Calculs[[#This Row],[index_date_livraison]],6)*(1+MIN(Tab_Calculs[[#This Row],[Date_livraison]],Tab_Calculs[[#This Row],[fin mois]])-MAX(Tab_Calculs[[#This Row],[Début mois]],Tab_Calculs[[#This Row],[Début periode livraison]]))</f>
        <v>0</v>
      </c>
      <c r="M1505" s="94" t="e">
        <f ca="1">INDEX(INDIRECT(CONCATENATE("Tab_",Tab_Calculs[[#This Row],[Colonne1]])),Tab_Calculs[[#This Row],[index_date_livraison]]+1,6)*(Tab_Calculs[[#This Row],[fin mois]]-MIN(Tab_Calculs[[#This Row],[fin mois]],Tab_Calculs[[#This Row],[Date_livraison]]))</f>
        <v>#VALUE!</v>
      </c>
      <c r="N1505" s="231" t="str">
        <f ca="1">IFERROR(Tab_Calculs[[#This Row],[Ratio_jour_après_livr]]+Tab_Calculs[[#This Row],[Ratio_jour_avant_livr]]+Tab_Calculs[[#This Row],[ratio_avant_debut]],"")</f>
        <v/>
      </c>
      <c r="O1505" t="e">
        <f ca="1">INDEX(INDIRECT(CONCATENATE("Tab_",Tab_Calculs[[#This Row],[Colonne1]])),Tab_Calculs[[#This Row],[index_date_livraison]]-1,7)*(MAX(Tab_Calculs[[#This Row],[Début periode livraison]],Tab_Calculs[[#This Row],[Début mois]])-Tab_Calculs[[#This Row],[Début mois]])</f>
        <v>#VALUE!</v>
      </c>
      <c r="P1505">
        <f ca="1">INDEX(INDIRECT(CONCATENATE("Tab_",Tab_Calculs[[#This Row],[Colonne1]])),Tab_Calculs[[#This Row],[index_date_livraison]],7)*(1+MIN(Tab_Calculs[[#This Row],[Date_livraison]],Tab_Calculs[[#This Row],[fin mois]])-MAX(Tab_Calculs[[#This Row],[Début mois]],Tab_Calculs[[#This Row],[Début periode livraison]]))</f>
        <v>0</v>
      </c>
      <c r="Q1505" t="e">
        <f ca="1">INDEX(INDIRECT(CONCATENATE("Tab_",Tab_Calculs[[#This Row],[Colonne1]])),Tab_Calculs[[#This Row],[index_date_livraison]]+1,7)*(Tab_Calculs[[#This Row],[fin mois]]-MIN(Tab_Calculs[[#This Row],[fin mois]],Tab_Calculs[[#This Row],[Date_livraison]]))</f>
        <v>#VALUE!</v>
      </c>
      <c r="R1505" t="e">
        <f ca="1">Tab_Calculs[[#This Row],[Ratio_Cout_après_livr]]+Tab_Calculs[[#This Row],[Ratio_Cout_avant_livr]]+Tab_Calculs[[#This Row],[Ratio_Cout_avant_debut]]</f>
        <v>#VALUE!</v>
      </c>
      <c r="S1505" t="str">
        <f ca="1">IFERROR(N1505*VLOOKUP(Tab_Calculs[[#This Row],[Colonne1]],Controle_des_données!$B$7:$G$14,6,FALSE),"")</f>
        <v/>
      </c>
      <c r="T1505" t="str">
        <f ca="1">IF(Tab_Calculs[[#This Row],[Combustible ]]="Electricité (kWh)",Tab_Calculs[[#This Row],[Conso_mois_kWh]]*2.3,Tab_Calculs[[#This Row],[Conso_mois_kWh]])</f>
        <v/>
      </c>
      <c r="U1505" t="str">
        <f ca="1">IFERROR(N1505*VLOOKUP(Tab_Calculs[[#This Row],[Colonne1]],Controle_des_données!$B$7:$H$14,7,FALSE),"")</f>
        <v/>
      </c>
      <c r="V1505">
        <f ca="1">IFERROR(Tab_Calculs[[#This Row],[Cout_mois]]/Tab_Calculs[[#This Row],[Conso_mois_kWh]],0)</f>
        <v>0</v>
      </c>
      <c r="W1505" t="str">
        <f>T(VLOOKUP(Tab_Calculs[[#This Row],[Compteur]],Site!$B$33:$G$40,3,FALSE))</f>
        <v/>
      </c>
      <c r="X1505" t="str">
        <f>T(VLOOKUP(Tab_Calculs[[#This Row],[Compteur]],Site!$B$33:$G$40,4,FALSE))</f>
        <v/>
      </c>
      <c r="Y1505" t="str">
        <f>T(VLOOKUP(Tab_Calculs[[#This Row],[Compteur]],Site!$B$33:$G$40,5,FALSE))</f>
        <v/>
      </c>
      <c r="Z1505" t="str">
        <f>T(VLOOKUP(Tab_Calculs[[#This Row],[Compteur]],Site!$B$33:$G$40,6,FALSE))</f>
        <v/>
      </c>
      <c r="AA1505">
        <f>IFERROR(GETPIVOTDATA("DJU(chauffagiste)",BDD_DJU!$P$13,"annee",Tab_Calculs[[#This Row],[ANNEE]],"mois_numero",Tab_Calculs[[#This Row],[MOIS]]),0)</f>
        <v>74.7</v>
      </c>
    </row>
    <row r="1506" spans="1:27" x14ac:dyDescent="0.25">
      <c r="A1506" s="3">
        <f>DATE(Tab_Calculs[[#This Row],[ANNEE]],Tab_Calculs[[#This Row],[MOIS]],1)</f>
        <v>44835</v>
      </c>
      <c r="B1506" s="3">
        <f>EDATE(Tab_Calculs[[#This Row],[Début mois]],1)-1</f>
        <v>44865</v>
      </c>
      <c r="C1506">
        <f t="shared" si="52"/>
        <v>10</v>
      </c>
      <c r="D1506">
        <f t="shared" si="53"/>
        <v>2022</v>
      </c>
      <c r="E1506" t="s">
        <v>87</v>
      </c>
      <c r="F1506" t="str">
        <f>SUBSTITUTE(Tab_Calculs[[#This Row],[Compteur]]," ","_")</f>
        <v>Compteur_8</v>
      </c>
      <c r="G1506" t="str">
        <f>T(INDEX(Site!$B$33:$G$40, MATCH(Tab_Calculs[[#This Row],[Compteur]], Site!$B$33:$B$40,0),2))</f>
        <v/>
      </c>
      <c r="H1506" s="3">
        <f t="array" aca="1" ref="H1506" ca="1">MIN(IF(INDIRECT(CONCATENATE(Tab_Calculs[[#This Row],[Colonne1]],"!$B$2:$B$243"))&gt;=Calculs_Consos!$A1506,INDIRECT(CONCATENATE(Tab_Calculs[[#This Row],[Colonne1]],"!$B$2:$B$243"))))</f>
        <v>0</v>
      </c>
      <c r="I1506" s="3">
        <f ca="1">INDEX(INDIRECT(CONCATENATE("Tab_",Tab_Calculs[[#This Row],[Colonne1]])),Tab_Calculs[[#This Row],[index_date_livraison]],1)</f>
        <v>0</v>
      </c>
      <c r="J1506">
        <f ca="1">MATCH(Tab_Calculs[[#This Row],[Date_livraison]],INDIRECT(CONCATENATE("Tab_",Tab_Calculs[[#This Row],[Colonne1]],"[Fin de période]")),0)</f>
        <v>1</v>
      </c>
      <c r="K1506" t="e">
        <f ca="1">INDEX(INDIRECT(CONCATENATE("Tab_",Tab_Calculs[[#This Row],[Colonne1]])),Tab_Calculs[[#This Row],[index_date_livraison]]-1,6)*(MAX(Tab_Calculs[[#This Row],[Début periode livraison]],Tab_Calculs[[#This Row],[Début mois]])-Tab_Calculs[[#This Row],[Début mois]])</f>
        <v>#VALUE!</v>
      </c>
      <c r="L1506" s="94">
        <f ca="1">INDEX(INDIRECT(CONCATENATE("Tab_",Tab_Calculs[[#This Row],[Colonne1]])),Tab_Calculs[[#This Row],[index_date_livraison]],6)*(1+MIN(Tab_Calculs[[#This Row],[Date_livraison]],Tab_Calculs[[#This Row],[fin mois]])-MAX(Tab_Calculs[[#This Row],[Début mois]],Tab_Calculs[[#This Row],[Début periode livraison]]))</f>
        <v>0</v>
      </c>
      <c r="M1506" s="94" t="e">
        <f ca="1">INDEX(INDIRECT(CONCATENATE("Tab_",Tab_Calculs[[#This Row],[Colonne1]])),Tab_Calculs[[#This Row],[index_date_livraison]]+1,6)*(Tab_Calculs[[#This Row],[fin mois]]-MIN(Tab_Calculs[[#This Row],[fin mois]],Tab_Calculs[[#This Row],[Date_livraison]]))</f>
        <v>#VALUE!</v>
      </c>
      <c r="N1506" s="231" t="str">
        <f ca="1">IFERROR(Tab_Calculs[[#This Row],[Ratio_jour_après_livr]]+Tab_Calculs[[#This Row],[Ratio_jour_avant_livr]]+Tab_Calculs[[#This Row],[ratio_avant_debut]],"")</f>
        <v/>
      </c>
      <c r="O1506" t="e">
        <f ca="1">INDEX(INDIRECT(CONCATENATE("Tab_",Tab_Calculs[[#This Row],[Colonne1]])),Tab_Calculs[[#This Row],[index_date_livraison]]-1,7)*(MAX(Tab_Calculs[[#This Row],[Début periode livraison]],Tab_Calculs[[#This Row],[Début mois]])-Tab_Calculs[[#This Row],[Début mois]])</f>
        <v>#VALUE!</v>
      </c>
      <c r="P1506">
        <f ca="1">INDEX(INDIRECT(CONCATENATE("Tab_",Tab_Calculs[[#This Row],[Colonne1]])),Tab_Calculs[[#This Row],[index_date_livraison]],7)*(1+MIN(Tab_Calculs[[#This Row],[Date_livraison]],Tab_Calculs[[#This Row],[fin mois]])-MAX(Tab_Calculs[[#This Row],[Début mois]],Tab_Calculs[[#This Row],[Début periode livraison]]))</f>
        <v>0</v>
      </c>
      <c r="Q1506" t="e">
        <f ca="1">INDEX(INDIRECT(CONCATENATE("Tab_",Tab_Calculs[[#This Row],[Colonne1]])),Tab_Calculs[[#This Row],[index_date_livraison]]+1,7)*(Tab_Calculs[[#This Row],[fin mois]]-MIN(Tab_Calculs[[#This Row],[fin mois]],Tab_Calculs[[#This Row],[Date_livraison]]))</f>
        <v>#VALUE!</v>
      </c>
      <c r="R1506" t="e">
        <f ca="1">Tab_Calculs[[#This Row],[Ratio_Cout_après_livr]]+Tab_Calculs[[#This Row],[Ratio_Cout_avant_livr]]+Tab_Calculs[[#This Row],[Ratio_Cout_avant_debut]]</f>
        <v>#VALUE!</v>
      </c>
      <c r="S1506" t="str">
        <f ca="1">IFERROR(N1506*VLOOKUP(Tab_Calculs[[#This Row],[Colonne1]],Controle_des_données!$B$7:$G$14,6,FALSE),"")</f>
        <v/>
      </c>
      <c r="T1506" t="str">
        <f ca="1">IF(Tab_Calculs[[#This Row],[Combustible ]]="Electricité (kWh)",Tab_Calculs[[#This Row],[Conso_mois_kWh]]*2.3,Tab_Calculs[[#This Row],[Conso_mois_kWh]])</f>
        <v/>
      </c>
      <c r="U1506" t="str">
        <f ca="1">IFERROR(N1506*VLOOKUP(Tab_Calculs[[#This Row],[Colonne1]],Controle_des_données!$B$7:$H$14,7,FALSE),"")</f>
        <v/>
      </c>
      <c r="V1506">
        <f ca="1">IFERROR(Tab_Calculs[[#This Row],[Cout_mois]]/Tab_Calculs[[#This Row],[Conso_mois_kWh]],0)</f>
        <v>0</v>
      </c>
      <c r="W1506" t="str">
        <f>T(VLOOKUP(Tab_Calculs[[#This Row],[Compteur]],Site!$B$33:$G$40,3,FALSE))</f>
        <v/>
      </c>
      <c r="X1506" t="str">
        <f>T(VLOOKUP(Tab_Calculs[[#This Row],[Compteur]],Site!$B$33:$G$40,4,FALSE))</f>
        <v/>
      </c>
      <c r="Y1506" t="str">
        <f>T(VLOOKUP(Tab_Calculs[[#This Row],[Compteur]],Site!$B$33:$G$40,5,FALSE))</f>
        <v/>
      </c>
      <c r="Z1506" t="str">
        <f>T(VLOOKUP(Tab_Calculs[[#This Row],[Compteur]],Site!$B$33:$G$40,6,FALSE))</f>
        <v/>
      </c>
      <c r="AA1506">
        <f>IFERROR(GETPIVOTDATA("DJU(chauffagiste)",BDD_DJU!$P$13,"annee",Tab_Calculs[[#This Row],[ANNEE]],"mois_numero",Tab_Calculs[[#This Row],[MOIS]]),0)</f>
        <v>73</v>
      </c>
    </row>
    <row r="1507" spans="1:27" x14ac:dyDescent="0.25">
      <c r="A1507" s="3">
        <f>DATE(Tab_Calculs[[#This Row],[ANNEE]],Tab_Calculs[[#This Row],[MOIS]],1)</f>
        <v>44866</v>
      </c>
      <c r="B1507" s="3">
        <f>EDATE(Tab_Calculs[[#This Row],[Début mois]],1)-1</f>
        <v>44895</v>
      </c>
      <c r="C1507">
        <f t="shared" si="52"/>
        <v>11</v>
      </c>
      <c r="D1507">
        <f t="shared" si="53"/>
        <v>2022</v>
      </c>
      <c r="E1507" t="s">
        <v>87</v>
      </c>
      <c r="F1507" t="str">
        <f>SUBSTITUTE(Tab_Calculs[[#This Row],[Compteur]]," ","_")</f>
        <v>Compteur_8</v>
      </c>
      <c r="G1507" t="str">
        <f>T(INDEX(Site!$B$33:$G$40, MATCH(Tab_Calculs[[#This Row],[Compteur]], Site!$B$33:$B$40,0),2))</f>
        <v/>
      </c>
      <c r="H1507" s="3">
        <f t="array" aca="1" ref="H1507" ca="1">MIN(IF(INDIRECT(CONCATENATE(Tab_Calculs[[#This Row],[Colonne1]],"!$B$2:$B$243"))&gt;=Calculs_Consos!$A1507,INDIRECT(CONCATENATE(Tab_Calculs[[#This Row],[Colonne1]],"!$B$2:$B$243"))))</f>
        <v>0</v>
      </c>
      <c r="I1507" s="3">
        <f ca="1">INDEX(INDIRECT(CONCATENATE("Tab_",Tab_Calculs[[#This Row],[Colonne1]])),Tab_Calculs[[#This Row],[index_date_livraison]],1)</f>
        <v>0</v>
      </c>
      <c r="J1507">
        <f ca="1">MATCH(Tab_Calculs[[#This Row],[Date_livraison]],INDIRECT(CONCATENATE("Tab_",Tab_Calculs[[#This Row],[Colonne1]],"[Fin de période]")),0)</f>
        <v>1</v>
      </c>
      <c r="K1507" t="e">
        <f ca="1">INDEX(INDIRECT(CONCATENATE("Tab_",Tab_Calculs[[#This Row],[Colonne1]])),Tab_Calculs[[#This Row],[index_date_livraison]]-1,6)*(MAX(Tab_Calculs[[#This Row],[Début periode livraison]],Tab_Calculs[[#This Row],[Début mois]])-Tab_Calculs[[#This Row],[Début mois]])</f>
        <v>#VALUE!</v>
      </c>
      <c r="L1507" s="94">
        <f ca="1">INDEX(INDIRECT(CONCATENATE("Tab_",Tab_Calculs[[#This Row],[Colonne1]])),Tab_Calculs[[#This Row],[index_date_livraison]],6)*(1+MIN(Tab_Calculs[[#This Row],[Date_livraison]],Tab_Calculs[[#This Row],[fin mois]])-MAX(Tab_Calculs[[#This Row],[Début mois]],Tab_Calculs[[#This Row],[Début periode livraison]]))</f>
        <v>0</v>
      </c>
      <c r="M1507" s="94" t="e">
        <f ca="1">INDEX(INDIRECT(CONCATENATE("Tab_",Tab_Calculs[[#This Row],[Colonne1]])),Tab_Calculs[[#This Row],[index_date_livraison]]+1,6)*(Tab_Calculs[[#This Row],[fin mois]]-MIN(Tab_Calculs[[#This Row],[fin mois]],Tab_Calculs[[#This Row],[Date_livraison]]))</f>
        <v>#VALUE!</v>
      </c>
      <c r="N1507" s="231" t="str">
        <f ca="1">IFERROR(Tab_Calculs[[#This Row],[Ratio_jour_après_livr]]+Tab_Calculs[[#This Row],[Ratio_jour_avant_livr]]+Tab_Calculs[[#This Row],[ratio_avant_debut]],"")</f>
        <v/>
      </c>
      <c r="O1507" t="e">
        <f ca="1">INDEX(INDIRECT(CONCATENATE("Tab_",Tab_Calculs[[#This Row],[Colonne1]])),Tab_Calculs[[#This Row],[index_date_livraison]]-1,7)*(MAX(Tab_Calculs[[#This Row],[Début periode livraison]],Tab_Calculs[[#This Row],[Début mois]])-Tab_Calculs[[#This Row],[Début mois]])</f>
        <v>#VALUE!</v>
      </c>
      <c r="P1507">
        <f ca="1">INDEX(INDIRECT(CONCATENATE("Tab_",Tab_Calculs[[#This Row],[Colonne1]])),Tab_Calculs[[#This Row],[index_date_livraison]],7)*(1+MIN(Tab_Calculs[[#This Row],[Date_livraison]],Tab_Calculs[[#This Row],[fin mois]])-MAX(Tab_Calculs[[#This Row],[Début mois]],Tab_Calculs[[#This Row],[Début periode livraison]]))</f>
        <v>0</v>
      </c>
      <c r="Q1507" t="e">
        <f ca="1">INDEX(INDIRECT(CONCATENATE("Tab_",Tab_Calculs[[#This Row],[Colonne1]])),Tab_Calculs[[#This Row],[index_date_livraison]]+1,7)*(Tab_Calculs[[#This Row],[fin mois]]-MIN(Tab_Calculs[[#This Row],[fin mois]],Tab_Calculs[[#This Row],[Date_livraison]]))</f>
        <v>#VALUE!</v>
      </c>
      <c r="R1507" t="e">
        <f ca="1">Tab_Calculs[[#This Row],[Ratio_Cout_après_livr]]+Tab_Calculs[[#This Row],[Ratio_Cout_avant_livr]]+Tab_Calculs[[#This Row],[Ratio_Cout_avant_debut]]</f>
        <v>#VALUE!</v>
      </c>
      <c r="S1507" t="str">
        <f ca="1">IFERROR(N1507*VLOOKUP(Tab_Calculs[[#This Row],[Colonne1]],Controle_des_données!$B$7:$G$14,6,FALSE),"")</f>
        <v/>
      </c>
      <c r="T1507" t="str">
        <f ca="1">IF(Tab_Calculs[[#This Row],[Combustible ]]="Electricité (kWh)",Tab_Calculs[[#This Row],[Conso_mois_kWh]]*2.3,Tab_Calculs[[#This Row],[Conso_mois_kWh]])</f>
        <v/>
      </c>
      <c r="U1507" t="str">
        <f ca="1">IFERROR(N1507*VLOOKUP(Tab_Calculs[[#This Row],[Colonne1]],Controle_des_données!$B$7:$H$14,7,FALSE),"")</f>
        <v/>
      </c>
      <c r="V1507">
        <f ca="1">IFERROR(Tab_Calculs[[#This Row],[Cout_mois]]/Tab_Calculs[[#This Row],[Conso_mois_kWh]],0)</f>
        <v>0</v>
      </c>
      <c r="W1507" t="str">
        <f>T(VLOOKUP(Tab_Calculs[[#This Row],[Compteur]],Site!$B$33:$G$40,3,FALSE))</f>
        <v/>
      </c>
      <c r="X1507" t="str">
        <f>T(VLOOKUP(Tab_Calculs[[#This Row],[Compteur]],Site!$B$33:$G$40,4,FALSE))</f>
        <v/>
      </c>
      <c r="Y1507" t="str">
        <f>T(VLOOKUP(Tab_Calculs[[#This Row],[Compteur]],Site!$B$33:$G$40,5,FALSE))</f>
        <v/>
      </c>
      <c r="Z1507" t="str">
        <f>T(VLOOKUP(Tab_Calculs[[#This Row],[Compteur]],Site!$B$33:$G$40,6,FALSE))</f>
        <v/>
      </c>
      <c r="AA1507">
        <f>IFERROR(GETPIVOTDATA("DJU(chauffagiste)",BDD_DJU!$P$13,"annee",Tab_Calculs[[#This Row],[ANNEE]],"mois_numero",Tab_Calculs[[#This Row],[MOIS]]),0)</f>
        <v>227.5</v>
      </c>
    </row>
    <row r="1508" spans="1:27" x14ac:dyDescent="0.25">
      <c r="A1508" s="3">
        <f>DATE(Tab_Calculs[[#This Row],[ANNEE]],Tab_Calculs[[#This Row],[MOIS]],1)</f>
        <v>44896</v>
      </c>
      <c r="B1508" s="3">
        <f>EDATE(Tab_Calculs[[#This Row],[Début mois]],1)-1</f>
        <v>44926</v>
      </c>
      <c r="C1508">
        <f t="shared" si="52"/>
        <v>12</v>
      </c>
      <c r="D1508">
        <f t="shared" si="53"/>
        <v>2022</v>
      </c>
      <c r="E1508" t="s">
        <v>87</v>
      </c>
      <c r="F1508" t="str">
        <f>SUBSTITUTE(Tab_Calculs[[#This Row],[Compteur]]," ","_")</f>
        <v>Compteur_8</v>
      </c>
      <c r="G1508" t="str">
        <f>T(INDEX(Site!$B$33:$G$40, MATCH(Tab_Calculs[[#This Row],[Compteur]], Site!$B$33:$B$40,0),2))</f>
        <v/>
      </c>
      <c r="H1508" s="3">
        <f t="array" aca="1" ref="H1508" ca="1">MIN(IF(INDIRECT(CONCATENATE(Tab_Calculs[[#This Row],[Colonne1]],"!$B$2:$B$243"))&gt;=Calculs_Consos!$A1508,INDIRECT(CONCATENATE(Tab_Calculs[[#This Row],[Colonne1]],"!$B$2:$B$243"))))</f>
        <v>0</v>
      </c>
      <c r="I1508" s="3">
        <f ca="1">INDEX(INDIRECT(CONCATENATE("Tab_",Tab_Calculs[[#This Row],[Colonne1]])),Tab_Calculs[[#This Row],[index_date_livraison]],1)</f>
        <v>0</v>
      </c>
      <c r="J1508">
        <f ca="1">MATCH(Tab_Calculs[[#This Row],[Date_livraison]],INDIRECT(CONCATENATE("Tab_",Tab_Calculs[[#This Row],[Colonne1]],"[Fin de période]")),0)</f>
        <v>1</v>
      </c>
      <c r="K1508" t="e">
        <f ca="1">INDEX(INDIRECT(CONCATENATE("Tab_",Tab_Calculs[[#This Row],[Colonne1]])),Tab_Calculs[[#This Row],[index_date_livraison]]-1,6)*(MAX(Tab_Calculs[[#This Row],[Début periode livraison]],Tab_Calculs[[#This Row],[Début mois]])-Tab_Calculs[[#This Row],[Début mois]])</f>
        <v>#VALUE!</v>
      </c>
      <c r="L1508" s="94">
        <f ca="1">INDEX(INDIRECT(CONCATENATE("Tab_",Tab_Calculs[[#This Row],[Colonne1]])),Tab_Calculs[[#This Row],[index_date_livraison]],6)*(1+MIN(Tab_Calculs[[#This Row],[Date_livraison]],Tab_Calculs[[#This Row],[fin mois]])-MAX(Tab_Calculs[[#This Row],[Début mois]],Tab_Calculs[[#This Row],[Début periode livraison]]))</f>
        <v>0</v>
      </c>
      <c r="M1508" s="94" t="e">
        <f ca="1">INDEX(INDIRECT(CONCATENATE("Tab_",Tab_Calculs[[#This Row],[Colonne1]])),Tab_Calculs[[#This Row],[index_date_livraison]]+1,6)*(Tab_Calculs[[#This Row],[fin mois]]-MIN(Tab_Calculs[[#This Row],[fin mois]],Tab_Calculs[[#This Row],[Date_livraison]]))</f>
        <v>#VALUE!</v>
      </c>
      <c r="N1508" s="231" t="str">
        <f ca="1">IFERROR(Tab_Calculs[[#This Row],[Ratio_jour_après_livr]]+Tab_Calculs[[#This Row],[Ratio_jour_avant_livr]]+Tab_Calculs[[#This Row],[ratio_avant_debut]],"")</f>
        <v/>
      </c>
      <c r="O1508" t="e">
        <f ca="1">INDEX(INDIRECT(CONCATENATE("Tab_",Tab_Calculs[[#This Row],[Colonne1]])),Tab_Calculs[[#This Row],[index_date_livraison]]-1,7)*(MAX(Tab_Calculs[[#This Row],[Début periode livraison]],Tab_Calculs[[#This Row],[Début mois]])-Tab_Calculs[[#This Row],[Début mois]])</f>
        <v>#VALUE!</v>
      </c>
      <c r="P1508">
        <f ca="1">INDEX(INDIRECT(CONCATENATE("Tab_",Tab_Calculs[[#This Row],[Colonne1]])),Tab_Calculs[[#This Row],[index_date_livraison]],7)*(1+MIN(Tab_Calculs[[#This Row],[Date_livraison]],Tab_Calculs[[#This Row],[fin mois]])-MAX(Tab_Calculs[[#This Row],[Début mois]],Tab_Calculs[[#This Row],[Début periode livraison]]))</f>
        <v>0</v>
      </c>
      <c r="Q1508" t="e">
        <f ca="1">INDEX(INDIRECT(CONCATENATE("Tab_",Tab_Calculs[[#This Row],[Colonne1]])),Tab_Calculs[[#This Row],[index_date_livraison]]+1,7)*(Tab_Calculs[[#This Row],[fin mois]]-MIN(Tab_Calculs[[#This Row],[fin mois]],Tab_Calculs[[#This Row],[Date_livraison]]))</f>
        <v>#VALUE!</v>
      </c>
      <c r="R1508" t="e">
        <f ca="1">Tab_Calculs[[#This Row],[Ratio_Cout_après_livr]]+Tab_Calculs[[#This Row],[Ratio_Cout_avant_livr]]+Tab_Calculs[[#This Row],[Ratio_Cout_avant_debut]]</f>
        <v>#VALUE!</v>
      </c>
      <c r="S1508" t="str">
        <f ca="1">IFERROR(N1508*VLOOKUP(Tab_Calculs[[#This Row],[Colonne1]],Controle_des_données!$B$7:$G$14,6,FALSE),"")</f>
        <v/>
      </c>
      <c r="T1508" t="str">
        <f ca="1">IF(Tab_Calculs[[#This Row],[Combustible ]]="Electricité (kWh)",Tab_Calculs[[#This Row],[Conso_mois_kWh]]*2.3,Tab_Calculs[[#This Row],[Conso_mois_kWh]])</f>
        <v/>
      </c>
      <c r="U1508" t="str">
        <f ca="1">IFERROR(N1508*VLOOKUP(Tab_Calculs[[#This Row],[Colonne1]],Controle_des_données!$B$7:$H$14,7,FALSE),"")</f>
        <v/>
      </c>
      <c r="V1508">
        <f ca="1">IFERROR(Tab_Calculs[[#This Row],[Cout_mois]]/Tab_Calculs[[#This Row],[Conso_mois_kWh]],0)</f>
        <v>0</v>
      </c>
      <c r="W1508" t="str">
        <f>T(VLOOKUP(Tab_Calculs[[#This Row],[Compteur]],Site!$B$33:$G$40,3,FALSE))</f>
        <v/>
      </c>
      <c r="X1508" t="str">
        <f>T(VLOOKUP(Tab_Calculs[[#This Row],[Compteur]],Site!$B$33:$G$40,4,FALSE))</f>
        <v/>
      </c>
      <c r="Y1508" t="str">
        <f>T(VLOOKUP(Tab_Calculs[[#This Row],[Compteur]],Site!$B$33:$G$40,5,FALSE))</f>
        <v/>
      </c>
      <c r="Z1508" t="str">
        <f>T(VLOOKUP(Tab_Calculs[[#This Row],[Compteur]],Site!$B$33:$G$40,6,FALSE))</f>
        <v/>
      </c>
      <c r="AA1508">
        <f>IFERROR(GETPIVOTDATA("DJU(chauffagiste)",BDD_DJU!$P$13,"annee",Tab_Calculs[[#This Row],[ANNEE]],"mois_numero",Tab_Calculs[[#This Row],[MOIS]]),0)</f>
        <v>380.8</v>
      </c>
    </row>
    <row r="1509" spans="1:27" x14ac:dyDescent="0.25">
      <c r="A1509" s="3">
        <f>DATE(Tab_Calculs[[#This Row],[ANNEE]],Tab_Calculs[[#This Row],[MOIS]],1)</f>
        <v>44927</v>
      </c>
      <c r="B1509" s="3">
        <f>EDATE(Tab_Calculs[[#This Row],[Début mois]],1)-1</f>
        <v>44957</v>
      </c>
      <c r="C1509">
        <f t="shared" si="52"/>
        <v>1</v>
      </c>
      <c r="D1509">
        <f t="shared" si="53"/>
        <v>2023</v>
      </c>
      <c r="E1509" t="s">
        <v>87</v>
      </c>
      <c r="F1509" t="str">
        <f>SUBSTITUTE(Tab_Calculs[[#This Row],[Compteur]]," ","_")</f>
        <v>Compteur_8</v>
      </c>
      <c r="G1509" t="str">
        <f>T(INDEX(Site!$B$33:$G$40, MATCH(Tab_Calculs[[#This Row],[Compteur]], Site!$B$33:$B$40,0),2))</f>
        <v/>
      </c>
      <c r="H1509" s="3">
        <f t="array" aca="1" ref="H1509" ca="1">MIN(IF(INDIRECT(CONCATENATE(Tab_Calculs[[#This Row],[Colonne1]],"!$B$2:$B$243"))&gt;=Calculs_Consos!$A1509,INDIRECT(CONCATENATE(Tab_Calculs[[#This Row],[Colonne1]],"!$B$2:$B$243"))))</f>
        <v>0</v>
      </c>
      <c r="I1509" s="3">
        <f ca="1">INDEX(INDIRECT(CONCATENATE("Tab_",Tab_Calculs[[#This Row],[Colonne1]])),Tab_Calculs[[#This Row],[index_date_livraison]],1)</f>
        <v>0</v>
      </c>
      <c r="J1509">
        <f ca="1">MATCH(Tab_Calculs[[#This Row],[Date_livraison]],INDIRECT(CONCATENATE("Tab_",Tab_Calculs[[#This Row],[Colonne1]],"[Fin de période]")),0)</f>
        <v>1</v>
      </c>
      <c r="K1509" t="e">
        <f ca="1">INDEX(INDIRECT(CONCATENATE("Tab_",Tab_Calculs[[#This Row],[Colonne1]])),Tab_Calculs[[#This Row],[index_date_livraison]]-1,6)*(MAX(Tab_Calculs[[#This Row],[Début periode livraison]],Tab_Calculs[[#This Row],[Début mois]])-Tab_Calculs[[#This Row],[Début mois]])</f>
        <v>#VALUE!</v>
      </c>
      <c r="L1509" s="94">
        <f ca="1">INDEX(INDIRECT(CONCATENATE("Tab_",Tab_Calculs[[#This Row],[Colonne1]])),Tab_Calculs[[#This Row],[index_date_livraison]],6)*(1+MIN(Tab_Calculs[[#This Row],[Date_livraison]],Tab_Calculs[[#This Row],[fin mois]])-MAX(Tab_Calculs[[#This Row],[Début mois]],Tab_Calculs[[#This Row],[Début periode livraison]]))</f>
        <v>0</v>
      </c>
      <c r="M1509" s="94" t="e">
        <f ca="1">INDEX(INDIRECT(CONCATENATE("Tab_",Tab_Calculs[[#This Row],[Colonne1]])),Tab_Calculs[[#This Row],[index_date_livraison]]+1,6)*(Tab_Calculs[[#This Row],[fin mois]]-MIN(Tab_Calculs[[#This Row],[fin mois]],Tab_Calculs[[#This Row],[Date_livraison]]))</f>
        <v>#VALUE!</v>
      </c>
      <c r="N1509" s="231" t="str">
        <f ca="1">IFERROR(Tab_Calculs[[#This Row],[Ratio_jour_après_livr]]+Tab_Calculs[[#This Row],[Ratio_jour_avant_livr]]+Tab_Calculs[[#This Row],[ratio_avant_debut]],"")</f>
        <v/>
      </c>
      <c r="O1509" t="e">
        <f ca="1">INDEX(INDIRECT(CONCATENATE("Tab_",Tab_Calculs[[#This Row],[Colonne1]])),Tab_Calculs[[#This Row],[index_date_livraison]]-1,7)*(MAX(Tab_Calculs[[#This Row],[Début periode livraison]],Tab_Calculs[[#This Row],[Début mois]])-Tab_Calculs[[#This Row],[Début mois]])</f>
        <v>#VALUE!</v>
      </c>
      <c r="P1509">
        <f ca="1">INDEX(INDIRECT(CONCATENATE("Tab_",Tab_Calculs[[#This Row],[Colonne1]])),Tab_Calculs[[#This Row],[index_date_livraison]],7)*(1+MIN(Tab_Calculs[[#This Row],[Date_livraison]],Tab_Calculs[[#This Row],[fin mois]])-MAX(Tab_Calculs[[#This Row],[Début mois]],Tab_Calculs[[#This Row],[Début periode livraison]]))</f>
        <v>0</v>
      </c>
      <c r="Q1509" t="e">
        <f ca="1">INDEX(INDIRECT(CONCATENATE("Tab_",Tab_Calculs[[#This Row],[Colonne1]])),Tab_Calculs[[#This Row],[index_date_livraison]]+1,7)*(Tab_Calculs[[#This Row],[fin mois]]-MIN(Tab_Calculs[[#This Row],[fin mois]],Tab_Calculs[[#This Row],[Date_livraison]]))</f>
        <v>#VALUE!</v>
      </c>
      <c r="R1509" t="e">
        <f ca="1">Tab_Calculs[[#This Row],[Ratio_Cout_après_livr]]+Tab_Calculs[[#This Row],[Ratio_Cout_avant_livr]]+Tab_Calculs[[#This Row],[Ratio_Cout_avant_debut]]</f>
        <v>#VALUE!</v>
      </c>
      <c r="S1509" t="str">
        <f ca="1">IFERROR(N1509*VLOOKUP(Tab_Calculs[[#This Row],[Colonne1]],Controle_des_données!$B$7:$G$14,6,FALSE),"")</f>
        <v/>
      </c>
      <c r="T1509" t="str">
        <f ca="1">IF(Tab_Calculs[[#This Row],[Combustible ]]="Electricité (kWh)",Tab_Calculs[[#This Row],[Conso_mois_kWh]]*2.3,Tab_Calculs[[#This Row],[Conso_mois_kWh]])</f>
        <v/>
      </c>
      <c r="U1509" t="str">
        <f ca="1">IFERROR(N1509*VLOOKUP(Tab_Calculs[[#This Row],[Colonne1]],Controle_des_données!$B$7:$H$14,7,FALSE),"")</f>
        <v/>
      </c>
      <c r="V1509">
        <f ca="1">IFERROR(Tab_Calculs[[#This Row],[Cout_mois]]/Tab_Calculs[[#This Row],[Conso_mois_kWh]],0)</f>
        <v>0</v>
      </c>
      <c r="W1509" t="str">
        <f>T(VLOOKUP(Tab_Calculs[[#This Row],[Compteur]],Site!$B$33:$G$40,3,FALSE))</f>
        <v/>
      </c>
      <c r="X1509" t="str">
        <f>T(VLOOKUP(Tab_Calculs[[#This Row],[Compteur]],Site!$B$33:$G$40,4,FALSE))</f>
        <v/>
      </c>
      <c r="Y1509" t="str">
        <f>T(VLOOKUP(Tab_Calculs[[#This Row],[Compteur]],Site!$B$33:$G$40,5,FALSE))</f>
        <v/>
      </c>
      <c r="Z1509" t="str">
        <f>T(VLOOKUP(Tab_Calculs[[#This Row],[Compteur]],Site!$B$33:$G$40,6,FALSE))</f>
        <v/>
      </c>
      <c r="AA1509">
        <f>IFERROR(GETPIVOTDATA("DJU(chauffagiste)",BDD_DJU!$P$13,"annee",Tab_Calculs[[#This Row],[ANNEE]],"mois_numero",Tab_Calculs[[#This Row],[MOIS]]),0)</f>
        <v>356.1</v>
      </c>
    </row>
    <row r="1510" spans="1:27" x14ac:dyDescent="0.25">
      <c r="A1510" s="3">
        <f>DATE(Tab_Calculs[[#This Row],[ANNEE]],Tab_Calculs[[#This Row],[MOIS]],1)</f>
        <v>44958</v>
      </c>
      <c r="B1510" s="3">
        <f>EDATE(Tab_Calculs[[#This Row],[Début mois]],1)-1</f>
        <v>44985</v>
      </c>
      <c r="C1510">
        <f t="shared" si="52"/>
        <v>2</v>
      </c>
      <c r="D1510">
        <f>D1498+1</f>
        <v>2023</v>
      </c>
      <c r="E1510" t="s">
        <v>87</v>
      </c>
      <c r="F1510" t="str">
        <f>SUBSTITUTE(Tab_Calculs[[#This Row],[Compteur]]," ","_")</f>
        <v>Compteur_8</v>
      </c>
      <c r="G1510" t="str">
        <f>T(INDEX(Site!$B$33:$G$40, MATCH(Tab_Calculs[[#This Row],[Compteur]], Site!$B$33:$B$40,0),2))</f>
        <v/>
      </c>
      <c r="H1510" s="3">
        <f t="array" aca="1" ref="H1510" ca="1">MIN(IF(INDIRECT(CONCATENATE(Tab_Calculs[[#This Row],[Colonne1]],"!$B$2:$B$243"))&gt;=Calculs_Consos!$A1510,INDIRECT(CONCATENATE(Tab_Calculs[[#This Row],[Colonne1]],"!$B$2:$B$243"))))</f>
        <v>0</v>
      </c>
      <c r="I1510" s="3">
        <f ca="1">INDEX(INDIRECT(CONCATENATE("Tab_",Tab_Calculs[[#This Row],[Colonne1]])),Tab_Calculs[[#This Row],[index_date_livraison]],1)</f>
        <v>0</v>
      </c>
      <c r="J1510">
        <f ca="1">MATCH(Tab_Calculs[[#This Row],[Date_livraison]],INDIRECT(CONCATENATE("Tab_",Tab_Calculs[[#This Row],[Colonne1]],"[Fin de période]")),0)</f>
        <v>1</v>
      </c>
      <c r="K1510" t="e">
        <f ca="1">INDEX(INDIRECT(CONCATENATE("Tab_",Tab_Calculs[[#This Row],[Colonne1]])),Tab_Calculs[[#This Row],[index_date_livraison]]-1,6)*(MAX(Tab_Calculs[[#This Row],[Début periode livraison]],Tab_Calculs[[#This Row],[Début mois]])-Tab_Calculs[[#This Row],[Début mois]])</f>
        <v>#VALUE!</v>
      </c>
      <c r="L1510" s="94">
        <f ca="1">INDEX(INDIRECT(CONCATENATE("Tab_",Tab_Calculs[[#This Row],[Colonne1]])),Tab_Calculs[[#This Row],[index_date_livraison]],6)*(1+MIN(Tab_Calculs[[#This Row],[Date_livraison]],Tab_Calculs[[#This Row],[fin mois]])-MAX(Tab_Calculs[[#This Row],[Début mois]],Tab_Calculs[[#This Row],[Début periode livraison]]))</f>
        <v>0</v>
      </c>
      <c r="M1510" s="94" t="e">
        <f ca="1">INDEX(INDIRECT(CONCATENATE("Tab_",Tab_Calculs[[#This Row],[Colonne1]])),Tab_Calculs[[#This Row],[index_date_livraison]]+1,6)*(Tab_Calculs[[#This Row],[fin mois]]-MIN(Tab_Calculs[[#This Row],[fin mois]],Tab_Calculs[[#This Row],[Date_livraison]]))</f>
        <v>#VALUE!</v>
      </c>
      <c r="N1510" s="231" t="str">
        <f ca="1">IFERROR(Tab_Calculs[[#This Row],[Ratio_jour_après_livr]]+Tab_Calculs[[#This Row],[Ratio_jour_avant_livr]]+Tab_Calculs[[#This Row],[ratio_avant_debut]],"")</f>
        <v/>
      </c>
      <c r="O1510" t="e">
        <f ca="1">INDEX(INDIRECT(CONCATENATE("Tab_",Tab_Calculs[[#This Row],[Colonne1]])),Tab_Calculs[[#This Row],[index_date_livraison]]-1,7)*(MAX(Tab_Calculs[[#This Row],[Début periode livraison]],Tab_Calculs[[#This Row],[Début mois]])-Tab_Calculs[[#This Row],[Début mois]])</f>
        <v>#VALUE!</v>
      </c>
      <c r="P1510">
        <f ca="1">INDEX(INDIRECT(CONCATENATE("Tab_",Tab_Calculs[[#This Row],[Colonne1]])),Tab_Calculs[[#This Row],[index_date_livraison]],7)*(1+MIN(Tab_Calculs[[#This Row],[Date_livraison]],Tab_Calculs[[#This Row],[fin mois]])-MAX(Tab_Calculs[[#This Row],[Début mois]],Tab_Calculs[[#This Row],[Début periode livraison]]))</f>
        <v>0</v>
      </c>
      <c r="Q1510" t="e">
        <f ca="1">INDEX(INDIRECT(CONCATENATE("Tab_",Tab_Calculs[[#This Row],[Colonne1]])),Tab_Calculs[[#This Row],[index_date_livraison]]+1,7)*(Tab_Calculs[[#This Row],[fin mois]]-MIN(Tab_Calculs[[#This Row],[fin mois]],Tab_Calculs[[#This Row],[Date_livraison]]))</f>
        <v>#VALUE!</v>
      </c>
      <c r="R1510" t="e">
        <f ca="1">Tab_Calculs[[#This Row],[Ratio_Cout_après_livr]]+Tab_Calculs[[#This Row],[Ratio_Cout_avant_livr]]+Tab_Calculs[[#This Row],[Ratio_Cout_avant_debut]]</f>
        <v>#VALUE!</v>
      </c>
      <c r="S1510" t="str">
        <f ca="1">IFERROR(N1510*VLOOKUP(Tab_Calculs[[#This Row],[Colonne1]],Controle_des_données!$B$7:$G$14,6,FALSE),"")</f>
        <v/>
      </c>
      <c r="T1510" t="str">
        <f ca="1">IF(Tab_Calculs[[#This Row],[Combustible ]]="Electricité (kWh)",Tab_Calculs[[#This Row],[Conso_mois_kWh]]*2.3,Tab_Calculs[[#This Row],[Conso_mois_kWh]])</f>
        <v/>
      </c>
      <c r="U1510" t="str">
        <f ca="1">IFERROR(N1510*VLOOKUP(Tab_Calculs[[#This Row],[Colonne1]],Controle_des_données!$B$7:$H$14,7,FALSE),"")</f>
        <v/>
      </c>
      <c r="V1510">
        <f ca="1">IFERROR(Tab_Calculs[[#This Row],[Cout_mois]]/Tab_Calculs[[#This Row],[Conso_mois_kWh]],0)</f>
        <v>0</v>
      </c>
      <c r="W1510" t="str">
        <f>T(VLOOKUP(Tab_Calculs[[#This Row],[Compteur]],Site!$B$33:$G$40,3,FALSE))</f>
        <v/>
      </c>
      <c r="X1510" t="str">
        <f>T(VLOOKUP(Tab_Calculs[[#This Row],[Compteur]],Site!$B$33:$G$40,4,FALSE))</f>
        <v/>
      </c>
      <c r="Y1510" t="str">
        <f>T(VLOOKUP(Tab_Calculs[[#This Row],[Compteur]],Site!$B$33:$G$40,5,FALSE))</f>
        <v/>
      </c>
      <c r="Z1510" t="str">
        <f>T(VLOOKUP(Tab_Calculs[[#This Row],[Compteur]],Site!$B$33:$G$40,6,FALSE))</f>
        <v/>
      </c>
      <c r="AA1510">
        <f>IFERROR(GETPIVOTDATA("DJU(chauffagiste)",BDD_DJU!$P$13,"annee",Tab_Calculs[[#This Row],[ANNEE]],"mois_numero",Tab_Calculs[[#This Row],[MOIS]]),0)</f>
        <v>314.10000000000002</v>
      </c>
    </row>
    <row r="1511" spans="1:27" x14ac:dyDescent="0.25">
      <c r="A1511" s="3">
        <f>DATE(Tab_Calculs[[#This Row],[ANNEE]],Tab_Calculs[[#This Row],[MOIS]],1)</f>
        <v>44986</v>
      </c>
      <c r="B1511" s="3">
        <f>EDATE(Tab_Calculs[[#This Row],[Début mois]],1)-1</f>
        <v>45016</v>
      </c>
      <c r="C1511">
        <f t="shared" si="52"/>
        <v>3</v>
      </c>
      <c r="D1511">
        <f t="shared" ref="D1511:D1531" si="54">D1499+1</f>
        <v>2023</v>
      </c>
      <c r="E1511" t="s">
        <v>87</v>
      </c>
      <c r="F1511" t="str">
        <f>SUBSTITUTE(Tab_Calculs[[#This Row],[Compteur]]," ","_")</f>
        <v>Compteur_8</v>
      </c>
      <c r="G1511" t="str">
        <f>T(INDEX(Site!$B$33:$G$40, MATCH(Tab_Calculs[[#This Row],[Compteur]], Site!$B$33:$B$40,0),2))</f>
        <v/>
      </c>
      <c r="H1511" s="3">
        <f t="array" aca="1" ref="H1511" ca="1">MIN(IF(INDIRECT(CONCATENATE(Tab_Calculs[[#This Row],[Colonne1]],"!$B$2:$B$243"))&gt;=Calculs_Consos!$A1511,INDIRECT(CONCATENATE(Tab_Calculs[[#This Row],[Colonne1]],"!$B$2:$B$243"))))</f>
        <v>0</v>
      </c>
      <c r="I1511" s="3">
        <f ca="1">INDEX(INDIRECT(CONCATENATE("Tab_",Tab_Calculs[[#This Row],[Colonne1]])),Tab_Calculs[[#This Row],[index_date_livraison]],1)</f>
        <v>0</v>
      </c>
      <c r="J1511">
        <f ca="1">MATCH(Tab_Calculs[[#This Row],[Date_livraison]],INDIRECT(CONCATENATE("Tab_",Tab_Calculs[[#This Row],[Colonne1]],"[Fin de période]")),0)</f>
        <v>1</v>
      </c>
      <c r="K1511" t="e">
        <f ca="1">INDEX(INDIRECT(CONCATENATE("Tab_",Tab_Calculs[[#This Row],[Colonne1]])),Tab_Calculs[[#This Row],[index_date_livraison]]-1,6)*(MAX(Tab_Calculs[[#This Row],[Début periode livraison]],Tab_Calculs[[#This Row],[Début mois]])-Tab_Calculs[[#This Row],[Début mois]])</f>
        <v>#VALUE!</v>
      </c>
      <c r="L1511" s="94">
        <f ca="1">INDEX(INDIRECT(CONCATENATE("Tab_",Tab_Calculs[[#This Row],[Colonne1]])),Tab_Calculs[[#This Row],[index_date_livraison]],6)*(1+MIN(Tab_Calculs[[#This Row],[Date_livraison]],Tab_Calculs[[#This Row],[fin mois]])-MAX(Tab_Calculs[[#This Row],[Début mois]],Tab_Calculs[[#This Row],[Début periode livraison]]))</f>
        <v>0</v>
      </c>
      <c r="M1511" s="94" t="e">
        <f ca="1">INDEX(INDIRECT(CONCATENATE("Tab_",Tab_Calculs[[#This Row],[Colonne1]])),Tab_Calculs[[#This Row],[index_date_livraison]]+1,6)*(Tab_Calculs[[#This Row],[fin mois]]-MIN(Tab_Calculs[[#This Row],[fin mois]],Tab_Calculs[[#This Row],[Date_livraison]]))</f>
        <v>#VALUE!</v>
      </c>
      <c r="N1511" s="231" t="str">
        <f ca="1">IFERROR(Tab_Calculs[[#This Row],[Ratio_jour_après_livr]]+Tab_Calculs[[#This Row],[Ratio_jour_avant_livr]]+Tab_Calculs[[#This Row],[ratio_avant_debut]],"")</f>
        <v/>
      </c>
      <c r="O1511" t="e">
        <f ca="1">INDEX(INDIRECT(CONCATENATE("Tab_",Tab_Calculs[[#This Row],[Colonne1]])),Tab_Calculs[[#This Row],[index_date_livraison]]-1,7)*(MAX(Tab_Calculs[[#This Row],[Début periode livraison]],Tab_Calculs[[#This Row],[Début mois]])-Tab_Calculs[[#This Row],[Début mois]])</f>
        <v>#VALUE!</v>
      </c>
      <c r="P1511">
        <f ca="1">INDEX(INDIRECT(CONCATENATE("Tab_",Tab_Calculs[[#This Row],[Colonne1]])),Tab_Calculs[[#This Row],[index_date_livraison]],7)*(1+MIN(Tab_Calculs[[#This Row],[Date_livraison]],Tab_Calculs[[#This Row],[fin mois]])-MAX(Tab_Calculs[[#This Row],[Début mois]],Tab_Calculs[[#This Row],[Début periode livraison]]))</f>
        <v>0</v>
      </c>
      <c r="Q1511" t="e">
        <f ca="1">INDEX(INDIRECT(CONCATENATE("Tab_",Tab_Calculs[[#This Row],[Colonne1]])),Tab_Calculs[[#This Row],[index_date_livraison]]+1,7)*(Tab_Calculs[[#This Row],[fin mois]]-MIN(Tab_Calculs[[#This Row],[fin mois]],Tab_Calculs[[#This Row],[Date_livraison]]))</f>
        <v>#VALUE!</v>
      </c>
      <c r="R1511" t="e">
        <f ca="1">Tab_Calculs[[#This Row],[Ratio_Cout_après_livr]]+Tab_Calculs[[#This Row],[Ratio_Cout_avant_livr]]+Tab_Calculs[[#This Row],[Ratio_Cout_avant_debut]]</f>
        <v>#VALUE!</v>
      </c>
      <c r="S1511" t="str">
        <f ca="1">IFERROR(N1511*VLOOKUP(Tab_Calculs[[#This Row],[Colonne1]],Controle_des_données!$B$7:$G$14,6,FALSE),"")</f>
        <v/>
      </c>
      <c r="T1511" t="str">
        <f ca="1">IF(Tab_Calculs[[#This Row],[Combustible ]]="Electricité (kWh)",Tab_Calculs[[#This Row],[Conso_mois_kWh]]*2.3,Tab_Calculs[[#This Row],[Conso_mois_kWh]])</f>
        <v/>
      </c>
      <c r="U1511" t="str">
        <f ca="1">IFERROR(N1511*VLOOKUP(Tab_Calculs[[#This Row],[Colonne1]],Controle_des_données!$B$7:$H$14,7,FALSE),"")</f>
        <v/>
      </c>
      <c r="V1511">
        <f ca="1">IFERROR(Tab_Calculs[[#This Row],[Cout_mois]]/Tab_Calculs[[#This Row],[Conso_mois_kWh]],0)</f>
        <v>0</v>
      </c>
      <c r="W1511" t="str">
        <f>T(VLOOKUP(Tab_Calculs[[#This Row],[Compteur]],Site!$B$33:$G$40,3,FALSE))</f>
        <v/>
      </c>
      <c r="X1511" t="str">
        <f>T(VLOOKUP(Tab_Calculs[[#This Row],[Compteur]],Site!$B$33:$G$40,4,FALSE))</f>
        <v/>
      </c>
      <c r="Y1511" t="str">
        <f>T(VLOOKUP(Tab_Calculs[[#This Row],[Compteur]],Site!$B$33:$G$40,5,FALSE))</f>
        <v/>
      </c>
      <c r="Z1511" t="str">
        <f>T(VLOOKUP(Tab_Calculs[[#This Row],[Compteur]],Site!$B$33:$G$40,6,FALSE))</f>
        <v/>
      </c>
      <c r="AA1511">
        <f>IFERROR(GETPIVOTDATA("DJU(chauffagiste)",BDD_DJU!$P$13,"annee",Tab_Calculs[[#This Row],[ANNEE]],"mois_numero",Tab_Calculs[[#This Row],[MOIS]]),0)</f>
        <v>251.3</v>
      </c>
    </row>
    <row r="1512" spans="1:27" x14ac:dyDescent="0.25">
      <c r="A1512" s="3">
        <f>DATE(Tab_Calculs[[#This Row],[ANNEE]],Tab_Calculs[[#This Row],[MOIS]],1)</f>
        <v>45017</v>
      </c>
      <c r="B1512" s="3">
        <f>EDATE(Tab_Calculs[[#This Row],[Début mois]],1)-1</f>
        <v>45046</v>
      </c>
      <c r="C1512">
        <f t="shared" si="52"/>
        <v>4</v>
      </c>
      <c r="D1512">
        <f t="shared" si="54"/>
        <v>2023</v>
      </c>
      <c r="E1512" t="s">
        <v>87</v>
      </c>
      <c r="F1512" t="str">
        <f>SUBSTITUTE(Tab_Calculs[[#This Row],[Compteur]]," ","_")</f>
        <v>Compteur_8</v>
      </c>
      <c r="G1512" t="str">
        <f>T(INDEX(Site!$B$33:$G$40, MATCH(Tab_Calculs[[#This Row],[Compteur]], Site!$B$33:$B$40,0),2))</f>
        <v/>
      </c>
      <c r="H1512" s="3">
        <f t="array" aca="1" ref="H1512" ca="1">MIN(IF(INDIRECT(CONCATENATE(Tab_Calculs[[#This Row],[Colonne1]],"!$B$2:$B$243"))&gt;=Calculs_Consos!$A1512,INDIRECT(CONCATENATE(Tab_Calculs[[#This Row],[Colonne1]],"!$B$2:$B$243"))))</f>
        <v>0</v>
      </c>
      <c r="I1512" s="3">
        <f ca="1">INDEX(INDIRECT(CONCATENATE("Tab_",Tab_Calculs[[#This Row],[Colonne1]])),Tab_Calculs[[#This Row],[index_date_livraison]],1)</f>
        <v>0</v>
      </c>
      <c r="J1512">
        <f ca="1">MATCH(Tab_Calculs[[#This Row],[Date_livraison]],INDIRECT(CONCATENATE("Tab_",Tab_Calculs[[#This Row],[Colonne1]],"[Fin de période]")),0)</f>
        <v>1</v>
      </c>
      <c r="K1512" t="e">
        <f ca="1">INDEX(INDIRECT(CONCATENATE("Tab_",Tab_Calculs[[#This Row],[Colonne1]])),Tab_Calculs[[#This Row],[index_date_livraison]]-1,6)*(MAX(Tab_Calculs[[#This Row],[Début periode livraison]],Tab_Calculs[[#This Row],[Début mois]])-Tab_Calculs[[#This Row],[Début mois]])</f>
        <v>#VALUE!</v>
      </c>
      <c r="L1512" s="94">
        <f ca="1">INDEX(INDIRECT(CONCATENATE("Tab_",Tab_Calculs[[#This Row],[Colonne1]])),Tab_Calculs[[#This Row],[index_date_livraison]],6)*(1+MIN(Tab_Calculs[[#This Row],[Date_livraison]],Tab_Calculs[[#This Row],[fin mois]])-MAX(Tab_Calculs[[#This Row],[Début mois]],Tab_Calculs[[#This Row],[Début periode livraison]]))</f>
        <v>0</v>
      </c>
      <c r="M1512" s="94" t="e">
        <f ca="1">INDEX(INDIRECT(CONCATENATE("Tab_",Tab_Calculs[[#This Row],[Colonne1]])),Tab_Calculs[[#This Row],[index_date_livraison]]+1,6)*(Tab_Calculs[[#This Row],[fin mois]]-MIN(Tab_Calculs[[#This Row],[fin mois]],Tab_Calculs[[#This Row],[Date_livraison]]))</f>
        <v>#VALUE!</v>
      </c>
      <c r="N1512" s="231" t="str">
        <f ca="1">IFERROR(Tab_Calculs[[#This Row],[Ratio_jour_après_livr]]+Tab_Calculs[[#This Row],[Ratio_jour_avant_livr]]+Tab_Calculs[[#This Row],[ratio_avant_debut]],"")</f>
        <v/>
      </c>
      <c r="O1512" t="e">
        <f ca="1">INDEX(INDIRECT(CONCATENATE("Tab_",Tab_Calculs[[#This Row],[Colonne1]])),Tab_Calculs[[#This Row],[index_date_livraison]]-1,7)*(MAX(Tab_Calculs[[#This Row],[Début periode livraison]],Tab_Calculs[[#This Row],[Début mois]])-Tab_Calculs[[#This Row],[Début mois]])</f>
        <v>#VALUE!</v>
      </c>
      <c r="P1512">
        <f ca="1">INDEX(INDIRECT(CONCATENATE("Tab_",Tab_Calculs[[#This Row],[Colonne1]])),Tab_Calculs[[#This Row],[index_date_livraison]],7)*(1+MIN(Tab_Calculs[[#This Row],[Date_livraison]],Tab_Calculs[[#This Row],[fin mois]])-MAX(Tab_Calculs[[#This Row],[Début mois]],Tab_Calculs[[#This Row],[Début periode livraison]]))</f>
        <v>0</v>
      </c>
      <c r="Q1512" t="e">
        <f ca="1">INDEX(INDIRECT(CONCATENATE("Tab_",Tab_Calculs[[#This Row],[Colonne1]])),Tab_Calculs[[#This Row],[index_date_livraison]]+1,7)*(Tab_Calculs[[#This Row],[fin mois]]-MIN(Tab_Calculs[[#This Row],[fin mois]],Tab_Calculs[[#This Row],[Date_livraison]]))</f>
        <v>#VALUE!</v>
      </c>
      <c r="R1512" t="e">
        <f ca="1">Tab_Calculs[[#This Row],[Ratio_Cout_après_livr]]+Tab_Calculs[[#This Row],[Ratio_Cout_avant_livr]]+Tab_Calculs[[#This Row],[Ratio_Cout_avant_debut]]</f>
        <v>#VALUE!</v>
      </c>
      <c r="S1512" t="str">
        <f ca="1">IFERROR(N1512*VLOOKUP(Tab_Calculs[[#This Row],[Colonne1]],Controle_des_données!$B$7:$G$14,6,FALSE),"")</f>
        <v/>
      </c>
      <c r="T1512" t="str">
        <f ca="1">IF(Tab_Calculs[[#This Row],[Combustible ]]="Electricité (kWh)",Tab_Calculs[[#This Row],[Conso_mois_kWh]]*2.3,Tab_Calculs[[#This Row],[Conso_mois_kWh]])</f>
        <v/>
      </c>
      <c r="U1512" t="str">
        <f ca="1">IFERROR(N1512*VLOOKUP(Tab_Calculs[[#This Row],[Colonne1]],Controle_des_données!$B$7:$H$14,7,FALSE),"")</f>
        <v/>
      </c>
      <c r="V1512">
        <f ca="1">IFERROR(Tab_Calculs[[#This Row],[Cout_mois]]/Tab_Calculs[[#This Row],[Conso_mois_kWh]],0)</f>
        <v>0</v>
      </c>
      <c r="W1512" t="str">
        <f>T(VLOOKUP(Tab_Calculs[[#This Row],[Compteur]],Site!$B$33:$G$40,3,FALSE))</f>
        <v/>
      </c>
      <c r="X1512" t="str">
        <f>T(VLOOKUP(Tab_Calculs[[#This Row],[Compteur]],Site!$B$33:$G$40,4,FALSE))</f>
        <v/>
      </c>
      <c r="Y1512" t="str">
        <f>T(VLOOKUP(Tab_Calculs[[#This Row],[Compteur]],Site!$B$33:$G$40,5,FALSE))</f>
        <v/>
      </c>
      <c r="Z1512" t="str">
        <f>T(VLOOKUP(Tab_Calculs[[#This Row],[Compteur]],Site!$B$33:$G$40,6,FALSE))</f>
        <v/>
      </c>
      <c r="AA1512">
        <f>IFERROR(GETPIVOTDATA("DJU(chauffagiste)",BDD_DJU!$P$13,"annee",Tab_Calculs[[#This Row],[ANNEE]],"mois_numero",Tab_Calculs[[#This Row],[MOIS]]),0)</f>
        <v>198</v>
      </c>
    </row>
    <row r="1513" spans="1:27" x14ac:dyDescent="0.25">
      <c r="A1513" s="3">
        <f>DATE(Tab_Calculs[[#This Row],[ANNEE]],Tab_Calculs[[#This Row],[MOIS]],1)</f>
        <v>45047</v>
      </c>
      <c r="B1513" s="3">
        <f>EDATE(Tab_Calculs[[#This Row],[Début mois]],1)-1</f>
        <v>45077</v>
      </c>
      <c r="C1513">
        <f t="shared" si="52"/>
        <v>5</v>
      </c>
      <c r="D1513">
        <f t="shared" si="54"/>
        <v>2023</v>
      </c>
      <c r="E1513" t="s">
        <v>87</v>
      </c>
      <c r="F1513" t="str">
        <f>SUBSTITUTE(Tab_Calculs[[#This Row],[Compteur]]," ","_")</f>
        <v>Compteur_8</v>
      </c>
      <c r="G1513" t="str">
        <f>T(INDEX(Site!$B$33:$G$40, MATCH(Tab_Calculs[[#This Row],[Compteur]], Site!$B$33:$B$40,0),2))</f>
        <v/>
      </c>
      <c r="H1513" s="3">
        <f t="array" aca="1" ref="H1513" ca="1">MIN(IF(INDIRECT(CONCATENATE(Tab_Calculs[[#This Row],[Colonne1]],"!$B$2:$B$243"))&gt;=Calculs_Consos!$A1513,INDIRECT(CONCATENATE(Tab_Calculs[[#This Row],[Colonne1]],"!$B$2:$B$243"))))</f>
        <v>0</v>
      </c>
      <c r="I1513" s="3">
        <f ca="1">INDEX(INDIRECT(CONCATENATE("Tab_",Tab_Calculs[[#This Row],[Colonne1]])),Tab_Calculs[[#This Row],[index_date_livraison]],1)</f>
        <v>0</v>
      </c>
      <c r="J1513">
        <f ca="1">MATCH(Tab_Calculs[[#This Row],[Date_livraison]],INDIRECT(CONCATENATE("Tab_",Tab_Calculs[[#This Row],[Colonne1]],"[Fin de période]")),0)</f>
        <v>1</v>
      </c>
      <c r="K1513" t="e">
        <f ca="1">INDEX(INDIRECT(CONCATENATE("Tab_",Tab_Calculs[[#This Row],[Colonne1]])),Tab_Calculs[[#This Row],[index_date_livraison]]-1,6)*(MAX(Tab_Calculs[[#This Row],[Début periode livraison]],Tab_Calculs[[#This Row],[Début mois]])-Tab_Calculs[[#This Row],[Début mois]])</f>
        <v>#VALUE!</v>
      </c>
      <c r="L1513" s="94">
        <f ca="1">INDEX(INDIRECT(CONCATENATE("Tab_",Tab_Calculs[[#This Row],[Colonne1]])),Tab_Calculs[[#This Row],[index_date_livraison]],6)*(1+MIN(Tab_Calculs[[#This Row],[Date_livraison]],Tab_Calculs[[#This Row],[fin mois]])-MAX(Tab_Calculs[[#This Row],[Début mois]],Tab_Calculs[[#This Row],[Début periode livraison]]))</f>
        <v>0</v>
      </c>
      <c r="M1513" s="94" t="e">
        <f ca="1">INDEX(INDIRECT(CONCATENATE("Tab_",Tab_Calculs[[#This Row],[Colonne1]])),Tab_Calculs[[#This Row],[index_date_livraison]]+1,6)*(Tab_Calculs[[#This Row],[fin mois]]-MIN(Tab_Calculs[[#This Row],[fin mois]],Tab_Calculs[[#This Row],[Date_livraison]]))</f>
        <v>#VALUE!</v>
      </c>
      <c r="N1513" s="231" t="str">
        <f ca="1">IFERROR(Tab_Calculs[[#This Row],[Ratio_jour_après_livr]]+Tab_Calculs[[#This Row],[Ratio_jour_avant_livr]]+Tab_Calculs[[#This Row],[ratio_avant_debut]],"")</f>
        <v/>
      </c>
      <c r="O1513" t="e">
        <f ca="1">INDEX(INDIRECT(CONCATENATE("Tab_",Tab_Calculs[[#This Row],[Colonne1]])),Tab_Calculs[[#This Row],[index_date_livraison]]-1,7)*(MAX(Tab_Calculs[[#This Row],[Début periode livraison]],Tab_Calculs[[#This Row],[Début mois]])-Tab_Calculs[[#This Row],[Début mois]])</f>
        <v>#VALUE!</v>
      </c>
      <c r="P1513">
        <f ca="1">INDEX(INDIRECT(CONCATENATE("Tab_",Tab_Calculs[[#This Row],[Colonne1]])),Tab_Calculs[[#This Row],[index_date_livraison]],7)*(1+MIN(Tab_Calculs[[#This Row],[Date_livraison]],Tab_Calculs[[#This Row],[fin mois]])-MAX(Tab_Calculs[[#This Row],[Début mois]],Tab_Calculs[[#This Row],[Début periode livraison]]))</f>
        <v>0</v>
      </c>
      <c r="Q1513" t="e">
        <f ca="1">INDEX(INDIRECT(CONCATENATE("Tab_",Tab_Calculs[[#This Row],[Colonne1]])),Tab_Calculs[[#This Row],[index_date_livraison]]+1,7)*(Tab_Calculs[[#This Row],[fin mois]]-MIN(Tab_Calculs[[#This Row],[fin mois]],Tab_Calculs[[#This Row],[Date_livraison]]))</f>
        <v>#VALUE!</v>
      </c>
      <c r="R1513" t="e">
        <f ca="1">Tab_Calculs[[#This Row],[Ratio_Cout_après_livr]]+Tab_Calculs[[#This Row],[Ratio_Cout_avant_livr]]+Tab_Calculs[[#This Row],[Ratio_Cout_avant_debut]]</f>
        <v>#VALUE!</v>
      </c>
      <c r="S1513" t="str">
        <f ca="1">IFERROR(N1513*VLOOKUP(Tab_Calculs[[#This Row],[Colonne1]],Controle_des_données!$B$7:$G$14,6,FALSE),"")</f>
        <v/>
      </c>
      <c r="T1513" t="str">
        <f ca="1">IF(Tab_Calculs[[#This Row],[Combustible ]]="Electricité (kWh)",Tab_Calculs[[#This Row],[Conso_mois_kWh]]*2.3,Tab_Calculs[[#This Row],[Conso_mois_kWh]])</f>
        <v/>
      </c>
      <c r="U1513" t="str">
        <f ca="1">IFERROR(N1513*VLOOKUP(Tab_Calculs[[#This Row],[Colonne1]],Controle_des_données!$B$7:$H$14,7,FALSE),"")</f>
        <v/>
      </c>
      <c r="V1513">
        <f ca="1">IFERROR(Tab_Calculs[[#This Row],[Cout_mois]]/Tab_Calculs[[#This Row],[Conso_mois_kWh]],0)</f>
        <v>0</v>
      </c>
      <c r="W1513" t="str">
        <f>T(VLOOKUP(Tab_Calculs[[#This Row],[Compteur]],Site!$B$33:$G$40,3,FALSE))</f>
        <v/>
      </c>
      <c r="X1513" t="str">
        <f>T(VLOOKUP(Tab_Calculs[[#This Row],[Compteur]],Site!$B$33:$G$40,4,FALSE))</f>
        <v/>
      </c>
      <c r="Y1513" t="str">
        <f>T(VLOOKUP(Tab_Calculs[[#This Row],[Compteur]],Site!$B$33:$G$40,5,FALSE))</f>
        <v/>
      </c>
      <c r="Z1513" t="str">
        <f>T(VLOOKUP(Tab_Calculs[[#This Row],[Compteur]],Site!$B$33:$G$40,6,FALSE))</f>
        <v/>
      </c>
      <c r="AA1513">
        <f>IFERROR(GETPIVOTDATA("DJU(chauffagiste)",BDD_DJU!$P$13,"annee",Tab_Calculs[[#This Row],[ANNEE]],"mois_numero",Tab_Calculs[[#This Row],[MOIS]]),0)</f>
        <v>86.4</v>
      </c>
    </row>
    <row r="1514" spans="1:27" x14ac:dyDescent="0.25">
      <c r="A1514" s="3">
        <f>DATE(Tab_Calculs[[#This Row],[ANNEE]],Tab_Calculs[[#This Row],[MOIS]],1)</f>
        <v>45078</v>
      </c>
      <c r="B1514" s="3">
        <f>EDATE(Tab_Calculs[[#This Row],[Début mois]],1)-1</f>
        <v>45107</v>
      </c>
      <c r="C1514">
        <f t="shared" si="52"/>
        <v>6</v>
      </c>
      <c r="D1514">
        <f t="shared" si="54"/>
        <v>2023</v>
      </c>
      <c r="E1514" t="s">
        <v>87</v>
      </c>
      <c r="F1514" t="str">
        <f>SUBSTITUTE(Tab_Calculs[[#This Row],[Compteur]]," ","_")</f>
        <v>Compteur_8</v>
      </c>
      <c r="G1514" t="str">
        <f>T(INDEX(Site!$B$33:$G$40, MATCH(Tab_Calculs[[#This Row],[Compteur]], Site!$B$33:$B$40,0),2))</f>
        <v/>
      </c>
      <c r="H1514" s="3">
        <f t="array" aca="1" ref="H1514" ca="1">MIN(IF(INDIRECT(CONCATENATE(Tab_Calculs[[#This Row],[Colonne1]],"!$B$2:$B$243"))&gt;=Calculs_Consos!$A1514,INDIRECT(CONCATENATE(Tab_Calculs[[#This Row],[Colonne1]],"!$B$2:$B$243"))))</f>
        <v>0</v>
      </c>
      <c r="I1514" s="3">
        <f ca="1">INDEX(INDIRECT(CONCATENATE("Tab_",Tab_Calculs[[#This Row],[Colonne1]])),Tab_Calculs[[#This Row],[index_date_livraison]],1)</f>
        <v>0</v>
      </c>
      <c r="J1514">
        <f ca="1">MATCH(Tab_Calculs[[#This Row],[Date_livraison]],INDIRECT(CONCATENATE("Tab_",Tab_Calculs[[#This Row],[Colonne1]],"[Fin de période]")),0)</f>
        <v>1</v>
      </c>
      <c r="K1514" t="e">
        <f ca="1">INDEX(INDIRECT(CONCATENATE("Tab_",Tab_Calculs[[#This Row],[Colonne1]])),Tab_Calculs[[#This Row],[index_date_livraison]]-1,6)*(MAX(Tab_Calculs[[#This Row],[Début periode livraison]],Tab_Calculs[[#This Row],[Début mois]])-Tab_Calculs[[#This Row],[Début mois]])</f>
        <v>#VALUE!</v>
      </c>
      <c r="L1514" s="94">
        <f ca="1">INDEX(INDIRECT(CONCATENATE("Tab_",Tab_Calculs[[#This Row],[Colonne1]])),Tab_Calculs[[#This Row],[index_date_livraison]],6)*(1+MIN(Tab_Calculs[[#This Row],[Date_livraison]],Tab_Calculs[[#This Row],[fin mois]])-MAX(Tab_Calculs[[#This Row],[Début mois]],Tab_Calculs[[#This Row],[Début periode livraison]]))</f>
        <v>0</v>
      </c>
      <c r="M1514" s="94" t="e">
        <f ca="1">INDEX(INDIRECT(CONCATENATE("Tab_",Tab_Calculs[[#This Row],[Colonne1]])),Tab_Calculs[[#This Row],[index_date_livraison]]+1,6)*(Tab_Calculs[[#This Row],[fin mois]]-MIN(Tab_Calculs[[#This Row],[fin mois]],Tab_Calculs[[#This Row],[Date_livraison]]))</f>
        <v>#VALUE!</v>
      </c>
      <c r="N1514" s="231" t="str">
        <f ca="1">IFERROR(Tab_Calculs[[#This Row],[Ratio_jour_après_livr]]+Tab_Calculs[[#This Row],[Ratio_jour_avant_livr]]+Tab_Calculs[[#This Row],[ratio_avant_debut]],"")</f>
        <v/>
      </c>
      <c r="O1514" t="e">
        <f ca="1">INDEX(INDIRECT(CONCATENATE("Tab_",Tab_Calculs[[#This Row],[Colonne1]])),Tab_Calculs[[#This Row],[index_date_livraison]]-1,7)*(MAX(Tab_Calculs[[#This Row],[Début periode livraison]],Tab_Calculs[[#This Row],[Début mois]])-Tab_Calculs[[#This Row],[Début mois]])</f>
        <v>#VALUE!</v>
      </c>
      <c r="P1514">
        <f ca="1">INDEX(INDIRECT(CONCATENATE("Tab_",Tab_Calculs[[#This Row],[Colonne1]])),Tab_Calculs[[#This Row],[index_date_livraison]],7)*(1+MIN(Tab_Calculs[[#This Row],[Date_livraison]],Tab_Calculs[[#This Row],[fin mois]])-MAX(Tab_Calculs[[#This Row],[Début mois]],Tab_Calculs[[#This Row],[Début periode livraison]]))</f>
        <v>0</v>
      </c>
      <c r="Q1514" t="e">
        <f ca="1">INDEX(INDIRECT(CONCATENATE("Tab_",Tab_Calculs[[#This Row],[Colonne1]])),Tab_Calculs[[#This Row],[index_date_livraison]]+1,7)*(Tab_Calculs[[#This Row],[fin mois]]-MIN(Tab_Calculs[[#This Row],[fin mois]],Tab_Calculs[[#This Row],[Date_livraison]]))</f>
        <v>#VALUE!</v>
      </c>
      <c r="R1514" t="e">
        <f ca="1">Tab_Calculs[[#This Row],[Ratio_Cout_après_livr]]+Tab_Calculs[[#This Row],[Ratio_Cout_avant_livr]]+Tab_Calculs[[#This Row],[Ratio_Cout_avant_debut]]</f>
        <v>#VALUE!</v>
      </c>
      <c r="S1514" t="str">
        <f ca="1">IFERROR(N1514*VLOOKUP(Tab_Calculs[[#This Row],[Colonne1]],Controle_des_données!$B$7:$G$14,6,FALSE),"")</f>
        <v/>
      </c>
      <c r="T1514" t="str">
        <f ca="1">IF(Tab_Calculs[[#This Row],[Combustible ]]="Electricité (kWh)",Tab_Calculs[[#This Row],[Conso_mois_kWh]]*2.3,Tab_Calculs[[#This Row],[Conso_mois_kWh]])</f>
        <v/>
      </c>
      <c r="U1514" t="str">
        <f ca="1">IFERROR(N1514*VLOOKUP(Tab_Calculs[[#This Row],[Colonne1]],Controle_des_données!$B$7:$H$14,7,FALSE),"")</f>
        <v/>
      </c>
      <c r="V1514">
        <f ca="1">IFERROR(Tab_Calculs[[#This Row],[Cout_mois]]/Tab_Calculs[[#This Row],[Conso_mois_kWh]],0)</f>
        <v>0</v>
      </c>
      <c r="W1514" t="str">
        <f>T(VLOOKUP(Tab_Calculs[[#This Row],[Compteur]],Site!$B$33:$G$40,3,FALSE))</f>
        <v/>
      </c>
      <c r="X1514" t="str">
        <f>T(VLOOKUP(Tab_Calculs[[#This Row],[Compteur]],Site!$B$33:$G$40,4,FALSE))</f>
        <v/>
      </c>
      <c r="Y1514" t="str">
        <f>T(VLOOKUP(Tab_Calculs[[#This Row],[Compteur]],Site!$B$33:$G$40,5,FALSE))</f>
        <v/>
      </c>
      <c r="Z1514" t="str">
        <f>T(VLOOKUP(Tab_Calculs[[#This Row],[Compteur]],Site!$B$33:$G$40,6,FALSE))</f>
        <v/>
      </c>
      <c r="AA1514">
        <f>IFERROR(GETPIVOTDATA("DJU(chauffagiste)",BDD_DJU!$P$13,"annee",Tab_Calculs[[#This Row],[ANNEE]],"mois_numero",Tab_Calculs[[#This Row],[MOIS]]),0)</f>
        <v>17.3</v>
      </c>
    </row>
    <row r="1515" spans="1:27" x14ac:dyDescent="0.25">
      <c r="A1515" s="3">
        <f>DATE(Tab_Calculs[[#This Row],[ANNEE]],Tab_Calculs[[#This Row],[MOIS]],1)</f>
        <v>45108</v>
      </c>
      <c r="B1515" s="3">
        <f>EDATE(Tab_Calculs[[#This Row],[Début mois]],1)-1</f>
        <v>45138</v>
      </c>
      <c r="C1515">
        <f t="shared" si="52"/>
        <v>7</v>
      </c>
      <c r="D1515">
        <f t="shared" si="54"/>
        <v>2023</v>
      </c>
      <c r="E1515" t="s">
        <v>87</v>
      </c>
      <c r="F1515" t="str">
        <f>SUBSTITUTE(Tab_Calculs[[#This Row],[Compteur]]," ","_")</f>
        <v>Compteur_8</v>
      </c>
      <c r="G1515" t="str">
        <f>T(INDEX(Site!$B$33:$G$40, MATCH(Tab_Calculs[[#This Row],[Compteur]], Site!$B$33:$B$40,0),2))</f>
        <v/>
      </c>
      <c r="H1515" s="3">
        <f t="array" aca="1" ref="H1515" ca="1">MIN(IF(INDIRECT(CONCATENATE(Tab_Calculs[[#This Row],[Colonne1]],"!$B$2:$B$243"))&gt;=Calculs_Consos!$A1515,INDIRECT(CONCATENATE(Tab_Calculs[[#This Row],[Colonne1]],"!$B$2:$B$243"))))</f>
        <v>0</v>
      </c>
      <c r="I1515" s="3">
        <f ca="1">INDEX(INDIRECT(CONCATENATE("Tab_",Tab_Calculs[[#This Row],[Colonne1]])),Tab_Calculs[[#This Row],[index_date_livraison]],1)</f>
        <v>0</v>
      </c>
      <c r="J1515">
        <f ca="1">MATCH(Tab_Calculs[[#This Row],[Date_livraison]],INDIRECT(CONCATENATE("Tab_",Tab_Calculs[[#This Row],[Colonne1]],"[Fin de période]")),0)</f>
        <v>1</v>
      </c>
      <c r="K1515" t="e">
        <f ca="1">INDEX(INDIRECT(CONCATENATE("Tab_",Tab_Calculs[[#This Row],[Colonne1]])),Tab_Calculs[[#This Row],[index_date_livraison]]-1,6)*(MAX(Tab_Calculs[[#This Row],[Début periode livraison]],Tab_Calculs[[#This Row],[Début mois]])-Tab_Calculs[[#This Row],[Début mois]])</f>
        <v>#VALUE!</v>
      </c>
      <c r="L1515" s="94">
        <f ca="1">INDEX(INDIRECT(CONCATENATE("Tab_",Tab_Calculs[[#This Row],[Colonne1]])),Tab_Calculs[[#This Row],[index_date_livraison]],6)*(1+MIN(Tab_Calculs[[#This Row],[Date_livraison]],Tab_Calculs[[#This Row],[fin mois]])-MAX(Tab_Calculs[[#This Row],[Début mois]],Tab_Calculs[[#This Row],[Début periode livraison]]))</f>
        <v>0</v>
      </c>
      <c r="M1515" s="94" t="e">
        <f ca="1">INDEX(INDIRECT(CONCATENATE("Tab_",Tab_Calculs[[#This Row],[Colonne1]])),Tab_Calculs[[#This Row],[index_date_livraison]]+1,6)*(Tab_Calculs[[#This Row],[fin mois]]-MIN(Tab_Calculs[[#This Row],[fin mois]],Tab_Calculs[[#This Row],[Date_livraison]]))</f>
        <v>#VALUE!</v>
      </c>
      <c r="N1515" s="231" t="str">
        <f ca="1">IFERROR(Tab_Calculs[[#This Row],[Ratio_jour_après_livr]]+Tab_Calculs[[#This Row],[Ratio_jour_avant_livr]]+Tab_Calculs[[#This Row],[ratio_avant_debut]],"")</f>
        <v/>
      </c>
      <c r="O1515" t="e">
        <f ca="1">INDEX(INDIRECT(CONCATENATE("Tab_",Tab_Calculs[[#This Row],[Colonne1]])),Tab_Calculs[[#This Row],[index_date_livraison]]-1,7)*(MAX(Tab_Calculs[[#This Row],[Début periode livraison]],Tab_Calculs[[#This Row],[Début mois]])-Tab_Calculs[[#This Row],[Début mois]])</f>
        <v>#VALUE!</v>
      </c>
      <c r="P1515">
        <f ca="1">INDEX(INDIRECT(CONCATENATE("Tab_",Tab_Calculs[[#This Row],[Colonne1]])),Tab_Calculs[[#This Row],[index_date_livraison]],7)*(1+MIN(Tab_Calculs[[#This Row],[Date_livraison]],Tab_Calculs[[#This Row],[fin mois]])-MAX(Tab_Calculs[[#This Row],[Début mois]],Tab_Calculs[[#This Row],[Début periode livraison]]))</f>
        <v>0</v>
      </c>
      <c r="Q1515" t="e">
        <f ca="1">INDEX(INDIRECT(CONCATENATE("Tab_",Tab_Calculs[[#This Row],[Colonne1]])),Tab_Calculs[[#This Row],[index_date_livraison]]+1,7)*(Tab_Calculs[[#This Row],[fin mois]]-MIN(Tab_Calculs[[#This Row],[fin mois]],Tab_Calculs[[#This Row],[Date_livraison]]))</f>
        <v>#VALUE!</v>
      </c>
      <c r="R1515" t="e">
        <f ca="1">Tab_Calculs[[#This Row],[Ratio_Cout_après_livr]]+Tab_Calculs[[#This Row],[Ratio_Cout_avant_livr]]+Tab_Calculs[[#This Row],[Ratio_Cout_avant_debut]]</f>
        <v>#VALUE!</v>
      </c>
      <c r="S1515" t="str">
        <f ca="1">IFERROR(N1515*VLOOKUP(Tab_Calculs[[#This Row],[Colonne1]],Controle_des_données!$B$7:$G$14,6,FALSE),"")</f>
        <v/>
      </c>
      <c r="T1515" t="str">
        <f ca="1">IF(Tab_Calculs[[#This Row],[Combustible ]]="Electricité (kWh)",Tab_Calculs[[#This Row],[Conso_mois_kWh]]*2.3,Tab_Calculs[[#This Row],[Conso_mois_kWh]])</f>
        <v/>
      </c>
      <c r="U1515" t="str">
        <f ca="1">IFERROR(N1515*VLOOKUP(Tab_Calculs[[#This Row],[Colonne1]],Controle_des_données!$B$7:$H$14,7,FALSE),"")</f>
        <v/>
      </c>
      <c r="V1515">
        <f ca="1">IFERROR(Tab_Calculs[[#This Row],[Cout_mois]]/Tab_Calculs[[#This Row],[Conso_mois_kWh]],0)</f>
        <v>0</v>
      </c>
      <c r="W1515" t="str">
        <f>T(VLOOKUP(Tab_Calculs[[#This Row],[Compteur]],Site!$B$33:$G$40,3,FALSE))</f>
        <v/>
      </c>
      <c r="X1515" t="str">
        <f>T(VLOOKUP(Tab_Calculs[[#This Row],[Compteur]],Site!$B$33:$G$40,4,FALSE))</f>
        <v/>
      </c>
      <c r="Y1515" t="str">
        <f>T(VLOOKUP(Tab_Calculs[[#This Row],[Compteur]],Site!$B$33:$G$40,5,FALSE))</f>
        <v/>
      </c>
      <c r="Z1515" t="str">
        <f>T(VLOOKUP(Tab_Calculs[[#This Row],[Compteur]],Site!$B$33:$G$40,6,FALSE))</f>
        <v/>
      </c>
      <c r="AA1515">
        <f>IFERROR(GETPIVOTDATA("DJU(chauffagiste)",BDD_DJU!$P$13,"annee",Tab_Calculs[[#This Row],[ANNEE]],"mois_numero",Tab_Calculs[[#This Row],[MOIS]]),0)</f>
        <v>24.1</v>
      </c>
    </row>
    <row r="1516" spans="1:27" x14ac:dyDescent="0.25">
      <c r="A1516" s="3">
        <f>DATE(Tab_Calculs[[#This Row],[ANNEE]],Tab_Calculs[[#This Row],[MOIS]],1)</f>
        <v>45139</v>
      </c>
      <c r="B1516" s="3">
        <f>EDATE(Tab_Calculs[[#This Row],[Début mois]],1)-1</f>
        <v>45169</v>
      </c>
      <c r="C1516">
        <f t="shared" si="52"/>
        <v>8</v>
      </c>
      <c r="D1516">
        <f t="shared" si="54"/>
        <v>2023</v>
      </c>
      <c r="E1516" t="s">
        <v>87</v>
      </c>
      <c r="F1516" t="str">
        <f>SUBSTITUTE(Tab_Calculs[[#This Row],[Compteur]]," ","_")</f>
        <v>Compteur_8</v>
      </c>
      <c r="G1516" t="str">
        <f>T(INDEX(Site!$B$33:$G$40, MATCH(Tab_Calculs[[#This Row],[Compteur]], Site!$B$33:$B$40,0),2))</f>
        <v/>
      </c>
      <c r="H1516" s="3">
        <f t="array" aca="1" ref="H1516" ca="1">MIN(IF(INDIRECT(CONCATENATE(Tab_Calculs[[#This Row],[Colonne1]],"!$B$2:$B$243"))&gt;=Calculs_Consos!$A1516,INDIRECT(CONCATENATE(Tab_Calculs[[#This Row],[Colonne1]],"!$B$2:$B$243"))))</f>
        <v>0</v>
      </c>
      <c r="I1516" s="3">
        <f ca="1">INDEX(INDIRECT(CONCATENATE("Tab_",Tab_Calculs[[#This Row],[Colonne1]])),Tab_Calculs[[#This Row],[index_date_livraison]],1)</f>
        <v>0</v>
      </c>
      <c r="J1516">
        <f ca="1">MATCH(Tab_Calculs[[#This Row],[Date_livraison]],INDIRECT(CONCATENATE("Tab_",Tab_Calculs[[#This Row],[Colonne1]],"[Fin de période]")),0)</f>
        <v>1</v>
      </c>
      <c r="K1516" t="e">
        <f ca="1">INDEX(INDIRECT(CONCATENATE("Tab_",Tab_Calculs[[#This Row],[Colonne1]])),Tab_Calculs[[#This Row],[index_date_livraison]]-1,6)*(MAX(Tab_Calculs[[#This Row],[Début periode livraison]],Tab_Calculs[[#This Row],[Début mois]])-Tab_Calculs[[#This Row],[Début mois]])</f>
        <v>#VALUE!</v>
      </c>
      <c r="L1516" s="94">
        <f ca="1">INDEX(INDIRECT(CONCATENATE("Tab_",Tab_Calculs[[#This Row],[Colonne1]])),Tab_Calculs[[#This Row],[index_date_livraison]],6)*(1+MIN(Tab_Calculs[[#This Row],[Date_livraison]],Tab_Calculs[[#This Row],[fin mois]])-MAX(Tab_Calculs[[#This Row],[Début mois]],Tab_Calculs[[#This Row],[Début periode livraison]]))</f>
        <v>0</v>
      </c>
      <c r="M1516" s="94" t="e">
        <f ca="1">INDEX(INDIRECT(CONCATENATE("Tab_",Tab_Calculs[[#This Row],[Colonne1]])),Tab_Calculs[[#This Row],[index_date_livraison]]+1,6)*(Tab_Calculs[[#This Row],[fin mois]]-MIN(Tab_Calculs[[#This Row],[fin mois]],Tab_Calculs[[#This Row],[Date_livraison]]))</f>
        <v>#VALUE!</v>
      </c>
      <c r="N1516" s="231" t="str">
        <f ca="1">IFERROR(Tab_Calculs[[#This Row],[Ratio_jour_après_livr]]+Tab_Calculs[[#This Row],[Ratio_jour_avant_livr]]+Tab_Calculs[[#This Row],[ratio_avant_debut]],"")</f>
        <v/>
      </c>
      <c r="O1516" t="e">
        <f ca="1">INDEX(INDIRECT(CONCATENATE("Tab_",Tab_Calculs[[#This Row],[Colonne1]])),Tab_Calculs[[#This Row],[index_date_livraison]]-1,7)*(MAX(Tab_Calculs[[#This Row],[Début periode livraison]],Tab_Calculs[[#This Row],[Début mois]])-Tab_Calculs[[#This Row],[Début mois]])</f>
        <v>#VALUE!</v>
      </c>
      <c r="P1516">
        <f ca="1">INDEX(INDIRECT(CONCATENATE("Tab_",Tab_Calculs[[#This Row],[Colonne1]])),Tab_Calculs[[#This Row],[index_date_livraison]],7)*(1+MIN(Tab_Calculs[[#This Row],[Date_livraison]],Tab_Calculs[[#This Row],[fin mois]])-MAX(Tab_Calculs[[#This Row],[Début mois]],Tab_Calculs[[#This Row],[Début periode livraison]]))</f>
        <v>0</v>
      </c>
      <c r="Q1516" t="e">
        <f ca="1">INDEX(INDIRECT(CONCATENATE("Tab_",Tab_Calculs[[#This Row],[Colonne1]])),Tab_Calculs[[#This Row],[index_date_livraison]]+1,7)*(Tab_Calculs[[#This Row],[fin mois]]-MIN(Tab_Calculs[[#This Row],[fin mois]],Tab_Calculs[[#This Row],[Date_livraison]]))</f>
        <v>#VALUE!</v>
      </c>
      <c r="R1516" t="e">
        <f ca="1">Tab_Calculs[[#This Row],[Ratio_Cout_après_livr]]+Tab_Calculs[[#This Row],[Ratio_Cout_avant_livr]]+Tab_Calculs[[#This Row],[Ratio_Cout_avant_debut]]</f>
        <v>#VALUE!</v>
      </c>
      <c r="S1516" t="str">
        <f ca="1">IFERROR(N1516*VLOOKUP(Tab_Calculs[[#This Row],[Colonne1]],Controle_des_données!$B$7:$G$14,6,FALSE),"")</f>
        <v/>
      </c>
      <c r="T1516" t="str">
        <f ca="1">IF(Tab_Calculs[[#This Row],[Combustible ]]="Electricité (kWh)",Tab_Calculs[[#This Row],[Conso_mois_kWh]]*2.3,Tab_Calculs[[#This Row],[Conso_mois_kWh]])</f>
        <v/>
      </c>
      <c r="U1516" t="str">
        <f ca="1">IFERROR(N1516*VLOOKUP(Tab_Calculs[[#This Row],[Colonne1]],Controle_des_données!$B$7:$H$14,7,FALSE),"")</f>
        <v/>
      </c>
      <c r="V1516">
        <f ca="1">IFERROR(Tab_Calculs[[#This Row],[Cout_mois]]/Tab_Calculs[[#This Row],[Conso_mois_kWh]],0)</f>
        <v>0</v>
      </c>
      <c r="W1516" t="str">
        <f>T(VLOOKUP(Tab_Calculs[[#This Row],[Compteur]],Site!$B$33:$G$40,3,FALSE))</f>
        <v/>
      </c>
      <c r="X1516" t="str">
        <f>T(VLOOKUP(Tab_Calculs[[#This Row],[Compteur]],Site!$B$33:$G$40,4,FALSE))</f>
        <v/>
      </c>
      <c r="Y1516" t="str">
        <f>T(VLOOKUP(Tab_Calculs[[#This Row],[Compteur]],Site!$B$33:$G$40,5,FALSE))</f>
        <v/>
      </c>
      <c r="Z1516" t="str">
        <f>T(VLOOKUP(Tab_Calculs[[#This Row],[Compteur]],Site!$B$33:$G$40,6,FALSE))</f>
        <v/>
      </c>
      <c r="AA1516">
        <f>IFERROR(GETPIVOTDATA("DJU(chauffagiste)",BDD_DJU!$P$13,"annee",Tab_Calculs[[#This Row],[ANNEE]],"mois_numero",Tab_Calculs[[#This Row],[MOIS]]),0)</f>
        <v>27.9</v>
      </c>
    </row>
    <row r="1517" spans="1:27" x14ac:dyDescent="0.25">
      <c r="A1517" s="3">
        <f>DATE(Tab_Calculs[[#This Row],[ANNEE]],Tab_Calculs[[#This Row],[MOIS]],1)</f>
        <v>45170</v>
      </c>
      <c r="B1517" s="3">
        <f>EDATE(Tab_Calculs[[#This Row],[Début mois]],1)-1</f>
        <v>45199</v>
      </c>
      <c r="C1517">
        <f t="shared" si="52"/>
        <v>9</v>
      </c>
      <c r="D1517">
        <f t="shared" si="54"/>
        <v>2023</v>
      </c>
      <c r="E1517" t="s">
        <v>87</v>
      </c>
      <c r="F1517" t="str">
        <f>SUBSTITUTE(Tab_Calculs[[#This Row],[Compteur]]," ","_")</f>
        <v>Compteur_8</v>
      </c>
      <c r="G1517" t="str">
        <f>T(INDEX(Site!$B$33:$G$40, MATCH(Tab_Calculs[[#This Row],[Compteur]], Site!$B$33:$B$40,0),2))</f>
        <v/>
      </c>
      <c r="H1517" s="3">
        <f t="array" aca="1" ref="H1517" ca="1">MIN(IF(INDIRECT(CONCATENATE(Tab_Calculs[[#This Row],[Colonne1]],"!$B$2:$B$243"))&gt;=Calculs_Consos!$A1517,INDIRECT(CONCATENATE(Tab_Calculs[[#This Row],[Colonne1]],"!$B$2:$B$243"))))</f>
        <v>0</v>
      </c>
      <c r="I1517" s="3">
        <f ca="1">INDEX(INDIRECT(CONCATENATE("Tab_",Tab_Calculs[[#This Row],[Colonne1]])),Tab_Calculs[[#This Row],[index_date_livraison]],1)</f>
        <v>0</v>
      </c>
      <c r="J1517">
        <f ca="1">MATCH(Tab_Calculs[[#This Row],[Date_livraison]],INDIRECT(CONCATENATE("Tab_",Tab_Calculs[[#This Row],[Colonne1]],"[Fin de période]")),0)</f>
        <v>1</v>
      </c>
      <c r="K1517" t="e">
        <f ca="1">INDEX(INDIRECT(CONCATENATE("Tab_",Tab_Calculs[[#This Row],[Colonne1]])),Tab_Calculs[[#This Row],[index_date_livraison]]-1,6)*(MAX(Tab_Calculs[[#This Row],[Début periode livraison]],Tab_Calculs[[#This Row],[Début mois]])-Tab_Calculs[[#This Row],[Début mois]])</f>
        <v>#VALUE!</v>
      </c>
      <c r="L1517" s="94">
        <f ca="1">INDEX(INDIRECT(CONCATENATE("Tab_",Tab_Calculs[[#This Row],[Colonne1]])),Tab_Calculs[[#This Row],[index_date_livraison]],6)*(1+MIN(Tab_Calculs[[#This Row],[Date_livraison]],Tab_Calculs[[#This Row],[fin mois]])-MAX(Tab_Calculs[[#This Row],[Début mois]],Tab_Calculs[[#This Row],[Début periode livraison]]))</f>
        <v>0</v>
      </c>
      <c r="M1517" s="94" t="e">
        <f ca="1">INDEX(INDIRECT(CONCATENATE("Tab_",Tab_Calculs[[#This Row],[Colonne1]])),Tab_Calculs[[#This Row],[index_date_livraison]]+1,6)*(Tab_Calculs[[#This Row],[fin mois]]-MIN(Tab_Calculs[[#This Row],[fin mois]],Tab_Calculs[[#This Row],[Date_livraison]]))</f>
        <v>#VALUE!</v>
      </c>
      <c r="N1517" s="231" t="str">
        <f ca="1">IFERROR(Tab_Calculs[[#This Row],[Ratio_jour_après_livr]]+Tab_Calculs[[#This Row],[Ratio_jour_avant_livr]]+Tab_Calculs[[#This Row],[ratio_avant_debut]],"")</f>
        <v/>
      </c>
      <c r="O1517" t="e">
        <f ca="1">INDEX(INDIRECT(CONCATENATE("Tab_",Tab_Calculs[[#This Row],[Colonne1]])),Tab_Calculs[[#This Row],[index_date_livraison]]-1,7)*(MAX(Tab_Calculs[[#This Row],[Début periode livraison]],Tab_Calculs[[#This Row],[Début mois]])-Tab_Calculs[[#This Row],[Début mois]])</f>
        <v>#VALUE!</v>
      </c>
      <c r="P1517">
        <f ca="1">INDEX(INDIRECT(CONCATENATE("Tab_",Tab_Calculs[[#This Row],[Colonne1]])),Tab_Calculs[[#This Row],[index_date_livraison]],7)*(1+MIN(Tab_Calculs[[#This Row],[Date_livraison]],Tab_Calculs[[#This Row],[fin mois]])-MAX(Tab_Calculs[[#This Row],[Début mois]],Tab_Calculs[[#This Row],[Début periode livraison]]))</f>
        <v>0</v>
      </c>
      <c r="Q1517" t="e">
        <f ca="1">INDEX(INDIRECT(CONCATENATE("Tab_",Tab_Calculs[[#This Row],[Colonne1]])),Tab_Calculs[[#This Row],[index_date_livraison]]+1,7)*(Tab_Calculs[[#This Row],[fin mois]]-MIN(Tab_Calculs[[#This Row],[fin mois]],Tab_Calculs[[#This Row],[Date_livraison]]))</f>
        <v>#VALUE!</v>
      </c>
      <c r="R1517" t="e">
        <f ca="1">Tab_Calculs[[#This Row],[Ratio_Cout_après_livr]]+Tab_Calculs[[#This Row],[Ratio_Cout_avant_livr]]+Tab_Calculs[[#This Row],[Ratio_Cout_avant_debut]]</f>
        <v>#VALUE!</v>
      </c>
      <c r="S1517" t="str">
        <f ca="1">IFERROR(N1517*VLOOKUP(Tab_Calculs[[#This Row],[Colonne1]],Controle_des_données!$B$7:$G$14,6,FALSE),"")</f>
        <v/>
      </c>
      <c r="T1517" t="str">
        <f ca="1">IF(Tab_Calculs[[#This Row],[Combustible ]]="Electricité (kWh)",Tab_Calculs[[#This Row],[Conso_mois_kWh]]*2.3,Tab_Calculs[[#This Row],[Conso_mois_kWh]])</f>
        <v/>
      </c>
      <c r="U1517" t="str">
        <f ca="1">IFERROR(N1517*VLOOKUP(Tab_Calculs[[#This Row],[Colonne1]],Controle_des_données!$B$7:$H$14,7,FALSE),"")</f>
        <v/>
      </c>
      <c r="V1517">
        <f ca="1">IFERROR(Tab_Calculs[[#This Row],[Cout_mois]]/Tab_Calculs[[#This Row],[Conso_mois_kWh]],0)</f>
        <v>0</v>
      </c>
      <c r="W1517" t="str">
        <f>T(VLOOKUP(Tab_Calculs[[#This Row],[Compteur]],Site!$B$33:$G$40,3,FALSE))</f>
        <v/>
      </c>
      <c r="X1517" t="str">
        <f>T(VLOOKUP(Tab_Calculs[[#This Row],[Compteur]],Site!$B$33:$G$40,4,FALSE))</f>
        <v/>
      </c>
      <c r="Y1517" t="str">
        <f>T(VLOOKUP(Tab_Calculs[[#This Row],[Compteur]],Site!$B$33:$G$40,5,FALSE))</f>
        <v/>
      </c>
      <c r="Z1517" t="str">
        <f>T(VLOOKUP(Tab_Calculs[[#This Row],[Compteur]],Site!$B$33:$G$40,6,FALSE))</f>
        <v/>
      </c>
      <c r="AA1517">
        <f>IFERROR(GETPIVOTDATA("DJU(chauffagiste)",BDD_DJU!$P$13,"annee",Tab_Calculs[[#This Row],[ANNEE]],"mois_numero",Tab_Calculs[[#This Row],[MOIS]]),0)</f>
        <v>30.5</v>
      </c>
    </row>
    <row r="1518" spans="1:27" x14ac:dyDescent="0.25">
      <c r="A1518" s="3">
        <f>DATE(Tab_Calculs[[#This Row],[ANNEE]],Tab_Calculs[[#This Row],[MOIS]],1)</f>
        <v>45200</v>
      </c>
      <c r="B1518" s="3">
        <f>EDATE(Tab_Calculs[[#This Row],[Début mois]],1)-1</f>
        <v>45230</v>
      </c>
      <c r="C1518">
        <f t="shared" si="52"/>
        <v>10</v>
      </c>
      <c r="D1518">
        <f t="shared" si="54"/>
        <v>2023</v>
      </c>
      <c r="E1518" t="s">
        <v>87</v>
      </c>
      <c r="F1518" t="str">
        <f>SUBSTITUTE(Tab_Calculs[[#This Row],[Compteur]]," ","_")</f>
        <v>Compteur_8</v>
      </c>
      <c r="G1518" t="str">
        <f>T(INDEX(Site!$B$33:$G$40, MATCH(Tab_Calculs[[#This Row],[Compteur]], Site!$B$33:$B$40,0),2))</f>
        <v/>
      </c>
      <c r="H1518" s="3">
        <f t="array" aca="1" ref="H1518" ca="1">MIN(IF(INDIRECT(CONCATENATE(Tab_Calculs[[#This Row],[Colonne1]],"!$B$2:$B$243"))&gt;=Calculs_Consos!$A1518,INDIRECT(CONCATENATE(Tab_Calculs[[#This Row],[Colonne1]],"!$B$2:$B$243"))))</f>
        <v>0</v>
      </c>
      <c r="I1518" s="3">
        <f ca="1">INDEX(INDIRECT(CONCATENATE("Tab_",Tab_Calculs[[#This Row],[Colonne1]])),Tab_Calculs[[#This Row],[index_date_livraison]],1)</f>
        <v>0</v>
      </c>
      <c r="J1518">
        <f ca="1">MATCH(Tab_Calculs[[#This Row],[Date_livraison]],INDIRECT(CONCATENATE("Tab_",Tab_Calculs[[#This Row],[Colonne1]],"[Fin de période]")),0)</f>
        <v>1</v>
      </c>
      <c r="K1518" t="e">
        <f ca="1">INDEX(INDIRECT(CONCATENATE("Tab_",Tab_Calculs[[#This Row],[Colonne1]])),Tab_Calculs[[#This Row],[index_date_livraison]]-1,6)*(MAX(Tab_Calculs[[#This Row],[Début periode livraison]],Tab_Calculs[[#This Row],[Début mois]])-Tab_Calculs[[#This Row],[Début mois]])</f>
        <v>#VALUE!</v>
      </c>
      <c r="L1518" s="94">
        <f ca="1">INDEX(INDIRECT(CONCATENATE("Tab_",Tab_Calculs[[#This Row],[Colonne1]])),Tab_Calculs[[#This Row],[index_date_livraison]],6)*(1+MIN(Tab_Calculs[[#This Row],[Date_livraison]],Tab_Calculs[[#This Row],[fin mois]])-MAX(Tab_Calculs[[#This Row],[Début mois]],Tab_Calculs[[#This Row],[Début periode livraison]]))</f>
        <v>0</v>
      </c>
      <c r="M1518" s="94" t="e">
        <f ca="1">INDEX(INDIRECT(CONCATENATE("Tab_",Tab_Calculs[[#This Row],[Colonne1]])),Tab_Calculs[[#This Row],[index_date_livraison]]+1,6)*(Tab_Calculs[[#This Row],[fin mois]]-MIN(Tab_Calculs[[#This Row],[fin mois]],Tab_Calculs[[#This Row],[Date_livraison]]))</f>
        <v>#VALUE!</v>
      </c>
      <c r="N1518" s="231" t="str">
        <f ca="1">IFERROR(Tab_Calculs[[#This Row],[Ratio_jour_après_livr]]+Tab_Calculs[[#This Row],[Ratio_jour_avant_livr]]+Tab_Calculs[[#This Row],[ratio_avant_debut]],"")</f>
        <v/>
      </c>
      <c r="O1518" t="e">
        <f ca="1">INDEX(INDIRECT(CONCATENATE("Tab_",Tab_Calculs[[#This Row],[Colonne1]])),Tab_Calculs[[#This Row],[index_date_livraison]]-1,7)*(MAX(Tab_Calculs[[#This Row],[Début periode livraison]],Tab_Calculs[[#This Row],[Début mois]])-Tab_Calculs[[#This Row],[Début mois]])</f>
        <v>#VALUE!</v>
      </c>
      <c r="P1518">
        <f ca="1">INDEX(INDIRECT(CONCATENATE("Tab_",Tab_Calculs[[#This Row],[Colonne1]])),Tab_Calculs[[#This Row],[index_date_livraison]],7)*(1+MIN(Tab_Calculs[[#This Row],[Date_livraison]],Tab_Calculs[[#This Row],[fin mois]])-MAX(Tab_Calculs[[#This Row],[Début mois]],Tab_Calculs[[#This Row],[Début periode livraison]]))</f>
        <v>0</v>
      </c>
      <c r="Q1518" t="e">
        <f ca="1">INDEX(INDIRECT(CONCATENATE("Tab_",Tab_Calculs[[#This Row],[Colonne1]])),Tab_Calculs[[#This Row],[index_date_livraison]]+1,7)*(Tab_Calculs[[#This Row],[fin mois]]-MIN(Tab_Calculs[[#This Row],[fin mois]],Tab_Calculs[[#This Row],[Date_livraison]]))</f>
        <v>#VALUE!</v>
      </c>
      <c r="R1518" t="e">
        <f ca="1">Tab_Calculs[[#This Row],[Ratio_Cout_après_livr]]+Tab_Calculs[[#This Row],[Ratio_Cout_avant_livr]]+Tab_Calculs[[#This Row],[Ratio_Cout_avant_debut]]</f>
        <v>#VALUE!</v>
      </c>
      <c r="S1518" t="str">
        <f ca="1">IFERROR(N1518*VLOOKUP(Tab_Calculs[[#This Row],[Colonne1]],Controle_des_données!$B$7:$G$14,6,FALSE),"")</f>
        <v/>
      </c>
      <c r="T1518" t="str">
        <f ca="1">IF(Tab_Calculs[[#This Row],[Combustible ]]="Electricité (kWh)",Tab_Calculs[[#This Row],[Conso_mois_kWh]]*2.3,Tab_Calculs[[#This Row],[Conso_mois_kWh]])</f>
        <v/>
      </c>
      <c r="U1518" t="str">
        <f ca="1">IFERROR(N1518*VLOOKUP(Tab_Calculs[[#This Row],[Colonne1]],Controle_des_données!$B$7:$H$14,7,FALSE),"")</f>
        <v/>
      </c>
      <c r="V1518">
        <f ca="1">IFERROR(Tab_Calculs[[#This Row],[Cout_mois]]/Tab_Calculs[[#This Row],[Conso_mois_kWh]],0)</f>
        <v>0</v>
      </c>
      <c r="W1518" t="str">
        <f>T(VLOOKUP(Tab_Calculs[[#This Row],[Compteur]],Site!$B$33:$G$40,3,FALSE))</f>
        <v/>
      </c>
      <c r="X1518" t="str">
        <f>T(VLOOKUP(Tab_Calculs[[#This Row],[Compteur]],Site!$B$33:$G$40,4,FALSE))</f>
        <v/>
      </c>
      <c r="Y1518" t="str">
        <f>T(VLOOKUP(Tab_Calculs[[#This Row],[Compteur]],Site!$B$33:$G$40,5,FALSE))</f>
        <v/>
      </c>
      <c r="Z1518" t="str">
        <f>T(VLOOKUP(Tab_Calculs[[#This Row],[Compteur]],Site!$B$33:$G$40,6,FALSE))</f>
        <v/>
      </c>
      <c r="AA1518">
        <f>IFERROR(GETPIVOTDATA("DJU(chauffagiste)",BDD_DJU!$P$13,"annee",Tab_Calculs[[#This Row],[ANNEE]],"mois_numero",Tab_Calculs[[#This Row],[MOIS]]),0)</f>
        <v>115.8</v>
      </c>
    </row>
    <row r="1519" spans="1:27" x14ac:dyDescent="0.25">
      <c r="A1519" s="3">
        <f>DATE(Tab_Calculs[[#This Row],[ANNEE]],Tab_Calculs[[#This Row],[MOIS]],1)</f>
        <v>45231</v>
      </c>
      <c r="B1519" s="3">
        <f>EDATE(Tab_Calculs[[#This Row],[Début mois]],1)-1</f>
        <v>45260</v>
      </c>
      <c r="C1519">
        <f t="shared" si="52"/>
        <v>11</v>
      </c>
      <c r="D1519">
        <f t="shared" si="54"/>
        <v>2023</v>
      </c>
      <c r="E1519" t="s">
        <v>87</v>
      </c>
      <c r="F1519" t="str">
        <f>SUBSTITUTE(Tab_Calculs[[#This Row],[Compteur]]," ","_")</f>
        <v>Compteur_8</v>
      </c>
      <c r="G1519" t="str">
        <f>T(INDEX(Site!$B$33:$G$40, MATCH(Tab_Calculs[[#This Row],[Compteur]], Site!$B$33:$B$40,0),2))</f>
        <v/>
      </c>
      <c r="H1519" s="3">
        <f t="array" aca="1" ref="H1519" ca="1">MIN(IF(INDIRECT(CONCATENATE(Tab_Calculs[[#This Row],[Colonne1]],"!$B$2:$B$243"))&gt;=Calculs_Consos!$A1519,INDIRECT(CONCATENATE(Tab_Calculs[[#This Row],[Colonne1]],"!$B$2:$B$243"))))</f>
        <v>0</v>
      </c>
      <c r="I1519" s="3">
        <f ca="1">INDEX(INDIRECT(CONCATENATE("Tab_",Tab_Calculs[[#This Row],[Colonne1]])),Tab_Calculs[[#This Row],[index_date_livraison]],1)</f>
        <v>0</v>
      </c>
      <c r="J1519">
        <f ca="1">MATCH(Tab_Calculs[[#This Row],[Date_livraison]],INDIRECT(CONCATENATE("Tab_",Tab_Calculs[[#This Row],[Colonne1]],"[Fin de période]")),0)</f>
        <v>1</v>
      </c>
      <c r="K1519" t="e">
        <f ca="1">INDEX(INDIRECT(CONCATENATE("Tab_",Tab_Calculs[[#This Row],[Colonne1]])),Tab_Calculs[[#This Row],[index_date_livraison]]-1,6)*(MAX(Tab_Calculs[[#This Row],[Début periode livraison]],Tab_Calculs[[#This Row],[Début mois]])-Tab_Calculs[[#This Row],[Début mois]])</f>
        <v>#VALUE!</v>
      </c>
      <c r="L1519" s="94">
        <f ca="1">INDEX(INDIRECT(CONCATENATE("Tab_",Tab_Calculs[[#This Row],[Colonne1]])),Tab_Calculs[[#This Row],[index_date_livraison]],6)*(1+MIN(Tab_Calculs[[#This Row],[Date_livraison]],Tab_Calculs[[#This Row],[fin mois]])-MAX(Tab_Calculs[[#This Row],[Début mois]],Tab_Calculs[[#This Row],[Début periode livraison]]))</f>
        <v>0</v>
      </c>
      <c r="M1519" s="94" t="e">
        <f ca="1">INDEX(INDIRECT(CONCATENATE("Tab_",Tab_Calculs[[#This Row],[Colonne1]])),Tab_Calculs[[#This Row],[index_date_livraison]]+1,6)*(Tab_Calculs[[#This Row],[fin mois]]-MIN(Tab_Calculs[[#This Row],[fin mois]],Tab_Calculs[[#This Row],[Date_livraison]]))</f>
        <v>#VALUE!</v>
      </c>
      <c r="N1519" s="231" t="str">
        <f ca="1">IFERROR(Tab_Calculs[[#This Row],[Ratio_jour_après_livr]]+Tab_Calculs[[#This Row],[Ratio_jour_avant_livr]]+Tab_Calculs[[#This Row],[ratio_avant_debut]],"")</f>
        <v/>
      </c>
      <c r="O1519" t="e">
        <f ca="1">INDEX(INDIRECT(CONCATENATE("Tab_",Tab_Calculs[[#This Row],[Colonne1]])),Tab_Calculs[[#This Row],[index_date_livraison]]-1,7)*(MAX(Tab_Calculs[[#This Row],[Début periode livraison]],Tab_Calculs[[#This Row],[Début mois]])-Tab_Calculs[[#This Row],[Début mois]])</f>
        <v>#VALUE!</v>
      </c>
      <c r="P1519">
        <f ca="1">INDEX(INDIRECT(CONCATENATE("Tab_",Tab_Calculs[[#This Row],[Colonne1]])),Tab_Calculs[[#This Row],[index_date_livraison]],7)*(1+MIN(Tab_Calculs[[#This Row],[Date_livraison]],Tab_Calculs[[#This Row],[fin mois]])-MAX(Tab_Calculs[[#This Row],[Début mois]],Tab_Calculs[[#This Row],[Début periode livraison]]))</f>
        <v>0</v>
      </c>
      <c r="Q1519" t="e">
        <f ca="1">INDEX(INDIRECT(CONCATENATE("Tab_",Tab_Calculs[[#This Row],[Colonne1]])),Tab_Calculs[[#This Row],[index_date_livraison]]+1,7)*(Tab_Calculs[[#This Row],[fin mois]]-MIN(Tab_Calculs[[#This Row],[fin mois]],Tab_Calculs[[#This Row],[Date_livraison]]))</f>
        <v>#VALUE!</v>
      </c>
      <c r="R1519" t="e">
        <f ca="1">Tab_Calculs[[#This Row],[Ratio_Cout_après_livr]]+Tab_Calculs[[#This Row],[Ratio_Cout_avant_livr]]+Tab_Calculs[[#This Row],[Ratio_Cout_avant_debut]]</f>
        <v>#VALUE!</v>
      </c>
      <c r="S1519" t="str">
        <f ca="1">IFERROR(N1519*VLOOKUP(Tab_Calculs[[#This Row],[Colonne1]],Controle_des_données!$B$7:$G$14,6,FALSE),"")</f>
        <v/>
      </c>
      <c r="T1519" t="str">
        <f ca="1">IF(Tab_Calculs[[#This Row],[Combustible ]]="Electricité (kWh)",Tab_Calculs[[#This Row],[Conso_mois_kWh]]*2.3,Tab_Calculs[[#This Row],[Conso_mois_kWh]])</f>
        <v/>
      </c>
      <c r="U1519" t="str">
        <f ca="1">IFERROR(N1519*VLOOKUP(Tab_Calculs[[#This Row],[Colonne1]],Controle_des_données!$B$7:$H$14,7,FALSE),"")</f>
        <v/>
      </c>
      <c r="V1519">
        <f ca="1">IFERROR(Tab_Calculs[[#This Row],[Cout_mois]]/Tab_Calculs[[#This Row],[Conso_mois_kWh]],0)</f>
        <v>0</v>
      </c>
      <c r="W1519" t="str">
        <f>T(VLOOKUP(Tab_Calculs[[#This Row],[Compteur]],Site!$B$33:$G$40,3,FALSE))</f>
        <v/>
      </c>
      <c r="X1519" t="str">
        <f>T(VLOOKUP(Tab_Calculs[[#This Row],[Compteur]],Site!$B$33:$G$40,4,FALSE))</f>
        <v/>
      </c>
      <c r="Y1519" t="str">
        <f>T(VLOOKUP(Tab_Calculs[[#This Row],[Compteur]],Site!$B$33:$G$40,5,FALSE))</f>
        <v/>
      </c>
      <c r="Z1519" t="str">
        <f>T(VLOOKUP(Tab_Calculs[[#This Row],[Compteur]],Site!$B$33:$G$40,6,FALSE))</f>
        <v/>
      </c>
      <c r="AA1519">
        <f>IFERROR(GETPIVOTDATA("DJU(chauffagiste)",BDD_DJU!$P$13,"annee",Tab_Calculs[[#This Row],[ANNEE]],"mois_numero",Tab_Calculs[[#This Row],[MOIS]]),0)</f>
        <v>239.8</v>
      </c>
    </row>
    <row r="1520" spans="1:27" x14ac:dyDescent="0.25">
      <c r="A1520" s="3">
        <f>DATE(Tab_Calculs[[#This Row],[ANNEE]],Tab_Calculs[[#This Row],[MOIS]],1)</f>
        <v>45261</v>
      </c>
      <c r="B1520" s="3">
        <f>EDATE(Tab_Calculs[[#This Row],[Début mois]],1)-1</f>
        <v>45291</v>
      </c>
      <c r="C1520">
        <f t="shared" si="52"/>
        <v>12</v>
      </c>
      <c r="D1520">
        <f t="shared" si="54"/>
        <v>2023</v>
      </c>
      <c r="E1520" t="s">
        <v>87</v>
      </c>
      <c r="F1520" t="str">
        <f>SUBSTITUTE(Tab_Calculs[[#This Row],[Compteur]]," ","_")</f>
        <v>Compteur_8</v>
      </c>
      <c r="G1520" t="str">
        <f>T(INDEX(Site!$B$33:$G$40, MATCH(Tab_Calculs[[#This Row],[Compteur]], Site!$B$33:$B$40,0),2))</f>
        <v/>
      </c>
      <c r="H1520" s="3">
        <f t="array" aca="1" ref="H1520" ca="1">MIN(IF(INDIRECT(CONCATENATE(Tab_Calculs[[#This Row],[Colonne1]],"!$B$2:$B$243"))&gt;=Calculs_Consos!$A1520,INDIRECT(CONCATENATE(Tab_Calculs[[#This Row],[Colonne1]],"!$B$2:$B$243"))))</f>
        <v>0</v>
      </c>
      <c r="I1520" s="3">
        <f ca="1">INDEX(INDIRECT(CONCATENATE("Tab_",Tab_Calculs[[#This Row],[Colonne1]])),Tab_Calculs[[#This Row],[index_date_livraison]],1)</f>
        <v>0</v>
      </c>
      <c r="J1520">
        <f ca="1">MATCH(Tab_Calculs[[#This Row],[Date_livraison]],INDIRECT(CONCATENATE("Tab_",Tab_Calculs[[#This Row],[Colonne1]],"[Fin de période]")),0)</f>
        <v>1</v>
      </c>
      <c r="K1520" t="e">
        <f ca="1">INDEX(INDIRECT(CONCATENATE("Tab_",Tab_Calculs[[#This Row],[Colonne1]])),Tab_Calculs[[#This Row],[index_date_livraison]]-1,6)*(MAX(Tab_Calculs[[#This Row],[Début periode livraison]],Tab_Calculs[[#This Row],[Début mois]])-Tab_Calculs[[#This Row],[Début mois]])</f>
        <v>#VALUE!</v>
      </c>
      <c r="L1520" s="94">
        <f ca="1">INDEX(INDIRECT(CONCATENATE("Tab_",Tab_Calculs[[#This Row],[Colonne1]])),Tab_Calculs[[#This Row],[index_date_livraison]],6)*(1+MIN(Tab_Calculs[[#This Row],[Date_livraison]],Tab_Calculs[[#This Row],[fin mois]])-MAX(Tab_Calculs[[#This Row],[Début mois]],Tab_Calculs[[#This Row],[Début periode livraison]]))</f>
        <v>0</v>
      </c>
      <c r="M1520" s="94" t="e">
        <f ca="1">INDEX(INDIRECT(CONCATENATE("Tab_",Tab_Calculs[[#This Row],[Colonne1]])),Tab_Calculs[[#This Row],[index_date_livraison]]+1,6)*(Tab_Calculs[[#This Row],[fin mois]]-MIN(Tab_Calculs[[#This Row],[fin mois]],Tab_Calculs[[#This Row],[Date_livraison]]))</f>
        <v>#VALUE!</v>
      </c>
      <c r="N1520" s="231" t="str">
        <f ca="1">IFERROR(Tab_Calculs[[#This Row],[Ratio_jour_après_livr]]+Tab_Calculs[[#This Row],[Ratio_jour_avant_livr]]+Tab_Calculs[[#This Row],[ratio_avant_debut]],"")</f>
        <v/>
      </c>
      <c r="O1520" t="e">
        <f ca="1">INDEX(INDIRECT(CONCATENATE("Tab_",Tab_Calculs[[#This Row],[Colonne1]])),Tab_Calculs[[#This Row],[index_date_livraison]]-1,7)*(MAX(Tab_Calculs[[#This Row],[Début periode livraison]],Tab_Calculs[[#This Row],[Début mois]])-Tab_Calculs[[#This Row],[Début mois]])</f>
        <v>#VALUE!</v>
      </c>
      <c r="P1520">
        <f ca="1">INDEX(INDIRECT(CONCATENATE("Tab_",Tab_Calculs[[#This Row],[Colonne1]])),Tab_Calculs[[#This Row],[index_date_livraison]],7)*(1+MIN(Tab_Calculs[[#This Row],[Date_livraison]],Tab_Calculs[[#This Row],[fin mois]])-MAX(Tab_Calculs[[#This Row],[Début mois]],Tab_Calculs[[#This Row],[Début periode livraison]]))</f>
        <v>0</v>
      </c>
      <c r="Q1520" t="e">
        <f ca="1">INDEX(INDIRECT(CONCATENATE("Tab_",Tab_Calculs[[#This Row],[Colonne1]])),Tab_Calculs[[#This Row],[index_date_livraison]]+1,7)*(Tab_Calculs[[#This Row],[fin mois]]-MIN(Tab_Calculs[[#This Row],[fin mois]],Tab_Calculs[[#This Row],[Date_livraison]]))</f>
        <v>#VALUE!</v>
      </c>
      <c r="R1520" t="e">
        <f ca="1">Tab_Calculs[[#This Row],[Ratio_Cout_après_livr]]+Tab_Calculs[[#This Row],[Ratio_Cout_avant_livr]]+Tab_Calculs[[#This Row],[Ratio_Cout_avant_debut]]</f>
        <v>#VALUE!</v>
      </c>
      <c r="S1520" t="str">
        <f ca="1">IFERROR(N1520*VLOOKUP(Tab_Calculs[[#This Row],[Colonne1]],Controle_des_données!$B$7:$G$14,6,FALSE),"")</f>
        <v/>
      </c>
      <c r="T1520" t="str">
        <f ca="1">IF(Tab_Calculs[[#This Row],[Combustible ]]="Electricité (kWh)",Tab_Calculs[[#This Row],[Conso_mois_kWh]]*2.3,Tab_Calculs[[#This Row],[Conso_mois_kWh]])</f>
        <v/>
      </c>
      <c r="U1520" t="str">
        <f ca="1">IFERROR(N1520*VLOOKUP(Tab_Calculs[[#This Row],[Colonne1]],Controle_des_données!$B$7:$H$14,7,FALSE),"")</f>
        <v/>
      </c>
      <c r="V1520">
        <f ca="1">IFERROR(Tab_Calculs[[#This Row],[Cout_mois]]/Tab_Calculs[[#This Row],[Conso_mois_kWh]],0)</f>
        <v>0</v>
      </c>
      <c r="W1520" t="str">
        <f>T(VLOOKUP(Tab_Calculs[[#This Row],[Compteur]],Site!$B$33:$G$40,3,FALSE))</f>
        <v/>
      </c>
      <c r="X1520" t="str">
        <f>T(VLOOKUP(Tab_Calculs[[#This Row],[Compteur]],Site!$B$33:$G$40,4,FALSE))</f>
        <v/>
      </c>
      <c r="Y1520" t="str">
        <f>T(VLOOKUP(Tab_Calculs[[#This Row],[Compteur]],Site!$B$33:$G$40,5,FALSE))</f>
        <v/>
      </c>
      <c r="Z1520" t="str">
        <f>T(VLOOKUP(Tab_Calculs[[#This Row],[Compteur]],Site!$B$33:$G$40,6,FALSE))</f>
        <v/>
      </c>
      <c r="AA1520">
        <f>IFERROR(GETPIVOTDATA("DJU(chauffagiste)",BDD_DJU!$P$13,"annee",Tab_Calculs[[#This Row],[ANNEE]],"mois_numero",Tab_Calculs[[#This Row],[MOIS]]),0)</f>
        <v>300.89999999999998</v>
      </c>
    </row>
    <row r="1521" spans="1:27" x14ac:dyDescent="0.25">
      <c r="A1521" s="3">
        <f>DATE(Tab_Calculs[[#This Row],[ANNEE]],Tab_Calculs[[#This Row],[MOIS]],1)</f>
        <v>45292</v>
      </c>
      <c r="B1521" s="3">
        <f>EDATE(Tab_Calculs[[#This Row],[Début mois]],1)-1</f>
        <v>45322</v>
      </c>
      <c r="C1521">
        <f t="shared" si="52"/>
        <v>1</v>
      </c>
      <c r="D1521">
        <f t="shared" si="54"/>
        <v>2024</v>
      </c>
      <c r="E1521" t="s">
        <v>87</v>
      </c>
      <c r="F1521" t="str">
        <f>SUBSTITUTE(Tab_Calculs[[#This Row],[Compteur]]," ","_")</f>
        <v>Compteur_8</v>
      </c>
      <c r="G1521" t="str">
        <f>T(INDEX(Site!$B$33:$G$40, MATCH(Tab_Calculs[[#This Row],[Compteur]], Site!$B$33:$B$40,0),2))</f>
        <v/>
      </c>
      <c r="H1521" s="3">
        <f t="array" aca="1" ref="H1521" ca="1">MIN(IF(INDIRECT(CONCATENATE(Tab_Calculs[[#This Row],[Colonne1]],"!$B$2:$B$243"))&gt;=Calculs_Consos!$A1521,INDIRECT(CONCATENATE(Tab_Calculs[[#This Row],[Colonne1]],"!$B$2:$B$243"))))</f>
        <v>0</v>
      </c>
      <c r="I1521" s="3">
        <f ca="1">INDEX(INDIRECT(CONCATENATE("Tab_",Tab_Calculs[[#This Row],[Colonne1]])),Tab_Calculs[[#This Row],[index_date_livraison]],1)</f>
        <v>0</v>
      </c>
      <c r="J1521">
        <f ca="1">MATCH(Tab_Calculs[[#This Row],[Date_livraison]],INDIRECT(CONCATENATE("Tab_",Tab_Calculs[[#This Row],[Colonne1]],"[Fin de période]")),0)</f>
        <v>1</v>
      </c>
      <c r="K1521" t="e">
        <f ca="1">INDEX(INDIRECT(CONCATENATE("Tab_",Tab_Calculs[[#This Row],[Colonne1]])),Tab_Calculs[[#This Row],[index_date_livraison]]-1,6)*(MAX(Tab_Calculs[[#This Row],[Début periode livraison]],Tab_Calculs[[#This Row],[Début mois]])-Tab_Calculs[[#This Row],[Début mois]])</f>
        <v>#VALUE!</v>
      </c>
      <c r="L1521" s="94">
        <f ca="1">INDEX(INDIRECT(CONCATENATE("Tab_",Tab_Calculs[[#This Row],[Colonne1]])),Tab_Calculs[[#This Row],[index_date_livraison]],6)*(1+MIN(Tab_Calculs[[#This Row],[Date_livraison]],Tab_Calculs[[#This Row],[fin mois]])-MAX(Tab_Calculs[[#This Row],[Début mois]],Tab_Calculs[[#This Row],[Début periode livraison]]))</f>
        <v>0</v>
      </c>
      <c r="M1521" s="94" t="e">
        <f ca="1">INDEX(INDIRECT(CONCATENATE("Tab_",Tab_Calculs[[#This Row],[Colonne1]])),Tab_Calculs[[#This Row],[index_date_livraison]]+1,6)*(Tab_Calculs[[#This Row],[fin mois]]-MIN(Tab_Calculs[[#This Row],[fin mois]],Tab_Calculs[[#This Row],[Date_livraison]]))</f>
        <v>#VALUE!</v>
      </c>
      <c r="N1521" s="231" t="str">
        <f ca="1">IFERROR(Tab_Calculs[[#This Row],[Ratio_jour_après_livr]]+Tab_Calculs[[#This Row],[Ratio_jour_avant_livr]]+Tab_Calculs[[#This Row],[ratio_avant_debut]],"")</f>
        <v/>
      </c>
      <c r="O1521" t="e">
        <f ca="1">INDEX(INDIRECT(CONCATENATE("Tab_",Tab_Calculs[[#This Row],[Colonne1]])),Tab_Calculs[[#This Row],[index_date_livraison]]-1,7)*(MAX(Tab_Calculs[[#This Row],[Début periode livraison]],Tab_Calculs[[#This Row],[Début mois]])-Tab_Calculs[[#This Row],[Début mois]])</f>
        <v>#VALUE!</v>
      </c>
      <c r="P1521">
        <f ca="1">INDEX(INDIRECT(CONCATENATE("Tab_",Tab_Calculs[[#This Row],[Colonne1]])),Tab_Calculs[[#This Row],[index_date_livraison]],7)*(1+MIN(Tab_Calculs[[#This Row],[Date_livraison]],Tab_Calculs[[#This Row],[fin mois]])-MAX(Tab_Calculs[[#This Row],[Début mois]],Tab_Calculs[[#This Row],[Début periode livraison]]))</f>
        <v>0</v>
      </c>
      <c r="Q1521" t="e">
        <f ca="1">INDEX(INDIRECT(CONCATENATE("Tab_",Tab_Calculs[[#This Row],[Colonne1]])),Tab_Calculs[[#This Row],[index_date_livraison]]+1,7)*(Tab_Calculs[[#This Row],[fin mois]]-MIN(Tab_Calculs[[#This Row],[fin mois]],Tab_Calculs[[#This Row],[Date_livraison]]))</f>
        <v>#VALUE!</v>
      </c>
      <c r="R1521" t="e">
        <f ca="1">Tab_Calculs[[#This Row],[Ratio_Cout_après_livr]]+Tab_Calculs[[#This Row],[Ratio_Cout_avant_livr]]+Tab_Calculs[[#This Row],[Ratio_Cout_avant_debut]]</f>
        <v>#VALUE!</v>
      </c>
      <c r="S1521" t="str">
        <f ca="1">IFERROR(N1521*VLOOKUP(Tab_Calculs[[#This Row],[Colonne1]],Controle_des_données!$B$7:$G$14,6,FALSE),"")</f>
        <v/>
      </c>
      <c r="T1521" t="str">
        <f ca="1">IF(Tab_Calculs[[#This Row],[Combustible ]]="Electricité (kWh)",Tab_Calculs[[#This Row],[Conso_mois_kWh]]*2.3,Tab_Calculs[[#This Row],[Conso_mois_kWh]])</f>
        <v/>
      </c>
      <c r="U1521" t="str">
        <f ca="1">IFERROR(N1521*VLOOKUP(Tab_Calculs[[#This Row],[Colonne1]],Controle_des_données!$B$7:$H$14,7,FALSE),"")</f>
        <v/>
      </c>
      <c r="V1521">
        <f ca="1">IFERROR(Tab_Calculs[[#This Row],[Cout_mois]]/Tab_Calculs[[#This Row],[Conso_mois_kWh]],0)</f>
        <v>0</v>
      </c>
      <c r="W1521" t="str">
        <f>T(VLOOKUP(Tab_Calculs[[#This Row],[Compteur]],Site!$B$33:$G$40,3,FALSE))</f>
        <v/>
      </c>
      <c r="X1521" t="str">
        <f>T(VLOOKUP(Tab_Calculs[[#This Row],[Compteur]],Site!$B$33:$G$40,4,FALSE))</f>
        <v/>
      </c>
      <c r="Y1521" t="str">
        <f>T(VLOOKUP(Tab_Calculs[[#This Row],[Compteur]],Site!$B$33:$G$40,5,FALSE))</f>
        <v/>
      </c>
      <c r="Z1521" t="str">
        <f>T(VLOOKUP(Tab_Calculs[[#This Row],[Compteur]],Site!$B$33:$G$40,6,FALSE))</f>
        <v/>
      </c>
      <c r="AA1521">
        <f>IFERROR(GETPIVOTDATA("DJU(chauffagiste)",BDD_DJU!$P$13,"annee",Tab_Calculs[[#This Row],[ANNEE]],"mois_numero",Tab_Calculs[[#This Row],[MOIS]]),0)</f>
        <v>0</v>
      </c>
    </row>
    <row r="1522" spans="1:27" x14ac:dyDescent="0.25">
      <c r="A1522" s="3">
        <f>DATE(Tab_Calculs[[#This Row],[ANNEE]],Tab_Calculs[[#This Row],[MOIS]],1)</f>
        <v>45323</v>
      </c>
      <c r="B1522" s="3">
        <f>EDATE(Tab_Calculs[[#This Row],[Début mois]],1)-1</f>
        <v>45351</v>
      </c>
      <c r="C1522">
        <f t="shared" si="52"/>
        <v>2</v>
      </c>
      <c r="D1522">
        <f t="shared" si="54"/>
        <v>2024</v>
      </c>
      <c r="E1522" t="s">
        <v>87</v>
      </c>
      <c r="F1522" t="str">
        <f>SUBSTITUTE(Tab_Calculs[[#This Row],[Compteur]]," ","_")</f>
        <v>Compteur_8</v>
      </c>
      <c r="G1522" t="str">
        <f>T(INDEX(Site!$B$33:$G$40, MATCH(Tab_Calculs[[#This Row],[Compteur]], Site!$B$33:$B$40,0),2))</f>
        <v/>
      </c>
      <c r="H1522" s="3">
        <f t="array" aca="1" ref="H1522" ca="1">MIN(IF(INDIRECT(CONCATENATE(Tab_Calculs[[#This Row],[Colonne1]],"!$B$2:$B$243"))&gt;=Calculs_Consos!$A1522,INDIRECT(CONCATENATE(Tab_Calculs[[#This Row],[Colonne1]],"!$B$2:$B$243"))))</f>
        <v>0</v>
      </c>
      <c r="I1522" s="3">
        <f ca="1">INDEX(INDIRECT(CONCATENATE("Tab_",Tab_Calculs[[#This Row],[Colonne1]])),Tab_Calculs[[#This Row],[index_date_livraison]],1)</f>
        <v>0</v>
      </c>
      <c r="J1522">
        <f ca="1">MATCH(Tab_Calculs[[#This Row],[Date_livraison]],INDIRECT(CONCATENATE("Tab_",Tab_Calculs[[#This Row],[Colonne1]],"[Fin de période]")),0)</f>
        <v>1</v>
      </c>
      <c r="K1522" t="e">
        <f ca="1">INDEX(INDIRECT(CONCATENATE("Tab_",Tab_Calculs[[#This Row],[Colonne1]])),Tab_Calculs[[#This Row],[index_date_livraison]]-1,6)*(MAX(Tab_Calculs[[#This Row],[Début periode livraison]],Tab_Calculs[[#This Row],[Début mois]])-Tab_Calculs[[#This Row],[Début mois]])</f>
        <v>#VALUE!</v>
      </c>
      <c r="L1522" s="94">
        <f ca="1">INDEX(INDIRECT(CONCATENATE("Tab_",Tab_Calculs[[#This Row],[Colonne1]])),Tab_Calculs[[#This Row],[index_date_livraison]],6)*(1+MIN(Tab_Calculs[[#This Row],[Date_livraison]],Tab_Calculs[[#This Row],[fin mois]])-MAX(Tab_Calculs[[#This Row],[Début mois]],Tab_Calculs[[#This Row],[Début periode livraison]]))</f>
        <v>0</v>
      </c>
      <c r="M1522" s="94" t="e">
        <f ca="1">INDEX(INDIRECT(CONCATENATE("Tab_",Tab_Calculs[[#This Row],[Colonne1]])),Tab_Calculs[[#This Row],[index_date_livraison]]+1,6)*(Tab_Calculs[[#This Row],[fin mois]]-MIN(Tab_Calculs[[#This Row],[fin mois]],Tab_Calculs[[#This Row],[Date_livraison]]))</f>
        <v>#VALUE!</v>
      </c>
      <c r="N1522" s="231" t="str">
        <f ca="1">IFERROR(Tab_Calculs[[#This Row],[Ratio_jour_après_livr]]+Tab_Calculs[[#This Row],[Ratio_jour_avant_livr]]+Tab_Calculs[[#This Row],[ratio_avant_debut]],"")</f>
        <v/>
      </c>
      <c r="O1522" t="e">
        <f ca="1">INDEX(INDIRECT(CONCATENATE("Tab_",Tab_Calculs[[#This Row],[Colonne1]])),Tab_Calculs[[#This Row],[index_date_livraison]]-1,7)*(MAX(Tab_Calculs[[#This Row],[Début periode livraison]],Tab_Calculs[[#This Row],[Début mois]])-Tab_Calculs[[#This Row],[Début mois]])</f>
        <v>#VALUE!</v>
      </c>
      <c r="P1522">
        <f ca="1">INDEX(INDIRECT(CONCATENATE("Tab_",Tab_Calculs[[#This Row],[Colonne1]])),Tab_Calculs[[#This Row],[index_date_livraison]],7)*(1+MIN(Tab_Calculs[[#This Row],[Date_livraison]],Tab_Calculs[[#This Row],[fin mois]])-MAX(Tab_Calculs[[#This Row],[Début mois]],Tab_Calculs[[#This Row],[Début periode livraison]]))</f>
        <v>0</v>
      </c>
      <c r="Q1522" t="e">
        <f ca="1">INDEX(INDIRECT(CONCATENATE("Tab_",Tab_Calculs[[#This Row],[Colonne1]])),Tab_Calculs[[#This Row],[index_date_livraison]]+1,7)*(Tab_Calculs[[#This Row],[fin mois]]-MIN(Tab_Calculs[[#This Row],[fin mois]],Tab_Calculs[[#This Row],[Date_livraison]]))</f>
        <v>#VALUE!</v>
      </c>
      <c r="R1522" t="e">
        <f ca="1">Tab_Calculs[[#This Row],[Ratio_Cout_après_livr]]+Tab_Calculs[[#This Row],[Ratio_Cout_avant_livr]]+Tab_Calculs[[#This Row],[Ratio_Cout_avant_debut]]</f>
        <v>#VALUE!</v>
      </c>
      <c r="S1522" t="str">
        <f ca="1">IFERROR(N1522*VLOOKUP(Tab_Calculs[[#This Row],[Colonne1]],Controle_des_données!$B$7:$G$14,6,FALSE),"")</f>
        <v/>
      </c>
      <c r="T1522" t="str">
        <f ca="1">IF(Tab_Calculs[[#This Row],[Combustible ]]="Electricité (kWh)",Tab_Calculs[[#This Row],[Conso_mois_kWh]]*2.3,Tab_Calculs[[#This Row],[Conso_mois_kWh]])</f>
        <v/>
      </c>
      <c r="U1522" t="str">
        <f ca="1">IFERROR(N1522*VLOOKUP(Tab_Calculs[[#This Row],[Colonne1]],Controle_des_données!$B$7:$H$14,7,FALSE),"")</f>
        <v/>
      </c>
      <c r="V1522">
        <f ca="1">IFERROR(Tab_Calculs[[#This Row],[Cout_mois]]/Tab_Calculs[[#This Row],[Conso_mois_kWh]],0)</f>
        <v>0</v>
      </c>
      <c r="W1522" t="str">
        <f>T(VLOOKUP(Tab_Calculs[[#This Row],[Compteur]],Site!$B$33:$G$40,3,FALSE))</f>
        <v/>
      </c>
      <c r="X1522" t="str">
        <f>T(VLOOKUP(Tab_Calculs[[#This Row],[Compteur]],Site!$B$33:$G$40,4,FALSE))</f>
        <v/>
      </c>
      <c r="Y1522" t="str">
        <f>T(VLOOKUP(Tab_Calculs[[#This Row],[Compteur]],Site!$B$33:$G$40,5,FALSE))</f>
        <v/>
      </c>
      <c r="Z1522" t="str">
        <f>T(VLOOKUP(Tab_Calculs[[#This Row],[Compteur]],Site!$B$33:$G$40,6,FALSE))</f>
        <v/>
      </c>
      <c r="AA1522">
        <f>IFERROR(GETPIVOTDATA("DJU(chauffagiste)",BDD_DJU!$P$13,"annee",Tab_Calculs[[#This Row],[ANNEE]],"mois_numero",Tab_Calculs[[#This Row],[MOIS]]),0)</f>
        <v>0</v>
      </c>
    </row>
    <row r="1523" spans="1:27" x14ac:dyDescent="0.25">
      <c r="A1523" s="3">
        <f>DATE(Tab_Calculs[[#This Row],[ANNEE]],Tab_Calculs[[#This Row],[MOIS]],1)</f>
        <v>45352</v>
      </c>
      <c r="B1523" s="3">
        <f>EDATE(Tab_Calculs[[#This Row],[Début mois]],1)-1</f>
        <v>45382</v>
      </c>
      <c r="C1523">
        <f t="shared" si="52"/>
        <v>3</v>
      </c>
      <c r="D1523">
        <f t="shared" si="54"/>
        <v>2024</v>
      </c>
      <c r="E1523" t="s">
        <v>87</v>
      </c>
      <c r="F1523" t="str">
        <f>SUBSTITUTE(Tab_Calculs[[#This Row],[Compteur]]," ","_")</f>
        <v>Compteur_8</v>
      </c>
      <c r="G1523" t="str">
        <f>T(INDEX(Site!$B$33:$G$40, MATCH(Tab_Calculs[[#This Row],[Compteur]], Site!$B$33:$B$40,0),2))</f>
        <v/>
      </c>
      <c r="H1523" s="3">
        <f t="array" aca="1" ref="H1523" ca="1">MIN(IF(INDIRECT(CONCATENATE(Tab_Calculs[[#This Row],[Colonne1]],"!$B$2:$B$243"))&gt;=Calculs_Consos!$A1523,INDIRECT(CONCATENATE(Tab_Calculs[[#This Row],[Colonne1]],"!$B$2:$B$243"))))</f>
        <v>0</v>
      </c>
      <c r="I1523" s="3">
        <f ca="1">INDEX(INDIRECT(CONCATENATE("Tab_",Tab_Calculs[[#This Row],[Colonne1]])),Tab_Calculs[[#This Row],[index_date_livraison]],1)</f>
        <v>0</v>
      </c>
      <c r="J1523">
        <f ca="1">MATCH(Tab_Calculs[[#This Row],[Date_livraison]],INDIRECT(CONCATENATE("Tab_",Tab_Calculs[[#This Row],[Colonne1]],"[Fin de période]")),0)</f>
        <v>1</v>
      </c>
      <c r="K1523" t="e">
        <f ca="1">INDEX(INDIRECT(CONCATENATE("Tab_",Tab_Calculs[[#This Row],[Colonne1]])),Tab_Calculs[[#This Row],[index_date_livraison]]-1,6)*(MAX(Tab_Calculs[[#This Row],[Début periode livraison]],Tab_Calculs[[#This Row],[Début mois]])-Tab_Calculs[[#This Row],[Début mois]])</f>
        <v>#VALUE!</v>
      </c>
      <c r="L1523" s="94">
        <f ca="1">INDEX(INDIRECT(CONCATENATE("Tab_",Tab_Calculs[[#This Row],[Colonne1]])),Tab_Calculs[[#This Row],[index_date_livraison]],6)*(1+MIN(Tab_Calculs[[#This Row],[Date_livraison]],Tab_Calculs[[#This Row],[fin mois]])-MAX(Tab_Calculs[[#This Row],[Début mois]],Tab_Calculs[[#This Row],[Début periode livraison]]))</f>
        <v>0</v>
      </c>
      <c r="M1523" s="94" t="e">
        <f ca="1">INDEX(INDIRECT(CONCATENATE("Tab_",Tab_Calculs[[#This Row],[Colonne1]])),Tab_Calculs[[#This Row],[index_date_livraison]]+1,6)*(Tab_Calculs[[#This Row],[fin mois]]-MIN(Tab_Calculs[[#This Row],[fin mois]],Tab_Calculs[[#This Row],[Date_livraison]]))</f>
        <v>#VALUE!</v>
      </c>
      <c r="N1523" s="231" t="str">
        <f ca="1">IFERROR(Tab_Calculs[[#This Row],[Ratio_jour_après_livr]]+Tab_Calculs[[#This Row],[Ratio_jour_avant_livr]]+Tab_Calculs[[#This Row],[ratio_avant_debut]],"")</f>
        <v/>
      </c>
      <c r="O1523" t="e">
        <f ca="1">INDEX(INDIRECT(CONCATENATE("Tab_",Tab_Calculs[[#This Row],[Colonne1]])),Tab_Calculs[[#This Row],[index_date_livraison]]-1,7)*(MAX(Tab_Calculs[[#This Row],[Début periode livraison]],Tab_Calculs[[#This Row],[Début mois]])-Tab_Calculs[[#This Row],[Début mois]])</f>
        <v>#VALUE!</v>
      </c>
      <c r="P1523">
        <f ca="1">INDEX(INDIRECT(CONCATENATE("Tab_",Tab_Calculs[[#This Row],[Colonne1]])),Tab_Calculs[[#This Row],[index_date_livraison]],7)*(1+MIN(Tab_Calculs[[#This Row],[Date_livraison]],Tab_Calculs[[#This Row],[fin mois]])-MAX(Tab_Calculs[[#This Row],[Début mois]],Tab_Calculs[[#This Row],[Début periode livraison]]))</f>
        <v>0</v>
      </c>
      <c r="Q1523" t="e">
        <f ca="1">INDEX(INDIRECT(CONCATENATE("Tab_",Tab_Calculs[[#This Row],[Colonne1]])),Tab_Calculs[[#This Row],[index_date_livraison]]+1,7)*(Tab_Calculs[[#This Row],[fin mois]]-MIN(Tab_Calculs[[#This Row],[fin mois]],Tab_Calculs[[#This Row],[Date_livraison]]))</f>
        <v>#VALUE!</v>
      </c>
      <c r="R1523" t="e">
        <f ca="1">Tab_Calculs[[#This Row],[Ratio_Cout_après_livr]]+Tab_Calculs[[#This Row],[Ratio_Cout_avant_livr]]+Tab_Calculs[[#This Row],[Ratio_Cout_avant_debut]]</f>
        <v>#VALUE!</v>
      </c>
      <c r="S1523" t="str">
        <f ca="1">IFERROR(N1523*VLOOKUP(Tab_Calculs[[#This Row],[Colonne1]],Controle_des_données!$B$7:$G$14,6,FALSE),"")</f>
        <v/>
      </c>
      <c r="T1523" t="str">
        <f ca="1">IF(Tab_Calculs[[#This Row],[Combustible ]]="Electricité (kWh)",Tab_Calculs[[#This Row],[Conso_mois_kWh]]*2.3,Tab_Calculs[[#This Row],[Conso_mois_kWh]])</f>
        <v/>
      </c>
      <c r="U1523" t="str">
        <f ca="1">IFERROR(N1523*VLOOKUP(Tab_Calculs[[#This Row],[Colonne1]],Controle_des_données!$B$7:$H$14,7,FALSE),"")</f>
        <v/>
      </c>
      <c r="V1523">
        <f ca="1">IFERROR(Tab_Calculs[[#This Row],[Cout_mois]]/Tab_Calculs[[#This Row],[Conso_mois_kWh]],0)</f>
        <v>0</v>
      </c>
      <c r="W1523" t="str">
        <f>T(VLOOKUP(Tab_Calculs[[#This Row],[Compteur]],Site!$B$33:$G$40,3,FALSE))</f>
        <v/>
      </c>
      <c r="X1523" t="str">
        <f>T(VLOOKUP(Tab_Calculs[[#This Row],[Compteur]],Site!$B$33:$G$40,4,FALSE))</f>
        <v/>
      </c>
      <c r="Y1523" t="str">
        <f>T(VLOOKUP(Tab_Calculs[[#This Row],[Compteur]],Site!$B$33:$G$40,5,FALSE))</f>
        <v/>
      </c>
      <c r="Z1523" t="str">
        <f>T(VLOOKUP(Tab_Calculs[[#This Row],[Compteur]],Site!$B$33:$G$40,6,FALSE))</f>
        <v/>
      </c>
      <c r="AA1523">
        <f>IFERROR(GETPIVOTDATA("DJU(chauffagiste)",BDD_DJU!$P$13,"annee",Tab_Calculs[[#This Row],[ANNEE]],"mois_numero",Tab_Calculs[[#This Row],[MOIS]]),0)</f>
        <v>0</v>
      </c>
    </row>
    <row r="1524" spans="1:27" x14ac:dyDescent="0.25">
      <c r="A1524" s="3">
        <f>DATE(Tab_Calculs[[#This Row],[ANNEE]],Tab_Calculs[[#This Row],[MOIS]],1)</f>
        <v>45383</v>
      </c>
      <c r="B1524" s="3">
        <f>EDATE(Tab_Calculs[[#This Row],[Début mois]],1)-1</f>
        <v>45412</v>
      </c>
      <c r="C1524">
        <f t="shared" si="52"/>
        <v>4</v>
      </c>
      <c r="D1524">
        <f t="shared" si="54"/>
        <v>2024</v>
      </c>
      <c r="E1524" t="s">
        <v>87</v>
      </c>
      <c r="F1524" t="str">
        <f>SUBSTITUTE(Tab_Calculs[[#This Row],[Compteur]]," ","_")</f>
        <v>Compteur_8</v>
      </c>
      <c r="G1524" t="str">
        <f>T(INDEX(Site!$B$33:$G$40, MATCH(Tab_Calculs[[#This Row],[Compteur]], Site!$B$33:$B$40,0),2))</f>
        <v/>
      </c>
      <c r="H1524" s="3">
        <f t="array" aca="1" ref="H1524" ca="1">MIN(IF(INDIRECT(CONCATENATE(Tab_Calculs[[#This Row],[Colonne1]],"!$B$2:$B$243"))&gt;=Calculs_Consos!$A1524,INDIRECT(CONCATENATE(Tab_Calculs[[#This Row],[Colonne1]],"!$B$2:$B$243"))))</f>
        <v>0</v>
      </c>
      <c r="I1524" s="3">
        <f ca="1">INDEX(INDIRECT(CONCATENATE("Tab_",Tab_Calculs[[#This Row],[Colonne1]])),Tab_Calculs[[#This Row],[index_date_livraison]],1)</f>
        <v>0</v>
      </c>
      <c r="J1524">
        <f ca="1">MATCH(Tab_Calculs[[#This Row],[Date_livraison]],INDIRECT(CONCATENATE("Tab_",Tab_Calculs[[#This Row],[Colonne1]],"[Fin de période]")),0)</f>
        <v>1</v>
      </c>
      <c r="K1524" t="e">
        <f ca="1">INDEX(INDIRECT(CONCATENATE("Tab_",Tab_Calculs[[#This Row],[Colonne1]])),Tab_Calculs[[#This Row],[index_date_livraison]]-1,6)*(MAX(Tab_Calculs[[#This Row],[Début periode livraison]],Tab_Calculs[[#This Row],[Début mois]])-Tab_Calculs[[#This Row],[Début mois]])</f>
        <v>#VALUE!</v>
      </c>
      <c r="L1524" s="94">
        <f ca="1">INDEX(INDIRECT(CONCATENATE("Tab_",Tab_Calculs[[#This Row],[Colonne1]])),Tab_Calculs[[#This Row],[index_date_livraison]],6)*(1+MIN(Tab_Calculs[[#This Row],[Date_livraison]],Tab_Calculs[[#This Row],[fin mois]])-MAX(Tab_Calculs[[#This Row],[Début mois]],Tab_Calculs[[#This Row],[Début periode livraison]]))</f>
        <v>0</v>
      </c>
      <c r="M1524" s="94" t="e">
        <f ca="1">INDEX(INDIRECT(CONCATENATE("Tab_",Tab_Calculs[[#This Row],[Colonne1]])),Tab_Calculs[[#This Row],[index_date_livraison]]+1,6)*(Tab_Calculs[[#This Row],[fin mois]]-MIN(Tab_Calculs[[#This Row],[fin mois]],Tab_Calculs[[#This Row],[Date_livraison]]))</f>
        <v>#VALUE!</v>
      </c>
      <c r="N1524" s="231" t="str">
        <f ca="1">IFERROR(Tab_Calculs[[#This Row],[Ratio_jour_après_livr]]+Tab_Calculs[[#This Row],[Ratio_jour_avant_livr]]+Tab_Calculs[[#This Row],[ratio_avant_debut]],"")</f>
        <v/>
      </c>
      <c r="O1524" t="e">
        <f ca="1">INDEX(INDIRECT(CONCATENATE("Tab_",Tab_Calculs[[#This Row],[Colonne1]])),Tab_Calculs[[#This Row],[index_date_livraison]]-1,7)*(MAX(Tab_Calculs[[#This Row],[Début periode livraison]],Tab_Calculs[[#This Row],[Début mois]])-Tab_Calculs[[#This Row],[Début mois]])</f>
        <v>#VALUE!</v>
      </c>
      <c r="P1524">
        <f ca="1">INDEX(INDIRECT(CONCATENATE("Tab_",Tab_Calculs[[#This Row],[Colonne1]])),Tab_Calculs[[#This Row],[index_date_livraison]],7)*(1+MIN(Tab_Calculs[[#This Row],[Date_livraison]],Tab_Calculs[[#This Row],[fin mois]])-MAX(Tab_Calculs[[#This Row],[Début mois]],Tab_Calculs[[#This Row],[Début periode livraison]]))</f>
        <v>0</v>
      </c>
      <c r="Q1524" t="e">
        <f ca="1">INDEX(INDIRECT(CONCATENATE("Tab_",Tab_Calculs[[#This Row],[Colonne1]])),Tab_Calculs[[#This Row],[index_date_livraison]]+1,7)*(Tab_Calculs[[#This Row],[fin mois]]-MIN(Tab_Calculs[[#This Row],[fin mois]],Tab_Calculs[[#This Row],[Date_livraison]]))</f>
        <v>#VALUE!</v>
      </c>
      <c r="R1524" t="e">
        <f ca="1">Tab_Calculs[[#This Row],[Ratio_Cout_après_livr]]+Tab_Calculs[[#This Row],[Ratio_Cout_avant_livr]]+Tab_Calculs[[#This Row],[Ratio_Cout_avant_debut]]</f>
        <v>#VALUE!</v>
      </c>
      <c r="S1524" t="str">
        <f ca="1">IFERROR(N1524*VLOOKUP(Tab_Calculs[[#This Row],[Colonne1]],Controle_des_données!$B$7:$G$14,6,FALSE),"")</f>
        <v/>
      </c>
      <c r="T1524" t="str">
        <f ca="1">IF(Tab_Calculs[[#This Row],[Combustible ]]="Electricité (kWh)",Tab_Calculs[[#This Row],[Conso_mois_kWh]]*2.3,Tab_Calculs[[#This Row],[Conso_mois_kWh]])</f>
        <v/>
      </c>
      <c r="U1524" t="str">
        <f ca="1">IFERROR(N1524*VLOOKUP(Tab_Calculs[[#This Row],[Colonne1]],Controle_des_données!$B$7:$H$14,7,FALSE),"")</f>
        <v/>
      </c>
      <c r="V1524">
        <f ca="1">IFERROR(Tab_Calculs[[#This Row],[Cout_mois]]/Tab_Calculs[[#This Row],[Conso_mois_kWh]],0)</f>
        <v>0</v>
      </c>
      <c r="W1524" t="str">
        <f>T(VLOOKUP(Tab_Calculs[[#This Row],[Compteur]],Site!$B$33:$G$40,3,FALSE))</f>
        <v/>
      </c>
      <c r="X1524" t="str">
        <f>T(VLOOKUP(Tab_Calculs[[#This Row],[Compteur]],Site!$B$33:$G$40,4,FALSE))</f>
        <v/>
      </c>
      <c r="Y1524" t="str">
        <f>T(VLOOKUP(Tab_Calculs[[#This Row],[Compteur]],Site!$B$33:$G$40,5,FALSE))</f>
        <v/>
      </c>
      <c r="Z1524" t="str">
        <f>T(VLOOKUP(Tab_Calculs[[#This Row],[Compteur]],Site!$B$33:$G$40,6,FALSE))</f>
        <v/>
      </c>
      <c r="AA1524">
        <f>IFERROR(GETPIVOTDATA("DJU(chauffagiste)",BDD_DJU!$P$13,"annee",Tab_Calculs[[#This Row],[ANNEE]],"mois_numero",Tab_Calculs[[#This Row],[MOIS]]),0)</f>
        <v>0</v>
      </c>
    </row>
    <row r="1525" spans="1:27" x14ac:dyDescent="0.25">
      <c r="A1525" s="3">
        <f>DATE(Tab_Calculs[[#This Row],[ANNEE]],Tab_Calculs[[#This Row],[MOIS]],1)</f>
        <v>45413</v>
      </c>
      <c r="B1525" s="3">
        <f>EDATE(Tab_Calculs[[#This Row],[Début mois]],1)-1</f>
        <v>45443</v>
      </c>
      <c r="C1525">
        <f t="shared" si="52"/>
        <v>5</v>
      </c>
      <c r="D1525">
        <f t="shared" si="54"/>
        <v>2024</v>
      </c>
      <c r="E1525" t="s">
        <v>87</v>
      </c>
      <c r="F1525" t="str">
        <f>SUBSTITUTE(Tab_Calculs[[#This Row],[Compteur]]," ","_")</f>
        <v>Compteur_8</v>
      </c>
      <c r="G1525" t="str">
        <f>T(INDEX(Site!$B$33:$G$40, MATCH(Tab_Calculs[[#This Row],[Compteur]], Site!$B$33:$B$40,0),2))</f>
        <v/>
      </c>
      <c r="H1525" s="3">
        <f t="array" aca="1" ref="H1525" ca="1">MIN(IF(INDIRECT(CONCATENATE(Tab_Calculs[[#This Row],[Colonne1]],"!$B$2:$B$243"))&gt;=Calculs_Consos!$A1525,INDIRECT(CONCATENATE(Tab_Calculs[[#This Row],[Colonne1]],"!$B$2:$B$243"))))</f>
        <v>0</v>
      </c>
      <c r="I1525" s="3">
        <f ca="1">INDEX(INDIRECT(CONCATENATE("Tab_",Tab_Calculs[[#This Row],[Colonne1]])),Tab_Calculs[[#This Row],[index_date_livraison]],1)</f>
        <v>0</v>
      </c>
      <c r="J1525">
        <f ca="1">MATCH(Tab_Calculs[[#This Row],[Date_livraison]],INDIRECT(CONCATENATE("Tab_",Tab_Calculs[[#This Row],[Colonne1]],"[Fin de période]")),0)</f>
        <v>1</v>
      </c>
      <c r="K1525" t="e">
        <f ca="1">INDEX(INDIRECT(CONCATENATE("Tab_",Tab_Calculs[[#This Row],[Colonne1]])),Tab_Calculs[[#This Row],[index_date_livraison]]-1,6)*(MAX(Tab_Calculs[[#This Row],[Début periode livraison]],Tab_Calculs[[#This Row],[Début mois]])-Tab_Calculs[[#This Row],[Début mois]])</f>
        <v>#VALUE!</v>
      </c>
      <c r="L1525" s="94">
        <f ca="1">INDEX(INDIRECT(CONCATENATE("Tab_",Tab_Calculs[[#This Row],[Colonne1]])),Tab_Calculs[[#This Row],[index_date_livraison]],6)*(1+MIN(Tab_Calculs[[#This Row],[Date_livraison]],Tab_Calculs[[#This Row],[fin mois]])-MAX(Tab_Calculs[[#This Row],[Début mois]],Tab_Calculs[[#This Row],[Début periode livraison]]))</f>
        <v>0</v>
      </c>
      <c r="M1525" s="94" t="e">
        <f ca="1">INDEX(INDIRECT(CONCATENATE("Tab_",Tab_Calculs[[#This Row],[Colonne1]])),Tab_Calculs[[#This Row],[index_date_livraison]]+1,6)*(Tab_Calculs[[#This Row],[fin mois]]-MIN(Tab_Calculs[[#This Row],[fin mois]],Tab_Calculs[[#This Row],[Date_livraison]]))</f>
        <v>#VALUE!</v>
      </c>
      <c r="N1525" s="231" t="str">
        <f ca="1">IFERROR(Tab_Calculs[[#This Row],[Ratio_jour_après_livr]]+Tab_Calculs[[#This Row],[Ratio_jour_avant_livr]]+Tab_Calculs[[#This Row],[ratio_avant_debut]],"")</f>
        <v/>
      </c>
      <c r="O1525" t="e">
        <f ca="1">INDEX(INDIRECT(CONCATENATE("Tab_",Tab_Calculs[[#This Row],[Colonne1]])),Tab_Calculs[[#This Row],[index_date_livraison]]-1,7)*(MAX(Tab_Calculs[[#This Row],[Début periode livraison]],Tab_Calculs[[#This Row],[Début mois]])-Tab_Calculs[[#This Row],[Début mois]])</f>
        <v>#VALUE!</v>
      </c>
      <c r="P1525">
        <f ca="1">INDEX(INDIRECT(CONCATENATE("Tab_",Tab_Calculs[[#This Row],[Colonne1]])),Tab_Calculs[[#This Row],[index_date_livraison]],7)*(1+MIN(Tab_Calculs[[#This Row],[Date_livraison]],Tab_Calculs[[#This Row],[fin mois]])-MAX(Tab_Calculs[[#This Row],[Début mois]],Tab_Calculs[[#This Row],[Début periode livraison]]))</f>
        <v>0</v>
      </c>
      <c r="Q1525" t="e">
        <f ca="1">INDEX(INDIRECT(CONCATENATE("Tab_",Tab_Calculs[[#This Row],[Colonne1]])),Tab_Calculs[[#This Row],[index_date_livraison]]+1,7)*(Tab_Calculs[[#This Row],[fin mois]]-MIN(Tab_Calculs[[#This Row],[fin mois]],Tab_Calculs[[#This Row],[Date_livraison]]))</f>
        <v>#VALUE!</v>
      </c>
      <c r="R1525" t="e">
        <f ca="1">Tab_Calculs[[#This Row],[Ratio_Cout_après_livr]]+Tab_Calculs[[#This Row],[Ratio_Cout_avant_livr]]+Tab_Calculs[[#This Row],[Ratio_Cout_avant_debut]]</f>
        <v>#VALUE!</v>
      </c>
      <c r="S1525" t="str">
        <f ca="1">IFERROR(N1525*VLOOKUP(Tab_Calculs[[#This Row],[Colonne1]],Controle_des_données!$B$7:$G$14,6,FALSE),"")</f>
        <v/>
      </c>
      <c r="T1525" t="str">
        <f ca="1">IF(Tab_Calculs[[#This Row],[Combustible ]]="Electricité (kWh)",Tab_Calculs[[#This Row],[Conso_mois_kWh]]*2.3,Tab_Calculs[[#This Row],[Conso_mois_kWh]])</f>
        <v/>
      </c>
      <c r="U1525" t="str">
        <f ca="1">IFERROR(N1525*VLOOKUP(Tab_Calculs[[#This Row],[Colonne1]],Controle_des_données!$B$7:$H$14,7,FALSE),"")</f>
        <v/>
      </c>
      <c r="V1525">
        <f ca="1">IFERROR(Tab_Calculs[[#This Row],[Cout_mois]]/Tab_Calculs[[#This Row],[Conso_mois_kWh]],0)</f>
        <v>0</v>
      </c>
      <c r="W1525" t="str">
        <f>T(VLOOKUP(Tab_Calculs[[#This Row],[Compteur]],Site!$B$33:$G$40,3,FALSE))</f>
        <v/>
      </c>
      <c r="X1525" t="str">
        <f>T(VLOOKUP(Tab_Calculs[[#This Row],[Compteur]],Site!$B$33:$G$40,4,FALSE))</f>
        <v/>
      </c>
      <c r="Y1525" t="str">
        <f>T(VLOOKUP(Tab_Calculs[[#This Row],[Compteur]],Site!$B$33:$G$40,5,FALSE))</f>
        <v/>
      </c>
      <c r="Z1525" t="str">
        <f>T(VLOOKUP(Tab_Calculs[[#This Row],[Compteur]],Site!$B$33:$G$40,6,FALSE))</f>
        <v/>
      </c>
      <c r="AA1525">
        <f>IFERROR(GETPIVOTDATA("DJU(chauffagiste)",BDD_DJU!$P$13,"annee",Tab_Calculs[[#This Row],[ANNEE]],"mois_numero",Tab_Calculs[[#This Row],[MOIS]]),0)</f>
        <v>0</v>
      </c>
    </row>
    <row r="1526" spans="1:27" x14ac:dyDescent="0.25">
      <c r="A1526" s="3">
        <f>DATE(Tab_Calculs[[#This Row],[ANNEE]],Tab_Calculs[[#This Row],[MOIS]],1)</f>
        <v>45444</v>
      </c>
      <c r="B1526" s="3">
        <f>EDATE(Tab_Calculs[[#This Row],[Début mois]],1)-1</f>
        <v>45473</v>
      </c>
      <c r="C1526">
        <f t="shared" si="52"/>
        <v>6</v>
      </c>
      <c r="D1526">
        <f t="shared" si="54"/>
        <v>2024</v>
      </c>
      <c r="E1526" t="s">
        <v>87</v>
      </c>
      <c r="F1526" t="str">
        <f>SUBSTITUTE(Tab_Calculs[[#This Row],[Compteur]]," ","_")</f>
        <v>Compteur_8</v>
      </c>
      <c r="G1526" t="str">
        <f>T(INDEX(Site!$B$33:$G$40, MATCH(Tab_Calculs[[#This Row],[Compteur]], Site!$B$33:$B$40,0),2))</f>
        <v/>
      </c>
      <c r="H1526" s="3">
        <f t="array" aca="1" ref="H1526" ca="1">MIN(IF(INDIRECT(CONCATENATE(Tab_Calculs[[#This Row],[Colonne1]],"!$B$2:$B$243"))&gt;=Calculs_Consos!$A1526,INDIRECT(CONCATENATE(Tab_Calculs[[#This Row],[Colonne1]],"!$B$2:$B$243"))))</f>
        <v>0</v>
      </c>
      <c r="I1526" s="3">
        <f ca="1">INDEX(INDIRECT(CONCATENATE("Tab_",Tab_Calculs[[#This Row],[Colonne1]])),Tab_Calculs[[#This Row],[index_date_livraison]],1)</f>
        <v>0</v>
      </c>
      <c r="J1526">
        <f ca="1">MATCH(Tab_Calculs[[#This Row],[Date_livraison]],INDIRECT(CONCATENATE("Tab_",Tab_Calculs[[#This Row],[Colonne1]],"[Fin de période]")),0)</f>
        <v>1</v>
      </c>
      <c r="K1526" t="e">
        <f ca="1">INDEX(INDIRECT(CONCATENATE("Tab_",Tab_Calculs[[#This Row],[Colonne1]])),Tab_Calculs[[#This Row],[index_date_livraison]]-1,6)*(MAX(Tab_Calculs[[#This Row],[Début periode livraison]],Tab_Calculs[[#This Row],[Début mois]])-Tab_Calculs[[#This Row],[Début mois]])</f>
        <v>#VALUE!</v>
      </c>
      <c r="L1526" s="94">
        <f ca="1">INDEX(INDIRECT(CONCATENATE("Tab_",Tab_Calculs[[#This Row],[Colonne1]])),Tab_Calculs[[#This Row],[index_date_livraison]],6)*(1+MIN(Tab_Calculs[[#This Row],[Date_livraison]],Tab_Calculs[[#This Row],[fin mois]])-MAX(Tab_Calculs[[#This Row],[Début mois]],Tab_Calculs[[#This Row],[Début periode livraison]]))</f>
        <v>0</v>
      </c>
      <c r="M1526" s="94" t="e">
        <f ca="1">INDEX(INDIRECT(CONCATENATE("Tab_",Tab_Calculs[[#This Row],[Colonne1]])),Tab_Calculs[[#This Row],[index_date_livraison]]+1,6)*(Tab_Calculs[[#This Row],[fin mois]]-MIN(Tab_Calculs[[#This Row],[fin mois]],Tab_Calculs[[#This Row],[Date_livraison]]))</f>
        <v>#VALUE!</v>
      </c>
      <c r="N1526" s="231" t="str">
        <f ca="1">IFERROR(Tab_Calculs[[#This Row],[Ratio_jour_après_livr]]+Tab_Calculs[[#This Row],[Ratio_jour_avant_livr]]+Tab_Calculs[[#This Row],[ratio_avant_debut]],"")</f>
        <v/>
      </c>
      <c r="O1526" t="e">
        <f ca="1">INDEX(INDIRECT(CONCATENATE("Tab_",Tab_Calculs[[#This Row],[Colonne1]])),Tab_Calculs[[#This Row],[index_date_livraison]]-1,7)*(MAX(Tab_Calculs[[#This Row],[Début periode livraison]],Tab_Calculs[[#This Row],[Début mois]])-Tab_Calculs[[#This Row],[Début mois]])</f>
        <v>#VALUE!</v>
      </c>
      <c r="P1526">
        <f ca="1">INDEX(INDIRECT(CONCATENATE("Tab_",Tab_Calculs[[#This Row],[Colonne1]])),Tab_Calculs[[#This Row],[index_date_livraison]],7)*(1+MIN(Tab_Calculs[[#This Row],[Date_livraison]],Tab_Calculs[[#This Row],[fin mois]])-MAX(Tab_Calculs[[#This Row],[Début mois]],Tab_Calculs[[#This Row],[Début periode livraison]]))</f>
        <v>0</v>
      </c>
      <c r="Q1526" t="e">
        <f ca="1">INDEX(INDIRECT(CONCATENATE("Tab_",Tab_Calculs[[#This Row],[Colonne1]])),Tab_Calculs[[#This Row],[index_date_livraison]]+1,7)*(Tab_Calculs[[#This Row],[fin mois]]-MIN(Tab_Calculs[[#This Row],[fin mois]],Tab_Calculs[[#This Row],[Date_livraison]]))</f>
        <v>#VALUE!</v>
      </c>
      <c r="R1526" t="e">
        <f ca="1">Tab_Calculs[[#This Row],[Ratio_Cout_après_livr]]+Tab_Calculs[[#This Row],[Ratio_Cout_avant_livr]]+Tab_Calculs[[#This Row],[Ratio_Cout_avant_debut]]</f>
        <v>#VALUE!</v>
      </c>
      <c r="S1526" t="str">
        <f ca="1">IFERROR(N1526*VLOOKUP(Tab_Calculs[[#This Row],[Colonne1]],Controle_des_données!$B$7:$G$14,6,FALSE),"")</f>
        <v/>
      </c>
      <c r="T1526" t="str">
        <f ca="1">IF(Tab_Calculs[[#This Row],[Combustible ]]="Electricité (kWh)",Tab_Calculs[[#This Row],[Conso_mois_kWh]]*2.3,Tab_Calculs[[#This Row],[Conso_mois_kWh]])</f>
        <v/>
      </c>
      <c r="U1526" t="str">
        <f ca="1">IFERROR(N1526*VLOOKUP(Tab_Calculs[[#This Row],[Colonne1]],Controle_des_données!$B$7:$H$14,7,FALSE),"")</f>
        <v/>
      </c>
      <c r="V1526">
        <f ca="1">IFERROR(Tab_Calculs[[#This Row],[Cout_mois]]/Tab_Calculs[[#This Row],[Conso_mois_kWh]],0)</f>
        <v>0</v>
      </c>
      <c r="W1526" t="str">
        <f>T(VLOOKUP(Tab_Calculs[[#This Row],[Compteur]],Site!$B$33:$G$40,3,FALSE))</f>
        <v/>
      </c>
      <c r="X1526" t="str">
        <f>T(VLOOKUP(Tab_Calculs[[#This Row],[Compteur]],Site!$B$33:$G$40,4,FALSE))</f>
        <v/>
      </c>
      <c r="Y1526" t="str">
        <f>T(VLOOKUP(Tab_Calculs[[#This Row],[Compteur]],Site!$B$33:$G$40,5,FALSE))</f>
        <v/>
      </c>
      <c r="Z1526" t="str">
        <f>T(VLOOKUP(Tab_Calculs[[#This Row],[Compteur]],Site!$B$33:$G$40,6,FALSE))</f>
        <v/>
      </c>
      <c r="AA1526">
        <f>IFERROR(GETPIVOTDATA("DJU(chauffagiste)",BDD_DJU!$P$13,"annee",Tab_Calculs[[#This Row],[ANNEE]],"mois_numero",Tab_Calculs[[#This Row],[MOIS]]),0)</f>
        <v>0</v>
      </c>
    </row>
    <row r="1527" spans="1:27" x14ac:dyDescent="0.25">
      <c r="A1527" s="3">
        <f>DATE(Tab_Calculs[[#This Row],[ANNEE]],Tab_Calculs[[#This Row],[MOIS]],1)</f>
        <v>45474</v>
      </c>
      <c r="B1527" s="3">
        <f>EDATE(Tab_Calculs[[#This Row],[Début mois]],1)-1</f>
        <v>45504</v>
      </c>
      <c r="C1527">
        <f t="shared" si="52"/>
        <v>7</v>
      </c>
      <c r="D1527">
        <f t="shared" si="54"/>
        <v>2024</v>
      </c>
      <c r="E1527" t="s">
        <v>87</v>
      </c>
      <c r="F1527" t="str">
        <f>SUBSTITUTE(Tab_Calculs[[#This Row],[Compteur]]," ","_")</f>
        <v>Compteur_8</v>
      </c>
      <c r="G1527" t="str">
        <f>T(INDEX(Site!$B$33:$G$40, MATCH(Tab_Calculs[[#This Row],[Compteur]], Site!$B$33:$B$40,0),2))</f>
        <v/>
      </c>
      <c r="H1527" s="3">
        <f t="array" aca="1" ref="H1527" ca="1">MIN(IF(INDIRECT(CONCATENATE(Tab_Calculs[[#This Row],[Colonne1]],"!$B$2:$B$243"))&gt;=Calculs_Consos!$A1527,INDIRECT(CONCATENATE(Tab_Calculs[[#This Row],[Colonne1]],"!$B$2:$B$243"))))</f>
        <v>0</v>
      </c>
      <c r="I1527" s="3">
        <f ca="1">INDEX(INDIRECT(CONCATENATE("Tab_",Tab_Calculs[[#This Row],[Colonne1]])),Tab_Calculs[[#This Row],[index_date_livraison]],1)</f>
        <v>0</v>
      </c>
      <c r="J1527">
        <f ca="1">MATCH(Tab_Calculs[[#This Row],[Date_livraison]],INDIRECT(CONCATENATE("Tab_",Tab_Calculs[[#This Row],[Colonne1]],"[Fin de période]")),0)</f>
        <v>1</v>
      </c>
      <c r="K1527" t="e">
        <f ca="1">INDEX(INDIRECT(CONCATENATE("Tab_",Tab_Calculs[[#This Row],[Colonne1]])),Tab_Calculs[[#This Row],[index_date_livraison]]-1,6)*(MAX(Tab_Calculs[[#This Row],[Début periode livraison]],Tab_Calculs[[#This Row],[Début mois]])-Tab_Calculs[[#This Row],[Début mois]])</f>
        <v>#VALUE!</v>
      </c>
      <c r="L1527" s="94">
        <f ca="1">INDEX(INDIRECT(CONCATENATE("Tab_",Tab_Calculs[[#This Row],[Colonne1]])),Tab_Calculs[[#This Row],[index_date_livraison]],6)*(1+MIN(Tab_Calculs[[#This Row],[Date_livraison]],Tab_Calculs[[#This Row],[fin mois]])-MAX(Tab_Calculs[[#This Row],[Début mois]],Tab_Calculs[[#This Row],[Début periode livraison]]))</f>
        <v>0</v>
      </c>
      <c r="M1527" s="94" t="e">
        <f ca="1">INDEX(INDIRECT(CONCATENATE("Tab_",Tab_Calculs[[#This Row],[Colonne1]])),Tab_Calculs[[#This Row],[index_date_livraison]]+1,6)*(Tab_Calculs[[#This Row],[fin mois]]-MIN(Tab_Calculs[[#This Row],[fin mois]],Tab_Calculs[[#This Row],[Date_livraison]]))</f>
        <v>#VALUE!</v>
      </c>
      <c r="N1527" s="231" t="str">
        <f ca="1">IFERROR(Tab_Calculs[[#This Row],[Ratio_jour_après_livr]]+Tab_Calculs[[#This Row],[Ratio_jour_avant_livr]]+Tab_Calculs[[#This Row],[ratio_avant_debut]],"")</f>
        <v/>
      </c>
      <c r="O1527" t="e">
        <f ca="1">INDEX(INDIRECT(CONCATENATE("Tab_",Tab_Calculs[[#This Row],[Colonne1]])),Tab_Calculs[[#This Row],[index_date_livraison]]-1,7)*(MAX(Tab_Calculs[[#This Row],[Début periode livraison]],Tab_Calculs[[#This Row],[Début mois]])-Tab_Calculs[[#This Row],[Début mois]])</f>
        <v>#VALUE!</v>
      </c>
      <c r="P1527">
        <f ca="1">INDEX(INDIRECT(CONCATENATE("Tab_",Tab_Calculs[[#This Row],[Colonne1]])),Tab_Calculs[[#This Row],[index_date_livraison]],7)*(1+MIN(Tab_Calculs[[#This Row],[Date_livraison]],Tab_Calculs[[#This Row],[fin mois]])-MAX(Tab_Calculs[[#This Row],[Début mois]],Tab_Calculs[[#This Row],[Début periode livraison]]))</f>
        <v>0</v>
      </c>
      <c r="Q1527" t="e">
        <f ca="1">INDEX(INDIRECT(CONCATENATE("Tab_",Tab_Calculs[[#This Row],[Colonne1]])),Tab_Calculs[[#This Row],[index_date_livraison]]+1,7)*(Tab_Calculs[[#This Row],[fin mois]]-MIN(Tab_Calculs[[#This Row],[fin mois]],Tab_Calculs[[#This Row],[Date_livraison]]))</f>
        <v>#VALUE!</v>
      </c>
      <c r="R1527" t="e">
        <f ca="1">Tab_Calculs[[#This Row],[Ratio_Cout_après_livr]]+Tab_Calculs[[#This Row],[Ratio_Cout_avant_livr]]+Tab_Calculs[[#This Row],[Ratio_Cout_avant_debut]]</f>
        <v>#VALUE!</v>
      </c>
      <c r="S1527" t="str">
        <f ca="1">IFERROR(N1527*VLOOKUP(Tab_Calculs[[#This Row],[Colonne1]],Controle_des_données!$B$7:$G$14,6,FALSE),"")</f>
        <v/>
      </c>
      <c r="T1527" t="str">
        <f ca="1">IF(Tab_Calculs[[#This Row],[Combustible ]]="Electricité (kWh)",Tab_Calculs[[#This Row],[Conso_mois_kWh]]*2.3,Tab_Calculs[[#This Row],[Conso_mois_kWh]])</f>
        <v/>
      </c>
      <c r="U1527" t="str">
        <f ca="1">IFERROR(N1527*VLOOKUP(Tab_Calculs[[#This Row],[Colonne1]],Controle_des_données!$B$7:$H$14,7,FALSE),"")</f>
        <v/>
      </c>
      <c r="V1527">
        <f ca="1">IFERROR(Tab_Calculs[[#This Row],[Cout_mois]]/Tab_Calculs[[#This Row],[Conso_mois_kWh]],0)</f>
        <v>0</v>
      </c>
      <c r="W1527" t="str">
        <f>T(VLOOKUP(Tab_Calculs[[#This Row],[Compteur]],Site!$B$33:$G$40,3,FALSE))</f>
        <v/>
      </c>
      <c r="X1527" t="str">
        <f>T(VLOOKUP(Tab_Calculs[[#This Row],[Compteur]],Site!$B$33:$G$40,4,FALSE))</f>
        <v/>
      </c>
      <c r="Y1527" t="str">
        <f>T(VLOOKUP(Tab_Calculs[[#This Row],[Compteur]],Site!$B$33:$G$40,5,FALSE))</f>
        <v/>
      </c>
      <c r="Z1527" t="str">
        <f>T(VLOOKUP(Tab_Calculs[[#This Row],[Compteur]],Site!$B$33:$G$40,6,FALSE))</f>
        <v/>
      </c>
      <c r="AA1527">
        <f>IFERROR(GETPIVOTDATA("DJU(chauffagiste)",BDD_DJU!$P$13,"annee",Tab_Calculs[[#This Row],[ANNEE]],"mois_numero",Tab_Calculs[[#This Row],[MOIS]]),0)</f>
        <v>0</v>
      </c>
    </row>
    <row r="1528" spans="1:27" x14ac:dyDescent="0.25">
      <c r="A1528" s="3">
        <f>DATE(Tab_Calculs[[#This Row],[ANNEE]],Tab_Calculs[[#This Row],[MOIS]],1)</f>
        <v>45505</v>
      </c>
      <c r="B1528" s="3">
        <f>EDATE(Tab_Calculs[[#This Row],[Début mois]],1)-1</f>
        <v>45535</v>
      </c>
      <c r="C1528">
        <f t="shared" si="52"/>
        <v>8</v>
      </c>
      <c r="D1528">
        <f t="shared" si="54"/>
        <v>2024</v>
      </c>
      <c r="E1528" t="s">
        <v>87</v>
      </c>
      <c r="F1528" t="str">
        <f>SUBSTITUTE(Tab_Calculs[[#This Row],[Compteur]]," ","_")</f>
        <v>Compteur_8</v>
      </c>
      <c r="G1528" t="str">
        <f>T(INDEX(Site!$B$33:$G$40, MATCH(Tab_Calculs[[#This Row],[Compteur]], Site!$B$33:$B$40,0),2))</f>
        <v/>
      </c>
      <c r="H1528" s="3">
        <f t="array" aca="1" ref="H1528" ca="1">MIN(IF(INDIRECT(CONCATENATE(Tab_Calculs[[#This Row],[Colonne1]],"!$B$2:$B$243"))&gt;=Calculs_Consos!$A1528,INDIRECT(CONCATENATE(Tab_Calculs[[#This Row],[Colonne1]],"!$B$2:$B$243"))))</f>
        <v>0</v>
      </c>
      <c r="I1528" s="3">
        <f ca="1">INDEX(INDIRECT(CONCATENATE("Tab_",Tab_Calculs[[#This Row],[Colonne1]])),Tab_Calculs[[#This Row],[index_date_livraison]],1)</f>
        <v>0</v>
      </c>
      <c r="J1528">
        <f ca="1">MATCH(Tab_Calculs[[#This Row],[Date_livraison]],INDIRECT(CONCATENATE("Tab_",Tab_Calculs[[#This Row],[Colonne1]],"[Fin de période]")),0)</f>
        <v>1</v>
      </c>
      <c r="K1528" t="e">
        <f ca="1">INDEX(INDIRECT(CONCATENATE("Tab_",Tab_Calculs[[#This Row],[Colonne1]])),Tab_Calculs[[#This Row],[index_date_livraison]]-1,6)*(MAX(Tab_Calculs[[#This Row],[Début periode livraison]],Tab_Calculs[[#This Row],[Début mois]])-Tab_Calculs[[#This Row],[Début mois]])</f>
        <v>#VALUE!</v>
      </c>
      <c r="L1528" s="94">
        <f ca="1">INDEX(INDIRECT(CONCATENATE("Tab_",Tab_Calculs[[#This Row],[Colonne1]])),Tab_Calculs[[#This Row],[index_date_livraison]],6)*(1+MIN(Tab_Calculs[[#This Row],[Date_livraison]],Tab_Calculs[[#This Row],[fin mois]])-MAX(Tab_Calculs[[#This Row],[Début mois]],Tab_Calculs[[#This Row],[Début periode livraison]]))</f>
        <v>0</v>
      </c>
      <c r="M1528" s="94" t="e">
        <f ca="1">INDEX(INDIRECT(CONCATENATE("Tab_",Tab_Calculs[[#This Row],[Colonne1]])),Tab_Calculs[[#This Row],[index_date_livraison]]+1,6)*(Tab_Calculs[[#This Row],[fin mois]]-MIN(Tab_Calculs[[#This Row],[fin mois]],Tab_Calculs[[#This Row],[Date_livraison]]))</f>
        <v>#VALUE!</v>
      </c>
      <c r="N1528" s="231" t="str">
        <f ca="1">IFERROR(Tab_Calculs[[#This Row],[Ratio_jour_après_livr]]+Tab_Calculs[[#This Row],[Ratio_jour_avant_livr]]+Tab_Calculs[[#This Row],[ratio_avant_debut]],"")</f>
        <v/>
      </c>
      <c r="O1528" t="e">
        <f ca="1">INDEX(INDIRECT(CONCATENATE("Tab_",Tab_Calculs[[#This Row],[Colonne1]])),Tab_Calculs[[#This Row],[index_date_livraison]]-1,7)*(MAX(Tab_Calculs[[#This Row],[Début periode livraison]],Tab_Calculs[[#This Row],[Début mois]])-Tab_Calculs[[#This Row],[Début mois]])</f>
        <v>#VALUE!</v>
      </c>
      <c r="P1528">
        <f ca="1">INDEX(INDIRECT(CONCATENATE("Tab_",Tab_Calculs[[#This Row],[Colonne1]])),Tab_Calculs[[#This Row],[index_date_livraison]],7)*(1+MIN(Tab_Calculs[[#This Row],[Date_livraison]],Tab_Calculs[[#This Row],[fin mois]])-MAX(Tab_Calculs[[#This Row],[Début mois]],Tab_Calculs[[#This Row],[Début periode livraison]]))</f>
        <v>0</v>
      </c>
      <c r="Q1528" t="e">
        <f ca="1">INDEX(INDIRECT(CONCATENATE("Tab_",Tab_Calculs[[#This Row],[Colonne1]])),Tab_Calculs[[#This Row],[index_date_livraison]]+1,7)*(Tab_Calculs[[#This Row],[fin mois]]-MIN(Tab_Calculs[[#This Row],[fin mois]],Tab_Calculs[[#This Row],[Date_livraison]]))</f>
        <v>#VALUE!</v>
      </c>
      <c r="R1528" t="e">
        <f ca="1">Tab_Calculs[[#This Row],[Ratio_Cout_après_livr]]+Tab_Calculs[[#This Row],[Ratio_Cout_avant_livr]]+Tab_Calculs[[#This Row],[Ratio_Cout_avant_debut]]</f>
        <v>#VALUE!</v>
      </c>
      <c r="S1528" t="str">
        <f ca="1">IFERROR(N1528*VLOOKUP(Tab_Calculs[[#This Row],[Colonne1]],Controle_des_données!$B$7:$G$14,6,FALSE),"")</f>
        <v/>
      </c>
      <c r="T1528" t="str">
        <f ca="1">IF(Tab_Calculs[[#This Row],[Combustible ]]="Electricité (kWh)",Tab_Calculs[[#This Row],[Conso_mois_kWh]]*2.3,Tab_Calculs[[#This Row],[Conso_mois_kWh]])</f>
        <v/>
      </c>
      <c r="U1528" t="str">
        <f ca="1">IFERROR(N1528*VLOOKUP(Tab_Calculs[[#This Row],[Colonne1]],Controle_des_données!$B$7:$H$14,7,FALSE),"")</f>
        <v/>
      </c>
      <c r="V1528">
        <f ca="1">IFERROR(Tab_Calculs[[#This Row],[Cout_mois]]/Tab_Calculs[[#This Row],[Conso_mois_kWh]],0)</f>
        <v>0</v>
      </c>
      <c r="W1528" t="str">
        <f>T(VLOOKUP(Tab_Calculs[[#This Row],[Compteur]],Site!$B$33:$G$40,3,FALSE))</f>
        <v/>
      </c>
      <c r="X1528" t="str">
        <f>T(VLOOKUP(Tab_Calculs[[#This Row],[Compteur]],Site!$B$33:$G$40,4,FALSE))</f>
        <v/>
      </c>
      <c r="Y1528" t="str">
        <f>T(VLOOKUP(Tab_Calculs[[#This Row],[Compteur]],Site!$B$33:$G$40,5,FALSE))</f>
        <v/>
      </c>
      <c r="Z1528" t="str">
        <f>T(VLOOKUP(Tab_Calculs[[#This Row],[Compteur]],Site!$B$33:$G$40,6,FALSE))</f>
        <v/>
      </c>
      <c r="AA1528">
        <f>IFERROR(GETPIVOTDATA("DJU(chauffagiste)",BDD_DJU!$P$13,"annee",Tab_Calculs[[#This Row],[ANNEE]],"mois_numero",Tab_Calculs[[#This Row],[MOIS]]),0)</f>
        <v>0</v>
      </c>
    </row>
    <row r="1529" spans="1:27" x14ac:dyDescent="0.25">
      <c r="A1529" s="3">
        <f>DATE(Tab_Calculs[[#This Row],[ANNEE]],Tab_Calculs[[#This Row],[MOIS]],1)</f>
        <v>45536</v>
      </c>
      <c r="B1529" s="3">
        <f>EDATE(Tab_Calculs[[#This Row],[Début mois]],1)-1</f>
        <v>45565</v>
      </c>
      <c r="C1529">
        <f t="shared" si="52"/>
        <v>9</v>
      </c>
      <c r="D1529">
        <f t="shared" si="54"/>
        <v>2024</v>
      </c>
      <c r="E1529" t="s">
        <v>87</v>
      </c>
      <c r="F1529" t="str">
        <f>SUBSTITUTE(Tab_Calculs[[#This Row],[Compteur]]," ","_")</f>
        <v>Compteur_8</v>
      </c>
      <c r="G1529" t="str">
        <f>T(INDEX(Site!$B$33:$G$40, MATCH(Tab_Calculs[[#This Row],[Compteur]], Site!$B$33:$B$40,0),2))</f>
        <v/>
      </c>
      <c r="H1529" s="3">
        <f t="array" aca="1" ref="H1529" ca="1">MIN(IF(INDIRECT(CONCATENATE(Tab_Calculs[[#This Row],[Colonne1]],"!$B$2:$B$243"))&gt;=Calculs_Consos!$A1529,INDIRECT(CONCATENATE(Tab_Calculs[[#This Row],[Colonne1]],"!$B$2:$B$243"))))</f>
        <v>0</v>
      </c>
      <c r="I1529" s="3">
        <f ca="1">INDEX(INDIRECT(CONCATENATE("Tab_",Tab_Calculs[[#This Row],[Colonne1]])),Tab_Calculs[[#This Row],[index_date_livraison]],1)</f>
        <v>0</v>
      </c>
      <c r="J1529">
        <f ca="1">MATCH(Tab_Calculs[[#This Row],[Date_livraison]],INDIRECT(CONCATENATE("Tab_",Tab_Calculs[[#This Row],[Colonne1]],"[Fin de période]")),0)</f>
        <v>1</v>
      </c>
      <c r="K1529" t="e">
        <f ca="1">INDEX(INDIRECT(CONCATENATE("Tab_",Tab_Calculs[[#This Row],[Colonne1]])),Tab_Calculs[[#This Row],[index_date_livraison]]-1,6)*(MAX(Tab_Calculs[[#This Row],[Début periode livraison]],Tab_Calculs[[#This Row],[Début mois]])-Tab_Calculs[[#This Row],[Début mois]])</f>
        <v>#VALUE!</v>
      </c>
      <c r="L1529" s="94">
        <f ca="1">INDEX(INDIRECT(CONCATENATE("Tab_",Tab_Calculs[[#This Row],[Colonne1]])),Tab_Calculs[[#This Row],[index_date_livraison]],6)*(1+MIN(Tab_Calculs[[#This Row],[Date_livraison]],Tab_Calculs[[#This Row],[fin mois]])-MAX(Tab_Calculs[[#This Row],[Début mois]],Tab_Calculs[[#This Row],[Début periode livraison]]))</f>
        <v>0</v>
      </c>
      <c r="M1529" s="94" t="e">
        <f ca="1">INDEX(INDIRECT(CONCATENATE("Tab_",Tab_Calculs[[#This Row],[Colonne1]])),Tab_Calculs[[#This Row],[index_date_livraison]]+1,6)*(Tab_Calculs[[#This Row],[fin mois]]-MIN(Tab_Calculs[[#This Row],[fin mois]],Tab_Calculs[[#This Row],[Date_livraison]]))</f>
        <v>#VALUE!</v>
      </c>
      <c r="N1529" s="231" t="str">
        <f ca="1">IFERROR(Tab_Calculs[[#This Row],[Ratio_jour_après_livr]]+Tab_Calculs[[#This Row],[Ratio_jour_avant_livr]]+Tab_Calculs[[#This Row],[ratio_avant_debut]],"")</f>
        <v/>
      </c>
      <c r="O1529" t="e">
        <f ca="1">INDEX(INDIRECT(CONCATENATE("Tab_",Tab_Calculs[[#This Row],[Colonne1]])),Tab_Calculs[[#This Row],[index_date_livraison]]-1,7)*(MAX(Tab_Calculs[[#This Row],[Début periode livraison]],Tab_Calculs[[#This Row],[Début mois]])-Tab_Calculs[[#This Row],[Début mois]])</f>
        <v>#VALUE!</v>
      </c>
      <c r="P1529">
        <f ca="1">INDEX(INDIRECT(CONCATENATE("Tab_",Tab_Calculs[[#This Row],[Colonne1]])),Tab_Calculs[[#This Row],[index_date_livraison]],7)*(1+MIN(Tab_Calculs[[#This Row],[Date_livraison]],Tab_Calculs[[#This Row],[fin mois]])-MAX(Tab_Calculs[[#This Row],[Début mois]],Tab_Calculs[[#This Row],[Début periode livraison]]))</f>
        <v>0</v>
      </c>
      <c r="Q1529" t="e">
        <f ca="1">INDEX(INDIRECT(CONCATENATE("Tab_",Tab_Calculs[[#This Row],[Colonne1]])),Tab_Calculs[[#This Row],[index_date_livraison]]+1,7)*(Tab_Calculs[[#This Row],[fin mois]]-MIN(Tab_Calculs[[#This Row],[fin mois]],Tab_Calculs[[#This Row],[Date_livraison]]))</f>
        <v>#VALUE!</v>
      </c>
      <c r="R1529" t="e">
        <f ca="1">Tab_Calculs[[#This Row],[Ratio_Cout_après_livr]]+Tab_Calculs[[#This Row],[Ratio_Cout_avant_livr]]+Tab_Calculs[[#This Row],[Ratio_Cout_avant_debut]]</f>
        <v>#VALUE!</v>
      </c>
      <c r="S1529" t="str">
        <f ca="1">IFERROR(N1529*VLOOKUP(Tab_Calculs[[#This Row],[Colonne1]],Controle_des_données!$B$7:$G$14,6,FALSE),"")</f>
        <v/>
      </c>
      <c r="T1529" t="str">
        <f ca="1">IF(Tab_Calculs[[#This Row],[Combustible ]]="Electricité (kWh)",Tab_Calculs[[#This Row],[Conso_mois_kWh]]*2.3,Tab_Calculs[[#This Row],[Conso_mois_kWh]])</f>
        <v/>
      </c>
      <c r="U1529" t="str">
        <f ca="1">IFERROR(N1529*VLOOKUP(Tab_Calculs[[#This Row],[Colonne1]],Controle_des_données!$B$7:$H$14,7,FALSE),"")</f>
        <v/>
      </c>
      <c r="V1529">
        <f ca="1">IFERROR(Tab_Calculs[[#This Row],[Cout_mois]]/Tab_Calculs[[#This Row],[Conso_mois_kWh]],0)</f>
        <v>0</v>
      </c>
      <c r="W1529" t="str">
        <f>T(VLOOKUP(Tab_Calculs[[#This Row],[Compteur]],Site!$B$33:$G$40,3,FALSE))</f>
        <v/>
      </c>
      <c r="X1529" t="str">
        <f>T(VLOOKUP(Tab_Calculs[[#This Row],[Compteur]],Site!$B$33:$G$40,4,FALSE))</f>
        <v/>
      </c>
      <c r="Y1529" t="str">
        <f>T(VLOOKUP(Tab_Calculs[[#This Row],[Compteur]],Site!$B$33:$G$40,5,FALSE))</f>
        <v/>
      </c>
      <c r="Z1529" t="str">
        <f>T(VLOOKUP(Tab_Calculs[[#This Row],[Compteur]],Site!$B$33:$G$40,6,FALSE))</f>
        <v/>
      </c>
      <c r="AA1529">
        <f>IFERROR(GETPIVOTDATA("DJU(chauffagiste)",BDD_DJU!$P$13,"annee",Tab_Calculs[[#This Row],[ANNEE]],"mois_numero",Tab_Calculs[[#This Row],[MOIS]]),0)</f>
        <v>0</v>
      </c>
    </row>
    <row r="1530" spans="1:27" x14ac:dyDescent="0.25">
      <c r="A1530" s="3">
        <f>DATE(Tab_Calculs[[#This Row],[ANNEE]],Tab_Calculs[[#This Row],[MOIS]],1)</f>
        <v>45566</v>
      </c>
      <c r="B1530" s="3">
        <f>EDATE(Tab_Calculs[[#This Row],[Début mois]],1)-1</f>
        <v>45596</v>
      </c>
      <c r="C1530">
        <f t="shared" si="52"/>
        <v>10</v>
      </c>
      <c r="D1530">
        <f t="shared" si="54"/>
        <v>2024</v>
      </c>
      <c r="E1530" t="s">
        <v>87</v>
      </c>
      <c r="F1530" t="str">
        <f>SUBSTITUTE(Tab_Calculs[[#This Row],[Compteur]]," ","_")</f>
        <v>Compteur_8</v>
      </c>
      <c r="G1530" t="str">
        <f>T(INDEX(Site!$B$33:$G$40, MATCH(Tab_Calculs[[#This Row],[Compteur]], Site!$B$33:$B$40,0),2))</f>
        <v/>
      </c>
      <c r="H1530" s="3">
        <f t="array" aca="1" ref="H1530" ca="1">MIN(IF(INDIRECT(CONCATENATE(Tab_Calculs[[#This Row],[Colonne1]],"!$B$2:$B$243"))&gt;=Calculs_Consos!$A1530,INDIRECT(CONCATENATE(Tab_Calculs[[#This Row],[Colonne1]],"!$B$2:$B$243"))))</f>
        <v>0</v>
      </c>
      <c r="I1530" s="3">
        <f ca="1">INDEX(INDIRECT(CONCATENATE("Tab_",Tab_Calculs[[#This Row],[Colonne1]])),Tab_Calculs[[#This Row],[index_date_livraison]],1)</f>
        <v>0</v>
      </c>
      <c r="J1530">
        <f ca="1">MATCH(Tab_Calculs[[#This Row],[Date_livraison]],INDIRECT(CONCATENATE("Tab_",Tab_Calculs[[#This Row],[Colonne1]],"[Fin de période]")),0)</f>
        <v>1</v>
      </c>
      <c r="K1530" t="e">
        <f ca="1">INDEX(INDIRECT(CONCATENATE("Tab_",Tab_Calculs[[#This Row],[Colonne1]])),Tab_Calculs[[#This Row],[index_date_livraison]]-1,6)*(MAX(Tab_Calculs[[#This Row],[Début periode livraison]],Tab_Calculs[[#This Row],[Début mois]])-Tab_Calculs[[#This Row],[Début mois]])</f>
        <v>#VALUE!</v>
      </c>
      <c r="L1530" s="94">
        <f ca="1">INDEX(INDIRECT(CONCATENATE("Tab_",Tab_Calculs[[#This Row],[Colonne1]])),Tab_Calculs[[#This Row],[index_date_livraison]],6)*(1+MIN(Tab_Calculs[[#This Row],[Date_livraison]],Tab_Calculs[[#This Row],[fin mois]])-MAX(Tab_Calculs[[#This Row],[Début mois]],Tab_Calculs[[#This Row],[Début periode livraison]]))</f>
        <v>0</v>
      </c>
      <c r="M1530" s="94" t="e">
        <f ca="1">INDEX(INDIRECT(CONCATENATE("Tab_",Tab_Calculs[[#This Row],[Colonne1]])),Tab_Calculs[[#This Row],[index_date_livraison]]+1,6)*(Tab_Calculs[[#This Row],[fin mois]]-MIN(Tab_Calculs[[#This Row],[fin mois]],Tab_Calculs[[#This Row],[Date_livraison]]))</f>
        <v>#VALUE!</v>
      </c>
      <c r="N1530" s="231" t="str">
        <f ca="1">IFERROR(Tab_Calculs[[#This Row],[Ratio_jour_après_livr]]+Tab_Calculs[[#This Row],[Ratio_jour_avant_livr]]+Tab_Calculs[[#This Row],[ratio_avant_debut]],"")</f>
        <v/>
      </c>
      <c r="O1530" t="e">
        <f ca="1">INDEX(INDIRECT(CONCATENATE("Tab_",Tab_Calculs[[#This Row],[Colonne1]])),Tab_Calculs[[#This Row],[index_date_livraison]]-1,7)*(MAX(Tab_Calculs[[#This Row],[Début periode livraison]],Tab_Calculs[[#This Row],[Début mois]])-Tab_Calculs[[#This Row],[Début mois]])</f>
        <v>#VALUE!</v>
      </c>
      <c r="P1530">
        <f ca="1">INDEX(INDIRECT(CONCATENATE("Tab_",Tab_Calculs[[#This Row],[Colonne1]])),Tab_Calculs[[#This Row],[index_date_livraison]],7)*(1+MIN(Tab_Calculs[[#This Row],[Date_livraison]],Tab_Calculs[[#This Row],[fin mois]])-MAX(Tab_Calculs[[#This Row],[Début mois]],Tab_Calculs[[#This Row],[Début periode livraison]]))</f>
        <v>0</v>
      </c>
      <c r="Q1530" t="e">
        <f ca="1">INDEX(INDIRECT(CONCATENATE("Tab_",Tab_Calculs[[#This Row],[Colonne1]])),Tab_Calculs[[#This Row],[index_date_livraison]]+1,7)*(Tab_Calculs[[#This Row],[fin mois]]-MIN(Tab_Calculs[[#This Row],[fin mois]],Tab_Calculs[[#This Row],[Date_livraison]]))</f>
        <v>#VALUE!</v>
      </c>
      <c r="R1530" t="e">
        <f ca="1">Tab_Calculs[[#This Row],[Ratio_Cout_après_livr]]+Tab_Calculs[[#This Row],[Ratio_Cout_avant_livr]]+Tab_Calculs[[#This Row],[Ratio_Cout_avant_debut]]</f>
        <v>#VALUE!</v>
      </c>
      <c r="S1530" t="str">
        <f ca="1">IFERROR(N1530*VLOOKUP(Tab_Calculs[[#This Row],[Colonne1]],Controle_des_données!$B$7:$G$14,6,FALSE),"")</f>
        <v/>
      </c>
      <c r="T1530" t="str">
        <f ca="1">IF(Tab_Calculs[[#This Row],[Combustible ]]="Electricité (kWh)",Tab_Calculs[[#This Row],[Conso_mois_kWh]]*2.3,Tab_Calculs[[#This Row],[Conso_mois_kWh]])</f>
        <v/>
      </c>
      <c r="U1530" t="str">
        <f ca="1">IFERROR(N1530*VLOOKUP(Tab_Calculs[[#This Row],[Colonne1]],Controle_des_données!$B$7:$H$14,7,FALSE),"")</f>
        <v/>
      </c>
      <c r="V1530">
        <f ca="1">IFERROR(Tab_Calculs[[#This Row],[Cout_mois]]/Tab_Calculs[[#This Row],[Conso_mois_kWh]],0)</f>
        <v>0</v>
      </c>
      <c r="W1530" t="str">
        <f>T(VLOOKUP(Tab_Calculs[[#This Row],[Compteur]],Site!$B$33:$G$40,3,FALSE))</f>
        <v/>
      </c>
      <c r="X1530" t="str">
        <f>T(VLOOKUP(Tab_Calculs[[#This Row],[Compteur]],Site!$B$33:$G$40,4,FALSE))</f>
        <v/>
      </c>
      <c r="Y1530" t="str">
        <f>T(VLOOKUP(Tab_Calculs[[#This Row],[Compteur]],Site!$B$33:$G$40,5,FALSE))</f>
        <v/>
      </c>
      <c r="Z1530" t="str">
        <f>T(VLOOKUP(Tab_Calculs[[#This Row],[Compteur]],Site!$B$33:$G$40,6,FALSE))</f>
        <v/>
      </c>
      <c r="AA1530">
        <f>IFERROR(GETPIVOTDATA("DJU(chauffagiste)",BDD_DJU!$P$13,"annee",Tab_Calculs[[#This Row],[ANNEE]],"mois_numero",Tab_Calculs[[#This Row],[MOIS]]),0)</f>
        <v>0</v>
      </c>
    </row>
    <row r="1531" spans="1:27" x14ac:dyDescent="0.25">
      <c r="A1531" s="3">
        <f>DATE(Tab_Calculs[[#This Row],[ANNEE]],Tab_Calculs[[#This Row],[MOIS]],1)</f>
        <v>45597</v>
      </c>
      <c r="B1531" s="3">
        <f>EDATE(Tab_Calculs[[#This Row],[Début mois]],1)-1</f>
        <v>45626</v>
      </c>
      <c r="C1531">
        <f t="shared" si="52"/>
        <v>11</v>
      </c>
      <c r="D1531">
        <f t="shared" si="54"/>
        <v>2024</v>
      </c>
      <c r="E1531" t="s">
        <v>87</v>
      </c>
      <c r="F1531" t="str">
        <f>SUBSTITUTE(Tab_Calculs[[#This Row],[Compteur]]," ","_")</f>
        <v>Compteur_8</v>
      </c>
      <c r="G1531" t="str">
        <f>T(INDEX(Site!$B$33:$G$40, MATCH(Tab_Calculs[[#This Row],[Compteur]], Site!$B$33:$B$40,0),2))</f>
        <v/>
      </c>
      <c r="H1531" s="3">
        <f t="array" aca="1" ref="H1531" ca="1">MIN(IF(INDIRECT(CONCATENATE(Tab_Calculs[[#This Row],[Colonne1]],"!$B$2:$B$243"))&gt;=Calculs_Consos!$A1531,INDIRECT(CONCATENATE(Tab_Calculs[[#This Row],[Colonne1]],"!$B$2:$B$243"))))</f>
        <v>0</v>
      </c>
      <c r="I1531" s="3">
        <f ca="1">INDEX(INDIRECT(CONCATENATE("Tab_",Tab_Calculs[[#This Row],[Colonne1]])),Tab_Calculs[[#This Row],[index_date_livraison]],1)</f>
        <v>0</v>
      </c>
      <c r="J1531">
        <f ca="1">MATCH(Tab_Calculs[[#This Row],[Date_livraison]],INDIRECT(CONCATENATE("Tab_",Tab_Calculs[[#This Row],[Colonne1]],"[Fin de période]")),0)</f>
        <v>1</v>
      </c>
      <c r="K1531" t="e">
        <f ca="1">INDEX(INDIRECT(CONCATENATE("Tab_",Tab_Calculs[[#This Row],[Colonne1]])),Tab_Calculs[[#This Row],[index_date_livraison]]-1,6)*(MAX(Tab_Calculs[[#This Row],[Début periode livraison]],Tab_Calculs[[#This Row],[Début mois]])-Tab_Calculs[[#This Row],[Début mois]])</f>
        <v>#VALUE!</v>
      </c>
      <c r="L1531" s="94">
        <f ca="1">INDEX(INDIRECT(CONCATENATE("Tab_",Tab_Calculs[[#This Row],[Colonne1]])),Tab_Calculs[[#This Row],[index_date_livraison]],6)*(1+MIN(Tab_Calculs[[#This Row],[Date_livraison]],Tab_Calculs[[#This Row],[fin mois]])-MAX(Tab_Calculs[[#This Row],[Début mois]],Tab_Calculs[[#This Row],[Début periode livraison]]))</f>
        <v>0</v>
      </c>
      <c r="M1531" s="94" t="e">
        <f ca="1">INDEX(INDIRECT(CONCATENATE("Tab_",Tab_Calculs[[#This Row],[Colonne1]])),Tab_Calculs[[#This Row],[index_date_livraison]]+1,6)*(Tab_Calculs[[#This Row],[fin mois]]-MIN(Tab_Calculs[[#This Row],[fin mois]],Tab_Calculs[[#This Row],[Date_livraison]]))</f>
        <v>#VALUE!</v>
      </c>
      <c r="N1531" s="231" t="str">
        <f ca="1">IFERROR(Tab_Calculs[[#This Row],[Ratio_jour_après_livr]]+Tab_Calculs[[#This Row],[Ratio_jour_avant_livr]]+Tab_Calculs[[#This Row],[ratio_avant_debut]],"")</f>
        <v/>
      </c>
      <c r="O1531" t="e">
        <f ca="1">INDEX(INDIRECT(CONCATENATE("Tab_",Tab_Calculs[[#This Row],[Colonne1]])),Tab_Calculs[[#This Row],[index_date_livraison]]-1,7)*(MAX(Tab_Calculs[[#This Row],[Début periode livraison]],Tab_Calculs[[#This Row],[Début mois]])-Tab_Calculs[[#This Row],[Début mois]])</f>
        <v>#VALUE!</v>
      </c>
      <c r="P1531">
        <f ca="1">INDEX(INDIRECT(CONCATENATE("Tab_",Tab_Calculs[[#This Row],[Colonne1]])),Tab_Calculs[[#This Row],[index_date_livraison]],7)*(1+MIN(Tab_Calculs[[#This Row],[Date_livraison]],Tab_Calculs[[#This Row],[fin mois]])-MAX(Tab_Calculs[[#This Row],[Début mois]],Tab_Calculs[[#This Row],[Début periode livraison]]))</f>
        <v>0</v>
      </c>
      <c r="Q1531" t="e">
        <f ca="1">INDEX(INDIRECT(CONCATENATE("Tab_",Tab_Calculs[[#This Row],[Colonne1]])),Tab_Calculs[[#This Row],[index_date_livraison]]+1,7)*(Tab_Calculs[[#This Row],[fin mois]]-MIN(Tab_Calculs[[#This Row],[fin mois]],Tab_Calculs[[#This Row],[Date_livraison]]))</f>
        <v>#VALUE!</v>
      </c>
      <c r="R1531" t="e">
        <f ca="1">Tab_Calculs[[#This Row],[Ratio_Cout_après_livr]]+Tab_Calculs[[#This Row],[Ratio_Cout_avant_livr]]+Tab_Calculs[[#This Row],[Ratio_Cout_avant_debut]]</f>
        <v>#VALUE!</v>
      </c>
      <c r="S1531" t="str">
        <f ca="1">IFERROR(N1531*VLOOKUP(Tab_Calculs[[#This Row],[Colonne1]],Controle_des_données!$B$7:$G$14,6,FALSE),"")</f>
        <v/>
      </c>
      <c r="T1531" t="str">
        <f ca="1">IF(Tab_Calculs[[#This Row],[Combustible ]]="Electricité (kWh)",Tab_Calculs[[#This Row],[Conso_mois_kWh]]*2.3,Tab_Calculs[[#This Row],[Conso_mois_kWh]])</f>
        <v/>
      </c>
      <c r="U1531" t="str">
        <f ca="1">IFERROR(N1531*VLOOKUP(Tab_Calculs[[#This Row],[Colonne1]],Controle_des_données!$B$7:$H$14,7,FALSE),"")</f>
        <v/>
      </c>
      <c r="V1531">
        <f ca="1">IFERROR(Tab_Calculs[[#This Row],[Cout_mois]]/Tab_Calculs[[#This Row],[Conso_mois_kWh]],0)</f>
        <v>0</v>
      </c>
      <c r="W1531" t="str">
        <f>T(VLOOKUP(Tab_Calculs[[#This Row],[Compteur]],Site!$B$33:$G$40,3,FALSE))</f>
        <v/>
      </c>
      <c r="X1531" t="str">
        <f>T(VLOOKUP(Tab_Calculs[[#This Row],[Compteur]],Site!$B$33:$G$40,4,FALSE))</f>
        <v/>
      </c>
      <c r="Y1531" t="str">
        <f>T(VLOOKUP(Tab_Calculs[[#This Row],[Compteur]],Site!$B$33:$G$40,5,FALSE))</f>
        <v/>
      </c>
      <c r="Z1531" t="str">
        <f>T(VLOOKUP(Tab_Calculs[[#This Row],[Compteur]],Site!$B$33:$G$40,6,FALSE))</f>
        <v/>
      </c>
      <c r="AA1531">
        <f>IFERROR(GETPIVOTDATA("DJU(chauffagiste)",BDD_DJU!$P$13,"annee",Tab_Calculs[[#This Row],[ANNEE]],"mois_numero",Tab_Calculs[[#This Row],[MOIS]]),0)</f>
        <v>0</v>
      </c>
    </row>
    <row r="1532" spans="1:27" x14ac:dyDescent="0.25">
      <c r="A1532" s="3">
        <f>DATE(Tab_Calculs[[#This Row],[ANNEE]],Tab_Calculs[[#This Row],[MOIS]],1)</f>
        <v>45627</v>
      </c>
      <c r="B1532" s="3">
        <f>EDATE(Tab_Calculs[[#This Row],[Début mois]],1)-1</f>
        <v>45657</v>
      </c>
      <c r="C1532">
        <f t="shared" si="52"/>
        <v>12</v>
      </c>
      <c r="D1532">
        <f>D1520+1</f>
        <v>2024</v>
      </c>
      <c r="E1532" t="s">
        <v>87</v>
      </c>
      <c r="F1532" t="str">
        <f>SUBSTITUTE(Tab_Calculs[[#This Row],[Compteur]]," ","_")</f>
        <v>Compteur_8</v>
      </c>
      <c r="G1532" t="str">
        <f>T(INDEX(Site!$B$33:$G$40, MATCH(Tab_Calculs[[#This Row],[Compteur]], Site!$B$33:$B$40,0),2))</f>
        <v/>
      </c>
      <c r="H1532" s="3">
        <f t="array" aca="1" ref="H1532" ca="1">MIN(IF(INDIRECT(CONCATENATE(Tab_Calculs[[#This Row],[Colonne1]],"!$B$2:$B$243"))&gt;=Calculs_Consos!$A1532,INDIRECT(CONCATENATE(Tab_Calculs[[#This Row],[Colonne1]],"!$B$2:$B$243"))))</f>
        <v>0</v>
      </c>
      <c r="I1532" s="3">
        <f ca="1">INDEX(INDIRECT(CONCATENATE("Tab_",Tab_Calculs[[#This Row],[Colonne1]])),Tab_Calculs[[#This Row],[index_date_livraison]],1)</f>
        <v>0</v>
      </c>
      <c r="J1532">
        <f ca="1">MATCH(Tab_Calculs[[#This Row],[Date_livraison]],INDIRECT(CONCATENATE("Tab_",Tab_Calculs[[#This Row],[Colonne1]],"[Fin de période]")),0)</f>
        <v>1</v>
      </c>
      <c r="K1532" t="e">
        <f ca="1">INDEX(INDIRECT(CONCATENATE("Tab_",Tab_Calculs[[#This Row],[Colonne1]])),Tab_Calculs[[#This Row],[index_date_livraison]]-1,6)*(MAX(Tab_Calculs[[#This Row],[Début periode livraison]],Tab_Calculs[[#This Row],[Début mois]])-Tab_Calculs[[#This Row],[Début mois]])</f>
        <v>#VALUE!</v>
      </c>
      <c r="L1532" s="94">
        <f ca="1">INDEX(INDIRECT(CONCATENATE("Tab_",Tab_Calculs[[#This Row],[Colonne1]])),Tab_Calculs[[#This Row],[index_date_livraison]],6)*(1+MIN(Tab_Calculs[[#This Row],[Date_livraison]],Tab_Calculs[[#This Row],[fin mois]])-MAX(Tab_Calculs[[#This Row],[Début mois]],Tab_Calculs[[#This Row],[Début periode livraison]]))</f>
        <v>0</v>
      </c>
      <c r="M1532" s="94" t="e">
        <f ca="1">INDEX(INDIRECT(CONCATENATE("Tab_",Tab_Calculs[[#This Row],[Colonne1]])),Tab_Calculs[[#This Row],[index_date_livraison]]+1,6)*(Tab_Calculs[[#This Row],[fin mois]]-MIN(Tab_Calculs[[#This Row],[fin mois]],Tab_Calculs[[#This Row],[Date_livraison]]))</f>
        <v>#VALUE!</v>
      </c>
      <c r="N1532" s="231" t="str">
        <f ca="1">IFERROR(Tab_Calculs[[#This Row],[Ratio_jour_après_livr]]+Tab_Calculs[[#This Row],[Ratio_jour_avant_livr]]+Tab_Calculs[[#This Row],[ratio_avant_debut]],"")</f>
        <v/>
      </c>
      <c r="O1532" t="e">
        <f ca="1">INDEX(INDIRECT(CONCATENATE("Tab_",Tab_Calculs[[#This Row],[Colonne1]])),Tab_Calculs[[#This Row],[index_date_livraison]]-1,7)*(MAX(Tab_Calculs[[#This Row],[Début periode livraison]],Tab_Calculs[[#This Row],[Début mois]])-Tab_Calculs[[#This Row],[Début mois]])</f>
        <v>#VALUE!</v>
      </c>
      <c r="P1532">
        <f ca="1">INDEX(INDIRECT(CONCATENATE("Tab_",Tab_Calculs[[#This Row],[Colonne1]])),Tab_Calculs[[#This Row],[index_date_livraison]],7)*(1+MIN(Tab_Calculs[[#This Row],[Date_livraison]],Tab_Calculs[[#This Row],[fin mois]])-MAX(Tab_Calculs[[#This Row],[Début mois]],Tab_Calculs[[#This Row],[Début periode livraison]]))</f>
        <v>0</v>
      </c>
      <c r="Q1532" t="e">
        <f ca="1">INDEX(INDIRECT(CONCATENATE("Tab_",Tab_Calculs[[#This Row],[Colonne1]])),Tab_Calculs[[#This Row],[index_date_livraison]]+1,7)*(Tab_Calculs[[#This Row],[fin mois]]-MIN(Tab_Calculs[[#This Row],[fin mois]],Tab_Calculs[[#This Row],[Date_livraison]]))</f>
        <v>#VALUE!</v>
      </c>
      <c r="R1532" t="e">
        <f ca="1">Tab_Calculs[[#This Row],[Ratio_Cout_après_livr]]+Tab_Calculs[[#This Row],[Ratio_Cout_avant_livr]]+Tab_Calculs[[#This Row],[Ratio_Cout_avant_debut]]</f>
        <v>#VALUE!</v>
      </c>
      <c r="S1532" t="str">
        <f ca="1">IFERROR(N1532*VLOOKUP(Tab_Calculs[[#This Row],[Colonne1]],Controle_des_données!$B$7:$G$14,6,FALSE),"")</f>
        <v/>
      </c>
      <c r="T1532" t="str">
        <f ca="1">IF(Tab_Calculs[[#This Row],[Combustible ]]="Electricité (kWh)",Tab_Calculs[[#This Row],[Conso_mois_kWh]]*2.3,Tab_Calculs[[#This Row],[Conso_mois_kWh]])</f>
        <v/>
      </c>
      <c r="U1532" t="str">
        <f ca="1">IFERROR(N1532*VLOOKUP(Tab_Calculs[[#This Row],[Colonne1]],Controle_des_données!$B$7:$H$14,7,FALSE),"")</f>
        <v/>
      </c>
      <c r="V1532">
        <f ca="1">IFERROR(Tab_Calculs[[#This Row],[Cout_mois]]/Tab_Calculs[[#This Row],[Conso_mois_kWh]],0)</f>
        <v>0</v>
      </c>
      <c r="W1532" t="str">
        <f>T(VLOOKUP(Tab_Calculs[[#This Row],[Compteur]],Site!$B$33:$G$40,3,FALSE))</f>
        <v/>
      </c>
      <c r="X1532" t="str">
        <f>T(VLOOKUP(Tab_Calculs[[#This Row],[Compteur]],Site!$B$33:$G$40,4,FALSE))</f>
        <v/>
      </c>
      <c r="Y1532" t="str">
        <f>T(VLOOKUP(Tab_Calculs[[#This Row],[Compteur]],Site!$B$33:$G$40,5,FALSE))</f>
        <v/>
      </c>
      <c r="Z1532" t="str">
        <f>T(VLOOKUP(Tab_Calculs[[#This Row],[Compteur]],Site!$B$33:$G$40,6,FALSE))</f>
        <v/>
      </c>
      <c r="AA1532">
        <f>IFERROR(GETPIVOTDATA("DJU(chauffagiste)",BDD_DJU!$P$13,"annee",Tab_Calculs[[#This Row],[ANNEE]],"mois_numero",Tab_Calculs[[#This Row],[MOIS]]),0)</f>
        <v>0</v>
      </c>
    </row>
    <row r="1533" spans="1:27" x14ac:dyDescent="0.25">
      <c r="A1533" s="3">
        <f>DATE(Tab_Calculs[[#This Row],[ANNEE]],Tab_Calculs[[#This Row],[MOIS]],1)</f>
        <v>45658</v>
      </c>
      <c r="B1533" s="3">
        <f>EDATE(Tab_Calculs[[#This Row],[Début mois]],1)-1</f>
        <v>45688</v>
      </c>
      <c r="C1533">
        <f t="shared" si="52"/>
        <v>1</v>
      </c>
      <c r="D1533">
        <f t="shared" ref="D1533:D1544" si="55">D1521+1</f>
        <v>2025</v>
      </c>
      <c r="E1533" t="s">
        <v>87</v>
      </c>
      <c r="F1533" t="str">
        <f>SUBSTITUTE(Tab_Calculs[[#This Row],[Compteur]]," ","_")</f>
        <v>Compteur_8</v>
      </c>
      <c r="G1533" t="str">
        <f>T(INDEX(Site!$B$33:$G$40, MATCH(Tab_Calculs[[#This Row],[Compteur]], Site!$B$33:$B$40,0),2))</f>
        <v/>
      </c>
      <c r="H1533" s="3">
        <f t="array" aca="1" ref="H1533" ca="1">MIN(IF(INDIRECT(CONCATENATE(Tab_Calculs[[#This Row],[Colonne1]],"!$B$2:$B$243"))&gt;=Calculs_Consos!$A1533,INDIRECT(CONCATENATE(Tab_Calculs[[#This Row],[Colonne1]],"!$B$2:$B$243"))))</f>
        <v>0</v>
      </c>
      <c r="I1533" s="3">
        <f ca="1">INDEX(INDIRECT(CONCATENATE("Tab_",Tab_Calculs[[#This Row],[Colonne1]])),Tab_Calculs[[#This Row],[index_date_livraison]],1)</f>
        <v>0</v>
      </c>
      <c r="J1533">
        <f ca="1">MATCH(Tab_Calculs[[#This Row],[Date_livraison]],INDIRECT(CONCATENATE("Tab_",Tab_Calculs[[#This Row],[Colonne1]],"[Fin de période]")),0)</f>
        <v>1</v>
      </c>
      <c r="K1533" t="e">
        <f ca="1">INDEX(INDIRECT(CONCATENATE("Tab_",Tab_Calculs[[#This Row],[Colonne1]])),Tab_Calculs[[#This Row],[index_date_livraison]]-1,6)*(MAX(Tab_Calculs[[#This Row],[Début periode livraison]],Tab_Calculs[[#This Row],[Début mois]])-Tab_Calculs[[#This Row],[Début mois]])</f>
        <v>#VALUE!</v>
      </c>
      <c r="L1533" s="94">
        <f ca="1">INDEX(INDIRECT(CONCATENATE("Tab_",Tab_Calculs[[#This Row],[Colonne1]])),Tab_Calculs[[#This Row],[index_date_livraison]],6)*(1+MIN(Tab_Calculs[[#This Row],[Date_livraison]],Tab_Calculs[[#This Row],[fin mois]])-MAX(Tab_Calculs[[#This Row],[Début mois]],Tab_Calculs[[#This Row],[Début periode livraison]]))</f>
        <v>0</v>
      </c>
      <c r="M1533" s="94" t="e">
        <f ca="1">INDEX(INDIRECT(CONCATENATE("Tab_",Tab_Calculs[[#This Row],[Colonne1]])),Tab_Calculs[[#This Row],[index_date_livraison]]+1,6)*(Tab_Calculs[[#This Row],[fin mois]]-MIN(Tab_Calculs[[#This Row],[fin mois]],Tab_Calculs[[#This Row],[Date_livraison]]))</f>
        <v>#VALUE!</v>
      </c>
      <c r="N1533" s="231" t="str">
        <f ca="1">IFERROR(Tab_Calculs[[#This Row],[Ratio_jour_après_livr]]+Tab_Calculs[[#This Row],[Ratio_jour_avant_livr]]+Tab_Calculs[[#This Row],[ratio_avant_debut]],"")</f>
        <v/>
      </c>
      <c r="O1533" t="e">
        <f ca="1">INDEX(INDIRECT(CONCATENATE("Tab_",Tab_Calculs[[#This Row],[Colonne1]])),Tab_Calculs[[#This Row],[index_date_livraison]]-1,7)*(MAX(Tab_Calculs[[#This Row],[Début periode livraison]],Tab_Calculs[[#This Row],[Début mois]])-Tab_Calculs[[#This Row],[Début mois]])</f>
        <v>#VALUE!</v>
      </c>
      <c r="P1533">
        <f ca="1">INDEX(INDIRECT(CONCATENATE("Tab_",Tab_Calculs[[#This Row],[Colonne1]])),Tab_Calculs[[#This Row],[index_date_livraison]],7)*(1+MIN(Tab_Calculs[[#This Row],[Date_livraison]],Tab_Calculs[[#This Row],[fin mois]])-MAX(Tab_Calculs[[#This Row],[Début mois]],Tab_Calculs[[#This Row],[Début periode livraison]]))</f>
        <v>0</v>
      </c>
      <c r="Q1533" t="e">
        <f ca="1">INDEX(INDIRECT(CONCATENATE("Tab_",Tab_Calculs[[#This Row],[Colonne1]])),Tab_Calculs[[#This Row],[index_date_livraison]]+1,7)*(Tab_Calculs[[#This Row],[fin mois]]-MIN(Tab_Calculs[[#This Row],[fin mois]],Tab_Calculs[[#This Row],[Date_livraison]]))</f>
        <v>#VALUE!</v>
      </c>
      <c r="R1533" t="e">
        <f ca="1">Tab_Calculs[[#This Row],[Ratio_Cout_après_livr]]+Tab_Calculs[[#This Row],[Ratio_Cout_avant_livr]]+Tab_Calculs[[#This Row],[Ratio_Cout_avant_debut]]</f>
        <v>#VALUE!</v>
      </c>
      <c r="S1533" t="str">
        <f ca="1">IFERROR(N1533*VLOOKUP(Tab_Calculs[[#This Row],[Colonne1]],Controle_des_données!$B$7:$G$14,6,FALSE),"")</f>
        <v/>
      </c>
      <c r="T1533" t="str">
        <f ca="1">IF(Tab_Calculs[[#This Row],[Combustible ]]="Electricité (kWh)",Tab_Calculs[[#This Row],[Conso_mois_kWh]]*2.3,Tab_Calculs[[#This Row],[Conso_mois_kWh]])</f>
        <v/>
      </c>
      <c r="U1533" t="str">
        <f ca="1">IFERROR(N1533*VLOOKUP(Tab_Calculs[[#This Row],[Colonne1]],Controle_des_données!$B$7:$H$14,7,FALSE),"")</f>
        <v/>
      </c>
      <c r="V1533">
        <f ca="1">IFERROR(Tab_Calculs[[#This Row],[Cout_mois]]/Tab_Calculs[[#This Row],[Conso_mois_kWh]],0)</f>
        <v>0</v>
      </c>
      <c r="W1533" t="str">
        <f>T(VLOOKUP(Tab_Calculs[[#This Row],[Compteur]],Site!$B$33:$G$40,3,FALSE))</f>
        <v/>
      </c>
      <c r="X1533" t="str">
        <f>T(VLOOKUP(Tab_Calculs[[#This Row],[Compteur]],Site!$B$33:$G$40,4,FALSE))</f>
        <v/>
      </c>
      <c r="Y1533" t="str">
        <f>T(VLOOKUP(Tab_Calculs[[#This Row],[Compteur]],Site!$B$33:$G$40,5,FALSE))</f>
        <v/>
      </c>
      <c r="Z1533" t="str">
        <f>T(VLOOKUP(Tab_Calculs[[#This Row],[Compteur]],Site!$B$33:$G$40,6,FALSE))</f>
        <v/>
      </c>
      <c r="AA1533">
        <f>IFERROR(GETPIVOTDATA("DJU(chauffagiste)",BDD_DJU!$P$13,"annee",Tab_Calculs[[#This Row],[ANNEE]],"mois_numero",Tab_Calculs[[#This Row],[MOIS]]),0)</f>
        <v>0</v>
      </c>
    </row>
    <row r="1534" spans="1:27" x14ac:dyDescent="0.25">
      <c r="A1534" s="3">
        <f>DATE(Tab_Calculs[[#This Row],[ANNEE]],Tab_Calculs[[#This Row],[MOIS]],1)</f>
        <v>45689</v>
      </c>
      <c r="B1534" s="3">
        <f>EDATE(Tab_Calculs[[#This Row],[Début mois]],1)-1</f>
        <v>45716</v>
      </c>
      <c r="C1534">
        <f t="shared" si="52"/>
        <v>2</v>
      </c>
      <c r="D1534">
        <f t="shared" si="55"/>
        <v>2025</v>
      </c>
      <c r="E1534" t="s">
        <v>87</v>
      </c>
      <c r="F1534" t="str">
        <f>SUBSTITUTE(Tab_Calculs[[#This Row],[Compteur]]," ","_")</f>
        <v>Compteur_8</v>
      </c>
      <c r="G1534" t="str">
        <f>T(INDEX(Site!$B$33:$G$40, MATCH(Tab_Calculs[[#This Row],[Compteur]], Site!$B$33:$B$40,0),2))</f>
        <v/>
      </c>
      <c r="H1534" s="3">
        <f t="array" aca="1" ref="H1534" ca="1">MIN(IF(INDIRECT(CONCATENATE(Tab_Calculs[[#This Row],[Colonne1]],"!$B$2:$B$243"))&gt;=Calculs_Consos!$A1534,INDIRECT(CONCATENATE(Tab_Calculs[[#This Row],[Colonne1]],"!$B$2:$B$243"))))</f>
        <v>0</v>
      </c>
      <c r="I1534" s="3">
        <f ca="1">INDEX(INDIRECT(CONCATENATE("Tab_",Tab_Calculs[[#This Row],[Colonne1]])),Tab_Calculs[[#This Row],[index_date_livraison]],1)</f>
        <v>0</v>
      </c>
      <c r="J1534">
        <f ca="1">MATCH(Tab_Calculs[[#This Row],[Date_livraison]],INDIRECT(CONCATENATE("Tab_",Tab_Calculs[[#This Row],[Colonne1]],"[Fin de période]")),0)</f>
        <v>1</v>
      </c>
      <c r="K1534" t="e">
        <f ca="1">INDEX(INDIRECT(CONCATENATE("Tab_",Tab_Calculs[[#This Row],[Colonne1]])),Tab_Calculs[[#This Row],[index_date_livraison]]-1,6)*(MAX(Tab_Calculs[[#This Row],[Début periode livraison]],Tab_Calculs[[#This Row],[Début mois]])-Tab_Calculs[[#This Row],[Début mois]])</f>
        <v>#VALUE!</v>
      </c>
      <c r="L1534" s="94">
        <f ca="1">INDEX(INDIRECT(CONCATENATE("Tab_",Tab_Calculs[[#This Row],[Colonne1]])),Tab_Calculs[[#This Row],[index_date_livraison]],6)*(1+MIN(Tab_Calculs[[#This Row],[Date_livraison]],Tab_Calculs[[#This Row],[fin mois]])-MAX(Tab_Calculs[[#This Row],[Début mois]],Tab_Calculs[[#This Row],[Début periode livraison]]))</f>
        <v>0</v>
      </c>
      <c r="M1534" s="94" t="e">
        <f ca="1">INDEX(INDIRECT(CONCATENATE("Tab_",Tab_Calculs[[#This Row],[Colonne1]])),Tab_Calculs[[#This Row],[index_date_livraison]]+1,6)*(Tab_Calculs[[#This Row],[fin mois]]-MIN(Tab_Calculs[[#This Row],[fin mois]],Tab_Calculs[[#This Row],[Date_livraison]]))</f>
        <v>#VALUE!</v>
      </c>
      <c r="N1534" s="231" t="str">
        <f ca="1">IFERROR(Tab_Calculs[[#This Row],[Ratio_jour_après_livr]]+Tab_Calculs[[#This Row],[Ratio_jour_avant_livr]]+Tab_Calculs[[#This Row],[ratio_avant_debut]],"")</f>
        <v/>
      </c>
      <c r="O1534" t="e">
        <f ca="1">INDEX(INDIRECT(CONCATENATE("Tab_",Tab_Calculs[[#This Row],[Colonne1]])),Tab_Calculs[[#This Row],[index_date_livraison]]-1,7)*(MAX(Tab_Calculs[[#This Row],[Début periode livraison]],Tab_Calculs[[#This Row],[Début mois]])-Tab_Calculs[[#This Row],[Début mois]])</f>
        <v>#VALUE!</v>
      </c>
      <c r="P1534">
        <f ca="1">INDEX(INDIRECT(CONCATENATE("Tab_",Tab_Calculs[[#This Row],[Colonne1]])),Tab_Calculs[[#This Row],[index_date_livraison]],7)*(1+MIN(Tab_Calculs[[#This Row],[Date_livraison]],Tab_Calculs[[#This Row],[fin mois]])-MAX(Tab_Calculs[[#This Row],[Début mois]],Tab_Calculs[[#This Row],[Début periode livraison]]))</f>
        <v>0</v>
      </c>
      <c r="Q1534" t="e">
        <f ca="1">INDEX(INDIRECT(CONCATENATE("Tab_",Tab_Calculs[[#This Row],[Colonne1]])),Tab_Calculs[[#This Row],[index_date_livraison]]+1,7)*(Tab_Calculs[[#This Row],[fin mois]]-MIN(Tab_Calculs[[#This Row],[fin mois]],Tab_Calculs[[#This Row],[Date_livraison]]))</f>
        <v>#VALUE!</v>
      </c>
      <c r="R1534" t="e">
        <f ca="1">Tab_Calculs[[#This Row],[Ratio_Cout_après_livr]]+Tab_Calculs[[#This Row],[Ratio_Cout_avant_livr]]+Tab_Calculs[[#This Row],[Ratio_Cout_avant_debut]]</f>
        <v>#VALUE!</v>
      </c>
      <c r="S1534" t="str">
        <f ca="1">IFERROR(N1534*VLOOKUP(Tab_Calculs[[#This Row],[Colonne1]],Controle_des_données!$B$7:$G$14,6,FALSE),"")</f>
        <v/>
      </c>
      <c r="T1534" t="str">
        <f ca="1">IF(Tab_Calculs[[#This Row],[Combustible ]]="Electricité (kWh)",Tab_Calculs[[#This Row],[Conso_mois_kWh]]*2.3,Tab_Calculs[[#This Row],[Conso_mois_kWh]])</f>
        <v/>
      </c>
      <c r="U1534" t="str">
        <f ca="1">IFERROR(N1534*VLOOKUP(Tab_Calculs[[#This Row],[Colonne1]],Controle_des_données!$B$7:$H$14,7,FALSE),"")</f>
        <v/>
      </c>
      <c r="V1534">
        <f ca="1">IFERROR(Tab_Calculs[[#This Row],[Cout_mois]]/Tab_Calculs[[#This Row],[Conso_mois_kWh]],0)</f>
        <v>0</v>
      </c>
      <c r="W1534" t="str">
        <f>T(VLOOKUP(Tab_Calculs[[#This Row],[Compteur]],Site!$B$33:$G$40,3,FALSE))</f>
        <v/>
      </c>
      <c r="X1534" t="str">
        <f>T(VLOOKUP(Tab_Calculs[[#This Row],[Compteur]],Site!$B$33:$G$40,4,FALSE))</f>
        <v/>
      </c>
      <c r="Y1534" t="str">
        <f>T(VLOOKUP(Tab_Calculs[[#This Row],[Compteur]],Site!$B$33:$G$40,5,FALSE))</f>
        <v/>
      </c>
      <c r="Z1534" t="str">
        <f>T(VLOOKUP(Tab_Calculs[[#This Row],[Compteur]],Site!$B$33:$G$40,6,FALSE))</f>
        <v/>
      </c>
      <c r="AA1534">
        <f>IFERROR(GETPIVOTDATA("DJU(chauffagiste)",BDD_DJU!$P$13,"annee",Tab_Calculs[[#This Row],[ANNEE]],"mois_numero",Tab_Calculs[[#This Row],[MOIS]]),0)</f>
        <v>0</v>
      </c>
    </row>
    <row r="1535" spans="1:27" x14ac:dyDescent="0.25">
      <c r="A1535" s="3">
        <f>DATE(Tab_Calculs[[#This Row],[ANNEE]],Tab_Calculs[[#This Row],[MOIS]],1)</f>
        <v>45717</v>
      </c>
      <c r="B1535" s="3">
        <f>EDATE(Tab_Calculs[[#This Row],[Début mois]],1)-1</f>
        <v>45747</v>
      </c>
      <c r="C1535">
        <f t="shared" si="52"/>
        <v>3</v>
      </c>
      <c r="D1535">
        <f t="shared" si="55"/>
        <v>2025</v>
      </c>
      <c r="E1535" t="s">
        <v>87</v>
      </c>
      <c r="F1535" t="str">
        <f>SUBSTITUTE(Tab_Calculs[[#This Row],[Compteur]]," ","_")</f>
        <v>Compteur_8</v>
      </c>
      <c r="G1535" t="str">
        <f>T(INDEX(Site!$B$33:$G$40, MATCH(Tab_Calculs[[#This Row],[Compteur]], Site!$B$33:$B$40,0),2))</f>
        <v/>
      </c>
      <c r="H1535" s="3">
        <f t="array" aca="1" ref="H1535" ca="1">MIN(IF(INDIRECT(CONCATENATE(Tab_Calculs[[#This Row],[Colonne1]],"!$B$2:$B$243"))&gt;=Calculs_Consos!$A1535,INDIRECT(CONCATENATE(Tab_Calculs[[#This Row],[Colonne1]],"!$B$2:$B$243"))))</f>
        <v>0</v>
      </c>
      <c r="I1535" s="3">
        <f ca="1">INDEX(INDIRECT(CONCATENATE("Tab_",Tab_Calculs[[#This Row],[Colonne1]])),Tab_Calculs[[#This Row],[index_date_livraison]],1)</f>
        <v>0</v>
      </c>
      <c r="J1535">
        <f ca="1">MATCH(Tab_Calculs[[#This Row],[Date_livraison]],INDIRECT(CONCATENATE("Tab_",Tab_Calculs[[#This Row],[Colonne1]],"[Fin de période]")),0)</f>
        <v>1</v>
      </c>
      <c r="K1535" t="e">
        <f ca="1">INDEX(INDIRECT(CONCATENATE("Tab_",Tab_Calculs[[#This Row],[Colonne1]])),Tab_Calculs[[#This Row],[index_date_livraison]]-1,6)*(MAX(Tab_Calculs[[#This Row],[Début periode livraison]],Tab_Calculs[[#This Row],[Début mois]])-Tab_Calculs[[#This Row],[Début mois]])</f>
        <v>#VALUE!</v>
      </c>
      <c r="L1535" s="94">
        <f ca="1">INDEX(INDIRECT(CONCATENATE("Tab_",Tab_Calculs[[#This Row],[Colonne1]])),Tab_Calculs[[#This Row],[index_date_livraison]],6)*(1+MIN(Tab_Calculs[[#This Row],[Date_livraison]],Tab_Calculs[[#This Row],[fin mois]])-MAX(Tab_Calculs[[#This Row],[Début mois]],Tab_Calculs[[#This Row],[Début periode livraison]]))</f>
        <v>0</v>
      </c>
      <c r="M1535" s="94" t="e">
        <f ca="1">INDEX(INDIRECT(CONCATENATE("Tab_",Tab_Calculs[[#This Row],[Colonne1]])),Tab_Calculs[[#This Row],[index_date_livraison]]+1,6)*(Tab_Calculs[[#This Row],[fin mois]]-MIN(Tab_Calculs[[#This Row],[fin mois]],Tab_Calculs[[#This Row],[Date_livraison]]))</f>
        <v>#VALUE!</v>
      </c>
      <c r="N1535" s="231" t="str">
        <f ca="1">IFERROR(Tab_Calculs[[#This Row],[Ratio_jour_après_livr]]+Tab_Calculs[[#This Row],[Ratio_jour_avant_livr]]+Tab_Calculs[[#This Row],[ratio_avant_debut]],"")</f>
        <v/>
      </c>
      <c r="O1535" t="e">
        <f ca="1">INDEX(INDIRECT(CONCATENATE("Tab_",Tab_Calculs[[#This Row],[Colonne1]])),Tab_Calculs[[#This Row],[index_date_livraison]]-1,7)*(MAX(Tab_Calculs[[#This Row],[Début periode livraison]],Tab_Calculs[[#This Row],[Début mois]])-Tab_Calculs[[#This Row],[Début mois]])</f>
        <v>#VALUE!</v>
      </c>
      <c r="P1535">
        <f ca="1">INDEX(INDIRECT(CONCATENATE("Tab_",Tab_Calculs[[#This Row],[Colonne1]])),Tab_Calculs[[#This Row],[index_date_livraison]],7)*(1+MIN(Tab_Calculs[[#This Row],[Date_livraison]],Tab_Calculs[[#This Row],[fin mois]])-MAX(Tab_Calculs[[#This Row],[Début mois]],Tab_Calculs[[#This Row],[Début periode livraison]]))</f>
        <v>0</v>
      </c>
      <c r="Q1535" t="e">
        <f ca="1">INDEX(INDIRECT(CONCATENATE("Tab_",Tab_Calculs[[#This Row],[Colonne1]])),Tab_Calculs[[#This Row],[index_date_livraison]]+1,7)*(Tab_Calculs[[#This Row],[fin mois]]-MIN(Tab_Calculs[[#This Row],[fin mois]],Tab_Calculs[[#This Row],[Date_livraison]]))</f>
        <v>#VALUE!</v>
      </c>
      <c r="R1535" t="e">
        <f ca="1">Tab_Calculs[[#This Row],[Ratio_Cout_après_livr]]+Tab_Calculs[[#This Row],[Ratio_Cout_avant_livr]]+Tab_Calculs[[#This Row],[Ratio_Cout_avant_debut]]</f>
        <v>#VALUE!</v>
      </c>
      <c r="S1535" t="str">
        <f ca="1">IFERROR(N1535*VLOOKUP(Tab_Calculs[[#This Row],[Colonne1]],Controle_des_données!$B$7:$G$14,6,FALSE),"")</f>
        <v/>
      </c>
      <c r="T1535" t="str">
        <f ca="1">IF(Tab_Calculs[[#This Row],[Combustible ]]="Electricité (kWh)",Tab_Calculs[[#This Row],[Conso_mois_kWh]]*2.3,Tab_Calculs[[#This Row],[Conso_mois_kWh]])</f>
        <v/>
      </c>
      <c r="U1535" t="str">
        <f ca="1">IFERROR(N1535*VLOOKUP(Tab_Calculs[[#This Row],[Colonne1]],Controle_des_données!$B$7:$H$14,7,FALSE),"")</f>
        <v/>
      </c>
      <c r="V1535">
        <f ca="1">IFERROR(Tab_Calculs[[#This Row],[Cout_mois]]/Tab_Calculs[[#This Row],[Conso_mois_kWh]],0)</f>
        <v>0</v>
      </c>
      <c r="W1535" t="str">
        <f>T(VLOOKUP(Tab_Calculs[[#This Row],[Compteur]],Site!$B$33:$G$40,3,FALSE))</f>
        <v/>
      </c>
      <c r="X1535" t="str">
        <f>T(VLOOKUP(Tab_Calculs[[#This Row],[Compteur]],Site!$B$33:$G$40,4,FALSE))</f>
        <v/>
      </c>
      <c r="Y1535" t="str">
        <f>T(VLOOKUP(Tab_Calculs[[#This Row],[Compteur]],Site!$B$33:$G$40,5,FALSE))</f>
        <v/>
      </c>
      <c r="Z1535" t="str">
        <f>T(VLOOKUP(Tab_Calculs[[#This Row],[Compteur]],Site!$B$33:$G$40,6,FALSE))</f>
        <v/>
      </c>
      <c r="AA1535">
        <f>IFERROR(GETPIVOTDATA("DJU(chauffagiste)",BDD_DJU!$P$13,"annee",Tab_Calculs[[#This Row],[ANNEE]],"mois_numero",Tab_Calculs[[#This Row],[MOIS]]),0)</f>
        <v>0</v>
      </c>
    </row>
    <row r="1536" spans="1:27" x14ac:dyDescent="0.25">
      <c r="A1536" s="3">
        <f>DATE(Tab_Calculs[[#This Row],[ANNEE]],Tab_Calculs[[#This Row],[MOIS]],1)</f>
        <v>45748</v>
      </c>
      <c r="B1536" s="3">
        <f>EDATE(Tab_Calculs[[#This Row],[Début mois]],1)-1</f>
        <v>45777</v>
      </c>
      <c r="C1536">
        <f t="shared" si="52"/>
        <v>4</v>
      </c>
      <c r="D1536">
        <f t="shared" si="55"/>
        <v>2025</v>
      </c>
      <c r="E1536" t="s">
        <v>87</v>
      </c>
      <c r="F1536" t="str">
        <f>SUBSTITUTE(Tab_Calculs[[#This Row],[Compteur]]," ","_")</f>
        <v>Compteur_8</v>
      </c>
      <c r="G1536" t="str">
        <f>T(INDEX(Site!$B$33:$G$40, MATCH(Tab_Calculs[[#This Row],[Compteur]], Site!$B$33:$B$40,0),2))</f>
        <v/>
      </c>
      <c r="H1536" s="3">
        <f t="array" aca="1" ref="H1536" ca="1">MIN(IF(INDIRECT(CONCATENATE(Tab_Calculs[[#This Row],[Colonne1]],"!$B$2:$B$243"))&gt;=Calculs_Consos!$A1536,INDIRECT(CONCATENATE(Tab_Calculs[[#This Row],[Colonne1]],"!$B$2:$B$243"))))</f>
        <v>0</v>
      </c>
      <c r="I1536" s="3">
        <f ca="1">INDEX(INDIRECT(CONCATENATE("Tab_",Tab_Calculs[[#This Row],[Colonne1]])),Tab_Calculs[[#This Row],[index_date_livraison]],1)</f>
        <v>0</v>
      </c>
      <c r="J1536">
        <f ca="1">MATCH(Tab_Calculs[[#This Row],[Date_livraison]],INDIRECT(CONCATENATE("Tab_",Tab_Calculs[[#This Row],[Colonne1]],"[Fin de période]")),0)</f>
        <v>1</v>
      </c>
      <c r="K1536" t="e">
        <f ca="1">INDEX(INDIRECT(CONCATENATE("Tab_",Tab_Calculs[[#This Row],[Colonne1]])),Tab_Calculs[[#This Row],[index_date_livraison]]-1,6)*(MAX(Tab_Calculs[[#This Row],[Début periode livraison]],Tab_Calculs[[#This Row],[Début mois]])-Tab_Calculs[[#This Row],[Début mois]])</f>
        <v>#VALUE!</v>
      </c>
      <c r="L1536" s="94">
        <f ca="1">INDEX(INDIRECT(CONCATENATE("Tab_",Tab_Calculs[[#This Row],[Colonne1]])),Tab_Calculs[[#This Row],[index_date_livraison]],6)*(1+MIN(Tab_Calculs[[#This Row],[Date_livraison]],Tab_Calculs[[#This Row],[fin mois]])-MAX(Tab_Calculs[[#This Row],[Début mois]],Tab_Calculs[[#This Row],[Début periode livraison]]))</f>
        <v>0</v>
      </c>
      <c r="M1536" s="94" t="e">
        <f ca="1">INDEX(INDIRECT(CONCATENATE("Tab_",Tab_Calculs[[#This Row],[Colonne1]])),Tab_Calculs[[#This Row],[index_date_livraison]]+1,6)*(Tab_Calculs[[#This Row],[fin mois]]-MIN(Tab_Calculs[[#This Row],[fin mois]],Tab_Calculs[[#This Row],[Date_livraison]]))</f>
        <v>#VALUE!</v>
      </c>
      <c r="N1536" s="231" t="str">
        <f ca="1">IFERROR(Tab_Calculs[[#This Row],[Ratio_jour_après_livr]]+Tab_Calculs[[#This Row],[Ratio_jour_avant_livr]]+Tab_Calculs[[#This Row],[ratio_avant_debut]],"")</f>
        <v/>
      </c>
      <c r="O1536" t="e">
        <f ca="1">INDEX(INDIRECT(CONCATENATE("Tab_",Tab_Calculs[[#This Row],[Colonne1]])),Tab_Calculs[[#This Row],[index_date_livraison]]-1,7)*(MAX(Tab_Calculs[[#This Row],[Début periode livraison]],Tab_Calculs[[#This Row],[Début mois]])-Tab_Calculs[[#This Row],[Début mois]])</f>
        <v>#VALUE!</v>
      </c>
      <c r="P1536">
        <f ca="1">INDEX(INDIRECT(CONCATENATE("Tab_",Tab_Calculs[[#This Row],[Colonne1]])),Tab_Calculs[[#This Row],[index_date_livraison]],7)*(1+MIN(Tab_Calculs[[#This Row],[Date_livraison]],Tab_Calculs[[#This Row],[fin mois]])-MAX(Tab_Calculs[[#This Row],[Début mois]],Tab_Calculs[[#This Row],[Début periode livraison]]))</f>
        <v>0</v>
      </c>
      <c r="Q1536" t="e">
        <f ca="1">INDEX(INDIRECT(CONCATENATE("Tab_",Tab_Calculs[[#This Row],[Colonne1]])),Tab_Calculs[[#This Row],[index_date_livraison]]+1,7)*(Tab_Calculs[[#This Row],[fin mois]]-MIN(Tab_Calculs[[#This Row],[fin mois]],Tab_Calculs[[#This Row],[Date_livraison]]))</f>
        <v>#VALUE!</v>
      </c>
      <c r="R1536" t="e">
        <f ca="1">Tab_Calculs[[#This Row],[Ratio_Cout_après_livr]]+Tab_Calculs[[#This Row],[Ratio_Cout_avant_livr]]+Tab_Calculs[[#This Row],[Ratio_Cout_avant_debut]]</f>
        <v>#VALUE!</v>
      </c>
      <c r="S1536" t="str">
        <f ca="1">IFERROR(N1536*VLOOKUP(Tab_Calculs[[#This Row],[Colonne1]],Controle_des_données!$B$7:$G$14,6,FALSE),"")</f>
        <v/>
      </c>
      <c r="T1536" t="str">
        <f ca="1">IF(Tab_Calculs[[#This Row],[Combustible ]]="Electricité (kWh)",Tab_Calculs[[#This Row],[Conso_mois_kWh]]*2.3,Tab_Calculs[[#This Row],[Conso_mois_kWh]])</f>
        <v/>
      </c>
      <c r="U1536" t="str">
        <f ca="1">IFERROR(N1536*VLOOKUP(Tab_Calculs[[#This Row],[Colonne1]],Controle_des_données!$B$7:$H$14,7,FALSE),"")</f>
        <v/>
      </c>
      <c r="V1536">
        <f ca="1">IFERROR(Tab_Calculs[[#This Row],[Cout_mois]]/Tab_Calculs[[#This Row],[Conso_mois_kWh]],0)</f>
        <v>0</v>
      </c>
      <c r="W1536" t="str">
        <f>T(VLOOKUP(Tab_Calculs[[#This Row],[Compteur]],Site!$B$33:$G$40,3,FALSE))</f>
        <v/>
      </c>
      <c r="X1536" t="str">
        <f>T(VLOOKUP(Tab_Calculs[[#This Row],[Compteur]],Site!$B$33:$G$40,4,FALSE))</f>
        <v/>
      </c>
      <c r="Y1536" t="str">
        <f>T(VLOOKUP(Tab_Calculs[[#This Row],[Compteur]],Site!$B$33:$G$40,5,FALSE))</f>
        <v/>
      </c>
      <c r="Z1536" t="str">
        <f>T(VLOOKUP(Tab_Calculs[[#This Row],[Compteur]],Site!$B$33:$G$40,6,FALSE))</f>
        <v/>
      </c>
      <c r="AA1536">
        <f>IFERROR(GETPIVOTDATA("DJU(chauffagiste)",BDD_DJU!$P$13,"annee",Tab_Calculs[[#This Row],[ANNEE]],"mois_numero",Tab_Calculs[[#This Row],[MOIS]]),0)</f>
        <v>0</v>
      </c>
    </row>
    <row r="1537" spans="1:27" x14ac:dyDescent="0.25">
      <c r="A1537" s="3">
        <f>DATE(Tab_Calculs[[#This Row],[ANNEE]],Tab_Calculs[[#This Row],[MOIS]],1)</f>
        <v>45778</v>
      </c>
      <c r="B1537" s="3">
        <f>EDATE(Tab_Calculs[[#This Row],[Début mois]],1)-1</f>
        <v>45808</v>
      </c>
      <c r="C1537">
        <f t="shared" si="52"/>
        <v>5</v>
      </c>
      <c r="D1537">
        <f t="shared" si="55"/>
        <v>2025</v>
      </c>
      <c r="E1537" t="s">
        <v>87</v>
      </c>
      <c r="F1537" t="str">
        <f>SUBSTITUTE(Tab_Calculs[[#This Row],[Compteur]]," ","_")</f>
        <v>Compteur_8</v>
      </c>
      <c r="G1537" t="str">
        <f>T(INDEX(Site!$B$33:$G$40, MATCH(Tab_Calculs[[#This Row],[Compteur]], Site!$B$33:$B$40,0),2))</f>
        <v/>
      </c>
      <c r="H1537" s="3">
        <f t="array" aca="1" ref="H1537" ca="1">MIN(IF(INDIRECT(CONCATENATE(Tab_Calculs[[#This Row],[Colonne1]],"!$B$2:$B$243"))&gt;=Calculs_Consos!$A1537,INDIRECT(CONCATENATE(Tab_Calculs[[#This Row],[Colonne1]],"!$B$2:$B$243"))))</f>
        <v>0</v>
      </c>
      <c r="I1537" s="3">
        <f ca="1">INDEX(INDIRECT(CONCATENATE("Tab_",Tab_Calculs[[#This Row],[Colonne1]])),Tab_Calculs[[#This Row],[index_date_livraison]],1)</f>
        <v>0</v>
      </c>
      <c r="J1537">
        <f ca="1">MATCH(Tab_Calculs[[#This Row],[Date_livraison]],INDIRECT(CONCATENATE("Tab_",Tab_Calculs[[#This Row],[Colonne1]],"[Fin de période]")),0)</f>
        <v>1</v>
      </c>
      <c r="K1537" t="e">
        <f ca="1">INDEX(INDIRECT(CONCATENATE("Tab_",Tab_Calculs[[#This Row],[Colonne1]])),Tab_Calculs[[#This Row],[index_date_livraison]]-1,6)*(MAX(Tab_Calculs[[#This Row],[Début periode livraison]],Tab_Calculs[[#This Row],[Début mois]])-Tab_Calculs[[#This Row],[Début mois]])</f>
        <v>#VALUE!</v>
      </c>
      <c r="L1537" s="94">
        <f ca="1">INDEX(INDIRECT(CONCATENATE("Tab_",Tab_Calculs[[#This Row],[Colonne1]])),Tab_Calculs[[#This Row],[index_date_livraison]],6)*(1+MIN(Tab_Calculs[[#This Row],[Date_livraison]],Tab_Calculs[[#This Row],[fin mois]])-MAX(Tab_Calculs[[#This Row],[Début mois]],Tab_Calculs[[#This Row],[Début periode livraison]]))</f>
        <v>0</v>
      </c>
      <c r="M1537" s="94" t="e">
        <f ca="1">INDEX(INDIRECT(CONCATENATE("Tab_",Tab_Calculs[[#This Row],[Colonne1]])),Tab_Calculs[[#This Row],[index_date_livraison]]+1,6)*(Tab_Calculs[[#This Row],[fin mois]]-MIN(Tab_Calculs[[#This Row],[fin mois]],Tab_Calculs[[#This Row],[Date_livraison]]))</f>
        <v>#VALUE!</v>
      </c>
      <c r="N1537" s="231" t="str">
        <f ca="1">IFERROR(Tab_Calculs[[#This Row],[Ratio_jour_après_livr]]+Tab_Calculs[[#This Row],[Ratio_jour_avant_livr]]+Tab_Calculs[[#This Row],[ratio_avant_debut]],"")</f>
        <v/>
      </c>
      <c r="O1537" t="e">
        <f ca="1">INDEX(INDIRECT(CONCATENATE("Tab_",Tab_Calculs[[#This Row],[Colonne1]])),Tab_Calculs[[#This Row],[index_date_livraison]]-1,7)*(MAX(Tab_Calculs[[#This Row],[Début periode livraison]],Tab_Calculs[[#This Row],[Début mois]])-Tab_Calculs[[#This Row],[Début mois]])</f>
        <v>#VALUE!</v>
      </c>
      <c r="P1537">
        <f ca="1">INDEX(INDIRECT(CONCATENATE("Tab_",Tab_Calculs[[#This Row],[Colonne1]])),Tab_Calculs[[#This Row],[index_date_livraison]],7)*(1+MIN(Tab_Calculs[[#This Row],[Date_livraison]],Tab_Calculs[[#This Row],[fin mois]])-MAX(Tab_Calculs[[#This Row],[Début mois]],Tab_Calculs[[#This Row],[Début periode livraison]]))</f>
        <v>0</v>
      </c>
      <c r="Q1537" t="e">
        <f ca="1">INDEX(INDIRECT(CONCATENATE("Tab_",Tab_Calculs[[#This Row],[Colonne1]])),Tab_Calculs[[#This Row],[index_date_livraison]]+1,7)*(Tab_Calculs[[#This Row],[fin mois]]-MIN(Tab_Calculs[[#This Row],[fin mois]],Tab_Calculs[[#This Row],[Date_livraison]]))</f>
        <v>#VALUE!</v>
      </c>
      <c r="R1537" t="e">
        <f ca="1">Tab_Calculs[[#This Row],[Ratio_Cout_après_livr]]+Tab_Calculs[[#This Row],[Ratio_Cout_avant_livr]]+Tab_Calculs[[#This Row],[Ratio_Cout_avant_debut]]</f>
        <v>#VALUE!</v>
      </c>
      <c r="S1537" t="str">
        <f ca="1">IFERROR(N1537*VLOOKUP(Tab_Calculs[[#This Row],[Colonne1]],Controle_des_données!$B$7:$G$14,6,FALSE),"")</f>
        <v/>
      </c>
      <c r="T1537" t="str">
        <f ca="1">IF(Tab_Calculs[[#This Row],[Combustible ]]="Electricité (kWh)",Tab_Calculs[[#This Row],[Conso_mois_kWh]]*2.3,Tab_Calculs[[#This Row],[Conso_mois_kWh]])</f>
        <v/>
      </c>
      <c r="U1537" t="str">
        <f ca="1">IFERROR(N1537*VLOOKUP(Tab_Calculs[[#This Row],[Colonne1]],Controle_des_données!$B$7:$H$14,7,FALSE),"")</f>
        <v/>
      </c>
      <c r="V1537">
        <f ca="1">IFERROR(Tab_Calculs[[#This Row],[Cout_mois]]/Tab_Calculs[[#This Row],[Conso_mois_kWh]],0)</f>
        <v>0</v>
      </c>
      <c r="W1537" t="str">
        <f>T(VLOOKUP(Tab_Calculs[[#This Row],[Compteur]],Site!$B$33:$G$40,3,FALSE))</f>
        <v/>
      </c>
      <c r="X1537" t="str">
        <f>T(VLOOKUP(Tab_Calculs[[#This Row],[Compteur]],Site!$B$33:$G$40,4,FALSE))</f>
        <v/>
      </c>
      <c r="Y1537" t="str">
        <f>T(VLOOKUP(Tab_Calculs[[#This Row],[Compteur]],Site!$B$33:$G$40,5,FALSE))</f>
        <v/>
      </c>
      <c r="Z1537" t="str">
        <f>T(VLOOKUP(Tab_Calculs[[#This Row],[Compteur]],Site!$B$33:$G$40,6,FALSE))</f>
        <v/>
      </c>
      <c r="AA1537">
        <f>IFERROR(GETPIVOTDATA("DJU(chauffagiste)",BDD_DJU!$P$13,"annee",Tab_Calculs[[#This Row],[ANNEE]],"mois_numero",Tab_Calculs[[#This Row],[MOIS]]),0)</f>
        <v>0</v>
      </c>
    </row>
    <row r="1538" spans="1:27" x14ac:dyDescent="0.25">
      <c r="A1538" s="3">
        <f>DATE(Tab_Calculs[[#This Row],[ANNEE]],Tab_Calculs[[#This Row],[MOIS]],1)</f>
        <v>45809</v>
      </c>
      <c r="B1538" s="3">
        <f>EDATE(Tab_Calculs[[#This Row],[Début mois]],1)-1</f>
        <v>45838</v>
      </c>
      <c r="C1538">
        <f t="shared" si="52"/>
        <v>6</v>
      </c>
      <c r="D1538">
        <f t="shared" si="55"/>
        <v>2025</v>
      </c>
      <c r="E1538" t="s">
        <v>87</v>
      </c>
      <c r="F1538" t="str">
        <f>SUBSTITUTE(Tab_Calculs[[#This Row],[Compteur]]," ","_")</f>
        <v>Compteur_8</v>
      </c>
      <c r="G1538" t="str">
        <f>T(INDEX(Site!$B$33:$G$40, MATCH(Tab_Calculs[[#This Row],[Compteur]], Site!$B$33:$B$40,0),2))</f>
        <v/>
      </c>
      <c r="H1538" s="3">
        <f t="array" aca="1" ref="H1538" ca="1">MIN(IF(INDIRECT(CONCATENATE(Tab_Calculs[[#This Row],[Colonne1]],"!$B$2:$B$243"))&gt;=Calculs_Consos!$A1538,INDIRECT(CONCATENATE(Tab_Calculs[[#This Row],[Colonne1]],"!$B$2:$B$243"))))</f>
        <v>0</v>
      </c>
      <c r="I1538" s="3">
        <f ca="1">INDEX(INDIRECT(CONCATENATE("Tab_",Tab_Calculs[[#This Row],[Colonne1]])),Tab_Calculs[[#This Row],[index_date_livraison]],1)</f>
        <v>0</v>
      </c>
      <c r="J1538">
        <f ca="1">MATCH(Tab_Calculs[[#This Row],[Date_livraison]],INDIRECT(CONCATENATE("Tab_",Tab_Calculs[[#This Row],[Colonne1]],"[Fin de période]")),0)</f>
        <v>1</v>
      </c>
      <c r="K1538" t="e">
        <f ca="1">INDEX(INDIRECT(CONCATENATE("Tab_",Tab_Calculs[[#This Row],[Colonne1]])),Tab_Calculs[[#This Row],[index_date_livraison]]-1,6)*(MAX(Tab_Calculs[[#This Row],[Début periode livraison]],Tab_Calculs[[#This Row],[Début mois]])-Tab_Calculs[[#This Row],[Début mois]])</f>
        <v>#VALUE!</v>
      </c>
      <c r="L1538" s="94">
        <f ca="1">INDEX(INDIRECT(CONCATENATE("Tab_",Tab_Calculs[[#This Row],[Colonne1]])),Tab_Calculs[[#This Row],[index_date_livraison]],6)*(1+MIN(Tab_Calculs[[#This Row],[Date_livraison]],Tab_Calculs[[#This Row],[fin mois]])-MAX(Tab_Calculs[[#This Row],[Début mois]],Tab_Calculs[[#This Row],[Début periode livraison]]))</f>
        <v>0</v>
      </c>
      <c r="M1538" s="94" t="e">
        <f ca="1">INDEX(INDIRECT(CONCATENATE("Tab_",Tab_Calculs[[#This Row],[Colonne1]])),Tab_Calculs[[#This Row],[index_date_livraison]]+1,6)*(Tab_Calculs[[#This Row],[fin mois]]-MIN(Tab_Calculs[[#This Row],[fin mois]],Tab_Calculs[[#This Row],[Date_livraison]]))</f>
        <v>#VALUE!</v>
      </c>
      <c r="N1538" s="231" t="str">
        <f ca="1">IFERROR(Tab_Calculs[[#This Row],[Ratio_jour_après_livr]]+Tab_Calculs[[#This Row],[Ratio_jour_avant_livr]]+Tab_Calculs[[#This Row],[ratio_avant_debut]],"")</f>
        <v/>
      </c>
      <c r="O1538" t="e">
        <f ca="1">INDEX(INDIRECT(CONCATENATE("Tab_",Tab_Calculs[[#This Row],[Colonne1]])),Tab_Calculs[[#This Row],[index_date_livraison]]-1,7)*(MAX(Tab_Calculs[[#This Row],[Début periode livraison]],Tab_Calculs[[#This Row],[Début mois]])-Tab_Calculs[[#This Row],[Début mois]])</f>
        <v>#VALUE!</v>
      </c>
      <c r="P1538">
        <f ca="1">INDEX(INDIRECT(CONCATENATE("Tab_",Tab_Calculs[[#This Row],[Colonne1]])),Tab_Calculs[[#This Row],[index_date_livraison]],7)*(1+MIN(Tab_Calculs[[#This Row],[Date_livraison]],Tab_Calculs[[#This Row],[fin mois]])-MAX(Tab_Calculs[[#This Row],[Début mois]],Tab_Calculs[[#This Row],[Début periode livraison]]))</f>
        <v>0</v>
      </c>
      <c r="Q1538" t="e">
        <f ca="1">INDEX(INDIRECT(CONCATENATE("Tab_",Tab_Calculs[[#This Row],[Colonne1]])),Tab_Calculs[[#This Row],[index_date_livraison]]+1,7)*(Tab_Calculs[[#This Row],[fin mois]]-MIN(Tab_Calculs[[#This Row],[fin mois]],Tab_Calculs[[#This Row],[Date_livraison]]))</f>
        <v>#VALUE!</v>
      </c>
      <c r="R1538" t="e">
        <f ca="1">Tab_Calculs[[#This Row],[Ratio_Cout_après_livr]]+Tab_Calculs[[#This Row],[Ratio_Cout_avant_livr]]+Tab_Calculs[[#This Row],[Ratio_Cout_avant_debut]]</f>
        <v>#VALUE!</v>
      </c>
      <c r="S1538" t="str">
        <f ca="1">IFERROR(N1538*VLOOKUP(Tab_Calculs[[#This Row],[Colonne1]],Controle_des_données!$B$7:$G$14,6,FALSE),"")</f>
        <v/>
      </c>
      <c r="T1538" t="str">
        <f ca="1">IF(Tab_Calculs[[#This Row],[Combustible ]]="Electricité (kWh)",Tab_Calculs[[#This Row],[Conso_mois_kWh]]*2.3,Tab_Calculs[[#This Row],[Conso_mois_kWh]])</f>
        <v/>
      </c>
      <c r="U1538" t="str">
        <f ca="1">IFERROR(N1538*VLOOKUP(Tab_Calculs[[#This Row],[Colonne1]],Controle_des_données!$B$7:$H$14,7,FALSE),"")</f>
        <v/>
      </c>
      <c r="V1538">
        <f ca="1">IFERROR(Tab_Calculs[[#This Row],[Cout_mois]]/Tab_Calculs[[#This Row],[Conso_mois_kWh]],0)</f>
        <v>0</v>
      </c>
      <c r="W1538" t="str">
        <f>T(VLOOKUP(Tab_Calculs[[#This Row],[Compteur]],Site!$B$33:$G$40,3,FALSE))</f>
        <v/>
      </c>
      <c r="X1538" t="str">
        <f>T(VLOOKUP(Tab_Calculs[[#This Row],[Compteur]],Site!$B$33:$G$40,4,FALSE))</f>
        <v/>
      </c>
      <c r="Y1538" t="str">
        <f>T(VLOOKUP(Tab_Calculs[[#This Row],[Compteur]],Site!$B$33:$G$40,5,FALSE))</f>
        <v/>
      </c>
      <c r="Z1538" t="str">
        <f>T(VLOOKUP(Tab_Calculs[[#This Row],[Compteur]],Site!$B$33:$G$40,6,FALSE))</f>
        <v/>
      </c>
      <c r="AA1538">
        <f>IFERROR(GETPIVOTDATA("DJU(chauffagiste)",BDD_DJU!$P$13,"annee",Tab_Calculs[[#This Row],[ANNEE]],"mois_numero",Tab_Calculs[[#This Row],[MOIS]]),0)</f>
        <v>0</v>
      </c>
    </row>
    <row r="1539" spans="1:27" x14ac:dyDescent="0.25">
      <c r="A1539" s="3">
        <f>DATE(Tab_Calculs[[#This Row],[ANNEE]],Tab_Calculs[[#This Row],[MOIS]],1)</f>
        <v>45839</v>
      </c>
      <c r="B1539" s="3">
        <f>EDATE(Tab_Calculs[[#This Row],[Début mois]],1)-1</f>
        <v>45869</v>
      </c>
      <c r="C1539">
        <f t="shared" si="52"/>
        <v>7</v>
      </c>
      <c r="D1539">
        <f t="shared" si="55"/>
        <v>2025</v>
      </c>
      <c r="E1539" t="s">
        <v>87</v>
      </c>
      <c r="F1539" t="str">
        <f>SUBSTITUTE(Tab_Calculs[[#This Row],[Compteur]]," ","_")</f>
        <v>Compteur_8</v>
      </c>
      <c r="G1539" t="str">
        <f>T(INDEX(Site!$B$33:$G$40, MATCH(Tab_Calculs[[#This Row],[Compteur]], Site!$B$33:$B$40,0),2))</f>
        <v/>
      </c>
      <c r="H1539" s="3">
        <f t="array" aca="1" ref="H1539" ca="1">MIN(IF(INDIRECT(CONCATENATE(Tab_Calculs[[#This Row],[Colonne1]],"!$B$2:$B$243"))&gt;=Calculs_Consos!$A1539,INDIRECT(CONCATENATE(Tab_Calculs[[#This Row],[Colonne1]],"!$B$2:$B$243"))))</f>
        <v>0</v>
      </c>
      <c r="I1539" s="3">
        <f ca="1">INDEX(INDIRECT(CONCATENATE("Tab_",Tab_Calculs[[#This Row],[Colonne1]])),Tab_Calculs[[#This Row],[index_date_livraison]],1)</f>
        <v>0</v>
      </c>
      <c r="J1539">
        <f ca="1">MATCH(Tab_Calculs[[#This Row],[Date_livraison]],INDIRECT(CONCATENATE("Tab_",Tab_Calculs[[#This Row],[Colonne1]],"[Fin de période]")),0)</f>
        <v>1</v>
      </c>
      <c r="K1539" t="e">
        <f ca="1">INDEX(INDIRECT(CONCATENATE("Tab_",Tab_Calculs[[#This Row],[Colonne1]])),Tab_Calculs[[#This Row],[index_date_livraison]]-1,6)*(MAX(Tab_Calculs[[#This Row],[Début periode livraison]],Tab_Calculs[[#This Row],[Début mois]])-Tab_Calculs[[#This Row],[Début mois]])</f>
        <v>#VALUE!</v>
      </c>
      <c r="L1539" s="94">
        <f ca="1">INDEX(INDIRECT(CONCATENATE("Tab_",Tab_Calculs[[#This Row],[Colonne1]])),Tab_Calculs[[#This Row],[index_date_livraison]],6)*(1+MIN(Tab_Calculs[[#This Row],[Date_livraison]],Tab_Calculs[[#This Row],[fin mois]])-MAX(Tab_Calculs[[#This Row],[Début mois]],Tab_Calculs[[#This Row],[Début periode livraison]]))</f>
        <v>0</v>
      </c>
      <c r="M1539" s="94" t="e">
        <f ca="1">INDEX(INDIRECT(CONCATENATE("Tab_",Tab_Calculs[[#This Row],[Colonne1]])),Tab_Calculs[[#This Row],[index_date_livraison]]+1,6)*(Tab_Calculs[[#This Row],[fin mois]]-MIN(Tab_Calculs[[#This Row],[fin mois]],Tab_Calculs[[#This Row],[Date_livraison]]))</f>
        <v>#VALUE!</v>
      </c>
      <c r="N1539" s="231" t="str">
        <f ca="1">IFERROR(Tab_Calculs[[#This Row],[Ratio_jour_après_livr]]+Tab_Calculs[[#This Row],[Ratio_jour_avant_livr]]+Tab_Calculs[[#This Row],[ratio_avant_debut]],"")</f>
        <v/>
      </c>
      <c r="O1539" t="e">
        <f ca="1">INDEX(INDIRECT(CONCATENATE("Tab_",Tab_Calculs[[#This Row],[Colonne1]])),Tab_Calculs[[#This Row],[index_date_livraison]]-1,7)*(MAX(Tab_Calculs[[#This Row],[Début periode livraison]],Tab_Calculs[[#This Row],[Début mois]])-Tab_Calculs[[#This Row],[Début mois]])</f>
        <v>#VALUE!</v>
      </c>
      <c r="P1539">
        <f ca="1">INDEX(INDIRECT(CONCATENATE("Tab_",Tab_Calculs[[#This Row],[Colonne1]])),Tab_Calculs[[#This Row],[index_date_livraison]],7)*(1+MIN(Tab_Calculs[[#This Row],[Date_livraison]],Tab_Calculs[[#This Row],[fin mois]])-MAX(Tab_Calculs[[#This Row],[Début mois]],Tab_Calculs[[#This Row],[Début periode livraison]]))</f>
        <v>0</v>
      </c>
      <c r="Q1539" t="e">
        <f ca="1">INDEX(INDIRECT(CONCATENATE("Tab_",Tab_Calculs[[#This Row],[Colonne1]])),Tab_Calculs[[#This Row],[index_date_livraison]]+1,7)*(Tab_Calculs[[#This Row],[fin mois]]-MIN(Tab_Calculs[[#This Row],[fin mois]],Tab_Calculs[[#This Row],[Date_livraison]]))</f>
        <v>#VALUE!</v>
      </c>
      <c r="R1539" t="e">
        <f ca="1">Tab_Calculs[[#This Row],[Ratio_Cout_après_livr]]+Tab_Calculs[[#This Row],[Ratio_Cout_avant_livr]]+Tab_Calculs[[#This Row],[Ratio_Cout_avant_debut]]</f>
        <v>#VALUE!</v>
      </c>
      <c r="S1539" t="str">
        <f ca="1">IFERROR(N1539*VLOOKUP(Tab_Calculs[[#This Row],[Colonne1]],Controle_des_données!$B$7:$G$14,6,FALSE),"")</f>
        <v/>
      </c>
      <c r="T1539" t="str">
        <f ca="1">IF(Tab_Calculs[[#This Row],[Combustible ]]="Electricité (kWh)",Tab_Calculs[[#This Row],[Conso_mois_kWh]]*2.3,Tab_Calculs[[#This Row],[Conso_mois_kWh]])</f>
        <v/>
      </c>
      <c r="U1539" t="str">
        <f ca="1">IFERROR(N1539*VLOOKUP(Tab_Calculs[[#This Row],[Colonne1]],Controle_des_données!$B$7:$H$14,7,FALSE),"")</f>
        <v/>
      </c>
      <c r="V1539">
        <f ca="1">IFERROR(Tab_Calculs[[#This Row],[Cout_mois]]/Tab_Calculs[[#This Row],[Conso_mois_kWh]],0)</f>
        <v>0</v>
      </c>
      <c r="W1539" t="str">
        <f>T(VLOOKUP(Tab_Calculs[[#This Row],[Compteur]],Site!$B$33:$G$40,3,FALSE))</f>
        <v/>
      </c>
      <c r="X1539" t="str">
        <f>T(VLOOKUP(Tab_Calculs[[#This Row],[Compteur]],Site!$B$33:$G$40,4,FALSE))</f>
        <v/>
      </c>
      <c r="Y1539" t="str">
        <f>T(VLOOKUP(Tab_Calculs[[#This Row],[Compteur]],Site!$B$33:$G$40,5,FALSE))</f>
        <v/>
      </c>
      <c r="Z1539" t="str">
        <f>T(VLOOKUP(Tab_Calculs[[#This Row],[Compteur]],Site!$B$33:$G$40,6,FALSE))</f>
        <v/>
      </c>
      <c r="AA1539">
        <f>IFERROR(GETPIVOTDATA("DJU(chauffagiste)",BDD_DJU!$P$13,"annee",Tab_Calculs[[#This Row],[ANNEE]],"mois_numero",Tab_Calculs[[#This Row],[MOIS]]),0)</f>
        <v>0</v>
      </c>
    </row>
    <row r="1540" spans="1:27" x14ac:dyDescent="0.25">
      <c r="A1540" s="3">
        <f>DATE(Tab_Calculs[[#This Row],[ANNEE]],Tab_Calculs[[#This Row],[MOIS]],1)</f>
        <v>45870</v>
      </c>
      <c r="B1540" s="3">
        <f>EDATE(Tab_Calculs[[#This Row],[Début mois]],1)-1</f>
        <v>45900</v>
      </c>
      <c r="C1540">
        <f t="shared" si="52"/>
        <v>8</v>
      </c>
      <c r="D1540">
        <f t="shared" si="55"/>
        <v>2025</v>
      </c>
      <c r="E1540" t="s">
        <v>87</v>
      </c>
      <c r="F1540" t="str">
        <f>SUBSTITUTE(Tab_Calculs[[#This Row],[Compteur]]," ","_")</f>
        <v>Compteur_8</v>
      </c>
      <c r="G1540" t="str">
        <f>T(INDEX(Site!$B$33:$G$40, MATCH(Tab_Calculs[[#This Row],[Compteur]], Site!$B$33:$B$40,0),2))</f>
        <v/>
      </c>
      <c r="H1540" s="3">
        <f t="array" aca="1" ref="H1540" ca="1">MIN(IF(INDIRECT(CONCATENATE(Tab_Calculs[[#This Row],[Colonne1]],"!$B$2:$B$243"))&gt;=Calculs_Consos!$A1540,INDIRECT(CONCATENATE(Tab_Calculs[[#This Row],[Colonne1]],"!$B$2:$B$243"))))</f>
        <v>0</v>
      </c>
      <c r="I1540" s="3">
        <f ca="1">INDEX(INDIRECT(CONCATENATE("Tab_",Tab_Calculs[[#This Row],[Colonne1]])),Tab_Calculs[[#This Row],[index_date_livraison]],1)</f>
        <v>0</v>
      </c>
      <c r="J1540">
        <f ca="1">MATCH(Tab_Calculs[[#This Row],[Date_livraison]],INDIRECT(CONCATENATE("Tab_",Tab_Calculs[[#This Row],[Colonne1]],"[Fin de période]")),0)</f>
        <v>1</v>
      </c>
      <c r="K1540" t="e">
        <f ca="1">INDEX(INDIRECT(CONCATENATE("Tab_",Tab_Calculs[[#This Row],[Colonne1]])),Tab_Calculs[[#This Row],[index_date_livraison]]-1,6)*(MAX(Tab_Calculs[[#This Row],[Début periode livraison]],Tab_Calculs[[#This Row],[Début mois]])-Tab_Calculs[[#This Row],[Début mois]])</f>
        <v>#VALUE!</v>
      </c>
      <c r="L1540" s="94">
        <f ca="1">INDEX(INDIRECT(CONCATENATE("Tab_",Tab_Calculs[[#This Row],[Colonne1]])),Tab_Calculs[[#This Row],[index_date_livraison]],6)*(1+MIN(Tab_Calculs[[#This Row],[Date_livraison]],Tab_Calculs[[#This Row],[fin mois]])-MAX(Tab_Calculs[[#This Row],[Début mois]],Tab_Calculs[[#This Row],[Début periode livraison]]))</f>
        <v>0</v>
      </c>
      <c r="M1540" s="94" t="e">
        <f ca="1">INDEX(INDIRECT(CONCATENATE("Tab_",Tab_Calculs[[#This Row],[Colonne1]])),Tab_Calculs[[#This Row],[index_date_livraison]]+1,6)*(Tab_Calculs[[#This Row],[fin mois]]-MIN(Tab_Calculs[[#This Row],[fin mois]],Tab_Calculs[[#This Row],[Date_livraison]]))</f>
        <v>#VALUE!</v>
      </c>
      <c r="N1540" s="231" t="str">
        <f ca="1">IFERROR(Tab_Calculs[[#This Row],[Ratio_jour_après_livr]]+Tab_Calculs[[#This Row],[Ratio_jour_avant_livr]]+Tab_Calculs[[#This Row],[ratio_avant_debut]],"")</f>
        <v/>
      </c>
      <c r="O1540" t="e">
        <f ca="1">INDEX(INDIRECT(CONCATENATE("Tab_",Tab_Calculs[[#This Row],[Colonne1]])),Tab_Calculs[[#This Row],[index_date_livraison]]-1,7)*(MAX(Tab_Calculs[[#This Row],[Début periode livraison]],Tab_Calculs[[#This Row],[Début mois]])-Tab_Calculs[[#This Row],[Début mois]])</f>
        <v>#VALUE!</v>
      </c>
      <c r="P1540">
        <f ca="1">INDEX(INDIRECT(CONCATENATE("Tab_",Tab_Calculs[[#This Row],[Colonne1]])),Tab_Calculs[[#This Row],[index_date_livraison]],7)*(1+MIN(Tab_Calculs[[#This Row],[Date_livraison]],Tab_Calculs[[#This Row],[fin mois]])-MAX(Tab_Calculs[[#This Row],[Début mois]],Tab_Calculs[[#This Row],[Début periode livraison]]))</f>
        <v>0</v>
      </c>
      <c r="Q1540" t="e">
        <f ca="1">INDEX(INDIRECT(CONCATENATE("Tab_",Tab_Calculs[[#This Row],[Colonne1]])),Tab_Calculs[[#This Row],[index_date_livraison]]+1,7)*(Tab_Calculs[[#This Row],[fin mois]]-MIN(Tab_Calculs[[#This Row],[fin mois]],Tab_Calculs[[#This Row],[Date_livraison]]))</f>
        <v>#VALUE!</v>
      </c>
      <c r="R1540" t="e">
        <f ca="1">Tab_Calculs[[#This Row],[Ratio_Cout_après_livr]]+Tab_Calculs[[#This Row],[Ratio_Cout_avant_livr]]+Tab_Calculs[[#This Row],[Ratio_Cout_avant_debut]]</f>
        <v>#VALUE!</v>
      </c>
      <c r="S1540" t="str">
        <f ca="1">IFERROR(N1540*VLOOKUP(Tab_Calculs[[#This Row],[Colonne1]],Controle_des_données!$B$7:$G$14,6,FALSE),"")</f>
        <v/>
      </c>
      <c r="T1540" t="str">
        <f ca="1">IF(Tab_Calculs[[#This Row],[Combustible ]]="Electricité (kWh)",Tab_Calculs[[#This Row],[Conso_mois_kWh]]*2.3,Tab_Calculs[[#This Row],[Conso_mois_kWh]])</f>
        <v/>
      </c>
      <c r="U1540" t="str">
        <f ca="1">IFERROR(N1540*VLOOKUP(Tab_Calculs[[#This Row],[Colonne1]],Controle_des_données!$B$7:$H$14,7,FALSE),"")</f>
        <v/>
      </c>
      <c r="V1540">
        <f ca="1">IFERROR(Tab_Calculs[[#This Row],[Cout_mois]]/Tab_Calculs[[#This Row],[Conso_mois_kWh]],0)</f>
        <v>0</v>
      </c>
      <c r="W1540" t="str">
        <f>T(VLOOKUP(Tab_Calculs[[#This Row],[Compteur]],Site!$B$33:$G$40,3,FALSE))</f>
        <v/>
      </c>
      <c r="X1540" t="str">
        <f>T(VLOOKUP(Tab_Calculs[[#This Row],[Compteur]],Site!$B$33:$G$40,4,FALSE))</f>
        <v/>
      </c>
      <c r="Y1540" t="str">
        <f>T(VLOOKUP(Tab_Calculs[[#This Row],[Compteur]],Site!$B$33:$G$40,5,FALSE))</f>
        <v/>
      </c>
      <c r="Z1540" t="str">
        <f>T(VLOOKUP(Tab_Calculs[[#This Row],[Compteur]],Site!$B$33:$G$40,6,FALSE))</f>
        <v/>
      </c>
      <c r="AA1540">
        <f>IFERROR(GETPIVOTDATA("DJU(chauffagiste)",BDD_DJU!$P$13,"annee",Tab_Calculs[[#This Row],[ANNEE]],"mois_numero",Tab_Calculs[[#This Row],[MOIS]]),0)</f>
        <v>0</v>
      </c>
    </row>
    <row r="1541" spans="1:27" x14ac:dyDescent="0.25">
      <c r="A1541" s="3">
        <f>DATE(Tab_Calculs[[#This Row],[ANNEE]],Tab_Calculs[[#This Row],[MOIS]],1)</f>
        <v>45901</v>
      </c>
      <c r="B1541" s="3">
        <f>EDATE(Tab_Calculs[[#This Row],[Début mois]],1)-1</f>
        <v>45930</v>
      </c>
      <c r="C1541">
        <f t="shared" si="52"/>
        <v>9</v>
      </c>
      <c r="D1541">
        <f t="shared" si="55"/>
        <v>2025</v>
      </c>
      <c r="E1541" t="s">
        <v>87</v>
      </c>
      <c r="F1541" t="str">
        <f>SUBSTITUTE(Tab_Calculs[[#This Row],[Compteur]]," ","_")</f>
        <v>Compteur_8</v>
      </c>
      <c r="G1541" t="str">
        <f>T(INDEX(Site!$B$33:$G$40, MATCH(Tab_Calculs[[#This Row],[Compteur]], Site!$B$33:$B$40,0),2))</f>
        <v/>
      </c>
      <c r="H1541" s="3">
        <f t="array" aca="1" ref="H1541" ca="1">MIN(IF(INDIRECT(CONCATENATE(Tab_Calculs[[#This Row],[Colonne1]],"!$B$2:$B$243"))&gt;=Calculs_Consos!$A1541,INDIRECT(CONCATENATE(Tab_Calculs[[#This Row],[Colonne1]],"!$B$2:$B$243"))))</f>
        <v>0</v>
      </c>
      <c r="I1541" s="3">
        <f ca="1">INDEX(INDIRECT(CONCATENATE("Tab_",Tab_Calculs[[#This Row],[Colonne1]])),Tab_Calculs[[#This Row],[index_date_livraison]],1)</f>
        <v>0</v>
      </c>
      <c r="J1541">
        <f ca="1">MATCH(Tab_Calculs[[#This Row],[Date_livraison]],INDIRECT(CONCATENATE("Tab_",Tab_Calculs[[#This Row],[Colonne1]],"[Fin de période]")),0)</f>
        <v>1</v>
      </c>
      <c r="K1541" t="e">
        <f ca="1">INDEX(INDIRECT(CONCATENATE("Tab_",Tab_Calculs[[#This Row],[Colonne1]])),Tab_Calculs[[#This Row],[index_date_livraison]]-1,6)*(MAX(Tab_Calculs[[#This Row],[Début periode livraison]],Tab_Calculs[[#This Row],[Début mois]])-Tab_Calculs[[#This Row],[Début mois]])</f>
        <v>#VALUE!</v>
      </c>
      <c r="L1541" s="94">
        <f ca="1">INDEX(INDIRECT(CONCATENATE("Tab_",Tab_Calculs[[#This Row],[Colonne1]])),Tab_Calculs[[#This Row],[index_date_livraison]],6)*(1+MIN(Tab_Calculs[[#This Row],[Date_livraison]],Tab_Calculs[[#This Row],[fin mois]])-MAX(Tab_Calculs[[#This Row],[Début mois]],Tab_Calculs[[#This Row],[Début periode livraison]]))</f>
        <v>0</v>
      </c>
      <c r="M1541" s="94" t="e">
        <f ca="1">INDEX(INDIRECT(CONCATENATE("Tab_",Tab_Calculs[[#This Row],[Colonne1]])),Tab_Calculs[[#This Row],[index_date_livraison]]+1,6)*(Tab_Calculs[[#This Row],[fin mois]]-MIN(Tab_Calculs[[#This Row],[fin mois]],Tab_Calculs[[#This Row],[Date_livraison]]))</f>
        <v>#VALUE!</v>
      </c>
      <c r="N1541" s="231" t="str">
        <f ca="1">IFERROR(Tab_Calculs[[#This Row],[Ratio_jour_après_livr]]+Tab_Calculs[[#This Row],[Ratio_jour_avant_livr]]+Tab_Calculs[[#This Row],[ratio_avant_debut]],"")</f>
        <v/>
      </c>
      <c r="O1541" t="e">
        <f ca="1">INDEX(INDIRECT(CONCATENATE("Tab_",Tab_Calculs[[#This Row],[Colonne1]])),Tab_Calculs[[#This Row],[index_date_livraison]]-1,7)*(MAX(Tab_Calculs[[#This Row],[Début periode livraison]],Tab_Calculs[[#This Row],[Début mois]])-Tab_Calculs[[#This Row],[Début mois]])</f>
        <v>#VALUE!</v>
      </c>
      <c r="P1541">
        <f ca="1">INDEX(INDIRECT(CONCATENATE("Tab_",Tab_Calculs[[#This Row],[Colonne1]])),Tab_Calculs[[#This Row],[index_date_livraison]],7)*(1+MIN(Tab_Calculs[[#This Row],[Date_livraison]],Tab_Calculs[[#This Row],[fin mois]])-MAX(Tab_Calculs[[#This Row],[Début mois]],Tab_Calculs[[#This Row],[Début periode livraison]]))</f>
        <v>0</v>
      </c>
      <c r="Q1541" t="e">
        <f ca="1">INDEX(INDIRECT(CONCATENATE("Tab_",Tab_Calculs[[#This Row],[Colonne1]])),Tab_Calculs[[#This Row],[index_date_livraison]]+1,7)*(Tab_Calculs[[#This Row],[fin mois]]-MIN(Tab_Calculs[[#This Row],[fin mois]],Tab_Calculs[[#This Row],[Date_livraison]]))</f>
        <v>#VALUE!</v>
      </c>
      <c r="R1541" t="e">
        <f ca="1">Tab_Calculs[[#This Row],[Ratio_Cout_après_livr]]+Tab_Calculs[[#This Row],[Ratio_Cout_avant_livr]]+Tab_Calculs[[#This Row],[Ratio_Cout_avant_debut]]</f>
        <v>#VALUE!</v>
      </c>
      <c r="S1541" t="str">
        <f ca="1">IFERROR(N1541*VLOOKUP(Tab_Calculs[[#This Row],[Colonne1]],Controle_des_données!$B$7:$G$14,6,FALSE),"")</f>
        <v/>
      </c>
      <c r="T1541" t="str">
        <f ca="1">IF(Tab_Calculs[[#This Row],[Combustible ]]="Electricité (kWh)",Tab_Calculs[[#This Row],[Conso_mois_kWh]]*2.3,Tab_Calculs[[#This Row],[Conso_mois_kWh]])</f>
        <v/>
      </c>
      <c r="U1541" t="str">
        <f ca="1">IFERROR(N1541*VLOOKUP(Tab_Calculs[[#This Row],[Colonne1]],Controle_des_données!$B$7:$H$14,7,FALSE),"")</f>
        <v/>
      </c>
      <c r="V1541">
        <f ca="1">IFERROR(Tab_Calculs[[#This Row],[Cout_mois]]/Tab_Calculs[[#This Row],[Conso_mois_kWh]],0)</f>
        <v>0</v>
      </c>
      <c r="W1541" t="str">
        <f>T(VLOOKUP(Tab_Calculs[[#This Row],[Compteur]],Site!$B$33:$G$40,3,FALSE))</f>
        <v/>
      </c>
      <c r="X1541" t="str">
        <f>T(VLOOKUP(Tab_Calculs[[#This Row],[Compteur]],Site!$B$33:$G$40,4,FALSE))</f>
        <v/>
      </c>
      <c r="Y1541" t="str">
        <f>T(VLOOKUP(Tab_Calculs[[#This Row],[Compteur]],Site!$B$33:$G$40,5,FALSE))</f>
        <v/>
      </c>
      <c r="Z1541" t="str">
        <f>T(VLOOKUP(Tab_Calculs[[#This Row],[Compteur]],Site!$B$33:$G$40,6,FALSE))</f>
        <v/>
      </c>
      <c r="AA1541">
        <f>IFERROR(GETPIVOTDATA("DJU(chauffagiste)",BDD_DJU!$P$13,"annee",Tab_Calculs[[#This Row],[ANNEE]],"mois_numero",Tab_Calculs[[#This Row],[MOIS]]),0)</f>
        <v>0</v>
      </c>
    </row>
    <row r="1542" spans="1:27" x14ac:dyDescent="0.25">
      <c r="A1542" s="3">
        <f>DATE(Tab_Calculs[[#This Row],[ANNEE]],Tab_Calculs[[#This Row],[MOIS]],1)</f>
        <v>45931</v>
      </c>
      <c r="B1542" s="3">
        <f>EDATE(Tab_Calculs[[#This Row],[Début mois]],1)-1</f>
        <v>45961</v>
      </c>
      <c r="C1542">
        <f t="shared" si="52"/>
        <v>10</v>
      </c>
      <c r="D1542">
        <f t="shared" si="55"/>
        <v>2025</v>
      </c>
      <c r="E1542" t="s">
        <v>87</v>
      </c>
      <c r="F1542" t="str">
        <f>SUBSTITUTE(Tab_Calculs[[#This Row],[Compteur]]," ","_")</f>
        <v>Compteur_8</v>
      </c>
      <c r="G1542" t="str">
        <f>T(INDEX(Site!$B$33:$G$40, MATCH(Tab_Calculs[[#This Row],[Compteur]], Site!$B$33:$B$40,0),2))</f>
        <v/>
      </c>
      <c r="H1542" s="3">
        <f t="array" aca="1" ref="H1542" ca="1">MIN(IF(INDIRECT(CONCATENATE(Tab_Calculs[[#This Row],[Colonne1]],"!$B$2:$B$243"))&gt;=Calculs_Consos!$A1542,INDIRECT(CONCATENATE(Tab_Calculs[[#This Row],[Colonne1]],"!$B$2:$B$243"))))</f>
        <v>0</v>
      </c>
      <c r="I1542" s="3">
        <f ca="1">INDEX(INDIRECT(CONCATENATE("Tab_",Tab_Calculs[[#This Row],[Colonne1]])),Tab_Calculs[[#This Row],[index_date_livraison]],1)</f>
        <v>0</v>
      </c>
      <c r="J1542">
        <f ca="1">MATCH(Tab_Calculs[[#This Row],[Date_livraison]],INDIRECT(CONCATENATE("Tab_",Tab_Calculs[[#This Row],[Colonne1]],"[Fin de période]")),0)</f>
        <v>1</v>
      </c>
      <c r="K1542" t="e">
        <f ca="1">INDEX(INDIRECT(CONCATENATE("Tab_",Tab_Calculs[[#This Row],[Colonne1]])),Tab_Calculs[[#This Row],[index_date_livraison]]-1,6)*(MAX(Tab_Calculs[[#This Row],[Début periode livraison]],Tab_Calculs[[#This Row],[Début mois]])-Tab_Calculs[[#This Row],[Début mois]])</f>
        <v>#VALUE!</v>
      </c>
      <c r="L1542" s="94">
        <f ca="1">INDEX(INDIRECT(CONCATENATE("Tab_",Tab_Calculs[[#This Row],[Colonne1]])),Tab_Calculs[[#This Row],[index_date_livraison]],6)*(1+MIN(Tab_Calculs[[#This Row],[Date_livraison]],Tab_Calculs[[#This Row],[fin mois]])-MAX(Tab_Calculs[[#This Row],[Début mois]],Tab_Calculs[[#This Row],[Début periode livraison]]))</f>
        <v>0</v>
      </c>
      <c r="M1542" s="94" t="e">
        <f ca="1">INDEX(INDIRECT(CONCATENATE("Tab_",Tab_Calculs[[#This Row],[Colonne1]])),Tab_Calculs[[#This Row],[index_date_livraison]]+1,6)*(Tab_Calculs[[#This Row],[fin mois]]-MIN(Tab_Calculs[[#This Row],[fin mois]],Tab_Calculs[[#This Row],[Date_livraison]]))</f>
        <v>#VALUE!</v>
      </c>
      <c r="N1542" s="231" t="str">
        <f ca="1">IFERROR(Tab_Calculs[[#This Row],[Ratio_jour_après_livr]]+Tab_Calculs[[#This Row],[Ratio_jour_avant_livr]]+Tab_Calculs[[#This Row],[ratio_avant_debut]],"")</f>
        <v/>
      </c>
      <c r="O1542" t="e">
        <f ca="1">INDEX(INDIRECT(CONCATENATE("Tab_",Tab_Calculs[[#This Row],[Colonne1]])),Tab_Calculs[[#This Row],[index_date_livraison]]-1,7)*(MAX(Tab_Calculs[[#This Row],[Début periode livraison]],Tab_Calculs[[#This Row],[Début mois]])-Tab_Calculs[[#This Row],[Début mois]])</f>
        <v>#VALUE!</v>
      </c>
      <c r="P1542">
        <f ca="1">INDEX(INDIRECT(CONCATENATE("Tab_",Tab_Calculs[[#This Row],[Colonne1]])),Tab_Calculs[[#This Row],[index_date_livraison]],7)*(1+MIN(Tab_Calculs[[#This Row],[Date_livraison]],Tab_Calculs[[#This Row],[fin mois]])-MAX(Tab_Calculs[[#This Row],[Début mois]],Tab_Calculs[[#This Row],[Début periode livraison]]))</f>
        <v>0</v>
      </c>
      <c r="Q1542" t="e">
        <f ca="1">INDEX(INDIRECT(CONCATENATE("Tab_",Tab_Calculs[[#This Row],[Colonne1]])),Tab_Calculs[[#This Row],[index_date_livraison]]+1,7)*(Tab_Calculs[[#This Row],[fin mois]]-MIN(Tab_Calculs[[#This Row],[fin mois]],Tab_Calculs[[#This Row],[Date_livraison]]))</f>
        <v>#VALUE!</v>
      </c>
      <c r="R1542" t="e">
        <f ca="1">Tab_Calculs[[#This Row],[Ratio_Cout_après_livr]]+Tab_Calculs[[#This Row],[Ratio_Cout_avant_livr]]+Tab_Calculs[[#This Row],[Ratio_Cout_avant_debut]]</f>
        <v>#VALUE!</v>
      </c>
      <c r="S1542" t="str">
        <f ca="1">IFERROR(N1542*VLOOKUP(Tab_Calculs[[#This Row],[Colonne1]],Controle_des_données!$B$7:$G$14,6,FALSE),"")</f>
        <v/>
      </c>
      <c r="T1542" t="str">
        <f ca="1">IF(Tab_Calculs[[#This Row],[Combustible ]]="Electricité (kWh)",Tab_Calculs[[#This Row],[Conso_mois_kWh]]*2.3,Tab_Calculs[[#This Row],[Conso_mois_kWh]])</f>
        <v/>
      </c>
      <c r="U1542" t="str">
        <f ca="1">IFERROR(N1542*VLOOKUP(Tab_Calculs[[#This Row],[Colonne1]],Controle_des_données!$B$7:$H$14,7,FALSE),"")</f>
        <v/>
      </c>
      <c r="V1542">
        <f ca="1">IFERROR(Tab_Calculs[[#This Row],[Cout_mois]]/Tab_Calculs[[#This Row],[Conso_mois_kWh]],0)</f>
        <v>0</v>
      </c>
      <c r="W1542" t="str">
        <f>T(VLOOKUP(Tab_Calculs[[#This Row],[Compteur]],Site!$B$33:$G$40,3,FALSE))</f>
        <v/>
      </c>
      <c r="X1542" t="str">
        <f>T(VLOOKUP(Tab_Calculs[[#This Row],[Compteur]],Site!$B$33:$G$40,4,FALSE))</f>
        <v/>
      </c>
      <c r="Y1542" t="str">
        <f>T(VLOOKUP(Tab_Calculs[[#This Row],[Compteur]],Site!$B$33:$G$40,5,FALSE))</f>
        <v/>
      </c>
      <c r="Z1542" t="str">
        <f>T(VLOOKUP(Tab_Calculs[[#This Row],[Compteur]],Site!$B$33:$G$40,6,FALSE))</f>
        <v/>
      </c>
      <c r="AA1542">
        <f>IFERROR(GETPIVOTDATA("DJU(chauffagiste)",BDD_DJU!$P$13,"annee",Tab_Calculs[[#This Row],[ANNEE]],"mois_numero",Tab_Calculs[[#This Row],[MOIS]]),0)</f>
        <v>0</v>
      </c>
    </row>
    <row r="1543" spans="1:27" x14ac:dyDescent="0.25">
      <c r="A1543" s="3">
        <f>DATE(Tab_Calculs[[#This Row],[ANNEE]],Tab_Calculs[[#This Row],[MOIS]],1)</f>
        <v>45962</v>
      </c>
      <c r="B1543" s="3">
        <f>EDATE(Tab_Calculs[[#This Row],[Début mois]],1)-1</f>
        <v>45991</v>
      </c>
      <c r="C1543">
        <f t="shared" si="52"/>
        <v>11</v>
      </c>
      <c r="D1543">
        <f t="shared" si="55"/>
        <v>2025</v>
      </c>
      <c r="E1543" t="s">
        <v>87</v>
      </c>
      <c r="F1543" t="str">
        <f>SUBSTITUTE(Tab_Calculs[[#This Row],[Compteur]]," ","_")</f>
        <v>Compteur_8</v>
      </c>
      <c r="G1543" t="str">
        <f>T(INDEX(Site!$B$33:$G$40, MATCH(Tab_Calculs[[#This Row],[Compteur]], Site!$B$33:$B$40,0),2))</f>
        <v/>
      </c>
      <c r="H1543" s="3">
        <f t="array" aca="1" ref="H1543" ca="1">MIN(IF(INDIRECT(CONCATENATE(Tab_Calculs[[#This Row],[Colonne1]],"!$B$2:$B$243"))&gt;=Calculs_Consos!$A1543,INDIRECT(CONCATENATE(Tab_Calculs[[#This Row],[Colonne1]],"!$B$2:$B$243"))))</f>
        <v>0</v>
      </c>
      <c r="I1543" s="3">
        <f ca="1">INDEX(INDIRECT(CONCATENATE("Tab_",Tab_Calculs[[#This Row],[Colonne1]])),Tab_Calculs[[#This Row],[index_date_livraison]],1)</f>
        <v>0</v>
      </c>
      <c r="J1543">
        <f ca="1">MATCH(Tab_Calculs[[#This Row],[Date_livraison]],INDIRECT(CONCATENATE("Tab_",Tab_Calculs[[#This Row],[Colonne1]],"[Fin de période]")),0)</f>
        <v>1</v>
      </c>
      <c r="K1543" t="e">
        <f ca="1">INDEX(INDIRECT(CONCATENATE("Tab_",Tab_Calculs[[#This Row],[Colonne1]])),Tab_Calculs[[#This Row],[index_date_livraison]]-1,6)*(MAX(Tab_Calculs[[#This Row],[Début periode livraison]],Tab_Calculs[[#This Row],[Début mois]])-Tab_Calculs[[#This Row],[Début mois]])</f>
        <v>#VALUE!</v>
      </c>
      <c r="L1543" s="94">
        <f ca="1">INDEX(INDIRECT(CONCATENATE("Tab_",Tab_Calculs[[#This Row],[Colonne1]])),Tab_Calculs[[#This Row],[index_date_livraison]],6)*(1+MIN(Tab_Calculs[[#This Row],[Date_livraison]],Tab_Calculs[[#This Row],[fin mois]])-MAX(Tab_Calculs[[#This Row],[Début mois]],Tab_Calculs[[#This Row],[Début periode livraison]]))</f>
        <v>0</v>
      </c>
      <c r="M1543" s="94" t="e">
        <f ca="1">INDEX(INDIRECT(CONCATENATE("Tab_",Tab_Calculs[[#This Row],[Colonne1]])),Tab_Calculs[[#This Row],[index_date_livraison]]+1,6)*(Tab_Calculs[[#This Row],[fin mois]]-MIN(Tab_Calculs[[#This Row],[fin mois]],Tab_Calculs[[#This Row],[Date_livraison]]))</f>
        <v>#VALUE!</v>
      </c>
      <c r="N1543" s="231" t="str">
        <f ca="1">IFERROR(Tab_Calculs[[#This Row],[Ratio_jour_après_livr]]+Tab_Calculs[[#This Row],[Ratio_jour_avant_livr]]+Tab_Calculs[[#This Row],[ratio_avant_debut]],"")</f>
        <v/>
      </c>
      <c r="O1543" t="e">
        <f ca="1">INDEX(INDIRECT(CONCATENATE("Tab_",Tab_Calculs[[#This Row],[Colonne1]])),Tab_Calculs[[#This Row],[index_date_livraison]]-1,7)*(MAX(Tab_Calculs[[#This Row],[Début periode livraison]],Tab_Calculs[[#This Row],[Début mois]])-Tab_Calculs[[#This Row],[Début mois]])</f>
        <v>#VALUE!</v>
      </c>
      <c r="P1543">
        <f ca="1">INDEX(INDIRECT(CONCATENATE("Tab_",Tab_Calculs[[#This Row],[Colonne1]])),Tab_Calculs[[#This Row],[index_date_livraison]],7)*(1+MIN(Tab_Calculs[[#This Row],[Date_livraison]],Tab_Calculs[[#This Row],[fin mois]])-MAX(Tab_Calculs[[#This Row],[Début mois]],Tab_Calculs[[#This Row],[Début periode livraison]]))</f>
        <v>0</v>
      </c>
      <c r="Q1543" t="e">
        <f ca="1">INDEX(INDIRECT(CONCATENATE("Tab_",Tab_Calculs[[#This Row],[Colonne1]])),Tab_Calculs[[#This Row],[index_date_livraison]]+1,7)*(Tab_Calculs[[#This Row],[fin mois]]-MIN(Tab_Calculs[[#This Row],[fin mois]],Tab_Calculs[[#This Row],[Date_livraison]]))</f>
        <v>#VALUE!</v>
      </c>
      <c r="R1543" t="e">
        <f ca="1">Tab_Calculs[[#This Row],[Ratio_Cout_après_livr]]+Tab_Calculs[[#This Row],[Ratio_Cout_avant_livr]]+Tab_Calculs[[#This Row],[Ratio_Cout_avant_debut]]</f>
        <v>#VALUE!</v>
      </c>
      <c r="S1543" t="str">
        <f ca="1">IFERROR(N1543*VLOOKUP(Tab_Calculs[[#This Row],[Colonne1]],Controle_des_données!$B$7:$G$14,6,FALSE),"")</f>
        <v/>
      </c>
      <c r="T1543" t="str">
        <f ca="1">IF(Tab_Calculs[[#This Row],[Combustible ]]="Electricité (kWh)",Tab_Calculs[[#This Row],[Conso_mois_kWh]]*2.3,Tab_Calculs[[#This Row],[Conso_mois_kWh]])</f>
        <v/>
      </c>
      <c r="U1543" t="str">
        <f ca="1">IFERROR(N1543*VLOOKUP(Tab_Calculs[[#This Row],[Colonne1]],Controle_des_données!$B$7:$H$14,7,FALSE),"")</f>
        <v/>
      </c>
      <c r="V1543">
        <f ca="1">IFERROR(Tab_Calculs[[#This Row],[Cout_mois]]/Tab_Calculs[[#This Row],[Conso_mois_kWh]],0)</f>
        <v>0</v>
      </c>
      <c r="W1543" t="str">
        <f>T(VLOOKUP(Tab_Calculs[[#This Row],[Compteur]],Site!$B$33:$G$40,3,FALSE))</f>
        <v/>
      </c>
      <c r="X1543" t="str">
        <f>T(VLOOKUP(Tab_Calculs[[#This Row],[Compteur]],Site!$B$33:$G$40,4,FALSE))</f>
        <v/>
      </c>
      <c r="Y1543" t="str">
        <f>T(VLOOKUP(Tab_Calculs[[#This Row],[Compteur]],Site!$B$33:$G$40,5,FALSE))</f>
        <v/>
      </c>
      <c r="Z1543" t="str">
        <f>T(VLOOKUP(Tab_Calculs[[#This Row],[Compteur]],Site!$B$33:$G$40,6,FALSE))</f>
        <v/>
      </c>
      <c r="AA1543">
        <f>IFERROR(GETPIVOTDATA("DJU(chauffagiste)",BDD_DJU!$P$13,"annee",Tab_Calculs[[#This Row],[ANNEE]],"mois_numero",Tab_Calculs[[#This Row],[MOIS]]),0)</f>
        <v>0</v>
      </c>
    </row>
    <row r="1544" spans="1:27" x14ac:dyDescent="0.25">
      <c r="A1544" s="3">
        <f>DATE(Tab_Calculs[[#This Row],[ANNEE]],Tab_Calculs[[#This Row],[MOIS]],1)</f>
        <v>45992</v>
      </c>
      <c r="B1544" s="3">
        <f>EDATE(Tab_Calculs[[#This Row],[Début mois]],1)-1</f>
        <v>46022</v>
      </c>
      <c r="C1544">
        <f t="shared" si="52"/>
        <v>12</v>
      </c>
      <c r="D1544">
        <f t="shared" si="55"/>
        <v>2025</v>
      </c>
      <c r="E1544" t="s">
        <v>87</v>
      </c>
      <c r="F1544" t="str">
        <f>SUBSTITUTE(Tab_Calculs[[#This Row],[Compteur]]," ","_")</f>
        <v>Compteur_8</v>
      </c>
      <c r="G1544" t="str">
        <f>T(INDEX(Site!$B$33:$G$40, MATCH(Tab_Calculs[[#This Row],[Compteur]], Site!$B$33:$B$40,0),2))</f>
        <v/>
      </c>
      <c r="H1544" s="3">
        <f t="array" aca="1" ref="H1544" ca="1">MIN(IF(INDIRECT(CONCATENATE(Tab_Calculs[[#This Row],[Colonne1]],"!$B$2:$B$243"))&gt;=Calculs_Consos!$A1544,INDIRECT(CONCATENATE(Tab_Calculs[[#This Row],[Colonne1]],"!$B$2:$B$243"))))</f>
        <v>0</v>
      </c>
      <c r="I1544" s="3">
        <f ca="1">INDEX(INDIRECT(CONCATENATE("Tab_",Tab_Calculs[[#This Row],[Colonne1]])),Tab_Calculs[[#This Row],[index_date_livraison]],1)</f>
        <v>0</v>
      </c>
      <c r="J1544">
        <f ca="1">MATCH(Tab_Calculs[[#This Row],[Date_livraison]],INDIRECT(CONCATENATE("Tab_",Tab_Calculs[[#This Row],[Colonne1]],"[Fin de période]")),0)</f>
        <v>1</v>
      </c>
      <c r="K1544" t="e">
        <f ca="1">INDEX(INDIRECT(CONCATENATE("Tab_",Tab_Calculs[[#This Row],[Colonne1]])),Tab_Calculs[[#This Row],[index_date_livraison]]-1,6)*(MAX(Tab_Calculs[[#This Row],[Début periode livraison]],Tab_Calculs[[#This Row],[Début mois]])-Tab_Calculs[[#This Row],[Début mois]])</f>
        <v>#VALUE!</v>
      </c>
      <c r="L1544" s="94">
        <f ca="1">INDEX(INDIRECT(CONCATENATE("Tab_",Tab_Calculs[[#This Row],[Colonne1]])),Tab_Calculs[[#This Row],[index_date_livraison]],6)*(1+MIN(Tab_Calculs[[#This Row],[Date_livraison]],Tab_Calculs[[#This Row],[fin mois]])-MAX(Tab_Calculs[[#This Row],[Début mois]],Tab_Calculs[[#This Row],[Début periode livraison]]))</f>
        <v>0</v>
      </c>
      <c r="M1544" s="94" t="e">
        <f ca="1">INDEX(INDIRECT(CONCATENATE("Tab_",Tab_Calculs[[#This Row],[Colonne1]])),Tab_Calculs[[#This Row],[index_date_livraison]]+1,6)*(Tab_Calculs[[#This Row],[fin mois]]-MIN(Tab_Calculs[[#This Row],[fin mois]],Tab_Calculs[[#This Row],[Date_livraison]]))</f>
        <v>#VALUE!</v>
      </c>
      <c r="N1544" s="231" t="str">
        <f ca="1">IFERROR(Tab_Calculs[[#This Row],[Ratio_jour_après_livr]]+Tab_Calculs[[#This Row],[Ratio_jour_avant_livr]]+Tab_Calculs[[#This Row],[ratio_avant_debut]],"")</f>
        <v/>
      </c>
      <c r="O1544" t="e">
        <f ca="1">INDEX(INDIRECT(CONCATENATE("Tab_",Tab_Calculs[[#This Row],[Colonne1]])),Tab_Calculs[[#This Row],[index_date_livraison]]-1,7)*(MAX(Tab_Calculs[[#This Row],[Début periode livraison]],Tab_Calculs[[#This Row],[Début mois]])-Tab_Calculs[[#This Row],[Début mois]])</f>
        <v>#VALUE!</v>
      </c>
      <c r="P1544">
        <f ca="1">INDEX(INDIRECT(CONCATENATE("Tab_",Tab_Calculs[[#This Row],[Colonne1]])),Tab_Calculs[[#This Row],[index_date_livraison]],7)*(1+MIN(Tab_Calculs[[#This Row],[Date_livraison]],Tab_Calculs[[#This Row],[fin mois]])-MAX(Tab_Calculs[[#This Row],[Début mois]],Tab_Calculs[[#This Row],[Début periode livraison]]))</f>
        <v>0</v>
      </c>
      <c r="Q1544" t="e">
        <f ca="1">INDEX(INDIRECT(CONCATENATE("Tab_",Tab_Calculs[[#This Row],[Colonne1]])),Tab_Calculs[[#This Row],[index_date_livraison]]+1,7)*(Tab_Calculs[[#This Row],[fin mois]]-MIN(Tab_Calculs[[#This Row],[fin mois]],Tab_Calculs[[#This Row],[Date_livraison]]))</f>
        <v>#VALUE!</v>
      </c>
      <c r="R1544" t="e">
        <f ca="1">Tab_Calculs[[#This Row],[Ratio_Cout_après_livr]]+Tab_Calculs[[#This Row],[Ratio_Cout_avant_livr]]+Tab_Calculs[[#This Row],[Ratio_Cout_avant_debut]]</f>
        <v>#VALUE!</v>
      </c>
      <c r="S1544" t="str">
        <f ca="1">IFERROR(N1544*VLOOKUP(Tab_Calculs[[#This Row],[Colonne1]],Controle_des_données!$B$7:$G$14,6,FALSE),"")</f>
        <v/>
      </c>
      <c r="T1544" t="str">
        <f ca="1">IF(Tab_Calculs[[#This Row],[Combustible ]]="Electricité (kWh)",Tab_Calculs[[#This Row],[Conso_mois_kWh]]*2.3,Tab_Calculs[[#This Row],[Conso_mois_kWh]])</f>
        <v/>
      </c>
      <c r="U1544" t="str">
        <f ca="1">IFERROR(N1544*VLOOKUP(Tab_Calculs[[#This Row],[Colonne1]],Controle_des_données!$B$7:$H$14,7,FALSE),"")</f>
        <v/>
      </c>
      <c r="V1544">
        <f ca="1">IFERROR(Tab_Calculs[[#This Row],[Cout_mois]]/Tab_Calculs[[#This Row],[Conso_mois_kWh]],0)</f>
        <v>0</v>
      </c>
      <c r="W1544" t="str">
        <f>T(VLOOKUP(Tab_Calculs[[#This Row],[Compteur]],Site!$B$33:$G$40,3,FALSE))</f>
        <v/>
      </c>
      <c r="X1544" t="str">
        <f>T(VLOOKUP(Tab_Calculs[[#This Row],[Compteur]],Site!$B$33:$G$40,4,FALSE))</f>
        <v/>
      </c>
      <c r="Y1544" t="str">
        <f>T(VLOOKUP(Tab_Calculs[[#This Row],[Compteur]],Site!$B$33:$G$40,5,FALSE))</f>
        <v/>
      </c>
      <c r="Z1544" t="str">
        <f>T(VLOOKUP(Tab_Calculs[[#This Row],[Compteur]],Site!$B$33:$G$40,6,FALSE))</f>
        <v/>
      </c>
      <c r="AA1544">
        <f>IFERROR(GETPIVOTDATA("DJU(chauffagiste)",BDD_DJU!$P$13,"annee",Tab_Calculs[[#This Row],[ANNEE]],"mois_numero",Tab_Calculs[[#This Row],[MOIS]]),0)</f>
        <v>0</v>
      </c>
    </row>
  </sheetData>
  <mergeCells count="1">
    <mergeCell ref="H1:S1"/>
  </mergeCells>
  <pageMargins left="0.7" right="0.7" top="0.75" bottom="0.75" header="0.3" footer="0.3"/>
  <pageSetup paperSize="9" orientation="portrait"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41"/>
  <sheetViews>
    <sheetView workbookViewId="0"/>
  </sheetViews>
  <sheetFormatPr baseColWidth="10" defaultColWidth="0" defaultRowHeight="15" customHeight="1" zeroHeight="1" x14ac:dyDescent="0.25"/>
  <cols>
    <col min="1" max="11" width="11.42578125" style="42" customWidth="1"/>
    <col min="12" max="16384" width="11.42578125" hidden="1"/>
  </cols>
  <sheetData>
    <row r="1" spans="2:5" x14ac:dyDescent="0.25"/>
    <row r="2" spans="2:5" x14ac:dyDescent="0.25">
      <c r="B2" s="147" t="s">
        <v>198</v>
      </c>
      <c r="C2" s="328">
        <f>Site!C2</f>
        <v>0</v>
      </c>
      <c r="D2" s="328"/>
      <c r="E2" s="328"/>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c r="I20" s="160" t="s">
        <v>374</v>
      </c>
    </row>
    <row r="21" spans="9:14" x14ac:dyDescent="0.25">
      <c r="I21" s="149" t="str">
        <f>TCD_souscompteur!C2</f>
        <v>Type</v>
      </c>
      <c r="J21" s="42" t="e">
        <f>TCD_souscompteur!D2</f>
        <v>#N/A</v>
      </c>
    </row>
    <row r="22" spans="9:14" x14ac:dyDescent="0.25">
      <c r="I22" s="149" t="str">
        <f>TCD_souscompteur!C3</f>
        <v>Source</v>
      </c>
      <c r="J22" s="42" t="e">
        <f>TCD_souscompteur!D3</f>
        <v>#N/A</v>
      </c>
    </row>
    <row r="23" spans="9:14" x14ac:dyDescent="0.25">
      <c r="I23" s="149" t="str">
        <f>TCD_souscompteur!C4</f>
        <v>Detail usage</v>
      </c>
      <c r="J23" s="42" t="e">
        <f>TCD_souscompteur!D4</f>
        <v>#N/A</v>
      </c>
    </row>
    <row r="24" spans="9:14" x14ac:dyDescent="0.25">
      <c r="I24" s="149" t="str">
        <f>TCD_souscompteur!C5</f>
        <v>Combustible</v>
      </c>
      <c r="J24" s="42" t="e">
        <f>TCD_souscompteur!D5</f>
        <v>#N/A</v>
      </c>
    </row>
    <row r="25" spans="9:14" x14ac:dyDescent="0.25">
      <c r="I25" s="149"/>
    </row>
    <row r="26" spans="9:14" x14ac:dyDescent="0.25">
      <c r="I26" s="149"/>
      <c r="K26" s="159"/>
      <c r="L26" s="159"/>
      <c r="M26" s="159"/>
      <c r="N26" s="159"/>
    </row>
    <row r="27" spans="9:14" x14ac:dyDescent="0.25">
      <c r="K27" s="159"/>
      <c r="L27" s="159"/>
      <c r="M27" s="159"/>
      <c r="N27" s="159"/>
    </row>
    <row r="28" spans="9:14" x14ac:dyDescent="0.25">
      <c r="I28" s="159"/>
      <c r="J28" s="159"/>
      <c r="K28" s="159"/>
      <c r="L28" s="159"/>
      <c r="M28" s="159"/>
      <c r="N28" s="159"/>
    </row>
    <row r="29" spans="9:14" x14ac:dyDescent="0.25">
      <c r="I29" s="159"/>
      <c r="J29" s="159"/>
      <c r="K29" s="159"/>
      <c r="L29" s="159"/>
      <c r="M29" s="159"/>
      <c r="N29" s="159"/>
    </row>
    <row r="30" spans="9:14" x14ac:dyDescent="0.25">
      <c r="I30" s="159"/>
      <c r="J30" s="159"/>
      <c r="K30" s="159"/>
      <c r="L30" s="159"/>
      <c r="M30" s="159"/>
      <c r="N30" s="159"/>
    </row>
    <row r="31" spans="9:14" x14ac:dyDescent="0.25">
      <c r="I31" s="159"/>
      <c r="J31" s="159"/>
      <c r="K31" s="159"/>
      <c r="L31" s="159"/>
      <c r="M31" s="159"/>
      <c r="N31" s="159"/>
    </row>
    <row r="32" spans="9:14" x14ac:dyDescent="0.25">
      <c r="I32" s="159"/>
      <c r="J32" s="159"/>
      <c r="K32" s="159"/>
      <c r="L32" s="159"/>
      <c r="M32" s="159"/>
      <c r="N32" s="159"/>
    </row>
    <row r="33" spans="9:14" x14ac:dyDescent="0.25">
      <c r="I33" s="159"/>
      <c r="J33" s="159"/>
      <c r="K33" s="159"/>
      <c r="L33" s="159"/>
      <c r="M33" s="159"/>
      <c r="N33" s="159"/>
    </row>
    <row r="34" spans="9:14" ht="15" hidden="1" customHeight="1" x14ac:dyDescent="0.25">
      <c r="I34" s="159"/>
      <c r="J34" s="159"/>
      <c r="K34" s="159"/>
      <c r="L34" s="159"/>
      <c r="M34" s="159"/>
      <c r="N34" s="159"/>
    </row>
    <row r="35" spans="9:14" ht="15" hidden="1" customHeight="1" x14ac:dyDescent="0.25">
      <c r="I35" s="159"/>
      <c r="J35" s="159"/>
      <c r="K35" s="159"/>
      <c r="L35" s="159"/>
      <c r="M35" s="159"/>
      <c r="N35" s="159"/>
    </row>
    <row r="36" spans="9:14" ht="15" hidden="1" customHeight="1" x14ac:dyDescent="0.25">
      <c r="I36" s="159"/>
      <c r="J36" s="159"/>
      <c r="K36" s="159"/>
      <c r="L36" s="159"/>
      <c r="M36" s="159"/>
      <c r="N36" s="159"/>
    </row>
    <row r="37" spans="9:14" ht="15" hidden="1" customHeight="1" x14ac:dyDescent="0.25">
      <c r="I37" s="159"/>
      <c r="J37" s="159"/>
      <c r="K37" s="159"/>
      <c r="L37" s="159"/>
      <c r="M37" s="159"/>
      <c r="N37" s="159"/>
    </row>
    <row r="38" spans="9:14" ht="15" hidden="1" customHeight="1" x14ac:dyDescent="0.25">
      <c r="I38" s="159"/>
      <c r="J38" s="159"/>
      <c r="K38" s="159"/>
      <c r="L38" s="159"/>
      <c r="M38" s="159"/>
      <c r="N38" s="159"/>
    </row>
    <row r="39" spans="9:14" ht="15" hidden="1" customHeight="1" x14ac:dyDescent="0.25">
      <c r="I39" s="159"/>
      <c r="J39" s="159"/>
      <c r="K39" s="159"/>
      <c r="L39" s="159"/>
      <c r="M39" s="159"/>
      <c r="N39" s="159"/>
    </row>
    <row r="40" spans="9:14" ht="15" hidden="1" customHeight="1" x14ac:dyDescent="0.25">
      <c r="I40" s="159"/>
      <c r="J40" s="159"/>
      <c r="K40" s="159"/>
      <c r="L40" s="159"/>
      <c r="M40" s="159"/>
      <c r="N40" s="159"/>
    </row>
    <row r="41" spans="9:14" ht="15" hidden="1" customHeight="1" x14ac:dyDescent="0.25">
      <c r="I41" s="159"/>
      <c r="J41" s="159"/>
      <c r="K41" s="159"/>
      <c r="L41" s="159"/>
      <c r="M41" s="159"/>
      <c r="N41" s="159"/>
    </row>
  </sheetData>
  <sheetProtection sheet="1"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F234"/>
  <sheetViews>
    <sheetView workbookViewId="0"/>
  </sheetViews>
  <sheetFormatPr baseColWidth="10" defaultRowHeight="15" x14ac:dyDescent="0.25"/>
  <cols>
    <col min="1" max="1" width="16.140625" style="231" customWidth="1"/>
    <col min="2" max="18" width="9.5703125" customWidth="1"/>
  </cols>
  <sheetData>
    <row r="2" spans="2:32" ht="18.75" x14ac:dyDescent="0.3">
      <c r="C2" s="331" t="s">
        <v>382</v>
      </c>
      <c r="D2" s="332"/>
      <c r="E2" s="332"/>
      <c r="F2" s="332"/>
      <c r="G2" s="332"/>
      <c r="H2" s="332"/>
      <c r="I2" s="332"/>
      <c r="J2" s="332"/>
      <c r="K2" s="333"/>
    </row>
    <row r="3" spans="2:32" ht="15.75" thickBot="1" x14ac:dyDescent="0.3"/>
    <row r="4" spans="2:32" ht="75.75" thickBot="1" x14ac:dyDescent="0.3">
      <c r="C4" s="188" t="s">
        <v>383</v>
      </c>
      <c r="D4" s="189" t="s">
        <v>384</v>
      </c>
      <c r="E4" s="190" t="s">
        <v>385</v>
      </c>
      <c r="F4" s="191" t="s">
        <v>386</v>
      </c>
      <c r="G4" s="192" t="s">
        <v>387</v>
      </c>
      <c r="H4" s="193" t="s">
        <v>388</v>
      </c>
      <c r="I4" s="194" t="s">
        <v>389</v>
      </c>
      <c r="J4" s="194" t="s">
        <v>390</v>
      </c>
      <c r="K4" s="194" t="s">
        <v>391</v>
      </c>
      <c r="L4" s="195" t="s">
        <v>392</v>
      </c>
      <c r="M4" s="196"/>
      <c r="N4" s="189" t="s">
        <v>393</v>
      </c>
      <c r="O4" s="197" t="s">
        <v>385</v>
      </c>
      <c r="P4" s="198" t="s">
        <v>386</v>
      </c>
      <c r="Q4" s="199" t="s">
        <v>387</v>
      </c>
      <c r="R4" s="193" t="s">
        <v>388</v>
      </c>
      <c r="S4" s="194" t="s">
        <v>389</v>
      </c>
      <c r="T4" s="194" t="s">
        <v>390</v>
      </c>
      <c r="U4" s="194" t="s">
        <v>391</v>
      </c>
      <c r="V4" s="195" t="s">
        <v>392</v>
      </c>
      <c r="W4" s="196"/>
      <c r="X4" s="188" t="s">
        <v>394</v>
      </c>
      <c r="Y4" s="190" t="s">
        <v>385</v>
      </c>
      <c r="Z4" s="191" t="s">
        <v>386</v>
      </c>
      <c r="AA4" s="192" t="s">
        <v>387</v>
      </c>
      <c r="AB4" s="193" t="s">
        <v>388</v>
      </c>
      <c r="AC4" s="194" t="s">
        <v>389</v>
      </c>
      <c r="AD4" s="194" t="s">
        <v>390</v>
      </c>
      <c r="AE4" s="194" t="s">
        <v>391</v>
      </c>
      <c r="AF4" s="195" t="s">
        <v>392</v>
      </c>
    </row>
    <row r="5" spans="2:32" x14ac:dyDescent="0.25">
      <c r="C5" t="str">
        <f>'CALCUL DEET'!D11</f>
        <v>Année</v>
      </c>
      <c r="D5" t="e">
        <f>'CALCUL DEET'!D18</f>
        <v>#N/A</v>
      </c>
      <c r="E5">
        <f>'CALCUL DEET'!D30</f>
        <v>0</v>
      </c>
      <c r="F5">
        <f>'CALCUL DEET'!D12</f>
        <v>0</v>
      </c>
      <c r="H5" s="166">
        <f>SUM('CALCUL DEET'!D34:'CALCUL DEET'!D38)</f>
        <v>0</v>
      </c>
      <c r="K5">
        <f>'CALCUL DEET'!D33</f>
        <v>0</v>
      </c>
      <c r="N5">
        <f>'CALCUL DEET'!F18</f>
        <v>0</v>
      </c>
      <c r="O5">
        <f>'CALCUL DEET'!F30</f>
        <v>0</v>
      </c>
      <c r="P5">
        <f>'CALCUL DEET'!F12</f>
        <v>0</v>
      </c>
      <c r="R5" s="166">
        <f>SUM('CALCUL DEET'!F34:'CALCUL DEET'!F38)</f>
        <v>0</v>
      </c>
      <c r="U5">
        <f>'CALCUL DEET'!F33</f>
        <v>0</v>
      </c>
      <c r="X5">
        <f>'CALCUL DEET'!G18</f>
        <v>0</v>
      </c>
      <c r="Y5">
        <f>'CALCUL DEET'!G30</f>
        <v>0</v>
      </c>
      <c r="Z5">
        <f>'CALCUL DEET'!G12</f>
        <v>0</v>
      </c>
      <c r="AB5" s="166">
        <f>SUM('CALCUL DEET'!G34:'CALCUL DEET'!G38)</f>
        <v>0</v>
      </c>
      <c r="AE5">
        <f>'CALCUL DEET'!G33</f>
        <v>0</v>
      </c>
    </row>
    <row r="6" spans="2:32" x14ac:dyDescent="0.25">
      <c r="E6" t="s">
        <v>496</v>
      </c>
      <c r="K6" t="s">
        <v>395</v>
      </c>
    </row>
    <row r="8" spans="2:32" ht="18.75" x14ac:dyDescent="0.3">
      <c r="C8" s="331" t="s">
        <v>396</v>
      </c>
      <c r="D8" s="332"/>
      <c r="E8" s="332"/>
      <c r="F8" s="332"/>
      <c r="G8" s="332"/>
      <c r="H8" s="332"/>
      <c r="I8" s="332"/>
      <c r="J8" s="332"/>
      <c r="K8" s="333"/>
    </row>
    <row r="10" spans="2:32" s="231" customFormat="1" x14ac:dyDescent="0.25">
      <c r="C10" s="231" t="s">
        <v>480</v>
      </c>
    </row>
    <row r="11" spans="2:32" s="231" customFormat="1" x14ac:dyDescent="0.25"/>
    <row r="12" spans="2:32" s="231" customFormat="1" x14ac:dyDescent="0.25">
      <c r="C12" s="231" t="s">
        <v>481</v>
      </c>
    </row>
    <row r="13" spans="2:32" x14ac:dyDescent="0.25">
      <c r="C13" t="s">
        <v>494</v>
      </c>
    </row>
    <row r="14" spans="2:32" s="231" customFormat="1" x14ac:dyDescent="0.25">
      <c r="C14" s="231" t="s">
        <v>495</v>
      </c>
    </row>
    <row r="16" spans="2:32" s="125" customFormat="1" ht="15.75" thickBot="1" x14ac:dyDescent="0.3">
      <c r="B16" s="125">
        <v>2010</v>
      </c>
      <c r="C16" s="125">
        <v>2011</v>
      </c>
      <c r="D16" s="125">
        <v>2012</v>
      </c>
      <c r="E16" s="125">
        <v>2013</v>
      </c>
      <c r="F16" s="125">
        <v>2014</v>
      </c>
      <c r="G16" s="125">
        <v>2015</v>
      </c>
      <c r="H16" s="125">
        <v>2016</v>
      </c>
      <c r="I16" s="125">
        <v>2017</v>
      </c>
      <c r="J16" s="125">
        <v>2018</v>
      </c>
      <c r="K16" s="125">
        <v>2019</v>
      </c>
      <c r="L16" s="125">
        <v>2020</v>
      </c>
      <c r="M16" s="125">
        <v>2021</v>
      </c>
      <c r="N16" s="125">
        <v>2022</v>
      </c>
      <c r="O16" s="125">
        <v>2023</v>
      </c>
      <c r="P16" s="125">
        <v>2024</v>
      </c>
      <c r="Q16" s="125">
        <v>2025</v>
      </c>
      <c r="R16" s="125">
        <v>2026</v>
      </c>
    </row>
    <row r="17" spans="1:18" ht="25.5" customHeight="1" x14ac:dyDescent="0.25">
      <c r="A17" s="272" t="s">
        <v>482</v>
      </c>
      <c r="B17" s="152"/>
      <c r="C17" s="153"/>
      <c r="D17" s="153"/>
      <c r="E17" s="153"/>
      <c r="F17" s="153"/>
      <c r="G17" s="153"/>
      <c r="H17" s="153"/>
      <c r="I17" s="153"/>
      <c r="J17" s="153"/>
      <c r="K17" s="153"/>
      <c r="L17" s="153"/>
      <c r="M17" s="153"/>
      <c r="N17" s="153"/>
      <c r="O17" s="153"/>
      <c r="P17" s="153"/>
      <c r="Q17" s="153"/>
      <c r="R17" s="153"/>
    </row>
    <row r="18" spans="1:18" x14ac:dyDescent="0.25">
      <c r="A18" s="231" t="s">
        <v>483</v>
      </c>
      <c r="B18" s="154"/>
      <c r="C18" s="155"/>
      <c r="D18" s="155"/>
      <c r="E18" s="155"/>
      <c r="F18" s="155"/>
      <c r="G18" s="155"/>
      <c r="H18" s="155"/>
      <c r="I18" s="155"/>
      <c r="J18" s="155"/>
      <c r="K18" s="155"/>
      <c r="L18" s="155"/>
      <c r="M18" s="155"/>
      <c r="N18" s="155"/>
      <c r="O18" s="155"/>
      <c r="P18" s="155"/>
      <c r="Q18" s="155"/>
      <c r="R18" s="155"/>
    </row>
    <row r="19" spans="1:18" x14ac:dyDescent="0.25">
      <c r="A19" s="231" t="s">
        <v>484</v>
      </c>
      <c r="B19" s="154"/>
      <c r="C19" s="155"/>
      <c r="D19" s="155"/>
      <c r="E19" s="155"/>
      <c r="F19" s="155"/>
      <c r="G19" s="155"/>
      <c r="H19" s="155"/>
      <c r="I19" s="155"/>
      <c r="J19" s="155"/>
      <c r="K19" s="155"/>
      <c r="L19" s="155"/>
      <c r="M19" s="155"/>
      <c r="N19" s="155"/>
      <c r="O19" s="155"/>
      <c r="P19" s="155"/>
      <c r="Q19" s="155"/>
      <c r="R19" s="155"/>
    </row>
    <row r="20" spans="1:18" x14ac:dyDescent="0.25">
      <c r="A20" s="231" t="s">
        <v>485</v>
      </c>
      <c r="B20" s="154"/>
      <c r="C20" s="155"/>
      <c r="D20" s="155"/>
      <c r="E20" s="155"/>
      <c r="F20" s="155"/>
      <c r="G20" s="155"/>
      <c r="H20" s="155"/>
      <c r="I20" s="155"/>
      <c r="J20" s="155"/>
      <c r="K20" s="155"/>
      <c r="L20" s="155"/>
      <c r="M20" s="155"/>
      <c r="N20" s="155"/>
      <c r="O20" s="155"/>
      <c r="P20" s="155"/>
      <c r="Q20" s="155"/>
      <c r="R20" s="155"/>
    </row>
    <row r="21" spans="1:18" x14ac:dyDescent="0.25">
      <c r="A21" s="231" t="s">
        <v>486</v>
      </c>
      <c r="B21" s="154"/>
      <c r="C21" s="155"/>
      <c r="D21" s="155"/>
      <c r="E21" s="155"/>
      <c r="F21" s="155"/>
      <c r="G21" s="155"/>
      <c r="H21" s="155"/>
      <c r="I21" s="155"/>
      <c r="J21" s="155"/>
      <c r="K21" s="155"/>
      <c r="L21" s="155"/>
      <c r="M21" s="155"/>
      <c r="N21" s="155"/>
      <c r="O21" s="155"/>
      <c r="P21" s="155"/>
      <c r="Q21" s="155"/>
      <c r="R21" s="155"/>
    </row>
    <row r="22" spans="1:18" x14ac:dyDescent="0.25">
      <c r="A22" s="231" t="s">
        <v>487</v>
      </c>
      <c r="B22" s="154"/>
      <c r="C22" s="155"/>
      <c r="D22" s="155"/>
      <c r="E22" s="155"/>
      <c r="F22" s="155"/>
      <c r="G22" s="155"/>
      <c r="H22" s="155"/>
      <c r="I22" s="155"/>
      <c r="J22" s="155"/>
      <c r="K22" s="155"/>
      <c r="L22" s="155"/>
      <c r="M22" s="155"/>
      <c r="N22" s="155"/>
      <c r="O22" s="155"/>
      <c r="P22" s="155"/>
      <c r="Q22" s="155"/>
      <c r="R22" s="155"/>
    </row>
    <row r="23" spans="1:18" x14ac:dyDescent="0.25">
      <c r="A23" s="231" t="s">
        <v>488</v>
      </c>
      <c r="B23" s="154"/>
      <c r="C23" s="155"/>
      <c r="D23" s="155"/>
      <c r="E23" s="155"/>
      <c r="F23" s="155"/>
      <c r="G23" s="155"/>
      <c r="H23" s="155"/>
      <c r="I23" s="155"/>
      <c r="J23" s="155"/>
      <c r="K23" s="155"/>
      <c r="L23" s="155"/>
      <c r="M23" s="155"/>
      <c r="N23" s="155"/>
      <c r="O23" s="155"/>
      <c r="P23" s="155"/>
      <c r="Q23" s="155"/>
      <c r="R23" s="155"/>
    </row>
    <row r="24" spans="1:18" x14ac:dyDescent="0.25">
      <c r="A24" s="231" t="s">
        <v>489</v>
      </c>
      <c r="B24" s="154"/>
      <c r="C24" s="155"/>
      <c r="D24" s="155"/>
      <c r="E24" s="155"/>
      <c r="F24" s="155"/>
      <c r="G24" s="155"/>
      <c r="H24" s="155"/>
      <c r="I24" s="155"/>
      <c r="J24" s="155"/>
      <c r="K24" s="155"/>
      <c r="L24" s="155"/>
      <c r="M24" s="155"/>
      <c r="N24" s="155"/>
      <c r="O24" s="155"/>
      <c r="P24" s="155"/>
      <c r="Q24" s="155"/>
      <c r="R24" s="155"/>
    </row>
    <row r="25" spans="1:18" x14ac:dyDescent="0.25">
      <c r="A25" s="231" t="s">
        <v>490</v>
      </c>
      <c r="B25" s="154"/>
      <c r="C25" s="155"/>
      <c r="D25" s="155"/>
      <c r="E25" s="155"/>
      <c r="F25" s="155"/>
      <c r="G25" s="155"/>
      <c r="H25" s="155"/>
      <c r="I25" s="155"/>
      <c r="J25" s="155"/>
      <c r="K25" s="155"/>
      <c r="L25" s="155"/>
      <c r="M25" s="155"/>
      <c r="N25" s="155"/>
      <c r="O25" s="155"/>
      <c r="P25" s="155"/>
      <c r="Q25" s="155"/>
      <c r="R25" s="155"/>
    </row>
    <row r="26" spans="1:18" x14ac:dyDescent="0.25">
      <c r="A26" s="231" t="s">
        <v>491</v>
      </c>
      <c r="B26" s="154"/>
      <c r="C26" s="155"/>
      <c r="D26" s="155"/>
      <c r="E26" s="155"/>
      <c r="F26" s="155"/>
      <c r="G26" s="155"/>
      <c r="H26" s="155"/>
      <c r="I26" s="155"/>
      <c r="J26" s="155"/>
      <c r="K26" s="155"/>
      <c r="L26" s="155"/>
      <c r="M26" s="155"/>
      <c r="N26" s="155"/>
      <c r="O26" s="155"/>
      <c r="P26" s="155"/>
      <c r="Q26" s="155"/>
      <c r="R26" s="155"/>
    </row>
    <row r="27" spans="1:18" x14ac:dyDescent="0.25">
      <c r="A27" s="231" t="s">
        <v>492</v>
      </c>
      <c r="B27" s="154"/>
      <c r="C27" s="155"/>
      <c r="D27" s="155"/>
      <c r="E27" s="155"/>
      <c r="F27" s="155"/>
      <c r="G27" s="155"/>
      <c r="H27" s="155"/>
      <c r="I27" s="155"/>
      <c r="J27" s="155"/>
      <c r="K27" s="155"/>
      <c r="L27" s="155"/>
      <c r="M27" s="155"/>
      <c r="N27" s="155"/>
      <c r="O27" s="155"/>
      <c r="P27" s="155"/>
      <c r="Q27" s="155"/>
      <c r="R27" s="155"/>
    </row>
    <row r="28" spans="1:18" ht="15.75" thickBot="1" x14ac:dyDescent="0.3">
      <c r="A28" s="231" t="s">
        <v>493</v>
      </c>
      <c r="B28" s="154"/>
      <c r="C28" s="156"/>
      <c r="D28" s="156"/>
      <c r="E28" s="156"/>
      <c r="F28" s="156"/>
      <c r="G28" s="156"/>
      <c r="H28" s="156"/>
      <c r="I28" s="156"/>
      <c r="J28" s="156"/>
      <c r="K28" s="156"/>
      <c r="L28" s="156"/>
      <c r="M28" s="156"/>
      <c r="N28" s="156"/>
      <c r="O28" s="156"/>
      <c r="P28" s="156"/>
      <c r="Q28" s="156"/>
      <c r="R28" s="156"/>
    </row>
    <row r="30" spans="1:18" x14ac:dyDescent="0.25">
      <c r="B30" t="s">
        <v>321</v>
      </c>
      <c r="F30" t="s">
        <v>322</v>
      </c>
    </row>
    <row r="31" spans="1:18" x14ac:dyDescent="0.25">
      <c r="B31" s="273">
        <f>B17</f>
        <v>0</v>
      </c>
      <c r="C31" s="157">
        <v>1</v>
      </c>
      <c r="D31" s="334">
        <f>B16</f>
        <v>2010</v>
      </c>
      <c r="F31" s="273">
        <f>B17/12</f>
        <v>0</v>
      </c>
    </row>
    <row r="32" spans="1:18" x14ac:dyDescent="0.25">
      <c r="B32" s="273">
        <f t="shared" ref="B32:B42" si="0">B18</f>
        <v>0</v>
      </c>
      <c r="C32" s="157">
        <v>2</v>
      </c>
      <c r="D32" s="334"/>
      <c r="F32" s="273">
        <f>F31</f>
        <v>0</v>
      </c>
    </row>
    <row r="33" spans="2:6" x14ac:dyDescent="0.25">
      <c r="B33" s="273">
        <f t="shared" si="0"/>
        <v>0</v>
      </c>
      <c r="C33" s="157">
        <v>3</v>
      </c>
      <c r="D33" s="334"/>
      <c r="F33" s="273">
        <f>F32</f>
        <v>0</v>
      </c>
    </row>
    <row r="34" spans="2:6" x14ac:dyDescent="0.25">
      <c r="B34" s="273">
        <f t="shared" si="0"/>
        <v>0</v>
      </c>
      <c r="C34" s="157">
        <v>4</v>
      </c>
      <c r="D34" s="334"/>
      <c r="F34" s="273">
        <f t="shared" ref="F34:F42" si="1">F33</f>
        <v>0</v>
      </c>
    </row>
    <row r="35" spans="2:6" x14ac:dyDescent="0.25">
      <c r="B35" s="273">
        <f t="shared" si="0"/>
        <v>0</v>
      </c>
      <c r="C35" s="157">
        <v>5</v>
      </c>
      <c r="D35" s="334"/>
      <c r="F35" s="273">
        <f t="shared" si="1"/>
        <v>0</v>
      </c>
    </row>
    <row r="36" spans="2:6" x14ac:dyDescent="0.25">
      <c r="B36" s="273">
        <f t="shared" si="0"/>
        <v>0</v>
      </c>
      <c r="C36" s="157">
        <v>6</v>
      </c>
      <c r="D36" s="334"/>
      <c r="F36" s="273">
        <f t="shared" si="1"/>
        <v>0</v>
      </c>
    </row>
    <row r="37" spans="2:6" x14ac:dyDescent="0.25">
      <c r="B37" s="273">
        <f t="shared" si="0"/>
        <v>0</v>
      </c>
      <c r="C37" s="157">
        <v>7</v>
      </c>
      <c r="D37" s="334"/>
      <c r="F37" s="273">
        <f t="shared" si="1"/>
        <v>0</v>
      </c>
    </row>
    <row r="38" spans="2:6" x14ac:dyDescent="0.25">
      <c r="B38" s="273">
        <f t="shared" si="0"/>
        <v>0</v>
      </c>
      <c r="C38" s="157">
        <v>8</v>
      </c>
      <c r="D38" s="334"/>
      <c r="F38" s="273">
        <f t="shared" si="1"/>
        <v>0</v>
      </c>
    </row>
    <row r="39" spans="2:6" x14ac:dyDescent="0.25">
      <c r="B39" s="273">
        <f t="shared" si="0"/>
        <v>0</v>
      </c>
      <c r="C39" s="157">
        <v>9</v>
      </c>
      <c r="D39" s="334"/>
      <c r="F39" s="273">
        <f t="shared" si="1"/>
        <v>0</v>
      </c>
    </row>
    <row r="40" spans="2:6" x14ac:dyDescent="0.25">
      <c r="B40" s="273">
        <f t="shared" si="0"/>
        <v>0</v>
      </c>
      <c r="C40" s="157">
        <v>10</v>
      </c>
      <c r="D40" s="334"/>
      <c r="F40" s="273">
        <f t="shared" si="1"/>
        <v>0</v>
      </c>
    </row>
    <row r="41" spans="2:6" x14ac:dyDescent="0.25">
      <c r="B41" s="273">
        <f t="shared" si="0"/>
        <v>0</v>
      </c>
      <c r="C41" s="157">
        <v>11</v>
      </c>
      <c r="D41" s="334"/>
      <c r="F41" s="273">
        <f t="shared" si="1"/>
        <v>0</v>
      </c>
    </row>
    <row r="42" spans="2:6" x14ac:dyDescent="0.25">
      <c r="B42" s="273">
        <f t="shared" si="0"/>
        <v>0</v>
      </c>
      <c r="C42" s="157">
        <v>12</v>
      </c>
      <c r="D42" s="334"/>
      <c r="F42" s="273">
        <f t="shared" si="1"/>
        <v>0</v>
      </c>
    </row>
    <row r="43" spans="2:6" x14ac:dyDescent="0.25">
      <c r="B43" s="273">
        <f>C17</f>
        <v>0</v>
      </c>
      <c r="C43" s="157">
        <v>1</v>
      </c>
      <c r="D43" s="334">
        <f>C16</f>
        <v>2011</v>
      </c>
      <c r="F43" s="273">
        <f>C17/12</f>
        <v>0</v>
      </c>
    </row>
    <row r="44" spans="2:6" x14ac:dyDescent="0.25">
      <c r="B44" s="273">
        <f t="shared" ref="B44:B54" si="2">C18</f>
        <v>0</v>
      </c>
      <c r="C44" s="157">
        <v>2</v>
      </c>
      <c r="D44" s="334"/>
      <c r="F44" s="273">
        <f t="shared" ref="F44:F107" si="3">F43</f>
        <v>0</v>
      </c>
    </row>
    <row r="45" spans="2:6" x14ac:dyDescent="0.25">
      <c r="B45" s="273">
        <f t="shared" si="2"/>
        <v>0</v>
      </c>
      <c r="C45" s="157">
        <v>3</v>
      </c>
      <c r="D45" s="334"/>
      <c r="F45" s="273">
        <f t="shared" si="3"/>
        <v>0</v>
      </c>
    </row>
    <row r="46" spans="2:6" x14ac:dyDescent="0.25">
      <c r="B46" s="273">
        <f t="shared" si="2"/>
        <v>0</v>
      </c>
      <c r="C46" s="157">
        <v>4</v>
      </c>
      <c r="D46" s="334"/>
      <c r="F46" s="273">
        <f t="shared" si="3"/>
        <v>0</v>
      </c>
    </row>
    <row r="47" spans="2:6" x14ac:dyDescent="0.25">
      <c r="B47" s="273">
        <f t="shared" si="2"/>
        <v>0</v>
      </c>
      <c r="C47" s="157">
        <v>5</v>
      </c>
      <c r="D47" s="334"/>
      <c r="F47" s="273">
        <f t="shared" si="3"/>
        <v>0</v>
      </c>
    </row>
    <row r="48" spans="2:6" x14ac:dyDescent="0.25">
      <c r="B48" s="273">
        <f t="shared" si="2"/>
        <v>0</v>
      </c>
      <c r="C48" s="157">
        <v>6</v>
      </c>
      <c r="D48" s="334"/>
      <c r="F48" s="273">
        <f t="shared" si="3"/>
        <v>0</v>
      </c>
    </row>
    <row r="49" spans="2:6" x14ac:dyDescent="0.25">
      <c r="B49" s="273">
        <f t="shared" si="2"/>
        <v>0</v>
      </c>
      <c r="C49" s="157">
        <v>7</v>
      </c>
      <c r="D49" s="334"/>
      <c r="F49" s="273">
        <f t="shared" si="3"/>
        <v>0</v>
      </c>
    </row>
    <row r="50" spans="2:6" x14ac:dyDescent="0.25">
      <c r="B50" s="273">
        <f t="shared" si="2"/>
        <v>0</v>
      </c>
      <c r="C50" s="157">
        <v>8</v>
      </c>
      <c r="D50" s="334"/>
      <c r="F50" s="273">
        <f t="shared" si="3"/>
        <v>0</v>
      </c>
    </row>
    <row r="51" spans="2:6" x14ac:dyDescent="0.25">
      <c r="B51" s="273">
        <f t="shared" si="2"/>
        <v>0</v>
      </c>
      <c r="C51" s="157">
        <v>9</v>
      </c>
      <c r="D51" s="334"/>
      <c r="F51" s="273">
        <f t="shared" si="3"/>
        <v>0</v>
      </c>
    </row>
    <row r="52" spans="2:6" x14ac:dyDescent="0.25">
      <c r="B52" s="273">
        <f t="shared" si="2"/>
        <v>0</v>
      </c>
      <c r="C52" s="157">
        <v>10</v>
      </c>
      <c r="D52" s="334"/>
      <c r="F52" s="273">
        <f t="shared" si="3"/>
        <v>0</v>
      </c>
    </row>
    <row r="53" spans="2:6" x14ac:dyDescent="0.25">
      <c r="B53" s="273">
        <f t="shared" si="2"/>
        <v>0</v>
      </c>
      <c r="C53" s="157">
        <v>11</v>
      </c>
      <c r="D53" s="334"/>
      <c r="F53" s="273">
        <f t="shared" si="3"/>
        <v>0</v>
      </c>
    </row>
    <row r="54" spans="2:6" x14ac:dyDescent="0.25">
      <c r="B54" s="273">
        <f t="shared" si="2"/>
        <v>0</v>
      </c>
      <c r="C54" s="157">
        <v>12</v>
      </c>
      <c r="D54" s="334"/>
      <c r="F54" s="273">
        <f t="shared" si="3"/>
        <v>0</v>
      </c>
    </row>
    <row r="55" spans="2:6" x14ac:dyDescent="0.25">
      <c r="B55" s="273">
        <f>D17</f>
        <v>0</v>
      </c>
      <c r="C55" s="157">
        <v>1</v>
      </c>
      <c r="D55" s="334">
        <f>D16</f>
        <v>2012</v>
      </c>
      <c r="F55" s="273">
        <f>D17/12</f>
        <v>0</v>
      </c>
    </row>
    <row r="56" spans="2:6" x14ac:dyDescent="0.25">
      <c r="B56" s="273">
        <f t="shared" ref="B56:B66" si="4">D18</f>
        <v>0</v>
      </c>
      <c r="C56" s="157">
        <v>2</v>
      </c>
      <c r="D56" s="334"/>
      <c r="F56" s="273">
        <f t="shared" ref="F56:F57" si="5">F55</f>
        <v>0</v>
      </c>
    </row>
    <row r="57" spans="2:6" x14ac:dyDescent="0.25">
      <c r="B57" s="273">
        <f t="shared" si="4"/>
        <v>0</v>
      </c>
      <c r="C57" s="157">
        <v>3</v>
      </c>
      <c r="D57" s="334"/>
      <c r="F57" s="273">
        <f t="shared" si="5"/>
        <v>0</v>
      </c>
    </row>
    <row r="58" spans="2:6" x14ac:dyDescent="0.25">
      <c r="B58" s="273">
        <f t="shared" si="4"/>
        <v>0</v>
      </c>
      <c r="C58" s="157">
        <v>4</v>
      </c>
      <c r="D58" s="334"/>
      <c r="F58" s="273">
        <f t="shared" si="3"/>
        <v>0</v>
      </c>
    </row>
    <row r="59" spans="2:6" x14ac:dyDescent="0.25">
      <c r="B59" s="273">
        <f t="shared" si="4"/>
        <v>0</v>
      </c>
      <c r="C59" s="157">
        <v>5</v>
      </c>
      <c r="D59" s="334"/>
      <c r="F59" s="273">
        <f t="shared" si="3"/>
        <v>0</v>
      </c>
    </row>
    <row r="60" spans="2:6" x14ac:dyDescent="0.25">
      <c r="B60" s="273">
        <f t="shared" si="4"/>
        <v>0</v>
      </c>
      <c r="C60" s="157">
        <v>6</v>
      </c>
      <c r="D60" s="334"/>
      <c r="F60" s="273">
        <f t="shared" si="3"/>
        <v>0</v>
      </c>
    </row>
    <row r="61" spans="2:6" x14ac:dyDescent="0.25">
      <c r="B61" s="273">
        <f t="shared" si="4"/>
        <v>0</v>
      </c>
      <c r="C61" s="157">
        <v>7</v>
      </c>
      <c r="D61" s="334"/>
      <c r="F61" s="273">
        <f t="shared" si="3"/>
        <v>0</v>
      </c>
    </row>
    <row r="62" spans="2:6" x14ac:dyDescent="0.25">
      <c r="B62" s="273">
        <f t="shared" si="4"/>
        <v>0</v>
      </c>
      <c r="C62" s="157">
        <v>8</v>
      </c>
      <c r="D62" s="334"/>
      <c r="F62" s="273">
        <f t="shared" si="3"/>
        <v>0</v>
      </c>
    </row>
    <row r="63" spans="2:6" x14ac:dyDescent="0.25">
      <c r="B63" s="273">
        <f t="shared" si="4"/>
        <v>0</v>
      </c>
      <c r="C63" s="157">
        <v>9</v>
      </c>
      <c r="D63" s="334"/>
      <c r="F63" s="273">
        <f t="shared" si="3"/>
        <v>0</v>
      </c>
    </row>
    <row r="64" spans="2:6" x14ac:dyDescent="0.25">
      <c r="B64" s="273">
        <f t="shared" si="4"/>
        <v>0</v>
      </c>
      <c r="C64" s="157">
        <v>10</v>
      </c>
      <c r="D64" s="334"/>
      <c r="F64" s="273">
        <f t="shared" si="3"/>
        <v>0</v>
      </c>
    </row>
    <row r="65" spans="2:6" x14ac:dyDescent="0.25">
      <c r="B65" s="273">
        <f t="shared" si="4"/>
        <v>0</v>
      </c>
      <c r="C65" s="157">
        <v>11</v>
      </c>
      <c r="D65" s="334"/>
      <c r="F65" s="273">
        <f t="shared" si="3"/>
        <v>0</v>
      </c>
    </row>
    <row r="66" spans="2:6" x14ac:dyDescent="0.25">
      <c r="B66" s="273">
        <f t="shared" si="4"/>
        <v>0</v>
      </c>
      <c r="C66" s="157">
        <v>12</v>
      </c>
      <c r="D66" s="334"/>
      <c r="F66" s="273">
        <f t="shared" si="3"/>
        <v>0</v>
      </c>
    </row>
    <row r="67" spans="2:6" x14ac:dyDescent="0.25">
      <c r="B67" s="273">
        <f>E17</f>
        <v>0</v>
      </c>
      <c r="C67" s="157">
        <v>1</v>
      </c>
      <c r="D67" s="334">
        <f>E16</f>
        <v>2013</v>
      </c>
      <c r="F67" s="273">
        <f>E17/12</f>
        <v>0</v>
      </c>
    </row>
    <row r="68" spans="2:6" x14ac:dyDescent="0.25">
      <c r="B68" s="273">
        <f t="shared" ref="B68:B78" si="6">E18</f>
        <v>0</v>
      </c>
      <c r="C68" s="157">
        <v>2</v>
      </c>
      <c r="D68" s="334"/>
      <c r="F68" s="273">
        <f t="shared" ref="F68:F69" si="7">F67</f>
        <v>0</v>
      </c>
    </row>
    <row r="69" spans="2:6" x14ac:dyDescent="0.25">
      <c r="B69" s="273">
        <f t="shared" si="6"/>
        <v>0</v>
      </c>
      <c r="C69" s="157">
        <v>3</v>
      </c>
      <c r="D69" s="334"/>
      <c r="F69" s="273">
        <f t="shared" si="7"/>
        <v>0</v>
      </c>
    </row>
    <row r="70" spans="2:6" x14ac:dyDescent="0.25">
      <c r="B70" s="273">
        <f t="shared" si="6"/>
        <v>0</v>
      </c>
      <c r="C70" s="157">
        <v>4</v>
      </c>
      <c r="D70" s="334"/>
      <c r="F70" s="273">
        <f t="shared" si="3"/>
        <v>0</v>
      </c>
    </row>
    <row r="71" spans="2:6" x14ac:dyDescent="0.25">
      <c r="B71" s="273">
        <f t="shared" si="6"/>
        <v>0</v>
      </c>
      <c r="C71" s="157">
        <v>5</v>
      </c>
      <c r="D71" s="334"/>
      <c r="F71" s="273">
        <f t="shared" si="3"/>
        <v>0</v>
      </c>
    </row>
    <row r="72" spans="2:6" x14ac:dyDescent="0.25">
      <c r="B72" s="273">
        <f t="shared" si="6"/>
        <v>0</v>
      </c>
      <c r="C72" s="157">
        <v>6</v>
      </c>
      <c r="D72" s="334"/>
      <c r="F72" s="273">
        <f t="shared" si="3"/>
        <v>0</v>
      </c>
    </row>
    <row r="73" spans="2:6" x14ac:dyDescent="0.25">
      <c r="B73" s="273">
        <f t="shared" si="6"/>
        <v>0</v>
      </c>
      <c r="C73" s="157">
        <v>7</v>
      </c>
      <c r="D73" s="334"/>
      <c r="F73" s="273">
        <f t="shared" si="3"/>
        <v>0</v>
      </c>
    </row>
    <row r="74" spans="2:6" x14ac:dyDescent="0.25">
      <c r="B74" s="273">
        <f t="shared" si="6"/>
        <v>0</v>
      </c>
      <c r="C74" s="157">
        <v>8</v>
      </c>
      <c r="D74" s="334"/>
      <c r="F74" s="273">
        <f t="shared" si="3"/>
        <v>0</v>
      </c>
    </row>
    <row r="75" spans="2:6" x14ac:dyDescent="0.25">
      <c r="B75" s="273">
        <f t="shared" si="6"/>
        <v>0</v>
      </c>
      <c r="C75" s="157">
        <v>9</v>
      </c>
      <c r="D75" s="334"/>
      <c r="F75" s="273">
        <f t="shared" si="3"/>
        <v>0</v>
      </c>
    </row>
    <row r="76" spans="2:6" x14ac:dyDescent="0.25">
      <c r="B76" s="273">
        <f t="shared" si="6"/>
        <v>0</v>
      </c>
      <c r="C76" s="157">
        <v>10</v>
      </c>
      <c r="D76" s="334"/>
      <c r="F76" s="273">
        <f t="shared" si="3"/>
        <v>0</v>
      </c>
    </row>
    <row r="77" spans="2:6" x14ac:dyDescent="0.25">
      <c r="B77" s="273">
        <f t="shared" si="6"/>
        <v>0</v>
      </c>
      <c r="C77" s="157">
        <v>11</v>
      </c>
      <c r="D77" s="334"/>
      <c r="F77" s="273">
        <f t="shared" si="3"/>
        <v>0</v>
      </c>
    </row>
    <row r="78" spans="2:6" x14ac:dyDescent="0.25">
      <c r="B78" s="273">
        <f t="shared" si="6"/>
        <v>0</v>
      </c>
      <c r="C78" s="157">
        <v>12</v>
      </c>
      <c r="D78" s="334"/>
      <c r="F78" s="273">
        <f t="shared" si="3"/>
        <v>0</v>
      </c>
    </row>
    <row r="79" spans="2:6" x14ac:dyDescent="0.25">
      <c r="B79" s="273">
        <f>F17</f>
        <v>0</v>
      </c>
      <c r="C79" s="157">
        <v>1</v>
      </c>
      <c r="D79" s="334">
        <f>F16</f>
        <v>2014</v>
      </c>
      <c r="F79" s="273">
        <f>F17/12</f>
        <v>0</v>
      </c>
    </row>
    <row r="80" spans="2:6" x14ac:dyDescent="0.25">
      <c r="B80" s="273">
        <f t="shared" ref="B80:B90" si="8">F18</f>
        <v>0</v>
      </c>
      <c r="C80" s="157">
        <v>2</v>
      </c>
      <c r="D80" s="334"/>
      <c r="F80" s="273">
        <f t="shared" ref="F80:F81" si="9">F79</f>
        <v>0</v>
      </c>
    </row>
    <row r="81" spans="2:6" x14ac:dyDescent="0.25">
      <c r="B81" s="273">
        <f t="shared" si="8"/>
        <v>0</v>
      </c>
      <c r="C81" s="157">
        <v>3</v>
      </c>
      <c r="D81" s="334"/>
      <c r="F81" s="273">
        <f t="shared" si="9"/>
        <v>0</v>
      </c>
    </row>
    <row r="82" spans="2:6" x14ac:dyDescent="0.25">
      <c r="B82" s="273">
        <f t="shared" si="8"/>
        <v>0</v>
      </c>
      <c r="C82" s="157">
        <v>4</v>
      </c>
      <c r="D82" s="334"/>
      <c r="F82" s="273">
        <f t="shared" si="3"/>
        <v>0</v>
      </c>
    </row>
    <row r="83" spans="2:6" x14ac:dyDescent="0.25">
      <c r="B83" s="273">
        <f t="shared" si="8"/>
        <v>0</v>
      </c>
      <c r="C83" s="157">
        <v>5</v>
      </c>
      <c r="D83" s="334"/>
      <c r="F83" s="273">
        <f t="shared" si="3"/>
        <v>0</v>
      </c>
    </row>
    <row r="84" spans="2:6" x14ac:dyDescent="0.25">
      <c r="B84" s="273">
        <f t="shared" si="8"/>
        <v>0</v>
      </c>
      <c r="C84" s="157">
        <v>6</v>
      </c>
      <c r="D84" s="334"/>
      <c r="F84" s="273">
        <f t="shared" si="3"/>
        <v>0</v>
      </c>
    </row>
    <row r="85" spans="2:6" x14ac:dyDescent="0.25">
      <c r="B85" s="273">
        <f t="shared" si="8"/>
        <v>0</v>
      </c>
      <c r="C85" s="157">
        <v>7</v>
      </c>
      <c r="D85" s="334"/>
      <c r="F85" s="273">
        <f t="shared" si="3"/>
        <v>0</v>
      </c>
    </row>
    <row r="86" spans="2:6" x14ac:dyDescent="0.25">
      <c r="B86" s="273">
        <f t="shared" si="8"/>
        <v>0</v>
      </c>
      <c r="C86" s="157">
        <v>8</v>
      </c>
      <c r="D86" s="334"/>
      <c r="F86" s="273">
        <f t="shared" si="3"/>
        <v>0</v>
      </c>
    </row>
    <row r="87" spans="2:6" x14ac:dyDescent="0.25">
      <c r="B87" s="273">
        <f t="shared" si="8"/>
        <v>0</v>
      </c>
      <c r="C87" s="157">
        <v>9</v>
      </c>
      <c r="D87" s="334"/>
      <c r="F87" s="273">
        <f t="shared" si="3"/>
        <v>0</v>
      </c>
    </row>
    <row r="88" spans="2:6" x14ac:dyDescent="0.25">
      <c r="B88" s="273">
        <f t="shared" si="8"/>
        <v>0</v>
      </c>
      <c r="C88" s="157">
        <v>10</v>
      </c>
      <c r="D88" s="334"/>
      <c r="F88" s="273">
        <f t="shared" si="3"/>
        <v>0</v>
      </c>
    </row>
    <row r="89" spans="2:6" x14ac:dyDescent="0.25">
      <c r="B89" s="273">
        <f t="shared" si="8"/>
        <v>0</v>
      </c>
      <c r="C89" s="157">
        <v>11</v>
      </c>
      <c r="D89" s="334"/>
      <c r="F89" s="273">
        <f t="shared" si="3"/>
        <v>0</v>
      </c>
    </row>
    <row r="90" spans="2:6" x14ac:dyDescent="0.25">
      <c r="B90" s="273">
        <f t="shared" si="8"/>
        <v>0</v>
      </c>
      <c r="C90" s="157">
        <v>12</v>
      </c>
      <c r="D90" s="334"/>
      <c r="F90" s="273">
        <f t="shared" si="3"/>
        <v>0</v>
      </c>
    </row>
    <row r="91" spans="2:6" x14ac:dyDescent="0.25">
      <c r="B91" s="273">
        <f>G17</f>
        <v>0</v>
      </c>
      <c r="C91" s="157">
        <v>1</v>
      </c>
      <c r="D91" s="334">
        <f>G16</f>
        <v>2015</v>
      </c>
      <c r="F91" s="273">
        <f>G17/12</f>
        <v>0</v>
      </c>
    </row>
    <row r="92" spans="2:6" x14ac:dyDescent="0.25">
      <c r="B92" s="273">
        <f t="shared" ref="B92:B102" si="10">G18</f>
        <v>0</v>
      </c>
      <c r="C92" s="157">
        <v>2</v>
      </c>
      <c r="D92" s="334"/>
      <c r="F92" s="273">
        <f t="shared" ref="F92:F93" si="11">F91</f>
        <v>0</v>
      </c>
    </row>
    <row r="93" spans="2:6" x14ac:dyDescent="0.25">
      <c r="B93" s="273">
        <f t="shared" si="10"/>
        <v>0</v>
      </c>
      <c r="C93" s="157">
        <v>3</v>
      </c>
      <c r="D93" s="334"/>
      <c r="F93" s="273">
        <f t="shared" si="11"/>
        <v>0</v>
      </c>
    </row>
    <row r="94" spans="2:6" x14ac:dyDescent="0.25">
      <c r="B94" s="273">
        <f t="shared" si="10"/>
        <v>0</v>
      </c>
      <c r="C94" s="157">
        <v>4</v>
      </c>
      <c r="D94" s="334"/>
      <c r="F94" s="273">
        <f t="shared" si="3"/>
        <v>0</v>
      </c>
    </row>
    <row r="95" spans="2:6" x14ac:dyDescent="0.25">
      <c r="B95" s="273">
        <f t="shared" si="10"/>
        <v>0</v>
      </c>
      <c r="C95" s="157">
        <v>5</v>
      </c>
      <c r="D95" s="334"/>
      <c r="F95" s="273">
        <f t="shared" si="3"/>
        <v>0</v>
      </c>
    </row>
    <row r="96" spans="2:6" x14ac:dyDescent="0.25">
      <c r="B96" s="273">
        <f t="shared" si="10"/>
        <v>0</v>
      </c>
      <c r="C96" s="157">
        <v>6</v>
      </c>
      <c r="D96" s="334"/>
      <c r="F96" s="273">
        <f t="shared" si="3"/>
        <v>0</v>
      </c>
    </row>
    <row r="97" spans="2:6" x14ac:dyDescent="0.25">
      <c r="B97" s="273">
        <f t="shared" si="10"/>
        <v>0</v>
      </c>
      <c r="C97" s="157">
        <v>7</v>
      </c>
      <c r="D97" s="334"/>
      <c r="F97" s="273">
        <f t="shared" si="3"/>
        <v>0</v>
      </c>
    </row>
    <row r="98" spans="2:6" x14ac:dyDescent="0.25">
      <c r="B98" s="273">
        <f t="shared" si="10"/>
        <v>0</v>
      </c>
      <c r="C98" s="157">
        <v>8</v>
      </c>
      <c r="D98" s="334"/>
      <c r="F98" s="273">
        <f t="shared" si="3"/>
        <v>0</v>
      </c>
    </row>
    <row r="99" spans="2:6" x14ac:dyDescent="0.25">
      <c r="B99" s="273">
        <f t="shared" si="10"/>
        <v>0</v>
      </c>
      <c r="C99" s="157">
        <v>9</v>
      </c>
      <c r="D99" s="334"/>
      <c r="F99" s="273">
        <f t="shared" si="3"/>
        <v>0</v>
      </c>
    </row>
    <row r="100" spans="2:6" x14ac:dyDescent="0.25">
      <c r="B100" s="273">
        <f t="shared" si="10"/>
        <v>0</v>
      </c>
      <c r="C100" s="157">
        <v>10</v>
      </c>
      <c r="D100" s="334"/>
      <c r="F100" s="273">
        <f t="shared" si="3"/>
        <v>0</v>
      </c>
    </row>
    <row r="101" spans="2:6" x14ac:dyDescent="0.25">
      <c r="B101" s="273">
        <f t="shared" si="10"/>
        <v>0</v>
      </c>
      <c r="C101" s="157">
        <v>11</v>
      </c>
      <c r="D101" s="334"/>
      <c r="F101" s="273">
        <f t="shared" si="3"/>
        <v>0</v>
      </c>
    </row>
    <row r="102" spans="2:6" x14ac:dyDescent="0.25">
      <c r="B102" s="273">
        <f t="shared" si="10"/>
        <v>0</v>
      </c>
      <c r="C102" s="157">
        <v>12</v>
      </c>
      <c r="D102" s="334"/>
      <c r="F102" s="273">
        <f t="shared" si="3"/>
        <v>0</v>
      </c>
    </row>
    <row r="103" spans="2:6" x14ac:dyDescent="0.25">
      <c r="B103" s="273">
        <f>H17</f>
        <v>0</v>
      </c>
      <c r="C103" s="157">
        <v>1</v>
      </c>
      <c r="D103" s="334">
        <f>H16</f>
        <v>2016</v>
      </c>
      <c r="F103" s="273">
        <f>H17/12</f>
        <v>0</v>
      </c>
    </row>
    <row r="104" spans="2:6" x14ac:dyDescent="0.25">
      <c r="B104" s="273">
        <f t="shared" ref="B104:B114" si="12">H18</f>
        <v>0</v>
      </c>
      <c r="C104" s="157">
        <v>2</v>
      </c>
      <c r="D104" s="334"/>
      <c r="F104" s="273">
        <f t="shared" ref="F104:F105" si="13">F103</f>
        <v>0</v>
      </c>
    </row>
    <row r="105" spans="2:6" x14ac:dyDescent="0.25">
      <c r="B105" s="273">
        <f t="shared" si="12"/>
        <v>0</v>
      </c>
      <c r="C105" s="157">
        <v>3</v>
      </c>
      <c r="D105" s="334"/>
      <c r="F105" s="273">
        <f t="shared" si="13"/>
        <v>0</v>
      </c>
    </row>
    <row r="106" spans="2:6" x14ac:dyDescent="0.25">
      <c r="B106" s="273">
        <f t="shared" si="12"/>
        <v>0</v>
      </c>
      <c r="C106" s="157">
        <v>4</v>
      </c>
      <c r="D106" s="334"/>
      <c r="F106" s="273">
        <f t="shared" si="3"/>
        <v>0</v>
      </c>
    </row>
    <row r="107" spans="2:6" x14ac:dyDescent="0.25">
      <c r="B107" s="273">
        <f t="shared" si="12"/>
        <v>0</v>
      </c>
      <c r="C107" s="157">
        <v>5</v>
      </c>
      <c r="D107" s="334"/>
      <c r="F107" s="273">
        <f t="shared" si="3"/>
        <v>0</v>
      </c>
    </row>
    <row r="108" spans="2:6" x14ac:dyDescent="0.25">
      <c r="B108" s="273">
        <f t="shared" si="12"/>
        <v>0</v>
      </c>
      <c r="C108" s="157">
        <v>6</v>
      </c>
      <c r="D108" s="334"/>
      <c r="F108" s="273">
        <f t="shared" ref="F108:F171" si="14">F107</f>
        <v>0</v>
      </c>
    </row>
    <row r="109" spans="2:6" x14ac:dyDescent="0.25">
      <c r="B109" s="273">
        <f t="shared" si="12"/>
        <v>0</v>
      </c>
      <c r="C109" s="157">
        <v>7</v>
      </c>
      <c r="D109" s="334"/>
      <c r="F109" s="273">
        <f t="shared" si="14"/>
        <v>0</v>
      </c>
    </row>
    <row r="110" spans="2:6" x14ac:dyDescent="0.25">
      <c r="B110" s="273">
        <f t="shared" si="12"/>
        <v>0</v>
      </c>
      <c r="C110" s="157">
        <v>8</v>
      </c>
      <c r="D110" s="334"/>
      <c r="F110" s="273">
        <f t="shared" si="14"/>
        <v>0</v>
      </c>
    </row>
    <row r="111" spans="2:6" x14ac:dyDescent="0.25">
      <c r="B111" s="273">
        <f t="shared" si="12"/>
        <v>0</v>
      </c>
      <c r="C111" s="157">
        <v>9</v>
      </c>
      <c r="D111" s="334"/>
      <c r="F111" s="273">
        <f t="shared" si="14"/>
        <v>0</v>
      </c>
    </row>
    <row r="112" spans="2:6" x14ac:dyDescent="0.25">
      <c r="B112" s="273">
        <f t="shared" si="12"/>
        <v>0</v>
      </c>
      <c r="C112" s="157">
        <v>10</v>
      </c>
      <c r="D112" s="334"/>
      <c r="F112" s="273">
        <f t="shared" si="14"/>
        <v>0</v>
      </c>
    </row>
    <row r="113" spans="2:6" x14ac:dyDescent="0.25">
      <c r="B113" s="273">
        <f t="shared" si="12"/>
        <v>0</v>
      </c>
      <c r="C113" s="157">
        <v>11</v>
      </c>
      <c r="D113" s="334"/>
      <c r="F113" s="273">
        <f t="shared" si="14"/>
        <v>0</v>
      </c>
    </row>
    <row r="114" spans="2:6" x14ac:dyDescent="0.25">
      <c r="B114" s="273">
        <f t="shared" si="12"/>
        <v>0</v>
      </c>
      <c r="C114" s="157">
        <v>12</v>
      </c>
      <c r="D114" s="334"/>
      <c r="F114" s="273">
        <f t="shared" si="14"/>
        <v>0</v>
      </c>
    </row>
    <row r="115" spans="2:6" x14ac:dyDescent="0.25">
      <c r="B115" s="273">
        <f>I17</f>
        <v>0</v>
      </c>
      <c r="C115" s="157">
        <v>1</v>
      </c>
      <c r="D115" s="334">
        <f>I16</f>
        <v>2017</v>
      </c>
      <c r="F115" s="273">
        <f>I17/12</f>
        <v>0</v>
      </c>
    </row>
    <row r="116" spans="2:6" x14ac:dyDescent="0.25">
      <c r="B116" s="273">
        <f t="shared" ref="B116:B126" si="15">I18</f>
        <v>0</v>
      </c>
      <c r="C116" s="157">
        <v>2</v>
      </c>
      <c r="D116" s="334"/>
      <c r="F116" s="273">
        <f t="shared" ref="F116:F117" si="16">F115</f>
        <v>0</v>
      </c>
    </row>
    <row r="117" spans="2:6" x14ac:dyDescent="0.25">
      <c r="B117" s="273">
        <f t="shared" si="15"/>
        <v>0</v>
      </c>
      <c r="C117" s="157">
        <v>3</v>
      </c>
      <c r="D117" s="334"/>
      <c r="F117" s="273">
        <f t="shared" si="16"/>
        <v>0</v>
      </c>
    </row>
    <row r="118" spans="2:6" x14ac:dyDescent="0.25">
      <c r="B118" s="273">
        <f t="shared" si="15"/>
        <v>0</v>
      </c>
      <c r="C118" s="157">
        <v>4</v>
      </c>
      <c r="D118" s="334"/>
      <c r="F118" s="273">
        <f t="shared" si="14"/>
        <v>0</v>
      </c>
    </row>
    <row r="119" spans="2:6" x14ac:dyDescent="0.25">
      <c r="B119" s="273">
        <f t="shared" si="15"/>
        <v>0</v>
      </c>
      <c r="C119" s="157">
        <v>5</v>
      </c>
      <c r="D119" s="334"/>
      <c r="F119" s="273">
        <f t="shared" si="14"/>
        <v>0</v>
      </c>
    </row>
    <row r="120" spans="2:6" x14ac:dyDescent="0.25">
      <c r="B120" s="273">
        <f t="shared" si="15"/>
        <v>0</v>
      </c>
      <c r="C120" s="157">
        <v>6</v>
      </c>
      <c r="D120" s="334"/>
      <c r="F120" s="273">
        <f t="shared" si="14"/>
        <v>0</v>
      </c>
    </row>
    <row r="121" spans="2:6" x14ac:dyDescent="0.25">
      <c r="B121" s="273">
        <f t="shared" si="15"/>
        <v>0</v>
      </c>
      <c r="C121" s="157">
        <v>7</v>
      </c>
      <c r="D121" s="334"/>
      <c r="F121" s="273">
        <f t="shared" si="14"/>
        <v>0</v>
      </c>
    </row>
    <row r="122" spans="2:6" x14ac:dyDescent="0.25">
      <c r="B122" s="273">
        <f t="shared" si="15"/>
        <v>0</v>
      </c>
      <c r="C122" s="157">
        <v>8</v>
      </c>
      <c r="D122" s="334"/>
      <c r="F122" s="273">
        <f t="shared" si="14"/>
        <v>0</v>
      </c>
    </row>
    <row r="123" spans="2:6" x14ac:dyDescent="0.25">
      <c r="B123" s="273">
        <f t="shared" si="15"/>
        <v>0</v>
      </c>
      <c r="C123" s="157">
        <v>9</v>
      </c>
      <c r="D123" s="334"/>
      <c r="F123" s="273">
        <f t="shared" si="14"/>
        <v>0</v>
      </c>
    </row>
    <row r="124" spans="2:6" x14ac:dyDescent="0.25">
      <c r="B124" s="273">
        <f t="shared" si="15"/>
        <v>0</v>
      </c>
      <c r="C124" s="157">
        <v>10</v>
      </c>
      <c r="D124" s="334"/>
      <c r="F124" s="273">
        <f t="shared" si="14"/>
        <v>0</v>
      </c>
    </row>
    <row r="125" spans="2:6" x14ac:dyDescent="0.25">
      <c r="B125" s="273">
        <f t="shared" si="15"/>
        <v>0</v>
      </c>
      <c r="C125" s="157">
        <v>11</v>
      </c>
      <c r="D125" s="334"/>
      <c r="F125" s="273">
        <f t="shared" si="14"/>
        <v>0</v>
      </c>
    </row>
    <row r="126" spans="2:6" x14ac:dyDescent="0.25">
      <c r="B126" s="273">
        <f t="shared" si="15"/>
        <v>0</v>
      </c>
      <c r="C126" s="157">
        <v>12</v>
      </c>
      <c r="D126" s="334"/>
      <c r="F126" s="273">
        <f t="shared" si="14"/>
        <v>0</v>
      </c>
    </row>
    <row r="127" spans="2:6" x14ac:dyDescent="0.25">
      <c r="B127" s="273">
        <f>J17</f>
        <v>0</v>
      </c>
      <c r="C127" s="157">
        <v>1</v>
      </c>
      <c r="D127" s="334">
        <f>J16</f>
        <v>2018</v>
      </c>
      <c r="F127" s="273">
        <f>J17/12</f>
        <v>0</v>
      </c>
    </row>
    <row r="128" spans="2:6" x14ac:dyDescent="0.25">
      <c r="B128" s="273">
        <f t="shared" ref="B128:B138" si="17">J18</f>
        <v>0</v>
      </c>
      <c r="C128" s="157">
        <v>2</v>
      </c>
      <c r="D128" s="334"/>
      <c r="F128" s="273">
        <f t="shared" ref="F128:F129" si="18">F127</f>
        <v>0</v>
      </c>
    </row>
    <row r="129" spans="2:6" x14ac:dyDescent="0.25">
      <c r="B129" s="273">
        <f t="shared" si="17"/>
        <v>0</v>
      </c>
      <c r="C129" s="157">
        <v>3</v>
      </c>
      <c r="D129" s="334"/>
      <c r="F129" s="273">
        <f t="shared" si="18"/>
        <v>0</v>
      </c>
    </row>
    <row r="130" spans="2:6" x14ac:dyDescent="0.25">
      <c r="B130" s="273">
        <f t="shared" si="17"/>
        <v>0</v>
      </c>
      <c r="C130" s="157">
        <v>4</v>
      </c>
      <c r="D130" s="334"/>
      <c r="F130" s="273">
        <f t="shared" si="14"/>
        <v>0</v>
      </c>
    </row>
    <row r="131" spans="2:6" x14ac:dyDescent="0.25">
      <c r="B131" s="273">
        <f t="shared" si="17"/>
        <v>0</v>
      </c>
      <c r="C131" s="157">
        <v>5</v>
      </c>
      <c r="D131" s="334"/>
      <c r="F131" s="273">
        <f t="shared" si="14"/>
        <v>0</v>
      </c>
    </row>
    <row r="132" spans="2:6" x14ac:dyDescent="0.25">
      <c r="B132" s="273">
        <f t="shared" si="17"/>
        <v>0</v>
      </c>
      <c r="C132" s="157">
        <v>6</v>
      </c>
      <c r="D132" s="334"/>
      <c r="F132" s="273">
        <f t="shared" si="14"/>
        <v>0</v>
      </c>
    </row>
    <row r="133" spans="2:6" x14ac:dyDescent="0.25">
      <c r="B133" s="273">
        <f t="shared" si="17"/>
        <v>0</v>
      </c>
      <c r="C133" s="157">
        <v>7</v>
      </c>
      <c r="D133" s="334"/>
      <c r="F133" s="273">
        <f t="shared" si="14"/>
        <v>0</v>
      </c>
    </row>
    <row r="134" spans="2:6" x14ac:dyDescent="0.25">
      <c r="B134" s="273">
        <f t="shared" si="17"/>
        <v>0</v>
      </c>
      <c r="C134" s="157">
        <v>8</v>
      </c>
      <c r="D134" s="334"/>
      <c r="F134" s="273">
        <f t="shared" si="14"/>
        <v>0</v>
      </c>
    </row>
    <row r="135" spans="2:6" x14ac:dyDescent="0.25">
      <c r="B135" s="273">
        <f t="shared" si="17"/>
        <v>0</v>
      </c>
      <c r="C135" s="157">
        <v>9</v>
      </c>
      <c r="D135" s="334"/>
      <c r="F135" s="273">
        <f t="shared" si="14"/>
        <v>0</v>
      </c>
    </row>
    <row r="136" spans="2:6" x14ac:dyDescent="0.25">
      <c r="B136" s="273">
        <f t="shared" si="17"/>
        <v>0</v>
      </c>
      <c r="C136" s="157">
        <v>10</v>
      </c>
      <c r="D136" s="334"/>
      <c r="F136" s="273">
        <f t="shared" si="14"/>
        <v>0</v>
      </c>
    </row>
    <row r="137" spans="2:6" x14ac:dyDescent="0.25">
      <c r="B137" s="273">
        <f t="shared" si="17"/>
        <v>0</v>
      </c>
      <c r="C137" s="157">
        <v>11</v>
      </c>
      <c r="D137" s="334"/>
      <c r="F137" s="273">
        <f t="shared" si="14"/>
        <v>0</v>
      </c>
    </row>
    <row r="138" spans="2:6" x14ac:dyDescent="0.25">
      <c r="B138" s="273">
        <f t="shared" si="17"/>
        <v>0</v>
      </c>
      <c r="C138" s="157">
        <v>12</v>
      </c>
      <c r="D138" s="334"/>
      <c r="F138" s="273">
        <f t="shared" si="14"/>
        <v>0</v>
      </c>
    </row>
    <row r="139" spans="2:6" x14ac:dyDescent="0.25">
      <c r="B139" s="273">
        <f>K17</f>
        <v>0</v>
      </c>
      <c r="C139" s="157">
        <v>1</v>
      </c>
      <c r="D139" s="334">
        <f>K16</f>
        <v>2019</v>
      </c>
      <c r="F139" s="273">
        <f>K17/12</f>
        <v>0</v>
      </c>
    </row>
    <row r="140" spans="2:6" x14ac:dyDescent="0.25">
      <c r="B140" s="273">
        <f t="shared" ref="B140:B150" si="19">K18</f>
        <v>0</v>
      </c>
      <c r="C140" s="157">
        <v>2</v>
      </c>
      <c r="D140" s="334"/>
      <c r="F140" s="273">
        <f t="shared" ref="F140:F141" si="20">F139</f>
        <v>0</v>
      </c>
    </row>
    <row r="141" spans="2:6" x14ac:dyDescent="0.25">
      <c r="B141" s="273">
        <f t="shared" si="19"/>
        <v>0</v>
      </c>
      <c r="C141" s="157">
        <v>3</v>
      </c>
      <c r="D141" s="334"/>
      <c r="F141" s="273">
        <f t="shared" si="20"/>
        <v>0</v>
      </c>
    </row>
    <row r="142" spans="2:6" x14ac:dyDescent="0.25">
      <c r="B142" s="273">
        <f t="shared" si="19"/>
        <v>0</v>
      </c>
      <c r="C142" s="157">
        <v>4</v>
      </c>
      <c r="D142" s="334"/>
      <c r="F142" s="273">
        <f t="shared" si="14"/>
        <v>0</v>
      </c>
    </row>
    <row r="143" spans="2:6" x14ac:dyDescent="0.25">
      <c r="B143" s="273">
        <f t="shared" si="19"/>
        <v>0</v>
      </c>
      <c r="C143" s="157">
        <v>5</v>
      </c>
      <c r="D143" s="334"/>
      <c r="F143" s="273">
        <f t="shared" si="14"/>
        <v>0</v>
      </c>
    </row>
    <row r="144" spans="2:6" x14ac:dyDescent="0.25">
      <c r="B144" s="273">
        <f t="shared" si="19"/>
        <v>0</v>
      </c>
      <c r="C144" s="157">
        <v>6</v>
      </c>
      <c r="D144" s="334"/>
      <c r="F144" s="273">
        <f t="shared" si="14"/>
        <v>0</v>
      </c>
    </row>
    <row r="145" spans="2:6" x14ac:dyDescent="0.25">
      <c r="B145" s="273">
        <f t="shared" si="19"/>
        <v>0</v>
      </c>
      <c r="C145" s="157">
        <v>7</v>
      </c>
      <c r="D145" s="334"/>
      <c r="F145" s="273">
        <f t="shared" si="14"/>
        <v>0</v>
      </c>
    </row>
    <row r="146" spans="2:6" x14ac:dyDescent="0.25">
      <c r="B146" s="273">
        <f t="shared" si="19"/>
        <v>0</v>
      </c>
      <c r="C146" s="157">
        <v>8</v>
      </c>
      <c r="D146" s="334"/>
      <c r="F146" s="273">
        <f t="shared" si="14"/>
        <v>0</v>
      </c>
    </row>
    <row r="147" spans="2:6" x14ac:dyDescent="0.25">
      <c r="B147" s="273">
        <f t="shared" si="19"/>
        <v>0</v>
      </c>
      <c r="C147" s="157">
        <v>9</v>
      </c>
      <c r="D147" s="334"/>
      <c r="F147" s="273">
        <f t="shared" si="14"/>
        <v>0</v>
      </c>
    </row>
    <row r="148" spans="2:6" x14ac:dyDescent="0.25">
      <c r="B148" s="273">
        <f t="shared" si="19"/>
        <v>0</v>
      </c>
      <c r="C148" s="157">
        <v>10</v>
      </c>
      <c r="D148" s="334"/>
      <c r="F148" s="273">
        <f t="shared" si="14"/>
        <v>0</v>
      </c>
    </row>
    <row r="149" spans="2:6" x14ac:dyDescent="0.25">
      <c r="B149" s="273">
        <f t="shared" si="19"/>
        <v>0</v>
      </c>
      <c r="C149" s="157">
        <v>11</v>
      </c>
      <c r="D149" s="334"/>
      <c r="F149" s="273">
        <f t="shared" si="14"/>
        <v>0</v>
      </c>
    </row>
    <row r="150" spans="2:6" x14ac:dyDescent="0.25">
      <c r="B150" s="273">
        <f t="shared" si="19"/>
        <v>0</v>
      </c>
      <c r="C150" s="157">
        <v>12</v>
      </c>
      <c r="D150" s="334"/>
      <c r="F150" s="273">
        <f t="shared" si="14"/>
        <v>0</v>
      </c>
    </row>
    <row r="151" spans="2:6" x14ac:dyDescent="0.25">
      <c r="B151" s="273">
        <f>L17</f>
        <v>0</v>
      </c>
      <c r="C151" s="157">
        <v>1</v>
      </c>
      <c r="D151" s="334">
        <f>L16</f>
        <v>2020</v>
      </c>
      <c r="F151" s="273">
        <f>L17/12</f>
        <v>0</v>
      </c>
    </row>
    <row r="152" spans="2:6" x14ac:dyDescent="0.25">
      <c r="B152" s="273">
        <f t="shared" ref="B152:B162" si="21">L18</f>
        <v>0</v>
      </c>
      <c r="C152" s="157">
        <v>2</v>
      </c>
      <c r="D152" s="334"/>
      <c r="F152" s="273">
        <f t="shared" ref="F152:F153" si="22">F151</f>
        <v>0</v>
      </c>
    </row>
    <row r="153" spans="2:6" x14ac:dyDescent="0.25">
      <c r="B153" s="273">
        <f t="shared" si="21"/>
        <v>0</v>
      </c>
      <c r="C153" s="157">
        <v>3</v>
      </c>
      <c r="D153" s="334"/>
      <c r="F153" s="273">
        <f t="shared" si="22"/>
        <v>0</v>
      </c>
    </row>
    <row r="154" spans="2:6" x14ac:dyDescent="0.25">
      <c r="B154" s="273">
        <f t="shared" si="21"/>
        <v>0</v>
      </c>
      <c r="C154" s="157">
        <v>4</v>
      </c>
      <c r="D154" s="334"/>
      <c r="F154" s="273">
        <f t="shared" si="14"/>
        <v>0</v>
      </c>
    </row>
    <row r="155" spans="2:6" x14ac:dyDescent="0.25">
      <c r="B155" s="273">
        <f t="shared" si="21"/>
        <v>0</v>
      </c>
      <c r="C155" s="157">
        <v>5</v>
      </c>
      <c r="D155" s="334"/>
      <c r="F155" s="273">
        <f t="shared" si="14"/>
        <v>0</v>
      </c>
    </row>
    <row r="156" spans="2:6" x14ac:dyDescent="0.25">
      <c r="B156" s="273">
        <f t="shared" si="21"/>
        <v>0</v>
      </c>
      <c r="C156" s="157">
        <v>6</v>
      </c>
      <c r="D156" s="334"/>
      <c r="F156" s="273">
        <f t="shared" si="14"/>
        <v>0</v>
      </c>
    </row>
    <row r="157" spans="2:6" x14ac:dyDescent="0.25">
      <c r="B157" s="273">
        <f t="shared" si="21"/>
        <v>0</v>
      </c>
      <c r="C157" s="157">
        <v>7</v>
      </c>
      <c r="D157" s="334"/>
      <c r="F157" s="273">
        <f t="shared" si="14"/>
        <v>0</v>
      </c>
    </row>
    <row r="158" spans="2:6" x14ac:dyDescent="0.25">
      <c r="B158" s="273">
        <f t="shared" si="21"/>
        <v>0</v>
      </c>
      <c r="C158" s="157">
        <v>8</v>
      </c>
      <c r="D158" s="334"/>
      <c r="F158" s="273">
        <f t="shared" si="14"/>
        <v>0</v>
      </c>
    </row>
    <row r="159" spans="2:6" x14ac:dyDescent="0.25">
      <c r="B159" s="273">
        <f t="shared" si="21"/>
        <v>0</v>
      </c>
      <c r="C159" s="157">
        <v>9</v>
      </c>
      <c r="D159" s="334"/>
      <c r="F159" s="273">
        <f t="shared" si="14"/>
        <v>0</v>
      </c>
    </row>
    <row r="160" spans="2:6" x14ac:dyDescent="0.25">
      <c r="B160" s="273">
        <f t="shared" si="21"/>
        <v>0</v>
      </c>
      <c r="C160" s="157">
        <v>10</v>
      </c>
      <c r="D160" s="334"/>
      <c r="F160" s="273">
        <f t="shared" si="14"/>
        <v>0</v>
      </c>
    </row>
    <row r="161" spans="2:6" x14ac:dyDescent="0.25">
      <c r="B161" s="273">
        <f t="shared" si="21"/>
        <v>0</v>
      </c>
      <c r="C161" s="157">
        <v>11</v>
      </c>
      <c r="D161" s="334"/>
      <c r="F161" s="273">
        <f t="shared" si="14"/>
        <v>0</v>
      </c>
    </row>
    <row r="162" spans="2:6" x14ac:dyDescent="0.25">
      <c r="B162" s="273">
        <f t="shared" si="21"/>
        <v>0</v>
      </c>
      <c r="C162" s="157">
        <v>12</v>
      </c>
      <c r="D162" s="334"/>
      <c r="F162" s="273">
        <f t="shared" si="14"/>
        <v>0</v>
      </c>
    </row>
    <row r="163" spans="2:6" x14ac:dyDescent="0.25">
      <c r="B163" s="273">
        <f>M17</f>
        <v>0</v>
      </c>
      <c r="C163" s="157">
        <v>1</v>
      </c>
      <c r="D163" s="334">
        <f>M16</f>
        <v>2021</v>
      </c>
      <c r="F163" s="273">
        <f>M17/12</f>
        <v>0</v>
      </c>
    </row>
    <row r="164" spans="2:6" x14ac:dyDescent="0.25">
      <c r="B164" s="273">
        <f t="shared" ref="B164:B174" si="23">M18</f>
        <v>0</v>
      </c>
      <c r="C164" s="157">
        <v>2</v>
      </c>
      <c r="D164" s="334"/>
      <c r="F164" s="273">
        <f t="shared" ref="F164:F165" si="24">F163</f>
        <v>0</v>
      </c>
    </row>
    <row r="165" spans="2:6" x14ac:dyDescent="0.25">
      <c r="B165" s="273">
        <f t="shared" si="23"/>
        <v>0</v>
      </c>
      <c r="C165" s="157">
        <v>3</v>
      </c>
      <c r="D165" s="334"/>
      <c r="F165" s="273">
        <f t="shared" si="24"/>
        <v>0</v>
      </c>
    </row>
    <row r="166" spans="2:6" x14ac:dyDescent="0.25">
      <c r="B166" s="273">
        <f t="shared" si="23"/>
        <v>0</v>
      </c>
      <c r="C166" s="157">
        <v>4</v>
      </c>
      <c r="D166" s="334"/>
      <c r="F166" s="273">
        <f t="shared" si="14"/>
        <v>0</v>
      </c>
    </row>
    <row r="167" spans="2:6" x14ac:dyDescent="0.25">
      <c r="B167" s="273">
        <f t="shared" si="23"/>
        <v>0</v>
      </c>
      <c r="C167" s="157">
        <v>5</v>
      </c>
      <c r="D167" s="334"/>
      <c r="F167" s="273">
        <f t="shared" si="14"/>
        <v>0</v>
      </c>
    </row>
    <row r="168" spans="2:6" x14ac:dyDescent="0.25">
      <c r="B168" s="273">
        <f t="shared" si="23"/>
        <v>0</v>
      </c>
      <c r="C168" s="157">
        <v>6</v>
      </c>
      <c r="D168" s="334"/>
      <c r="F168" s="273">
        <f t="shared" si="14"/>
        <v>0</v>
      </c>
    </row>
    <row r="169" spans="2:6" x14ac:dyDescent="0.25">
      <c r="B169" s="273">
        <f t="shared" si="23"/>
        <v>0</v>
      </c>
      <c r="C169" s="157">
        <v>7</v>
      </c>
      <c r="D169" s="334"/>
      <c r="F169" s="273">
        <f t="shared" si="14"/>
        <v>0</v>
      </c>
    </row>
    <row r="170" spans="2:6" x14ac:dyDescent="0.25">
      <c r="B170" s="273">
        <f t="shared" si="23"/>
        <v>0</v>
      </c>
      <c r="C170" s="157">
        <v>8</v>
      </c>
      <c r="D170" s="334"/>
      <c r="F170" s="273">
        <f t="shared" si="14"/>
        <v>0</v>
      </c>
    </row>
    <row r="171" spans="2:6" x14ac:dyDescent="0.25">
      <c r="B171" s="273">
        <f t="shared" si="23"/>
        <v>0</v>
      </c>
      <c r="C171" s="157">
        <v>9</v>
      </c>
      <c r="D171" s="334"/>
      <c r="F171" s="273">
        <f t="shared" si="14"/>
        <v>0</v>
      </c>
    </row>
    <row r="172" spans="2:6" x14ac:dyDescent="0.25">
      <c r="B172" s="273">
        <f t="shared" si="23"/>
        <v>0</v>
      </c>
      <c r="C172" s="157">
        <v>10</v>
      </c>
      <c r="D172" s="334"/>
      <c r="F172" s="273">
        <f t="shared" ref="F172:F210" si="25">F171</f>
        <v>0</v>
      </c>
    </row>
    <row r="173" spans="2:6" x14ac:dyDescent="0.25">
      <c r="B173" s="273">
        <f t="shared" si="23"/>
        <v>0</v>
      </c>
      <c r="C173" s="157">
        <v>11</v>
      </c>
      <c r="D173" s="334"/>
      <c r="F173" s="273">
        <f t="shared" si="25"/>
        <v>0</v>
      </c>
    </row>
    <row r="174" spans="2:6" x14ac:dyDescent="0.25">
      <c r="B174" s="273">
        <f t="shared" si="23"/>
        <v>0</v>
      </c>
      <c r="C174" s="157">
        <v>12</v>
      </c>
      <c r="D174" s="334"/>
      <c r="F174" s="273">
        <f t="shared" si="25"/>
        <v>0</v>
      </c>
    </row>
    <row r="175" spans="2:6" x14ac:dyDescent="0.25">
      <c r="B175" s="273">
        <f>N17</f>
        <v>0</v>
      </c>
      <c r="C175" s="157">
        <v>1</v>
      </c>
      <c r="D175" s="334">
        <f>N16</f>
        <v>2022</v>
      </c>
      <c r="F175" s="273">
        <f>N17/12</f>
        <v>0</v>
      </c>
    </row>
    <row r="176" spans="2:6" x14ac:dyDescent="0.25">
      <c r="B176" s="273">
        <f t="shared" ref="B176:B186" si="26">N18</f>
        <v>0</v>
      </c>
      <c r="C176" s="157">
        <v>2</v>
      </c>
      <c r="D176" s="334"/>
      <c r="F176" s="273">
        <f t="shared" ref="F176:F177" si="27">F175</f>
        <v>0</v>
      </c>
    </row>
    <row r="177" spans="2:6" x14ac:dyDescent="0.25">
      <c r="B177" s="273">
        <f t="shared" si="26"/>
        <v>0</v>
      </c>
      <c r="C177" s="157">
        <v>3</v>
      </c>
      <c r="D177" s="334"/>
      <c r="F177" s="273">
        <f t="shared" si="27"/>
        <v>0</v>
      </c>
    </row>
    <row r="178" spans="2:6" x14ac:dyDescent="0.25">
      <c r="B178" s="273">
        <f t="shared" si="26"/>
        <v>0</v>
      </c>
      <c r="C178" s="157">
        <v>4</v>
      </c>
      <c r="D178" s="334"/>
      <c r="F178" s="273">
        <f t="shared" si="25"/>
        <v>0</v>
      </c>
    </row>
    <row r="179" spans="2:6" x14ac:dyDescent="0.25">
      <c r="B179" s="273">
        <f t="shared" si="26"/>
        <v>0</v>
      </c>
      <c r="C179" s="157">
        <v>5</v>
      </c>
      <c r="D179" s="334"/>
      <c r="F179" s="273">
        <f t="shared" si="25"/>
        <v>0</v>
      </c>
    </row>
    <row r="180" spans="2:6" x14ac:dyDescent="0.25">
      <c r="B180" s="273">
        <f t="shared" si="26"/>
        <v>0</v>
      </c>
      <c r="C180" s="157">
        <v>6</v>
      </c>
      <c r="D180" s="334"/>
      <c r="F180" s="273">
        <f t="shared" si="25"/>
        <v>0</v>
      </c>
    </row>
    <row r="181" spans="2:6" x14ac:dyDescent="0.25">
      <c r="B181" s="273">
        <f t="shared" si="26"/>
        <v>0</v>
      </c>
      <c r="C181" s="157">
        <v>7</v>
      </c>
      <c r="D181" s="334"/>
      <c r="F181" s="273">
        <f t="shared" si="25"/>
        <v>0</v>
      </c>
    </row>
    <row r="182" spans="2:6" x14ac:dyDescent="0.25">
      <c r="B182" s="273">
        <f t="shared" si="26"/>
        <v>0</v>
      </c>
      <c r="C182" s="157">
        <v>8</v>
      </c>
      <c r="D182" s="334"/>
      <c r="F182" s="273">
        <f t="shared" si="25"/>
        <v>0</v>
      </c>
    </row>
    <row r="183" spans="2:6" x14ac:dyDescent="0.25">
      <c r="B183" s="273">
        <f t="shared" si="26"/>
        <v>0</v>
      </c>
      <c r="C183" s="157">
        <v>9</v>
      </c>
      <c r="D183" s="334"/>
      <c r="F183" s="273">
        <f t="shared" si="25"/>
        <v>0</v>
      </c>
    </row>
    <row r="184" spans="2:6" x14ac:dyDescent="0.25">
      <c r="B184" s="273">
        <f t="shared" si="26"/>
        <v>0</v>
      </c>
      <c r="C184" s="157">
        <v>10</v>
      </c>
      <c r="D184" s="334"/>
      <c r="F184" s="273">
        <f t="shared" si="25"/>
        <v>0</v>
      </c>
    </row>
    <row r="185" spans="2:6" x14ac:dyDescent="0.25">
      <c r="B185" s="273">
        <f t="shared" si="26"/>
        <v>0</v>
      </c>
      <c r="C185" s="157">
        <v>11</v>
      </c>
      <c r="D185" s="334"/>
      <c r="F185" s="273">
        <f t="shared" si="25"/>
        <v>0</v>
      </c>
    </row>
    <row r="186" spans="2:6" x14ac:dyDescent="0.25">
      <c r="B186" s="273">
        <f t="shared" si="26"/>
        <v>0</v>
      </c>
      <c r="C186" s="157">
        <v>12</v>
      </c>
      <c r="D186" s="334"/>
      <c r="F186" s="273">
        <f t="shared" si="25"/>
        <v>0</v>
      </c>
    </row>
    <row r="187" spans="2:6" x14ac:dyDescent="0.25">
      <c r="B187" s="273">
        <f>O17</f>
        <v>0</v>
      </c>
      <c r="C187" s="157">
        <v>1</v>
      </c>
      <c r="D187" s="334">
        <f>O16</f>
        <v>2023</v>
      </c>
      <c r="F187" s="273">
        <f>O17/12</f>
        <v>0</v>
      </c>
    </row>
    <row r="188" spans="2:6" x14ac:dyDescent="0.25">
      <c r="B188" s="273">
        <f t="shared" ref="B188:B198" si="28">O18</f>
        <v>0</v>
      </c>
      <c r="C188" s="157">
        <v>2</v>
      </c>
      <c r="D188" s="334"/>
      <c r="F188" s="273">
        <f t="shared" ref="F188:F189" si="29">F187</f>
        <v>0</v>
      </c>
    </row>
    <row r="189" spans="2:6" x14ac:dyDescent="0.25">
      <c r="B189" s="273">
        <f t="shared" si="28"/>
        <v>0</v>
      </c>
      <c r="C189" s="157">
        <v>3</v>
      </c>
      <c r="D189" s="334"/>
      <c r="F189" s="273">
        <f t="shared" si="29"/>
        <v>0</v>
      </c>
    </row>
    <row r="190" spans="2:6" x14ac:dyDescent="0.25">
      <c r="B190" s="273">
        <f t="shared" si="28"/>
        <v>0</v>
      </c>
      <c r="C190" s="157">
        <v>4</v>
      </c>
      <c r="D190" s="334"/>
      <c r="F190" s="273">
        <f t="shared" si="25"/>
        <v>0</v>
      </c>
    </row>
    <row r="191" spans="2:6" x14ac:dyDescent="0.25">
      <c r="B191" s="273">
        <f t="shared" si="28"/>
        <v>0</v>
      </c>
      <c r="C191" s="157">
        <v>5</v>
      </c>
      <c r="D191" s="334"/>
      <c r="F191" s="273">
        <f t="shared" si="25"/>
        <v>0</v>
      </c>
    </row>
    <row r="192" spans="2:6" x14ac:dyDescent="0.25">
      <c r="B192" s="273">
        <f t="shared" si="28"/>
        <v>0</v>
      </c>
      <c r="C192" s="157">
        <v>6</v>
      </c>
      <c r="D192" s="334"/>
      <c r="F192" s="273">
        <f t="shared" si="25"/>
        <v>0</v>
      </c>
    </row>
    <row r="193" spans="2:6" x14ac:dyDescent="0.25">
      <c r="B193" s="273">
        <f t="shared" si="28"/>
        <v>0</v>
      </c>
      <c r="C193" s="157">
        <v>7</v>
      </c>
      <c r="D193" s="334"/>
      <c r="F193" s="273">
        <f t="shared" si="25"/>
        <v>0</v>
      </c>
    </row>
    <row r="194" spans="2:6" x14ac:dyDescent="0.25">
      <c r="B194" s="273">
        <f t="shared" si="28"/>
        <v>0</v>
      </c>
      <c r="C194" s="157">
        <v>8</v>
      </c>
      <c r="D194" s="334"/>
      <c r="F194" s="273">
        <f t="shared" si="25"/>
        <v>0</v>
      </c>
    </row>
    <row r="195" spans="2:6" x14ac:dyDescent="0.25">
      <c r="B195" s="273">
        <f t="shared" si="28"/>
        <v>0</v>
      </c>
      <c r="C195" s="157">
        <v>9</v>
      </c>
      <c r="D195" s="334"/>
      <c r="F195" s="273">
        <f t="shared" si="25"/>
        <v>0</v>
      </c>
    </row>
    <row r="196" spans="2:6" x14ac:dyDescent="0.25">
      <c r="B196" s="273">
        <f t="shared" si="28"/>
        <v>0</v>
      </c>
      <c r="C196" s="157">
        <v>10</v>
      </c>
      <c r="D196" s="334"/>
      <c r="F196" s="273">
        <f t="shared" si="25"/>
        <v>0</v>
      </c>
    </row>
    <row r="197" spans="2:6" x14ac:dyDescent="0.25">
      <c r="B197" s="273">
        <f t="shared" si="28"/>
        <v>0</v>
      </c>
      <c r="C197" s="157">
        <v>11</v>
      </c>
      <c r="D197" s="334"/>
      <c r="F197" s="273">
        <f t="shared" si="25"/>
        <v>0</v>
      </c>
    </row>
    <row r="198" spans="2:6" x14ac:dyDescent="0.25">
      <c r="B198" s="273">
        <f t="shared" si="28"/>
        <v>0</v>
      </c>
      <c r="C198" s="157">
        <v>12</v>
      </c>
      <c r="D198" s="334"/>
      <c r="F198" s="273">
        <f t="shared" si="25"/>
        <v>0</v>
      </c>
    </row>
    <row r="199" spans="2:6" x14ac:dyDescent="0.25">
      <c r="B199" s="273">
        <f>'Aide CME'!P17</f>
        <v>0</v>
      </c>
      <c r="C199" s="157">
        <v>1</v>
      </c>
      <c r="D199" s="334">
        <f>P16</f>
        <v>2024</v>
      </c>
      <c r="F199" s="273">
        <f>P17/12</f>
        <v>0</v>
      </c>
    </row>
    <row r="200" spans="2:6" x14ac:dyDescent="0.25">
      <c r="B200" s="273">
        <f>'Aide CME'!P18</f>
        <v>0</v>
      </c>
      <c r="C200" s="157">
        <v>2</v>
      </c>
      <c r="D200" s="334"/>
      <c r="F200" s="273">
        <f t="shared" ref="F200:F201" si="30">F199</f>
        <v>0</v>
      </c>
    </row>
    <row r="201" spans="2:6" x14ac:dyDescent="0.25">
      <c r="B201" s="273">
        <f>'Aide CME'!P19</f>
        <v>0</v>
      </c>
      <c r="C201" s="157">
        <v>3</v>
      </c>
      <c r="D201" s="334"/>
      <c r="F201" s="273">
        <f t="shared" si="30"/>
        <v>0</v>
      </c>
    </row>
    <row r="202" spans="2:6" x14ac:dyDescent="0.25">
      <c r="B202" s="273">
        <f>'Aide CME'!P20</f>
        <v>0</v>
      </c>
      <c r="C202" s="157">
        <v>4</v>
      </c>
      <c r="D202" s="334"/>
      <c r="F202" s="273">
        <f t="shared" si="25"/>
        <v>0</v>
      </c>
    </row>
    <row r="203" spans="2:6" x14ac:dyDescent="0.25">
      <c r="B203" s="273">
        <f>'Aide CME'!P21</f>
        <v>0</v>
      </c>
      <c r="C203" s="157">
        <v>5</v>
      </c>
      <c r="D203" s="334"/>
      <c r="F203" s="273">
        <f t="shared" si="25"/>
        <v>0</v>
      </c>
    </row>
    <row r="204" spans="2:6" x14ac:dyDescent="0.25">
      <c r="B204" s="273">
        <f>'Aide CME'!P22</f>
        <v>0</v>
      </c>
      <c r="C204" s="157">
        <v>6</v>
      </c>
      <c r="D204" s="334"/>
      <c r="F204" s="273">
        <f t="shared" si="25"/>
        <v>0</v>
      </c>
    </row>
    <row r="205" spans="2:6" x14ac:dyDescent="0.25">
      <c r="B205" s="273">
        <f>'Aide CME'!P23</f>
        <v>0</v>
      </c>
      <c r="C205" s="157">
        <v>7</v>
      </c>
      <c r="D205" s="334"/>
      <c r="F205" s="273">
        <f t="shared" si="25"/>
        <v>0</v>
      </c>
    </row>
    <row r="206" spans="2:6" x14ac:dyDescent="0.25">
      <c r="B206" s="273">
        <f>'Aide CME'!P24</f>
        <v>0</v>
      </c>
      <c r="C206" s="157">
        <v>8</v>
      </c>
      <c r="D206" s="334"/>
      <c r="F206" s="273">
        <f t="shared" si="25"/>
        <v>0</v>
      </c>
    </row>
    <row r="207" spans="2:6" x14ac:dyDescent="0.25">
      <c r="B207" s="273">
        <f>'Aide CME'!P25</f>
        <v>0</v>
      </c>
      <c r="C207" s="157">
        <v>9</v>
      </c>
      <c r="D207" s="334"/>
      <c r="F207" s="273">
        <f t="shared" si="25"/>
        <v>0</v>
      </c>
    </row>
    <row r="208" spans="2:6" x14ac:dyDescent="0.25">
      <c r="B208" s="273">
        <f>'Aide CME'!P26</f>
        <v>0</v>
      </c>
      <c r="C208" s="157">
        <v>10</v>
      </c>
      <c r="D208" s="334"/>
      <c r="F208" s="273">
        <f t="shared" si="25"/>
        <v>0</v>
      </c>
    </row>
    <row r="209" spans="2:6" x14ac:dyDescent="0.25">
      <c r="B209" s="273">
        <f>'Aide CME'!P27</f>
        <v>0</v>
      </c>
      <c r="C209" s="157">
        <v>11</v>
      </c>
      <c r="D209" s="334"/>
      <c r="F209" s="273">
        <f t="shared" si="25"/>
        <v>0</v>
      </c>
    </row>
    <row r="210" spans="2:6" x14ac:dyDescent="0.25">
      <c r="B210" s="273">
        <f>'Aide CME'!P28</f>
        <v>0</v>
      </c>
      <c r="C210" s="157">
        <v>12</v>
      </c>
      <c r="D210" s="334"/>
      <c r="F210" s="273">
        <f t="shared" si="25"/>
        <v>0</v>
      </c>
    </row>
    <row r="211" spans="2:6" x14ac:dyDescent="0.25">
      <c r="B211" s="273">
        <f>'Aide CME'!Q17</f>
        <v>0</v>
      </c>
      <c r="C211" s="157">
        <v>1</v>
      </c>
      <c r="D211" s="334">
        <f>Q16</f>
        <v>2025</v>
      </c>
      <c r="F211" s="273">
        <f>Q17/12</f>
        <v>0</v>
      </c>
    </row>
    <row r="212" spans="2:6" x14ac:dyDescent="0.25">
      <c r="B212" s="273">
        <f>'Aide CME'!Q18</f>
        <v>0</v>
      </c>
      <c r="C212" s="157">
        <v>2</v>
      </c>
      <c r="D212" s="334"/>
      <c r="F212" s="273">
        <f>F211</f>
        <v>0</v>
      </c>
    </row>
    <row r="213" spans="2:6" x14ac:dyDescent="0.25">
      <c r="B213" s="273">
        <f>'Aide CME'!Q19</f>
        <v>0</v>
      </c>
      <c r="C213" s="157">
        <v>3</v>
      </c>
      <c r="D213" s="334"/>
      <c r="F213" s="273">
        <f t="shared" ref="F213:F222" si="31">F212</f>
        <v>0</v>
      </c>
    </row>
    <row r="214" spans="2:6" x14ac:dyDescent="0.25">
      <c r="B214" s="273">
        <f>'Aide CME'!Q20</f>
        <v>0</v>
      </c>
      <c r="C214" s="157">
        <v>4</v>
      </c>
      <c r="D214" s="334"/>
      <c r="F214" s="273">
        <f t="shared" si="31"/>
        <v>0</v>
      </c>
    </row>
    <row r="215" spans="2:6" x14ac:dyDescent="0.25">
      <c r="B215" s="273">
        <f>'Aide CME'!Q21</f>
        <v>0</v>
      </c>
      <c r="C215" s="157">
        <v>5</v>
      </c>
      <c r="D215" s="334"/>
      <c r="F215" s="273">
        <f t="shared" si="31"/>
        <v>0</v>
      </c>
    </row>
    <row r="216" spans="2:6" x14ac:dyDescent="0.25">
      <c r="B216" s="273">
        <f>'Aide CME'!Q22</f>
        <v>0</v>
      </c>
      <c r="C216" s="157">
        <v>6</v>
      </c>
      <c r="D216" s="334"/>
      <c r="F216" s="273">
        <f t="shared" si="31"/>
        <v>0</v>
      </c>
    </row>
    <row r="217" spans="2:6" x14ac:dyDescent="0.25">
      <c r="B217" s="273">
        <f>'Aide CME'!Q23</f>
        <v>0</v>
      </c>
      <c r="C217" s="157">
        <v>7</v>
      </c>
      <c r="D217" s="334"/>
      <c r="F217" s="273">
        <f t="shared" si="31"/>
        <v>0</v>
      </c>
    </row>
    <row r="218" spans="2:6" x14ac:dyDescent="0.25">
      <c r="B218" s="273">
        <f>'Aide CME'!Q24</f>
        <v>0</v>
      </c>
      <c r="C218" s="157">
        <v>8</v>
      </c>
      <c r="D218" s="334"/>
      <c r="F218" s="273">
        <f t="shared" si="31"/>
        <v>0</v>
      </c>
    </row>
    <row r="219" spans="2:6" x14ac:dyDescent="0.25">
      <c r="B219" s="273">
        <f>'Aide CME'!Q25</f>
        <v>0</v>
      </c>
      <c r="C219" s="157">
        <v>9</v>
      </c>
      <c r="D219" s="334"/>
      <c r="F219" s="273">
        <f t="shared" si="31"/>
        <v>0</v>
      </c>
    </row>
    <row r="220" spans="2:6" x14ac:dyDescent="0.25">
      <c r="B220" s="273">
        <f>'Aide CME'!Q26</f>
        <v>0</v>
      </c>
      <c r="C220" s="157">
        <v>10</v>
      </c>
      <c r="D220" s="334"/>
      <c r="F220" s="273">
        <f t="shared" si="31"/>
        <v>0</v>
      </c>
    </row>
    <row r="221" spans="2:6" x14ac:dyDescent="0.25">
      <c r="B221" s="273">
        <f>'Aide CME'!Q27</f>
        <v>0</v>
      </c>
      <c r="C221" s="157">
        <v>11</v>
      </c>
      <c r="D221" s="334"/>
      <c r="F221" s="273">
        <f t="shared" si="31"/>
        <v>0</v>
      </c>
    </row>
    <row r="222" spans="2:6" x14ac:dyDescent="0.25">
      <c r="B222" s="273">
        <f>'Aide CME'!Q28</f>
        <v>0</v>
      </c>
      <c r="C222" s="157">
        <v>12</v>
      </c>
      <c r="D222" s="334"/>
      <c r="F222" s="273">
        <f t="shared" si="31"/>
        <v>0</v>
      </c>
    </row>
    <row r="223" spans="2:6" x14ac:dyDescent="0.25">
      <c r="B223" s="273">
        <f>'Aide CME'!R17</f>
        <v>0</v>
      </c>
      <c r="C223" s="157">
        <v>1</v>
      </c>
      <c r="D223" s="334">
        <f>R16</f>
        <v>2026</v>
      </c>
      <c r="F223" s="273">
        <f>R17/12</f>
        <v>0</v>
      </c>
    </row>
    <row r="224" spans="2:6" x14ac:dyDescent="0.25">
      <c r="B224" s="273">
        <f>'Aide CME'!R18</f>
        <v>0</v>
      </c>
      <c r="C224" s="157">
        <v>2</v>
      </c>
      <c r="D224" s="334"/>
      <c r="F224" s="273">
        <f>F223</f>
        <v>0</v>
      </c>
    </row>
    <row r="225" spans="2:6" x14ac:dyDescent="0.25">
      <c r="B225" s="273">
        <f>'Aide CME'!R19</f>
        <v>0</v>
      </c>
      <c r="C225" s="157">
        <v>3</v>
      </c>
      <c r="D225" s="334"/>
      <c r="F225" s="273">
        <f t="shared" ref="F225:F234" si="32">F224</f>
        <v>0</v>
      </c>
    </row>
    <row r="226" spans="2:6" x14ac:dyDescent="0.25">
      <c r="B226" s="273">
        <f>'Aide CME'!R20</f>
        <v>0</v>
      </c>
      <c r="C226" s="157">
        <v>4</v>
      </c>
      <c r="D226" s="334"/>
      <c r="F226" s="273">
        <f t="shared" si="32"/>
        <v>0</v>
      </c>
    </row>
    <row r="227" spans="2:6" x14ac:dyDescent="0.25">
      <c r="B227" s="273">
        <f>'Aide CME'!R21</f>
        <v>0</v>
      </c>
      <c r="C227" s="157">
        <v>5</v>
      </c>
      <c r="D227" s="334"/>
      <c r="F227" s="273">
        <f t="shared" si="32"/>
        <v>0</v>
      </c>
    </row>
    <row r="228" spans="2:6" x14ac:dyDescent="0.25">
      <c r="B228" s="273">
        <f>'Aide CME'!R22</f>
        <v>0</v>
      </c>
      <c r="C228" s="157">
        <v>6</v>
      </c>
      <c r="D228" s="334"/>
      <c r="F228" s="273">
        <f t="shared" si="32"/>
        <v>0</v>
      </c>
    </row>
    <row r="229" spans="2:6" x14ac:dyDescent="0.25">
      <c r="B229" s="273">
        <f>'Aide CME'!R23</f>
        <v>0</v>
      </c>
      <c r="C229" s="157">
        <v>7</v>
      </c>
      <c r="D229" s="334"/>
      <c r="F229" s="273">
        <f t="shared" si="32"/>
        <v>0</v>
      </c>
    </row>
    <row r="230" spans="2:6" x14ac:dyDescent="0.25">
      <c r="B230" s="273">
        <f>'Aide CME'!R24</f>
        <v>0</v>
      </c>
      <c r="C230" s="157">
        <v>8</v>
      </c>
      <c r="D230" s="334"/>
      <c r="F230" s="273">
        <f t="shared" si="32"/>
        <v>0</v>
      </c>
    </row>
    <row r="231" spans="2:6" x14ac:dyDescent="0.25">
      <c r="B231" s="273">
        <f>'Aide CME'!R25</f>
        <v>0</v>
      </c>
      <c r="C231" s="157">
        <v>9</v>
      </c>
      <c r="D231" s="334"/>
      <c r="F231" s="273">
        <f t="shared" si="32"/>
        <v>0</v>
      </c>
    </row>
    <row r="232" spans="2:6" x14ac:dyDescent="0.25">
      <c r="B232" s="273">
        <f>'Aide CME'!R26</f>
        <v>0</v>
      </c>
      <c r="C232" s="157">
        <v>10</v>
      </c>
      <c r="D232" s="334"/>
      <c r="F232" s="273">
        <f t="shared" si="32"/>
        <v>0</v>
      </c>
    </row>
    <row r="233" spans="2:6" x14ac:dyDescent="0.25">
      <c r="B233" s="273">
        <f>'Aide CME'!R27</f>
        <v>0</v>
      </c>
      <c r="C233" s="157">
        <v>11</v>
      </c>
      <c r="D233" s="334"/>
      <c r="F233" s="273">
        <f t="shared" si="32"/>
        <v>0</v>
      </c>
    </row>
    <row r="234" spans="2:6" x14ac:dyDescent="0.25">
      <c r="B234" s="273">
        <f>'Aide CME'!R28</f>
        <v>0</v>
      </c>
      <c r="C234" s="157">
        <v>12</v>
      </c>
      <c r="D234" s="334"/>
      <c r="F234" s="273">
        <f t="shared" si="32"/>
        <v>0</v>
      </c>
    </row>
  </sheetData>
  <mergeCells count="19">
    <mergeCell ref="D103:D114"/>
    <mergeCell ref="D211:D222"/>
    <mergeCell ref="D223:D234"/>
    <mergeCell ref="C2:K2"/>
    <mergeCell ref="D199:D210"/>
    <mergeCell ref="D139:D150"/>
    <mergeCell ref="D151:D162"/>
    <mergeCell ref="D163:D174"/>
    <mergeCell ref="D175:D186"/>
    <mergeCell ref="D187:D198"/>
    <mergeCell ref="D115:D126"/>
    <mergeCell ref="D127:D138"/>
    <mergeCell ref="C8:K8"/>
    <mergeCell ref="D31:D42"/>
    <mergeCell ref="D43:D54"/>
    <mergeCell ref="D55:D66"/>
    <mergeCell ref="D67:D78"/>
    <mergeCell ref="D79:D90"/>
    <mergeCell ref="D91:D102"/>
  </mergeCells>
  <pageMargins left="0.7" right="0.7" top="0.75" bottom="0.75" header="0.3" footer="0.3"/>
  <pageSetup paperSize="9" orientation="portrait" horizontalDpi="4294967293"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98"/>
  <sheetViews>
    <sheetView workbookViewId="0"/>
  </sheetViews>
  <sheetFormatPr baseColWidth="10" defaultRowHeight="15" x14ac:dyDescent="0.25"/>
  <cols>
    <col min="1" max="1" width="47" bestFit="1" customWidth="1"/>
    <col min="2" max="2" width="27.7109375" customWidth="1"/>
    <col min="9" max="9" width="18.7109375" customWidth="1"/>
    <col min="10" max="10" width="15" customWidth="1"/>
    <col min="12" max="12" width="26.85546875" customWidth="1"/>
    <col min="13" max="13" width="24.7109375" customWidth="1"/>
    <col min="15" max="15" width="11.85546875" customWidth="1"/>
    <col min="20" max="20" width="22.85546875" customWidth="1"/>
    <col min="21" max="21" width="22.5703125" customWidth="1"/>
    <col min="23" max="23" width="24.5703125" customWidth="1"/>
    <col min="25" max="26" width="23" bestFit="1" customWidth="1"/>
    <col min="27" max="27" width="27.140625" bestFit="1" customWidth="1"/>
  </cols>
  <sheetData>
    <row r="2" spans="1:28" x14ac:dyDescent="0.25">
      <c r="L2" t="s">
        <v>260</v>
      </c>
      <c r="M2" t="s">
        <v>261</v>
      </c>
      <c r="N2" t="s">
        <v>57</v>
      </c>
      <c r="O2" t="s">
        <v>58</v>
      </c>
      <c r="P2" t="s">
        <v>59</v>
      </c>
      <c r="Q2" t="s">
        <v>33</v>
      </c>
      <c r="R2" t="s">
        <v>62</v>
      </c>
      <c r="S2" t="s">
        <v>73</v>
      </c>
      <c r="T2" t="s">
        <v>71</v>
      </c>
      <c r="U2" t="s">
        <v>60</v>
      </c>
      <c r="V2" t="s">
        <v>129</v>
      </c>
      <c r="W2" t="s">
        <v>130</v>
      </c>
      <c r="X2" t="s">
        <v>135</v>
      </c>
      <c r="Y2" t="s">
        <v>313</v>
      </c>
      <c r="Z2" t="s">
        <v>314</v>
      </c>
      <c r="AA2" t="s">
        <v>315</v>
      </c>
      <c r="AB2" t="s">
        <v>316</v>
      </c>
    </row>
    <row r="3" spans="1:28" ht="15.75" thickBot="1" x14ac:dyDescent="0.3">
      <c r="A3" t="s">
        <v>27</v>
      </c>
      <c r="L3" s="109" t="s">
        <v>246</v>
      </c>
      <c r="M3" s="110" t="s">
        <v>254</v>
      </c>
      <c r="N3" t="s">
        <v>58</v>
      </c>
      <c r="O3" t="s">
        <v>60</v>
      </c>
      <c r="P3" t="s">
        <v>129</v>
      </c>
      <c r="Q3" t="s">
        <v>64</v>
      </c>
      <c r="R3" t="s">
        <v>68</v>
      </c>
      <c r="S3" t="s">
        <v>74</v>
      </c>
      <c r="T3" t="s">
        <v>8</v>
      </c>
      <c r="U3" t="s">
        <v>136</v>
      </c>
      <c r="V3" t="s">
        <v>131</v>
      </c>
      <c r="W3" t="s">
        <v>133</v>
      </c>
      <c r="X3" t="s">
        <v>43</v>
      </c>
      <c r="Y3" t="s">
        <v>314</v>
      </c>
      <c r="Z3" t="s">
        <v>317</v>
      </c>
      <c r="AA3" t="s">
        <v>61</v>
      </c>
      <c r="AB3" t="s">
        <v>76</v>
      </c>
    </row>
    <row r="4" spans="1:28" ht="39" thickBot="1" x14ac:dyDescent="0.3">
      <c r="A4" s="4" t="s">
        <v>4</v>
      </c>
      <c r="B4" s="141" t="s">
        <v>128</v>
      </c>
      <c r="C4" t="s">
        <v>311</v>
      </c>
      <c r="D4" s="142"/>
      <c r="E4" s="5" t="s">
        <v>5</v>
      </c>
      <c r="F4" s="6" t="s">
        <v>6</v>
      </c>
      <c r="G4" s="7" t="s">
        <v>7</v>
      </c>
      <c r="L4" s="109" t="s">
        <v>247</v>
      </c>
      <c r="M4" s="110" t="s">
        <v>255</v>
      </c>
      <c r="N4" t="s">
        <v>59</v>
      </c>
      <c r="O4" t="s">
        <v>33</v>
      </c>
      <c r="P4" t="s">
        <v>130</v>
      </c>
      <c r="R4" t="s">
        <v>69</v>
      </c>
      <c r="S4" t="s">
        <v>75</v>
      </c>
      <c r="T4" t="s">
        <v>10</v>
      </c>
      <c r="U4" t="s">
        <v>207</v>
      </c>
      <c r="V4" t="s">
        <v>132</v>
      </c>
      <c r="W4" t="s">
        <v>134</v>
      </c>
      <c r="Y4" t="s">
        <v>315</v>
      </c>
      <c r="Z4" t="s">
        <v>318</v>
      </c>
      <c r="AA4" t="s">
        <v>79</v>
      </c>
      <c r="AB4" t="s">
        <v>77</v>
      </c>
    </row>
    <row r="5" spans="1:28" x14ac:dyDescent="0.25">
      <c r="A5" s="8" t="s">
        <v>8</v>
      </c>
      <c r="B5" s="9">
        <v>2700</v>
      </c>
      <c r="C5" s="9">
        <v>2700</v>
      </c>
      <c r="D5" s="10" t="s">
        <v>9</v>
      </c>
      <c r="E5" s="11">
        <v>2.4E-2</v>
      </c>
      <c r="F5" s="12">
        <v>1.1100000000000001</v>
      </c>
      <c r="G5" s="13">
        <v>0.01</v>
      </c>
      <c r="L5" s="109" t="s">
        <v>248</v>
      </c>
      <c r="M5" s="110" t="s">
        <v>256</v>
      </c>
      <c r="N5" t="s">
        <v>313</v>
      </c>
      <c r="O5" t="s">
        <v>62</v>
      </c>
      <c r="P5" t="s">
        <v>135</v>
      </c>
      <c r="R5" t="s">
        <v>70</v>
      </c>
      <c r="T5" t="s">
        <v>11</v>
      </c>
      <c r="W5" t="s">
        <v>63</v>
      </c>
      <c r="Y5" t="s">
        <v>316</v>
      </c>
      <c r="Z5" t="s">
        <v>74</v>
      </c>
      <c r="AA5" t="s">
        <v>319</v>
      </c>
      <c r="AB5" t="s">
        <v>78</v>
      </c>
    </row>
    <row r="6" spans="1:28" x14ac:dyDescent="0.25">
      <c r="A6" s="8" t="s">
        <v>10</v>
      </c>
      <c r="B6" s="9">
        <v>4600</v>
      </c>
      <c r="C6" s="9">
        <v>4600</v>
      </c>
      <c r="D6" s="10" t="s">
        <v>9</v>
      </c>
      <c r="E6" s="11">
        <v>0.03</v>
      </c>
      <c r="F6" s="12">
        <v>1.1100000000000001</v>
      </c>
      <c r="G6" s="13">
        <v>0.01</v>
      </c>
      <c r="L6" s="109" t="s">
        <v>249</v>
      </c>
      <c r="M6" s="110" t="s">
        <v>257</v>
      </c>
      <c r="R6" t="s">
        <v>320</v>
      </c>
      <c r="T6" t="s">
        <v>13</v>
      </c>
    </row>
    <row r="7" spans="1:28" x14ac:dyDescent="0.25">
      <c r="A7" s="8" t="s">
        <v>11</v>
      </c>
      <c r="B7" s="9">
        <v>1680</v>
      </c>
      <c r="C7" s="9">
        <v>1680</v>
      </c>
      <c r="D7" s="10" t="s">
        <v>12</v>
      </c>
      <c r="E7" s="11">
        <v>0.03</v>
      </c>
      <c r="F7" s="12">
        <v>1.1100000000000001</v>
      </c>
      <c r="G7" s="13">
        <v>0.01</v>
      </c>
      <c r="L7" s="109" t="s">
        <v>250</v>
      </c>
      <c r="M7" s="110" t="s">
        <v>258</v>
      </c>
      <c r="R7" t="s">
        <v>452</v>
      </c>
      <c r="T7" t="s">
        <v>15</v>
      </c>
    </row>
    <row r="8" spans="1:28" x14ac:dyDescent="0.25">
      <c r="A8" s="8" t="s">
        <v>13</v>
      </c>
      <c r="B8" s="14">
        <v>0.90090090090090102</v>
      </c>
      <c r="C8" s="14">
        <v>0.9009009009009008</v>
      </c>
      <c r="D8" s="10" t="s">
        <v>14</v>
      </c>
      <c r="E8" s="11">
        <v>0.22700000000000001</v>
      </c>
      <c r="F8" s="12">
        <v>1.1100000000000001</v>
      </c>
      <c r="G8" s="13">
        <v>0.04</v>
      </c>
      <c r="L8" s="109" t="s">
        <v>251</v>
      </c>
      <c r="T8" t="s">
        <v>17</v>
      </c>
    </row>
    <row r="9" spans="1:28" x14ac:dyDescent="0.25">
      <c r="A9" s="8" t="s">
        <v>15</v>
      </c>
      <c r="B9" s="15">
        <v>11.628</v>
      </c>
      <c r="C9" s="15">
        <v>11.628</v>
      </c>
      <c r="D9" s="10" t="s">
        <v>16</v>
      </c>
      <c r="E9" s="11">
        <v>0.22700000000000001</v>
      </c>
      <c r="F9" s="12">
        <v>1.1100000000000001</v>
      </c>
      <c r="G9" s="13">
        <v>0.04</v>
      </c>
      <c r="L9" s="109" t="s">
        <v>252</v>
      </c>
      <c r="T9" t="s">
        <v>18</v>
      </c>
    </row>
    <row r="10" spans="1:28" x14ac:dyDescent="0.25">
      <c r="A10" s="8" t="s">
        <v>17</v>
      </c>
      <c r="B10" s="9">
        <v>12660</v>
      </c>
      <c r="C10" s="9">
        <v>12660</v>
      </c>
      <c r="D10" s="10" t="s">
        <v>9</v>
      </c>
      <c r="E10" s="11">
        <v>0.27200000000000002</v>
      </c>
      <c r="F10" s="12">
        <v>1.0900000000000001</v>
      </c>
      <c r="G10" s="16">
        <v>0.02</v>
      </c>
      <c r="L10" s="109" t="s">
        <v>253</v>
      </c>
      <c r="T10" t="s">
        <v>19</v>
      </c>
    </row>
    <row r="11" spans="1:28" x14ac:dyDescent="0.25">
      <c r="A11" s="8" t="s">
        <v>18</v>
      </c>
      <c r="B11" s="14">
        <v>23.7</v>
      </c>
      <c r="C11" s="14">
        <v>23.7</v>
      </c>
      <c r="D11" s="10" t="s">
        <v>16</v>
      </c>
      <c r="E11" s="11">
        <v>0.27200000000000002</v>
      </c>
      <c r="F11" s="12">
        <v>1.0900000000000001</v>
      </c>
      <c r="G11" s="13">
        <v>0.02</v>
      </c>
      <c r="T11" t="s">
        <v>20</v>
      </c>
    </row>
    <row r="12" spans="1:28" x14ac:dyDescent="0.25">
      <c r="A12" s="8" t="s">
        <v>19</v>
      </c>
      <c r="B12" s="9">
        <v>12570</v>
      </c>
      <c r="C12" s="9">
        <v>12570</v>
      </c>
      <c r="D12" s="10" t="s">
        <v>9</v>
      </c>
      <c r="E12" s="11">
        <v>0.27200000000000002</v>
      </c>
      <c r="F12" s="12">
        <v>1.0900000000000001</v>
      </c>
      <c r="G12" s="13">
        <v>0.02</v>
      </c>
      <c r="T12" t="s">
        <v>22</v>
      </c>
    </row>
    <row r="13" spans="1:28" x14ac:dyDescent="0.25">
      <c r="A13" s="8" t="s">
        <v>20</v>
      </c>
      <c r="B13" s="15">
        <v>6.9</v>
      </c>
      <c r="C13" s="15">
        <v>6.9</v>
      </c>
      <c r="D13" s="10" t="s">
        <v>21</v>
      </c>
      <c r="E13" s="11">
        <v>0.27200000000000002</v>
      </c>
      <c r="F13" s="12">
        <v>1.0900000000000001</v>
      </c>
      <c r="G13" s="16">
        <v>0.03</v>
      </c>
      <c r="T13" t="s">
        <v>23</v>
      </c>
    </row>
    <row r="14" spans="1:28" x14ac:dyDescent="0.25">
      <c r="A14" s="8" t="s">
        <v>22</v>
      </c>
      <c r="B14" s="14">
        <v>30.45</v>
      </c>
      <c r="C14" s="14">
        <v>30.45</v>
      </c>
      <c r="D14" s="10" t="s">
        <v>16</v>
      </c>
      <c r="E14" s="11">
        <v>0.27200000000000002</v>
      </c>
      <c r="F14" s="12">
        <v>1.0900000000000001</v>
      </c>
      <c r="G14" s="16">
        <v>0.03</v>
      </c>
      <c r="L14" t="s">
        <v>275</v>
      </c>
      <c r="N14" s="36" t="s">
        <v>329</v>
      </c>
      <c r="O14" t="s">
        <v>403</v>
      </c>
      <c r="P14" t="s">
        <v>456</v>
      </c>
      <c r="T14" t="s">
        <v>24</v>
      </c>
    </row>
    <row r="15" spans="1:28" x14ac:dyDescent="0.25">
      <c r="A15" s="8" t="s">
        <v>23</v>
      </c>
      <c r="B15" s="14">
        <v>9.9700000000000006</v>
      </c>
      <c r="C15" s="14">
        <v>9.9700000000000006</v>
      </c>
      <c r="D15" s="10" t="s">
        <v>21</v>
      </c>
      <c r="E15" s="11">
        <v>0.32400000000000001</v>
      </c>
      <c r="F15" s="12">
        <v>1.07</v>
      </c>
      <c r="G15" s="16">
        <v>0.05</v>
      </c>
      <c r="L15" s="129" t="s">
        <v>98</v>
      </c>
      <c r="M15" t="s">
        <v>249</v>
      </c>
      <c r="T15" t="s">
        <v>25</v>
      </c>
    </row>
    <row r="16" spans="1:28" x14ac:dyDescent="0.25">
      <c r="A16" s="17" t="s">
        <v>24</v>
      </c>
      <c r="B16" s="9">
        <v>1</v>
      </c>
      <c r="C16" s="9">
        <v>1</v>
      </c>
      <c r="D16" s="10" t="s">
        <v>14</v>
      </c>
      <c r="E16" s="11">
        <v>6.4000000000000001E-2</v>
      </c>
      <c r="F16" s="18">
        <v>1</v>
      </c>
      <c r="G16" s="16">
        <v>0.05</v>
      </c>
      <c r="L16" s="130" t="s">
        <v>111</v>
      </c>
      <c r="M16" t="s">
        <v>249</v>
      </c>
      <c r="N16" t="s">
        <v>330</v>
      </c>
      <c r="O16" t="s">
        <v>406</v>
      </c>
      <c r="P16" t="s">
        <v>457</v>
      </c>
      <c r="T16" t="s">
        <v>26</v>
      </c>
    </row>
    <row r="17" spans="1:20" x14ac:dyDescent="0.25">
      <c r="A17" s="19" t="s">
        <v>25</v>
      </c>
      <c r="B17" s="9">
        <v>1</v>
      </c>
      <c r="C17" s="14">
        <v>0.77</v>
      </c>
      <c r="D17" s="10" t="s">
        <v>14</v>
      </c>
      <c r="E17" s="20">
        <v>0.1</v>
      </c>
      <c r="F17" s="18">
        <v>1</v>
      </c>
      <c r="G17" s="16">
        <v>0.05</v>
      </c>
      <c r="L17" s="129" t="s">
        <v>112</v>
      </c>
      <c r="M17" t="s">
        <v>249</v>
      </c>
      <c r="N17" t="s">
        <v>331</v>
      </c>
      <c r="O17" t="s">
        <v>404</v>
      </c>
      <c r="P17" t="s">
        <v>458</v>
      </c>
      <c r="T17" t="s">
        <v>230</v>
      </c>
    </row>
    <row r="18" spans="1:20" x14ac:dyDescent="0.25">
      <c r="A18" t="s">
        <v>230</v>
      </c>
      <c r="B18" s="22">
        <v>0</v>
      </c>
      <c r="C18" s="22">
        <v>0</v>
      </c>
      <c r="D18" s="23"/>
      <c r="E18" s="96"/>
      <c r="F18" s="25"/>
      <c r="G18" s="26"/>
      <c r="L18" s="130" t="s">
        <v>113</v>
      </c>
      <c r="M18" t="s">
        <v>249</v>
      </c>
      <c r="O18" t="s">
        <v>412</v>
      </c>
      <c r="P18" t="s">
        <v>459</v>
      </c>
    </row>
    <row r="19" spans="1:20" x14ac:dyDescent="0.25">
      <c r="A19" s="21" t="s">
        <v>26</v>
      </c>
      <c r="B19" s="22">
        <v>1</v>
      </c>
      <c r="C19" s="22">
        <v>1</v>
      </c>
      <c r="D19" s="23" t="s">
        <v>14</v>
      </c>
      <c r="E19" s="24">
        <v>6.4000000000000001E-2</v>
      </c>
      <c r="F19" s="25">
        <v>1</v>
      </c>
      <c r="G19" s="26">
        <v>0.05</v>
      </c>
      <c r="L19" s="129" t="s">
        <v>114</v>
      </c>
      <c r="M19" t="s">
        <v>249</v>
      </c>
    </row>
    <row r="20" spans="1:20" x14ac:dyDescent="0.25">
      <c r="L20" s="130" t="s">
        <v>115</v>
      </c>
      <c r="M20" t="s">
        <v>249</v>
      </c>
    </row>
    <row r="21" spans="1:20" x14ac:dyDescent="0.25">
      <c r="L21" s="129" t="s">
        <v>116</v>
      </c>
      <c r="M21" t="s">
        <v>249</v>
      </c>
    </row>
    <row r="22" spans="1:20" x14ac:dyDescent="0.25">
      <c r="L22" s="130" t="s">
        <v>144</v>
      </c>
      <c r="M22" t="s">
        <v>250</v>
      </c>
    </row>
    <row r="23" spans="1:20" x14ac:dyDescent="0.25">
      <c r="J23" t="s">
        <v>186</v>
      </c>
      <c r="L23" s="131" t="s">
        <v>145</v>
      </c>
      <c r="M23" t="s">
        <v>250</v>
      </c>
    </row>
    <row r="24" spans="1:20" x14ac:dyDescent="0.25">
      <c r="A24" s="71" t="s">
        <v>170</v>
      </c>
      <c r="B24" s="71" t="s">
        <v>188</v>
      </c>
      <c r="C24" s="69" t="s">
        <v>180</v>
      </c>
      <c r="D24" s="69" t="s">
        <v>181</v>
      </c>
      <c r="E24" s="69" t="s">
        <v>182</v>
      </c>
      <c r="F24" s="69" t="s">
        <v>183</v>
      </c>
      <c r="G24" s="69" t="s">
        <v>184</v>
      </c>
      <c r="H24" s="72" t="s">
        <v>185</v>
      </c>
      <c r="I24" s="72" t="s">
        <v>300</v>
      </c>
      <c r="L24" s="130" t="s">
        <v>146</v>
      </c>
      <c r="M24" t="s">
        <v>250</v>
      </c>
    </row>
    <row r="25" spans="1:20" x14ac:dyDescent="0.25">
      <c r="A25" s="341" t="s">
        <v>179</v>
      </c>
      <c r="B25" s="66" t="s">
        <v>171</v>
      </c>
      <c r="C25" s="67" t="s">
        <v>178</v>
      </c>
      <c r="D25" s="67" t="s">
        <v>178</v>
      </c>
      <c r="E25" s="67" t="s">
        <v>178</v>
      </c>
      <c r="F25" s="67" t="s">
        <v>178</v>
      </c>
      <c r="G25" s="67" t="s">
        <v>178</v>
      </c>
      <c r="H25" s="73" t="s">
        <v>178</v>
      </c>
      <c r="I25" s="106">
        <v>35</v>
      </c>
      <c r="L25" s="129" t="s">
        <v>236</v>
      </c>
      <c r="M25" t="s">
        <v>246</v>
      </c>
    </row>
    <row r="26" spans="1:20" x14ac:dyDescent="0.25">
      <c r="A26" s="342"/>
      <c r="B26" s="66" t="s">
        <v>172</v>
      </c>
      <c r="C26" s="70">
        <v>162.96440616262723</v>
      </c>
      <c r="D26" s="70">
        <v>78.388576324684351</v>
      </c>
      <c r="E26" s="70">
        <v>241.35298248731158</v>
      </c>
      <c r="F26" s="70">
        <v>45.971020654622961</v>
      </c>
      <c r="G26" s="70">
        <v>71.775598070944156</v>
      </c>
      <c r="H26" s="74">
        <v>232.92148528584556</v>
      </c>
      <c r="I26" s="106">
        <v>35</v>
      </c>
      <c r="L26" s="132" t="s">
        <v>237</v>
      </c>
      <c r="M26" t="s">
        <v>253</v>
      </c>
    </row>
    <row r="27" spans="1:20" x14ac:dyDescent="0.25">
      <c r="A27" s="342"/>
      <c r="B27" s="66" t="s">
        <v>173</v>
      </c>
      <c r="C27" s="70">
        <v>134.37719550799881</v>
      </c>
      <c r="D27" s="70">
        <v>53.407224193411814</v>
      </c>
      <c r="E27" s="70">
        <v>187.784419701411</v>
      </c>
      <c r="F27" s="70">
        <v>43.015283576240691</v>
      </c>
      <c r="G27" s="70">
        <v>49.783917823165922</v>
      </c>
      <c r="H27" s="74">
        <v>144.16961746331364</v>
      </c>
      <c r="I27" s="106">
        <v>72</v>
      </c>
      <c r="L27" s="178" t="s">
        <v>267</v>
      </c>
      <c r="M27" t="s">
        <v>250</v>
      </c>
    </row>
    <row r="28" spans="1:20" x14ac:dyDescent="0.25">
      <c r="A28" s="342"/>
      <c r="B28" s="66" t="s">
        <v>174</v>
      </c>
      <c r="C28" s="68" t="s">
        <v>178</v>
      </c>
      <c r="D28" s="68" t="s">
        <v>178</v>
      </c>
      <c r="E28" s="68" t="s">
        <v>178</v>
      </c>
      <c r="F28" s="68" t="s">
        <v>178</v>
      </c>
      <c r="G28" s="68" t="s">
        <v>178</v>
      </c>
      <c r="H28" s="75" t="s">
        <v>178</v>
      </c>
      <c r="I28" s="106">
        <v>25</v>
      </c>
      <c r="J28" s="36"/>
      <c r="L28" s="129" t="s">
        <v>269</v>
      </c>
      <c r="M28" t="s">
        <v>250</v>
      </c>
    </row>
    <row r="29" spans="1:20" x14ac:dyDescent="0.25">
      <c r="A29" s="342"/>
      <c r="B29" s="66" t="s">
        <v>175</v>
      </c>
      <c r="C29" s="68" t="s">
        <v>178</v>
      </c>
      <c r="D29" s="68" t="s">
        <v>178</v>
      </c>
      <c r="E29" s="68" t="s">
        <v>178</v>
      </c>
      <c r="F29" s="68" t="s">
        <v>178</v>
      </c>
      <c r="G29" s="68" t="s">
        <v>178</v>
      </c>
      <c r="H29" s="75" t="s">
        <v>178</v>
      </c>
      <c r="I29" s="106">
        <v>45</v>
      </c>
      <c r="L29" s="132" t="s">
        <v>268</v>
      </c>
      <c r="M29" t="s">
        <v>250</v>
      </c>
    </row>
    <row r="30" spans="1:20" x14ac:dyDescent="0.25">
      <c r="A30" s="342"/>
      <c r="B30" s="66" t="s">
        <v>176</v>
      </c>
      <c r="C30" s="70">
        <v>155.48546305598433</v>
      </c>
      <c r="D30" s="70">
        <v>47.577767163363731</v>
      </c>
      <c r="E30" s="70">
        <v>203.06323021934804</v>
      </c>
      <c r="F30" s="70">
        <v>39.677263033881395</v>
      </c>
      <c r="G30" s="70">
        <v>46.0000695027232</v>
      </c>
      <c r="H30" s="74">
        <v>247.85173430102637</v>
      </c>
      <c r="I30" s="106">
        <v>72</v>
      </c>
      <c r="J30" s="36"/>
      <c r="L30" s="220" t="s">
        <v>438</v>
      </c>
      <c r="M30" t="s">
        <v>246</v>
      </c>
    </row>
    <row r="31" spans="1:20" x14ac:dyDescent="0.25">
      <c r="A31" s="342"/>
      <c r="B31" s="66" t="s">
        <v>177</v>
      </c>
      <c r="C31" s="68" t="s">
        <v>178</v>
      </c>
      <c r="D31" s="68" t="s">
        <v>178</v>
      </c>
      <c r="E31" s="68" t="s">
        <v>178</v>
      </c>
      <c r="F31" s="68" t="s">
        <v>178</v>
      </c>
      <c r="G31" s="68" t="s">
        <v>178</v>
      </c>
      <c r="H31" s="75" t="s">
        <v>178</v>
      </c>
      <c r="I31" s="106">
        <v>25</v>
      </c>
      <c r="J31" s="36"/>
    </row>
    <row r="32" spans="1:20" x14ac:dyDescent="0.25">
      <c r="A32" s="342"/>
    </row>
    <row r="33" spans="1:10" x14ac:dyDescent="0.25">
      <c r="A33" s="343"/>
    </row>
    <row r="37" spans="1:10" ht="15.75" thickBot="1" x14ac:dyDescent="0.3">
      <c r="A37" t="s">
        <v>298</v>
      </c>
    </row>
    <row r="38" spans="1:10" ht="16.5" thickTop="1" thickBot="1" x14ac:dyDescent="0.3">
      <c r="B38" s="107" t="s">
        <v>243</v>
      </c>
      <c r="C38" s="344" t="s">
        <v>244</v>
      </c>
      <c r="D38" s="345"/>
      <c r="E38" s="345"/>
      <c r="F38" s="345"/>
      <c r="G38" s="345"/>
      <c r="H38" s="345"/>
      <c r="I38" s="345"/>
      <c r="J38" s="345"/>
    </row>
    <row r="39" spans="1:10" ht="15.75" thickBot="1" x14ac:dyDescent="0.3">
      <c r="B39" s="108" t="s">
        <v>245</v>
      </c>
      <c r="C39" s="109" t="s">
        <v>246</v>
      </c>
      <c r="D39" s="109" t="s">
        <v>247</v>
      </c>
      <c r="E39" s="109" t="s">
        <v>248</v>
      </c>
      <c r="F39" s="109" t="s">
        <v>249</v>
      </c>
      <c r="G39" s="109" t="s">
        <v>250</v>
      </c>
      <c r="H39" s="109" t="s">
        <v>251</v>
      </c>
      <c r="I39" s="109" t="s">
        <v>252</v>
      </c>
      <c r="J39" s="109" t="s">
        <v>253</v>
      </c>
    </row>
    <row r="40" spans="1:10" ht="16.5" thickTop="1" thickBot="1" x14ac:dyDescent="0.3">
      <c r="A40" s="36" t="s">
        <v>259</v>
      </c>
      <c r="B40" s="113" t="s">
        <v>254</v>
      </c>
      <c r="C40" s="114">
        <v>0.04</v>
      </c>
      <c r="D40" s="114">
        <v>4.4999999999999998E-2</v>
      </c>
      <c r="E40" s="114">
        <v>3.9E-2</v>
      </c>
      <c r="F40" s="114">
        <v>3.7999999999999999E-2</v>
      </c>
      <c r="G40" s="114">
        <v>3.2000000000000001E-2</v>
      </c>
      <c r="H40" s="114">
        <v>3.4000000000000002E-2</v>
      </c>
      <c r="I40" s="114">
        <v>3.1E-2</v>
      </c>
      <c r="J40" s="114">
        <v>2.1000000000000001E-2</v>
      </c>
    </row>
    <row r="41" spans="1:10" ht="15.75" thickBot="1" x14ac:dyDescent="0.3">
      <c r="A41" s="36" t="s">
        <v>259</v>
      </c>
      <c r="B41" s="110" t="s">
        <v>255</v>
      </c>
      <c r="C41" s="115">
        <v>5.2999999999999999E-2</v>
      </c>
      <c r="D41" s="115">
        <v>5.8000000000000003E-2</v>
      </c>
      <c r="E41" s="115">
        <v>5.0999999999999997E-2</v>
      </c>
      <c r="F41" s="111"/>
      <c r="G41" s="115">
        <v>4.4999999999999998E-2</v>
      </c>
      <c r="H41" s="115">
        <v>4.5999999999999999E-2</v>
      </c>
      <c r="I41" s="115">
        <v>4.1000000000000002E-2</v>
      </c>
      <c r="J41" s="115">
        <v>0.03</v>
      </c>
    </row>
    <row r="42" spans="1:10" ht="15.75" thickBot="1" x14ac:dyDescent="0.3">
      <c r="A42" s="36" t="s">
        <v>259</v>
      </c>
      <c r="B42" s="110" t="s">
        <v>256</v>
      </c>
      <c r="C42" s="112"/>
      <c r="D42" s="115">
        <v>7.1999999999999995E-2</v>
      </c>
      <c r="E42" s="115">
        <v>6.5000000000000002E-2</v>
      </c>
      <c r="F42" s="111"/>
      <c r="G42" s="111"/>
      <c r="H42" s="115">
        <v>5.8999999999999997E-2</v>
      </c>
      <c r="I42" s="115">
        <v>5.2999999999999999E-2</v>
      </c>
      <c r="J42" s="115">
        <v>4.1000000000000002E-2</v>
      </c>
    </row>
    <row r="43" spans="1:10" ht="15.75" thickBot="1" x14ac:dyDescent="0.3">
      <c r="A43" s="36" t="s">
        <v>259</v>
      </c>
      <c r="B43" s="110" t="s">
        <v>257</v>
      </c>
      <c r="C43" s="112"/>
      <c r="D43" s="115">
        <v>0.104</v>
      </c>
      <c r="E43" s="115">
        <v>9.5000000000000001E-2</v>
      </c>
      <c r="F43" s="111"/>
      <c r="G43" s="111"/>
      <c r="H43" s="115">
        <v>0.09</v>
      </c>
      <c r="I43" s="115">
        <v>8.1000000000000003E-2</v>
      </c>
      <c r="J43" s="115">
        <v>6.8000000000000005E-2</v>
      </c>
    </row>
    <row r="44" spans="1:10" x14ac:dyDescent="0.25">
      <c r="A44" s="36" t="s">
        <v>259</v>
      </c>
      <c r="B44" s="110" t="s">
        <v>258</v>
      </c>
      <c r="C44" s="112"/>
      <c r="D44" s="111"/>
      <c r="E44" s="115">
        <v>0.10299999999999999</v>
      </c>
      <c r="F44" s="111"/>
      <c r="G44" s="111"/>
      <c r="H44" s="115">
        <v>9.8000000000000004E-2</v>
      </c>
      <c r="I44" s="115">
        <v>8.8999999999999996E-2</v>
      </c>
      <c r="J44" s="115">
        <v>7.4999999999999997E-2</v>
      </c>
    </row>
    <row r="45" spans="1:10" x14ac:dyDescent="0.25">
      <c r="A45" s="36"/>
      <c r="B45" s="116"/>
      <c r="C45" s="117"/>
      <c r="D45" s="117"/>
      <c r="E45" s="117"/>
      <c r="F45" s="117"/>
      <c r="G45" s="117"/>
      <c r="H45" s="117"/>
      <c r="I45" s="117"/>
      <c r="J45" s="117"/>
    </row>
    <row r="46" spans="1:10" x14ac:dyDescent="0.25">
      <c r="A46" s="36"/>
      <c r="B46" s="116"/>
      <c r="C46" s="117"/>
      <c r="D46" s="117"/>
      <c r="E46" s="117"/>
      <c r="F46" s="118"/>
      <c r="G46" s="117"/>
      <c r="H46" s="117"/>
      <c r="I46" s="117"/>
      <c r="J46" s="117"/>
    </row>
    <row r="47" spans="1:10" ht="15.75" thickBot="1" x14ac:dyDescent="0.3">
      <c r="A47" s="36" t="s">
        <v>299</v>
      </c>
      <c r="B47" s="116"/>
      <c r="C47" s="119"/>
      <c r="D47" s="117"/>
      <c r="E47" s="117"/>
      <c r="F47" s="118"/>
      <c r="G47" s="118"/>
      <c r="H47" s="117"/>
      <c r="I47" s="117"/>
      <c r="J47" s="117"/>
    </row>
    <row r="48" spans="1:10" ht="16.5" thickTop="1" thickBot="1" x14ac:dyDescent="0.3">
      <c r="A48" s="36"/>
      <c r="B48" s="107" t="s">
        <v>243</v>
      </c>
      <c r="C48" s="344" t="s">
        <v>244</v>
      </c>
      <c r="D48" s="345"/>
      <c r="E48" s="345"/>
      <c r="F48" s="345"/>
      <c r="G48" s="345"/>
      <c r="H48" s="345"/>
      <c r="I48" s="345"/>
      <c r="J48" s="345"/>
    </row>
    <row r="49" spans="1:11" ht="15.75" thickBot="1" x14ac:dyDescent="0.3">
      <c r="A49" s="36"/>
      <c r="B49" s="108" t="s">
        <v>245</v>
      </c>
      <c r="C49" s="109" t="s">
        <v>246</v>
      </c>
      <c r="D49" s="109" t="s">
        <v>247</v>
      </c>
      <c r="E49" s="109" t="s">
        <v>248</v>
      </c>
      <c r="F49" s="109" t="s">
        <v>249</v>
      </c>
      <c r="G49" s="109" t="s">
        <v>250</v>
      </c>
      <c r="H49" s="109" t="s">
        <v>251</v>
      </c>
      <c r="I49" s="109" t="s">
        <v>252</v>
      </c>
      <c r="J49" s="109" t="s">
        <v>253</v>
      </c>
    </row>
    <row r="50" spans="1:11" ht="16.5" thickTop="1" thickBot="1" x14ac:dyDescent="0.3">
      <c r="A50" s="36"/>
      <c r="B50" s="113" t="s">
        <v>254</v>
      </c>
      <c r="C50" s="114">
        <v>3.5000000000000003E-2</v>
      </c>
      <c r="D50" s="114">
        <v>5.3999999999999999E-2</v>
      </c>
      <c r="E50" s="114">
        <v>8.4000000000000005E-2</v>
      </c>
      <c r="F50" s="114">
        <v>4.8000000000000001E-2</v>
      </c>
      <c r="G50" s="114">
        <v>4.9000000000000002E-2</v>
      </c>
      <c r="H50" s="114">
        <v>7.8E-2</v>
      </c>
      <c r="I50" s="114">
        <v>0.14899999999999999</v>
      </c>
      <c r="J50" s="114">
        <v>0.10299999999999999</v>
      </c>
    </row>
    <row r="51" spans="1:11" ht="15.75" thickBot="1" x14ac:dyDescent="0.3">
      <c r="A51" s="36"/>
      <c r="B51" s="110" t="s">
        <v>255</v>
      </c>
      <c r="C51" s="115">
        <v>1.7999999999999999E-2</v>
      </c>
      <c r="D51" s="115">
        <v>3.1E-2</v>
      </c>
      <c r="E51" s="115">
        <v>4.9000000000000002E-2</v>
      </c>
      <c r="F51" s="111"/>
      <c r="G51" s="115">
        <v>2.5000000000000001E-2</v>
      </c>
      <c r="H51" s="115">
        <v>4.3999999999999997E-2</v>
      </c>
      <c r="I51" s="115">
        <v>9.5000000000000001E-2</v>
      </c>
      <c r="J51" s="115">
        <v>4.5999999999999999E-2</v>
      </c>
    </row>
    <row r="52" spans="1:11" ht="15.75" thickBot="1" x14ac:dyDescent="0.3">
      <c r="A52" s="36"/>
      <c r="B52" s="110" t="s">
        <v>256</v>
      </c>
      <c r="C52" s="112"/>
      <c r="D52" s="115">
        <v>1.4999999999999999E-2</v>
      </c>
      <c r="E52" s="115">
        <v>2.4E-2</v>
      </c>
      <c r="F52" s="111"/>
      <c r="G52" s="111"/>
      <c r="H52" s="115">
        <v>2.1999999999999999E-2</v>
      </c>
      <c r="I52" s="115">
        <v>5.3999999999999999E-2</v>
      </c>
      <c r="J52" s="115">
        <v>8.9999999999999993E-3</v>
      </c>
    </row>
    <row r="53" spans="1:11" ht="15.75" thickBot="1" x14ac:dyDescent="0.3">
      <c r="A53" s="36"/>
      <c r="B53" s="110" t="s">
        <v>257</v>
      </c>
      <c r="C53" s="112"/>
      <c r="D53" s="115">
        <v>0</v>
      </c>
      <c r="E53" s="115">
        <v>0</v>
      </c>
      <c r="F53" s="111"/>
      <c r="G53" s="111"/>
      <c r="H53" s="115">
        <v>0</v>
      </c>
      <c r="I53" s="115">
        <v>0</v>
      </c>
      <c r="J53" s="115">
        <v>0</v>
      </c>
    </row>
    <row r="54" spans="1:11" x14ac:dyDescent="0.25">
      <c r="A54" s="36"/>
      <c r="B54" s="110" t="s">
        <v>258</v>
      </c>
      <c r="C54" s="112"/>
      <c r="D54" s="111"/>
      <c r="E54" s="115">
        <v>0</v>
      </c>
      <c r="F54" s="111"/>
      <c r="G54" s="111"/>
      <c r="H54" s="115">
        <v>0</v>
      </c>
      <c r="I54" s="115">
        <v>0</v>
      </c>
      <c r="J54" s="115">
        <v>0</v>
      </c>
    </row>
    <row r="57" spans="1:11" ht="15.75" thickBot="1" x14ac:dyDescent="0.3">
      <c r="A57" t="s">
        <v>306</v>
      </c>
    </row>
    <row r="58" spans="1:11" ht="16.5" thickTop="1" thickBot="1" x14ac:dyDescent="0.3">
      <c r="B58" s="107" t="s">
        <v>243</v>
      </c>
      <c r="C58" s="344" t="s">
        <v>244</v>
      </c>
      <c r="D58" s="345"/>
      <c r="E58" s="345"/>
      <c r="F58" s="345"/>
      <c r="G58" s="345"/>
      <c r="H58" s="345"/>
      <c r="I58" s="345"/>
      <c r="J58" s="345"/>
      <c r="K58" s="346"/>
    </row>
    <row r="59" spans="1:11" ht="16.5" thickBot="1" x14ac:dyDescent="0.3">
      <c r="B59" s="108" t="s">
        <v>245</v>
      </c>
      <c r="C59" s="109" t="s">
        <v>246</v>
      </c>
      <c r="D59" s="109" t="s">
        <v>247</v>
      </c>
      <c r="E59" s="109" t="s">
        <v>248</v>
      </c>
      <c r="F59" s="109" t="s">
        <v>249</v>
      </c>
      <c r="G59" s="109" t="s">
        <v>250</v>
      </c>
      <c r="H59" s="109" t="s">
        <v>251</v>
      </c>
      <c r="I59" s="109" t="s">
        <v>252</v>
      </c>
      <c r="J59" s="109" t="s">
        <v>253</v>
      </c>
      <c r="K59" s="138"/>
    </row>
    <row r="60" spans="1:11" x14ac:dyDescent="0.25">
      <c r="B60" s="110" t="s">
        <v>254</v>
      </c>
      <c r="C60" s="336">
        <v>34</v>
      </c>
      <c r="D60" s="336">
        <v>37</v>
      </c>
      <c r="E60" s="336">
        <v>36</v>
      </c>
      <c r="F60" s="336">
        <v>32</v>
      </c>
      <c r="G60" s="336">
        <v>34</v>
      </c>
      <c r="H60" s="336">
        <v>35</v>
      </c>
      <c r="I60" s="336">
        <v>38</v>
      </c>
      <c r="J60" s="336">
        <v>36</v>
      </c>
      <c r="K60" s="335"/>
    </row>
    <row r="61" spans="1:11" ht="15.75" thickBot="1" x14ac:dyDescent="0.3">
      <c r="B61" s="139" t="s">
        <v>301</v>
      </c>
      <c r="C61" s="337"/>
      <c r="D61" s="337"/>
      <c r="E61" s="337"/>
      <c r="F61" s="337"/>
      <c r="G61" s="337"/>
      <c r="H61" s="337"/>
      <c r="I61" s="337"/>
      <c r="J61" s="337"/>
      <c r="K61" s="335"/>
    </row>
    <row r="62" spans="1:11" x14ac:dyDescent="0.25">
      <c r="B62" s="110" t="s">
        <v>255</v>
      </c>
      <c r="C62" s="338">
        <v>38</v>
      </c>
      <c r="D62" s="338">
        <v>41</v>
      </c>
      <c r="E62" s="338">
        <v>39</v>
      </c>
      <c r="F62" s="339"/>
      <c r="G62" s="338">
        <v>37</v>
      </c>
      <c r="H62" s="338">
        <v>36</v>
      </c>
      <c r="I62" s="338">
        <v>38</v>
      </c>
      <c r="J62" s="338">
        <v>35</v>
      </c>
      <c r="K62" s="335"/>
    </row>
    <row r="63" spans="1:11" ht="15.75" thickBot="1" x14ac:dyDescent="0.3">
      <c r="B63" s="139" t="s">
        <v>302</v>
      </c>
      <c r="C63" s="337"/>
      <c r="D63" s="337"/>
      <c r="E63" s="337"/>
      <c r="F63" s="340"/>
      <c r="G63" s="337"/>
      <c r="H63" s="337"/>
      <c r="I63" s="337"/>
      <c r="J63" s="337"/>
      <c r="K63" s="335"/>
    </row>
    <row r="64" spans="1:11" x14ac:dyDescent="0.25">
      <c r="B64" s="110" t="s">
        <v>256</v>
      </c>
      <c r="C64" s="347"/>
      <c r="D64" s="338">
        <v>46</v>
      </c>
      <c r="E64" s="338">
        <v>42</v>
      </c>
      <c r="F64" s="339"/>
      <c r="G64" s="339"/>
      <c r="H64" s="338">
        <v>38</v>
      </c>
      <c r="I64" s="338">
        <v>39</v>
      </c>
      <c r="J64" s="338">
        <v>35</v>
      </c>
      <c r="K64" s="335"/>
    </row>
    <row r="65" spans="1:11" ht="15.75" thickBot="1" x14ac:dyDescent="0.3">
      <c r="B65" s="139" t="s">
        <v>303</v>
      </c>
      <c r="C65" s="348"/>
      <c r="D65" s="337"/>
      <c r="E65" s="337"/>
      <c r="F65" s="340"/>
      <c r="G65" s="340"/>
      <c r="H65" s="337"/>
      <c r="I65" s="337"/>
      <c r="J65" s="337"/>
      <c r="K65" s="335"/>
    </row>
    <row r="66" spans="1:11" x14ac:dyDescent="0.25">
      <c r="B66" s="110" t="s">
        <v>257</v>
      </c>
      <c r="C66" s="347"/>
      <c r="D66" s="338">
        <v>53</v>
      </c>
      <c r="E66" s="338">
        <v>48</v>
      </c>
      <c r="F66" s="339"/>
      <c r="G66" s="339"/>
      <c r="H66" s="338">
        <v>43</v>
      </c>
      <c r="I66" s="338">
        <v>43</v>
      </c>
      <c r="J66" s="338">
        <v>38</v>
      </c>
      <c r="K66" s="335"/>
    </row>
    <row r="67" spans="1:11" ht="15.75" thickBot="1" x14ac:dyDescent="0.3">
      <c r="A67" s="36"/>
      <c r="B67" s="139" t="s">
        <v>304</v>
      </c>
      <c r="C67" s="348"/>
      <c r="D67" s="337"/>
      <c r="E67" s="337"/>
      <c r="F67" s="340"/>
      <c r="G67" s="340"/>
      <c r="H67" s="337"/>
      <c r="I67" s="337"/>
      <c r="J67" s="337"/>
      <c r="K67" s="335"/>
    </row>
    <row r="68" spans="1:11" x14ac:dyDescent="0.25">
      <c r="A68" s="36"/>
      <c r="B68" s="110" t="s">
        <v>258</v>
      </c>
      <c r="C68" s="347"/>
      <c r="D68" s="339"/>
      <c r="E68" s="338">
        <v>52</v>
      </c>
      <c r="F68" s="339"/>
      <c r="G68" s="339"/>
      <c r="H68" s="338">
        <v>47</v>
      </c>
      <c r="I68" s="338">
        <v>45</v>
      </c>
      <c r="J68" s="338">
        <v>41</v>
      </c>
      <c r="K68" s="335"/>
    </row>
    <row r="69" spans="1:11" ht="15.75" thickBot="1" x14ac:dyDescent="0.3">
      <c r="A69" s="36"/>
      <c r="B69" s="140" t="s">
        <v>305</v>
      </c>
      <c r="C69" s="349"/>
      <c r="D69" s="350"/>
      <c r="E69" s="351"/>
      <c r="F69" s="350"/>
      <c r="G69" s="350"/>
      <c r="H69" s="351"/>
      <c r="I69" s="351"/>
      <c r="J69" s="351"/>
      <c r="K69" s="335"/>
    </row>
    <row r="70" spans="1:11" ht="15.75" thickTop="1" x14ac:dyDescent="0.25">
      <c r="A70" s="36"/>
      <c r="B70" s="116"/>
      <c r="C70" s="121"/>
      <c r="D70" s="120"/>
      <c r="E70" s="120"/>
      <c r="F70" s="120"/>
      <c r="G70" s="120"/>
      <c r="H70" s="120"/>
      <c r="I70" s="120"/>
      <c r="J70" s="120"/>
    </row>
    <row r="71" spans="1:11" x14ac:dyDescent="0.25">
      <c r="A71" s="36"/>
      <c r="B71" s="116"/>
      <c r="C71" s="121"/>
      <c r="D71" s="120"/>
      <c r="E71" s="120"/>
      <c r="F71" s="120"/>
      <c r="G71" s="120"/>
      <c r="H71" s="120"/>
      <c r="I71" s="120"/>
      <c r="J71" s="120"/>
    </row>
    <row r="72" spans="1:11" x14ac:dyDescent="0.25">
      <c r="A72" s="36"/>
      <c r="B72" s="116"/>
      <c r="C72" s="121"/>
      <c r="D72" s="120"/>
      <c r="E72" s="120"/>
      <c r="F72" s="120"/>
      <c r="G72" s="120"/>
      <c r="H72" s="120"/>
      <c r="I72" s="120"/>
      <c r="J72" s="120"/>
    </row>
    <row r="73" spans="1:11" x14ac:dyDescent="0.25">
      <c r="A73" s="36"/>
      <c r="B73" s="116"/>
      <c r="C73" s="120"/>
      <c r="D73" s="120"/>
      <c r="E73" s="120"/>
      <c r="F73" s="120"/>
      <c r="G73" s="120"/>
      <c r="H73" s="120"/>
      <c r="I73" s="120"/>
      <c r="J73" s="120"/>
    </row>
    <row r="74" spans="1:11" x14ac:dyDescent="0.25">
      <c r="A74" s="36"/>
      <c r="B74" s="116"/>
      <c r="C74" s="120"/>
      <c r="D74" s="120"/>
      <c r="E74" s="120"/>
      <c r="F74" s="120"/>
      <c r="G74" s="120"/>
      <c r="H74" s="120"/>
      <c r="I74" s="120"/>
      <c r="J74" s="120"/>
    </row>
    <row r="75" spans="1:11" x14ac:dyDescent="0.25">
      <c r="D75" s="120"/>
      <c r="E75" s="120"/>
      <c r="F75" s="120"/>
      <c r="G75" s="120"/>
      <c r="H75" s="120"/>
      <c r="I75" s="120"/>
      <c r="J75" s="120"/>
    </row>
    <row r="76" spans="1:11" x14ac:dyDescent="0.25">
      <c r="D76" s="120"/>
      <c r="E76" s="120"/>
      <c r="F76" s="120"/>
      <c r="G76" s="120"/>
      <c r="H76" s="120"/>
      <c r="I76" s="120"/>
      <c r="J76" s="120"/>
    </row>
    <row r="77" spans="1:11" x14ac:dyDescent="0.25">
      <c r="D77" s="120"/>
      <c r="E77" s="120"/>
      <c r="F77" s="120"/>
      <c r="G77" s="120"/>
      <c r="H77" s="120"/>
      <c r="I77" s="120"/>
      <c r="J77" s="120"/>
    </row>
    <row r="78" spans="1:11" x14ac:dyDescent="0.25">
      <c r="D78" s="120"/>
      <c r="E78" s="120"/>
      <c r="F78" s="120"/>
      <c r="G78" s="120"/>
      <c r="H78" s="120"/>
      <c r="I78" s="120"/>
      <c r="J78" s="120"/>
    </row>
    <row r="79" spans="1:11" x14ac:dyDescent="0.25">
      <c r="D79" s="120"/>
      <c r="E79" s="120"/>
      <c r="F79" s="120"/>
      <c r="G79" s="120"/>
      <c r="H79" s="120"/>
      <c r="I79" s="120"/>
      <c r="J79" s="120"/>
    </row>
    <row r="80" spans="1:11" x14ac:dyDescent="0.25">
      <c r="D80" s="120"/>
      <c r="E80" s="120"/>
      <c r="F80" s="120"/>
      <c r="G80" s="120"/>
      <c r="H80" s="120"/>
      <c r="I80" s="120"/>
      <c r="J80" s="120"/>
    </row>
    <row r="81" spans="1:10" x14ac:dyDescent="0.25">
      <c r="D81" s="120"/>
      <c r="E81" s="120"/>
      <c r="F81" s="120"/>
      <c r="G81" s="120"/>
      <c r="H81" s="120"/>
      <c r="I81" s="120"/>
      <c r="J81" s="120"/>
    </row>
    <row r="82" spans="1:10" x14ac:dyDescent="0.25">
      <c r="D82" s="120"/>
      <c r="E82" s="120"/>
      <c r="F82" s="120"/>
      <c r="G82" s="120"/>
      <c r="H82" s="120"/>
      <c r="I82" s="120"/>
      <c r="J82" s="120"/>
    </row>
    <row r="83" spans="1:10" x14ac:dyDescent="0.25">
      <c r="D83" s="120"/>
      <c r="E83" s="120"/>
      <c r="F83" s="120"/>
      <c r="G83" s="120"/>
      <c r="H83" s="120"/>
      <c r="I83" s="120"/>
      <c r="J83" s="120"/>
    </row>
    <row r="84" spans="1:10" x14ac:dyDescent="0.25">
      <c r="D84" s="120"/>
      <c r="E84" s="120"/>
      <c r="F84" s="120"/>
      <c r="G84" s="120"/>
      <c r="H84" s="120"/>
      <c r="I84" s="120"/>
      <c r="J84" s="120"/>
    </row>
    <row r="85" spans="1:10" x14ac:dyDescent="0.25">
      <c r="D85" s="117"/>
      <c r="E85" s="117"/>
      <c r="F85" s="117"/>
      <c r="G85" s="117"/>
      <c r="H85" s="117"/>
      <c r="I85" s="117"/>
      <c r="J85" s="117"/>
    </row>
    <row r="86" spans="1:10" x14ac:dyDescent="0.25">
      <c r="A86" s="36"/>
      <c r="B86" s="116"/>
      <c r="C86" s="117"/>
      <c r="D86" s="117"/>
      <c r="E86" s="117"/>
      <c r="F86" s="122"/>
      <c r="G86" s="117"/>
      <c r="H86" s="117"/>
      <c r="I86" s="117"/>
      <c r="J86" s="117"/>
    </row>
    <row r="87" spans="1:10" x14ac:dyDescent="0.25">
      <c r="A87" s="36"/>
      <c r="B87" s="116"/>
      <c r="C87" s="123"/>
      <c r="D87" s="117"/>
      <c r="E87" s="117"/>
      <c r="F87" s="122"/>
      <c r="G87" s="122"/>
      <c r="H87" s="117"/>
      <c r="I87" s="117"/>
      <c r="J87" s="117"/>
    </row>
    <row r="88" spans="1:10" x14ac:dyDescent="0.25">
      <c r="A88" t="s">
        <v>290</v>
      </c>
      <c r="D88" s="117"/>
      <c r="E88" s="117"/>
      <c r="F88" s="122"/>
      <c r="G88" s="122"/>
      <c r="H88" s="117"/>
      <c r="I88" s="117"/>
      <c r="J88" s="117"/>
    </row>
    <row r="89" spans="1:10" x14ac:dyDescent="0.25">
      <c r="D89" s="122"/>
      <c r="E89" s="117"/>
      <c r="F89" s="122"/>
      <c r="G89" s="122"/>
      <c r="H89" s="117"/>
      <c r="I89" s="117"/>
      <c r="J89" s="117"/>
    </row>
    <row r="90" spans="1:10" x14ac:dyDescent="0.25">
      <c r="A90" t="s">
        <v>280</v>
      </c>
      <c r="B90" t="s">
        <v>281</v>
      </c>
      <c r="C90" t="s">
        <v>282</v>
      </c>
      <c r="D90" s="117"/>
      <c r="E90" s="117"/>
      <c r="F90" s="117"/>
      <c r="G90" s="117"/>
      <c r="H90" s="117"/>
      <c r="I90" s="117"/>
      <c r="J90" s="117"/>
    </row>
    <row r="91" spans="1:10" x14ac:dyDescent="0.25">
      <c r="B91" t="s">
        <v>283</v>
      </c>
      <c r="C91" t="s">
        <v>284</v>
      </c>
      <c r="D91" s="117"/>
      <c r="E91" s="117"/>
      <c r="F91" s="124"/>
      <c r="G91" s="117"/>
      <c r="H91" s="117"/>
      <c r="I91" s="117"/>
      <c r="J91" s="117"/>
    </row>
    <row r="92" spans="1:10" x14ac:dyDescent="0.25">
      <c r="A92" t="s">
        <v>285</v>
      </c>
      <c r="B92">
        <v>100</v>
      </c>
      <c r="C92">
        <v>50</v>
      </c>
      <c r="D92" s="117"/>
      <c r="E92" s="117"/>
      <c r="F92" s="124"/>
      <c r="G92" s="124"/>
      <c r="H92" s="117"/>
      <c r="I92" s="117"/>
      <c r="J92" s="117"/>
    </row>
    <row r="93" spans="1:10" x14ac:dyDescent="0.25">
      <c r="A93" t="s">
        <v>286</v>
      </c>
      <c r="B93">
        <v>210</v>
      </c>
      <c r="C93">
        <v>110</v>
      </c>
      <c r="D93" s="117"/>
      <c r="E93" s="117"/>
      <c r="F93" s="124"/>
      <c r="G93" s="124"/>
      <c r="H93" s="117"/>
      <c r="I93" s="117"/>
      <c r="J93" s="117"/>
    </row>
    <row r="94" spans="1:10" x14ac:dyDescent="0.25">
      <c r="A94" t="s">
        <v>287</v>
      </c>
      <c r="B94">
        <v>370</v>
      </c>
      <c r="C94">
        <v>210</v>
      </c>
      <c r="D94" s="124"/>
      <c r="E94" s="117"/>
      <c r="F94" s="124"/>
      <c r="G94" s="124"/>
      <c r="H94" s="117"/>
      <c r="I94" s="117"/>
      <c r="J94" s="117"/>
    </row>
    <row r="95" spans="1:10" x14ac:dyDescent="0.25">
      <c r="A95" t="s">
        <v>288</v>
      </c>
      <c r="B95">
        <v>580</v>
      </c>
      <c r="C95">
        <v>350</v>
      </c>
    </row>
    <row r="96" spans="1:10" x14ac:dyDescent="0.25">
      <c r="A96" t="s">
        <v>289</v>
      </c>
      <c r="B96">
        <v>830</v>
      </c>
      <c r="C96">
        <v>540</v>
      </c>
    </row>
    <row r="97" spans="1:3" x14ac:dyDescent="0.25">
      <c r="A97" s="36"/>
      <c r="B97" s="116"/>
      <c r="C97" s="121"/>
    </row>
    <row r="98" spans="1:3" x14ac:dyDescent="0.25">
      <c r="A98" s="36"/>
      <c r="B98" s="116"/>
      <c r="C98" s="117"/>
    </row>
  </sheetData>
  <mergeCells count="49">
    <mergeCell ref="H64:H65"/>
    <mergeCell ref="K68:K69"/>
    <mergeCell ref="C68:C69"/>
    <mergeCell ref="D68:D69"/>
    <mergeCell ref="E68:E69"/>
    <mergeCell ref="F68:F69"/>
    <mergeCell ref="G68:G69"/>
    <mergeCell ref="H68:H69"/>
    <mergeCell ref="I68:I69"/>
    <mergeCell ref="J68:J69"/>
    <mergeCell ref="I64:I65"/>
    <mergeCell ref="J64:J65"/>
    <mergeCell ref="J62:J63"/>
    <mergeCell ref="K64:K65"/>
    <mergeCell ref="C66:C67"/>
    <mergeCell ref="D66:D67"/>
    <mergeCell ref="E66:E67"/>
    <mergeCell ref="F66:F67"/>
    <mergeCell ref="G66:G67"/>
    <mergeCell ref="H66:H67"/>
    <mergeCell ref="I66:I67"/>
    <mergeCell ref="J66:J67"/>
    <mergeCell ref="K66:K67"/>
    <mergeCell ref="C64:C65"/>
    <mergeCell ref="D64:D65"/>
    <mergeCell ref="E64:E65"/>
    <mergeCell ref="F64:F65"/>
    <mergeCell ref="G64:G65"/>
    <mergeCell ref="A25:A33"/>
    <mergeCell ref="C38:J38"/>
    <mergeCell ref="C48:J48"/>
    <mergeCell ref="C58:K58"/>
    <mergeCell ref="K60:K61"/>
    <mergeCell ref="K62:K63"/>
    <mergeCell ref="C60:C61"/>
    <mergeCell ref="D60:D61"/>
    <mergeCell ref="E60:E61"/>
    <mergeCell ref="F60:F61"/>
    <mergeCell ref="G60:G61"/>
    <mergeCell ref="H60:H61"/>
    <mergeCell ref="I60:I61"/>
    <mergeCell ref="J60:J61"/>
    <mergeCell ref="C62:C63"/>
    <mergeCell ref="D62:D63"/>
    <mergeCell ref="E62:E63"/>
    <mergeCell ref="F62:F63"/>
    <mergeCell ref="G62:G63"/>
    <mergeCell ref="H62:H63"/>
    <mergeCell ref="I62:I6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71"/>
  <sheetViews>
    <sheetView workbookViewId="0"/>
  </sheetViews>
  <sheetFormatPr baseColWidth="10" defaultRowHeight="15" x14ac:dyDescent="0.25"/>
  <sheetData>
    <row r="1" spans="1:18" x14ac:dyDescent="0.25">
      <c r="A1" t="s">
        <v>41</v>
      </c>
      <c r="B1">
        <f>Calcul_Bilan_Energie!N2</f>
        <v>2021</v>
      </c>
      <c r="O1" t="s">
        <v>428</v>
      </c>
    </row>
    <row r="2" spans="1:18" x14ac:dyDescent="0.25">
      <c r="B2" t="str">
        <f>Controle_des_données!A40</f>
        <v>Continu</v>
      </c>
      <c r="O2" t="s">
        <v>416</v>
      </c>
      <c r="P2" t="s">
        <v>94</v>
      </c>
      <c r="Q2" t="s">
        <v>417</v>
      </c>
      <c r="R2" t="s">
        <v>418</v>
      </c>
    </row>
    <row r="3" spans="1:18" x14ac:dyDescent="0.25">
      <c r="A3" t="s">
        <v>408</v>
      </c>
      <c r="B3" t="s">
        <v>414</v>
      </c>
      <c r="C3" t="s">
        <v>409</v>
      </c>
      <c r="D3" t="s">
        <v>410</v>
      </c>
      <c r="E3" t="s">
        <v>415</v>
      </c>
      <c r="F3" t="s">
        <v>429</v>
      </c>
      <c r="I3" t="s">
        <v>406</v>
      </c>
      <c r="O3" s="3">
        <v>37622</v>
      </c>
      <c r="P3">
        <v>2003</v>
      </c>
      <c r="Q3" t="s">
        <v>419</v>
      </c>
      <c r="R3" t="s">
        <v>420</v>
      </c>
    </row>
    <row r="4" spans="1:18" x14ac:dyDescent="0.25">
      <c r="A4" s="3">
        <f>DATE(B1,1,1)</f>
        <v>44197</v>
      </c>
      <c r="B4">
        <f>WEEKDAY(A4,2)</f>
        <v>5</v>
      </c>
      <c r="C4">
        <f>IF(AND(B4=6,$B$2&lt;&gt;$I$3,$B$2&lt;&gt;$I$5),1,0)</f>
        <v>0</v>
      </c>
      <c r="D4">
        <f>IF(AND(B4=7,$B$2&lt;&gt;$I$3),1,0)</f>
        <v>0</v>
      </c>
      <c r="E4">
        <f>IF($B$2&lt;&gt;$I$3,COUNTIF(Tab_fériés[date],A4),0)</f>
        <v>0</v>
      </c>
      <c r="F4">
        <f>IFERROR(IF(SUM(C4:E4)&gt;0,1,0),0)</f>
        <v>0</v>
      </c>
      <c r="I4" t="s">
        <v>404</v>
      </c>
      <c r="O4" s="3">
        <v>37732</v>
      </c>
      <c r="P4">
        <v>2003</v>
      </c>
      <c r="Q4" t="s">
        <v>419</v>
      </c>
      <c r="R4" t="s">
        <v>421</v>
      </c>
    </row>
    <row r="5" spans="1:18" x14ac:dyDescent="0.25">
      <c r="A5" s="3">
        <f>A4+1</f>
        <v>44198</v>
      </c>
      <c r="B5">
        <f t="shared" ref="B5:B68" si="0">WEEKDAY(A5,2)</f>
        <v>6</v>
      </c>
      <c r="C5">
        <f>IF(AND(B5=6,$B$2&lt;&gt;$I$3,$B$2&lt;&gt;$I$5),1,0)</f>
        <v>0</v>
      </c>
      <c r="D5">
        <f t="shared" ref="D5:D68" si="1">IF(AND(B5=7,$B$2&lt;&gt;$I$3),1,0)</f>
        <v>0</v>
      </c>
      <c r="E5">
        <f>IF($B$2&lt;&gt;$I$3,COUNTIF(Tab_fériés[date],A5),0)</f>
        <v>0</v>
      </c>
      <c r="F5">
        <f t="shared" ref="F5:F68" si="2">IFERROR(IF(SUM(C5:E5)&gt;0,1,0),0)</f>
        <v>0</v>
      </c>
      <c r="I5" t="s">
        <v>412</v>
      </c>
      <c r="O5" s="3">
        <v>37742</v>
      </c>
      <c r="P5">
        <v>2003</v>
      </c>
      <c r="Q5" t="s">
        <v>419</v>
      </c>
      <c r="R5" t="s">
        <v>422</v>
      </c>
    </row>
    <row r="6" spans="1:18" x14ac:dyDescent="0.25">
      <c r="A6" s="3">
        <f t="shared" ref="A6:A69" si="3">A5+1</f>
        <v>44199</v>
      </c>
      <c r="B6">
        <f t="shared" si="0"/>
        <v>7</v>
      </c>
      <c r="C6">
        <f t="shared" ref="C6:C69" si="4">IF(AND(B6=6,$B$2&lt;&gt;$I$3,$B$2&lt;&gt;$I$5),1,0)</f>
        <v>0</v>
      </c>
      <c r="D6">
        <f t="shared" si="1"/>
        <v>0</v>
      </c>
      <c r="E6">
        <f>IF($B$2&lt;&gt;$I$3,COUNTIF(Tab_fériés[date],A6),0)</f>
        <v>0</v>
      </c>
      <c r="F6">
        <f t="shared" si="2"/>
        <v>0</v>
      </c>
      <c r="I6" t="s">
        <v>411</v>
      </c>
      <c r="O6" s="3">
        <v>37749</v>
      </c>
      <c r="P6">
        <v>2003</v>
      </c>
      <c r="Q6" t="s">
        <v>419</v>
      </c>
      <c r="R6" s="208">
        <v>45054</v>
      </c>
    </row>
    <row r="7" spans="1:18" x14ac:dyDescent="0.25">
      <c r="A7" s="3">
        <f t="shared" si="3"/>
        <v>44200</v>
      </c>
      <c r="B7">
        <f t="shared" si="0"/>
        <v>1</v>
      </c>
      <c r="C7">
        <f t="shared" si="4"/>
        <v>0</v>
      </c>
      <c r="D7">
        <f t="shared" si="1"/>
        <v>0</v>
      </c>
      <c r="E7">
        <f>IF($B$2&lt;&gt;$I$3,COUNTIF(Tab_fériés[date],A7),0)</f>
        <v>0</v>
      </c>
      <c r="F7">
        <f t="shared" si="2"/>
        <v>0</v>
      </c>
      <c r="I7" t="s">
        <v>413</v>
      </c>
      <c r="O7" s="3">
        <v>37770</v>
      </c>
      <c r="P7">
        <v>2003</v>
      </c>
      <c r="Q7" t="s">
        <v>419</v>
      </c>
      <c r="R7" t="s">
        <v>423</v>
      </c>
    </row>
    <row r="8" spans="1:18" x14ac:dyDescent="0.25">
      <c r="A8" s="3">
        <f t="shared" si="3"/>
        <v>44201</v>
      </c>
      <c r="B8">
        <f t="shared" si="0"/>
        <v>2</v>
      </c>
      <c r="C8">
        <f t="shared" si="4"/>
        <v>0</v>
      </c>
      <c r="D8">
        <f t="shared" si="1"/>
        <v>0</v>
      </c>
      <c r="E8">
        <f>IF($B$2&lt;&gt;$I$3,COUNTIF(Tab_fériés[date],A8),0)</f>
        <v>0</v>
      </c>
      <c r="F8">
        <f t="shared" si="2"/>
        <v>0</v>
      </c>
      <c r="O8" s="3">
        <v>37781</v>
      </c>
      <c r="P8">
        <v>2003</v>
      </c>
      <c r="Q8" t="s">
        <v>419</v>
      </c>
      <c r="R8" t="s">
        <v>424</v>
      </c>
    </row>
    <row r="9" spans="1:18" x14ac:dyDescent="0.25">
      <c r="A9" s="3">
        <f t="shared" si="3"/>
        <v>44202</v>
      </c>
      <c r="B9">
        <f t="shared" si="0"/>
        <v>3</v>
      </c>
      <c r="C9">
        <f t="shared" si="4"/>
        <v>0</v>
      </c>
      <c r="D9">
        <f t="shared" si="1"/>
        <v>0</v>
      </c>
      <c r="E9">
        <f>IF($B$2&lt;&gt;$I$3,COUNTIF(Tab_fériés[date],A9),0)</f>
        <v>0</v>
      </c>
      <c r="F9">
        <f t="shared" si="2"/>
        <v>0</v>
      </c>
      <c r="O9" s="3">
        <v>37816</v>
      </c>
      <c r="P9">
        <v>2003</v>
      </c>
      <c r="Q9" t="s">
        <v>419</v>
      </c>
      <c r="R9" s="208">
        <v>45121</v>
      </c>
    </row>
    <row r="10" spans="1:18" x14ac:dyDescent="0.25">
      <c r="A10" s="3">
        <f t="shared" si="3"/>
        <v>44203</v>
      </c>
      <c r="B10">
        <f t="shared" si="0"/>
        <v>4</v>
      </c>
      <c r="C10">
        <f t="shared" si="4"/>
        <v>0</v>
      </c>
      <c r="D10">
        <f t="shared" si="1"/>
        <v>0</v>
      </c>
      <c r="E10">
        <f>IF($B$2&lt;&gt;$I$3,COUNTIF(Tab_fériés[date],A10),0)</f>
        <v>0</v>
      </c>
      <c r="F10">
        <f t="shared" si="2"/>
        <v>0</v>
      </c>
      <c r="I10" t="s">
        <v>430</v>
      </c>
      <c r="K10">
        <f>SUM(F4:F369)</f>
        <v>0</v>
      </c>
      <c r="O10" s="3">
        <v>37848</v>
      </c>
      <c r="P10">
        <v>2003</v>
      </c>
      <c r="Q10" t="s">
        <v>419</v>
      </c>
      <c r="R10" t="s">
        <v>425</v>
      </c>
    </row>
    <row r="11" spans="1:18" x14ac:dyDescent="0.25">
      <c r="A11" s="3">
        <f t="shared" si="3"/>
        <v>44204</v>
      </c>
      <c r="B11">
        <f t="shared" si="0"/>
        <v>5</v>
      </c>
      <c r="C11">
        <f t="shared" si="4"/>
        <v>0</v>
      </c>
      <c r="D11">
        <f t="shared" si="1"/>
        <v>0</v>
      </c>
      <c r="E11">
        <f>IF($B$2&lt;&gt;$I$3,COUNTIF(Tab_fériés[date],A11),0)</f>
        <v>0</v>
      </c>
      <c r="F11">
        <f t="shared" si="2"/>
        <v>0</v>
      </c>
      <c r="O11" s="3">
        <v>37926</v>
      </c>
      <c r="P11">
        <v>2003</v>
      </c>
      <c r="Q11" t="s">
        <v>419</v>
      </c>
      <c r="R11" t="s">
        <v>426</v>
      </c>
    </row>
    <row r="12" spans="1:18" x14ac:dyDescent="0.25">
      <c r="A12" s="3">
        <f t="shared" si="3"/>
        <v>44205</v>
      </c>
      <c r="B12">
        <f t="shared" si="0"/>
        <v>6</v>
      </c>
      <c r="C12">
        <f t="shared" si="4"/>
        <v>0</v>
      </c>
      <c r="D12">
        <f t="shared" si="1"/>
        <v>0</v>
      </c>
      <c r="E12">
        <f>IF($B$2&lt;&gt;$I$3,COUNTIF(Tab_fériés[date],A12),0)</f>
        <v>0</v>
      </c>
      <c r="F12">
        <f t="shared" si="2"/>
        <v>0</v>
      </c>
      <c r="O12" s="3">
        <v>37936</v>
      </c>
      <c r="P12">
        <v>2003</v>
      </c>
      <c r="Q12" t="s">
        <v>419</v>
      </c>
      <c r="R12" s="208">
        <v>45241</v>
      </c>
    </row>
    <row r="13" spans="1:18" x14ac:dyDescent="0.25">
      <c r="A13" s="3">
        <f t="shared" si="3"/>
        <v>44206</v>
      </c>
      <c r="B13">
        <f t="shared" si="0"/>
        <v>7</v>
      </c>
      <c r="C13">
        <f t="shared" si="4"/>
        <v>0</v>
      </c>
      <c r="D13">
        <f t="shared" si="1"/>
        <v>0</v>
      </c>
      <c r="E13">
        <f>IF($B$2&lt;&gt;$I$3,COUNTIF(Tab_fériés[date],A13),0)</f>
        <v>0</v>
      </c>
      <c r="F13">
        <f t="shared" si="2"/>
        <v>0</v>
      </c>
      <c r="O13" s="3">
        <v>37980</v>
      </c>
      <c r="P13">
        <v>2003</v>
      </c>
      <c r="Q13" t="s">
        <v>419</v>
      </c>
      <c r="R13" t="s">
        <v>427</v>
      </c>
    </row>
    <row r="14" spans="1:18" x14ac:dyDescent="0.25">
      <c r="A14" s="3">
        <f t="shared" si="3"/>
        <v>44207</v>
      </c>
      <c r="B14">
        <f t="shared" si="0"/>
        <v>1</v>
      </c>
      <c r="C14">
        <f t="shared" si="4"/>
        <v>0</v>
      </c>
      <c r="D14">
        <f t="shared" si="1"/>
        <v>0</v>
      </c>
      <c r="E14">
        <f>IF($B$2&lt;&gt;$I$3,COUNTIF(Tab_fériés[date],A14),0)</f>
        <v>0</v>
      </c>
      <c r="F14">
        <f t="shared" si="2"/>
        <v>0</v>
      </c>
      <c r="O14" s="3">
        <v>37987</v>
      </c>
      <c r="P14">
        <v>2004</v>
      </c>
      <c r="Q14" t="s">
        <v>419</v>
      </c>
      <c r="R14" t="s">
        <v>420</v>
      </c>
    </row>
    <row r="15" spans="1:18" x14ac:dyDescent="0.25">
      <c r="A15" s="3">
        <f t="shared" si="3"/>
        <v>44208</v>
      </c>
      <c r="B15">
        <f t="shared" si="0"/>
        <v>2</v>
      </c>
      <c r="C15">
        <f t="shared" si="4"/>
        <v>0</v>
      </c>
      <c r="D15">
        <f t="shared" si="1"/>
        <v>0</v>
      </c>
      <c r="E15">
        <f>IF($B$2&lt;&gt;$I$3,COUNTIF(Tab_fériés[date],A15),0)</f>
        <v>0</v>
      </c>
      <c r="F15">
        <f t="shared" si="2"/>
        <v>0</v>
      </c>
      <c r="O15" s="3">
        <v>38089</v>
      </c>
      <c r="P15">
        <v>2004</v>
      </c>
      <c r="Q15" t="s">
        <v>419</v>
      </c>
      <c r="R15" t="s">
        <v>421</v>
      </c>
    </row>
    <row r="16" spans="1:18" x14ac:dyDescent="0.25">
      <c r="A16" s="3">
        <f t="shared" si="3"/>
        <v>44209</v>
      </c>
      <c r="B16">
        <f t="shared" si="0"/>
        <v>3</v>
      </c>
      <c r="C16">
        <f t="shared" si="4"/>
        <v>0</v>
      </c>
      <c r="D16">
        <f t="shared" si="1"/>
        <v>0</v>
      </c>
      <c r="E16">
        <f>IF($B$2&lt;&gt;$I$3,COUNTIF(Tab_fériés[date],A16),0)</f>
        <v>0</v>
      </c>
      <c r="F16">
        <f t="shared" si="2"/>
        <v>0</v>
      </c>
      <c r="O16" s="3">
        <v>38108</v>
      </c>
      <c r="P16">
        <v>2004</v>
      </c>
      <c r="Q16" t="s">
        <v>419</v>
      </c>
      <c r="R16" t="s">
        <v>422</v>
      </c>
    </row>
    <row r="17" spans="1:18" x14ac:dyDescent="0.25">
      <c r="A17" s="3">
        <f t="shared" si="3"/>
        <v>44210</v>
      </c>
      <c r="B17">
        <f t="shared" si="0"/>
        <v>4</v>
      </c>
      <c r="C17">
        <f t="shared" si="4"/>
        <v>0</v>
      </c>
      <c r="D17">
        <f t="shared" si="1"/>
        <v>0</v>
      </c>
      <c r="E17">
        <f>IF($B$2&lt;&gt;$I$3,COUNTIF(Tab_fériés[date],A17),0)</f>
        <v>0</v>
      </c>
      <c r="F17">
        <f t="shared" si="2"/>
        <v>0</v>
      </c>
      <c r="O17" s="3">
        <v>38115</v>
      </c>
      <c r="P17">
        <v>2004</v>
      </c>
      <c r="Q17" t="s">
        <v>419</v>
      </c>
      <c r="R17" s="208">
        <v>45054</v>
      </c>
    </row>
    <row r="18" spans="1:18" x14ac:dyDescent="0.25">
      <c r="A18" s="3">
        <f t="shared" si="3"/>
        <v>44211</v>
      </c>
      <c r="B18">
        <f t="shared" si="0"/>
        <v>5</v>
      </c>
      <c r="C18">
        <f t="shared" si="4"/>
        <v>0</v>
      </c>
      <c r="D18">
        <f t="shared" si="1"/>
        <v>0</v>
      </c>
      <c r="E18">
        <f>IF($B$2&lt;&gt;$I$3,COUNTIF(Tab_fériés[date],A18),0)</f>
        <v>0</v>
      </c>
      <c r="F18">
        <f t="shared" si="2"/>
        <v>0</v>
      </c>
      <c r="O18" s="3">
        <v>38127</v>
      </c>
      <c r="P18">
        <v>2004</v>
      </c>
      <c r="Q18" t="s">
        <v>419</v>
      </c>
      <c r="R18" t="s">
        <v>423</v>
      </c>
    </row>
    <row r="19" spans="1:18" x14ac:dyDescent="0.25">
      <c r="A19" s="3">
        <f t="shared" si="3"/>
        <v>44212</v>
      </c>
      <c r="B19">
        <f t="shared" si="0"/>
        <v>6</v>
      </c>
      <c r="C19">
        <f t="shared" si="4"/>
        <v>0</v>
      </c>
      <c r="D19">
        <f t="shared" si="1"/>
        <v>0</v>
      </c>
      <c r="E19">
        <f>IF($B$2&lt;&gt;$I$3,COUNTIF(Tab_fériés[date],A19),0)</f>
        <v>0</v>
      </c>
      <c r="F19">
        <f t="shared" si="2"/>
        <v>0</v>
      </c>
      <c r="O19" s="3">
        <v>38138</v>
      </c>
      <c r="P19">
        <v>2004</v>
      </c>
      <c r="Q19" t="s">
        <v>419</v>
      </c>
      <c r="R19" t="s">
        <v>424</v>
      </c>
    </row>
    <row r="20" spans="1:18" x14ac:dyDescent="0.25">
      <c r="A20" s="3">
        <f t="shared" si="3"/>
        <v>44213</v>
      </c>
      <c r="B20">
        <f t="shared" si="0"/>
        <v>7</v>
      </c>
      <c r="C20">
        <f t="shared" si="4"/>
        <v>0</v>
      </c>
      <c r="D20">
        <f t="shared" si="1"/>
        <v>0</v>
      </c>
      <c r="E20">
        <f>IF($B$2&lt;&gt;$I$3,COUNTIF(Tab_fériés[date],A20),0)</f>
        <v>0</v>
      </c>
      <c r="F20">
        <f t="shared" si="2"/>
        <v>0</v>
      </c>
      <c r="O20" s="3">
        <v>38182</v>
      </c>
      <c r="P20">
        <v>2004</v>
      </c>
      <c r="Q20" t="s">
        <v>419</v>
      </c>
      <c r="R20" s="208">
        <v>45121</v>
      </c>
    </row>
    <row r="21" spans="1:18" x14ac:dyDescent="0.25">
      <c r="A21" s="3">
        <f t="shared" si="3"/>
        <v>44214</v>
      </c>
      <c r="B21">
        <f t="shared" si="0"/>
        <v>1</v>
      </c>
      <c r="C21">
        <f t="shared" si="4"/>
        <v>0</v>
      </c>
      <c r="D21">
        <f t="shared" si="1"/>
        <v>0</v>
      </c>
      <c r="E21">
        <f>IF($B$2&lt;&gt;$I$3,COUNTIF(Tab_fériés[date],A21),0)</f>
        <v>0</v>
      </c>
      <c r="F21">
        <f t="shared" si="2"/>
        <v>0</v>
      </c>
      <c r="O21" s="3">
        <v>38214</v>
      </c>
      <c r="P21">
        <v>2004</v>
      </c>
      <c r="Q21" t="s">
        <v>419</v>
      </c>
      <c r="R21" t="s">
        <v>425</v>
      </c>
    </row>
    <row r="22" spans="1:18" x14ac:dyDescent="0.25">
      <c r="A22" s="3">
        <f t="shared" si="3"/>
        <v>44215</v>
      </c>
      <c r="B22">
        <f t="shared" si="0"/>
        <v>2</v>
      </c>
      <c r="C22">
        <f t="shared" si="4"/>
        <v>0</v>
      </c>
      <c r="D22">
        <f t="shared" si="1"/>
        <v>0</v>
      </c>
      <c r="E22">
        <f>IF($B$2&lt;&gt;$I$3,COUNTIF(Tab_fériés[date],A22),0)</f>
        <v>0</v>
      </c>
      <c r="F22">
        <f t="shared" si="2"/>
        <v>0</v>
      </c>
      <c r="O22" s="3">
        <v>38292</v>
      </c>
      <c r="P22">
        <v>2004</v>
      </c>
      <c r="Q22" t="s">
        <v>419</v>
      </c>
      <c r="R22" t="s">
        <v>426</v>
      </c>
    </row>
    <row r="23" spans="1:18" x14ac:dyDescent="0.25">
      <c r="A23" s="3">
        <f t="shared" si="3"/>
        <v>44216</v>
      </c>
      <c r="B23">
        <f t="shared" si="0"/>
        <v>3</v>
      </c>
      <c r="C23">
        <f t="shared" si="4"/>
        <v>0</v>
      </c>
      <c r="D23">
        <f t="shared" si="1"/>
        <v>0</v>
      </c>
      <c r="E23">
        <f>IF($B$2&lt;&gt;$I$3,COUNTIF(Tab_fériés[date],A23),0)</f>
        <v>0</v>
      </c>
      <c r="F23">
        <f t="shared" si="2"/>
        <v>0</v>
      </c>
      <c r="O23" s="3">
        <v>38302</v>
      </c>
      <c r="P23">
        <v>2004</v>
      </c>
      <c r="Q23" t="s">
        <v>419</v>
      </c>
      <c r="R23" s="208">
        <v>45241</v>
      </c>
    </row>
    <row r="24" spans="1:18" x14ac:dyDescent="0.25">
      <c r="A24" s="3">
        <f t="shared" si="3"/>
        <v>44217</v>
      </c>
      <c r="B24">
        <f t="shared" si="0"/>
        <v>4</v>
      </c>
      <c r="C24">
        <f t="shared" si="4"/>
        <v>0</v>
      </c>
      <c r="D24">
        <f t="shared" si="1"/>
        <v>0</v>
      </c>
      <c r="E24">
        <f>IF($B$2&lt;&gt;$I$3,COUNTIF(Tab_fériés[date],A24),0)</f>
        <v>0</v>
      </c>
      <c r="F24">
        <f t="shared" si="2"/>
        <v>0</v>
      </c>
      <c r="O24" s="3">
        <v>38346</v>
      </c>
      <c r="P24">
        <v>2004</v>
      </c>
      <c r="Q24" t="s">
        <v>419</v>
      </c>
      <c r="R24" t="s">
        <v>427</v>
      </c>
    </row>
    <row r="25" spans="1:18" x14ac:dyDescent="0.25">
      <c r="A25" s="3">
        <f t="shared" si="3"/>
        <v>44218</v>
      </c>
      <c r="B25">
        <f t="shared" si="0"/>
        <v>5</v>
      </c>
      <c r="C25">
        <f t="shared" si="4"/>
        <v>0</v>
      </c>
      <c r="D25">
        <f t="shared" si="1"/>
        <v>0</v>
      </c>
      <c r="E25">
        <f>IF($B$2&lt;&gt;$I$3,COUNTIF(Tab_fériés[date],A25),0)</f>
        <v>0</v>
      </c>
      <c r="F25">
        <f t="shared" si="2"/>
        <v>0</v>
      </c>
      <c r="O25" s="3">
        <v>38353</v>
      </c>
      <c r="P25">
        <v>2005</v>
      </c>
      <c r="Q25" t="s">
        <v>419</v>
      </c>
      <c r="R25" t="s">
        <v>420</v>
      </c>
    </row>
    <row r="26" spans="1:18" x14ac:dyDescent="0.25">
      <c r="A26" s="3">
        <f t="shared" si="3"/>
        <v>44219</v>
      </c>
      <c r="B26">
        <f t="shared" si="0"/>
        <v>6</v>
      </c>
      <c r="C26">
        <f t="shared" si="4"/>
        <v>0</v>
      </c>
      <c r="D26">
        <f t="shared" si="1"/>
        <v>0</v>
      </c>
      <c r="E26">
        <f>IF($B$2&lt;&gt;$I$3,COUNTIF(Tab_fériés[date],A26),0)</f>
        <v>0</v>
      </c>
      <c r="F26">
        <f t="shared" si="2"/>
        <v>0</v>
      </c>
      <c r="O26" s="3">
        <v>38439</v>
      </c>
      <c r="P26">
        <v>2005</v>
      </c>
      <c r="Q26" t="s">
        <v>419</v>
      </c>
      <c r="R26" t="s">
        <v>421</v>
      </c>
    </row>
    <row r="27" spans="1:18" x14ac:dyDescent="0.25">
      <c r="A27" s="3">
        <f t="shared" si="3"/>
        <v>44220</v>
      </c>
      <c r="B27">
        <f t="shared" si="0"/>
        <v>7</v>
      </c>
      <c r="C27">
        <f t="shared" si="4"/>
        <v>0</v>
      </c>
      <c r="D27">
        <f t="shared" si="1"/>
        <v>0</v>
      </c>
      <c r="E27">
        <f>IF($B$2&lt;&gt;$I$3,COUNTIF(Tab_fériés[date],A27),0)</f>
        <v>0</v>
      </c>
      <c r="F27">
        <f t="shared" si="2"/>
        <v>0</v>
      </c>
      <c r="O27" s="3">
        <v>38473</v>
      </c>
      <c r="P27">
        <v>2005</v>
      </c>
      <c r="Q27" t="s">
        <v>419</v>
      </c>
      <c r="R27" t="s">
        <v>422</v>
      </c>
    </row>
    <row r="28" spans="1:18" x14ac:dyDescent="0.25">
      <c r="A28" s="3">
        <f t="shared" si="3"/>
        <v>44221</v>
      </c>
      <c r="B28">
        <f t="shared" si="0"/>
        <v>1</v>
      </c>
      <c r="C28">
        <f t="shared" si="4"/>
        <v>0</v>
      </c>
      <c r="D28">
        <f t="shared" si="1"/>
        <v>0</v>
      </c>
      <c r="E28">
        <f>IF($B$2&lt;&gt;$I$3,COUNTIF(Tab_fériés[date],A28),0)</f>
        <v>0</v>
      </c>
      <c r="F28">
        <f t="shared" si="2"/>
        <v>0</v>
      </c>
      <c r="O28" s="3">
        <v>38477</v>
      </c>
      <c r="P28">
        <v>2005</v>
      </c>
      <c r="Q28" t="s">
        <v>419</v>
      </c>
      <c r="R28" t="s">
        <v>423</v>
      </c>
    </row>
    <row r="29" spans="1:18" x14ac:dyDescent="0.25">
      <c r="A29" s="3">
        <f t="shared" si="3"/>
        <v>44222</v>
      </c>
      <c r="B29">
        <f t="shared" si="0"/>
        <v>2</v>
      </c>
      <c r="C29">
        <f t="shared" si="4"/>
        <v>0</v>
      </c>
      <c r="D29">
        <f t="shared" si="1"/>
        <v>0</v>
      </c>
      <c r="E29">
        <f>IF($B$2&lt;&gt;$I$3,COUNTIF(Tab_fériés[date],A29),0)</f>
        <v>0</v>
      </c>
      <c r="F29">
        <f t="shared" si="2"/>
        <v>0</v>
      </c>
      <c r="O29" s="3">
        <v>38480</v>
      </c>
      <c r="P29">
        <v>2005</v>
      </c>
      <c r="Q29" t="s">
        <v>419</v>
      </c>
      <c r="R29" s="208">
        <v>45054</v>
      </c>
    </row>
    <row r="30" spans="1:18" x14ac:dyDescent="0.25">
      <c r="A30" s="3">
        <f t="shared" si="3"/>
        <v>44223</v>
      </c>
      <c r="B30">
        <f t="shared" si="0"/>
        <v>3</v>
      </c>
      <c r="C30">
        <f t="shared" si="4"/>
        <v>0</v>
      </c>
      <c r="D30">
        <f t="shared" si="1"/>
        <v>0</v>
      </c>
      <c r="E30">
        <f>IF($B$2&lt;&gt;$I$3,COUNTIF(Tab_fériés[date],A30),0)</f>
        <v>0</v>
      </c>
      <c r="F30">
        <f t="shared" si="2"/>
        <v>0</v>
      </c>
      <c r="O30" s="3">
        <v>38488</v>
      </c>
      <c r="P30">
        <v>2005</v>
      </c>
      <c r="Q30" t="s">
        <v>419</v>
      </c>
      <c r="R30" t="s">
        <v>424</v>
      </c>
    </row>
    <row r="31" spans="1:18" x14ac:dyDescent="0.25">
      <c r="A31" s="3">
        <f t="shared" si="3"/>
        <v>44224</v>
      </c>
      <c r="B31">
        <f t="shared" si="0"/>
        <v>4</v>
      </c>
      <c r="C31">
        <f t="shared" si="4"/>
        <v>0</v>
      </c>
      <c r="D31">
        <f t="shared" si="1"/>
        <v>0</v>
      </c>
      <c r="E31">
        <f>IF($B$2&lt;&gt;$I$3,COUNTIF(Tab_fériés[date],A31),0)</f>
        <v>0</v>
      </c>
      <c r="F31">
        <f t="shared" si="2"/>
        <v>0</v>
      </c>
      <c r="O31" s="3">
        <v>38547</v>
      </c>
      <c r="P31">
        <v>2005</v>
      </c>
      <c r="Q31" t="s">
        <v>419</v>
      </c>
      <c r="R31" s="208">
        <v>45121</v>
      </c>
    </row>
    <row r="32" spans="1:18" x14ac:dyDescent="0.25">
      <c r="A32" s="3">
        <f t="shared" si="3"/>
        <v>44225</v>
      </c>
      <c r="B32">
        <f t="shared" si="0"/>
        <v>5</v>
      </c>
      <c r="C32">
        <f t="shared" si="4"/>
        <v>0</v>
      </c>
      <c r="D32">
        <f t="shared" si="1"/>
        <v>0</v>
      </c>
      <c r="E32">
        <f>IF($B$2&lt;&gt;$I$3,COUNTIF(Tab_fériés[date],A32),0)</f>
        <v>0</v>
      </c>
      <c r="F32">
        <f t="shared" si="2"/>
        <v>0</v>
      </c>
      <c r="O32" s="3">
        <v>38579</v>
      </c>
      <c r="P32">
        <v>2005</v>
      </c>
      <c r="Q32" t="s">
        <v>419</v>
      </c>
      <c r="R32" t="s">
        <v>425</v>
      </c>
    </row>
    <row r="33" spans="1:18" x14ac:dyDescent="0.25">
      <c r="A33" s="3">
        <f t="shared" si="3"/>
        <v>44226</v>
      </c>
      <c r="B33">
        <f t="shared" si="0"/>
        <v>6</v>
      </c>
      <c r="C33">
        <f t="shared" si="4"/>
        <v>0</v>
      </c>
      <c r="D33">
        <f t="shared" si="1"/>
        <v>0</v>
      </c>
      <c r="E33">
        <f>IF($B$2&lt;&gt;$I$3,COUNTIF(Tab_fériés[date],A33),0)</f>
        <v>0</v>
      </c>
      <c r="F33">
        <f t="shared" si="2"/>
        <v>0</v>
      </c>
      <c r="O33" s="3">
        <v>38657</v>
      </c>
      <c r="P33">
        <v>2005</v>
      </c>
      <c r="Q33" t="s">
        <v>419</v>
      </c>
      <c r="R33" t="s">
        <v>426</v>
      </c>
    </row>
    <row r="34" spans="1:18" x14ac:dyDescent="0.25">
      <c r="A34" s="3">
        <f t="shared" si="3"/>
        <v>44227</v>
      </c>
      <c r="B34">
        <f t="shared" si="0"/>
        <v>7</v>
      </c>
      <c r="C34">
        <f t="shared" si="4"/>
        <v>0</v>
      </c>
      <c r="D34">
        <f t="shared" si="1"/>
        <v>0</v>
      </c>
      <c r="E34">
        <f>IF($B$2&lt;&gt;$I$3,COUNTIF(Tab_fériés[date],A34),0)</f>
        <v>0</v>
      </c>
      <c r="F34">
        <f t="shared" si="2"/>
        <v>0</v>
      </c>
      <c r="O34" s="3">
        <v>38667</v>
      </c>
      <c r="P34">
        <v>2005</v>
      </c>
      <c r="Q34" t="s">
        <v>419</v>
      </c>
      <c r="R34" s="208">
        <v>45241</v>
      </c>
    </row>
    <row r="35" spans="1:18" x14ac:dyDescent="0.25">
      <c r="A35" s="3">
        <f t="shared" si="3"/>
        <v>44228</v>
      </c>
      <c r="B35">
        <f t="shared" si="0"/>
        <v>1</v>
      </c>
      <c r="C35">
        <f t="shared" si="4"/>
        <v>0</v>
      </c>
      <c r="D35">
        <f t="shared" si="1"/>
        <v>0</v>
      </c>
      <c r="E35">
        <f>IF($B$2&lt;&gt;$I$3,COUNTIF(Tab_fériés[date],A35),0)</f>
        <v>0</v>
      </c>
      <c r="F35">
        <f t="shared" si="2"/>
        <v>0</v>
      </c>
      <c r="O35" s="3">
        <v>38711</v>
      </c>
      <c r="P35">
        <v>2005</v>
      </c>
      <c r="Q35" t="s">
        <v>419</v>
      </c>
      <c r="R35" t="s">
        <v>427</v>
      </c>
    </row>
    <row r="36" spans="1:18" x14ac:dyDescent="0.25">
      <c r="A36" s="3">
        <f t="shared" si="3"/>
        <v>44229</v>
      </c>
      <c r="B36">
        <f t="shared" si="0"/>
        <v>2</v>
      </c>
      <c r="C36">
        <f t="shared" si="4"/>
        <v>0</v>
      </c>
      <c r="D36">
        <f t="shared" si="1"/>
        <v>0</v>
      </c>
      <c r="E36">
        <f>IF($B$2&lt;&gt;$I$3,COUNTIF(Tab_fériés[date],A36),0)</f>
        <v>0</v>
      </c>
      <c r="F36">
        <f t="shared" si="2"/>
        <v>0</v>
      </c>
      <c r="O36" s="3">
        <v>38718</v>
      </c>
      <c r="P36">
        <v>2006</v>
      </c>
      <c r="Q36" t="s">
        <v>419</v>
      </c>
      <c r="R36" t="s">
        <v>420</v>
      </c>
    </row>
    <row r="37" spans="1:18" x14ac:dyDescent="0.25">
      <c r="A37" s="3">
        <f t="shared" si="3"/>
        <v>44230</v>
      </c>
      <c r="B37">
        <f t="shared" si="0"/>
        <v>3</v>
      </c>
      <c r="C37">
        <f t="shared" si="4"/>
        <v>0</v>
      </c>
      <c r="D37">
        <f t="shared" si="1"/>
        <v>0</v>
      </c>
      <c r="E37">
        <f>IF($B$2&lt;&gt;$I$3,COUNTIF(Tab_fériés[date],A37),0)</f>
        <v>0</v>
      </c>
      <c r="F37">
        <f t="shared" si="2"/>
        <v>0</v>
      </c>
      <c r="O37" s="3">
        <v>38824</v>
      </c>
      <c r="P37">
        <v>2006</v>
      </c>
      <c r="Q37" t="s">
        <v>419</v>
      </c>
      <c r="R37" t="s">
        <v>421</v>
      </c>
    </row>
    <row r="38" spans="1:18" x14ac:dyDescent="0.25">
      <c r="A38" s="3">
        <f t="shared" si="3"/>
        <v>44231</v>
      </c>
      <c r="B38">
        <f t="shared" si="0"/>
        <v>4</v>
      </c>
      <c r="C38">
        <f t="shared" si="4"/>
        <v>0</v>
      </c>
      <c r="D38">
        <f t="shared" si="1"/>
        <v>0</v>
      </c>
      <c r="E38">
        <f>IF($B$2&lt;&gt;$I$3,COUNTIF(Tab_fériés[date],A38),0)</f>
        <v>0</v>
      </c>
      <c r="F38">
        <f t="shared" si="2"/>
        <v>0</v>
      </c>
      <c r="O38" s="3">
        <v>38838</v>
      </c>
      <c r="P38">
        <v>2006</v>
      </c>
      <c r="Q38" t="s">
        <v>419</v>
      </c>
      <c r="R38" t="s">
        <v>422</v>
      </c>
    </row>
    <row r="39" spans="1:18" x14ac:dyDescent="0.25">
      <c r="A39" s="3">
        <f t="shared" si="3"/>
        <v>44232</v>
      </c>
      <c r="B39">
        <f t="shared" si="0"/>
        <v>5</v>
      </c>
      <c r="C39">
        <f t="shared" si="4"/>
        <v>0</v>
      </c>
      <c r="D39">
        <f t="shared" si="1"/>
        <v>0</v>
      </c>
      <c r="E39">
        <f>IF($B$2&lt;&gt;$I$3,COUNTIF(Tab_fériés[date],A39),0)</f>
        <v>0</v>
      </c>
      <c r="F39">
        <f t="shared" si="2"/>
        <v>0</v>
      </c>
      <c r="O39" s="3">
        <v>38845</v>
      </c>
      <c r="P39">
        <v>2006</v>
      </c>
      <c r="Q39" t="s">
        <v>419</v>
      </c>
      <c r="R39" s="208">
        <v>45054</v>
      </c>
    </row>
    <row r="40" spans="1:18" x14ac:dyDescent="0.25">
      <c r="A40" s="3">
        <f t="shared" si="3"/>
        <v>44233</v>
      </c>
      <c r="B40">
        <f t="shared" si="0"/>
        <v>6</v>
      </c>
      <c r="C40">
        <f t="shared" si="4"/>
        <v>0</v>
      </c>
      <c r="D40">
        <f t="shared" si="1"/>
        <v>0</v>
      </c>
      <c r="E40">
        <f>IF($B$2&lt;&gt;$I$3,COUNTIF(Tab_fériés[date],A40),0)</f>
        <v>0</v>
      </c>
      <c r="F40">
        <f t="shared" si="2"/>
        <v>0</v>
      </c>
      <c r="O40" s="3">
        <v>38862</v>
      </c>
      <c r="P40">
        <v>2006</v>
      </c>
      <c r="Q40" t="s">
        <v>419</v>
      </c>
      <c r="R40" t="s">
        <v>423</v>
      </c>
    </row>
    <row r="41" spans="1:18" x14ac:dyDescent="0.25">
      <c r="A41" s="3">
        <f t="shared" si="3"/>
        <v>44234</v>
      </c>
      <c r="B41">
        <f t="shared" si="0"/>
        <v>7</v>
      </c>
      <c r="C41">
        <f t="shared" si="4"/>
        <v>0</v>
      </c>
      <c r="D41">
        <f t="shared" si="1"/>
        <v>0</v>
      </c>
      <c r="E41">
        <f>IF($B$2&lt;&gt;$I$3,COUNTIF(Tab_fériés[date],A41),0)</f>
        <v>0</v>
      </c>
      <c r="F41">
        <f t="shared" si="2"/>
        <v>0</v>
      </c>
      <c r="O41" s="3">
        <v>38873</v>
      </c>
      <c r="P41">
        <v>2006</v>
      </c>
      <c r="Q41" t="s">
        <v>419</v>
      </c>
      <c r="R41" t="s">
        <v>424</v>
      </c>
    </row>
    <row r="42" spans="1:18" x14ac:dyDescent="0.25">
      <c r="A42" s="3">
        <f t="shared" si="3"/>
        <v>44235</v>
      </c>
      <c r="B42">
        <f t="shared" si="0"/>
        <v>1</v>
      </c>
      <c r="C42">
        <f t="shared" si="4"/>
        <v>0</v>
      </c>
      <c r="D42">
        <f t="shared" si="1"/>
        <v>0</v>
      </c>
      <c r="E42">
        <f>IF($B$2&lt;&gt;$I$3,COUNTIF(Tab_fériés[date],A42),0)</f>
        <v>0</v>
      </c>
      <c r="F42">
        <f t="shared" si="2"/>
        <v>0</v>
      </c>
      <c r="O42" s="3">
        <v>38912</v>
      </c>
      <c r="P42">
        <v>2006</v>
      </c>
      <c r="Q42" t="s">
        <v>419</v>
      </c>
      <c r="R42" s="208">
        <v>45121</v>
      </c>
    </row>
    <row r="43" spans="1:18" x14ac:dyDescent="0.25">
      <c r="A43" s="3">
        <f t="shared" si="3"/>
        <v>44236</v>
      </c>
      <c r="B43">
        <f t="shared" si="0"/>
        <v>2</v>
      </c>
      <c r="C43">
        <f t="shared" si="4"/>
        <v>0</v>
      </c>
      <c r="D43">
        <f t="shared" si="1"/>
        <v>0</v>
      </c>
      <c r="E43">
        <f>IF($B$2&lt;&gt;$I$3,COUNTIF(Tab_fériés[date],A43),0)</f>
        <v>0</v>
      </c>
      <c r="F43">
        <f t="shared" si="2"/>
        <v>0</v>
      </c>
      <c r="O43" s="3">
        <v>38944</v>
      </c>
      <c r="P43">
        <v>2006</v>
      </c>
      <c r="Q43" t="s">
        <v>419</v>
      </c>
      <c r="R43" t="s">
        <v>425</v>
      </c>
    </row>
    <row r="44" spans="1:18" x14ac:dyDescent="0.25">
      <c r="A44" s="3">
        <f t="shared" si="3"/>
        <v>44237</v>
      </c>
      <c r="B44">
        <f t="shared" si="0"/>
        <v>3</v>
      </c>
      <c r="C44">
        <f t="shared" si="4"/>
        <v>0</v>
      </c>
      <c r="D44">
        <f t="shared" si="1"/>
        <v>0</v>
      </c>
      <c r="E44">
        <f>IF($B$2&lt;&gt;$I$3,COUNTIF(Tab_fériés[date],A44),0)</f>
        <v>0</v>
      </c>
      <c r="F44">
        <f t="shared" si="2"/>
        <v>0</v>
      </c>
      <c r="O44" s="3">
        <v>39022</v>
      </c>
      <c r="P44">
        <v>2006</v>
      </c>
      <c r="Q44" t="s">
        <v>419</v>
      </c>
      <c r="R44" t="s">
        <v>426</v>
      </c>
    </row>
    <row r="45" spans="1:18" x14ac:dyDescent="0.25">
      <c r="A45" s="3">
        <f t="shared" si="3"/>
        <v>44238</v>
      </c>
      <c r="B45">
        <f t="shared" si="0"/>
        <v>4</v>
      </c>
      <c r="C45">
        <f t="shared" si="4"/>
        <v>0</v>
      </c>
      <c r="D45">
        <f t="shared" si="1"/>
        <v>0</v>
      </c>
      <c r="E45">
        <f>IF($B$2&lt;&gt;$I$3,COUNTIF(Tab_fériés[date],A45),0)</f>
        <v>0</v>
      </c>
      <c r="F45">
        <f t="shared" si="2"/>
        <v>0</v>
      </c>
      <c r="O45" s="3">
        <v>39032</v>
      </c>
      <c r="P45">
        <v>2006</v>
      </c>
      <c r="Q45" t="s">
        <v>419</v>
      </c>
      <c r="R45" s="208">
        <v>45241</v>
      </c>
    </row>
    <row r="46" spans="1:18" x14ac:dyDescent="0.25">
      <c r="A46" s="3">
        <f t="shared" si="3"/>
        <v>44239</v>
      </c>
      <c r="B46">
        <f t="shared" si="0"/>
        <v>5</v>
      </c>
      <c r="C46">
        <f t="shared" si="4"/>
        <v>0</v>
      </c>
      <c r="D46">
        <f t="shared" si="1"/>
        <v>0</v>
      </c>
      <c r="E46">
        <f>IF($B$2&lt;&gt;$I$3,COUNTIF(Tab_fériés[date],A46),0)</f>
        <v>0</v>
      </c>
      <c r="F46">
        <f t="shared" si="2"/>
        <v>0</v>
      </c>
      <c r="O46" s="3">
        <v>39076</v>
      </c>
      <c r="P46">
        <v>2006</v>
      </c>
      <c r="Q46" t="s">
        <v>419</v>
      </c>
      <c r="R46" t="s">
        <v>427</v>
      </c>
    </row>
    <row r="47" spans="1:18" x14ac:dyDescent="0.25">
      <c r="A47" s="3">
        <f t="shared" si="3"/>
        <v>44240</v>
      </c>
      <c r="B47">
        <f t="shared" si="0"/>
        <v>6</v>
      </c>
      <c r="C47">
        <f t="shared" si="4"/>
        <v>0</v>
      </c>
      <c r="D47">
        <f t="shared" si="1"/>
        <v>0</v>
      </c>
      <c r="E47">
        <f>IF($B$2&lt;&gt;$I$3,COUNTIF(Tab_fériés[date],A47),0)</f>
        <v>0</v>
      </c>
      <c r="F47">
        <f t="shared" si="2"/>
        <v>0</v>
      </c>
      <c r="O47" s="3">
        <v>39083</v>
      </c>
      <c r="P47">
        <v>2007</v>
      </c>
      <c r="Q47" t="s">
        <v>419</v>
      </c>
      <c r="R47" t="s">
        <v>420</v>
      </c>
    </row>
    <row r="48" spans="1:18" x14ac:dyDescent="0.25">
      <c r="A48" s="3">
        <f t="shared" si="3"/>
        <v>44241</v>
      </c>
      <c r="B48">
        <f t="shared" si="0"/>
        <v>7</v>
      </c>
      <c r="C48">
        <f t="shared" si="4"/>
        <v>0</v>
      </c>
      <c r="D48">
        <f t="shared" si="1"/>
        <v>0</v>
      </c>
      <c r="E48">
        <f>IF($B$2&lt;&gt;$I$3,COUNTIF(Tab_fériés[date],A48),0)</f>
        <v>0</v>
      </c>
      <c r="F48">
        <f t="shared" si="2"/>
        <v>0</v>
      </c>
      <c r="O48" s="3">
        <v>39181</v>
      </c>
      <c r="P48">
        <v>2007</v>
      </c>
      <c r="Q48" t="s">
        <v>419</v>
      </c>
      <c r="R48" t="s">
        <v>421</v>
      </c>
    </row>
    <row r="49" spans="1:18" x14ac:dyDescent="0.25">
      <c r="A49" s="3">
        <f t="shared" si="3"/>
        <v>44242</v>
      </c>
      <c r="B49">
        <f t="shared" si="0"/>
        <v>1</v>
      </c>
      <c r="C49">
        <f t="shared" si="4"/>
        <v>0</v>
      </c>
      <c r="D49">
        <f t="shared" si="1"/>
        <v>0</v>
      </c>
      <c r="E49">
        <f>IF($B$2&lt;&gt;$I$3,COUNTIF(Tab_fériés[date],A49),0)</f>
        <v>0</v>
      </c>
      <c r="F49">
        <f t="shared" si="2"/>
        <v>0</v>
      </c>
      <c r="O49" s="3">
        <v>39203</v>
      </c>
      <c r="P49">
        <v>2007</v>
      </c>
      <c r="Q49" t="s">
        <v>419</v>
      </c>
      <c r="R49" t="s">
        <v>422</v>
      </c>
    </row>
    <row r="50" spans="1:18" x14ac:dyDescent="0.25">
      <c r="A50" s="3">
        <f t="shared" si="3"/>
        <v>44243</v>
      </c>
      <c r="B50">
        <f t="shared" si="0"/>
        <v>2</v>
      </c>
      <c r="C50">
        <f t="shared" si="4"/>
        <v>0</v>
      </c>
      <c r="D50">
        <f t="shared" si="1"/>
        <v>0</v>
      </c>
      <c r="E50">
        <f>IF($B$2&lt;&gt;$I$3,COUNTIF(Tab_fériés[date],A50),0)</f>
        <v>0</v>
      </c>
      <c r="F50">
        <f t="shared" si="2"/>
        <v>0</v>
      </c>
      <c r="O50" s="3">
        <v>39210</v>
      </c>
      <c r="P50">
        <v>2007</v>
      </c>
      <c r="Q50" t="s">
        <v>419</v>
      </c>
      <c r="R50" s="208">
        <v>45054</v>
      </c>
    </row>
    <row r="51" spans="1:18" x14ac:dyDescent="0.25">
      <c r="A51" s="3">
        <f t="shared" si="3"/>
        <v>44244</v>
      </c>
      <c r="B51">
        <f t="shared" si="0"/>
        <v>3</v>
      </c>
      <c r="C51">
        <f t="shared" si="4"/>
        <v>0</v>
      </c>
      <c r="D51">
        <f t="shared" si="1"/>
        <v>0</v>
      </c>
      <c r="E51">
        <f>IF($B$2&lt;&gt;$I$3,COUNTIF(Tab_fériés[date],A51),0)</f>
        <v>0</v>
      </c>
      <c r="F51">
        <f t="shared" si="2"/>
        <v>0</v>
      </c>
      <c r="O51" s="3">
        <v>39219</v>
      </c>
      <c r="P51">
        <v>2007</v>
      </c>
      <c r="Q51" t="s">
        <v>419</v>
      </c>
      <c r="R51" t="s">
        <v>423</v>
      </c>
    </row>
    <row r="52" spans="1:18" x14ac:dyDescent="0.25">
      <c r="A52" s="3">
        <f t="shared" si="3"/>
        <v>44245</v>
      </c>
      <c r="B52">
        <f t="shared" si="0"/>
        <v>4</v>
      </c>
      <c r="C52">
        <f t="shared" si="4"/>
        <v>0</v>
      </c>
      <c r="D52">
        <f t="shared" si="1"/>
        <v>0</v>
      </c>
      <c r="E52">
        <f>IF($B$2&lt;&gt;$I$3,COUNTIF(Tab_fériés[date],A52),0)</f>
        <v>0</v>
      </c>
      <c r="F52">
        <f t="shared" si="2"/>
        <v>0</v>
      </c>
      <c r="O52" s="3">
        <v>39230</v>
      </c>
      <c r="P52">
        <v>2007</v>
      </c>
      <c r="Q52" t="s">
        <v>419</v>
      </c>
      <c r="R52" t="s">
        <v>424</v>
      </c>
    </row>
    <row r="53" spans="1:18" x14ac:dyDescent="0.25">
      <c r="A53" s="3">
        <f t="shared" si="3"/>
        <v>44246</v>
      </c>
      <c r="B53">
        <f t="shared" si="0"/>
        <v>5</v>
      </c>
      <c r="C53">
        <f t="shared" si="4"/>
        <v>0</v>
      </c>
      <c r="D53">
        <f t="shared" si="1"/>
        <v>0</v>
      </c>
      <c r="E53">
        <f>IF($B$2&lt;&gt;$I$3,COUNTIF(Tab_fériés[date],A53),0)</f>
        <v>0</v>
      </c>
      <c r="F53">
        <f t="shared" si="2"/>
        <v>0</v>
      </c>
      <c r="O53" s="3">
        <v>39277</v>
      </c>
      <c r="P53">
        <v>2007</v>
      </c>
      <c r="Q53" t="s">
        <v>419</v>
      </c>
      <c r="R53" s="208">
        <v>45121</v>
      </c>
    </row>
    <row r="54" spans="1:18" x14ac:dyDescent="0.25">
      <c r="A54" s="3">
        <f t="shared" si="3"/>
        <v>44247</v>
      </c>
      <c r="B54">
        <f t="shared" si="0"/>
        <v>6</v>
      </c>
      <c r="C54">
        <f t="shared" si="4"/>
        <v>0</v>
      </c>
      <c r="D54">
        <f t="shared" si="1"/>
        <v>0</v>
      </c>
      <c r="E54">
        <f>IF($B$2&lt;&gt;$I$3,COUNTIF(Tab_fériés[date],A54),0)</f>
        <v>0</v>
      </c>
      <c r="F54">
        <f t="shared" si="2"/>
        <v>0</v>
      </c>
      <c r="O54" s="3">
        <v>39309</v>
      </c>
      <c r="P54">
        <v>2007</v>
      </c>
      <c r="Q54" t="s">
        <v>419</v>
      </c>
      <c r="R54" t="s">
        <v>425</v>
      </c>
    </row>
    <row r="55" spans="1:18" x14ac:dyDescent="0.25">
      <c r="A55" s="3">
        <f t="shared" si="3"/>
        <v>44248</v>
      </c>
      <c r="B55">
        <f t="shared" si="0"/>
        <v>7</v>
      </c>
      <c r="C55">
        <f t="shared" si="4"/>
        <v>0</v>
      </c>
      <c r="D55">
        <f t="shared" si="1"/>
        <v>0</v>
      </c>
      <c r="E55">
        <f>IF($B$2&lt;&gt;$I$3,COUNTIF(Tab_fériés[date],A55),0)</f>
        <v>0</v>
      </c>
      <c r="F55">
        <f t="shared" si="2"/>
        <v>0</v>
      </c>
      <c r="O55" s="3">
        <v>39387</v>
      </c>
      <c r="P55">
        <v>2007</v>
      </c>
      <c r="Q55" t="s">
        <v>419</v>
      </c>
      <c r="R55" t="s">
        <v>426</v>
      </c>
    </row>
    <row r="56" spans="1:18" x14ac:dyDescent="0.25">
      <c r="A56" s="3">
        <f t="shared" si="3"/>
        <v>44249</v>
      </c>
      <c r="B56">
        <f t="shared" si="0"/>
        <v>1</v>
      </c>
      <c r="C56">
        <f t="shared" si="4"/>
        <v>0</v>
      </c>
      <c r="D56">
        <f t="shared" si="1"/>
        <v>0</v>
      </c>
      <c r="E56">
        <f>IF($B$2&lt;&gt;$I$3,COUNTIF(Tab_fériés[date],A56),0)</f>
        <v>0</v>
      </c>
      <c r="F56">
        <f t="shared" si="2"/>
        <v>0</v>
      </c>
      <c r="O56" s="3">
        <v>39397</v>
      </c>
      <c r="P56">
        <v>2007</v>
      </c>
      <c r="Q56" t="s">
        <v>419</v>
      </c>
      <c r="R56" s="208">
        <v>45241</v>
      </c>
    </row>
    <row r="57" spans="1:18" x14ac:dyDescent="0.25">
      <c r="A57" s="3">
        <f t="shared" si="3"/>
        <v>44250</v>
      </c>
      <c r="B57">
        <f t="shared" si="0"/>
        <v>2</v>
      </c>
      <c r="C57">
        <f t="shared" si="4"/>
        <v>0</v>
      </c>
      <c r="D57">
        <f t="shared" si="1"/>
        <v>0</v>
      </c>
      <c r="E57">
        <f>IF($B$2&lt;&gt;$I$3,COUNTIF(Tab_fériés[date],A57),0)</f>
        <v>0</v>
      </c>
      <c r="F57">
        <f t="shared" si="2"/>
        <v>0</v>
      </c>
      <c r="O57" s="3">
        <v>39441</v>
      </c>
      <c r="P57">
        <v>2007</v>
      </c>
      <c r="Q57" t="s">
        <v>419</v>
      </c>
      <c r="R57" t="s">
        <v>427</v>
      </c>
    </row>
    <row r="58" spans="1:18" x14ac:dyDescent="0.25">
      <c r="A58" s="3">
        <f t="shared" si="3"/>
        <v>44251</v>
      </c>
      <c r="B58">
        <f t="shared" si="0"/>
        <v>3</v>
      </c>
      <c r="C58">
        <f t="shared" si="4"/>
        <v>0</v>
      </c>
      <c r="D58">
        <f t="shared" si="1"/>
        <v>0</v>
      </c>
      <c r="E58">
        <f>IF($B$2&lt;&gt;$I$3,COUNTIF(Tab_fériés[date],A58),0)</f>
        <v>0</v>
      </c>
      <c r="F58">
        <f t="shared" si="2"/>
        <v>0</v>
      </c>
      <c r="O58" s="3">
        <v>39448</v>
      </c>
      <c r="P58">
        <v>2008</v>
      </c>
      <c r="Q58" t="s">
        <v>419</v>
      </c>
      <c r="R58" t="s">
        <v>420</v>
      </c>
    </row>
    <row r="59" spans="1:18" x14ac:dyDescent="0.25">
      <c r="A59" s="3">
        <f t="shared" si="3"/>
        <v>44252</v>
      </c>
      <c r="B59">
        <f t="shared" si="0"/>
        <v>4</v>
      </c>
      <c r="C59">
        <f t="shared" si="4"/>
        <v>0</v>
      </c>
      <c r="D59">
        <f t="shared" si="1"/>
        <v>0</v>
      </c>
      <c r="E59">
        <f>IF($B$2&lt;&gt;$I$3,COUNTIF(Tab_fériés[date],A59),0)</f>
        <v>0</v>
      </c>
      <c r="F59">
        <f t="shared" si="2"/>
        <v>0</v>
      </c>
      <c r="O59" s="3">
        <v>39531</v>
      </c>
      <c r="P59">
        <v>2008</v>
      </c>
      <c r="Q59" t="s">
        <v>419</v>
      </c>
      <c r="R59" t="s">
        <v>421</v>
      </c>
    </row>
    <row r="60" spans="1:18" x14ac:dyDescent="0.25">
      <c r="A60" s="3">
        <f t="shared" si="3"/>
        <v>44253</v>
      </c>
      <c r="B60">
        <f t="shared" si="0"/>
        <v>5</v>
      </c>
      <c r="C60">
        <f t="shared" si="4"/>
        <v>0</v>
      </c>
      <c r="D60">
        <f t="shared" si="1"/>
        <v>0</v>
      </c>
      <c r="E60">
        <f>IF($B$2&lt;&gt;$I$3,COUNTIF(Tab_fériés[date],A60),0)</f>
        <v>0</v>
      </c>
      <c r="F60">
        <f t="shared" si="2"/>
        <v>0</v>
      </c>
      <c r="O60" s="3">
        <v>39569</v>
      </c>
      <c r="P60">
        <v>2008</v>
      </c>
      <c r="Q60" t="s">
        <v>419</v>
      </c>
      <c r="R60" t="s">
        <v>422</v>
      </c>
    </row>
    <row r="61" spans="1:18" x14ac:dyDescent="0.25">
      <c r="A61" s="3">
        <f t="shared" si="3"/>
        <v>44254</v>
      </c>
      <c r="B61">
        <f t="shared" si="0"/>
        <v>6</v>
      </c>
      <c r="C61">
        <f t="shared" si="4"/>
        <v>0</v>
      </c>
      <c r="D61">
        <f t="shared" si="1"/>
        <v>0</v>
      </c>
      <c r="E61">
        <f>IF($B$2&lt;&gt;$I$3,COUNTIF(Tab_fériés[date],A61),0)</f>
        <v>0</v>
      </c>
      <c r="F61">
        <f t="shared" si="2"/>
        <v>0</v>
      </c>
      <c r="O61" s="3">
        <v>39569</v>
      </c>
      <c r="P61">
        <v>2008</v>
      </c>
      <c r="Q61" t="s">
        <v>419</v>
      </c>
      <c r="R61" t="s">
        <v>423</v>
      </c>
    </row>
    <row r="62" spans="1:18" x14ac:dyDescent="0.25">
      <c r="A62" s="3">
        <f t="shared" si="3"/>
        <v>44255</v>
      </c>
      <c r="B62">
        <f t="shared" si="0"/>
        <v>7</v>
      </c>
      <c r="C62">
        <f t="shared" si="4"/>
        <v>0</v>
      </c>
      <c r="D62">
        <f t="shared" si="1"/>
        <v>0</v>
      </c>
      <c r="E62">
        <f>IF($B$2&lt;&gt;$I$3,COUNTIF(Tab_fériés[date],A62),0)</f>
        <v>0</v>
      </c>
      <c r="F62">
        <f t="shared" si="2"/>
        <v>0</v>
      </c>
      <c r="O62" s="3">
        <v>39576</v>
      </c>
      <c r="P62">
        <v>2008</v>
      </c>
      <c r="Q62" t="s">
        <v>419</v>
      </c>
      <c r="R62" s="208">
        <v>45054</v>
      </c>
    </row>
    <row r="63" spans="1:18" x14ac:dyDescent="0.25">
      <c r="A63" s="3">
        <f t="shared" si="3"/>
        <v>44256</v>
      </c>
      <c r="B63">
        <f t="shared" si="0"/>
        <v>1</v>
      </c>
      <c r="C63">
        <f t="shared" si="4"/>
        <v>0</v>
      </c>
      <c r="D63">
        <f t="shared" si="1"/>
        <v>0</v>
      </c>
      <c r="E63">
        <f>IF($B$2&lt;&gt;$I$3,COUNTIF(Tab_fériés[date],A63),0)</f>
        <v>0</v>
      </c>
      <c r="F63">
        <f t="shared" si="2"/>
        <v>0</v>
      </c>
      <c r="O63" s="3">
        <v>39580</v>
      </c>
      <c r="P63">
        <v>2008</v>
      </c>
      <c r="Q63" t="s">
        <v>419</v>
      </c>
      <c r="R63" t="s">
        <v>424</v>
      </c>
    </row>
    <row r="64" spans="1:18" x14ac:dyDescent="0.25">
      <c r="A64" s="3">
        <f t="shared" si="3"/>
        <v>44257</v>
      </c>
      <c r="B64">
        <f t="shared" si="0"/>
        <v>2</v>
      </c>
      <c r="C64">
        <f t="shared" si="4"/>
        <v>0</v>
      </c>
      <c r="D64">
        <f t="shared" si="1"/>
        <v>0</v>
      </c>
      <c r="E64">
        <f>IF($B$2&lt;&gt;$I$3,COUNTIF(Tab_fériés[date],A64),0)</f>
        <v>0</v>
      </c>
      <c r="F64">
        <f t="shared" si="2"/>
        <v>0</v>
      </c>
      <c r="O64" s="3">
        <v>39643</v>
      </c>
      <c r="P64">
        <v>2008</v>
      </c>
      <c r="Q64" t="s">
        <v>419</v>
      </c>
      <c r="R64" s="208">
        <v>45121</v>
      </c>
    </row>
    <row r="65" spans="1:18" x14ac:dyDescent="0.25">
      <c r="A65" s="3">
        <f t="shared" si="3"/>
        <v>44258</v>
      </c>
      <c r="B65">
        <f t="shared" si="0"/>
        <v>3</v>
      </c>
      <c r="C65">
        <f t="shared" si="4"/>
        <v>0</v>
      </c>
      <c r="D65">
        <f t="shared" si="1"/>
        <v>0</v>
      </c>
      <c r="E65">
        <f>IF($B$2&lt;&gt;$I$3,COUNTIF(Tab_fériés[date],A65),0)</f>
        <v>0</v>
      </c>
      <c r="F65">
        <f t="shared" si="2"/>
        <v>0</v>
      </c>
      <c r="O65" s="3">
        <v>39675</v>
      </c>
      <c r="P65">
        <v>2008</v>
      </c>
      <c r="Q65" t="s">
        <v>419</v>
      </c>
      <c r="R65" t="s">
        <v>425</v>
      </c>
    </row>
    <row r="66" spans="1:18" x14ac:dyDescent="0.25">
      <c r="A66" s="3">
        <f t="shared" si="3"/>
        <v>44259</v>
      </c>
      <c r="B66">
        <f t="shared" si="0"/>
        <v>4</v>
      </c>
      <c r="C66">
        <f t="shared" si="4"/>
        <v>0</v>
      </c>
      <c r="D66">
        <f t="shared" si="1"/>
        <v>0</v>
      </c>
      <c r="E66">
        <f>IF($B$2&lt;&gt;$I$3,COUNTIF(Tab_fériés[date],A66),0)</f>
        <v>0</v>
      </c>
      <c r="F66">
        <f t="shared" si="2"/>
        <v>0</v>
      </c>
      <c r="O66" s="3">
        <v>39753</v>
      </c>
      <c r="P66">
        <v>2008</v>
      </c>
      <c r="Q66" t="s">
        <v>419</v>
      </c>
      <c r="R66" t="s">
        <v>426</v>
      </c>
    </row>
    <row r="67" spans="1:18" x14ac:dyDescent="0.25">
      <c r="A67" s="3">
        <f t="shared" si="3"/>
        <v>44260</v>
      </c>
      <c r="B67">
        <f t="shared" si="0"/>
        <v>5</v>
      </c>
      <c r="C67">
        <f t="shared" si="4"/>
        <v>0</v>
      </c>
      <c r="D67">
        <f t="shared" si="1"/>
        <v>0</v>
      </c>
      <c r="E67">
        <f>IF($B$2&lt;&gt;$I$3,COUNTIF(Tab_fériés[date],A67),0)</f>
        <v>0</v>
      </c>
      <c r="F67">
        <f t="shared" si="2"/>
        <v>0</v>
      </c>
      <c r="O67" s="3">
        <v>39763</v>
      </c>
      <c r="P67">
        <v>2008</v>
      </c>
      <c r="Q67" t="s">
        <v>419</v>
      </c>
      <c r="R67" s="208">
        <v>45241</v>
      </c>
    </row>
    <row r="68" spans="1:18" x14ac:dyDescent="0.25">
      <c r="A68" s="3">
        <f t="shared" si="3"/>
        <v>44261</v>
      </c>
      <c r="B68">
        <f t="shared" si="0"/>
        <v>6</v>
      </c>
      <c r="C68">
        <f t="shared" si="4"/>
        <v>0</v>
      </c>
      <c r="D68">
        <f t="shared" si="1"/>
        <v>0</v>
      </c>
      <c r="E68">
        <f>IF($B$2&lt;&gt;$I$3,COUNTIF(Tab_fériés[date],A68),0)</f>
        <v>0</v>
      </c>
      <c r="F68">
        <f t="shared" si="2"/>
        <v>0</v>
      </c>
      <c r="O68" s="3">
        <v>39807</v>
      </c>
      <c r="P68">
        <v>2008</v>
      </c>
      <c r="Q68" t="s">
        <v>419</v>
      </c>
      <c r="R68" t="s">
        <v>427</v>
      </c>
    </row>
    <row r="69" spans="1:18" x14ac:dyDescent="0.25">
      <c r="A69" s="3">
        <f t="shared" si="3"/>
        <v>44262</v>
      </c>
      <c r="B69">
        <f t="shared" ref="B69:B132" si="5">WEEKDAY(A69,2)</f>
        <v>7</v>
      </c>
      <c r="C69">
        <f t="shared" si="4"/>
        <v>0</v>
      </c>
      <c r="D69">
        <f t="shared" ref="D69:D132" si="6">IF(AND(B69=7,$B$2&lt;&gt;$I$3),1,0)</f>
        <v>0</v>
      </c>
      <c r="E69">
        <f>IF($B$2&lt;&gt;$I$3,COUNTIF(Tab_fériés[date],A69),0)</f>
        <v>0</v>
      </c>
      <c r="F69">
        <f t="shared" ref="F69:F132" si="7">IFERROR(IF(SUM(C69:E69)&gt;0,1,0),0)</f>
        <v>0</v>
      </c>
      <c r="O69" s="3">
        <v>39814</v>
      </c>
      <c r="P69">
        <v>2009</v>
      </c>
      <c r="Q69" t="s">
        <v>419</v>
      </c>
      <c r="R69" t="s">
        <v>420</v>
      </c>
    </row>
    <row r="70" spans="1:18" x14ac:dyDescent="0.25">
      <c r="A70" s="3">
        <f t="shared" ref="A70:A133" si="8">A69+1</f>
        <v>44263</v>
      </c>
      <c r="B70">
        <f t="shared" si="5"/>
        <v>1</v>
      </c>
      <c r="C70">
        <f t="shared" ref="C70:C133" si="9">IF(AND(B70=6,$B$2&lt;&gt;$I$3,$B$2&lt;&gt;$I$5),1,0)</f>
        <v>0</v>
      </c>
      <c r="D70">
        <f t="shared" si="6"/>
        <v>0</v>
      </c>
      <c r="E70">
        <f>IF($B$2&lt;&gt;$I$3,COUNTIF(Tab_fériés[date],A70),0)</f>
        <v>0</v>
      </c>
      <c r="F70">
        <f t="shared" si="7"/>
        <v>0</v>
      </c>
      <c r="O70" s="3">
        <v>39916</v>
      </c>
      <c r="P70">
        <v>2009</v>
      </c>
      <c r="Q70" t="s">
        <v>419</v>
      </c>
      <c r="R70" t="s">
        <v>421</v>
      </c>
    </row>
    <row r="71" spans="1:18" x14ac:dyDescent="0.25">
      <c r="A71" s="3">
        <f t="shared" si="8"/>
        <v>44264</v>
      </c>
      <c r="B71">
        <f t="shared" si="5"/>
        <v>2</v>
      </c>
      <c r="C71">
        <f t="shared" si="9"/>
        <v>0</v>
      </c>
      <c r="D71">
        <f t="shared" si="6"/>
        <v>0</v>
      </c>
      <c r="E71">
        <f>IF($B$2&lt;&gt;$I$3,COUNTIF(Tab_fériés[date],A71),0)</f>
        <v>0</v>
      </c>
      <c r="F71">
        <f t="shared" si="7"/>
        <v>0</v>
      </c>
      <c r="O71" s="3">
        <v>39934</v>
      </c>
      <c r="P71">
        <v>2009</v>
      </c>
      <c r="Q71" t="s">
        <v>419</v>
      </c>
      <c r="R71" t="s">
        <v>422</v>
      </c>
    </row>
    <row r="72" spans="1:18" x14ac:dyDescent="0.25">
      <c r="A72" s="3">
        <f t="shared" si="8"/>
        <v>44265</v>
      </c>
      <c r="B72">
        <f t="shared" si="5"/>
        <v>3</v>
      </c>
      <c r="C72">
        <f t="shared" si="9"/>
        <v>0</v>
      </c>
      <c r="D72">
        <f t="shared" si="6"/>
        <v>0</v>
      </c>
      <c r="E72">
        <f>IF($B$2&lt;&gt;$I$3,COUNTIF(Tab_fériés[date],A72),0)</f>
        <v>0</v>
      </c>
      <c r="F72">
        <f t="shared" si="7"/>
        <v>0</v>
      </c>
      <c r="O72" s="3">
        <v>39941</v>
      </c>
      <c r="P72">
        <v>2009</v>
      </c>
      <c r="Q72" t="s">
        <v>419</v>
      </c>
      <c r="R72" s="208">
        <v>45054</v>
      </c>
    </row>
    <row r="73" spans="1:18" x14ac:dyDescent="0.25">
      <c r="A73" s="3">
        <f t="shared" si="8"/>
        <v>44266</v>
      </c>
      <c r="B73">
        <f t="shared" si="5"/>
        <v>4</v>
      </c>
      <c r="C73">
        <f t="shared" si="9"/>
        <v>0</v>
      </c>
      <c r="D73">
        <f t="shared" si="6"/>
        <v>0</v>
      </c>
      <c r="E73">
        <f>IF($B$2&lt;&gt;$I$3,COUNTIF(Tab_fériés[date],A73),0)</f>
        <v>0</v>
      </c>
      <c r="F73">
        <f t="shared" si="7"/>
        <v>0</v>
      </c>
      <c r="O73" s="3">
        <v>39954</v>
      </c>
      <c r="P73">
        <v>2009</v>
      </c>
      <c r="Q73" t="s">
        <v>419</v>
      </c>
      <c r="R73" t="s">
        <v>423</v>
      </c>
    </row>
    <row r="74" spans="1:18" x14ac:dyDescent="0.25">
      <c r="A74" s="3">
        <f t="shared" si="8"/>
        <v>44267</v>
      </c>
      <c r="B74">
        <f t="shared" si="5"/>
        <v>5</v>
      </c>
      <c r="C74">
        <f t="shared" si="9"/>
        <v>0</v>
      </c>
      <c r="D74">
        <f t="shared" si="6"/>
        <v>0</v>
      </c>
      <c r="E74">
        <f>IF($B$2&lt;&gt;$I$3,COUNTIF(Tab_fériés[date],A74),0)</f>
        <v>0</v>
      </c>
      <c r="F74">
        <f t="shared" si="7"/>
        <v>0</v>
      </c>
      <c r="O74" s="3">
        <v>39965</v>
      </c>
      <c r="P74">
        <v>2009</v>
      </c>
      <c r="Q74" t="s">
        <v>419</v>
      </c>
      <c r="R74" t="s">
        <v>424</v>
      </c>
    </row>
    <row r="75" spans="1:18" x14ac:dyDescent="0.25">
      <c r="A75" s="3">
        <f t="shared" si="8"/>
        <v>44268</v>
      </c>
      <c r="B75">
        <f t="shared" si="5"/>
        <v>6</v>
      </c>
      <c r="C75">
        <f t="shared" si="9"/>
        <v>0</v>
      </c>
      <c r="D75">
        <f t="shared" si="6"/>
        <v>0</v>
      </c>
      <c r="E75">
        <f>IF($B$2&lt;&gt;$I$3,COUNTIF(Tab_fériés[date],A75),0)</f>
        <v>0</v>
      </c>
      <c r="F75">
        <f t="shared" si="7"/>
        <v>0</v>
      </c>
      <c r="O75" s="3">
        <v>40008</v>
      </c>
      <c r="P75">
        <v>2009</v>
      </c>
      <c r="Q75" t="s">
        <v>419</v>
      </c>
      <c r="R75" s="208">
        <v>45121</v>
      </c>
    </row>
    <row r="76" spans="1:18" x14ac:dyDescent="0.25">
      <c r="A76" s="3">
        <f t="shared" si="8"/>
        <v>44269</v>
      </c>
      <c r="B76">
        <f t="shared" si="5"/>
        <v>7</v>
      </c>
      <c r="C76">
        <f t="shared" si="9"/>
        <v>0</v>
      </c>
      <c r="D76">
        <f t="shared" si="6"/>
        <v>0</v>
      </c>
      <c r="E76">
        <f>IF($B$2&lt;&gt;$I$3,COUNTIF(Tab_fériés[date],A76),0)</f>
        <v>0</v>
      </c>
      <c r="F76">
        <f t="shared" si="7"/>
        <v>0</v>
      </c>
      <c r="O76" s="3">
        <v>40040</v>
      </c>
      <c r="P76">
        <v>2009</v>
      </c>
      <c r="Q76" t="s">
        <v>419</v>
      </c>
      <c r="R76" t="s">
        <v>425</v>
      </c>
    </row>
    <row r="77" spans="1:18" x14ac:dyDescent="0.25">
      <c r="A77" s="3">
        <f t="shared" si="8"/>
        <v>44270</v>
      </c>
      <c r="B77">
        <f t="shared" si="5"/>
        <v>1</v>
      </c>
      <c r="C77">
        <f t="shared" si="9"/>
        <v>0</v>
      </c>
      <c r="D77">
        <f t="shared" si="6"/>
        <v>0</v>
      </c>
      <c r="E77">
        <f>IF($B$2&lt;&gt;$I$3,COUNTIF(Tab_fériés[date],A77),0)</f>
        <v>0</v>
      </c>
      <c r="F77">
        <f t="shared" si="7"/>
        <v>0</v>
      </c>
      <c r="O77" s="3">
        <v>40118</v>
      </c>
      <c r="P77">
        <v>2009</v>
      </c>
      <c r="Q77" t="s">
        <v>419</v>
      </c>
      <c r="R77" t="s">
        <v>426</v>
      </c>
    </row>
    <row r="78" spans="1:18" x14ac:dyDescent="0.25">
      <c r="A78" s="3">
        <f t="shared" si="8"/>
        <v>44271</v>
      </c>
      <c r="B78">
        <f t="shared" si="5"/>
        <v>2</v>
      </c>
      <c r="C78">
        <f t="shared" si="9"/>
        <v>0</v>
      </c>
      <c r="D78">
        <f t="shared" si="6"/>
        <v>0</v>
      </c>
      <c r="E78">
        <f>IF($B$2&lt;&gt;$I$3,COUNTIF(Tab_fériés[date],A78),0)</f>
        <v>0</v>
      </c>
      <c r="F78">
        <f t="shared" si="7"/>
        <v>0</v>
      </c>
      <c r="O78" s="3">
        <v>40128</v>
      </c>
      <c r="P78">
        <v>2009</v>
      </c>
      <c r="Q78" t="s">
        <v>419</v>
      </c>
      <c r="R78" s="208">
        <v>45241</v>
      </c>
    </row>
    <row r="79" spans="1:18" x14ac:dyDescent="0.25">
      <c r="A79" s="3">
        <f t="shared" si="8"/>
        <v>44272</v>
      </c>
      <c r="B79">
        <f t="shared" si="5"/>
        <v>3</v>
      </c>
      <c r="C79">
        <f t="shared" si="9"/>
        <v>0</v>
      </c>
      <c r="D79">
        <f t="shared" si="6"/>
        <v>0</v>
      </c>
      <c r="E79">
        <f>IF($B$2&lt;&gt;$I$3,COUNTIF(Tab_fériés[date],A79),0)</f>
        <v>0</v>
      </c>
      <c r="F79">
        <f t="shared" si="7"/>
        <v>0</v>
      </c>
      <c r="O79" s="3">
        <v>40172</v>
      </c>
      <c r="P79">
        <v>2009</v>
      </c>
      <c r="Q79" t="s">
        <v>419</v>
      </c>
      <c r="R79" t="s">
        <v>427</v>
      </c>
    </row>
    <row r="80" spans="1:18" x14ac:dyDescent="0.25">
      <c r="A80" s="3">
        <f t="shared" si="8"/>
        <v>44273</v>
      </c>
      <c r="B80">
        <f t="shared" si="5"/>
        <v>4</v>
      </c>
      <c r="C80">
        <f t="shared" si="9"/>
        <v>0</v>
      </c>
      <c r="D80">
        <f t="shared" si="6"/>
        <v>0</v>
      </c>
      <c r="E80">
        <f>IF($B$2&lt;&gt;$I$3,COUNTIF(Tab_fériés[date],A80),0)</f>
        <v>0</v>
      </c>
      <c r="F80">
        <f t="shared" si="7"/>
        <v>0</v>
      </c>
      <c r="O80" s="3">
        <v>40179</v>
      </c>
      <c r="P80">
        <v>2010</v>
      </c>
      <c r="Q80" t="s">
        <v>419</v>
      </c>
      <c r="R80" t="s">
        <v>420</v>
      </c>
    </row>
    <row r="81" spans="1:18" x14ac:dyDescent="0.25">
      <c r="A81" s="3">
        <f t="shared" si="8"/>
        <v>44274</v>
      </c>
      <c r="B81">
        <f t="shared" si="5"/>
        <v>5</v>
      </c>
      <c r="C81">
        <f t="shared" si="9"/>
        <v>0</v>
      </c>
      <c r="D81">
        <f t="shared" si="6"/>
        <v>0</v>
      </c>
      <c r="E81">
        <f>IF($B$2&lt;&gt;$I$3,COUNTIF(Tab_fériés[date],A81),0)</f>
        <v>0</v>
      </c>
      <c r="F81">
        <f t="shared" si="7"/>
        <v>0</v>
      </c>
      <c r="O81" s="3">
        <v>40273</v>
      </c>
      <c r="P81">
        <v>2010</v>
      </c>
      <c r="Q81" t="s">
        <v>419</v>
      </c>
      <c r="R81" t="s">
        <v>421</v>
      </c>
    </row>
    <row r="82" spans="1:18" x14ac:dyDescent="0.25">
      <c r="A82" s="3">
        <f t="shared" si="8"/>
        <v>44275</v>
      </c>
      <c r="B82">
        <f t="shared" si="5"/>
        <v>6</v>
      </c>
      <c r="C82">
        <f t="shared" si="9"/>
        <v>0</v>
      </c>
      <c r="D82">
        <f t="shared" si="6"/>
        <v>0</v>
      </c>
      <c r="E82">
        <f>IF($B$2&lt;&gt;$I$3,COUNTIF(Tab_fériés[date],A82),0)</f>
        <v>0</v>
      </c>
      <c r="F82">
        <f t="shared" si="7"/>
        <v>0</v>
      </c>
      <c r="O82" s="3">
        <v>40299</v>
      </c>
      <c r="P82">
        <v>2010</v>
      </c>
      <c r="Q82" t="s">
        <v>419</v>
      </c>
      <c r="R82" t="s">
        <v>422</v>
      </c>
    </row>
    <row r="83" spans="1:18" x14ac:dyDescent="0.25">
      <c r="A83" s="3">
        <f t="shared" si="8"/>
        <v>44276</v>
      </c>
      <c r="B83">
        <f t="shared" si="5"/>
        <v>7</v>
      </c>
      <c r="C83">
        <f t="shared" si="9"/>
        <v>0</v>
      </c>
      <c r="D83">
        <f t="shared" si="6"/>
        <v>0</v>
      </c>
      <c r="E83">
        <f>IF($B$2&lt;&gt;$I$3,COUNTIF(Tab_fériés[date],A83),0)</f>
        <v>0</v>
      </c>
      <c r="F83">
        <f t="shared" si="7"/>
        <v>0</v>
      </c>
      <c r="O83" s="3">
        <v>40306</v>
      </c>
      <c r="P83">
        <v>2010</v>
      </c>
      <c r="Q83" t="s">
        <v>419</v>
      </c>
      <c r="R83" s="208">
        <v>45054</v>
      </c>
    </row>
    <row r="84" spans="1:18" x14ac:dyDescent="0.25">
      <c r="A84" s="3">
        <f t="shared" si="8"/>
        <v>44277</v>
      </c>
      <c r="B84">
        <f t="shared" si="5"/>
        <v>1</v>
      </c>
      <c r="C84">
        <f t="shared" si="9"/>
        <v>0</v>
      </c>
      <c r="D84">
        <f t="shared" si="6"/>
        <v>0</v>
      </c>
      <c r="E84">
        <f>IF($B$2&lt;&gt;$I$3,COUNTIF(Tab_fériés[date],A84),0)</f>
        <v>0</v>
      </c>
      <c r="F84">
        <f t="shared" si="7"/>
        <v>0</v>
      </c>
      <c r="O84" s="3">
        <v>40311</v>
      </c>
      <c r="P84">
        <v>2010</v>
      </c>
      <c r="Q84" t="s">
        <v>419</v>
      </c>
      <c r="R84" t="s">
        <v>423</v>
      </c>
    </row>
    <row r="85" spans="1:18" x14ac:dyDescent="0.25">
      <c r="A85" s="3">
        <f t="shared" si="8"/>
        <v>44278</v>
      </c>
      <c r="B85">
        <f t="shared" si="5"/>
        <v>2</v>
      </c>
      <c r="C85">
        <f t="shared" si="9"/>
        <v>0</v>
      </c>
      <c r="D85">
        <f t="shared" si="6"/>
        <v>0</v>
      </c>
      <c r="E85">
        <f>IF($B$2&lt;&gt;$I$3,COUNTIF(Tab_fériés[date],A85),0)</f>
        <v>0</v>
      </c>
      <c r="F85">
        <f t="shared" si="7"/>
        <v>0</v>
      </c>
      <c r="O85" s="3">
        <v>40322</v>
      </c>
      <c r="P85">
        <v>2010</v>
      </c>
      <c r="Q85" t="s">
        <v>419</v>
      </c>
      <c r="R85" t="s">
        <v>424</v>
      </c>
    </row>
    <row r="86" spans="1:18" x14ac:dyDescent="0.25">
      <c r="A86" s="3">
        <f t="shared" si="8"/>
        <v>44279</v>
      </c>
      <c r="B86">
        <f t="shared" si="5"/>
        <v>3</v>
      </c>
      <c r="C86">
        <f t="shared" si="9"/>
        <v>0</v>
      </c>
      <c r="D86">
        <f t="shared" si="6"/>
        <v>0</v>
      </c>
      <c r="E86">
        <f>IF($B$2&lt;&gt;$I$3,COUNTIF(Tab_fériés[date],A86),0)</f>
        <v>0</v>
      </c>
      <c r="F86">
        <f t="shared" si="7"/>
        <v>0</v>
      </c>
      <c r="O86" s="3">
        <v>40373</v>
      </c>
      <c r="P86">
        <v>2010</v>
      </c>
      <c r="Q86" t="s">
        <v>419</v>
      </c>
      <c r="R86" s="208">
        <v>45121</v>
      </c>
    </row>
    <row r="87" spans="1:18" x14ac:dyDescent="0.25">
      <c r="A87" s="3">
        <f t="shared" si="8"/>
        <v>44280</v>
      </c>
      <c r="B87">
        <f t="shared" si="5"/>
        <v>4</v>
      </c>
      <c r="C87">
        <f t="shared" si="9"/>
        <v>0</v>
      </c>
      <c r="D87">
        <f t="shared" si="6"/>
        <v>0</v>
      </c>
      <c r="E87">
        <f>IF($B$2&lt;&gt;$I$3,COUNTIF(Tab_fériés[date],A87),0)</f>
        <v>0</v>
      </c>
      <c r="F87">
        <f t="shared" si="7"/>
        <v>0</v>
      </c>
      <c r="O87" s="3">
        <v>40405</v>
      </c>
      <c r="P87">
        <v>2010</v>
      </c>
      <c r="Q87" t="s">
        <v>419</v>
      </c>
      <c r="R87" t="s">
        <v>425</v>
      </c>
    </row>
    <row r="88" spans="1:18" x14ac:dyDescent="0.25">
      <c r="A88" s="3">
        <f t="shared" si="8"/>
        <v>44281</v>
      </c>
      <c r="B88">
        <f t="shared" si="5"/>
        <v>5</v>
      </c>
      <c r="C88">
        <f t="shared" si="9"/>
        <v>0</v>
      </c>
      <c r="D88">
        <f t="shared" si="6"/>
        <v>0</v>
      </c>
      <c r="E88">
        <f>IF($B$2&lt;&gt;$I$3,COUNTIF(Tab_fériés[date],A88),0)</f>
        <v>0</v>
      </c>
      <c r="F88">
        <f t="shared" si="7"/>
        <v>0</v>
      </c>
      <c r="O88" s="3">
        <v>40483</v>
      </c>
      <c r="P88">
        <v>2010</v>
      </c>
      <c r="Q88" t="s">
        <v>419</v>
      </c>
      <c r="R88" t="s">
        <v>426</v>
      </c>
    </row>
    <row r="89" spans="1:18" x14ac:dyDescent="0.25">
      <c r="A89" s="3">
        <f t="shared" si="8"/>
        <v>44282</v>
      </c>
      <c r="B89">
        <f t="shared" si="5"/>
        <v>6</v>
      </c>
      <c r="C89">
        <f t="shared" si="9"/>
        <v>0</v>
      </c>
      <c r="D89">
        <f t="shared" si="6"/>
        <v>0</v>
      </c>
      <c r="E89">
        <f>IF($B$2&lt;&gt;$I$3,COUNTIF(Tab_fériés[date],A89),0)</f>
        <v>0</v>
      </c>
      <c r="F89">
        <f t="shared" si="7"/>
        <v>0</v>
      </c>
      <c r="O89" s="3">
        <v>40493</v>
      </c>
      <c r="P89">
        <v>2010</v>
      </c>
      <c r="Q89" t="s">
        <v>419</v>
      </c>
      <c r="R89" s="208">
        <v>45241</v>
      </c>
    </row>
    <row r="90" spans="1:18" x14ac:dyDescent="0.25">
      <c r="A90" s="3">
        <f t="shared" si="8"/>
        <v>44283</v>
      </c>
      <c r="B90">
        <f t="shared" si="5"/>
        <v>7</v>
      </c>
      <c r="C90">
        <f t="shared" si="9"/>
        <v>0</v>
      </c>
      <c r="D90">
        <f t="shared" si="6"/>
        <v>0</v>
      </c>
      <c r="E90">
        <f>IF($B$2&lt;&gt;$I$3,COUNTIF(Tab_fériés[date],A90),0)</f>
        <v>0</v>
      </c>
      <c r="F90">
        <f t="shared" si="7"/>
        <v>0</v>
      </c>
      <c r="O90" s="3">
        <v>40537</v>
      </c>
      <c r="P90">
        <v>2010</v>
      </c>
      <c r="Q90" t="s">
        <v>419</v>
      </c>
      <c r="R90" t="s">
        <v>427</v>
      </c>
    </row>
    <row r="91" spans="1:18" x14ac:dyDescent="0.25">
      <c r="A91" s="3">
        <f t="shared" si="8"/>
        <v>44284</v>
      </c>
      <c r="B91">
        <f t="shared" si="5"/>
        <v>1</v>
      </c>
      <c r="C91">
        <f t="shared" si="9"/>
        <v>0</v>
      </c>
      <c r="D91">
        <f t="shared" si="6"/>
        <v>0</v>
      </c>
      <c r="E91">
        <f>IF($B$2&lt;&gt;$I$3,COUNTIF(Tab_fériés[date],A91),0)</f>
        <v>0</v>
      </c>
      <c r="F91">
        <f t="shared" si="7"/>
        <v>0</v>
      </c>
      <c r="O91" s="3">
        <v>40544</v>
      </c>
      <c r="P91">
        <v>2011</v>
      </c>
      <c r="Q91" t="s">
        <v>419</v>
      </c>
      <c r="R91" t="s">
        <v>420</v>
      </c>
    </row>
    <row r="92" spans="1:18" x14ac:dyDescent="0.25">
      <c r="A92" s="3">
        <f t="shared" si="8"/>
        <v>44285</v>
      </c>
      <c r="B92">
        <f t="shared" si="5"/>
        <v>2</v>
      </c>
      <c r="C92">
        <f t="shared" si="9"/>
        <v>0</v>
      </c>
      <c r="D92">
        <f t="shared" si="6"/>
        <v>0</v>
      </c>
      <c r="E92">
        <f>IF($B$2&lt;&gt;$I$3,COUNTIF(Tab_fériés[date],A92),0)</f>
        <v>0</v>
      </c>
      <c r="F92">
        <f t="shared" si="7"/>
        <v>0</v>
      </c>
      <c r="O92" s="3">
        <v>40658</v>
      </c>
      <c r="P92">
        <v>2011</v>
      </c>
      <c r="Q92" t="s">
        <v>419</v>
      </c>
      <c r="R92" t="s">
        <v>421</v>
      </c>
    </row>
    <row r="93" spans="1:18" x14ac:dyDescent="0.25">
      <c r="A93" s="3">
        <f t="shared" si="8"/>
        <v>44286</v>
      </c>
      <c r="B93">
        <f t="shared" si="5"/>
        <v>3</v>
      </c>
      <c r="C93">
        <f t="shared" si="9"/>
        <v>0</v>
      </c>
      <c r="D93">
        <f t="shared" si="6"/>
        <v>0</v>
      </c>
      <c r="E93">
        <f>IF($B$2&lt;&gt;$I$3,COUNTIF(Tab_fériés[date],A93),0)</f>
        <v>0</v>
      </c>
      <c r="F93">
        <f t="shared" si="7"/>
        <v>0</v>
      </c>
      <c r="O93" s="3">
        <v>40664</v>
      </c>
      <c r="P93">
        <v>2011</v>
      </c>
      <c r="Q93" t="s">
        <v>419</v>
      </c>
      <c r="R93" t="s">
        <v>422</v>
      </c>
    </row>
    <row r="94" spans="1:18" x14ac:dyDescent="0.25">
      <c r="A94" s="3">
        <f t="shared" si="8"/>
        <v>44287</v>
      </c>
      <c r="B94">
        <f t="shared" si="5"/>
        <v>4</v>
      </c>
      <c r="C94">
        <f t="shared" si="9"/>
        <v>0</v>
      </c>
      <c r="D94">
        <f t="shared" si="6"/>
        <v>0</v>
      </c>
      <c r="E94">
        <f>IF($B$2&lt;&gt;$I$3,COUNTIF(Tab_fériés[date],A94),0)</f>
        <v>0</v>
      </c>
      <c r="F94">
        <f t="shared" si="7"/>
        <v>0</v>
      </c>
      <c r="O94" s="3">
        <v>40671</v>
      </c>
      <c r="P94">
        <v>2011</v>
      </c>
      <c r="Q94" t="s">
        <v>419</v>
      </c>
      <c r="R94" s="208">
        <v>45054</v>
      </c>
    </row>
    <row r="95" spans="1:18" x14ac:dyDescent="0.25">
      <c r="A95" s="3">
        <f t="shared" si="8"/>
        <v>44288</v>
      </c>
      <c r="B95">
        <f t="shared" si="5"/>
        <v>5</v>
      </c>
      <c r="C95">
        <f t="shared" si="9"/>
        <v>0</v>
      </c>
      <c r="D95">
        <f t="shared" si="6"/>
        <v>0</v>
      </c>
      <c r="E95">
        <f>IF($B$2&lt;&gt;$I$3,COUNTIF(Tab_fériés[date],A95),0)</f>
        <v>0</v>
      </c>
      <c r="F95">
        <f t="shared" si="7"/>
        <v>0</v>
      </c>
      <c r="O95" s="3">
        <v>40696</v>
      </c>
      <c r="P95">
        <v>2011</v>
      </c>
      <c r="Q95" t="s">
        <v>419</v>
      </c>
      <c r="R95" t="s">
        <v>423</v>
      </c>
    </row>
    <row r="96" spans="1:18" x14ac:dyDescent="0.25">
      <c r="A96" s="3">
        <f t="shared" si="8"/>
        <v>44289</v>
      </c>
      <c r="B96">
        <f t="shared" si="5"/>
        <v>6</v>
      </c>
      <c r="C96">
        <f t="shared" si="9"/>
        <v>0</v>
      </c>
      <c r="D96">
        <f t="shared" si="6"/>
        <v>0</v>
      </c>
      <c r="E96">
        <f>IF($B$2&lt;&gt;$I$3,COUNTIF(Tab_fériés[date],A96),0)</f>
        <v>0</v>
      </c>
      <c r="F96">
        <f t="shared" si="7"/>
        <v>0</v>
      </c>
      <c r="O96" s="3">
        <v>40707</v>
      </c>
      <c r="P96">
        <v>2011</v>
      </c>
      <c r="Q96" t="s">
        <v>419</v>
      </c>
      <c r="R96" t="s">
        <v>424</v>
      </c>
    </row>
    <row r="97" spans="1:18" x14ac:dyDescent="0.25">
      <c r="A97" s="3">
        <f t="shared" si="8"/>
        <v>44290</v>
      </c>
      <c r="B97">
        <f t="shared" si="5"/>
        <v>7</v>
      </c>
      <c r="C97">
        <f t="shared" si="9"/>
        <v>0</v>
      </c>
      <c r="D97">
        <f t="shared" si="6"/>
        <v>0</v>
      </c>
      <c r="E97">
        <f>IF($B$2&lt;&gt;$I$3,COUNTIF(Tab_fériés[date],A97),0)</f>
        <v>0</v>
      </c>
      <c r="F97">
        <f t="shared" si="7"/>
        <v>0</v>
      </c>
      <c r="O97" s="3">
        <v>40738</v>
      </c>
      <c r="P97">
        <v>2011</v>
      </c>
      <c r="Q97" t="s">
        <v>419</v>
      </c>
      <c r="R97" s="208">
        <v>45121</v>
      </c>
    </row>
    <row r="98" spans="1:18" x14ac:dyDescent="0.25">
      <c r="A98" s="3">
        <f t="shared" si="8"/>
        <v>44291</v>
      </c>
      <c r="B98">
        <f t="shared" si="5"/>
        <v>1</v>
      </c>
      <c r="C98">
        <f t="shared" si="9"/>
        <v>0</v>
      </c>
      <c r="D98">
        <f t="shared" si="6"/>
        <v>0</v>
      </c>
      <c r="E98">
        <f>IF($B$2&lt;&gt;$I$3,COUNTIF(Tab_fériés[date],A98),0)</f>
        <v>0</v>
      </c>
      <c r="F98">
        <f t="shared" si="7"/>
        <v>0</v>
      </c>
      <c r="O98" s="3">
        <v>40770</v>
      </c>
      <c r="P98">
        <v>2011</v>
      </c>
      <c r="Q98" t="s">
        <v>419</v>
      </c>
      <c r="R98" t="s">
        <v>425</v>
      </c>
    </row>
    <row r="99" spans="1:18" x14ac:dyDescent="0.25">
      <c r="A99" s="3">
        <f t="shared" si="8"/>
        <v>44292</v>
      </c>
      <c r="B99">
        <f t="shared" si="5"/>
        <v>2</v>
      </c>
      <c r="C99">
        <f t="shared" si="9"/>
        <v>0</v>
      </c>
      <c r="D99">
        <f t="shared" si="6"/>
        <v>0</v>
      </c>
      <c r="E99">
        <f>IF($B$2&lt;&gt;$I$3,COUNTIF(Tab_fériés[date],A99),0)</f>
        <v>0</v>
      </c>
      <c r="F99">
        <f t="shared" si="7"/>
        <v>0</v>
      </c>
      <c r="O99" s="3">
        <v>40848</v>
      </c>
      <c r="P99">
        <v>2011</v>
      </c>
      <c r="Q99" t="s">
        <v>419</v>
      </c>
      <c r="R99" t="s">
        <v>426</v>
      </c>
    </row>
    <row r="100" spans="1:18" x14ac:dyDescent="0.25">
      <c r="A100" s="3">
        <f t="shared" si="8"/>
        <v>44293</v>
      </c>
      <c r="B100">
        <f t="shared" si="5"/>
        <v>3</v>
      </c>
      <c r="C100">
        <f t="shared" si="9"/>
        <v>0</v>
      </c>
      <c r="D100">
        <f t="shared" si="6"/>
        <v>0</v>
      </c>
      <c r="E100">
        <f>IF($B$2&lt;&gt;$I$3,COUNTIF(Tab_fériés[date],A100),0)</f>
        <v>0</v>
      </c>
      <c r="F100">
        <f t="shared" si="7"/>
        <v>0</v>
      </c>
      <c r="O100" s="3">
        <v>40858</v>
      </c>
      <c r="P100">
        <v>2011</v>
      </c>
      <c r="Q100" t="s">
        <v>419</v>
      </c>
      <c r="R100" s="208">
        <v>45241</v>
      </c>
    </row>
    <row r="101" spans="1:18" x14ac:dyDescent="0.25">
      <c r="A101" s="3">
        <f t="shared" si="8"/>
        <v>44294</v>
      </c>
      <c r="B101">
        <f t="shared" si="5"/>
        <v>4</v>
      </c>
      <c r="C101">
        <f t="shared" si="9"/>
        <v>0</v>
      </c>
      <c r="D101">
        <f t="shared" si="6"/>
        <v>0</v>
      </c>
      <c r="E101">
        <f>IF($B$2&lt;&gt;$I$3,COUNTIF(Tab_fériés[date],A101),0)</f>
        <v>0</v>
      </c>
      <c r="F101">
        <f t="shared" si="7"/>
        <v>0</v>
      </c>
      <c r="O101" s="3">
        <v>40902</v>
      </c>
      <c r="P101">
        <v>2011</v>
      </c>
      <c r="Q101" t="s">
        <v>419</v>
      </c>
      <c r="R101" t="s">
        <v>427</v>
      </c>
    </row>
    <row r="102" spans="1:18" x14ac:dyDescent="0.25">
      <c r="A102" s="3">
        <f t="shared" si="8"/>
        <v>44295</v>
      </c>
      <c r="B102">
        <f t="shared" si="5"/>
        <v>5</v>
      </c>
      <c r="C102">
        <f t="shared" si="9"/>
        <v>0</v>
      </c>
      <c r="D102">
        <f t="shared" si="6"/>
        <v>0</v>
      </c>
      <c r="E102">
        <f>IF($B$2&lt;&gt;$I$3,COUNTIF(Tab_fériés[date],A102),0)</f>
        <v>0</v>
      </c>
      <c r="F102">
        <f t="shared" si="7"/>
        <v>0</v>
      </c>
      <c r="O102" s="3">
        <v>40909</v>
      </c>
      <c r="P102">
        <v>2012</v>
      </c>
      <c r="Q102" t="s">
        <v>419</v>
      </c>
      <c r="R102" t="s">
        <v>420</v>
      </c>
    </row>
    <row r="103" spans="1:18" x14ac:dyDescent="0.25">
      <c r="A103" s="3">
        <f t="shared" si="8"/>
        <v>44296</v>
      </c>
      <c r="B103">
        <f t="shared" si="5"/>
        <v>6</v>
      </c>
      <c r="C103">
        <f t="shared" si="9"/>
        <v>0</v>
      </c>
      <c r="D103">
        <f t="shared" si="6"/>
        <v>0</v>
      </c>
      <c r="E103">
        <f>IF($B$2&lt;&gt;$I$3,COUNTIF(Tab_fériés[date],A103),0)</f>
        <v>0</v>
      </c>
      <c r="F103">
        <f t="shared" si="7"/>
        <v>0</v>
      </c>
      <c r="O103" s="3">
        <v>41008</v>
      </c>
      <c r="P103">
        <v>2012</v>
      </c>
      <c r="Q103" t="s">
        <v>419</v>
      </c>
      <c r="R103" t="s">
        <v>421</v>
      </c>
    </row>
    <row r="104" spans="1:18" x14ac:dyDescent="0.25">
      <c r="A104" s="3">
        <f t="shared" si="8"/>
        <v>44297</v>
      </c>
      <c r="B104">
        <f t="shared" si="5"/>
        <v>7</v>
      </c>
      <c r="C104">
        <f t="shared" si="9"/>
        <v>0</v>
      </c>
      <c r="D104">
        <f t="shared" si="6"/>
        <v>0</v>
      </c>
      <c r="E104">
        <f>IF($B$2&lt;&gt;$I$3,COUNTIF(Tab_fériés[date],A104),0)</f>
        <v>0</v>
      </c>
      <c r="F104">
        <f t="shared" si="7"/>
        <v>0</v>
      </c>
      <c r="O104" s="3">
        <v>41030</v>
      </c>
      <c r="P104">
        <v>2012</v>
      </c>
      <c r="Q104" t="s">
        <v>419</v>
      </c>
      <c r="R104" t="s">
        <v>422</v>
      </c>
    </row>
    <row r="105" spans="1:18" x14ac:dyDescent="0.25">
      <c r="A105" s="3">
        <f t="shared" si="8"/>
        <v>44298</v>
      </c>
      <c r="B105">
        <f t="shared" si="5"/>
        <v>1</v>
      </c>
      <c r="C105">
        <f t="shared" si="9"/>
        <v>0</v>
      </c>
      <c r="D105">
        <f t="shared" si="6"/>
        <v>0</v>
      </c>
      <c r="E105">
        <f>IF($B$2&lt;&gt;$I$3,COUNTIF(Tab_fériés[date],A105),0)</f>
        <v>0</v>
      </c>
      <c r="F105">
        <f t="shared" si="7"/>
        <v>0</v>
      </c>
      <c r="O105" s="3">
        <v>41037</v>
      </c>
      <c r="P105">
        <v>2012</v>
      </c>
      <c r="Q105" t="s">
        <v>419</v>
      </c>
      <c r="R105" s="208">
        <v>45054</v>
      </c>
    </row>
    <row r="106" spans="1:18" x14ac:dyDescent="0.25">
      <c r="A106" s="3">
        <f t="shared" si="8"/>
        <v>44299</v>
      </c>
      <c r="B106">
        <f t="shared" si="5"/>
        <v>2</v>
      </c>
      <c r="C106">
        <f t="shared" si="9"/>
        <v>0</v>
      </c>
      <c r="D106">
        <f t="shared" si="6"/>
        <v>0</v>
      </c>
      <c r="E106">
        <f>IF($B$2&lt;&gt;$I$3,COUNTIF(Tab_fériés[date],A106),0)</f>
        <v>0</v>
      </c>
      <c r="F106">
        <f t="shared" si="7"/>
        <v>0</v>
      </c>
      <c r="O106" s="3">
        <v>41046</v>
      </c>
      <c r="P106">
        <v>2012</v>
      </c>
      <c r="Q106" t="s">
        <v>419</v>
      </c>
      <c r="R106" t="s">
        <v>423</v>
      </c>
    </row>
    <row r="107" spans="1:18" x14ac:dyDescent="0.25">
      <c r="A107" s="3">
        <f t="shared" si="8"/>
        <v>44300</v>
      </c>
      <c r="B107">
        <f t="shared" si="5"/>
        <v>3</v>
      </c>
      <c r="C107">
        <f t="shared" si="9"/>
        <v>0</v>
      </c>
      <c r="D107">
        <f t="shared" si="6"/>
        <v>0</v>
      </c>
      <c r="E107">
        <f>IF($B$2&lt;&gt;$I$3,COUNTIF(Tab_fériés[date],A107),0)</f>
        <v>0</v>
      </c>
      <c r="F107">
        <f t="shared" si="7"/>
        <v>0</v>
      </c>
      <c r="O107" s="3">
        <v>41057</v>
      </c>
      <c r="P107">
        <v>2012</v>
      </c>
      <c r="Q107" t="s">
        <v>419</v>
      </c>
      <c r="R107" t="s">
        <v>424</v>
      </c>
    </row>
    <row r="108" spans="1:18" x14ac:dyDescent="0.25">
      <c r="A108" s="3">
        <f t="shared" si="8"/>
        <v>44301</v>
      </c>
      <c r="B108">
        <f t="shared" si="5"/>
        <v>4</v>
      </c>
      <c r="C108">
        <f t="shared" si="9"/>
        <v>0</v>
      </c>
      <c r="D108">
        <f t="shared" si="6"/>
        <v>0</v>
      </c>
      <c r="E108">
        <f>IF($B$2&lt;&gt;$I$3,COUNTIF(Tab_fériés[date],A108),0)</f>
        <v>0</v>
      </c>
      <c r="F108">
        <f t="shared" si="7"/>
        <v>0</v>
      </c>
      <c r="O108" s="3">
        <v>41104</v>
      </c>
      <c r="P108">
        <v>2012</v>
      </c>
      <c r="Q108" t="s">
        <v>419</v>
      </c>
      <c r="R108" s="208">
        <v>45121</v>
      </c>
    </row>
    <row r="109" spans="1:18" x14ac:dyDescent="0.25">
      <c r="A109" s="3">
        <f t="shared" si="8"/>
        <v>44302</v>
      </c>
      <c r="B109">
        <f t="shared" si="5"/>
        <v>5</v>
      </c>
      <c r="C109">
        <f t="shared" si="9"/>
        <v>0</v>
      </c>
      <c r="D109">
        <f t="shared" si="6"/>
        <v>0</v>
      </c>
      <c r="E109">
        <f>IF($B$2&lt;&gt;$I$3,COUNTIF(Tab_fériés[date],A109),0)</f>
        <v>0</v>
      </c>
      <c r="F109">
        <f t="shared" si="7"/>
        <v>0</v>
      </c>
      <c r="O109" s="3">
        <v>41136</v>
      </c>
      <c r="P109">
        <v>2012</v>
      </c>
      <c r="Q109" t="s">
        <v>419</v>
      </c>
      <c r="R109" t="s">
        <v>425</v>
      </c>
    </row>
    <row r="110" spans="1:18" x14ac:dyDescent="0.25">
      <c r="A110" s="3">
        <f t="shared" si="8"/>
        <v>44303</v>
      </c>
      <c r="B110">
        <f t="shared" si="5"/>
        <v>6</v>
      </c>
      <c r="C110">
        <f t="shared" si="9"/>
        <v>0</v>
      </c>
      <c r="D110">
        <f t="shared" si="6"/>
        <v>0</v>
      </c>
      <c r="E110">
        <f>IF($B$2&lt;&gt;$I$3,COUNTIF(Tab_fériés[date],A110),0)</f>
        <v>0</v>
      </c>
      <c r="F110">
        <f t="shared" si="7"/>
        <v>0</v>
      </c>
      <c r="O110" s="3">
        <v>41214</v>
      </c>
      <c r="P110">
        <v>2012</v>
      </c>
      <c r="Q110" t="s">
        <v>419</v>
      </c>
      <c r="R110" t="s">
        <v>426</v>
      </c>
    </row>
    <row r="111" spans="1:18" x14ac:dyDescent="0.25">
      <c r="A111" s="3">
        <f t="shared" si="8"/>
        <v>44304</v>
      </c>
      <c r="B111">
        <f t="shared" si="5"/>
        <v>7</v>
      </c>
      <c r="C111">
        <f t="shared" si="9"/>
        <v>0</v>
      </c>
      <c r="D111">
        <f t="shared" si="6"/>
        <v>0</v>
      </c>
      <c r="E111">
        <f>IF($B$2&lt;&gt;$I$3,COUNTIF(Tab_fériés[date],A111),0)</f>
        <v>0</v>
      </c>
      <c r="F111">
        <f t="shared" si="7"/>
        <v>0</v>
      </c>
      <c r="O111" s="3">
        <v>41224</v>
      </c>
      <c r="P111">
        <v>2012</v>
      </c>
      <c r="Q111" t="s">
        <v>419</v>
      </c>
      <c r="R111" s="208">
        <v>45241</v>
      </c>
    </row>
    <row r="112" spans="1:18" x14ac:dyDescent="0.25">
      <c r="A112" s="3">
        <f t="shared" si="8"/>
        <v>44305</v>
      </c>
      <c r="B112">
        <f t="shared" si="5"/>
        <v>1</v>
      </c>
      <c r="C112">
        <f t="shared" si="9"/>
        <v>0</v>
      </c>
      <c r="D112">
        <f t="shared" si="6"/>
        <v>0</v>
      </c>
      <c r="E112">
        <f>IF($B$2&lt;&gt;$I$3,COUNTIF(Tab_fériés[date],A112),0)</f>
        <v>0</v>
      </c>
      <c r="F112">
        <f t="shared" si="7"/>
        <v>0</v>
      </c>
      <c r="O112" s="3">
        <v>41268</v>
      </c>
      <c r="P112">
        <v>2012</v>
      </c>
      <c r="Q112" t="s">
        <v>419</v>
      </c>
      <c r="R112" t="s">
        <v>427</v>
      </c>
    </row>
    <row r="113" spans="1:18" x14ac:dyDescent="0.25">
      <c r="A113" s="3">
        <f t="shared" si="8"/>
        <v>44306</v>
      </c>
      <c r="B113">
        <f t="shared" si="5"/>
        <v>2</v>
      </c>
      <c r="C113">
        <f t="shared" si="9"/>
        <v>0</v>
      </c>
      <c r="D113">
        <f t="shared" si="6"/>
        <v>0</v>
      </c>
      <c r="E113">
        <f>IF($B$2&lt;&gt;$I$3,COUNTIF(Tab_fériés[date],A113),0)</f>
        <v>0</v>
      </c>
      <c r="F113">
        <f t="shared" si="7"/>
        <v>0</v>
      </c>
      <c r="O113" s="3">
        <v>41275</v>
      </c>
      <c r="P113">
        <v>2013</v>
      </c>
      <c r="Q113" t="s">
        <v>419</v>
      </c>
      <c r="R113" t="s">
        <v>420</v>
      </c>
    </row>
    <row r="114" spans="1:18" x14ac:dyDescent="0.25">
      <c r="A114" s="3">
        <f t="shared" si="8"/>
        <v>44307</v>
      </c>
      <c r="B114">
        <f t="shared" si="5"/>
        <v>3</v>
      </c>
      <c r="C114">
        <f t="shared" si="9"/>
        <v>0</v>
      </c>
      <c r="D114">
        <f t="shared" si="6"/>
        <v>0</v>
      </c>
      <c r="E114">
        <f>IF($B$2&lt;&gt;$I$3,COUNTIF(Tab_fériés[date],A114),0)</f>
        <v>0</v>
      </c>
      <c r="F114">
        <f t="shared" si="7"/>
        <v>0</v>
      </c>
      <c r="O114" s="3">
        <v>41365</v>
      </c>
      <c r="P114">
        <v>2013</v>
      </c>
      <c r="Q114" t="s">
        <v>419</v>
      </c>
      <c r="R114" t="s">
        <v>421</v>
      </c>
    </row>
    <row r="115" spans="1:18" x14ac:dyDescent="0.25">
      <c r="A115" s="3">
        <f t="shared" si="8"/>
        <v>44308</v>
      </c>
      <c r="B115">
        <f t="shared" si="5"/>
        <v>4</v>
      </c>
      <c r="C115">
        <f t="shared" si="9"/>
        <v>0</v>
      </c>
      <c r="D115">
        <f t="shared" si="6"/>
        <v>0</v>
      </c>
      <c r="E115">
        <f>IF($B$2&lt;&gt;$I$3,COUNTIF(Tab_fériés[date],A115),0)</f>
        <v>0</v>
      </c>
      <c r="F115">
        <f t="shared" si="7"/>
        <v>0</v>
      </c>
      <c r="O115" s="3">
        <v>41395</v>
      </c>
      <c r="P115">
        <v>2013</v>
      </c>
      <c r="Q115" t="s">
        <v>419</v>
      </c>
      <c r="R115" t="s">
        <v>422</v>
      </c>
    </row>
    <row r="116" spans="1:18" x14ac:dyDescent="0.25">
      <c r="A116" s="3">
        <f t="shared" si="8"/>
        <v>44309</v>
      </c>
      <c r="B116">
        <f t="shared" si="5"/>
        <v>5</v>
      </c>
      <c r="C116">
        <f t="shared" si="9"/>
        <v>0</v>
      </c>
      <c r="D116">
        <f t="shared" si="6"/>
        <v>0</v>
      </c>
      <c r="E116">
        <f>IF($B$2&lt;&gt;$I$3,COUNTIF(Tab_fériés[date],A116),0)</f>
        <v>0</v>
      </c>
      <c r="F116">
        <f t="shared" si="7"/>
        <v>0</v>
      </c>
      <c r="O116" s="3">
        <v>41402</v>
      </c>
      <c r="P116">
        <v>2013</v>
      </c>
      <c r="Q116" t="s">
        <v>419</v>
      </c>
      <c r="R116" s="208">
        <v>45054</v>
      </c>
    </row>
    <row r="117" spans="1:18" x14ac:dyDescent="0.25">
      <c r="A117" s="3">
        <f t="shared" si="8"/>
        <v>44310</v>
      </c>
      <c r="B117">
        <f t="shared" si="5"/>
        <v>6</v>
      </c>
      <c r="C117">
        <f t="shared" si="9"/>
        <v>0</v>
      </c>
      <c r="D117">
        <f t="shared" si="6"/>
        <v>0</v>
      </c>
      <c r="E117">
        <f>IF($B$2&lt;&gt;$I$3,COUNTIF(Tab_fériés[date],A117),0)</f>
        <v>0</v>
      </c>
      <c r="F117">
        <f t="shared" si="7"/>
        <v>0</v>
      </c>
      <c r="O117" s="3">
        <v>41403</v>
      </c>
      <c r="P117">
        <v>2013</v>
      </c>
      <c r="Q117" t="s">
        <v>419</v>
      </c>
      <c r="R117" t="s">
        <v>423</v>
      </c>
    </row>
    <row r="118" spans="1:18" x14ac:dyDescent="0.25">
      <c r="A118" s="3">
        <f t="shared" si="8"/>
        <v>44311</v>
      </c>
      <c r="B118">
        <f t="shared" si="5"/>
        <v>7</v>
      </c>
      <c r="C118">
        <f t="shared" si="9"/>
        <v>0</v>
      </c>
      <c r="D118">
        <f t="shared" si="6"/>
        <v>0</v>
      </c>
      <c r="E118">
        <f>IF($B$2&lt;&gt;$I$3,COUNTIF(Tab_fériés[date],A118),0)</f>
        <v>0</v>
      </c>
      <c r="F118">
        <f t="shared" si="7"/>
        <v>0</v>
      </c>
      <c r="O118" s="3">
        <v>41414</v>
      </c>
      <c r="P118">
        <v>2013</v>
      </c>
      <c r="Q118" t="s">
        <v>419</v>
      </c>
      <c r="R118" t="s">
        <v>424</v>
      </c>
    </row>
    <row r="119" spans="1:18" x14ac:dyDescent="0.25">
      <c r="A119" s="3">
        <f t="shared" si="8"/>
        <v>44312</v>
      </c>
      <c r="B119">
        <f t="shared" si="5"/>
        <v>1</v>
      </c>
      <c r="C119">
        <f t="shared" si="9"/>
        <v>0</v>
      </c>
      <c r="D119">
        <f t="shared" si="6"/>
        <v>0</v>
      </c>
      <c r="E119">
        <f>IF($B$2&lt;&gt;$I$3,COUNTIF(Tab_fériés[date],A119),0)</f>
        <v>0</v>
      </c>
      <c r="F119">
        <f t="shared" si="7"/>
        <v>0</v>
      </c>
      <c r="O119" s="3">
        <v>41469</v>
      </c>
      <c r="P119">
        <v>2013</v>
      </c>
      <c r="Q119" t="s">
        <v>419</v>
      </c>
      <c r="R119" s="208">
        <v>45121</v>
      </c>
    </row>
    <row r="120" spans="1:18" x14ac:dyDescent="0.25">
      <c r="A120" s="3">
        <f t="shared" si="8"/>
        <v>44313</v>
      </c>
      <c r="B120">
        <f t="shared" si="5"/>
        <v>2</v>
      </c>
      <c r="C120">
        <f t="shared" si="9"/>
        <v>0</v>
      </c>
      <c r="D120">
        <f t="shared" si="6"/>
        <v>0</v>
      </c>
      <c r="E120">
        <f>IF($B$2&lt;&gt;$I$3,COUNTIF(Tab_fériés[date],A120),0)</f>
        <v>0</v>
      </c>
      <c r="F120">
        <f t="shared" si="7"/>
        <v>0</v>
      </c>
      <c r="O120" s="3">
        <v>41501</v>
      </c>
      <c r="P120">
        <v>2013</v>
      </c>
      <c r="Q120" t="s">
        <v>419</v>
      </c>
      <c r="R120" t="s">
        <v>425</v>
      </c>
    </row>
    <row r="121" spans="1:18" x14ac:dyDescent="0.25">
      <c r="A121" s="3">
        <f t="shared" si="8"/>
        <v>44314</v>
      </c>
      <c r="B121">
        <f t="shared" si="5"/>
        <v>3</v>
      </c>
      <c r="C121">
        <f t="shared" si="9"/>
        <v>0</v>
      </c>
      <c r="D121">
        <f t="shared" si="6"/>
        <v>0</v>
      </c>
      <c r="E121">
        <f>IF($B$2&lt;&gt;$I$3,COUNTIF(Tab_fériés[date],A121),0)</f>
        <v>0</v>
      </c>
      <c r="F121">
        <f t="shared" si="7"/>
        <v>0</v>
      </c>
      <c r="O121" s="3">
        <v>41579</v>
      </c>
      <c r="P121">
        <v>2013</v>
      </c>
      <c r="Q121" t="s">
        <v>419</v>
      </c>
      <c r="R121" t="s">
        <v>426</v>
      </c>
    </row>
    <row r="122" spans="1:18" x14ac:dyDescent="0.25">
      <c r="A122" s="3">
        <f t="shared" si="8"/>
        <v>44315</v>
      </c>
      <c r="B122">
        <f t="shared" si="5"/>
        <v>4</v>
      </c>
      <c r="C122">
        <f t="shared" si="9"/>
        <v>0</v>
      </c>
      <c r="D122">
        <f t="shared" si="6"/>
        <v>0</v>
      </c>
      <c r="E122">
        <f>IF($B$2&lt;&gt;$I$3,COUNTIF(Tab_fériés[date],A122),0)</f>
        <v>0</v>
      </c>
      <c r="F122">
        <f t="shared" si="7"/>
        <v>0</v>
      </c>
      <c r="O122" s="3">
        <v>41589</v>
      </c>
      <c r="P122">
        <v>2013</v>
      </c>
      <c r="Q122" t="s">
        <v>419</v>
      </c>
      <c r="R122" s="208">
        <v>45241</v>
      </c>
    </row>
    <row r="123" spans="1:18" x14ac:dyDescent="0.25">
      <c r="A123" s="3">
        <f t="shared" si="8"/>
        <v>44316</v>
      </c>
      <c r="B123">
        <f t="shared" si="5"/>
        <v>5</v>
      </c>
      <c r="C123">
        <f t="shared" si="9"/>
        <v>0</v>
      </c>
      <c r="D123">
        <f t="shared" si="6"/>
        <v>0</v>
      </c>
      <c r="E123">
        <f>IF($B$2&lt;&gt;$I$3,COUNTIF(Tab_fériés[date],A123),0)</f>
        <v>0</v>
      </c>
      <c r="F123">
        <f t="shared" si="7"/>
        <v>0</v>
      </c>
      <c r="O123" s="3">
        <v>41633</v>
      </c>
      <c r="P123">
        <v>2013</v>
      </c>
      <c r="Q123" t="s">
        <v>419</v>
      </c>
      <c r="R123" t="s">
        <v>427</v>
      </c>
    </row>
    <row r="124" spans="1:18" x14ac:dyDescent="0.25">
      <c r="A124" s="3">
        <f t="shared" si="8"/>
        <v>44317</v>
      </c>
      <c r="B124">
        <f t="shared" si="5"/>
        <v>6</v>
      </c>
      <c r="C124">
        <f t="shared" si="9"/>
        <v>0</v>
      </c>
      <c r="D124">
        <f t="shared" si="6"/>
        <v>0</v>
      </c>
      <c r="E124">
        <f>IF($B$2&lt;&gt;$I$3,COUNTIF(Tab_fériés[date],A124),0)</f>
        <v>0</v>
      </c>
      <c r="F124">
        <f t="shared" si="7"/>
        <v>0</v>
      </c>
      <c r="O124" s="3">
        <v>41640</v>
      </c>
      <c r="P124">
        <v>2014</v>
      </c>
      <c r="Q124" t="s">
        <v>419</v>
      </c>
      <c r="R124" t="s">
        <v>420</v>
      </c>
    </row>
    <row r="125" spans="1:18" x14ac:dyDescent="0.25">
      <c r="A125" s="3">
        <f t="shared" si="8"/>
        <v>44318</v>
      </c>
      <c r="B125">
        <f t="shared" si="5"/>
        <v>7</v>
      </c>
      <c r="C125">
        <f t="shared" si="9"/>
        <v>0</v>
      </c>
      <c r="D125">
        <f t="shared" si="6"/>
        <v>0</v>
      </c>
      <c r="E125">
        <f>IF($B$2&lt;&gt;$I$3,COUNTIF(Tab_fériés[date],A125),0)</f>
        <v>0</v>
      </c>
      <c r="F125">
        <f t="shared" si="7"/>
        <v>0</v>
      </c>
      <c r="O125" s="3">
        <v>41750</v>
      </c>
      <c r="P125">
        <v>2014</v>
      </c>
      <c r="Q125" t="s">
        <v>419</v>
      </c>
      <c r="R125" t="s">
        <v>421</v>
      </c>
    </row>
    <row r="126" spans="1:18" x14ac:dyDescent="0.25">
      <c r="A126" s="3">
        <f t="shared" si="8"/>
        <v>44319</v>
      </c>
      <c r="B126">
        <f t="shared" si="5"/>
        <v>1</v>
      </c>
      <c r="C126">
        <f t="shared" si="9"/>
        <v>0</v>
      </c>
      <c r="D126">
        <f t="shared" si="6"/>
        <v>0</v>
      </c>
      <c r="E126">
        <f>IF($B$2&lt;&gt;$I$3,COUNTIF(Tab_fériés[date],A126),0)</f>
        <v>0</v>
      </c>
      <c r="F126">
        <f t="shared" si="7"/>
        <v>0</v>
      </c>
      <c r="O126" s="3">
        <v>41760</v>
      </c>
      <c r="P126">
        <v>2014</v>
      </c>
      <c r="Q126" t="s">
        <v>419</v>
      </c>
      <c r="R126" t="s">
        <v>422</v>
      </c>
    </row>
    <row r="127" spans="1:18" x14ac:dyDescent="0.25">
      <c r="A127" s="3">
        <f t="shared" si="8"/>
        <v>44320</v>
      </c>
      <c r="B127">
        <f t="shared" si="5"/>
        <v>2</v>
      </c>
      <c r="C127">
        <f t="shared" si="9"/>
        <v>0</v>
      </c>
      <c r="D127">
        <f t="shared" si="6"/>
        <v>0</v>
      </c>
      <c r="E127">
        <f>IF($B$2&lt;&gt;$I$3,COUNTIF(Tab_fériés[date],A127),0)</f>
        <v>0</v>
      </c>
      <c r="F127">
        <f t="shared" si="7"/>
        <v>0</v>
      </c>
      <c r="O127" s="3">
        <v>41767</v>
      </c>
      <c r="P127">
        <v>2014</v>
      </c>
      <c r="Q127" t="s">
        <v>419</v>
      </c>
      <c r="R127" s="208">
        <v>45054</v>
      </c>
    </row>
    <row r="128" spans="1:18" x14ac:dyDescent="0.25">
      <c r="A128" s="3">
        <f t="shared" si="8"/>
        <v>44321</v>
      </c>
      <c r="B128">
        <f t="shared" si="5"/>
        <v>3</v>
      </c>
      <c r="C128">
        <f t="shared" si="9"/>
        <v>0</v>
      </c>
      <c r="D128">
        <f t="shared" si="6"/>
        <v>0</v>
      </c>
      <c r="E128">
        <f>IF($B$2&lt;&gt;$I$3,COUNTIF(Tab_fériés[date],A128),0)</f>
        <v>0</v>
      </c>
      <c r="F128">
        <f t="shared" si="7"/>
        <v>0</v>
      </c>
      <c r="O128" s="3">
        <v>41788</v>
      </c>
      <c r="P128">
        <v>2014</v>
      </c>
      <c r="Q128" t="s">
        <v>419</v>
      </c>
      <c r="R128" t="s">
        <v>423</v>
      </c>
    </row>
    <row r="129" spans="1:18" x14ac:dyDescent="0.25">
      <c r="A129" s="3">
        <f t="shared" si="8"/>
        <v>44322</v>
      </c>
      <c r="B129">
        <f t="shared" si="5"/>
        <v>4</v>
      </c>
      <c r="C129">
        <f t="shared" si="9"/>
        <v>0</v>
      </c>
      <c r="D129">
        <f t="shared" si="6"/>
        <v>0</v>
      </c>
      <c r="E129">
        <f>IF($B$2&lt;&gt;$I$3,COUNTIF(Tab_fériés[date],A129),0)</f>
        <v>0</v>
      </c>
      <c r="F129">
        <f t="shared" si="7"/>
        <v>0</v>
      </c>
      <c r="O129" s="3">
        <v>41799</v>
      </c>
      <c r="P129">
        <v>2014</v>
      </c>
      <c r="Q129" t="s">
        <v>419</v>
      </c>
      <c r="R129" t="s">
        <v>424</v>
      </c>
    </row>
    <row r="130" spans="1:18" x14ac:dyDescent="0.25">
      <c r="A130" s="3">
        <f t="shared" si="8"/>
        <v>44323</v>
      </c>
      <c r="B130">
        <f t="shared" si="5"/>
        <v>5</v>
      </c>
      <c r="C130">
        <f t="shared" si="9"/>
        <v>0</v>
      </c>
      <c r="D130">
        <f t="shared" si="6"/>
        <v>0</v>
      </c>
      <c r="E130">
        <f>IF($B$2&lt;&gt;$I$3,COUNTIF(Tab_fériés[date],A130),0)</f>
        <v>0</v>
      </c>
      <c r="F130">
        <f t="shared" si="7"/>
        <v>0</v>
      </c>
      <c r="O130" s="3">
        <v>41834</v>
      </c>
      <c r="P130">
        <v>2014</v>
      </c>
      <c r="Q130" t="s">
        <v>419</v>
      </c>
      <c r="R130" s="208">
        <v>45121</v>
      </c>
    </row>
    <row r="131" spans="1:18" x14ac:dyDescent="0.25">
      <c r="A131" s="3">
        <f t="shared" si="8"/>
        <v>44324</v>
      </c>
      <c r="B131">
        <f t="shared" si="5"/>
        <v>6</v>
      </c>
      <c r="C131">
        <f t="shared" si="9"/>
        <v>0</v>
      </c>
      <c r="D131">
        <f t="shared" si="6"/>
        <v>0</v>
      </c>
      <c r="E131">
        <f>IF($B$2&lt;&gt;$I$3,COUNTIF(Tab_fériés[date],A131),0)</f>
        <v>0</v>
      </c>
      <c r="F131">
        <f t="shared" si="7"/>
        <v>0</v>
      </c>
      <c r="O131" s="3">
        <v>41866</v>
      </c>
      <c r="P131">
        <v>2014</v>
      </c>
      <c r="Q131" t="s">
        <v>419</v>
      </c>
      <c r="R131" t="s">
        <v>425</v>
      </c>
    </row>
    <row r="132" spans="1:18" x14ac:dyDescent="0.25">
      <c r="A132" s="3">
        <f t="shared" si="8"/>
        <v>44325</v>
      </c>
      <c r="B132">
        <f t="shared" si="5"/>
        <v>7</v>
      </c>
      <c r="C132">
        <f t="shared" si="9"/>
        <v>0</v>
      </c>
      <c r="D132">
        <f t="shared" si="6"/>
        <v>0</v>
      </c>
      <c r="E132">
        <f>IF($B$2&lt;&gt;$I$3,COUNTIF(Tab_fériés[date],A132),0)</f>
        <v>0</v>
      </c>
      <c r="F132">
        <f t="shared" si="7"/>
        <v>0</v>
      </c>
      <c r="O132" s="3">
        <v>41944</v>
      </c>
      <c r="P132">
        <v>2014</v>
      </c>
      <c r="Q132" t="s">
        <v>419</v>
      </c>
      <c r="R132" t="s">
        <v>426</v>
      </c>
    </row>
    <row r="133" spans="1:18" x14ac:dyDescent="0.25">
      <c r="A133" s="3">
        <f t="shared" si="8"/>
        <v>44326</v>
      </c>
      <c r="B133">
        <f t="shared" ref="B133:B196" si="10">WEEKDAY(A133,2)</f>
        <v>1</v>
      </c>
      <c r="C133">
        <f t="shared" si="9"/>
        <v>0</v>
      </c>
      <c r="D133">
        <f t="shared" ref="D133:D196" si="11">IF(AND(B133=7,$B$2&lt;&gt;$I$3),1,0)</f>
        <v>0</v>
      </c>
      <c r="E133">
        <f>IF($B$2&lt;&gt;$I$3,COUNTIF(Tab_fériés[date],A133),0)</f>
        <v>0</v>
      </c>
      <c r="F133">
        <f t="shared" ref="F133:F196" si="12">IFERROR(IF(SUM(C133:E133)&gt;0,1,0),0)</f>
        <v>0</v>
      </c>
      <c r="O133" s="3">
        <v>41954</v>
      </c>
      <c r="P133">
        <v>2014</v>
      </c>
      <c r="Q133" t="s">
        <v>419</v>
      </c>
      <c r="R133" s="208">
        <v>45241</v>
      </c>
    </row>
    <row r="134" spans="1:18" x14ac:dyDescent="0.25">
      <c r="A134" s="3">
        <f t="shared" ref="A134:A197" si="13">A133+1</f>
        <v>44327</v>
      </c>
      <c r="B134">
        <f t="shared" si="10"/>
        <v>2</v>
      </c>
      <c r="C134">
        <f t="shared" ref="C134:C197" si="14">IF(AND(B134=6,$B$2&lt;&gt;$I$3,$B$2&lt;&gt;$I$5),1,0)</f>
        <v>0</v>
      </c>
      <c r="D134">
        <f t="shared" si="11"/>
        <v>0</v>
      </c>
      <c r="E134">
        <f>IF($B$2&lt;&gt;$I$3,COUNTIF(Tab_fériés[date],A134),0)</f>
        <v>0</v>
      </c>
      <c r="F134">
        <f t="shared" si="12"/>
        <v>0</v>
      </c>
      <c r="O134" s="3">
        <v>41998</v>
      </c>
      <c r="P134">
        <v>2014</v>
      </c>
      <c r="Q134" t="s">
        <v>419</v>
      </c>
      <c r="R134" t="s">
        <v>427</v>
      </c>
    </row>
    <row r="135" spans="1:18" x14ac:dyDescent="0.25">
      <c r="A135" s="3">
        <f t="shared" si="13"/>
        <v>44328</v>
      </c>
      <c r="B135">
        <f t="shared" si="10"/>
        <v>3</v>
      </c>
      <c r="C135">
        <f t="shared" si="14"/>
        <v>0</v>
      </c>
      <c r="D135">
        <f t="shared" si="11"/>
        <v>0</v>
      </c>
      <c r="E135">
        <f>IF($B$2&lt;&gt;$I$3,COUNTIF(Tab_fériés[date],A135),0)</f>
        <v>0</v>
      </c>
      <c r="F135">
        <f t="shared" si="12"/>
        <v>0</v>
      </c>
      <c r="O135" s="3">
        <v>42005</v>
      </c>
      <c r="P135">
        <v>2015</v>
      </c>
      <c r="Q135" t="s">
        <v>419</v>
      </c>
      <c r="R135" t="s">
        <v>420</v>
      </c>
    </row>
    <row r="136" spans="1:18" x14ac:dyDescent="0.25">
      <c r="A136" s="3">
        <f t="shared" si="13"/>
        <v>44329</v>
      </c>
      <c r="B136">
        <f t="shared" si="10"/>
        <v>4</v>
      </c>
      <c r="C136">
        <f t="shared" si="14"/>
        <v>0</v>
      </c>
      <c r="D136">
        <f t="shared" si="11"/>
        <v>0</v>
      </c>
      <c r="E136">
        <f>IF($B$2&lt;&gt;$I$3,COUNTIF(Tab_fériés[date],A136),0)</f>
        <v>0</v>
      </c>
      <c r="F136">
        <f t="shared" si="12"/>
        <v>0</v>
      </c>
      <c r="O136" s="3">
        <v>42100</v>
      </c>
      <c r="P136">
        <v>2015</v>
      </c>
      <c r="Q136" t="s">
        <v>419</v>
      </c>
      <c r="R136" t="s">
        <v>421</v>
      </c>
    </row>
    <row r="137" spans="1:18" x14ac:dyDescent="0.25">
      <c r="A137" s="3">
        <f t="shared" si="13"/>
        <v>44330</v>
      </c>
      <c r="B137">
        <f t="shared" si="10"/>
        <v>5</v>
      </c>
      <c r="C137">
        <f t="shared" si="14"/>
        <v>0</v>
      </c>
      <c r="D137">
        <f t="shared" si="11"/>
        <v>0</v>
      </c>
      <c r="E137">
        <f>IF($B$2&lt;&gt;$I$3,COUNTIF(Tab_fériés[date],A137),0)</f>
        <v>0</v>
      </c>
      <c r="F137">
        <f t="shared" si="12"/>
        <v>0</v>
      </c>
      <c r="O137" s="3">
        <v>42125</v>
      </c>
      <c r="P137">
        <v>2015</v>
      </c>
      <c r="Q137" t="s">
        <v>419</v>
      </c>
      <c r="R137" t="s">
        <v>422</v>
      </c>
    </row>
    <row r="138" spans="1:18" x14ac:dyDescent="0.25">
      <c r="A138" s="3">
        <f t="shared" si="13"/>
        <v>44331</v>
      </c>
      <c r="B138">
        <f t="shared" si="10"/>
        <v>6</v>
      </c>
      <c r="C138">
        <f t="shared" si="14"/>
        <v>0</v>
      </c>
      <c r="D138">
        <f t="shared" si="11"/>
        <v>0</v>
      </c>
      <c r="E138">
        <f>IF($B$2&lt;&gt;$I$3,COUNTIF(Tab_fériés[date],A138),0)</f>
        <v>0</v>
      </c>
      <c r="F138">
        <f t="shared" si="12"/>
        <v>0</v>
      </c>
      <c r="O138" s="3">
        <v>42132</v>
      </c>
      <c r="P138">
        <v>2015</v>
      </c>
      <c r="Q138" t="s">
        <v>419</v>
      </c>
      <c r="R138" s="208">
        <v>45054</v>
      </c>
    </row>
    <row r="139" spans="1:18" x14ac:dyDescent="0.25">
      <c r="A139" s="3">
        <f t="shared" si="13"/>
        <v>44332</v>
      </c>
      <c r="B139">
        <f t="shared" si="10"/>
        <v>7</v>
      </c>
      <c r="C139">
        <f t="shared" si="14"/>
        <v>0</v>
      </c>
      <c r="D139">
        <f t="shared" si="11"/>
        <v>0</v>
      </c>
      <c r="E139">
        <f>IF($B$2&lt;&gt;$I$3,COUNTIF(Tab_fériés[date],A139),0)</f>
        <v>0</v>
      </c>
      <c r="F139">
        <f t="shared" si="12"/>
        <v>0</v>
      </c>
      <c r="O139" s="3">
        <v>42138</v>
      </c>
      <c r="P139">
        <v>2015</v>
      </c>
      <c r="Q139" t="s">
        <v>419</v>
      </c>
      <c r="R139" t="s">
        <v>423</v>
      </c>
    </row>
    <row r="140" spans="1:18" x14ac:dyDescent="0.25">
      <c r="A140" s="3">
        <f t="shared" si="13"/>
        <v>44333</v>
      </c>
      <c r="B140">
        <f t="shared" si="10"/>
        <v>1</v>
      </c>
      <c r="C140">
        <f t="shared" si="14"/>
        <v>0</v>
      </c>
      <c r="D140">
        <f t="shared" si="11"/>
        <v>0</v>
      </c>
      <c r="E140">
        <f>IF($B$2&lt;&gt;$I$3,COUNTIF(Tab_fériés[date],A140),0)</f>
        <v>0</v>
      </c>
      <c r="F140">
        <f t="shared" si="12"/>
        <v>0</v>
      </c>
      <c r="O140" s="3">
        <v>42149</v>
      </c>
      <c r="P140">
        <v>2015</v>
      </c>
      <c r="Q140" t="s">
        <v>419</v>
      </c>
      <c r="R140" t="s">
        <v>424</v>
      </c>
    </row>
    <row r="141" spans="1:18" x14ac:dyDescent="0.25">
      <c r="A141" s="3">
        <f t="shared" si="13"/>
        <v>44334</v>
      </c>
      <c r="B141">
        <f t="shared" si="10"/>
        <v>2</v>
      </c>
      <c r="C141">
        <f t="shared" si="14"/>
        <v>0</v>
      </c>
      <c r="D141">
        <f t="shared" si="11"/>
        <v>0</v>
      </c>
      <c r="E141">
        <f>IF($B$2&lt;&gt;$I$3,COUNTIF(Tab_fériés[date],A141),0)</f>
        <v>0</v>
      </c>
      <c r="F141">
        <f t="shared" si="12"/>
        <v>0</v>
      </c>
      <c r="O141" s="3">
        <v>42199</v>
      </c>
      <c r="P141">
        <v>2015</v>
      </c>
      <c r="Q141" t="s">
        <v>419</v>
      </c>
      <c r="R141" s="208">
        <v>45121</v>
      </c>
    </row>
    <row r="142" spans="1:18" x14ac:dyDescent="0.25">
      <c r="A142" s="3">
        <f t="shared" si="13"/>
        <v>44335</v>
      </c>
      <c r="B142">
        <f t="shared" si="10"/>
        <v>3</v>
      </c>
      <c r="C142">
        <f t="shared" si="14"/>
        <v>0</v>
      </c>
      <c r="D142">
        <f t="shared" si="11"/>
        <v>0</v>
      </c>
      <c r="E142">
        <f>IF($B$2&lt;&gt;$I$3,COUNTIF(Tab_fériés[date],A142),0)</f>
        <v>0</v>
      </c>
      <c r="F142">
        <f t="shared" si="12"/>
        <v>0</v>
      </c>
      <c r="O142" s="3">
        <v>42231</v>
      </c>
      <c r="P142">
        <v>2015</v>
      </c>
      <c r="Q142" t="s">
        <v>419</v>
      </c>
      <c r="R142" t="s">
        <v>425</v>
      </c>
    </row>
    <row r="143" spans="1:18" x14ac:dyDescent="0.25">
      <c r="A143" s="3">
        <f t="shared" si="13"/>
        <v>44336</v>
      </c>
      <c r="B143">
        <f t="shared" si="10"/>
        <v>4</v>
      </c>
      <c r="C143">
        <f t="shared" si="14"/>
        <v>0</v>
      </c>
      <c r="D143">
        <f t="shared" si="11"/>
        <v>0</v>
      </c>
      <c r="E143">
        <f>IF($B$2&lt;&gt;$I$3,COUNTIF(Tab_fériés[date],A143),0)</f>
        <v>0</v>
      </c>
      <c r="F143">
        <f t="shared" si="12"/>
        <v>0</v>
      </c>
      <c r="O143" s="3">
        <v>42309</v>
      </c>
      <c r="P143">
        <v>2015</v>
      </c>
      <c r="Q143" t="s">
        <v>419</v>
      </c>
      <c r="R143" t="s">
        <v>426</v>
      </c>
    </row>
    <row r="144" spans="1:18" x14ac:dyDescent="0.25">
      <c r="A144" s="3">
        <f t="shared" si="13"/>
        <v>44337</v>
      </c>
      <c r="B144">
        <f t="shared" si="10"/>
        <v>5</v>
      </c>
      <c r="C144">
        <f t="shared" si="14"/>
        <v>0</v>
      </c>
      <c r="D144">
        <f t="shared" si="11"/>
        <v>0</v>
      </c>
      <c r="E144">
        <f>IF($B$2&lt;&gt;$I$3,COUNTIF(Tab_fériés[date],A144),0)</f>
        <v>0</v>
      </c>
      <c r="F144">
        <f t="shared" si="12"/>
        <v>0</v>
      </c>
      <c r="O144" s="3">
        <v>42319</v>
      </c>
      <c r="P144">
        <v>2015</v>
      </c>
      <c r="Q144" t="s">
        <v>419</v>
      </c>
      <c r="R144" s="208">
        <v>45241</v>
      </c>
    </row>
    <row r="145" spans="1:18" x14ac:dyDescent="0.25">
      <c r="A145" s="3">
        <f t="shared" si="13"/>
        <v>44338</v>
      </c>
      <c r="B145">
        <f t="shared" si="10"/>
        <v>6</v>
      </c>
      <c r="C145">
        <f t="shared" si="14"/>
        <v>0</v>
      </c>
      <c r="D145">
        <f t="shared" si="11"/>
        <v>0</v>
      </c>
      <c r="E145">
        <f>IF($B$2&lt;&gt;$I$3,COUNTIF(Tab_fériés[date],A145),0)</f>
        <v>0</v>
      </c>
      <c r="F145">
        <f t="shared" si="12"/>
        <v>0</v>
      </c>
      <c r="O145" s="3">
        <v>42363</v>
      </c>
      <c r="P145">
        <v>2015</v>
      </c>
      <c r="Q145" t="s">
        <v>419</v>
      </c>
      <c r="R145" t="s">
        <v>427</v>
      </c>
    </row>
    <row r="146" spans="1:18" x14ac:dyDescent="0.25">
      <c r="A146" s="3">
        <f t="shared" si="13"/>
        <v>44339</v>
      </c>
      <c r="B146">
        <f t="shared" si="10"/>
        <v>7</v>
      </c>
      <c r="C146">
        <f t="shared" si="14"/>
        <v>0</v>
      </c>
      <c r="D146">
        <f t="shared" si="11"/>
        <v>0</v>
      </c>
      <c r="E146">
        <f>IF($B$2&lt;&gt;$I$3,COUNTIF(Tab_fériés[date],A146),0)</f>
        <v>0</v>
      </c>
      <c r="F146">
        <f t="shared" si="12"/>
        <v>0</v>
      </c>
      <c r="O146" s="3">
        <v>42370</v>
      </c>
      <c r="P146">
        <v>2016</v>
      </c>
      <c r="Q146" t="s">
        <v>419</v>
      </c>
      <c r="R146" t="s">
        <v>420</v>
      </c>
    </row>
    <row r="147" spans="1:18" x14ac:dyDescent="0.25">
      <c r="A147" s="3">
        <f t="shared" si="13"/>
        <v>44340</v>
      </c>
      <c r="B147">
        <f t="shared" si="10"/>
        <v>1</v>
      </c>
      <c r="C147">
        <f t="shared" si="14"/>
        <v>0</v>
      </c>
      <c r="D147">
        <f t="shared" si="11"/>
        <v>0</v>
      </c>
      <c r="E147">
        <f>IF($B$2&lt;&gt;$I$3,COUNTIF(Tab_fériés[date],A147),0)</f>
        <v>0</v>
      </c>
      <c r="F147">
        <f t="shared" si="12"/>
        <v>0</v>
      </c>
      <c r="O147" s="3">
        <v>42457</v>
      </c>
      <c r="P147">
        <v>2016</v>
      </c>
      <c r="Q147" t="s">
        <v>419</v>
      </c>
      <c r="R147" t="s">
        <v>421</v>
      </c>
    </row>
    <row r="148" spans="1:18" x14ac:dyDescent="0.25">
      <c r="A148" s="3">
        <f t="shared" si="13"/>
        <v>44341</v>
      </c>
      <c r="B148">
        <f t="shared" si="10"/>
        <v>2</v>
      </c>
      <c r="C148">
        <f t="shared" si="14"/>
        <v>0</v>
      </c>
      <c r="D148">
        <f t="shared" si="11"/>
        <v>0</v>
      </c>
      <c r="E148">
        <f>IF($B$2&lt;&gt;$I$3,COUNTIF(Tab_fériés[date],A148),0)</f>
        <v>0</v>
      </c>
      <c r="F148">
        <f t="shared" si="12"/>
        <v>0</v>
      </c>
      <c r="O148" s="3">
        <v>42491</v>
      </c>
      <c r="P148">
        <v>2016</v>
      </c>
      <c r="Q148" t="s">
        <v>419</v>
      </c>
      <c r="R148" t="s">
        <v>422</v>
      </c>
    </row>
    <row r="149" spans="1:18" x14ac:dyDescent="0.25">
      <c r="A149" s="3">
        <f t="shared" si="13"/>
        <v>44342</v>
      </c>
      <c r="B149">
        <f t="shared" si="10"/>
        <v>3</v>
      </c>
      <c r="C149">
        <f t="shared" si="14"/>
        <v>0</v>
      </c>
      <c r="D149">
        <f t="shared" si="11"/>
        <v>0</v>
      </c>
      <c r="E149">
        <f>IF($B$2&lt;&gt;$I$3,COUNTIF(Tab_fériés[date],A149),0)</f>
        <v>0</v>
      </c>
      <c r="F149">
        <f t="shared" si="12"/>
        <v>0</v>
      </c>
      <c r="O149" s="3">
        <v>42495</v>
      </c>
      <c r="P149">
        <v>2016</v>
      </c>
      <c r="Q149" t="s">
        <v>419</v>
      </c>
      <c r="R149" t="s">
        <v>423</v>
      </c>
    </row>
    <row r="150" spans="1:18" x14ac:dyDescent="0.25">
      <c r="A150" s="3">
        <f t="shared" si="13"/>
        <v>44343</v>
      </c>
      <c r="B150">
        <f t="shared" si="10"/>
        <v>4</v>
      </c>
      <c r="C150">
        <f t="shared" si="14"/>
        <v>0</v>
      </c>
      <c r="D150">
        <f t="shared" si="11"/>
        <v>0</v>
      </c>
      <c r="E150">
        <f>IF($B$2&lt;&gt;$I$3,COUNTIF(Tab_fériés[date],A150),0)</f>
        <v>0</v>
      </c>
      <c r="F150">
        <f t="shared" si="12"/>
        <v>0</v>
      </c>
      <c r="O150" s="3">
        <v>42498</v>
      </c>
      <c r="P150">
        <v>2016</v>
      </c>
      <c r="Q150" t="s">
        <v>419</v>
      </c>
      <c r="R150" s="208">
        <v>45054</v>
      </c>
    </row>
    <row r="151" spans="1:18" x14ac:dyDescent="0.25">
      <c r="A151" s="3">
        <f t="shared" si="13"/>
        <v>44344</v>
      </c>
      <c r="B151">
        <f t="shared" si="10"/>
        <v>5</v>
      </c>
      <c r="C151">
        <f t="shared" si="14"/>
        <v>0</v>
      </c>
      <c r="D151">
        <f t="shared" si="11"/>
        <v>0</v>
      </c>
      <c r="E151">
        <f>IF($B$2&lt;&gt;$I$3,COUNTIF(Tab_fériés[date],A151),0)</f>
        <v>0</v>
      </c>
      <c r="F151">
        <f t="shared" si="12"/>
        <v>0</v>
      </c>
      <c r="O151" s="3">
        <v>42506</v>
      </c>
      <c r="P151">
        <v>2016</v>
      </c>
      <c r="Q151" t="s">
        <v>419</v>
      </c>
      <c r="R151" t="s">
        <v>424</v>
      </c>
    </row>
    <row r="152" spans="1:18" x14ac:dyDescent="0.25">
      <c r="A152" s="3">
        <f t="shared" si="13"/>
        <v>44345</v>
      </c>
      <c r="B152">
        <f t="shared" si="10"/>
        <v>6</v>
      </c>
      <c r="C152">
        <f t="shared" si="14"/>
        <v>0</v>
      </c>
      <c r="D152">
        <f t="shared" si="11"/>
        <v>0</v>
      </c>
      <c r="E152">
        <f>IF($B$2&lt;&gt;$I$3,COUNTIF(Tab_fériés[date],A152),0)</f>
        <v>0</v>
      </c>
      <c r="F152">
        <f t="shared" si="12"/>
        <v>0</v>
      </c>
      <c r="O152" s="3">
        <v>42565</v>
      </c>
      <c r="P152">
        <v>2016</v>
      </c>
      <c r="Q152" t="s">
        <v>419</v>
      </c>
      <c r="R152" s="208">
        <v>45121</v>
      </c>
    </row>
    <row r="153" spans="1:18" x14ac:dyDescent="0.25">
      <c r="A153" s="3">
        <f t="shared" si="13"/>
        <v>44346</v>
      </c>
      <c r="B153">
        <f t="shared" si="10"/>
        <v>7</v>
      </c>
      <c r="C153">
        <f t="shared" si="14"/>
        <v>0</v>
      </c>
      <c r="D153">
        <f t="shared" si="11"/>
        <v>0</v>
      </c>
      <c r="E153">
        <f>IF($B$2&lt;&gt;$I$3,COUNTIF(Tab_fériés[date],A153),0)</f>
        <v>0</v>
      </c>
      <c r="F153">
        <f t="shared" si="12"/>
        <v>0</v>
      </c>
      <c r="O153" s="3">
        <v>42597</v>
      </c>
      <c r="P153">
        <v>2016</v>
      </c>
      <c r="Q153" t="s">
        <v>419</v>
      </c>
      <c r="R153" t="s">
        <v>425</v>
      </c>
    </row>
    <row r="154" spans="1:18" x14ac:dyDescent="0.25">
      <c r="A154" s="3">
        <f t="shared" si="13"/>
        <v>44347</v>
      </c>
      <c r="B154">
        <f t="shared" si="10"/>
        <v>1</v>
      </c>
      <c r="C154">
        <f t="shared" si="14"/>
        <v>0</v>
      </c>
      <c r="D154">
        <f t="shared" si="11"/>
        <v>0</v>
      </c>
      <c r="E154">
        <f>IF($B$2&lt;&gt;$I$3,COUNTIF(Tab_fériés[date],A154),0)</f>
        <v>0</v>
      </c>
      <c r="F154">
        <f t="shared" si="12"/>
        <v>0</v>
      </c>
      <c r="O154" s="3">
        <v>42675</v>
      </c>
      <c r="P154">
        <v>2016</v>
      </c>
      <c r="Q154" t="s">
        <v>419</v>
      </c>
      <c r="R154" t="s">
        <v>426</v>
      </c>
    </row>
    <row r="155" spans="1:18" x14ac:dyDescent="0.25">
      <c r="A155" s="3">
        <f t="shared" si="13"/>
        <v>44348</v>
      </c>
      <c r="B155">
        <f t="shared" si="10"/>
        <v>2</v>
      </c>
      <c r="C155">
        <f t="shared" si="14"/>
        <v>0</v>
      </c>
      <c r="D155">
        <f t="shared" si="11"/>
        <v>0</v>
      </c>
      <c r="E155">
        <f>IF($B$2&lt;&gt;$I$3,COUNTIF(Tab_fériés[date],A155),0)</f>
        <v>0</v>
      </c>
      <c r="F155">
        <f t="shared" si="12"/>
        <v>0</v>
      </c>
      <c r="O155" s="3">
        <v>42685</v>
      </c>
      <c r="P155">
        <v>2016</v>
      </c>
      <c r="Q155" t="s">
        <v>419</v>
      </c>
      <c r="R155" s="208">
        <v>45241</v>
      </c>
    </row>
    <row r="156" spans="1:18" x14ac:dyDescent="0.25">
      <c r="A156" s="3">
        <f t="shared" si="13"/>
        <v>44349</v>
      </c>
      <c r="B156">
        <f t="shared" si="10"/>
        <v>3</v>
      </c>
      <c r="C156">
        <f t="shared" si="14"/>
        <v>0</v>
      </c>
      <c r="D156">
        <f t="shared" si="11"/>
        <v>0</v>
      </c>
      <c r="E156">
        <f>IF($B$2&lt;&gt;$I$3,COUNTIF(Tab_fériés[date],A156),0)</f>
        <v>0</v>
      </c>
      <c r="F156">
        <f t="shared" si="12"/>
        <v>0</v>
      </c>
      <c r="O156" s="3">
        <v>42729</v>
      </c>
      <c r="P156">
        <v>2016</v>
      </c>
      <c r="Q156" t="s">
        <v>419</v>
      </c>
      <c r="R156" t="s">
        <v>427</v>
      </c>
    </row>
    <row r="157" spans="1:18" x14ac:dyDescent="0.25">
      <c r="A157" s="3">
        <f t="shared" si="13"/>
        <v>44350</v>
      </c>
      <c r="B157">
        <f t="shared" si="10"/>
        <v>4</v>
      </c>
      <c r="C157">
        <f t="shared" si="14"/>
        <v>0</v>
      </c>
      <c r="D157">
        <f t="shared" si="11"/>
        <v>0</v>
      </c>
      <c r="E157">
        <f>IF($B$2&lt;&gt;$I$3,COUNTIF(Tab_fériés[date],A157),0)</f>
        <v>0</v>
      </c>
      <c r="F157">
        <f t="shared" si="12"/>
        <v>0</v>
      </c>
      <c r="O157" s="3">
        <v>42736</v>
      </c>
      <c r="P157">
        <v>2017</v>
      </c>
      <c r="Q157" t="s">
        <v>419</v>
      </c>
      <c r="R157" t="s">
        <v>420</v>
      </c>
    </row>
    <row r="158" spans="1:18" x14ac:dyDescent="0.25">
      <c r="A158" s="3">
        <f t="shared" si="13"/>
        <v>44351</v>
      </c>
      <c r="B158">
        <f t="shared" si="10"/>
        <v>5</v>
      </c>
      <c r="C158">
        <f t="shared" si="14"/>
        <v>0</v>
      </c>
      <c r="D158">
        <f t="shared" si="11"/>
        <v>0</v>
      </c>
      <c r="E158">
        <f>IF($B$2&lt;&gt;$I$3,COUNTIF(Tab_fériés[date],A158),0)</f>
        <v>0</v>
      </c>
      <c r="F158">
        <f t="shared" si="12"/>
        <v>0</v>
      </c>
      <c r="O158" s="3">
        <v>42842</v>
      </c>
      <c r="P158">
        <v>2017</v>
      </c>
      <c r="Q158" t="s">
        <v>419</v>
      </c>
      <c r="R158" t="s">
        <v>421</v>
      </c>
    </row>
    <row r="159" spans="1:18" x14ac:dyDescent="0.25">
      <c r="A159" s="3">
        <f t="shared" si="13"/>
        <v>44352</v>
      </c>
      <c r="B159">
        <f t="shared" si="10"/>
        <v>6</v>
      </c>
      <c r="C159">
        <f t="shared" si="14"/>
        <v>0</v>
      </c>
      <c r="D159">
        <f t="shared" si="11"/>
        <v>0</v>
      </c>
      <c r="E159">
        <f>IF($B$2&lt;&gt;$I$3,COUNTIF(Tab_fériés[date],A159),0)</f>
        <v>0</v>
      </c>
      <c r="F159">
        <f t="shared" si="12"/>
        <v>0</v>
      </c>
      <c r="O159" s="3">
        <v>42856</v>
      </c>
      <c r="P159">
        <v>2017</v>
      </c>
      <c r="Q159" t="s">
        <v>419</v>
      </c>
      <c r="R159" t="s">
        <v>422</v>
      </c>
    </row>
    <row r="160" spans="1:18" x14ac:dyDescent="0.25">
      <c r="A160" s="3">
        <f t="shared" si="13"/>
        <v>44353</v>
      </c>
      <c r="B160">
        <f t="shared" si="10"/>
        <v>7</v>
      </c>
      <c r="C160">
        <f t="shared" si="14"/>
        <v>0</v>
      </c>
      <c r="D160">
        <f t="shared" si="11"/>
        <v>0</v>
      </c>
      <c r="E160">
        <f>IF($B$2&lt;&gt;$I$3,COUNTIF(Tab_fériés[date],A160),0)</f>
        <v>0</v>
      </c>
      <c r="F160">
        <f t="shared" si="12"/>
        <v>0</v>
      </c>
      <c r="O160" s="3">
        <v>42863</v>
      </c>
      <c r="P160">
        <v>2017</v>
      </c>
      <c r="Q160" t="s">
        <v>419</v>
      </c>
      <c r="R160" s="208">
        <v>45054</v>
      </c>
    </row>
    <row r="161" spans="1:18" x14ac:dyDescent="0.25">
      <c r="A161" s="3">
        <f t="shared" si="13"/>
        <v>44354</v>
      </c>
      <c r="B161">
        <f t="shared" si="10"/>
        <v>1</v>
      </c>
      <c r="C161">
        <f t="shared" si="14"/>
        <v>0</v>
      </c>
      <c r="D161">
        <f t="shared" si="11"/>
        <v>0</v>
      </c>
      <c r="E161">
        <f>IF($B$2&lt;&gt;$I$3,COUNTIF(Tab_fériés[date],A161),0)</f>
        <v>0</v>
      </c>
      <c r="F161">
        <f t="shared" si="12"/>
        <v>0</v>
      </c>
      <c r="O161" s="3">
        <v>42880</v>
      </c>
      <c r="P161">
        <v>2017</v>
      </c>
      <c r="Q161" t="s">
        <v>419</v>
      </c>
      <c r="R161" t="s">
        <v>423</v>
      </c>
    </row>
    <row r="162" spans="1:18" x14ac:dyDescent="0.25">
      <c r="A162" s="3">
        <f t="shared" si="13"/>
        <v>44355</v>
      </c>
      <c r="B162">
        <f t="shared" si="10"/>
        <v>2</v>
      </c>
      <c r="C162">
        <f t="shared" si="14"/>
        <v>0</v>
      </c>
      <c r="D162">
        <f t="shared" si="11"/>
        <v>0</v>
      </c>
      <c r="E162">
        <f>IF($B$2&lt;&gt;$I$3,COUNTIF(Tab_fériés[date],A162),0)</f>
        <v>0</v>
      </c>
      <c r="F162">
        <f t="shared" si="12"/>
        <v>0</v>
      </c>
      <c r="O162" s="3">
        <v>42891</v>
      </c>
      <c r="P162">
        <v>2017</v>
      </c>
      <c r="Q162" t="s">
        <v>419</v>
      </c>
      <c r="R162" t="s">
        <v>424</v>
      </c>
    </row>
    <row r="163" spans="1:18" x14ac:dyDescent="0.25">
      <c r="A163" s="3">
        <f t="shared" si="13"/>
        <v>44356</v>
      </c>
      <c r="B163">
        <f t="shared" si="10"/>
        <v>3</v>
      </c>
      <c r="C163">
        <f t="shared" si="14"/>
        <v>0</v>
      </c>
      <c r="D163">
        <f t="shared" si="11"/>
        <v>0</v>
      </c>
      <c r="E163">
        <f>IF($B$2&lt;&gt;$I$3,COUNTIF(Tab_fériés[date],A163),0)</f>
        <v>0</v>
      </c>
      <c r="F163">
        <f t="shared" si="12"/>
        <v>0</v>
      </c>
      <c r="O163" s="3">
        <v>42930</v>
      </c>
      <c r="P163">
        <v>2017</v>
      </c>
      <c r="Q163" t="s">
        <v>419</v>
      </c>
      <c r="R163" s="208">
        <v>45121</v>
      </c>
    </row>
    <row r="164" spans="1:18" x14ac:dyDescent="0.25">
      <c r="A164" s="3">
        <f t="shared" si="13"/>
        <v>44357</v>
      </c>
      <c r="B164">
        <f t="shared" si="10"/>
        <v>4</v>
      </c>
      <c r="C164">
        <f t="shared" si="14"/>
        <v>0</v>
      </c>
      <c r="D164">
        <f t="shared" si="11"/>
        <v>0</v>
      </c>
      <c r="E164">
        <f>IF($B$2&lt;&gt;$I$3,COUNTIF(Tab_fériés[date],A164),0)</f>
        <v>0</v>
      </c>
      <c r="F164">
        <f t="shared" si="12"/>
        <v>0</v>
      </c>
      <c r="O164" s="3">
        <v>42962</v>
      </c>
      <c r="P164">
        <v>2017</v>
      </c>
      <c r="Q164" t="s">
        <v>419</v>
      </c>
      <c r="R164" t="s">
        <v>425</v>
      </c>
    </row>
    <row r="165" spans="1:18" x14ac:dyDescent="0.25">
      <c r="A165" s="3">
        <f t="shared" si="13"/>
        <v>44358</v>
      </c>
      <c r="B165">
        <f t="shared" si="10"/>
        <v>5</v>
      </c>
      <c r="C165">
        <f t="shared" si="14"/>
        <v>0</v>
      </c>
      <c r="D165">
        <f t="shared" si="11"/>
        <v>0</v>
      </c>
      <c r="E165">
        <f>IF($B$2&lt;&gt;$I$3,COUNTIF(Tab_fériés[date],A165),0)</f>
        <v>0</v>
      </c>
      <c r="F165">
        <f t="shared" si="12"/>
        <v>0</v>
      </c>
      <c r="O165" s="3">
        <v>43040</v>
      </c>
      <c r="P165">
        <v>2017</v>
      </c>
      <c r="Q165" t="s">
        <v>419</v>
      </c>
      <c r="R165" t="s">
        <v>426</v>
      </c>
    </row>
    <row r="166" spans="1:18" x14ac:dyDescent="0.25">
      <c r="A166" s="3">
        <f t="shared" si="13"/>
        <v>44359</v>
      </c>
      <c r="B166">
        <f t="shared" si="10"/>
        <v>6</v>
      </c>
      <c r="C166">
        <f t="shared" si="14"/>
        <v>0</v>
      </c>
      <c r="D166">
        <f t="shared" si="11"/>
        <v>0</v>
      </c>
      <c r="E166">
        <f>IF($B$2&lt;&gt;$I$3,COUNTIF(Tab_fériés[date],A166),0)</f>
        <v>0</v>
      </c>
      <c r="F166">
        <f t="shared" si="12"/>
        <v>0</v>
      </c>
      <c r="O166" s="3">
        <v>43050</v>
      </c>
      <c r="P166">
        <v>2017</v>
      </c>
      <c r="Q166" t="s">
        <v>419</v>
      </c>
      <c r="R166" s="208">
        <v>45241</v>
      </c>
    </row>
    <row r="167" spans="1:18" x14ac:dyDescent="0.25">
      <c r="A167" s="3">
        <f t="shared" si="13"/>
        <v>44360</v>
      </c>
      <c r="B167">
        <f t="shared" si="10"/>
        <v>7</v>
      </c>
      <c r="C167">
        <f t="shared" si="14"/>
        <v>0</v>
      </c>
      <c r="D167">
        <f t="shared" si="11"/>
        <v>0</v>
      </c>
      <c r="E167">
        <f>IF($B$2&lt;&gt;$I$3,COUNTIF(Tab_fériés[date],A167),0)</f>
        <v>0</v>
      </c>
      <c r="F167">
        <f t="shared" si="12"/>
        <v>0</v>
      </c>
      <c r="O167" s="3">
        <v>43094</v>
      </c>
      <c r="P167">
        <v>2017</v>
      </c>
      <c r="Q167" t="s">
        <v>419</v>
      </c>
      <c r="R167" t="s">
        <v>427</v>
      </c>
    </row>
    <row r="168" spans="1:18" x14ac:dyDescent="0.25">
      <c r="A168" s="3">
        <f t="shared" si="13"/>
        <v>44361</v>
      </c>
      <c r="B168">
        <f t="shared" si="10"/>
        <v>1</v>
      </c>
      <c r="C168">
        <f t="shared" si="14"/>
        <v>0</v>
      </c>
      <c r="D168">
        <f t="shared" si="11"/>
        <v>0</v>
      </c>
      <c r="E168">
        <f>IF($B$2&lt;&gt;$I$3,COUNTIF(Tab_fériés[date],A168),0)</f>
        <v>0</v>
      </c>
      <c r="F168">
        <f t="shared" si="12"/>
        <v>0</v>
      </c>
      <c r="O168" s="3">
        <v>43101</v>
      </c>
      <c r="P168">
        <v>2018</v>
      </c>
      <c r="Q168" t="s">
        <v>419</v>
      </c>
      <c r="R168" t="s">
        <v>420</v>
      </c>
    </row>
    <row r="169" spans="1:18" x14ac:dyDescent="0.25">
      <c r="A169" s="3">
        <f t="shared" si="13"/>
        <v>44362</v>
      </c>
      <c r="B169">
        <f t="shared" si="10"/>
        <v>2</v>
      </c>
      <c r="C169">
        <f t="shared" si="14"/>
        <v>0</v>
      </c>
      <c r="D169">
        <f t="shared" si="11"/>
        <v>0</v>
      </c>
      <c r="E169">
        <f>IF($B$2&lt;&gt;$I$3,COUNTIF(Tab_fériés[date],A169),0)</f>
        <v>0</v>
      </c>
      <c r="F169">
        <f t="shared" si="12"/>
        <v>0</v>
      </c>
      <c r="O169" s="3">
        <v>43192</v>
      </c>
      <c r="P169">
        <v>2018</v>
      </c>
      <c r="Q169" t="s">
        <v>419</v>
      </c>
      <c r="R169" t="s">
        <v>421</v>
      </c>
    </row>
    <row r="170" spans="1:18" x14ac:dyDescent="0.25">
      <c r="A170" s="3">
        <f t="shared" si="13"/>
        <v>44363</v>
      </c>
      <c r="B170">
        <f t="shared" si="10"/>
        <v>3</v>
      </c>
      <c r="C170">
        <f t="shared" si="14"/>
        <v>0</v>
      </c>
      <c r="D170">
        <f t="shared" si="11"/>
        <v>0</v>
      </c>
      <c r="E170">
        <f>IF($B$2&lt;&gt;$I$3,COUNTIF(Tab_fériés[date],A170),0)</f>
        <v>0</v>
      </c>
      <c r="F170">
        <f t="shared" si="12"/>
        <v>0</v>
      </c>
      <c r="O170" s="3">
        <v>43221</v>
      </c>
      <c r="P170">
        <v>2018</v>
      </c>
      <c r="Q170" t="s">
        <v>419</v>
      </c>
      <c r="R170" t="s">
        <v>422</v>
      </c>
    </row>
    <row r="171" spans="1:18" x14ac:dyDescent="0.25">
      <c r="A171" s="3">
        <f t="shared" si="13"/>
        <v>44364</v>
      </c>
      <c r="B171">
        <f t="shared" si="10"/>
        <v>4</v>
      </c>
      <c r="C171">
        <f t="shared" si="14"/>
        <v>0</v>
      </c>
      <c r="D171">
        <f t="shared" si="11"/>
        <v>0</v>
      </c>
      <c r="E171">
        <f>IF($B$2&lt;&gt;$I$3,COUNTIF(Tab_fériés[date],A171),0)</f>
        <v>0</v>
      </c>
      <c r="F171">
        <f t="shared" si="12"/>
        <v>0</v>
      </c>
      <c r="O171" s="3">
        <v>43228</v>
      </c>
      <c r="P171">
        <v>2018</v>
      </c>
      <c r="Q171" t="s">
        <v>419</v>
      </c>
      <c r="R171" s="208">
        <v>45054</v>
      </c>
    </row>
    <row r="172" spans="1:18" x14ac:dyDescent="0.25">
      <c r="A172" s="3">
        <f t="shared" si="13"/>
        <v>44365</v>
      </c>
      <c r="B172">
        <f t="shared" si="10"/>
        <v>5</v>
      </c>
      <c r="C172">
        <f t="shared" si="14"/>
        <v>0</v>
      </c>
      <c r="D172">
        <f t="shared" si="11"/>
        <v>0</v>
      </c>
      <c r="E172">
        <f>IF($B$2&lt;&gt;$I$3,COUNTIF(Tab_fériés[date],A172),0)</f>
        <v>0</v>
      </c>
      <c r="F172">
        <f t="shared" si="12"/>
        <v>0</v>
      </c>
      <c r="O172" s="3">
        <v>43230</v>
      </c>
      <c r="P172">
        <v>2018</v>
      </c>
      <c r="Q172" t="s">
        <v>419</v>
      </c>
      <c r="R172" t="s">
        <v>423</v>
      </c>
    </row>
    <row r="173" spans="1:18" x14ac:dyDescent="0.25">
      <c r="A173" s="3">
        <f t="shared" si="13"/>
        <v>44366</v>
      </c>
      <c r="B173">
        <f t="shared" si="10"/>
        <v>6</v>
      </c>
      <c r="C173">
        <f t="shared" si="14"/>
        <v>0</v>
      </c>
      <c r="D173">
        <f t="shared" si="11"/>
        <v>0</v>
      </c>
      <c r="E173">
        <f>IF($B$2&lt;&gt;$I$3,COUNTIF(Tab_fériés[date],A173),0)</f>
        <v>0</v>
      </c>
      <c r="F173">
        <f t="shared" si="12"/>
        <v>0</v>
      </c>
      <c r="O173" s="3">
        <v>43241</v>
      </c>
      <c r="P173">
        <v>2018</v>
      </c>
      <c r="Q173" t="s">
        <v>419</v>
      </c>
      <c r="R173" t="s">
        <v>424</v>
      </c>
    </row>
    <row r="174" spans="1:18" x14ac:dyDescent="0.25">
      <c r="A174" s="3">
        <f t="shared" si="13"/>
        <v>44367</v>
      </c>
      <c r="B174">
        <f t="shared" si="10"/>
        <v>7</v>
      </c>
      <c r="C174">
        <f t="shared" si="14"/>
        <v>0</v>
      </c>
      <c r="D174">
        <f t="shared" si="11"/>
        <v>0</v>
      </c>
      <c r="E174">
        <f>IF($B$2&lt;&gt;$I$3,COUNTIF(Tab_fériés[date],A174),0)</f>
        <v>0</v>
      </c>
      <c r="F174">
        <f t="shared" si="12"/>
        <v>0</v>
      </c>
      <c r="O174" s="3">
        <v>43295</v>
      </c>
      <c r="P174">
        <v>2018</v>
      </c>
      <c r="Q174" t="s">
        <v>419</v>
      </c>
      <c r="R174" s="208">
        <v>45121</v>
      </c>
    </row>
    <row r="175" spans="1:18" x14ac:dyDescent="0.25">
      <c r="A175" s="3">
        <f t="shared" si="13"/>
        <v>44368</v>
      </c>
      <c r="B175">
        <f t="shared" si="10"/>
        <v>1</v>
      </c>
      <c r="C175">
        <f t="shared" si="14"/>
        <v>0</v>
      </c>
      <c r="D175">
        <f t="shared" si="11"/>
        <v>0</v>
      </c>
      <c r="E175">
        <f>IF($B$2&lt;&gt;$I$3,COUNTIF(Tab_fériés[date],A175),0)</f>
        <v>0</v>
      </c>
      <c r="F175">
        <f t="shared" si="12"/>
        <v>0</v>
      </c>
      <c r="O175" s="3">
        <v>43327</v>
      </c>
      <c r="P175">
        <v>2018</v>
      </c>
      <c r="Q175" t="s">
        <v>419</v>
      </c>
      <c r="R175" t="s">
        <v>425</v>
      </c>
    </row>
    <row r="176" spans="1:18" x14ac:dyDescent="0.25">
      <c r="A176" s="3">
        <f t="shared" si="13"/>
        <v>44369</v>
      </c>
      <c r="B176">
        <f t="shared" si="10"/>
        <v>2</v>
      </c>
      <c r="C176">
        <f t="shared" si="14"/>
        <v>0</v>
      </c>
      <c r="D176">
        <f t="shared" si="11"/>
        <v>0</v>
      </c>
      <c r="E176">
        <f>IF($B$2&lt;&gt;$I$3,COUNTIF(Tab_fériés[date],A176),0)</f>
        <v>0</v>
      </c>
      <c r="F176">
        <f t="shared" si="12"/>
        <v>0</v>
      </c>
      <c r="O176" s="3">
        <v>43405</v>
      </c>
      <c r="P176">
        <v>2018</v>
      </c>
      <c r="Q176" t="s">
        <v>419</v>
      </c>
      <c r="R176" t="s">
        <v>426</v>
      </c>
    </row>
    <row r="177" spans="1:18" x14ac:dyDescent="0.25">
      <c r="A177" s="3">
        <f t="shared" si="13"/>
        <v>44370</v>
      </c>
      <c r="B177">
        <f t="shared" si="10"/>
        <v>3</v>
      </c>
      <c r="C177">
        <f t="shared" si="14"/>
        <v>0</v>
      </c>
      <c r="D177">
        <f t="shared" si="11"/>
        <v>0</v>
      </c>
      <c r="E177">
        <f>IF($B$2&lt;&gt;$I$3,COUNTIF(Tab_fériés[date],A177),0)</f>
        <v>0</v>
      </c>
      <c r="F177">
        <f t="shared" si="12"/>
        <v>0</v>
      </c>
      <c r="O177" s="3">
        <v>43415</v>
      </c>
      <c r="P177">
        <v>2018</v>
      </c>
      <c r="Q177" t="s">
        <v>419</v>
      </c>
      <c r="R177" s="208">
        <v>45241</v>
      </c>
    </row>
    <row r="178" spans="1:18" x14ac:dyDescent="0.25">
      <c r="A178" s="3">
        <f t="shared" si="13"/>
        <v>44371</v>
      </c>
      <c r="B178">
        <f t="shared" si="10"/>
        <v>4</v>
      </c>
      <c r="C178">
        <f t="shared" si="14"/>
        <v>0</v>
      </c>
      <c r="D178">
        <f t="shared" si="11"/>
        <v>0</v>
      </c>
      <c r="E178">
        <f>IF($B$2&lt;&gt;$I$3,COUNTIF(Tab_fériés[date],A178),0)</f>
        <v>0</v>
      </c>
      <c r="F178">
        <f t="shared" si="12"/>
        <v>0</v>
      </c>
      <c r="O178" s="3">
        <v>43459</v>
      </c>
      <c r="P178">
        <v>2018</v>
      </c>
      <c r="Q178" t="s">
        <v>419</v>
      </c>
      <c r="R178" t="s">
        <v>427</v>
      </c>
    </row>
    <row r="179" spans="1:18" x14ac:dyDescent="0.25">
      <c r="A179" s="3">
        <f t="shared" si="13"/>
        <v>44372</v>
      </c>
      <c r="B179">
        <f t="shared" si="10"/>
        <v>5</v>
      </c>
      <c r="C179">
        <f t="shared" si="14"/>
        <v>0</v>
      </c>
      <c r="D179">
        <f t="shared" si="11"/>
        <v>0</v>
      </c>
      <c r="E179">
        <f>IF($B$2&lt;&gt;$I$3,COUNTIF(Tab_fériés[date],A179),0)</f>
        <v>0</v>
      </c>
      <c r="F179">
        <f t="shared" si="12"/>
        <v>0</v>
      </c>
      <c r="O179" s="3">
        <v>43466</v>
      </c>
      <c r="P179">
        <v>2019</v>
      </c>
      <c r="Q179" t="s">
        <v>419</v>
      </c>
      <c r="R179" t="s">
        <v>420</v>
      </c>
    </row>
    <row r="180" spans="1:18" x14ac:dyDescent="0.25">
      <c r="A180" s="3">
        <f t="shared" si="13"/>
        <v>44373</v>
      </c>
      <c r="B180">
        <f t="shared" si="10"/>
        <v>6</v>
      </c>
      <c r="C180">
        <f t="shared" si="14"/>
        <v>0</v>
      </c>
      <c r="D180">
        <f t="shared" si="11"/>
        <v>0</v>
      </c>
      <c r="E180">
        <f>IF($B$2&lt;&gt;$I$3,COUNTIF(Tab_fériés[date],A180),0)</f>
        <v>0</v>
      </c>
      <c r="F180">
        <f t="shared" si="12"/>
        <v>0</v>
      </c>
      <c r="O180" s="3">
        <v>43577</v>
      </c>
      <c r="P180">
        <v>2019</v>
      </c>
      <c r="Q180" t="s">
        <v>419</v>
      </c>
      <c r="R180" t="s">
        <v>421</v>
      </c>
    </row>
    <row r="181" spans="1:18" x14ac:dyDescent="0.25">
      <c r="A181" s="3">
        <f t="shared" si="13"/>
        <v>44374</v>
      </c>
      <c r="B181">
        <f t="shared" si="10"/>
        <v>7</v>
      </c>
      <c r="C181">
        <f t="shared" si="14"/>
        <v>0</v>
      </c>
      <c r="D181">
        <f t="shared" si="11"/>
        <v>0</v>
      </c>
      <c r="E181">
        <f>IF($B$2&lt;&gt;$I$3,COUNTIF(Tab_fériés[date],A181),0)</f>
        <v>0</v>
      </c>
      <c r="F181">
        <f t="shared" si="12"/>
        <v>0</v>
      </c>
      <c r="O181" s="3">
        <v>43586</v>
      </c>
      <c r="P181">
        <v>2019</v>
      </c>
      <c r="Q181" t="s">
        <v>419</v>
      </c>
      <c r="R181" t="s">
        <v>422</v>
      </c>
    </row>
    <row r="182" spans="1:18" x14ac:dyDescent="0.25">
      <c r="A182" s="3">
        <f t="shared" si="13"/>
        <v>44375</v>
      </c>
      <c r="B182">
        <f t="shared" si="10"/>
        <v>1</v>
      </c>
      <c r="C182">
        <f t="shared" si="14"/>
        <v>0</v>
      </c>
      <c r="D182">
        <f t="shared" si="11"/>
        <v>0</v>
      </c>
      <c r="E182">
        <f>IF($B$2&lt;&gt;$I$3,COUNTIF(Tab_fériés[date],A182),0)</f>
        <v>0</v>
      </c>
      <c r="F182">
        <f t="shared" si="12"/>
        <v>0</v>
      </c>
      <c r="O182" s="3">
        <v>43593</v>
      </c>
      <c r="P182">
        <v>2019</v>
      </c>
      <c r="Q182" t="s">
        <v>419</v>
      </c>
      <c r="R182" s="208">
        <v>45054</v>
      </c>
    </row>
    <row r="183" spans="1:18" x14ac:dyDescent="0.25">
      <c r="A183" s="3">
        <f t="shared" si="13"/>
        <v>44376</v>
      </c>
      <c r="B183">
        <f t="shared" si="10"/>
        <v>2</v>
      </c>
      <c r="C183">
        <f t="shared" si="14"/>
        <v>0</v>
      </c>
      <c r="D183">
        <f t="shared" si="11"/>
        <v>0</v>
      </c>
      <c r="E183">
        <f>IF($B$2&lt;&gt;$I$3,COUNTIF(Tab_fériés[date],A183),0)</f>
        <v>0</v>
      </c>
      <c r="F183">
        <f t="shared" si="12"/>
        <v>0</v>
      </c>
      <c r="O183" s="3">
        <v>43615</v>
      </c>
      <c r="P183">
        <v>2019</v>
      </c>
      <c r="Q183" t="s">
        <v>419</v>
      </c>
      <c r="R183" t="s">
        <v>423</v>
      </c>
    </row>
    <row r="184" spans="1:18" x14ac:dyDescent="0.25">
      <c r="A184" s="3">
        <f t="shared" si="13"/>
        <v>44377</v>
      </c>
      <c r="B184">
        <f t="shared" si="10"/>
        <v>3</v>
      </c>
      <c r="C184">
        <f t="shared" si="14"/>
        <v>0</v>
      </c>
      <c r="D184">
        <f t="shared" si="11"/>
        <v>0</v>
      </c>
      <c r="E184">
        <f>IF($B$2&lt;&gt;$I$3,COUNTIF(Tab_fériés[date],A184),0)</f>
        <v>0</v>
      </c>
      <c r="F184">
        <f t="shared" si="12"/>
        <v>0</v>
      </c>
      <c r="O184" s="3">
        <v>43626</v>
      </c>
      <c r="P184">
        <v>2019</v>
      </c>
      <c r="Q184" t="s">
        <v>419</v>
      </c>
      <c r="R184" t="s">
        <v>424</v>
      </c>
    </row>
    <row r="185" spans="1:18" x14ac:dyDescent="0.25">
      <c r="A185" s="3">
        <f t="shared" si="13"/>
        <v>44378</v>
      </c>
      <c r="B185">
        <f t="shared" si="10"/>
        <v>4</v>
      </c>
      <c r="C185">
        <f t="shared" si="14"/>
        <v>0</v>
      </c>
      <c r="D185">
        <f t="shared" si="11"/>
        <v>0</v>
      </c>
      <c r="E185">
        <f>IF($B$2&lt;&gt;$I$3,COUNTIF(Tab_fériés[date],A185),0)</f>
        <v>0</v>
      </c>
      <c r="F185">
        <f t="shared" si="12"/>
        <v>0</v>
      </c>
      <c r="O185" s="3">
        <v>43660</v>
      </c>
      <c r="P185">
        <v>2019</v>
      </c>
      <c r="Q185" t="s">
        <v>419</v>
      </c>
      <c r="R185" s="208">
        <v>45121</v>
      </c>
    </row>
    <row r="186" spans="1:18" x14ac:dyDescent="0.25">
      <c r="A186" s="3">
        <f t="shared" si="13"/>
        <v>44379</v>
      </c>
      <c r="B186">
        <f t="shared" si="10"/>
        <v>5</v>
      </c>
      <c r="C186">
        <f t="shared" si="14"/>
        <v>0</v>
      </c>
      <c r="D186">
        <f t="shared" si="11"/>
        <v>0</v>
      </c>
      <c r="E186">
        <f>IF($B$2&lt;&gt;$I$3,COUNTIF(Tab_fériés[date],A186),0)</f>
        <v>0</v>
      </c>
      <c r="F186">
        <f t="shared" si="12"/>
        <v>0</v>
      </c>
      <c r="O186" s="3">
        <v>43692</v>
      </c>
      <c r="P186">
        <v>2019</v>
      </c>
      <c r="Q186" t="s">
        <v>419</v>
      </c>
      <c r="R186" t="s">
        <v>425</v>
      </c>
    </row>
    <row r="187" spans="1:18" x14ac:dyDescent="0.25">
      <c r="A187" s="3">
        <f t="shared" si="13"/>
        <v>44380</v>
      </c>
      <c r="B187">
        <f t="shared" si="10"/>
        <v>6</v>
      </c>
      <c r="C187">
        <f t="shared" si="14"/>
        <v>0</v>
      </c>
      <c r="D187">
        <f t="shared" si="11"/>
        <v>0</v>
      </c>
      <c r="E187">
        <f>IF($B$2&lt;&gt;$I$3,COUNTIF(Tab_fériés[date],A187),0)</f>
        <v>0</v>
      </c>
      <c r="F187">
        <f t="shared" si="12"/>
        <v>0</v>
      </c>
      <c r="O187" s="3">
        <v>43770</v>
      </c>
      <c r="P187">
        <v>2019</v>
      </c>
      <c r="Q187" t="s">
        <v>419</v>
      </c>
      <c r="R187" t="s">
        <v>426</v>
      </c>
    </row>
    <row r="188" spans="1:18" x14ac:dyDescent="0.25">
      <c r="A188" s="3">
        <f t="shared" si="13"/>
        <v>44381</v>
      </c>
      <c r="B188">
        <f t="shared" si="10"/>
        <v>7</v>
      </c>
      <c r="C188">
        <f t="shared" si="14"/>
        <v>0</v>
      </c>
      <c r="D188">
        <f t="shared" si="11"/>
        <v>0</v>
      </c>
      <c r="E188">
        <f>IF($B$2&lt;&gt;$I$3,COUNTIF(Tab_fériés[date],A188),0)</f>
        <v>0</v>
      </c>
      <c r="F188">
        <f t="shared" si="12"/>
        <v>0</v>
      </c>
      <c r="O188" s="3">
        <v>43780</v>
      </c>
      <c r="P188">
        <v>2019</v>
      </c>
      <c r="Q188" t="s">
        <v>419</v>
      </c>
      <c r="R188" s="208">
        <v>45241</v>
      </c>
    </row>
    <row r="189" spans="1:18" x14ac:dyDescent="0.25">
      <c r="A189" s="3">
        <f t="shared" si="13"/>
        <v>44382</v>
      </c>
      <c r="B189">
        <f t="shared" si="10"/>
        <v>1</v>
      </c>
      <c r="C189">
        <f t="shared" si="14"/>
        <v>0</v>
      </c>
      <c r="D189">
        <f t="shared" si="11"/>
        <v>0</v>
      </c>
      <c r="E189">
        <f>IF($B$2&lt;&gt;$I$3,COUNTIF(Tab_fériés[date],A189),0)</f>
        <v>0</v>
      </c>
      <c r="F189">
        <f t="shared" si="12"/>
        <v>0</v>
      </c>
      <c r="O189" s="3">
        <v>43824</v>
      </c>
      <c r="P189">
        <v>2019</v>
      </c>
      <c r="Q189" t="s">
        <v>419</v>
      </c>
      <c r="R189" t="s">
        <v>427</v>
      </c>
    </row>
    <row r="190" spans="1:18" x14ac:dyDescent="0.25">
      <c r="A190" s="3">
        <f t="shared" si="13"/>
        <v>44383</v>
      </c>
      <c r="B190">
        <f t="shared" si="10"/>
        <v>2</v>
      </c>
      <c r="C190">
        <f t="shared" si="14"/>
        <v>0</v>
      </c>
      <c r="D190">
        <f t="shared" si="11"/>
        <v>0</v>
      </c>
      <c r="E190">
        <f>IF($B$2&lt;&gt;$I$3,COUNTIF(Tab_fériés[date],A190),0)</f>
        <v>0</v>
      </c>
      <c r="F190">
        <f t="shared" si="12"/>
        <v>0</v>
      </c>
      <c r="O190" s="3">
        <v>43831</v>
      </c>
      <c r="P190">
        <v>2020</v>
      </c>
      <c r="Q190" t="s">
        <v>419</v>
      </c>
      <c r="R190" t="s">
        <v>420</v>
      </c>
    </row>
    <row r="191" spans="1:18" x14ac:dyDescent="0.25">
      <c r="A191" s="3">
        <f t="shared" si="13"/>
        <v>44384</v>
      </c>
      <c r="B191">
        <f t="shared" si="10"/>
        <v>3</v>
      </c>
      <c r="C191">
        <f t="shared" si="14"/>
        <v>0</v>
      </c>
      <c r="D191">
        <f t="shared" si="11"/>
        <v>0</v>
      </c>
      <c r="E191">
        <f>IF($B$2&lt;&gt;$I$3,COUNTIF(Tab_fériés[date],A191),0)</f>
        <v>0</v>
      </c>
      <c r="F191">
        <f t="shared" si="12"/>
        <v>0</v>
      </c>
      <c r="O191" s="3">
        <v>43934</v>
      </c>
      <c r="P191">
        <v>2020</v>
      </c>
      <c r="Q191" t="s">
        <v>419</v>
      </c>
      <c r="R191" t="s">
        <v>421</v>
      </c>
    </row>
    <row r="192" spans="1:18" x14ac:dyDescent="0.25">
      <c r="A192" s="3">
        <f t="shared" si="13"/>
        <v>44385</v>
      </c>
      <c r="B192">
        <f t="shared" si="10"/>
        <v>4</v>
      </c>
      <c r="C192">
        <f t="shared" si="14"/>
        <v>0</v>
      </c>
      <c r="D192">
        <f t="shared" si="11"/>
        <v>0</v>
      </c>
      <c r="E192">
        <f>IF($B$2&lt;&gt;$I$3,COUNTIF(Tab_fériés[date],A192),0)</f>
        <v>0</v>
      </c>
      <c r="F192">
        <f t="shared" si="12"/>
        <v>0</v>
      </c>
      <c r="O192" s="3">
        <v>43952</v>
      </c>
      <c r="P192">
        <v>2020</v>
      </c>
      <c r="Q192" t="s">
        <v>419</v>
      </c>
      <c r="R192" t="s">
        <v>422</v>
      </c>
    </row>
    <row r="193" spans="1:18" x14ac:dyDescent="0.25">
      <c r="A193" s="3">
        <f t="shared" si="13"/>
        <v>44386</v>
      </c>
      <c r="B193">
        <f t="shared" si="10"/>
        <v>5</v>
      </c>
      <c r="C193">
        <f t="shared" si="14"/>
        <v>0</v>
      </c>
      <c r="D193">
        <f t="shared" si="11"/>
        <v>0</v>
      </c>
      <c r="E193">
        <f>IF($B$2&lt;&gt;$I$3,COUNTIF(Tab_fériés[date],A193),0)</f>
        <v>0</v>
      </c>
      <c r="F193">
        <f t="shared" si="12"/>
        <v>0</v>
      </c>
      <c r="O193" s="3">
        <v>43959</v>
      </c>
      <c r="P193">
        <v>2020</v>
      </c>
      <c r="Q193" t="s">
        <v>419</v>
      </c>
      <c r="R193" s="208">
        <v>45054</v>
      </c>
    </row>
    <row r="194" spans="1:18" x14ac:dyDescent="0.25">
      <c r="A194" s="3">
        <f t="shared" si="13"/>
        <v>44387</v>
      </c>
      <c r="B194">
        <f t="shared" si="10"/>
        <v>6</v>
      </c>
      <c r="C194">
        <f t="shared" si="14"/>
        <v>0</v>
      </c>
      <c r="D194">
        <f t="shared" si="11"/>
        <v>0</v>
      </c>
      <c r="E194">
        <f>IF($B$2&lt;&gt;$I$3,COUNTIF(Tab_fériés[date],A194),0)</f>
        <v>0</v>
      </c>
      <c r="F194">
        <f t="shared" si="12"/>
        <v>0</v>
      </c>
      <c r="O194" s="3">
        <v>43972</v>
      </c>
      <c r="P194">
        <v>2020</v>
      </c>
      <c r="Q194" t="s">
        <v>419</v>
      </c>
      <c r="R194" t="s">
        <v>423</v>
      </c>
    </row>
    <row r="195" spans="1:18" x14ac:dyDescent="0.25">
      <c r="A195" s="3">
        <f t="shared" si="13"/>
        <v>44388</v>
      </c>
      <c r="B195">
        <f t="shared" si="10"/>
        <v>7</v>
      </c>
      <c r="C195">
        <f t="shared" si="14"/>
        <v>0</v>
      </c>
      <c r="D195">
        <f t="shared" si="11"/>
        <v>0</v>
      </c>
      <c r="E195">
        <f>IF($B$2&lt;&gt;$I$3,COUNTIF(Tab_fériés[date],A195),0)</f>
        <v>0</v>
      </c>
      <c r="F195">
        <f t="shared" si="12"/>
        <v>0</v>
      </c>
      <c r="O195" s="3">
        <v>43983</v>
      </c>
      <c r="P195">
        <v>2020</v>
      </c>
      <c r="Q195" t="s">
        <v>419</v>
      </c>
      <c r="R195" t="s">
        <v>424</v>
      </c>
    </row>
    <row r="196" spans="1:18" x14ac:dyDescent="0.25">
      <c r="A196" s="3">
        <f t="shared" si="13"/>
        <v>44389</v>
      </c>
      <c r="B196">
        <f t="shared" si="10"/>
        <v>1</v>
      </c>
      <c r="C196">
        <f t="shared" si="14"/>
        <v>0</v>
      </c>
      <c r="D196">
        <f t="shared" si="11"/>
        <v>0</v>
      </c>
      <c r="E196">
        <f>IF($B$2&lt;&gt;$I$3,COUNTIF(Tab_fériés[date],A196),0)</f>
        <v>0</v>
      </c>
      <c r="F196">
        <f t="shared" si="12"/>
        <v>0</v>
      </c>
      <c r="O196" s="3">
        <v>44026</v>
      </c>
      <c r="P196">
        <v>2020</v>
      </c>
      <c r="Q196" t="s">
        <v>419</v>
      </c>
      <c r="R196" s="208">
        <v>45121</v>
      </c>
    </row>
    <row r="197" spans="1:18" x14ac:dyDescent="0.25">
      <c r="A197" s="3">
        <f t="shared" si="13"/>
        <v>44390</v>
      </c>
      <c r="B197">
        <f t="shared" ref="B197:B260" si="15">WEEKDAY(A197,2)</f>
        <v>2</v>
      </c>
      <c r="C197">
        <f t="shared" si="14"/>
        <v>0</v>
      </c>
      <c r="D197">
        <f t="shared" ref="D197:D260" si="16">IF(AND(B197=7,$B$2&lt;&gt;$I$3),1,0)</f>
        <v>0</v>
      </c>
      <c r="E197">
        <f>IF($B$2&lt;&gt;$I$3,COUNTIF(Tab_fériés[date],A197),0)</f>
        <v>0</v>
      </c>
      <c r="F197">
        <f t="shared" ref="F197:F260" si="17">IFERROR(IF(SUM(C197:E197)&gt;0,1,0),0)</f>
        <v>0</v>
      </c>
      <c r="O197" s="3">
        <v>44058</v>
      </c>
      <c r="P197">
        <v>2020</v>
      </c>
      <c r="Q197" t="s">
        <v>419</v>
      </c>
      <c r="R197" t="s">
        <v>425</v>
      </c>
    </row>
    <row r="198" spans="1:18" x14ac:dyDescent="0.25">
      <c r="A198" s="3">
        <f t="shared" ref="A198:A261" si="18">A197+1</f>
        <v>44391</v>
      </c>
      <c r="B198">
        <f t="shared" si="15"/>
        <v>3</v>
      </c>
      <c r="C198">
        <f t="shared" ref="C198:C261" si="19">IF(AND(B198=6,$B$2&lt;&gt;$I$3,$B$2&lt;&gt;$I$5),1,0)</f>
        <v>0</v>
      </c>
      <c r="D198">
        <f t="shared" si="16"/>
        <v>0</v>
      </c>
      <c r="E198">
        <f>IF($B$2&lt;&gt;$I$3,COUNTIF(Tab_fériés[date],A198),0)</f>
        <v>0</v>
      </c>
      <c r="F198">
        <f t="shared" si="17"/>
        <v>0</v>
      </c>
      <c r="O198" s="3">
        <v>44136</v>
      </c>
      <c r="P198">
        <v>2020</v>
      </c>
      <c r="Q198" t="s">
        <v>419</v>
      </c>
      <c r="R198" t="s">
        <v>426</v>
      </c>
    </row>
    <row r="199" spans="1:18" x14ac:dyDescent="0.25">
      <c r="A199" s="3">
        <f t="shared" si="18"/>
        <v>44392</v>
      </c>
      <c r="B199">
        <f t="shared" si="15"/>
        <v>4</v>
      </c>
      <c r="C199">
        <f t="shared" si="19"/>
        <v>0</v>
      </c>
      <c r="D199">
        <f t="shared" si="16"/>
        <v>0</v>
      </c>
      <c r="E199">
        <f>IF($B$2&lt;&gt;$I$3,COUNTIF(Tab_fériés[date],A199),0)</f>
        <v>0</v>
      </c>
      <c r="F199">
        <f t="shared" si="17"/>
        <v>0</v>
      </c>
      <c r="O199" s="3">
        <v>44146</v>
      </c>
      <c r="P199">
        <v>2020</v>
      </c>
      <c r="Q199" t="s">
        <v>419</v>
      </c>
      <c r="R199" s="208">
        <v>45241</v>
      </c>
    </row>
    <row r="200" spans="1:18" x14ac:dyDescent="0.25">
      <c r="A200" s="3">
        <f t="shared" si="18"/>
        <v>44393</v>
      </c>
      <c r="B200">
        <f t="shared" si="15"/>
        <v>5</v>
      </c>
      <c r="C200">
        <f t="shared" si="19"/>
        <v>0</v>
      </c>
      <c r="D200">
        <f t="shared" si="16"/>
        <v>0</v>
      </c>
      <c r="E200">
        <f>IF($B$2&lt;&gt;$I$3,COUNTIF(Tab_fériés[date],A200),0)</f>
        <v>0</v>
      </c>
      <c r="F200">
        <f t="shared" si="17"/>
        <v>0</v>
      </c>
      <c r="O200" s="3">
        <v>44190</v>
      </c>
      <c r="P200">
        <v>2020</v>
      </c>
      <c r="Q200" t="s">
        <v>419</v>
      </c>
      <c r="R200" t="s">
        <v>427</v>
      </c>
    </row>
    <row r="201" spans="1:18" x14ac:dyDescent="0.25">
      <c r="A201" s="3">
        <f t="shared" si="18"/>
        <v>44394</v>
      </c>
      <c r="B201">
        <f t="shared" si="15"/>
        <v>6</v>
      </c>
      <c r="C201">
        <f t="shared" si="19"/>
        <v>0</v>
      </c>
      <c r="D201">
        <f t="shared" si="16"/>
        <v>0</v>
      </c>
      <c r="E201">
        <f>IF($B$2&lt;&gt;$I$3,COUNTIF(Tab_fériés[date],A201),0)</f>
        <v>0</v>
      </c>
      <c r="F201">
        <f t="shared" si="17"/>
        <v>0</v>
      </c>
      <c r="O201" s="3">
        <v>44197</v>
      </c>
      <c r="P201">
        <v>2021</v>
      </c>
      <c r="Q201" t="s">
        <v>419</v>
      </c>
      <c r="R201" t="s">
        <v>420</v>
      </c>
    </row>
    <row r="202" spans="1:18" x14ac:dyDescent="0.25">
      <c r="A202" s="3">
        <f t="shared" si="18"/>
        <v>44395</v>
      </c>
      <c r="B202">
        <f t="shared" si="15"/>
        <v>7</v>
      </c>
      <c r="C202">
        <f t="shared" si="19"/>
        <v>0</v>
      </c>
      <c r="D202">
        <f t="shared" si="16"/>
        <v>0</v>
      </c>
      <c r="E202">
        <f>IF($B$2&lt;&gt;$I$3,COUNTIF(Tab_fériés[date],A202),0)</f>
        <v>0</v>
      </c>
      <c r="F202">
        <f t="shared" si="17"/>
        <v>0</v>
      </c>
      <c r="O202" s="3">
        <v>44291</v>
      </c>
      <c r="P202">
        <v>2021</v>
      </c>
      <c r="Q202" t="s">
        <v>419</v>
      </c>
      <c r="R202" t="s">
        <v>421</v>
      </c>
    </row>
    <row r="203" spans="1:18" x14ac:dyDescent="0.25">
      <c r="A203" s="3">
        <f t="shared" si="18"/>
        <v>44396</v>
      </c>
      <c r="B203">
        <f t="shared" si="15"/>
        <v>1</v>
      </c>
      <c r="C203">
        <f t="shared" si="19"/>
        <v>0</v>
      </c>
      <c r="D203">
        <f t="shared" si="16"/>
        <v>0</v>
      </c>
      <c r="E203">
        <f>IF($B$2&lt;&gt;$I$3,COUNTIF(Tab_fériés[date],A203),0)</f>
        <v>0</v>
      </c>
      <c r="F203">
        <f t="shared" si="17"/>
        <v>0</v>
      </c>
      <c r="O203" s="3">
        <v>44317</v>
      </c>
      <c r="P203">
        <v>2021</v>
      </c>
      <c r="Q203" t="s">
        <v>419</v>
      </c>
      <c r="R203" t="s">
        <v>422</v>
      </c>
    </row>
    <row r="204" spans="1:18" x14ac:dyDescent="0.25">
      <c r="A204" s="3">
        <f t="shared" si="18"/>
        <v>44397</v>
      </c>
      <c r="B204">
        <f t="shared" si="15"/>
        <v>2</v>
      </c>
      <c r="C204">
        <f t="shared" si="19"/>
        <v>0</v>
      </c>
      <c r="D204">
        <f t="shared" si="16"/>
        <v>0</v>
      </c>
      <c r="E204">
        <f>IF($B$2&lt;&gt;$I$3,COUNTIF(Tab_fériés[date],A204),0)</f>
        <v>0</v>
      </c>
      <c r="F204">
        <f t="shared" si="17"/>
        <v>0</v>
      </c>
      <c r="O204" s="3">
        <v>44324</v>
      </c>
      <c r="P204">
        <v>2021</v>
      </c>
      <c r="Q204" t="s">
        <v>419</v>
      </c>
      <c r="R204" s="208">
        <v>45054</v>
      </c>
    </row>
    <row r="205" spans="1:18" x14ac:dyDescent="0.25">
      <c r="A205" s="3">
        <f t="shared" si="18"/>
        <v>44398</v>
      </c>
      <c r="B205">
        <f t="shared" si="15"/>
        <v>3</v>
      </c>
      <c r="C205">
        <f t="shared" si="19"/>
        <v>0</v>
      </c>
      <c r="D205">
        <f t="shared" si="16"/>
        <v>0</v>
      </c>
      <c r="E205">
        <f>IF($B$2&lt;&gt;$I$3,COUNTIF(Tab_fériés[date],A205),0)</f>
        <v>0</v>
      </c>
      <c r="F205">
        <f t="shared" si="17"/>
        <v>0</v>
      </c>
      <c r="O205" s="3">
        <v>44329</v>
      </c>
      <c r="P205">
        <v>2021</v>
      </c>
      <c r="Q205" t="s">
        <v>419</v>
      </c>
      <c r="R205" t="s">
        <v>423</v>
      </c>
    </row>
    <row r="206" spans="1:18" x14ac:dyDescent="0.25">
      <c r="A206" s="3">
        <f t="shared" si="18"/>
        <v>44399</v>
      </c>
      <c r="B206">
        <f t="shared" si="15"/>
        <v>4</v>
      </c>
      <c r="C206">
        <f t="shared" si="19"/>
        <v>0</v>
      </c>
      <c r="D206">
        <f t="shared" si="16"/>
        <v>0</v>
      </c>
      <c r="E206">
        <f>IF($B$2&lt;&gt;$I$3,COUNTIF(Tab_fériés[date],A206),0)</f>
        <v>0</v>
      </c>
      <c r="F206">
        <f t="shared" si="17"/>
        <v>0</v>
      </c>
      <c r="O206" s="3">
        <v>44340</v>
      </c>
      <c r="P206">
        <v>2021</v>
      </c>
      <c r="Q206" t="s">
        <v>419</v>
      </c>
      <c r="R206" t="s">
        <v>424</v>
      </c>
    </row>
    <row r="207" spans="1:18" x14ac:dyDescent="0.25">
      <c r="A207" s="3">
        <f t="shared" si="18"/>
        <v>44400</v>
      </c>
      <c r="B207">
        <f t="shared" si="15"/>
        <v>5</v>
      </c>
      <c r="C207">
        <f t="shared" si="19"/>
        <v>0</v>
      </c>
      <c r="D207">
        <f t="shared" si="16"/>
        <v>0</v>
      </c>
      <c r="E207">
        <f>IF($B$2&lt;&gt;$I$3,COUNTIF(Tab_fériés[date],A207),0)</f>
        <v>0</v>
      </c>
      <c r="F207">
        <f t="shared" si="17"/>
        <v>0</v>
      </c>
      <c r="O207" s="3">
        <v>44391</v>
      </c>
      <c r="P207">
        <v>2021</v>
      </c>
      <c r="Q207" t="s">
        <v>419</v>
      </c>
      <c r="R207" s="208">
        <v>45121</v>
      </c>
    </row>
    <row r="208" spans="1:18" x14ac:dyDescent="0.25">
      <c r="A208" s="3">
        <f t="shared" si="18"/>
        <v>44401</v>
      </c>
      <c r="B208">
        <f t="shared" si="15"/>
        <v>6</v>
      </c>
      <c r="C208">
        <f t="shared" si="19"/>
        <v>0</v>
      </c>
      <c r="D208">
        <f t="shared" si="16"/>
        <v>0</v>
      </c>
      <c r="E208">
        <f>IF($B$2&lt;&gt;$I$3,COUNTIF(Tab_fériés[date],A208),0)</f>
        <v>0</v>
      </c>
      <c r="F208">
        <f t="shared" si="17"/>
        <v>0</v>
      </c>
      <c r="O208" s="3">
        <v>44423</v>
      </c>
      <c r="P208">
        <v>2021</v>
      </c>
      <c r="Q208" t="s">
        <v>419</v>
      </c>
      <c r="R208" t="s">
        <v>425</v>
      </c>
    </row>
    <row r="209" spans="1:18" x14ac:dyDescent="0.25">
      <c r="A209" s="3">
        <f t="shared" si="18"/>
        <v>44402</v>
      </c>
      <c r="B209">
        <f t="shared" si="15"/>
        <v>7</v>
      </c>
      <c r="C209">
        <f t="shared" si="19"/>
        <v>0</v>
      </c>
      <c r="D209">
        <f t="shared" si="16"/>
        <v>0</v>
      </c>
      <c r="E209">
        <f>IF($B$2&lt;&gt;$I$3,COUNTIF(Tab_fériés[date],A209),0)</f>
        <v>0</v>
      </c>
      <c r="F209">
        <f t="shared" si="17"/>
        <v>0</v>
      </c>
      <c r="O209" s="3">
        <v>44501</v>
      </c>
      <c r="P209">
        <v>2021</v>
      </c>
      <c r="Q209" t="s">
        <v>419</v>
      </c>
      <c r="R209" t="s">
        <v>426</v>
      </c>
    </row>
    <row r="210" spans="1:18" x14ac:dyDescent="0.25">
      <c r="A210" s="3">
        <f t="shared" si="18"/>
        <v>44403</v>
      </c>
      <c r="B210">
        <f t="shared" si="15"/>
        <v>1</v>
      </c>
      <c r="C210">
        <f t="shared" si="19"/>
        <v>0</v>
      </c>
      <c r="D210">
        <f t="shared" si="16"/>
        <v>0</v>
      </c>
      <c r="E210">
        <f>IF($B$2&lt;&gt;$I$3,COUNTIF(Tab_fériés[date],A210),0)</f>
        <v>0</v>
      </c>
      <c r="F210">
        <f t="shared" si="17"/>
        <v>0</v>
      </c>
      <c r="O210" s="3">
        <v>44511</v>
      </c>
      <c r="P210">
        <v>2021</v>
      </c>
      <c r="Q210" t="s">
        <v>419</v>
      </c>
      <c r="R210" s="208">
        <v>45241</v>
      </c>
    </row>
    <row r="211" spans="1:18" x14ac:dyDescent="0.25">
      <c r="A211" s="3">
        <f t="shared" si="18"/>
        <v>44404</v>
      </c>
      <c r="B211">
        <f t="shared" si="15"/>
        <v>2</v>
      </c>
      <c r="C211">
        <f t="shared" si="19"/>
        <v>0</v>
      </c>
      <c r="D211">
        <f t="shared" si="16"/>
        <v>0</v>
      </c>
      <c r="E211">
        <f>IF($B$2&lt;&gt;$I$3,COUNTIF(Tab_fériés[date],A211),0)</f>
        <v>0</v>
      </c>
      <c r="F211">
        <f t="shared" si="17"/>
        <v>0</v>
      </c>
      <c r="O211" s="3">
        <v>44555</v>
      </c>
      <c r="P211">
        <v>2021</v>
      </c>
      <c r="Q211" t="s">
        <v>419</v>
      </c>
      <c r="R211" t="s">
        <v>427</v>
      </c>
    </row>
    <row r="212" spans="1:18" x14ac:dyDescent="0.25">
      <c r="A212" s="3">
        <f t="shared" si="18"/>
        <v>44405</v>
      </c>
      <c r="B212">
        <f t="shared" si="15"/>
        <v>3</v>
      </c>
      <c r="C212">
        <f t="shared" si="19"/>
        <v>0</v>
      </c>
      <c r="D212">
        <f t="shared" si="16"/>
        <v>0</v>
      </c>
      <c r="E212">
        <f>IF($B$2&lt;&gt;$I$3,COUNTIF(Tab_fériés[date],A212),0)</f>
        <v>0</v>
      </c>
      <c r="F212">
        <f t="shared" si="17"/>
        <v>0</v>
      </c>
      <c r="O212" s="3">
        <v>44562</v>
      </c>
      <c r="P212">
        <v>2022</v>
      </c>
      <c r="Q212" t="s">
        <v>419</v>
      </c>
      <c r="R212" t="s">
        <v>420</v>
      </c>
    </row>
    <row r="213" spans="1:18" x14ac:dyDescent="0.25">
      <c r="A213" s="3">
        <f t="shared" si="18"/>
        <v>44406</v>
      </c>
      <c r="B213">
        <f t="shared" si="15"/>
        <v>4</v>
      </c>
      <c r="C213">
        <f t="shared" si="19"/>
        <v>0</v>
      </c>
      <c r="D213">
        <f t="shared" si="16"/>
        <v>0</v>
      </c>
      <c r="E213">
        <f>IF($B$2&lt;&gt;$I$3,COUNTIF(Tab_fériés[date],A213),0)</f>
        <v>0</v>
      </c>
      <c r="F213">
        <f t="shared" si="17"/>
        <v>0</v>
      </c>
      <c r="O213" s="3">
        <v>44669</v>
      </c>
      <c r="P213">
        <v>2022</v>
      </c>
      <c r="Q213" t="s">
        <v>419</v>
      </c>
      <c r="R213" t="s">
        <v>421</v>
      </c>
    </row>
    <row r="214" spans="1:18" x14ac:dyDescent="0.25">
      <c r="A214" s="3">
        <f t="shared" si="18"/>
        <v>44407</v>
      </c>
      <c r="B214">
        <f t="shared" si="15"/>
        <v>5</v>
      </c>
      <c r="C214">
        <f t="shared" si="19"/>
        <v>0</v>
      </c>
      <c r="D214">
        <f t="shared" si="16"/>
        <v>0</v>
      </c>
      <c r="E214">
        <f>IF($B$2&lt;&gt;$I$3,COUNTIF(Tab_fériés[date],A214),0)</f>
        <v>0</v>
      </c>
      <c r="F214">
        <f t="shared" si="17"/>
        <v>0</v>
      </c>
      <c r="O214" s="3">
        <v>44682</v>
      </c>
      <c r="P214">
        <v>2022</v>
      </c>
      <c r="Q214" t="s">
        <v>419</v>
      </c>
      <c r="R214" t="s">
        <v>422</v>
      </c>
    </row>
    <row r="215" spans="1:18" x14ac:dyDescent="0.25">
      <c r="A215" s="3">
        <f t="shared" si="18"/>
        <v>44408</v>
      </c>
      <c r="B215">
        <f t="shared" si="15"/>
        <v>6</v>
      </c>
      <c r="C215">
        <f t="shared" si="19"/>
        <v>0</v>
      </c>
      <c r="D215">
        <f t="shared" si="16"/>
        <v>0</v>
      </c>
      <c r="E215">
        <f>IF($B$2&lt;&gt;$I$3,COUNTIF(Tab_fériés[date],A215),0)</f>
        <v>0</v>
      </c>
      <c r="F215">
        <f t="shared" si="17"/>
        <v>0</v>
      </c>
      <c r="O215" s="3">
        <v>44689</v>
      </c>
      <c r="P215">
        <v>2022</v>
      </c>
      <c r="Q215" t="s">
        <v>419</v>
      </c>
      <c r="R215" s="208">
        <v>45054</v>
      </c>
    </row>
    <row r="216" spans="1:18" x14ac:dyDescent="0.25">
      <c r="A216" s="3">
        <f t="shared" si="18"/>
        <v>44409</v>
      </c>
      <c r="B216">
        <f t="shared" si="15"/>
        <v>7</v>
      </c>
      <c r="C216">
        <f t="shared" si="19"/>
        <v>0</v>
      </c>
      <c r="D216">
        <f t="shared" si="16"/>
        <v>0</v>
      </c>
      <c r="E216">
        <f>IF($B$2&lt;&gt;$I$3,COUNTIF(Tab_fériés[date],A216),0)</f>
        <v>0</v>
      </c>
      <c r="F216">
        <f t="shared" si="17"/>
        <v>0</v>
      </c>
      <c r="O216" s="3">
        <v>44707</v>
      </c>
      <c r="P216">
        <v>2022</v>
      </c>
      <c r="Q216" t="s">
        <v>419</v>
      </c>
      <c r="R216" t="s">
        <v>423</v>
      </c>
    </row>
    <row r="217" spans="1:18" x14ac:dyDescent="0.25">
      <c r="A217" s="3">
        <f t="shared" si="18"/>
        <v>44410</v>
      </c>
      <c r="B217">
        <f t="shared" si="15"/>
        <v>1</v>
      </c>
      <c r="C217">
        <f t="shared" si="19"/>
        <v>0</v>
      </c>
      <c r="D217">
        <f t="shared" si="16"/>
        <v>0</v>
      </c>
      <c r="E217">
        <f>IF($B$2&lt;&gt;$I$3,COUNTIF(Tab_fériés[date],A217),0)</f>
        <v>0</v>
      </c>
      <c r="F217">
        <f t="shared" si="17"/>
        <v>0</v>
      </c>
      <c r="O217" s="3">
        <v>44718</v>
      </c>
      <c r="P217">
        <v>2022</v>
      </c>
      <c r="Q217" t="s">
        <v>419</v>
      </c>
      <c r="R217" t="s">
        <v>424</v>
      </c>
    </row>
    <row r="218" spans="1:18" x14ac:dyDescent="0.25">
      <c r="A218" s="3">
        <f t="shared" si="18"/>
        <v>44411</v>
      </c>
      <c r="B218">
        <f t="shared" si="15"/>
        <v>2</v>
      </c>
      <c r="C218">
        <f t="shared" si="19"/>
        <v>0</v>
      </c>
      <c r="D218">
        <f t="shared" si="16"/>
        <v>0</v>
      </c>
      <c r="E218">
        <f>IF($B$2&lt;&gt;$I$3,COUNTIF(Tab_fériés[date],A218),0)</f>
        <v>0</v>
      </c>
      <c r="F218">
        <f t="shared" si="17"/>
        <v>0</v>
      </c>
      <c r="O218" s="3">
        <v>44756</v>
      </c>
      <c r="P218">
        <v>2022</v>
      </c>
      <c r="Q218" t="s">
        <v>419</v>
      </c>
      <c r="R218" s="208">
        <v>45121</v>
      </c>
    </row>
    <row r="219" spans="1:18" x14ac:dyDescent="0.25">
      <c r="A219" s="3">
        <f t="shared" si="18"/>
        <v>44412</v>
      </c>
      <c r="B219">
        <f t="shared" si="15"/>
        <v>3</v>
      </c>
      <c r="C219">
        <f t="shared" si="19"/>
        <v>0</v>
      </c>
      <c r="D219">
        <f t="shared" si="16"/>
        <v>0</v>
      </c>
      <c r="E219">
        <f>IF($B$2&lt;&gt;$I$3,COUNTIF(Tab_fériés[date],A219),0)</f>
        <v>0</v>
      </c>
      <c r="F219">
        <f t="shared" si="17"/>
        <v>0</v>
      </c>
      <c r="O219" s="3">
        <v>44788</v>
      </c>
      <c r="P219">
        <v>2022</v>
      </c>
      <c r="Q219" t="s">
        <v>419</v>
      </c>
      <c r="R219" t="s">
        <v>425</v>
      </c>
    </row>
    <row r="220" spans="1:18" x14ac:dyDescent="0.25">
      <c r="A220" s="3">
        <f t="shared" si="18"/>
        <v>44413</v>
      </c>
      <c r="B220">
        <f t="shared" si="15"/>
        <v>4</v>
      </c>
      <c r="C220">
        <f t="shared" si="19"/>
        <v>0</v>
      </c>
      <c r="D220">
        <f t="shared" si="16"/>
        <v>0</v>
      </c>
      <c r="E220">
        <f>IF($B$2&lt;&gt;$I$3,COUNTIF(Tab_fériés[date],A220),0)</f>
        <v>0</v>
      </c>
      <c r="F220">
        <f t="shared" si="17"/>
        <v>0</v>
      </c>
      <c r="O220" s="3">
        <v>44866</v>
      </c>
      <c r="P220">
        <v>2022</v>
      </c>
      <c r="Q220" t="s">
        <v>419</v>
      </c>
      <c r="R220" t="s">
        <v>426</v>
      </c>
    </row>
    <row r="221" spans="1:18" x14ac:dyDescent="0.25">
      <c r="A221" s="3">
        <f t="shared" si="18"/>
        <v>44414</v>
      </c>
      <c r="B221">
        <f t="shared" si="15"/>
        <v>5</v>
      </c>
      <c r="C221">
        <f t="shared" si="19"/>
        <v>0</v>
      </c>
      <c r="D221">
        <f t="shared" si="16"/>
        <v>0</v>
      </c>
      <c r="E221">
        <f>IF($B$2&lt;&gt;$I$3,COUNTIF(Tab_fériés[date],A221),0)</f>
        <v>0</v>
      </c>
      <c r="F221">
        <f t="shared" si="17"/>
        <v>0</v>
      </c>
      <c r="O221" s="3">
        <v>44876</v>
      </c>
      <c r="P221">
        <v>2022</v>
      </c>
      <c r="Q221" t="s">
        <v>419</v>
      </c>
      <c r="R221" s="208">
        <v>45241</v>
      </c>
    </row>
    <row r="222" spans="1:18" x14ac:dyDescent="0.25">
      <c r="A222" s="3">
        <f t="shared" si="18"/>
        <v>44415</v>
      </c>
      <c r="B222">
        <f t="shared" si="15"/>
        <v>6</v>
      </c>
      <c r="C222">
        <f t="shared" si="19"/>
        <v>0</v>
      </c>
      <c r="D222">
        <f t="shared" si="16"/>
        <v>0</v>
      </c>
      <c r="E222">
        <f>IF($B$2&lt;&gt;$I$3,COUNTIF(Tab_fériés[date],A222),0)</f>
        <v>0</v>
      </c>
      <c r="F222">
        <f t="shared" si="17"/>
        <v>0</v>
      </c>
      <c r="O222" s="3">
        <v>44920</v>
      </c>
      <c r="P222">
        <v>2022</v>
      </c>
      <c r="Q222" t="s">
        <v>419</v>
      </c>
      <c r="R222" t="s">
        <v>427</v>
      </c>
    </row>
    <row r="223" spans="1:18" x14ac:dyDescent="0.25">
      <c r="A223" s="3">
        <f t="shared" si="18"/>
        <v>44416</v>
      </c>
      <c r="B223">
        <f t="shared" si="15"/>
        <v>7</v>
      </c>
      <c r="C223">
        <f t="shared" si="19"/>
        <v>0</v>
      </c>
      <c r="D223">
        <f t="shared" si="16"/>
        <v>0</v>
      </c>
      <c r="E223">
        <f>IF($B$2&lt;&gt;$I$3,COUNTIF(Tab_fériés[date],A223),0)</f>
        <v>0</v>
      </c>
      <c r="F223">
        <f t="shared" si="17"/>
        <v>0</v>
      </c>
      <c r="O223" s="3">
        <v>44927</v>
      </c>
      <c r="P223">
        <v>2023</v>
      </c>
      <c r="Q223" t="s">
        <v>419</v>
      </c>
      <c r="R223" t="s">
        <v>420</v>
      </c>
    </row>
    <row r="224" spans="1:18" x14ac:dyDescent="0.25">
      <c r="A224" s="3">
        <f t="shared" si="18"/>
        <v>44417</v>
      </c>
      <c r="B224">
        <f t="shared" si="15"/>
        <v>1</v>
      </c>
      <c r="C224">
        <f t="shared" si="19"/>
        <v>0</v>
      </c>
      <c r="D224">
        <f t="shared" si="16"/>
        <v>0</v>
      </c>
      <c r="E224">
        <f>IF($B$2&lt;&gt;$I$3,COUNTIF(Tab_fériés[date],A224),0)</f>
        <v>0</v>
      </c>
      <c r="F224">
        <f t="shared" si="17"/>
        <v>0</v>
      </c>
      <c r="O224" s="3">
        <v>45026</v>
      </c>
      <c r="P224">
        <v>2023</v>
      </c>
      <c r="Q224" t="s">
        <v>419</v>
      </c>
      <c r="R224" t="s">
        <v>421</v>
      </c>
    </row>
    <row r="225" spans="1:18" x14ac:dyDescent="0.25">
      <c r="A225" s="3">
        <f t="shared" si="18"/>
        <v>44418</v>
      </c>
      <c r="B225">
        <f t="shared" si="15"/>
        <v>2</v>
      </c>
      <c r="C225">
        <f t="shared" si="19"/>
        <v>0</v>
      </c>
      <c r="D225">
        <f t="shared" si="16"/>
        <v>0</v>
      </c>
      <c r="E225">
        <f>IF($B$2&lt;&gt;$I$3,COUNTIF(Tab_fériés[date],A225),0)</f>
        <v>0</v>
      </c>
      <c r="F225">
        <f t="shared" si="17"/>
        <v>0</v>
      </c>
      <c r="O225" s="3">
        <v>45047</v>
      </c>
      <c r="P225">
        <v>2023</v>
      </c>
      <c r="Q225" t="s">
        <v>419</v>
      </c>
      <c r="R225" t="s">
        <v>422</v>
      </c>
    </row>
    <row r="226" spans="1:18" x14ac:dyDescent="0.25">
      <c r="A226" s="3">
        <f t="shared" si="18"/>
        <v>44419</v>
      </c>
      <c r="B226">
        <f t="shared" si="15"/>
        <v>3</v>
      </c>
      <c r="C226">
        <f t="shared" si="19"/>
        <v>0</v>
      </c>
      <c r="D226">
        <f t="shared" si="16"/>
        <v>0</v>
      </c>
      <c r="E226">
        <f>IF($B$2&lt;&gt;$I$3,COUNTIF(Tab_fériés[date],A226),0)</f>
        <v>0</v>
      </c>
      <c r="F226">
        <f t="shared" si="17"/>
        <v>0</v>
      </c>
      <c r="O226" s="3">
        <v>45054</v>
      </c>
      <c r="P226">
        <v>2023</v>
      </c>
      <c r="Q226" t="s">
        <v>419</v>
      </c>
      <c r="R226" s="208">
        <v>45054</v>
      </c>
    </row>
    <row r="227" spans="1:18" x14ac:dyDescent="0.25">
      <c r="A227" s="3">
        <f t="shared" si="18"/>
        <v>44420</v>
      </c>
      <c r="B227">
        <f t="shared" si="15"/>
        <v>4</v>
      </c>
      <c r="C227">
        <f t="shared" si="19"/>
        <v>0</v>
      </c>
      <c r="D227">
        <f t="shared" si="16"/>
        <v>0</v>
      </c>
      <c r="E227">
        <f>IF($B$2&lt;&gt;$I$3,COUNTIF(Tab_fériés[date],A227),0)</f>
        <v>0</v>
      </c>
      <c r="F227">
        <f t="shared" si="17"/>
        <v>0</v>
      </c>
      <c r="O227" s="3">
        <v>45064</v>
      </c>
      <c r="P227">
        <v>2023</v>
      </c>
      <c r="Q227" t="s">
        <v>419</v>
      </c>
      <c r="R227" t="s">
        <v>423</v>
      </c>
    </row>
    <row r="228" spans="1:18" x14ac:dyDescent="0.25">
      <c r="A228" s="3">
        <f t="shared" si="18"/>
        <v>44421</v>
      </c>
      <c r="B228">
        <f t="shared" si="15"/>
        <v>5</v>
      </c>
      <c r="C228">
        <f t="shared" si="19"/>
        <v>0</v>
      </c>
      <c r="D228">
        <f t="shared" si="16"/>
        <v>0</v>
      </c>
      <c r="E228">
        <f>IF($B$2&lt;&gt;$I$3,COUNTIF(Tab_fériés[date],A228),0)</f>
        <v>0</v>
      </c>
      <c r="F228">
        <f t="shared" si="17"/>
        <v>0</v>
      </c>
      <c r="O228" s="3">
        <v>45075</v>
      </c>
      <c r="P228">
        <v>2023</v>
      </c>
      <c r="Q228" t="s">
        <v>419</v>
      </c>
      <c r="R228" t="s">
        <v>424</v>
      </c>
    </row>
    <row r="229" spans="1:18" x14ac:dyDescent="0.25">
      <c r="A229" s="3">
        <f t="shared" si="18"/>
        <v>44422</v>
      </c>
      <c r="B229">
        <f t="shared" si="15"/>
        <v>6</v>
      </c>
      <c r="C229">
        <f t="shared" si="19"/>
        <v>0</v>
      </c>
      <c r="D229">
        <f t="shared" si="16"/>
        <v>0</v>
      </c>
      <c r="E229">
        <f>IF($B$2&lt;&gt;$I$3,COUNTIF(Tab_fériés[date],A229),0)</f>
        <v>0</v>
      </c>
      <c r="F229">
        <f t="shared" si="17"/>
        <v>0</v>
      </c>
      <c r="O229" s="3">
        <v>45121</v>
      </c>
      <c r="P229">
        <v>2023</v>
      </c>
      <c r="Q229" t="s">
        <v>419</v>
      </c>
      <c r="R229" s="208">
        <v>45121</v>
      </c>
    </row>
    <row r="230" spans="1:18" x14ac:dyDescent="0.25">
      <c r="A230" s="3">
        <f t="shared" si="18"/>
        <v>44423</v>
      </c>
      <c r="B230">
        <f t="shared" si="15"/>
        <v>7</v>
      </c>
      <c r="C230">
        <f t="shared" si="19"/>
        <v>0</v>
      </c>
      <c r="D230">
        <f t="shared" si="16"/>
        <v>0</v>
      </c>
      <c r="E230">
        <f>IF($B$2&lt;&gt;$I$3,COUNTIF(Tab_fériés[date],A230),0)</f>
        <v>0</v>
      </c>
      <c r="F230">
        <f t="shared" si="17"/>
        <v>0</v>
      </c>
      <c r="O230" s="3">
        <v>45153</v>
      </c>
      <c r="P230">
        <v>2023</v>
      </c>
      <c r="Q230" t="s">
        <v>419</v>
      </c>
      <c r="R230" t="s">
        <v>425</v>
      </c>
    </row>
    <row r="231" spans="1:18" x14ac:dyDescent="0.25">
      <c r="A231" s="3">
        <f t="shared" si="18"/>
        <v>44424</v>
      </c>
      <c r="B231">
        <f t="shared" si="15"/>
        <v>1</v>
      </c>
      <c r="C231">
        <f t="shared" si="19"/>
        <v>0</v>
      </c>
      <c r="D231">
        <f t="shared" si="16"/>
        <v>0</v>
      </c>
      <c r="E231">
        <f>IF($B$2&lt;&gt;$I$3,COUNTIF(Tab_fériés[date],A231),0)</f>
        <v>0</v>
      </c>
      <c r="F231">
        <f t="shared" si="17"/>
        <v>0</v>
      </c>
      <c r="O231" s="3">
        <v>45231</v>
      </c>
      <c r="P231">
        <v>2023</v>
      </c>
      <c r="Q231" t="s">
        <v>419</v>
      </c>
      <c r="R231" t="s">
        <v>426</v>
      </c>
    </row>
    <row r="232" spans="1:18" x14ac:dyDescent="0.25">
      <c r="A232" s="3">
        <f t="shared" si="18"/>
        <v>44425</v>
      </c>
      <c r="B232">
        <f t="shared" si="15"/>
        <v>2</v>
      </c>
      <c r="C232">
        <f t="shared" si="19"/>
        <v>0</v>
      </c>
      <c r="D232">
        <f t="shared" si="16"/>
        <v>0</v>
      </c>
      <c r="E232">
        <f>IF($B$2&lt;&gt;$I$3,COUNTIF(Tab_fériés[date],A232),0)</f>
        <v>0</v>
      </c>
      <c r="F232">
        <f t="shared" si="17"/>
        <v>0</v>
      </c>
      <c r="O232" s="3">
        <v>45241</v>
      </c>
      <c r="P232">
        <v>2023</v>
      </c>
      <c r="Q232" t="s">
        <v>419</v>
      </c>
      <c r="R232" s="208">
        <v>45241</v>
      </c>
    </row>
    <row r="233" spans="1:18" x14ac:dyDescent="0.25">
      <c r="A233" s="3">
        <f t="shared" si="18"/>
        <v>44426</v>
      </c>
      <c r="B233">
        <f t="shared" si="15"/>
        <v>3</v>
      </c>
      <c r="C233">
        <f t="shared" si="19"/>
        <v>0</v>
      </c>
      <c r="D233">
        <f t="shared" si="16"/>
        <v>0</v>
      </c>
      <c r="E233">
        <f>IF($B$2&lt;&gt;$I$3,COUNTIF(Tab_fériés[date],A233),0)</f>
        <v>0</v>
      </c>
      <c r="F233">
        <f t="shared" si="17"/>
        <v>0</v>
      </c>
      <c r="O233" s="3">
        <v>45285</v>
      </c>
      <c r="P233">
        <v>2023</v>
      </c>
      <c r="Q233" t="s">
        <v>419</v>
      </c>
      <c r="R233" t="s">
        <v>427</v>
      </c>
    </row>
    <row r="234" spans="1:18" x14ac:dyDescent="0.25">
      <c r="A234" s="3">
        <f t="shared" si="18"/>
        <v>44427</v>
      </c>
      <c r="B234">
        <f t="shared" si="15"/>
        <v>4</v>
      </c>
      <c r="C234">
        <f t="shared" si="19"/>
        <v>0</v>
      </c>
      <c r="D234">
        <f t="shared" si="16"/>
        <v>0</v>
      </c>
      <c r="E234">
        <f>IF($B$2&lt;&gt;$I$3,COUNTIF(Tab_fériés[date],A234),0)</f>
        <v>0</v>
      </c>
      <c r="F234">
        <f t="shared" si="17"/>
        <v>0</v>
      </c>
      <c r="O234" s="3">
        <v>45292</v>
      </c>
      <c r="P234">
        <v>2024</v>
      </c>
      <c r="Q234" t="s">
        <v>419</v>
      </c>
      <c r="R234" t="s">
        <v>420</v>
      </c>
    </row>
    <row r="235" spans="1:18" x14ac:dyDescent="0.25">
      <c r="A235" s="3">
        <f t="shared" si="18"/>
        <v>44428</v>
      </c>
      <c r="B235">
        <f t="shared" si="15"/>
        <v>5</v>
      </c>
      <c r="C235">
        <f t="shared" si="19"/>
        <v>0</v>
      </c>
      <c r="D235">
        <f t="shared" si="16"/>
        <v>0</v>
      </c>
      <c r="E235">
        <f>IF($B$2&lt;&gt;$I$3,COUNTIF(Tab_fériés[date],A235),0)</f>
        <v>0</v>
      </c>
      <c r="F235">
        <f t="shared" si="17"/>
        <v>0</v>
      </c>
      <c r="O235" s="3">
        <v>45383</v>
      </c>
      <c r="P235">
        <v>2024</v>
      </c>
      <c r="Q235" t="s">
        <v>419</v>
      </c>
      <c r="R235" t="s">
        <v>421</v>
      </c>
    </row>
    <row r="236" spans="1:18" x14ac:dyDescent="0.25">
      <c r="A236" s="3">
        <f t="shared" si="18"/>
        <v>44429</v>
      </c>
      <c r="B236">
        <f t="shared" si="15"/>
        <v>6</v>
      </c>
      <c r="C236">
        <f t="shared" si="19"/>
        <v>0</v>
      </c>
      <c r="D236">
        <f t="shared" si="16"/>
        <v>0</v>
      </c>
      <c r="E236">
        <f>IF($B$2&lt;&gt;$I$3,COUNTIF(Tab_fériés[date],A236),0)</f>
        <v>0</v>
      </c>
      <c r="F236">
        <f t="shared" si="17"/>
        <v>0</v>
      </c>
      <c r="O236" s="3">
        <v>45413</v>
      </c>
      <c r="P236">
        <v>2024</v>
      </c>
      <c r="Q236" t="s">
        <v>419</v>
      </c>
      <c r="R236" t="s">
        <v>422</v>
      </c>
    </row>
    <row r="237" spans="1:18" x14ac:dyDescent="0.25">
      <c r="A237" s="3">
        <f t="shared" si="18"/>
        <v>44430</v>
      </c>
      <c r="B237">
        <f t="shared" si="15"/>
        <v>7</v>
      </c>
      <c r="C237">
        <f t="shared" si="19"/>
        <v>0</v>
      </c>
      <c r="D237">
        <f t="shared" si="16"/>
        <v>0</v>
      </c>
      <c r="E237">
        <f>IF($B$2&lt;&gt;$I$3,COUNTIF(Tab_fériés[date],A237),0)</f>
        <v>0</v>
      </c>
      <c r="F237">
        <f t="shared" si="17"/>
        <v>0</v>
      </c>
      <c r="O237" s="3">
        <v>45420</v>
      </c>
      <c r="P237">
        <v>2024</v>
      </c>
      <c r="Q237" t="s">
        <v>419</v>
      </c>
      <c r="R237" s="208">
        <v>45054</v>
      </c>
    </row>
    <row r="238" spans="1:18" x14ac:dyDescent="0.25">
      <c r="A238" s="3">
        <f t="shared" si="18"/>
        <v>44431</v>
      </c>
      <c r="B238">
        <f t="shared" si="15"/>
        <v>1</v>
      </c>
      <c r="C238">
        <f t="shared" si="19"/>
        <v>0</v>
      </c>
      <c r="D238">
        <f t="shared" si="16"/>
        <v>0</v>
      </c>
      <c r="E238">
        <f>IF($B$2&lt;&gt;$I$3,COUNTIF(Tab_fériés[date],A238),0)</f>
        <v>0</v>
      </c>
      <c r="F238">
        <f t="shared" si="17"/>
        <v>0</v>
      </c>
      <c r="O238" s="3">
        <v>45421</v>
      </c>
      <c r="P238">
        <v>2024</v>
      </c>
      <c r="Q238" t="s">
        <v>419</v>
      </c>
      <c r="R238" t="s">
        <v>423</v>
      </c>
    </row>
    <row r="239" spans="1:18" x14ac:dyDescent="0.25">
      <c r="A239" s="3">
        <f t="shared" si="18"/>
        <v>44432</v>
      </c>
      <c r="B239">
        <f t="shared" si="15"/>
        <v>2</v>
      </c>
      <c r="C239">
        <f t="shared" si="19"/>
        <v>0</v>
      </c>
      <c r="D239">
        <f t="shared" si="16"/>
        <v>0</v>
      </c>
      <c r="E239">
        <f>IF($B$2&lt;&gt;$I$3,COUNTIF(Tab_fériés[date],A239),0)</f>
        <v>0</v>
      </c>
      <c r="F239">
        <f t="shared" si="17"/>
        <v>0</v>
      </c>
      <c r="O239" s="3">
        <v>45432</v>
      </c>
      <c r="P239">
        <v>2024</v>
      </c>
      <c r="Q239" t="s">
        <v>419</v>
      </c>
      <c r="R239" t="s">
        <v>424</v>
      </c>
    </row>
    <row r="240" spans="1:18" x14ac:dyDescent="0.25">
      <c r="A240" s="3">
        <f t="shared" si="18"/>
        <v>44433</v>
      </c>
      <c r="B240">
        <f t="shared" si="15"/>
        <v>3</v>
      </c>
      <c r="C240">
        <f t="shared" si="19"/>
        <v>0</v>
      </c>
      <c r="D240">
        <f t="shared" si="16"/>
        <v>0</v>
      </c>
      <c r="E240">
        <f>IF($B$2&lt;&gt;$I$3,COUNTIF(Tab_fériés[date],A240),0)</f>
        <v>0</v>
      </c>
      <c r="F240">
        <f t="shared" si="17"/>
        <v>0</v>
      </c>
      <c r="O240" s="3">
        <v>45487</v>
      </c>
      <c r="P240">
        <v>2024</v>
      </c>
      <c r="Q240" t="s">
        <v>419</v>
      </c>
      <c r="R240" s="208">
        <v>45121</v>
      </c>
    </row>
    <row r="241" spans="1:18" x14ac:dyDescent="0.25">
      <c r="A241" s="3">
        <f t="shared" si="18"/>
        <v>44434</v>
      </c>
      <c r="B241">
        <f t="shared" si="15"/>
        <v>4</v>
      </c>
      <c r="C241">
        <f t="shared" si="19"/>
        <v>0</v>
      </c>
      <c r="D241">
        <f t="shared" si="16"/>
        <v>0</v>
      </c>
      <c r="E241">
        <f>IF($B$2&lt;&gt;$I$3,COUNTIF(Tab_fériés[date],A241),0)</f>
        <v>0</v>
      </c>
      <c r="F241">
        <f t="shared" si="17"/>
        <v>0</v>
      </c>
      <c r="O241" s="3">
        <v>45519</v>
      </c>
      <c r="P241">
        <v>2024</v>
      </c>
      <c r="Q241" t="s">
        <v>419</v>
      </c>
      <c r="R241" t="s">
        <v>425</v>
      </c>
    </row>
    <row r="242" spans="1:18" x14ac:dyDescent="0.25">
      <c r="A242" s="3">
        <f t="shared" si="18"/>
        <v>44435</v>
      </c>
      <c r="B242">
        <f t="shared" si="15"/>
        <v>5</v>
      </c>
      <c r="C242">
        <f t="shared" si="19"/>
        <v>0</v>
      </c>
      <c r="D242">
        <f t="shared" si="16"/>
        <v>0</v>
      </c>
      <c r="E242">
        <f>IF($B$2&lt;&gt;$I$3,COUNTIF(Tab_fériés[date],A242),0)</f>
        <v>0</v>
      </c>
      <c r="F242">
        <f t="shared" si="17"/>
        <v>0</v>
      </c>
      <c r="O242" s="3">
        <v>45597</v>
      </c>
      <c r="P242">
        <v>2024</v>
      </c>
      <c r="Q242" t="s">
        <v>419</v>
      </c>
      <c r="R242" t="s">
        <v>426</v>
      </c>
    </row>
    <row r="243" spans="1:18" x14ac:dyDescent="0.25">
      <c r="A243" s="3">
        <f t="shared" si="18"/>
        <v>44436</v>
      </c>
      <c r="B243">
        <f t="shared" si="15"/>
        <v>6</v>
      </c>
      <c r="C243">
        <f t="shared" si="19"/>
        <v>0</v>
      </c>
      <c r="D243">
        <f t="shared" si="16"/>
        <v>0</v>
      </c>
      <c r="E243">
        <f>IF($B$2&lt;&gt;$I$3,COUNTIF(Tab_fériés[date],A243),0)</f>
        <v>0</v>
      </c>
      <c r="F243">
        <f t="shared" si="17"/>
        <v>0</v>
      </c>
      <c r="O243" s="3">
        <v>45607</v>
      </c>
      <c r="P243">
        <v>2024</v>
      </c>
      <c r="Q243" t="s">
        <v>419</v>
      </c>
      <c r="R243" s="208">
        <v>45241</v>
      </c>
    </row>
    <row r="244" spans="1:18" x14ac:dyDescent="0.25">
      <c r="A244" s="3">
        <f t="shared" si="18"/>
        <v>44437</v>
      </c>
      <c r="B244">
        <f t="shared" si="15"/>
        <v>7</v>
      </c>
      <c r="C244">
        <f t="shared" si="19"/>
        <v>0</v>
      </c>
      <c r="D244">
        <f t="shared" si="16"/>
        <v>0</v>
      </c>
      <c r="E244">
        <f>IF($B$2&lt;&gt;$I$3,COUNTIF(Tab_fériés[date],A244),0)</f>
        <v>0</v>
      </c>
      <c r="F244">
        <f t="shared" si="17"/>
        <v>0</v>
      </c>
      <c r="O244" s="3">
        <v>45651</v>
      </c>
      <c r="P244">
        <v>2024</v>
      </c>
      <c r="Q244" t="s">
        <v>419</v>
      </c>
      <c r="R244" t="s">
        <v>427</v>
      </c>
    </row>
    <row r="245" spans="1:18" x14ac:dyDescent="0.25">
      <c r="A245" s="3">
        <f t="shared" si="18"/>
        <v>44438</v>
      </c>
      <c r="B245">
        <f t="shared" si="15"/>
        <v>1</v>
      </c>
      <c r="C245">
        <f t="shared" si="19"/>
        <v>0</v>
      </c>
      <c r="D245">
        <f t="shared" si="16"/>
        <v>0</v>
      </c>
      <c r="E245">
        <f>IF($B$2&lt;&gt;$I$3,COUNTIF(Tab_fériés[date],A245),0)</f>
        <v>0</v>
      </c>
      <c r="F245">
        <f t="shared" si="17"/>
        <v>0</v>
      </c>
      <c r="O245" s="3">
        <v>45658</v>
      </c>
      <c r="P245">
        <v>2025</v>
      </c>
      <c r="Q245" t="s">
        <v>419</v>
      </c>
      <c r="R245" t="s">
        <v>420</v>
      </c>
    </row>
    <row r="246" spans="1:18" x14ac:dyDescent="0.25">
      <c r="A246" s="3">
        <f t="shared" si="18"/>
        <v>44439</v>
      </c>
      <c r="B246">
        <f t="shared" si="15"/>
        <v>2</v>
      </c>
      <c r="C246">
        <f t="shared" si="19"/>
        <v>0</v>
      </c>
      <c r="D246">
        <f t="shared" si="16"/>
        <v>0</v>
      </c>
      <c r="E246">
        <f>IF($B$2&lt;&gt;$I$3,COUNTIF(Tab_fériés[date],A246),0)</f>
        <v>0</v>
      </c>
      <c r="F246">
        <f t="shared" si="17"/>
        <v>0</v>
      </c>
      <c r="O246" s="3">
        <v>45768</v>
      </c>
      <c r="P246">
        <v>2025</v>
      </c>
      <c r="Q246" t="s">
        <v>419</v>
      </c>
      <c r="R246" t="s">
        <v>421</v>
      </c>
    </row>
    <row r="247" spans="1:18" x14ac:dyDescent="0.25">
      <c r="A247" s="3">
        <f t="shared" si="18"/>
        <v>44440</v>
      </c>
      <c r="B247">
        <f t="shared" si="15"/>
        <v>3</v>
      </c>
      <c r="C247">
        <f t="shared" si="19"/>
        <v>0</v>
      </c>
      <c r="D247">
        <f t="shared" si="16"/>
        <v>0</v>
      </c>
      <c r="E247">
        <f>IF($B$2&lt;&gt;$I$3,COUNTIF(Tab_fériés[date],A247),0)</f>
        <v>0</v>
      </c>
      <c r="F247">
        <f t="shared" si="17"/>
        <v>0</v>
      </c>
      <c r="O247" s="3">
        <v>45778</v>
      </c>
      <c r="P247">
        <v>2025</v>
      </c>
      <c r="Q247" t="s">
        <v>419</v>
      </c>
      <c r="R247" t="s">
        <v>422</v>
      </c>
    </row>
    <row r="248" spans="1:18" x14ac:dyDescent="0.25">
      <c r="A248" s="3">
        <f t="shared" si="18"/>
        <v>44441</v>
      </c>
      <c r="B248">
        <f t="shared" si="15"/>
        <v>4</v>
      </c>
      <c r="C248">
        <f t="shared" si="19"/>
        <v>0</v>
      </c>
      <c r="D248">
        <f t="shared" si="16"/>
        <v>0</v>
      </c>
      <c r="E248">
        <f>IF($B$2&lt;&gt;$I$3,COUNTIF(Tab_fériés[date],A248),0)</f>
        <v>0</v>
      </c>
      <c r="F248">
        <f t="shared" si="17"/>
        <v>0</v>
      </c>
      <c r="O248" s="3">
        <v>45785</v>
      </c>
      <c r="P248">
        <v>2025</v>
      </c>
      <c r="Q248" t="s">
        <v>419</v>
      </c>
      <c r="R248" s="208">
        <v>45054</v>
      </c>
    </row>
    <row r="249" spans="1:18" x14ac:dyDescent="0.25">
      <c r="A249" s="3">
        <f t="shared" si="18"/>
        <v>44442</v>
      </c>
      <c r="B249">
        <f t="shared" si="15"/>
        <v>5</v>
      </c>
      <c r="C249">
        <f t="shared" si="19"/>
        <v>0</v>
      </c>
      <c r="D249">
        <f t="shared" si="16"/>
        <v>0</v>
      </c>
      <c r="E249">
        <f>IF($B$2&lt;&gt;$I$3,COUNTIF(Tab_fériés[date],A249),0)</f>
        <v>0</v>
      </c>
      <c r="F249">
        <f t="shared" si="17"/>
        <v>0</v>
      </c>
      <c r="O249" s="3">
        <v>45806</v>
      </c>
      <c r="P249">
        <v>2025</v>
      </c>
      <c r="Q249" t="s">
        <v>419</v>
      </c>
      <c r="R249" t="s">
        <v>423</v>
      </c>
    </row>
    <row r="250" spans="1:18" x14ac:dyDescent="0.25">
      <c r="A250" s="3">
        <f t="shared" si="18"/>
        <v>44443</v>
      </c>
      <c r="B250">
        <f t="shared" si="15"/>
        <v>6</v>
      </c>
      <c r="C250">
        <f t="shared" si="19"/>
        <v>0</v>
      </c>
      <c r="D250">
        <f t="shared" si="16"/>
        <v>0</v>
      </c>
      <c r="E250">
        <f>IF($B$2&lt;&gt;$I$3,COUNTIF(Tab_fériés[date],A250),0)</f>
        <v>0</v>
      </c>
      <c r="F250">
        <f t="shared" si="17"/>
        <v>0</v>
      </c>
      <c r="O250" s="3">
        <v>45817</v>
      </c>
      <c r="P250">
        <v>2025</v>
      </c>
      <c r="Q250" t="s">
        <v>419</v>
      </c>
      <c r="R250" t="s">
        <v>424</v>
      </c>
    </row>
    <row r="251" spans="1:18" x14ac:dyDescent="0.25">
      <c r="A251" s="3">
        <f t="shared" si="18"/>
        <v>44444</v>
      </c>
      <c r="B251">
        <f t="shared" si="15"/>
        <v>7</v>
      </c>
      <c r="C251">
        <f t="shared" si="19"/>
        <v>0</v>
      </c>
      <c r="D251">
        <f t="shared" si="16"/>
        <v>0</v>
      </c>
      <c r="E251">
        <f>IF($B$2&lt;&gt;$I$3,COUNTIF(Tab_fériés[date],A251),0)</f>
        <v>0</v>
      </c>
      <c r="F251">
        <f t="shared" si="17"/>
        <v>0</v>
      </c>
      <c r="O251" s="3">
        <v>45852</v>
      </c>
      <c r="P251">
        <v>2025</v>
      </c>
      <c r="Q251" t="s">
        <v>419</v>
      </c>
      <c r="R251" s="208">
        <v>45121</v>
      </c>
    </row>
    <row r="252" spans="1:18" x14ac:dyDescent="0.25">
      <c r="A252" s="3">
        <f t="shared" si="18"/>
        <v>44445</v>
      </c>
      <c r="B252">
        <f t="shared" si="15"/>
        <v>1</v>
      </c>
      <c r="C252">
        <f t="shared" si="19"/>
        <v>0</v>
      </c>
      <c r="D252">
        <f t="shared" si="16"/>
        <v>0</v>
      </c>
      <c r="E252">
        <f>IF($B$2&lt;&gt;$I$3,COUNTIF(Tab_fériés[date],A252),0)</f>
        <v>0</v>
      </c>
      <c r="F252">
        <f t="shared" si="17"/>
        <v>0</v>
      </c>
      <c r="O252" s="3">
        <v>45884</v>
      </c>
      <c r="P252">
        <v>2025</v>
      </c>
      <c r="Q252" t="s">
        <v>419</v>
      </c>
      <c r="R252" t="s">
        <v>425</v>
      </c>
    </row>
    <row r="253" spans="1:18" x14ac:dyDescent="0.25">
      <c r="A253" s="3">
        <f t="shared" si="18"/>
        <v>44446</v>
      </c>
      <c r="B253">
        <f t="shared" si="15"/>
        <v>2</v>
      </c>
      <c r="C253">
        <f t="shared" si="19"/>
        <v>0</v>
      </c>
      <c r="D253">
        <f t="shared" si="16"/>
        <v>0</v>
      </c>
      <c r="E253">
        <f>IF($B$2&lt;&gt;$I$3,COUNTIF(Tab_fériés[date],A253),0)</f>
        <v>0</v>
      </c>
      <c r="F253">
        <f t="shared" si="17"/>
        <v>0</v>
      </c>
      <c r="O253" s="3">
        <v>45962</v>
      </c>
      <c r="P253">
        <v>2025</v>
      </c>
      <c r="Q253" t="s">
        <v>419</v>
      </c>
      <c r="R253" t="s">
        <v>426</v>
      </c>
    </row>
    <row r="254" spans="1:18" x14ac:dyDescent="0.25">
      <c r="A254" s="3">
        <f t="shared" si="18"/>
        <v>44447</v>
      </c>
      <c r="B254">
        <f t="shared" si="15"/>
        <v>3</v>
      </c>
      <c r="C254">
        <f t="shared" si="19"/>
        <v>0</v>
      </c>
      <c r="D254">
        <f t="shared" si="16"/>
        <v>0</v>
      </c>
      <c r="E254">
        <f>IF($B$2&lt;&gt;$I$3,COUNTIF(Tab_fériés[date],A254),0)</f>
        <v>0</v>
      </c>
      <c r="F254">
        <f t="shared" si="17"/>
        <v>0</v>
      </c>
      <c r="O254" s="3">
        <v>45972</v>
      </c>
      <c r="P254">
        <v>2025</v>
      </c>
      <c r="Q254" t="s">
        <v>419</v>
      </c>
      <c r="R254" s="208">
        <v>45241</v>
      </c>
    </row>
    <row r="255" spans="1:18" x14ac:dyDescent="0.25">
      <c r="A255" s="3">
        <f t="shared" si="18"/>
        <v>44448</v>
      </c>
      <c r="B255">
        <f t="shared" si="15"/>
        <v>4</v>
      </c>
      <c r="C255">
        <f t="shared" si="19"/>
        <v>0</v>
      </c>
      <c r="D255">
        <f t="shared" si="16"/>
        <v>0</v>
      </c>
      <c r="E255">
        <f>IF($B$2&lt;&gt;$I$3,COUNTIF(Tab_fériés[date],A255),0)</f>
        <v>0</v>
      </c>
      <c r="F255">
        <f t="shared" si="17"/>
        <v>0</v>
      </c>
      <c r="O255" s="3">
        <v>46016</v>
      </c>
      <c r="P255">
        <v>2025</v>
      </c>
      <c r="Q255" t="s">
        <v>419</v>
      </c>
      <c r="R255" t="s">
        <v>427</v>
      </c>
    </row>
    <row r="256" spans="1:18" x14ac:dyDescent="0.25">
      <c r="A256" s="3">
        <f t="shared" si="18"/>
        <v>44449</v>
      </c>
      <c r="B256">
        <f t="shared" si="15"/>
        <v>5</v>
      </c>
      <c r="C256">
        <f t="shared" si="19"/>
        <v>0</v>
      </c>
      <c r="D256">
        <f t="shared" si="16"/>
        <v>0</v>
      </c>
      <c r="E256">
        <f>IF($B$2&lt;&gt;$I$3,COUNTIF(Tab_fériés[date],A256),0)</f>
        <v>0</v>
      </c>
      <c r="F256">
        <f t="shared" si="17"/>
        <v>0</v>
      </c>
      <c r="O256" s="3">
        <v>46023</v>
      </c>
      <c r="P256">
        <v>2026</v>
      </c>
      <c r="Q256" t="s">
        <v>419</v>
      </c>
      <c r="R256" t="s">
        <v>420</v>
      </c>
    </row>
    <row r="257" spans="1:18" x14ac:dyDescent="0.25">
      <c r="A257" s="3">
        <f t="shared" si="18"/>
        <v>44450</v>
      </c>
      <c r="B257">
        <f t="shared" si="15"/>
        <v>6</v>
      </c>
      <c r="C257">
        <f t="shared" si="19"/>
        <v>0</v>
      </c>
      <c r="D257">
        <f t="shared" si="16"/>
        <v>0</v>
      </c>
      <c r="E257">
        <f>IF($B$2&lt;&gt;$I$3,COUNTIF(Tab_fériés[date],A257),0)</f>
        <v>0</v>
      </c>
      <c r="F257">
        <f t="shared" si="17"/>
        <v>0</v>
      </c>
      <c r="O257" s="3">
        <v>46118</v>
      </c>
      <c r="P257">
        <v>2026</v>
      </c>
      <c r="Q257" t="s">
        <v>419</v>
      </c>
      <c r="R257" t="s">
        <v>421</v>
      </c>
    </row>
    <row r="258" spans="1:18" x14ac:dyDescent="0.25">
      <c r="A258" s="3">
        <f t="shared" si="18"/>
        <v>44451</v>
      </c>
      <c r="B258">
        <f t="shared" si="15"/>
        <v>7</v>
      </c>
      <c r="C258">
        <f t="shared" si="19"/>
        <v>0</v>
      </c>
      <c r="D258">
        <f t="shared" si="16"/>
        <v>0</v>
      </c>
      <c r="E258">
        <f>IF($B$2&lt;&gt;$I$3,COUNTIF(Tab_fériés[date],A258),0)</f>
        <v>0</v>
      </c>
      <c r="F258">
        <f t="shared" si="17"/>
        <v>0</v>
      </c>
      <c r="O258" s="3">
        <v>46143</v>
      </c>
      <c r="P258">
        <v>2026</v>
      </c>
      <c r="Q258" t="s">
        <v>419</v>
      </c>
      <c r="R258" t="s">
        <v>422</v>
      </c>
    </row>
    <row r="259" spans="1:18" x14ac:dyDescent="0.25">
      <c r="A259" s="3">
        <f t="shared" si="18"/>
        <v>44452</v>
      </c>
      <c r="B259">
        <f t="shared" si="15"/>
        <v>1</v>
      </c>
      <c r="C259">
        <f t="shared" si="19"/>
        <v>0</v>
      </c>
      <c r="D259">
        <f t="shared" si="16"/>
        <v>0</v>
      </c>
      <c r="E259">
        <f>IF($B$2&lt;&gt;$I$3,COUNTIF(Tab_fériés[date],A259),0)</f>
        <v>0</v>
      </c>
      <c r="F259">
        <f t="shared" si="17"/>
        <v>0</v>
      </c>
      <c r="O259" s="3">
        <v>46150</v>
      </c>
      <c r="P259">
        <v>2026</v>
      </c>
      <c r="Q259" t="s">
        <v>419</v>
      </c>
      <c r="R259" s="208">
        <v>45054</v>
      </c>
    </row>
    <row r="260" spans="1:18" x14ac:dyDescent="0.25">
      <c r="A260" s="3">
        <f t="shared" si="18"/>
        <v>44453</v>
      </c>
      <c r="B260">
        <f t="shared" si="15"/>
        <v>2</v>
      </c>
      <c r="C260">
        <f t="shared" si="19"/>
        <v>0</v>
      </c>
      <c r="D260">
        <f t="shared" si="16"/>
        <v>0</v>
      </c>
      <c r="E260">
        <f>IF($B$2&lt;&gt;$I$3,COUNTIF(Tab_fériés[date],A260),0)</f>
        <v>0</v>
      </c>
      <c r="F260">
        <f t="shared" si="17"/>
        <v>0</v>
      </c>
      <c r="O260" s="3">
        <v>46156</v>
      </c>
      <c r="P260">
        <v>2026</v>
      </c>
      <c r="Q260" t="s">
        <v>419</v>
      </c>
      <c r="R260" t="s">
        <v>423</v>
      </c>
    </row>
    <row r="261" spans="1:18" x14ac:dyDescent="0.25">
      <c r="A261" s="3">
        <f t="shared" si="18"/>
        <v>44454</v>
      </c>
      <c r="B261">
        <f t="shared" ref="B261:B324" si="20">WEEKDAY(A261,2)</f>
        <v>3</v>
      </c>
      <c r="C261">
        <f t="shared" si="19"/>
        <v>0</v>
      </c>
      <c r="D261">
        <f t="shared" ref="D261:D324" si="21">IF(AND(B261=7,$B$2&lt;&gt;$I$3),1,0)</f>
        <v>0</v>
      </c>
      <c r="E261">
        <f>IF($B$2&lt;&gt;$I$3,COUNTIF(Tab_fériés[date],A261),0)</f>
        <v>0</v>
      </c>
      <c r="F261">
        <f t="shared" ref="F261:F324" si="22">IFERROR(IF(SUM(C261:E261)&gt;0,1,0),0)</f>
        <v>0</v>
      </c>
      <c r="O261" s="3">
        <v>46167</v>
      </c>
      <c r="P261">
        <v>2026</v>
      </c>
      <c r="Q261" t="s">
        <v>419</v>
      </c>
      <c r="R261" t="s">
        <v>424</v>
      </c>
    </row>
    <row r="262" spans="1:18" x14ac:dyDescent="0.25">
      <c r="A262" s="3">
        <f t="shared" ref="A262:A325" si="23">A261+1</f>
        <v>44455</v>
      </c>
      <c r="B262">
        <f t="shared" si="20"/>
        <v>4</v>
      </c>
      <c r="C262">
        <f t="shared" ref="C262:C325" si="24">IF(AND(B262=6,$B$2&lt;&gt;$I$3,$B$2&lt;&gt;$I$5),1,0)</f>
        <v>0</v>
      </c>
      <c r="D262">
        <f t="shared" si="21"/>
        <v>0</v>
      </c>
      <c r="E262">
        <f>IF($B$2&lt;&gt;$I$3,COUNTIF(Tab_fériés[date],A262),0)</f>
        <v>0</v>
      </c>
      <c r="F262">
        <f t="shared" si="22"/>
        <v>0</v>
      </c>
      <c r="O262" s="3">
        <v>46217</v>
      </c>
      <c r="P262">
        <v>2026</v>
      </c>
      <c r="Q262" t="s">
        <v>419</v>
      </c>
      <c r="R262" s="208">
        <v>45121</v>
      </c>
    </row>
    <row r="263" spans="1:18" x14ac:dyDescent="0.25">
      <c r="A263" s="3">
        <f t="shared" si="23"/>
        <v>44456</v>
      </c>
      <c r="B263">
        <f t="shared" si="20"/>
        <v>5</v>
      </c>
      <c r="C263">
        <f t="shared" si="24"/>
        <v>0</v>
      </c>
      <c r="D263">
        <f t="shared" si="21"/>
        <v>0</v>
      </c>
      <c r="E263">
        <f>IF($B$2&lt;&gt;$I$3,COUNTIF(Tab_fériés[date],A263),0)</f>
        <v>0</v>
      </c>
      <c r="F263">
        <f t="shared" si="22"/>
        <v>0</v>
      </c>
      <c r="O263" s="3">
        <v>46249</v>
      </c>
      <c r="P263">
        <v>2026</v>
      </c>
      <c r="Q263" t="s">
        <v>419</v>
      </c>
      <c r="R263" t="s">
        <v>425</v>
      </c>
    </row>
    <row r="264" spans="1:18" x14ac:dyDescent="0.25">
      <c r="A264" s="3">
        <f t="shared" si="23"/>
        <v>44457</v>
      </c>
      <c r="B264">
        <f t="shared" si="20"/>
        <v>6</v>
      </c>
      <c r="C264">
        <f t="shared" si="24"/>
        <v>0</v>
      </c>
      <c r="D264">
        <f t="shared" si="21"/>
        <v>0</v>
      </c>
      <c r="E264">
        <f>IF($B$2&lt;&gt;$I$3,COUNTIF(Tab_fériés[date],A264),0)</f>
        <v>0</v>
      </c>
      <c r="F264">
        <f t="shared" si="22"/>
        <v>0</v>
      </c>
      <c r="O264" s="3">
        <v>46327</v>
      </c>
      <c r="P264">
        <v>2026</v>
      </c>
      <c r="Q264" t="s">
        <v>419</v>
      </c>
      <c r="R264" t="s">
        <v>426</v>
      </c>
    </row>
    <row r="265" spans="1:18" x14ac:dyDescent="0.25">
      <c r="A265" s="3">
        <f t="shared" si="23"/>
        <v>44458</v>
      </c>
      <c r="B265">
        <f t="shared" si="20"/>
        <v>7</v>
      </c>
      <c r="C265">
        <f t="shared" si="24"/>
        <v>0</v>
      </c>
      <c r="D265">
        <f t="shared" si="21"/>
        <v>0</v>
      </c>
      <c r="E265">
        <f>IF($B$2&lt;&gt;$I$3,COUNTIF(Tab_fériés[date],A265),0)</f>
        <v>0</v>
      </c>
      <c r="F265">
        <f t="shared" si="22"/>
        <v>0</v>
      </c>
      <c r="O265" s="3">
        <v>46337</v>
      </c>
      <c r="P265">
        <v>2026</v>
      </c>
      <c r="Q265" t="s">
        <v>419</v>
      </c>
      <c r="R265" s="208">
        <v>45241</v>
      </c>
    </row>
    <row r="266" spans="1:18" x14ac:dyDescent="0.25">
      <c r="A266" s="3">
        <f t="shared" si="23"/>
        <v>44459</v>
      </c>
      <c r="B266">
        <f t="shared" si="20"/>
        <v>1</v>
      </c>
      <c r="C266">
        <f t="shared" si="24"/>
        <v>0</v>
      </c>
      <c r="D266">
        <f t="shared" si="21"/>
        <v>0</v>
      </c>
      <c r="E266">
        <f>IF($B$2&lt;&gt;$I$3,COUNTIF(Tab_fériés[date],A266),0)</f>
        <v>0</v>
      </c>
      <c r="F266">
        <f t="shared" si="22"/>
        <v>0</v>
      </c>
      <c r="O266" s="3">
        <v>46381</v>
      </c>
      <c r="P266">
        <v>2026</v>
      </c>
      <c r="Q266" t="s">
        <v>419</v>
      </c>
      <c r="R266" t="s">
        <v>427</v>
      </c>
    </row>
    <row r="267" spans="1:18" x14ac:dyDescent="0.25">
      <c r="A267" s="3">
        <f t="shared" si="23"/>
        <v>44460</v>
      </c>
      <c r="B267">
        <f t="shared" si="20"/>
        <v>2</v>
      </c>
      <c r="C267">
        <f t="shared" si="24"/>
        <v>0</v>
      </c>
      <c r="D267">
        <f t="shared" si="21"/>
        <v>0</v>
      </c>
      <c r="E267">
        <f>IF($B$2&lt;&gt;$I$3,COUNTIF(Tab_fériés[date],A267),0)</f>
        <v>0</v>
      </c>
      <c r="F267">
        <f t="shared" si="22"/>
        <v>0</v>
      </c>
      <c r="O267" s="3">
        <v>46388</v>
      </c>
      <c r="P267">
        <v>2027</v>
      </c>
      <c r="Q267" t="s">
        <v>419</v>
      </c>
      <c r="R267" t="s">
        <v>420</v>
      </c>
    </row>
    <row r="268" spans="1:18" x14ac:dyDescent="0.25">
      <c r="A268" s="3">
        <f t="shared" si="23"/>
        <v>44461</v>
      </c>
      <c r="B268">
        <f t="shared" si="20"/>
        <v>3</v>
      </c>
      <c r="C268">
        <f t="shared" si="24"/>
        <v>0</v>
      </c>
      <c r="D268">
        <f t="shared" si="21"/>
        <v>0</v>
      </c>
      <c r="E268">
        <f>IF($B$2&lt;&gt;$I$3,COUNTIF(Tab_fériés[date],A268),0)</f>
        <v>0</v>
      </c>
      <c r="F268">
        <f t="shared" si="22"/>
        <v>0</v>
      </c>
      <c r="O268" s="3">
        <v>46475</v>
      </c>
      <c r="P268">
        <v>2027</v>
      </c>
      <c r="Q268" t="s">
        <v>419</v>
      </c>
      <c r="R268" t="s">
        <v>421</v>
      </c>
    </row>
    <row r="269" spans="1:18" x14ac:dyDescent="0.25">
      <c r="A269" s="3">
        <f t="shared" si="23"/>
        <v>44462</v>
      </c>
      <c r="B269">
        <f t="shared" si="20"/>
        <v>4</v>
      </c>
      <c r="C269">
        <f t="shared" si="24"/>
        <v>0</v>
      </c>
      <c r="D269">
        <f t="shared" si="21"/>
        <v>0</v>
      </c>
      <c r="E269">
        <f>IF($B$2&lt;&gt;$I$3,COUNTIF(Tab_fériés[date],A269),0)</f>
        <v>0</v>
      </c>
      <c r="F269">
        <f t="shared" si="22"/>
        <v>0</v>
      </c>
      <c r="O269" s="3">
        <v>46508</v>
      </c>
      <c r="P269">
        <v>2027</v>
      </c>
      <c r="Q269" t="s">
        <v>419</v>
      </c>
      <c r="R269" t="s">
        <v>422</v>
      </c>
    </row>
    <row r="270" spans="1:18" x14ac:dyDescent="0.25">
      <c r="A270" s="3">
        <f t="shared" si="23"/>
        <v>44463</v>
      </c>
      <c r="B270">
        <f t="shared" si="20"/>
        <v>5</v>
      </c>
      <c r="C270">
        <f t="shared" si="24"/>
        <v>0</v>
      </c>
      <c r="D270">
        <f t="shared" si="21"/>
        <v>0</v>
      </c>
      <c r="E270">
        <f>IF($B$2&lt;&gt;$I$3,COUNTIF(Tab_fériés[date],A270),0)</f>
        <v>0</v>
      </c>
      <c r="F270">
        <f t="shared" si="22"/>
        <v>0</v>
      </c>
      <c r="O270" s="3">
        <v>46513</v>
      </c>
      <c r="P270">
        <v>2027</v>
      </c>
      <c r="Q270" t="s">
        <v>419</v>
      </c>
      <c r="R270" t="s">
        <v>423</v>
      </c>
    </row>
    <row r="271" spans="1:18" x14ac:dyDescent="0.25">
      <c r="A271" s="3">
        <f t="shared" si="23"/>
        <v>44464</v>
      </c>
      <c r="B271">
        <f t="shared" si="20"/>
        <v>6</v>
      </c>
      <c r="C271">
        <f t="shared" si="24"/>
        <v>0</v>
      </c>
      <c r="D271">
        <f t="shared" si="21"/>
        <v>0</v>
      </c>
      <c r="E271">
        <f>IF($B$2&lt;&gt;$I$3,COUNTIF(Tab_fériés[date],A271),0)</f>
        <v>0</v>
      </c>
      <c r="F271">
        <f t="shared" si="22"/>
        <v>0</v>
      </c>
      <c r="O271" s="3">
        <v>46515</v>
      </c>
      <c r="P271">
        <v>2027</v>
      </c>
      <c r="Q271" t="s">
        <v>419</v>
      </c>
      <c r="R271" s="208">
        <v>45054</v>
      </c>
    </row>
    <row r="272" spans="1:18" x14ac:dyDescent="0.25">
      <c r="A272" s="3">
        <f t="shared" si="23"/>
        <v>44465</v>
      </c>
      <c r="B272">
        <f t="shared" si="20"/>
        <v>7</v>
      </c>
      <c r="C272">
        <f t="shared" si="24"/>
        <v>0</v>
      </c>
      <c r="D272">
        <f t="shared" si="21"/>
        <v>0</v>
      </c>
      <c r="E272">
        <f>IF($B$2&lt;&gt;$I$3,COUNTIF(Tab_fériés[date],A272),0)</f>
        <v>0</v>
      </c>
      <c r="F272">
        <f t="shared" si="22"/>
        <v>0</v>
      </c>
      <c r="O272" s="3">
        <v>46524</v>
      </c>
      <c r="P272">
        <v>2027</v>
      </c>
      <c r="Q272" t="s">
        <v>419</v>
      </c>
      <c r="R272" t="s">
        <v>424</v>
      </c>
    </row>
    <row r="273" spans="1:18" x14ac:dyDescent="0.25">
      <c r="A273" s="3">
        <f t="shared" si="23"/>
        <v>44466</v>
      </c>
      <c r="B273">
        <f t="shared" si="20"/>
        <v>1</v>
      </c>
      <c r="C273">
        <f t="shared" si="24"/>
        <v>0</v>
      </c>
      <c r="D273">
        <f t="shared" si="21"/>
        <v>0</v>
      </c>
      <c r="E273">
        <f>IF($B$2&lt;&gt;$I$3,COUNTIF(Tab_fériés[date],A273),0)</f>
        <v>0</v>
      </c>
      <c r="F273">
        <f t="shared" si="22"/>
        <v>0</v>
      </c>
      <c r="O273" s="3">
        <v>46582</v>
      </c>
      <c r="P273">
        <v>2027</v>
      </c>
      <c r="Q273" t="s">
        <v>419</v>
      </c>
      <c r="R273" s="208">
        <v>45121</v>
      </c>
    </row>
    <row r="274" spans="1:18" x14ac:dyDescent="0.25">
      <c r="A274" s="3">
        <f t="shared" si="23"/>
        <v>44467</v>
      </c>
      <c r="B274">
        <f t="shared" si="20"/>
        <v>2</v>
      </c>
      <c r="C274">
        <f t="shared" si="24"/>
        <v>0</v>
      </c>
      <c r="D274">
        <f t="shared" si="21"/>
        <v>0</v>
      </c>
      <c r="E274">
        <f>IF($B$2&lt;&gt;$I$3,COUNTIF(Tab_fériés[date],A274),0)</f>
        <v>0</v>
      </c>
      <c r="F274">
        <f t="shared" si="22"/>
        <v>0</v>
      </c>
      <c r="O274" s="3">
        <v>46614</v>
      </c>
      <c r="P274">
        <v>2027</v>
      </c>
      <c r="Q274" t="s">
        <v>419</v>
      </c>
      <c r="R274" t="s">
        <v>425</v>
      </c>
    </row>
    <row r="275" spans="1:18" x14ac:dyDescent="0.25">
      <c r="A275" s="3">
        <f t="shared" si="23"/>
        <v>44468</v>
      </c>
      <c r="B275">
        <f t="shared" si="20"/>
        <v>3</v>
      </c>
      <c r="C275">
        <f t="shared" si="24"/>
        <v>0</v>
      </c>
      <c r="D275">
        <f t="shared" si="21"/>
        <v>0</v>
      </c>
      <c r="E275">
        <f>IF($B$2&lt;&gt;$I$3,COUNTIF(Tab_fériés[date],A275),0)</f>
        <v>0</v>
      </c>
      <c r="F275">
        <f t="shared" si="22"/>
        <v>0</v>
      </c>
      <c r="O275" s="3">
        <v>46692</v>
      </c>
      <c r="P275">
        <v>2027</v>
      </c>
      <c r="Q275" t="s">
        <v>419</v>
      </c>
      <c r="R275" t="s">
        <v>426</v>
      </c>
    </row>
    <row r="276" spans="1:18" x14ac:dyDescent="0.25">
      <c r="A276" s="3">
        <f t="shared" si="23"/>
        <v>44469</v>
      </c>
      <c r="B276">
        <f t="shared" si="20"/>
        <v>4</v>
      </c>
      <c r="C276">
        <f t="shared" si="24"/>
        <v>0</v>
      </c>
      <c r="D276">
        <f t="shared" si="21"/>
        <v>0</v>
      </c>
      <c r="E276">
        <f>IF($B$2&lt;&gt;$I$3,COUNTIF(Tab_fériés[date],A276),0)</f>
        <v>0</v>
      </c>
      <c r="F276">
        <f t="shared" si="22"/>
        <v>0</v>
      </c>
      <c r="O276" s="3">
        <v>46702</v>
      </c>
      <c r="P276">
        <v>2027</v>
      </c>
      <c r="Q276" t="s">
        <v>419</v>
      </c>
      <c r="R276" s="208">
        <v>45241</v>
      </c>
    </row>
    <row r="277" spans="1:18" x14ac:dyDescent="0.25">
      <c r="A277" s="3">
        <f t="shared" si="23"/>
        <v>44470</v>
      </c>
      <c r="B277">
        <f t="shared" si="20"/>
        <v>5</v>
      </c>
      <c r="C277">
        <f t="shared" si="24"/>
        <v>0</v>
      </c>
      <c r="D277">
        <f t="shared" si="21"/>
        <v>0</v>
      </c>
      <c r="E277">
        <f>IF($B$2&lt;&gt;$I$3,COUNTIF(Tab_fériés[date],A277),0)</f>
        <v>0</v>
      </c>
      <c r="F277">
        <f t="shared" si="22"/>
        <v>0</v>
      </c>
      <c r="O277" s="3">
        <v>46746</v>
      </c>
      <c r="P277">
        <v>2027</v>
      </c>
      <c r="Q277" t="s">
        <v>419</v>
      </c>
      <c r="R277" t="s">
        <v>427</v>
      </c>
    </row>
    <row r="278" spans="1:18" x14ac:dyDescent="0.25">
      <c r="A278" s="3">
        <f t="shared" si="23"/>
        <v>44471</v>
      </c>
      <c r="B278">
        <f t="shared" si="20"/>
        <v>6</v>
      </c>
      <c r="C278">
        <f t="shared" si="24"/>
        <v>0</v>
      </c>
      <c r="D278">
        <f t="shared" si="21"/>
        <v>0</v>
      </c>
      <c r="E278">
        <f>IF($B$2&lt;&gt;$I$3,COUNTIF(Tab_fériés[date],A278),0)</f>
        <v>0</v>
      </c>
      <c r="F278">
        <f t="shared" si="22"/>
        <v>0</v>
      </c>
      <c r="O278" s="3">
        <v>46753</v>
      </c>
      <c r="P278">
        <v>2028</v>
      </c>
      <c r="Q278" t="s">
        <v>419</v>
      </c>
      <c r="R278" t="s">
        <v>420</v>
      </c>
    </row>
    <row r="279" spans="1:18" x14ac:dyDescent="0.25">
      <c r="A279" s="3">
        <f t="shared" si="23"/>
        <v>44472</v>
      </c>
      <c r="B279">
        <f t="shared" si="20"/>
        <v>7</v>
      </c>
      <c r="C279">
        <f t="shared" si="24"/>
        <v>0</v>
      </c>
      <c r="D279">
        <f t="shared" si="21"/>
        <v>0</v>
      </c>
      <c r="E279">
        <f>IF($B$2&lt;&gt;$I$3,COUNTIF(Tab_fériés[date],A279),0)</f>
        <v>0</v>
      </c>
      <c r="F279">
        <f t="shared" si="22"/>
        <v>0</v>
      </c>
      <c r="O279" s="3">
        <v>46860</v>
      </c>
      <c r="P279">
        <v>2028</v>
      </c>
      <c r="Q279" t="s">
        <v>419</v>
      </c>
      <c r="R279" t="s">
        <v>421</v>
      </c>
    </row>
    <row r="280" spans="1:18" x14ac:dyDescent="0.25">
      <c r="A280" s="3">
        <f t="shared" si="23"/>
        <v>44473</v>
      </c>
      <c r="B280">
        <f t="shared" si="20"/>
        <v>1</v>
      </c>
      <c r="C280">
        <f t="shared" si="24"/>
        <v>0</v>
      </c>
      <c r="D280">
        <f t="shared" si="21"/>
        <v>0</v>
      </c>
      <c r="E280">
        <f>IF($B$2&lt;&gt;$I$3,COUNTIF(Tab_fériés[date],A280),0)</f>
        <v>0</v>
      </c>
      <c r="F280">
        <f t="shared" si="22"/>
        <v>0</v>
      </c>
      <c r="O280" s="3">
        <v>46874</v>
      </c>
      <c r="P280">
        <v>2028</v>
      </c>
      <c r="Q280" t="s">
        <v>419</v>
      </c>
      <c r="R280" t="s">
        <v>422</v>
      </c>
    </row>
    <row r="281" spans="1:18" x14ac:dyDescent="0.25">
      <c r="A281" s="3">
        <f t="shared" si="23"/>
        <v>44474</v>
      </c>
      <c r="B281">
        <f t="shared" si="20"/>
        <v>2</v>
      </c>
      <c r="C281">
        <f t="shared" si="24"/>
        <v>0</v>
      </c>
      <c r="D281">
        <f t="shared" si="21"/>
        <v>0</v>
      </c>
      <c r="E281">
        <f>IF($B$2&lt;&gt;$I$3,COUNTIF(Tab_fériés[date],A281),0)</f>
        <v>0</v>
      </c>
      <c r="F281">
        <f t="shared" si="22"/>
        <v>0</v>
      </c>
      <c r="O281" s="3">
        <v>46881</v>
      </c>
      <c r="P281">
        <v>2028</v>
      </c>
      <c r="Q281" t="s">
        <v>419</v>
      </c>
      <c r="R281" s="208">
        <v>45054</v>
      </c>
    </row>
    <row r="282" spans="1:18" x14ac:dyDescent="0.25">
      <c r="A282" s="3">
        <f t="shared" si="23"/>
        <v>44475</v>
      </c>
      <c r="B282">
        <f t="shared" si="20"/>
        <v>3</v>
      </c>
      <c r="C282">
        <f t="shared" si="24"/>
        <v>0</v>
      </c>
      <c r="D282">
        <f t="shared" si="21"/>
        <v>0</v>
      </c>
      <c r="E282">
        <f>IF($B$2&lt;&gt;$I$3,COUNTIF(Tab_fériés[date],A282),0)</f>
        <v>0</v>
      </c>
      <c r="F282">
        <f t="shared" si="22"/>
        <v>0</v>
      </c>
      <c r="O282" s="3">
        <v>46898</v>
      </c>
      <c r="P282">
        <v>2028</v>
      </c>
      <c r="Q282" t="s">
        <v>419</v>
      </c>
      <c r="R282" t="s">
        <v>423</v>
      </c>
    </row>
    <row r="283" spans="1:18" x14ac:dyDescent="0.25">
      <c r="A283" s="3">
        <f t="shared" si="23"/>
        <v>44476</v>
      </c>
      <c r="B283">
        <f t="shared" si="20"/>
        <v>4</v>
      </c>
      <c r="C283">
        <f t="shared" si="24"/>
        <v>0</v>
      </c>
      <c r="D283">
        <f t="shared" si="21"/>
        <v>0</v>
      </c>
      <c r="E283">
        <f>IF($B$2&lt;&gt;$I$3,COUNTIF(Tab_fériés[date],A283),0)</f>
        <v>0</v>
      </c>
      <c r="F283">
        <f t="shared" si="22"/>
        <v>0</v>
      </c>
      <c r="O283" s="3">
        <v>46909</v>
      </c>
      <c r="P283">
        <v>2028</v>
      </c>
      <c r="Q283" t="s">
        <v>419</v>
      </c>
      <c r="R283" t="s">
        <v>424</v>
      </c>
    </row>
    <row r="284" spans="1:18" x14ac:dyDescent="0.25">
      <c r="A284" s="3">
        <f t="shared" si="23"/>
        <v>44477</v>
      </c>
      <c r="B284">
        <f t="shared" si="20"/>
        <v>5</v>
      </c>
      <c r="C284">
        <f t="shared" si="24"/>
        <v>0</v>
      </c>
      <c r="D284">
        <f t="shared" si="21"/>
        <v>0</v>
      </c>
      <c r="E284">
        <f>IF($B$2&lt;&gt;$I$3,COUNTIF(Tab_fériés[date],A284),0)</f>
        <v>0</v>
      </c>
      <c r="F284">
        <f t="shared" si="22"/>
        <v>0</v>
      </c>
      <c r="O284" s="3">
        <v>46948</v>
      </c>
      <c r="P284">
        <v>2028</v>
      </c>
      <c r="Q284" t="s">
        <v>419</v>
      </c>
      <c r="R284" s="208">
        <v>45121</v>
      </c>
    </row>
    <row r="285" spans="1:18" x14ac:dyDescent="0.25">
      <c r="A285" s="3">
        <f t="shared" si="23"/>
        <v>44478</v>
      </c>
      <c r="B285">
        <f t="shared" si="20"/>
        <v>6</v>
      </c>
      <c r="C285">
        <f t="shared" si="24"/>
        <v>0</v>
      </c>
      <c r="D285">
        <f t="shared" si="21"/>
        <v>0</v>
      </c>
      <c r="E285">
        <f>IF($B$2&lt;&gt;$I$3,COUNTIF(Tab_fériés[date],A285),0)</f>
        <v>0</v>
      </c>
      <c r="F285">
        <f t="shared" si="22"/>
        <v>0</v>
      </c>
      <c r="O285" s="3">
        <v>46980</v>
      </c>
      <c r="P285">
        <v>2028</v>
      </c>
      <c r="Q285" t="s">
        <v>419</v>
      </c>
      <c r="R285" t="s">
        <v>425</v>
      </c>
    </row>
    <row r="286" spans="1:18" x14ac:dyDescent="0.25">
      <c r="A286" s="3">
        <f t="shared" si="23"/>
        <v>44479</v>
      </c>
      <c r="B286">
        <f t="shared" si="20"/>
        <v>7</v>
      </c>
      <c r="C286">
        <f t="shared" si="24"/>
        <v>0</v>
      </c>
      <c r="D286">
        <f t="shared" si="21"/>
        <v>0</v>
      </c>
      <c r="E286">
        <f>IF($B$2&lt;&gt;$I$3,COUNTIF(Tab_fériés[date],A286),0)</f>
        <v>0</v>
      </c>
      <c r="F286">
        <f t="shared" si="22"/>
        <v>0</v>
      </c>
      <c r="O286" s="3">
        <v>47058</v>
      </c>
      <c r="P286">
        <v>2028</v>
      </c>
      <c r="Q286" t="s">
        <v>419</v>
      </c>
      <c r="R286" t="s">
        <v>426</v>
      </c>
    </row>
    <row r="287" spans="1:18" x14ac:dyDescent="0.25">
      <c r="A287" s="3">
        <f t="shared" si="23"/>
        <v>44480</v>
      </c>
      <c r="B287">
        <f t="shared" si="20"/>
        <v>1</v>
      </c>
      <c r="C287">
        <f t="shared" si="24"/>
        <v>0</v>
      </c>
      <c r="D287">
        <f t="shared" si="21"/>
        <v>0</v>
      </c>
      <c r="E287">
        <f>IF($B$2&lt;&gt;$I$3,COUNTIF(Tab_fériés[date],A287),0)</f>
        <v>0</v>
      </c>
      <c r="F287">
        <f t="shared" si="22"/>
        <v>0</v>
      </c>
      <c r="O287" s="3">
        <v>47068</v>
      </c>
      <c r="P287">
        <v>2028</v>
      </c>
      <c r="Q287" t="s">
        <v>419</v>
      </c>
      <c r="R287" s="208">
        <v>45241</v>
      </c>
    </row>
    <row r="288" spans="1:18" x14ac:dyDescent="0.25">
      <c r="A288" s="3">
        <f t="shared" si="23"/>
        <v>44481</v>
      </c>
      <c r="B288">
        <f t="shared" si="20"/>
        <v>2</v>
      </c>
      <c r="C288">
        <f t="shared" si="24"/>
        <v>0</v>
      </c>
      <c r="D288">
        <f t="shared" si="21"/>
        <v>0</v>
      </c>
      <c r="E288">
        <f>IF($B$2&lt;&gt;$I$3,COUNTIF(Tab_fériés[date],A288),0)</f>
        <v>0</v>
      </c>
      <c r="F288">
        <f t="shared" si="22"/>
        <v>0</v>
      </c>
      <c r="O288" s="3">
        <v>47112</v>
      </c>
      <c r="P288">
        <v>2028</v>
      </c>
      <c r="Q288" t="s">
        <v>419</v>
      </c>
      <c r="R288" t="s">
        <v>427</v>
      </c>
    </row>
    <row r="289" spans="1:6" x14ac:dyDescent="0.25">
      <c r="A289" s="3">
        <f t="shared" si="23"/>
        <v>44482</v>
      </c>
      <c r="B289">
        <f t="shared" si="20"/>
        <v>3</v>
      </c>
      <c r="C289">
        <f t="shared" si="24"/>
        <v>0</v>
      </c>
      <c r="D289">
        <f t="shared" si="21"/>
        <v>0</v>
      </c>
      <c r="E289">
        <f>IF($B$2&lt;&gt;$I$3,COUNTIF(Tab_fériés[date],A289),0)</f>
        <v>0</v>
      </c>
      <c r="F289">
        <f t="shared" si="22"/>
        <v>0</v>
      </c>
    </row>
    <row r="290" spans="1:6" x14ac:dyDescent="0.25">
      <c r="A290" s="3">
        <f t="shared" si="23"/>
        <v>44483</v>
      </c>
      <c r="B290">
        <f t="shared" si="20"/>
        <v>4</v>
      </c>
      <c r="C290">
        <f t="shared" si="24"/>
        <v>0</v>
      </c>
      <c r="D290">
        <f t="shared" si="21"/>
        <v>0</v>
      </c>
      <c r="E290">
        <f>IF($B$2&lt;&gt;$I$3,COUNTIF(Tab_fériés[date],A290),0)</f>
        <v>0</v>
      </c>
      <c r="F290">
        <f t="shared" si="22"/>
        <v>0</v>
      </c>
    </row>
    <row r="291" spans="1:6" x14ac:dyDescent="0.25">
      <c r="A291" s="3">
        <f t="shared" si="23"/>
        <v>44484</v>
      </c>
      <c r="B291">
        <f t="shared" si="20"/>
        <v>5</v>
      </c>
      <c r="C291">
        <f t="shared" si="24"/>
        <v>0</v>
      </c>
      <c r="D291">
        <f t="shared" si="21"/>
        <v>0</v>
      </c>
      <c r="E291">
        <f>IF($B$2&lt;&gt;$I$3,COUNTIF(Tab_fériés[date],A291),0)</f>
        <v>0</v>
      </c>
      <c r="F291">
        <f t="shared" si="22"/>
        <v>0</v>
      </c>
    </row>
    <row r="292" spans="1:6" x14ac:dyDescent="0.25">
      <c r="A292" s="3">
        <f t="shared" si="23"/>
        <v>44485</v>
      </c>
      <c r="B292">
        <f t="shared" si="20"/>
        <v>6</v>
      </c>
      <c r="C292">
        <f t="shared" si="24"/>
        <v>0</v>
      </c>
      <c r="D292">
        <f t="shared" si="21"/>
        <v>0</v>
      </c>
      <c r="E292">
        <f>IF($B$2&lt;&gt;$I$3,COUNTIF(Tab_fériés[date],A292),0)</f>
        <v>0</v>
      </c>
      <c r="F292">
        <f t="shared" si="22"/>
        <v>0</v>
      </c>
    </row>
    <row r="293" spans="1:6" x14ac:dyDescent="0.25">
      <c r="A293" s="3">
        <f t="shared" si="23"/>
        <v>44486</v>
      </c>
      <c r="B293">
        <f t="shared" si="20"/>
        <v>7</v>
      </c>
      <c r="C293">
        <f t="shared" si="24"/>
        <v>0</v>
      </c>
      <c r="D293">
        <f t="shared" si="21"/>
        <v>0</v>
      </c>
      <c r="E293">
        <f>IF($B$2&lt;&gt;$I$3,COUNTIF(Tab_fériés[date],A293),0)</f>
        <v>0</v>
      </c>
      <c r="F293">
        <f t="shared" si="22"/>
        <v>0</v>
      </c>
    </row>
    <row r="294" spans="1:6" x14ac:dyDescent="0.25">
      <c r="A294" s="3">
        <f t="shared" si="23"/>
        <v>44487</v>
      </c>
      <c r="B294">
        <f t="shared" si="20"/>
        <v>1</v>
      </c>
      <c r="C294">
        <f t="shared" si="24"/>
        <v>0</v>
      </c>
      <c r="D294">
        <f t="shared" si="21"/>
        <v>0</v>
      </c>
      <c r="E294">
        <f>IF($B$2&lt;&gt;$I$3,COUNTIF(Tab_fériés[date],A294),0)</f>
        <v>0</v>
      </c>
      <c r="F294">
        <f t="shared" si="22"/>
        <v>0</v>
      </c>
    </row>
    <row r="295" spans="1:6" x14ac:dyDescent="0.25">
      <c r="A295" s="3">
        <f t="shared" si="23"/>
        <v>44488</v>
      </c>
      <c r="B295">
        <f t="shared" si="20"/>
        <v>2</v>
      </c>
      <c r="C295">
        <f t="shared" si="24"/>
        <v>0</v>
      </c>
      <c r="D295">
        <f t="shared" si="21"/>
        <v>0</v>
      </c>
      <c r="E295">
        <f>IF($B$2&lt;&gt;$I$3,COUNTIF(Tab_fériés[date],A295),0)</f>
        <v>0</v>
      </c>
      <c r="F295">
        <f t="shared" si="22"/>
        <v>0</v>
      </c>
    </row>
    <row r="296" spans="1:6" x14ac:dyDescent="0.25">
      <c r="A296" s="3">
        <f t="shared" si="23"/>
        <v>44489</v>
      </c>
      <c r="B296">
        <f t="shared" si="20"/>
        <v>3</v>
      </c>
      <c r="C296">
        <f t="shared" si="24"/>
        <v>0</v>
      </c>
      <c r="D296">
        <f t="shared" si="21"/>
        <v>0</v>
      </c>
      <c r="E296">
        <f>IF($B$2&lt;&gt;$I$3,COUNTIF(Tab_fériés[date],A296),0)</f>
        <v>0</v>
      </c>
      <c r="F296">
        <f t="shared" si="22"/>
        <v>0</v>
      </c>
    </row>
    <row r="297" spans="1:6" x14ac:dyDescent="0.25">
      <c r="A297" s="3">
        <f t="shared" si="23"/>
        <v>44490</v>
      </c>
      <c r="B297">
        <f t="shared" si="20"/>
        <v>4</v>
      </c>
      <c r="C297">
        <f t="shared" si="24"/>
        <v>0</v>
      </c>
      <c r="D297">
        <f t="shared" si="21"/>
        <v>0</v>
      </c>
      <c r="E297">
        <f>IF($B$2&lt;&gt;$I$3,COUNTIF(Tab_fériés[date],A297),0)</f>
        <v>0</v>
      </c>
      <c r="F297">
        <f t="shared" si="22"/>
        <v>0</v>
      </c>
    </row>
    <row r="298" spans="1:6" x14ac:dyDescent="0.25">
      <c r="A298" s="3">
        <f t="shared" si="23"/>
        <v>44491</v>
      </c>
      <c r="B298">
        <f t="shared" si="20"/>
        <v>5</v>
      </c>
      <c r="C298">
        <f t="shared" si="24"/>
        <v>0</v>
      </c>
      <c r="D298">
        <f t="shared" si="21"/>
        <v>0</v>
      </c>
      <c r="E298">
        <f>IF($B$2&lt;&gt;$I$3,COUNTIF(Tab_fériés[date],A298),0)</f>
        <v>0</v>
      </c>
      <c r="F298">
        <f t="shared" si="22"/>
        <v>0</v>
      </c>
    </row>
    <row r="299" spans="1:6" x14ac:dyDescent="0.25">
      <c r="A299" s="3">
        <f t="shared" si="23"/>
        <v>44492</v>
      </c>
      <c r="B299">
        <f t="shared" si="20"/>
        <v>6</v>
      </c>
      <c r="C299">
        <f t="shared" si="24"/>
        <v>0</v>
      </c>
      <c r="D299">
        <f t="shared" si="21"/>
        <v>0</v>
      </c>
      <c r="E299">
        <f>IF($B$2&lt;&gt;$I$3,COUNTIF(Tab_fériés[date],A299),0)</f>
        <v>0</v>
      </c>
      <c r="F299">
        <f t="shared" si="22"/>
        <v>0</v>
      </c>
    </row>
    <row r="300" spans="1:6" x14ac:dyDescent="0.25">
      <c r="A300" s="3">
        <f t="shared" si="23"/>
        <v>44493</v>
      </c>
      <c r="B300">
        <f t="shared" si="20"/>
        <v>7</v>
      </c>
      <c r="C300">
        <f t="shared" si="24"/>
        <v>0</v>
      </c>
      <c r="D300">
        <f t="shared" si="21"/>
        <v>0</v>
      </c>
      <c r="E300">
        <f>IF($B$2&lt;&gt;$I$3,COUNTIF(Tab_fériés[date],A300),0)</f>
        <v>0</v>
      </c>
      <c r="F300">
        <f t="shared" si="22"/>
        <v>0</v>
      </c>
    </row>
    <row r="301" spans="1:6" x14ac:dyDescent="0.25">
      <c r="A301" s="3">
        <f t="shared" si="23"/>
        <v>44494</v>
      </c>
      <c r="B301">
        <f t="shared" si="20"/>
        <v>1</v>
      </c>
      <c r="C301">
        <f t="shared" si="24"/>
        <v>0</v>
      </c>
      <c r="D301">
        <f t="shared" si="21"/>
        <v>0</v>
      </c>
      <c r="E301">
        <f>IF($B$2&lt;&gt;$I$3,COUNTIF(Tab_fériés[date],A301),0)</f>
        <v>0</v>
      </c>
      <c r="F301">
        <f t="shared" si="22"/>
        <v>0</v>
      </c>
    </row>
    <row r="302" spans="1:6" x14ac:dyDescent="0.25">
      <c r="A302" s="3">
        <f t="shared" si="23"/>
        <v>44495</v>
      </c>
      <c r="B302">
        <f t="shared" si="20"/>
        <v>2</v>
      </c>
      <c r="C302">
        <f t="shared" si="24"/>
        <v>0</v>
      </c>
      <c r="D302">
        <f t="shared" si="21"/>
        <v>0</v>
      </c>
      <c r="E302">
        <f>IF($B$2&lt;&gt;$I$3,COUNTIF(Tab_fériés[date],A302),0)</f>
        <v>0</v>
      </c>
      <c r="F302">
        <f t="shared" si="22"/>
        <v>0</v>
      </c>
    </row>
    <row r="303" spans="1:6" x14ac:dyDescent="0.25">
      <c r="A303" s="3">
        <f t="shared" si="23"/>
        <v>44496</v>
      </c>
      <c r="B303">
        <f t="shared" si="20"/>
        <v>3</v>
      </c>
      <c r="C303">
        <f t="shared" si="24"/>
        <v>0</v>
      </c>
      <c r="D303">
        <f t="shared" si="21"/>
        <v>0</v>
      </c>
      <c r="E303">
        <f>IF($B$2&lt;&gt;$I$3,COUNTIF(Tab_fériés[date],A303),0)</f>
        <v>0</v>
      </c>
      <c r="F303">
        <f t="shared" si="22"/>
        <v>0</v>
      </c>
    </row>
    <row r="304" spans="1:6" x14ac:dyDescent="0.25">
      <c r="A304" s="3">
        <f t="shared" si="23"/>
        <v>44497</v>
      </c>
      <c r="B304">
        <f t="shared" si="20"/>
        <v>4</v>
      </c>
      <c r="C304">
        <f t="shared" si="24"/>
        <v>0</v>
      </c>
      <c r="D304">
        <f t="shared" si="21"/>
        <v>0</v>
      </c>
      <c r="E304">
        <f>IF($B$2&lt;&gt;$I$3,COUNTIF(Tab_fériés[date],A304),0)</f>
        <v>0</v>
      </c>
      <c r="F304">
        <f t="shared" si="22"/>
        <v>0</v>
      </c>
    </row>
    <row r="305" spans="1:6" x14ac:dyDescent="0.25">
      <c r="A305" s="3">
        <f t="shared" si="23"/>
        <v>44498</v>
      </c>
      <c r="B305">
        <f t="shared" si="20"/>
        <v>5</v>
      </c>
      <c r="C305">
        <f t="shared" si="24"/>
        <v>0</v>
      </c>
      <c r="D305">
        <f t="shared" si="21"/>
        <v>0</v>
      </c>
      <c r="E305">
        <f>IF($B$2&lt;&gt;$I$3,COUNTIF(Tab_fériés[date],A305),0)</f>
        <v>0</v>
      </c>
      <c r="F305">
        <f t="shared" si="22"/>
        <v>0</v>
      </c>
    </row>
    <row r="306" spans="1:6" x14ac:dyDescent="0.25">
      <c r="A306" s="3">
        <f t="shared" si="23"/>
        <v>44499</v>
      </c>
      <c r="B306">
        <f t="shared" si="20"/>
        <v>6</v>
      </c>
      <c r="C306">
        <f t="shared" si="24"/>
        <v>0</v>
      </c>
      <c r="D306">
        <f t="shared" si="21"/>
        <v>0</v>
      </c>
      <c r="E306">
        <f>IF($B$2&lt;&gt;$I$3,COUNTIF(Tab_fériés[date],A306),0)</f>
        <v>0</v>
      </c>
      <c r="F306">
        <f t="shared" si="22"/>
        <v>0</v>
      </c>
    </row>
    <row r="307" spans="1:6" x14ac:dyDescent="0.25">
      <c r="A307" s="3">
        <f t="shared" si="23"/>
        <v>44500</v>
      </c>
      <c r="B307">
        <f t="shared" si="20"/>
        <v>7</v>
      </c>
      <c r="C307">
        <f t="shared" si="24"/>
        <v>0</v>
      </c>
      <c r="D307">
        <f t="shared" si="21"/>
        <v>0</v>
      </c>
      <c r="E307">
        <f>IF($B$2&lt;&gt;$I$3,COUNTIF(Tab_fériés[date],A307),0)</f>
        <v>0</v>
      </c>
      <c r="F307">
        <f t="shared" si="22"/>
        <v>0</v>
      </c>
    </row>
    <row r="308" spans="1:6" x14ac:dyDescent="0.25">
      <c r="A308" s="3">
        <f t="shared" si="23"/>
        <v>44501</v>
      </c>
      <c r="B308">
        <f t="shared" si="20"/>
        <v>1</v>
      </c>
      <c r="C308">
        <f t="shared" si="24"/>
        <v>0</v>
      </c>
      <c r="D308">
        <f t="shared" si="21"/>
        <v>0</v>
      </c>
      <c r="E308">
        <f>IF($B$2&lt;&gt;$I$3,COUNTIF(Tab_fériés[date],A308),0)</f>
        <v>0</v>
      </c>
      <c r="F308">
        <f t="shared" si="22"/>
        <v>0</v>
      </c>
    </row>
    <row r="309" spans="1:6" x14ac:dyDescent="0.25">
      <c r="A309" s="3">
        <f t="shared" si="23"/>
        <v>44502</v>
      </c>
      <c r="B309">
        <f t="shared" si="20"/>
        <v>2</v>
      </c>
      <c r="C309">
        <f t="shared" si="24"/>
        <v>0</v>
      </c>
      <c r="D309">
        <f t="shared" si="21"/>
        <v>0</v>
      </c>
      <c r="E309">
        <f>IF($B$2&lt;&gt;$I$3,COUNTIF(Tab_fériés[date],A309),0)</f>
        <v>0</v>
      </c>
      <c r="F309">
        <f t="shared" si="22"/>
        <v>0</v>
      </c>
    </row>
    <row r="310" spans="1:6" x14ac:dyDescent="0.25">
      <c r="A310" s="3">
        <f t="shared" si="23"/>
        <v>44503</v>
      </c>
      <c r="B310">
        <f t="shared" si="20"/>
        <v>3</v>
      </c>
      <c r="C310">
        <f t="shared" si="24"/>
        <v>0</v>
      </c>
      <c r="D310">
        <f t="shared" si="21"/>
        <v>0</v>
      </c>
      <c r="E310">
        <f>IF($B$2&lt;&gt;$I$3,COUNTIF(Tab_fériés[date],A310),0)</f>
        <v>0</v>
      </c>
      <c r="F310">
        <f t="shared" si="22"/>
        <v>0</v>
      </c>
    </row>
    <row r="311" spans="1:6" x14ac:dyDescent="0.25">
      <c r="A311" s="3">
        <f t="shared" si="23"/>
        <v>44504</v>
      </c>
      <c r="B311">
        <f t="shared" si="20"/>
        <v>4</v>
      </c>
      <c r="C311">
        <f t="shared" si="24"/>
        <v>0</v>
      </c>
      <c r="D311">
        <f t="shared" si="21"/>
        <v>0</v>
      </c>
      <c r="E311">
        <f>IF($B$2&lt;&gt;$I$3,COUNTIF(Tab_fériés[date],A311),0)</f>
        <v>0</v>
      </c>
      <c r="F311">
        <f t="shared" si="22"/>
        <v>0</v>
      </c>
    </row>
    <row r="312" spans="1:6" x14ac:dyDescent="0.25">
      <c r="A312" s="3">
        <f t="shared" si="23"/>
        <v>44505</v>
      </c>
      <c r="B312">
        <f t="shared" si="20"/>
        <v>5</v>
      </c>
      <c r="C312">
        <f t="shared" si="24"/>
        <v>0</v>
      </c>
      <c r="D312">
        <f t="shared" si="21"/>
        <v>0</v>
      </c>
      <c r="E312">
        <f>IF($B$2&lt;&gt;$I$3,COUNTIF(Tab_fériés[date],A312),0)</f>
        <v>0</v>
      </c>
      <c r="F312">
        <f t="shared" si="22"/>
        <v>0</v>
      </c>
    </row>
    <row r="313" spans="1:6" x14ac:dyDescent="0.25">
      <c r="A313" s="3">
        <f t="shared" si="23"/>
        <v>44506</v>
      </c>
      <c r="B313">
        <f t="shared" si="20"/>
        <v>6</v>
      </c>
      <c r="C313">
        <f t="shared" si="24"/>
        <v>0</v>
      </c>
      <c r="D313">
        <f t="shared" si="21"/>
        <v>0</v>
      </c>
      <c r="E313">
        <f>IF($B$2&lt;&gt;$I$3,COUNTIF(Tab_fériés[date],A313),0)</f>
        <v>0</v>
      </c>
      <c r="F313">
        <f t="shared" si="22"/>
        <v>0</v>
      </c>
    </row>
    <row r="314" spans="1:6" x14ac:dyDescent="0.25">
      <c r="A314" s="3">
        <f t="shared" si="23"/>
        <v>44507</v>
      </c>
      <c r="B314">
        <f t="shared" si="20"/>
        <v>7</v>
      </c>
      <c r="C314">
        <f t="shared" si="24"/>
        <v>0</v>
      </c>
      <c r="D314">
        <f t="shared" si="21"/>
        <v>0</v>
      </c>
      <c r="E314">
        <f>IF($B$2&lt;&gt;$I$3,COUNTIF(Tab_fériés[date],A314),0)</f>
        <v>0</v>
      </c>
      <c r="F314">
        <f t="shared" si="22"/>
        <v>0</v>
      </c>
    </row>
    <row r="315" spans="1:6" x14ac:dyDescent="0.25">
      <c r="A315" s="3">
        <f t="shared" si="23"/>
        <v>44508</v>
      </c>
      <c r="B315">
        <f t="shared" si="20"/>
        <v>1</v>
      </c>
      <c r="C315">
        <f t="shared" si="24"/>
        <v>0</v>
      </c>
      <c r="D315">
        <f t="shared" si="21"/>
        <v>0</v>
      </c>
      <c r="E315">
        <f>IF($B$2&lt;&gt;$I$3,COUNTIF(Tab_fériés[date],A315),0)</f>
        <v>0</v>
      </c>
      <c r="F315">
        <f t="shared" si="22"/>
        <v>0</v>
      </c>
    </row>
    <row r="316" spans="1:6" x14ac:dyDescent="0.25">
      <c r="A316" s="3">
        <f t="shared" si="23"/>
        <v>44509</v>
      </c>
      <c r="B316">
        <f t="shared" si="20"/>
        <v>2</v>
      </c>
      <c r="C316">
        <f t="shared" si="24"/>
        <v>0</v>
      </c>
      <c r="D316">
        <f t="shared" si="21"/>
        <v>0</v>
      </c>
      <c r="E316">
        <f>IF($B$2&lt;&gt;$I$3,COUNTIF(Tab_fériés[date],A316),0)</f>
        <v>0</v>
      </c>
      <c r="F316">
        <f t="shared" si="22"/>
        <v>0</v>
      </c>
    </row>
    <row r="317" spans="1:6" x14ac:dyDescent="0.25">
      <c r="A317" s="3">
        <f t="shared" si="23"/>
        <v>44510</v>
      </c>
      <c r="B317">
        <f t="shared" si="20"/>
        <v>3</v>
      </c>
      <c r="C317">
        <f t="shared" si="24"/>
        <v>0</v>
      </c>
      <c r="D317">
        <f t="shared" si="21"/>
        <v>0</v>
      </c>
      <c r="E317">
        <f>IF($B$2&lt;&gt;$I$3,COUNTIF(Tab_fériés[date],A317),0)</f>
        <v>0</v>
      </c>
      <c r="F317">
        <f t="shared" si="22"/>
        <v>0</v>
      </c>
    </row>
    <row r="318" spans="1:6" x14ac:dyDescent="0.25">
      <c r="A318" s="3">
        <f t="shared" si="23"/>
        <v>44511</v>
      </c>
      <c r="B318">
        <f t="shared" si="20"/>
        <v>4</v>
      </c>
      <c r="C318">
        <f t="shared" si="24"/>
        <v>0</v>
      </c>
      <c r="D318">
        <f t="shared" si="21"/>
        <v>0</v>
      </c>
      <c r="E318">
        <f>IF($B$2&lt;&gt;$I$3,COUNTIF(Tab_fériés[date],A318),0)</f>
        <v>0</v>
      </c>
      <c r="F318">
        <f t="shared" si="22"/>
        <v>0</v>
      </c>
    </row>
    <row r="319" spans="1:6" x14ac:dyDescent="0.25">
      <c r="A319" s="3">
        <f t="shared" si="23"/>
        <v>44512</v>
      </c>
      <c r="B319">
        <f t="shared" si="20"/>
        <v>5</v>
      </c>
      <c r="C319">
        <f t="shared" si="24"/>
        <v>0</v>
      </c>
      <c r="D319">
        <f t="shared" si="21"/>
        <v>0</v>
      </c>
      <c r="E319">
        <f>IF($B$2&lt;&gt;$I$3,COUNTIF(Tab_fériés[date],A319),0)</f>
        <v>0</v>
      </c>
      <c r="F319">
        <f t="shared" si="22"/>
        <v>0</v>
      </c>
    </row>
    <row r="320" spans="1:6" x14ac:dyDescent="0.25">
      <c r="A320" s="3">
        <f t="shared" si="23"/>
        <v>44513</v>
      </c>
      <c r="B320">
        <f t="shared" si="20"/>
        <v>6</v>
      </c>
      <c r="C320">
        <f t="shared" si="24"/>
        <v>0</v>
      </c>
      <c r="D320">
        <f t="shared" si="21"/>
        <v>0</v>
      </c>
      <c r="E320">
        <f>IF($B$2&lt;&gt;$I$3,COUNTIF(Tab_fériés[date],A320),0)</f>
        <v>0</v>
      </c>
      <c r="F320">
        <f t="shared" si="22"/>
        <v>0</v>
      </c>
    </row>
    <row r="321" spans="1:6" x14ac:dyDescent="0.25">
      <c r="A321" s="3">
        <f t="shared" si="23"/>
        <v>44514</v>
      </c>
      <c r="B321">
        <f t="shared" si="20"/>
        <v>7</v>
      </c>
      <c r="C321">
        <f t="shared" si="24"/>
        <v>0</v>
      </c>
      <c r="D321">
        <f t="shared" si="21"/>
        <v>0</v>
      </c>
      <c r="E321">
        <f>IF($B$2&lt;&gt;$I$3,COUNTIF(Tab_fériés[date],A321),0)</f>
        <v>0</v>
      </c>
      <c r="F321">
        <f t="shared" si="22"/>
        <v>0</v>
      </c>
    </row>
    <row r="322" spans="1:6" x14ac:dyDescent="0.25">
      <c r="A322" s="3">
        <f t="shared" si="23"/>
        <v>44515</v>
      </c>
      <c r="B322">
        <f t="shared" si="20"/>
        <v>1</v>
      </c>
      <c r="C322">
        <f t="shared" si="24"/>
        <v>0</v>
      </c>
      <c r="D322">
        <f t="shared" si="21"/>
        <v>0</v>
      </c>
      <c r="E322">
        <f>IF($B$2&lt;&gt;$I$3,COUNTIF(Tab_fériés[date],A322),0)</f>
        <v>0</v>
      </c>
      <c r="F322">
        <f t="shared" si="22"/>
        <v>0</v>
      </c>
    </row>
    <row r="323" spans="1:6" x14ac:dyDescent="0.25">
      <c r="A323" s="3">
        <f t="shared" si="23"/>
        <v>44516</v>
      </c>
      <c r="B323">
        <f t="shared" si="20"/>
        <v>2</v>
      </c>
      <c r="C323">
        <f t="shared" si="24"/>
        <v>0</v>
      </c>
      <c r="D323">
        <f t="shared" si="21"/>
        <v>0</v>
      </c>
      <c r="E323">
        <f>IF($B$2&lt;&gt;$I$3,COUNTIF(Tab_fériés[date],A323),0)</f>
        <v>0</v>
      </c>
      <c r="F323">
        <f t="shared" si="22"/>
        <v>0</v>
      </c>
    </row>
    <row r="324" spans="1:6" x14ac:dyDescent="0.25">
      <c r="A324" s="3">
        <f t="shared" si="23"/>
        <v>44517</v>
      </c>
      <c r="B324">
        <f t="shared" si="20"/>
        <v>3</v>
      </c>
      <c r="C324">
        <f t="shared" si="24"/>
        <v>0</v>
      </c>
      <c r="D324">
        <f t="shared" si="21"/>
        <v>0</v>
      </c>
      <c r="E324">
        <f>IF($B$2&lt;&gt;$I$3,COUNTIF(Tab_fériés[date],A324),0)</f>
        <v>0</v>
      </c>
      <c r="F324">
        <f t="shared" si="22"/>
        <v>0</v>
      </c>
    </row>
    <row r="325" spans="1:6" x14ac:dyDescent="0.25">
      <c r="A325" s="3">
        <f t="shared" si="23"/>
        <v>44518</v>
      </c>
      <c r="B325">
        <f t="shared" ref="B325:B369" si="25">WEEKDAY(A325,2)</f>
        <v>4</v>
      </c>
      <c r="C325">
        <f t="shared" si="24"/>
        <v>0</v>
      </c>
      <c r="D325">
        <f t="shared" ref="D325:D369" si="26">IF(AND(B325=7,$B$2&lt;&gt;$I$3),1,0)</f>
        <v>0</v>
      </c>
      <c r="E325">
        <f>IF($B$2&lt;&gt;$I$3,COUNTIF(Tab_fériés[date],A325),0)</f>
        <v>0</v>
      </c>
      <c r="F325">
        <f t="shared" ref="F325:F369" si="27">IFERROR(IF(SUM(C325:E325)&gt;0,1,0),0)</f>
        <v>0</v>
      </c>
    </row>
    <row r="326" spans="1:6" x14ac:dyDescent="0.25">
      <c r="A326" s="3">
        <f t="shared" ref="A326:A367" si="28">A325+1</f>
        <v>44519</v>
      </c>
      <c r="B326">
        <f t="shared" si="25"/>
        <v>5</v>
      </c>
      <c r="C326">
        <f t="shared" ref="C326:C369" si="29">IF(AND(B326=6,$B$2&lt;&gt;$I$3,$B$2&lt;&gt;$I$5),1,0)</f>
        <v>0</v>
      </c>
      <c r="D326">
        <f t="shared" si="26"/>
        <v>0</v>
      </c>
      <c r="E326">
        <f>IF($B$2&lt;&gt;$I$3,COUNTIF(Tab_fériés[date],A326),0)</f>
        <v>0</v>
      </c>
      <c r="F326">
        <f t="shared" si="27"/>
        <v>0</v>
      </c>
    </row>
    <row r="327" spans="1:6" x14ac:dyDescent="0.25">
      <c r="A327" s="3">
        <f t="shared" si="28"/>
        <v>44520</v>
      </c>
      <c r="B327">
        <f t="shared" si="25"/>
        <v>6</v>
      </c>
      <c r="C327">
        <f t="shared" si="29"/>
        <v>0</v>
      </c>
      <c r="D327">
        <f t="shared" si="26"/>
        <v>0</v>
      </c>
      <c r="E327">
        <f>IF($B$2&lt;&gt;$I$3,COUNTIF(Tab_fériés[date],A327),0)</f>
        <v>0</v>
      </c>
      <c r="F327">
        <f t="shared" si="27"/>
        <v>0</v>
      </c>
    </row>
    <row r="328" spans="1:6" x14ac:dyDescent="0.25">
      <c r="A328" s="3">
        <f t="shared" si="28"/>
        <v>44521</v>
      </c>
      <c r="B328">
        <f t="shared" si="25"/>
        <v>7</v>
      </c>
      <c r="C328">
        <f t="shared" si="29"/>
        <v>0</v>
      </c>
      <c r="D328">
        <f t="shared" si="26"/>
        <v>0</v>
      </c>
      <c r="E328">
        <f>IF($B$2&lt;&gt;$I$3,COUNTIF(Tab_fériés[date],A328),0)</f>
        <v>0</v>
      </c>
      <c r="F328">
        <f t="shared" si="27"/>
        <v>0</v>
      </c>
    </row>
    <row r="329" spans="1:6" x14ac:dyDescent="0.25">
      <c r="A329" s="3">
        <f t="shared" si="28"/>
        <v>44522</v>
      </c>
      <c r="B329">
        <f t="shared" si="25"/>
        <v>1</v>
      </c>
      <c r="C329">
        <f t="shared" si="29"/>
        <v>0</v>
      </c>
      <c r="D329">
        <f t="shared" si="26"/>
        <v>0</v>
      </c>
      <c r="E329">
        <f>IF($B$2&lt;&gt;$I$3,COUNTIF(Tab_fériés[date],A329),0)</f>
        <v>0</v>
      </c>
      <c r="F329">
        <f t="shared" si="27"/>
        <v>0</v>
      </c>
    </row>
    <row r="330" spans="1:6" x14ac:dyDescent="0.25">
      <c r="A330" s="3">
        <f t="shared" si="28"/>
        <v>44523</v>
      </c>
      <c r="B330">
        <f t="shared" si="25"/>
        <v>2</v>
      </c>
      <c r="C330">
        <f t="shared" si="29"/>
        <v>0</v>
      </c>
      <c r="D330">
        <f t="shared" si="26"/>
        <v>0</v>
      </c>
      <c r="E330">
        <f>IF($B$2&lt;&gt;$I$3,COUNTIF(Tab_fériés[date],A330),0)</f>
        <v>0</v>
      </c>
      <c r="F330">
        <f t="shared" si="27"/>
        <v>0</v>
      </c>
    </row>
    <row r="331" spans="1:6" x14ac:dyDescent="0.25">
      <c r="A331" s="3">
        <f t="shared" si="28"/>
        <v>44524</v>
      </c>
      <c r="B331">
        <f t="shared" si="25"/>
        <v>3</v>
      </c>
      <c r="C331">
        <f t="shared" si="29"/>
        <v>0</v>
      </c>
      <c r="D331">
        <f t="shared" si="26"/>
        <v>0</v>
      </c>
      <c r="E331">
        <f>IF($B$2&lt;&gt;$I$3,COUNTIF(Tab_fériés[date],A331),0)</f>
        <v>0</v>
      </c>
      <c r="F331">
        <f t="shared" si="27"/>
        <v>0</v>
      </c>
    </row>
    <row r="332" spans="1:6" x14ac:dyDescent="0.25">
      <c r="A332" s="3">
        <f t="shared" si="28"/>
        <v>44525</v>
      </c>
      <c r="B332">
        <f t="shared" si="25"/>
        <v>4</v>
      </c>
      <c r="C332">
        <f t="shared" si="29"/>
        <v>0</v>
      </c>
      <c r="D332">
        <f t="shared" si="26"/>
        <v>0</v>
      </c>
      <c r="E332">
        <f>IF($B$2&lt;&gt;$I$3,COUNTIF(Tab_fériés[date],A332),0)</f>
        <v>0</v>
      </c>
      <c r="F332">
        <f t="shared" si="27"/>
        <v>0</v>
      </c>
    </row>
    <row r="333" spans="1:6" x14ac:dyDescent="0.25">
      <c r="A333" s="3">
        <f t="shared" si="28"/>
        <v>44526</v>
      </c>
      <c r="B333">
        <f t="shared" si="25"/>
        <v>5</v>
      </c>
      <c r="C333">
        <f t="shared" si="29"/>
        <v>0</v>
      </c>
      <c r="D333">
        <f t="shared" si="26"/>
        <v>0</v>
      </c>
      <c r="E333">
        <f>IF($B$2&lt;&gt;$I$3,COUNTIF(Tab_fériés[date],A333),0)</f>
        <v>0</v>
      </c>
      <c r="F333">
        <f t="shared" si="27"/>
        <v>0</v>
      </c>
    </row>
    <row r="334" spans="1:6" x14ac:dyDescent="0.25">
      <c r="A334" s="3">
        <f t="shared" si="28"/>
        <v>44527</v>
      </c>
      <c r="B334">
        <f t="shared" si="25"/>
        <v>6</v>
      </c>
      <c r="C334">
        <f t="shared" si="29"/>
        <v>0</v>
      </c>
      <c r="D334">
        <f t="shared" si="26"/>
        <v>0</v>
      </c>
      <c r="E334">
        <f>IF($B$2&lt;&gt;$I$3,COUNTIF(Tab_fériés[date],A334),0)</f>
        <v>0</v>
      </c>
      <c r="F334">
        <f t="shared" si="27"/>
        <v>0</v>
      </c>
    </row>
    <row r="335" spans="1:6" x14ac:dyDescent="0.25">
      <c r="A335" s="3">
        <f t="shared" si="28"/>
        <v>44528</v>
      </c>
      <c r="B335">
        <f t="shared" si="25"/>
        <v>7</v>
      </c>
      <c r="C335">
        <f t="shared" si="29"/>
        <v>0</v>
      </c>
      <c r="D335">
        <f t="shared" si="26"/>
        <v>0</v>
      </c>
      <c r="E335">
        <f>IF($B$2&lt;&gt;$I$3,COUNTIF(Tab_fériés[date],A335),0)</f>
        <v>0</v>
      </c>
      <c r="F335">
        <f t="shared" si="27"/>
        <v>0</v>
      </c>
    </row>
    <row r="336" spans="1:6" x14ac:dyDescent="0.25">
      <c r="A336" s="3">
        <f t="shared" si="28"/>
        <v>44529</v>
      </c>
      <c r="B336">
        <f t="shared" si="25"/>
        <v>1</v>
      </c>
      <c r="C336">
        <f t="shared" si="29"/>
        <v>0</v>
      </c>
      <c r="D336">
        <f t="shared" si="26"/>
        <v>0</v>
      </c>
      <c r="E336">
        <f>IF($B$2&lt;&gt;$I$3,COUNTIF(Tab_fériés[date],A336),0)</f>
        <v>0</v>
      </c>
      <c r="F336">
        <f t="shared" si="27"/>
        <v>0</v>
      </c>
    </row>
    <row r="337" spans="1:6" x14ac:dyDescent="0.25">
      <c r="A337" s="3">
        <f t="shared" si="28"/>
        <v>44530</v>
      </c>
      <c r="B337">
        <f t="shared" si="25"/>
        <v>2</v>
      </c>
      <c r="C337">
        <f t="shared" si="29"/>
        <v>0</v>
      </c>
      <c r="D337">
        <f t="shared" si="26"/>
        <v>0</v>
      </c>
      <c r="E337">
        <f>IF($B$2&lt;&gt;$I$3,COUNTIF(Tab_fériés[date],A337),0)</f>
        <v>0</v>
      </c>
      <c r="F337">
        <f t="shared" si="27"/>
        <v>0</v>
      </c>
    </row>
    <row r="338" spans="1:6" x14ac:dyDescent="0.25">
      <c r="A338" s="3">
        <f t="shared" si="28"/>
        <v>44531</v>
      </c>
      <c r="B338">
        <f t="shared" si="25"/>
        <v>3</v>
      </c>
      <c r="C338">
        <f t="shared" si="29"/>
        <v>0</v>
      </c>
      <c r="D338">
        <f t="shared" si="26"/>
        <v>0</v>
      </c>
      <c r="E338">
        <f>IF($B$2&lt;&gt;$I$3,COUNTIF(Tab_fériés[date],A338),0)</f>
        <v>0</v>
      </c>
      <c r="F338">
        <f t="shared" si="27"/>
        <v>0</v>
      </c>
    </row>
    <row r="339" spans="1:6" x14ac:dyDescent="0.25">
      <c r="A339" s="3">
        <f t="shared" si="28"/>
        <v>44532</v>
      </c>
      <c r="B339">
        <f t="shared" si="25"/>
        <v>4</v>
      </c>
      <c r="C339">
        <f t="shared" si="29"/>
        <v>0</v>
      </c>
      <c r="D339">
        <f t="shared" si="26"/>
        <v>0</v>
      </c>
      <c r="E339">
        <f>IF($B$2&lt;&gt;$I$3,COUNTIF(Tab_fériés[date],A339),0)</f>
        <v>0</v>
      </c>
      <c r="F339">
        <f t="shared" si="27"/>
        <v>0</v>
      </c>
    </row>
    <row r="340" spans="1:6" x14ac:dyDescent="0.25">
      <c r="A340" s="3">
        <f t="shared" si="28"/>
        <v>44533</v>
      </c>
      <c r="B340">
        <f t="shared" si="25"/>
        <v>5</v>
      </c>
      <c r="C340">
        <f t="shared" si="29"/>
        <v>0</v>
      </c>
      <c r="D340">
        <f t="shared" si="26"/>
        <v>0</v>
      </c>
      <c r="E340">
        <f>IF($B$2&lt;&gt;$I$3,COUNTIF(Tab_fériés[date],A340),0)</f>
        <v>0</v>
      </c>
      <c r="F340">
        <f t="shared" si="27"/>
        <v>0</v>
      </c>
    </row>
    <row r="341" spans="1:6" x14ac:dyDescent="0.25">
      <c r="A341" s="3">
        <f t="shared" si="28"/>
        <v>44534</v>
      </c>
      <c r="B341">
        <f t="shared" si="25"/>
        <v>6</v>
      </c>
      <c r="C341">
        <f t="shared" si="29"/>
        <v>0</v>
      </c>
      <c r="D341">
        <f t="shared" si="26"/>
        <v>0</v>
      </c>
      <c r="E341">
        <f>IF($B$2&lt;&gt;$I$3,COUNTIF(Tab_fériés[date],A341),0)</f>
        <v>0</v>
      </c>
      <c r="F341">
        <f t="shared" si="27"/>
        <v>0</v>
      </c>
    </row>
    <row r="342" spans="1:6" x14ac:dyDescent="0.25">
      <c r="A342" s="3">
        <f t="shared" si="28"/>
        <v>44535</v>
      </c>
      <c r="B342">
        <f t="shared" si="25"/>
        <v>7</v>
      </c>
      <c r="C342">
        <f t="shared" si="29"/>
        <v>0</v>
      </c>
      <c r="D342">
        <f t="shared" si="26"/>
        <v>0</v>
      </c>
      <c r="E342">
        <f>IF($B$2&lt;&gt;$I$3,COUNTIF(Tab_fériés[date],A342),0)</f>
        <v>0</v>
      </c>
      <c r="F342">
        <f t="shared" si="27"/>
        <v>0</v>
      </c>
    </row>
    <row r="343" spans="1:6" x14ac:dyDescent="0.25">
      <c r="A343" s="3">
        <f t="shared" si="28"/>
        <v>44536</v>
      </c>
      <c r="B343">
        <f t="shared" si="25"/>
        <v>1</v>
      </c>
      <c r="C343">
        <f t="shared" si="29"/>
        <v>0</v>
      </c>
      <c r="D343">
        <f t="shared" si="26"/>
        <v>0</v>
      </c>
      <c r="E343">
        <f>IF($B$2&lt;&gt;$I$3,COUNTIF(Tab_fériés[date],A343),0)</f>
        <v>0</v>
      </c>
      <c r="F343">
        <f t="shared" si="27"/>
        <v>0</v>
      </c>
    </row>
    <row r="344" spans="1:6" x14ac:dyDescent="0.25">
      <c r="A344" s="3">
        <f t="shared" si="28"/>
        <v>44537</v>
      </c>
      <c r="B344">
        <f t="shared" si="25"/>
        <v>2</v>
      </c>
      <c r="C344">
        <f t="shared" si="29"/>
        <v>0</v>
      </c>
      <c r="D344">
        <f t="shared" si="26"/>
        <v>0</v>
      </c>
      <c r="E344">
        <f>IF($B$2&lt;&gt;$I$3,COUNTIF(Tab_fériés[date],A344),0)</f>
        <v>0</v>
      </c>
      <c r="F344">
        <f t="shared" si="27"/>
        <v>0</v>
      </c>
    </row>
    <row r="345" spans="1:6" x14ac:dyDescent="0.25">
      <c r="A345" s="3">
        <f t="shared" si="28"/>
        <v>44538</v>
      </c>
      <c r="B345">
        <f t="shared" si="25"/>
        <v>3</v>
      </c>
      <c r="C345">
        <f t="shared" si="29"/>
        <v>0</v>
      </c>
      <c r="D345">
        <f t="shared" si="26"/>
        <v>0</v>
      </c>
      <c r="E345">
        <f>IF($B$2&lt;&gt;$I$3,COUNTIF(Tab_fériés[date],A345),0)</f>
        <v>0</v>
      </c>
      <c r="F345">
        <f t="shared" si="27"/>
        <v>0</v>
      </c>
    </row>
    <row r="346" spans="1:6" x14ac:dyDescent="0.25">
      <c r="A346" s="3">
        <f t="shared" si="28"/>
        <v>44539</v>
      </c>
      <c r="B346">
        <f t="shared" si="25"/>
        <v>4</v>
      </c>
      <c r="C346">
        <f t="shared" si="29"/>
        <v>0</v>
      </c>
      <c r="D346">
        <f t="shared" si="26"/>
        <v>0</v>
      </c>
      <c r="E346">
        <f>IF($B$2&lt;&gt;$I$3,COUNTIF(Tab_fériés[date],A346),0)</f>
        <v>0</v>
      </c>
      <c r="F346">
        <f t="shared" si="27"/>
        <v>0</v>
      </c>
    </row>
    <row r="347" spans="1:6" x14ac:dyDescent="0.25">
      <c r="A347" s="3">
        <f t="shared" si="28"/>
        <v>44540</v>
      </c>
      <c r="B347">
        <f t="shared" si="25"/>
        <v>5</v>
      </c>
      <c r="C347">
        <f t="shared" si="29"/>
        <v>0</v>
      </c>
      <c r="D347">
        <f t="shared" si="26"/>
        <v>0</v>
      </c>
      <c r="E347">
        <f>IF($B$2&lt;&gt;$I$3,COUNTIF(Tab_fériés[date],A347),0)</f>
        <v>0</v>
      </c>
      <c r="F347">
        <f t="shared" si="27"/>
        <v>0</v>
      </c>
    </row>
    <row r="348" spans="1:6" x14ac:dyDescent="0.25">
      <c r="A348" s="3">
        <f t="shared" si="28"/>
        <v>44541</v>
      </c>
      <c r="B348">
        <f t="shared" si="25"/>
        <v>6</v>
      </c>
      <c r="C348">
        <f t="shared" si="29"/>
        <v>0</v>
      </c>
      <c r="D348">
        <f t="shared" si="26"/>
        <v>0</v>
      </c>
      <c r="E348">
        <f>IF($B$2&lt;&gt;$I$3,COUNTIF(Tab_fériés[date],A348),0)</f>
        <v>0</v>
      </c>
      <c r="F348">
        <f t="shared" si="27"/>
        <v>0</v>
      </c>
    </row>
    <row r="349" spans="1:6" x14ac:dyDescent="0.25">
      <c r="A349" s="3">
        <f t="shared" si="28"/>
        <v>44542</v>
      </c>
      <c r="B349">
        <f t="shared" si="25"/>
        <v>7</v>
      </c>
      <c r="C349">
        <f t="shared" si="29"/>
        <v>0</v>
      </c>
      <c r="D349">
        <f t="shared" si="26"/>
        <v>0</v>
      </c>
      <c r="E349">
        <f>IF($B$2&lt;&gt;$I$3,COUNTIF(Tab_fériés[date],A349),0)</f>
        <v>0</v>
      </c>
      <c r="F349">
        <f t="shared" si="27"/>
        <v>0</v>
      </c>
    </row>
    <row r="350" spans="1:6" x14ac:dyDescent="0.25">
      <c r="A350" s="3">
        <f t="shared" si="28"/>
        <v>44543</v>
      </c>
      <c r="B350">
        <f t="shared" si="25"/>
        <v>1</v>
      </c>
      <c r="C350">
        <f t="shared" si="29"/>
        <v>0</v>
      </c>
      <c r="D350">
        <f t="shared" si="26"/>
        <v>0</v>
      </c>
      <c r="E350">
        <f>IF($B$2&lt;&gt;$I$3,COUNTIF(Tab_fériés[date],A350),0)</f>
        <v>0</v>
      </c>
      <c r="F350">
        <f t="shared" si="27"/>
        <v>0</v>
      </c>
    </row>
    <row r="351" spans="1:6" x14ac:dyDescent="0.25">
      <c r="A351" s="3">
        <f t="shared" si="28"/>
        <v>44544</v>
      </c>
      <c r="B351">
        <f t="shared" si="25"/>
        <v>2</v>
      </c>
      <c r="C351">
        <f t="shared" si="29"/>
        <v>0</v>
      </c>
      <c r="D351">
        <f t="shared" si="26"/>
        <v>0</v>
      </c>
      <c r="E351">
        <f>IF($B$2&lt;&gt;$I$3,COUNTIF(Tab_fériés[date],A351),0)</f>
        <v>0</v>
      </c>
      <c r="F351">
        <f t="shared" si="27"/>
        <v>0</v>
      </c>
    </row>
    <row r="352" spans="1:6" x14ac:dyDescent="0.25">
      <c r="A352" s="3">
        <f t="shared" si="28"/>
        <v>44545</v>
      </c>
      <c r="B352">
        <f t="shared" si="25"/>
        <v>3</v>
      </c>
      <c r="C352">
        <f t="shared" si="29"/>
        <v>0</v>
      </c>
      <c r="D352">
        <f t="shared" si="26"/>
        <v>0</v>
      </c>
      <c r="E352">
        <f>IF($B$2&lt;&gt;$I$3,COUNTIF(Tab_fériés[date],A352),0)</f>
        <v>0</v>
      </c>
      <c r="F352">
        <f t="shared" si="27"/>
        <v>0</v>
      </c>
    </row>
    <row r="353" spans="1:6" x14ac:dyDescent="0.25">
      <c r="A353" s="3">
        <f t="shared" si="28"/>
        <v>44546</v>
      </c>
      <c r="B353">
        <f t="shared" si="25"/>
        <v>4</v>
      </c>
      <c r="C353">
        <f t="shared" si="29"/>
        <v>0</v>
      </c>
      <c r="D353">
        <f t="shared" si="26"/>
        <v>0</v>
      </c>
      <c r="E353">
        <f>IF($B$2&lt;&gt;$I$3,COUNTIF(Tab_fériés[date],A353),0)</f>
        <v>0</v>
      </c>
      <c r="F353">
        <f t="shared" si="27"/>
        <v>0</v>
      </c>
    </row>
    <row r="354" spans="1:6" x14ac:dyDescent="0.25">
      <c r="A354" s="3">
        <f t="shared" si="28"/>
        <v>44547</v>
      </c>
      <c r="B354">
        <f t="shared" si="25"/>
        <v>5</v>
      </c>
      <c r="C354">
        <f t="shared" si="29"/>
        <v>0</v>
      </c>
      <c r="D354">
        <f t="shared" si="26"/>
        <v>0</v>
      </c>
      <c r="E354">
        <f>IF($B$2&lt;&gt;$I$3,COUNTIF(Tab_fériés[date],A354),0)</f>
        <v>0</v>
      </c>
      <c r="F354">
        <f t="shared" si="27"/>
        <v>0</v>
      </c>
    </row>
    <row r="355" spans="1:6" x14ac:dyDescent="0.25">
      <c r="A355" s="3">
        <f t="shared" si="28"/>
        <v>44548</v>
      </c>
      <c r="B355">
        <f t="shared" si="25"/>
        <v>6</v>
      </c>
      <c r="C355">
        <f t="shared" si="29"/>
        <v>0</v>
      </c>
      <c r="D355">
        <f t="shared" si="26"/>
        <v>0</v>
      </c>
      <c r="E355">
        <f>IF($B$2&lt;&gt;$I$3,COUNTIF(Tab_fériés[date],A355),0)</f>
        <v>0</v>
      </c>
      <c r="F355">
        <f t="shared" si="27"/>
        <v>0</v>
      </c>
    </row>
    <row r="356" spans="1:6" x14ac:dyDescent="0.25">
      <c r="A356" s="3">
        <f t="shared" si="28"/>
        <v>44549</v>
      </c>
      <c r="B356">
        <f t="shared" si="25"/>
        <v>7</v>
      </c>
      <c r="C356">
        <f t="shared" si="29"/>
        <v>0</v>
      </c>
      <c r="D356">
        <f t="shared" si="26"/>
        <v>0</v>
      </c>
      <c r="E356">
        <f>IF($B$2&lt;&gt;$I$3,COUNTIF(Tab_fériés[date],A356),0)</f>
        <v>0</v>
      </c>
      <c r="F356">
        <f t="shared" si="27"/>
        <v>0</v>
      </c>
    </row>
    <row r="357" spans="1:6" x14ac:dyDescent="0.25">
      <c r="A357" s="3">
        <f t="shared" si="28"/>
        <v>44550</v>
      </c>
      <c r="B357">
        <f t="shared" si="25"/>
        <v>1</v>
      </c>
      <c r="C357">
        <f t="shared" si="29"/>
        <v>0</v>
      </c>
      <c r="D357">
        <f t="shared" si="26"/>
        <v>0</v>
      </c>
      <c r="E357">
        <f>IF($B$2&lt;&gt;$I$3,COUNTIF(Tab_fériés[date],A357),0)</f>
        <v>0</v>
      </c>
      <c r="F357">
        <f t="shared" si="27"/>
        <v>0</v>
      </c>
    </row>
    <row r="358" spans="1:6" x14ac:dyDescent="0.25">
      <c r="A358" s="3">
        <f t="shared" si="28"/>
        <v>44551</v>
      </c>
      <c r="B358">
        <f t="shared" si="25"/>
        <v>2</v>
      </c>
      <c r="C358">
        <f t="shared" si="29"/>
        <v>0</v>
      </c>
      <c r="D358">
        <f t="shared" si="26"/>
        <v>0</v>
      </c>
      <c r="E358">
        <f>IF($B$2&lt;&gt;$I$3,COUNTIF(Tab_fériés[date],A358),0)</f>
        <v>0</v>
      </c>
      <c r="F358">
        <f t="shared" si="27"/>
        <v>0</v>
      </c>
    </row>
    <row r="359" spans="1:6" x14ac:dyDescent="0.25">
      <c r="A359" s="3">
        <f t="shared" si="28"/>
        <v>44552</v>
      </c>
      <c r="B359">
        <f t="shared" si="25"/>
        <v>3</v>
      </c>
      <c r="C359">
        <f t="shared" si="29"/>
        <v>0</v>
      </c>
      <c r="D359">
        <f t="shared" si="26"/>
        <v>0</v>
      </c>
      <c r="E359">
        <f>IF($B$2&lt;&gt;$I$3,COUNTIF(Tab_fériés[date],A359),0)</f>
        <v>0</v>
      </c>
      <c r="F359">
        <f t="shared" si="27"/>
        <v>0</v>
      </c>
    </row>
    <row r="360" spans="1:6" x14ac:dyDescent="0.25">
      <c r="A360" s="3">
        <f t="shared" si="28"/>
        <v>44553</v>
      </c>
      <c r="B360">
        <f t="shared" si="25"/>
        <v>4</v>
      </c>
      <c r="C360">
        <f t="shared" si="29"/>
        <v>0</v>
      </c>
      <c r="D360">
        <f t="shared" si="26"/>
        <v>0</v>
      </c>
      <c r="E360">
        <f>IF($B$2&lt;&gt;$I$3,COUNTIF(Tab_fériés[date],A360),0)</f>
        <v>0</v>
      </c>
      <c r="F360">
        <f t="shared" si="27"/>
        <v>0</v>
      </c>
    </row>
    <row r="361" spans="1:6" x14ac:dyDescent="0.25">
      <c r="A361" s="3">
        <f t="shared" si="28"/>
        <v>44554</v>
      </c>
      <c r="B361">
        <f t="shared" si="25"/>
        <v>5</v>
      </c>
      <c r="C361">
        <f t="shared" si="29"/>
        <v>0</v>
      </c>
      <c r="D361">
        <f t="shared" si="26"/>
        <v>0</v>
      </c>
      <c r="E361">
        <f>IF($B$2&lt;&gt;$I$3,COUNTIF(Tab_fériés[date],A361),0)</f>
        <v>0</v>
      </c>
      <c r="F361">
        <f t="shared" si="27"/>
        <v>0</v>
      </c>
    </row>
    <row r="362" spans="1:6" x14ac:dyDescent="0.25">
      <c r="A362" s="3">
        <f t="shared" si="28"/>
        <v>44555</v>
      </c>
      <c r="B362">
        <f t="shared" si="25"/>
        <v>6</v>
      </c>
      <c r="C362">
        <f t="shared" si="29"/>
        <v>0</v>
      </c>
      <c r="D362">
        <f t="shared" si="26"/>
        <v>0</v>
      </c>
      <c r="E362">
        <f>IF($B$2&lt;&gt;$I$3,COUNTIF(Tab_fériés[date],A362),0)</f>
        <v>0</v>
      </c>
      <c r="F362">
        <f t="shared" si="27"/>
        <v>0</v>
      </c>
    </row>
    <row r="363" spans="1:6" x14ac:dyDescent="0.25">
      <c r="A363" s="3">
        <f t="shared" si="28"/>
        <v>44556</v>
      </c>
      <c r="B363">
        <f t="shared" si="25"/>
        <v>7</v>
      </c>
      <c r="C363">
        <f t="shared" si="29"/>
        <v>0</v>
      </c>
      <c r="D363">
        <f t="shared" si="26"/>
        <v>0</v>
      </c>
      <c r="E363">
        <f>IF($B$2&lt;&gt;$I$3,COUNTIF(Tab_fériés[date],A363),0)</f>
        <v>0</v>
      </c>
      <c r="F363">
        <f t="shared" si="27"/>
        <v>0</v>
      </c>
    </row>
    <row r="364" spans="1:6" x14ac:dyDescent="0.25">
      <c r="A364" s="3">
        <f t="shared" si="28"/>
        <v>44557</v>
      </c>
      <c r="B364">
        <f t="shared" si="25"/>
        <v>1</v>
      </c>
      <c r="C364">
        <f t="shared" si="29"/>
        <v>0</v>
      </c>
      <c r="D364">
        <f t="shared" si="26"/>
        <v>0</v>
      </c>
      <c r="E364">
        <f>IF($B$2&lt;&gt;$I$3,COUNTIF(Tab_fériés[date],A364),0)</f>
        <v>0</v>
      </c>
      <c r="F364">
        <f t="shared" si="27"/>
        <v>0</v>
      </c>
    </row>
    <row r="365" spans="1:6" x14ac:dyDescent="0.25">
      <c r="A365" s="3">
        <f t="shared" si="28"/>
        <v>44558</v>
      </c>
      <c r="B365">
        <f t="shared" si="25"/>
        <v>2</v>
      </c>
      <c r="C365">
        <f t="shared" si="29"/>
        <v>0</v>
      </c>
      <c r="D365">
        <f t="shared" si="26"/>
        <v>0</v>
      </c>
      <c r="E365">
        <f>IF($B$2&lt;&gt;$I$3,COUNTIF(Tab_fériés[date],A365),0)</f>
        <v>0</v>
      </c>
      <c r="F365">
        <f t="shared" si="27"/>
        <v>0</v>
      </c>
    </row>
    <row r="366" spans="1:6" x14ac:dyDescent="0.25">
      <c r="A366" s="3">
        <f t="shared" si="28"/>
        <v>44559</v>
      </c>
      <c r="B366">
        <f t="shared" si="25"/>
        <v>3</v>
      </c>
      <c r="C366">
        <f t="shared" si="29"/>
        <v>0</v>
      </c>
      <c r="D366">
        <f t="shared" si="26"/>
        <v>0</v>
      </c>
      <c r="E366">
        <f>IF($B$2&lt;&gt;$I$3,COUNTIF(Tab_fériés[date],A366),0)</f>
        <v>0</v>
      </c>
      <c r="F366">
        <f t="shared" si="27"/>
        <v>0</v>
      </c>
    </row>
    <row r="367" spans="1:6" x14ac:dyDescent="0.25">
      <c r="A367" s="3">
        <f t="shared" si="28"/>
        <v>44560</v>
      </c>
      <c r="B367">
        <f t="shared" si="25"/>
        <v>4</v>
      </c>
      <c r="C367">
        <f t="shared" si="29"/>
        <v>0</v>
      </c>
      <c r="D367">
        <f t="shared" si="26"/>
        <v>0</v>
      </c>
      <c r="E367">
        <f>IF($B$2&lt;&gt;$I$3,COUNTIF(Tab_fériés[date],A367),0)</f>
        <v>0</v>
      </c>
      <c r="F367">
        <f t="shared" si="27"/>
        <v>0</v>
      </c>
    </row>
    <row r="368" spans="1:6" x14ac:dyDescent="0.25">
      <c r="A368" s="3">
        <f>IF(YEAR(A367+1)=B1,A367+1,"")</f>
        <v>44561</v>
      </c>
      <c r="B368">
        <f t="shared" si="25"/>
        <v>5</v>
      </c>
      <c r="C368">
        <f t="shared" si="29"/>
        <v>0</v>
      </c>
      <c r="D368">
        <f t="shared" si="26"/>
        <v>0</v>
      </c>
      <c r="E368">
        <f>IF($B$2&lt;&gt;$I$3,COUNTIF(Tab_fériés[date],A368),0)</f>
        <v>0</v>
      </c>
      <c r="F368">
        <f t="shared" si="27"/>
        <v>0</v>
      </c>
    </row>
    <row r="369" spans="1:6" x14ac:dyDescent="0.25">
      <c r="A369" s="3" t="str">
        <f>IF(YEAR(A368+1)=B2,A368+1,"")</f>
        <v/>
      </c>
      <c r="B369" t="e">
        <f t="shared" si="25"/>
        <v>#VALUE!</v>
      </c>
      <c r="C369" t="e">
        <f t="shared" si="29"/>
        <v>#VALUE!</v>
      </c>
      <c r="D369" t="e">
        <f t="shared" si="26"/>
        <v>#VALUE!</v>
      </c>
      <c r="E369">
        <f>IF($B$2&lt;&gt;$I$3,COUNTIF(Tab_fériés[date],A369),0)</f>
        <v>0</v>
      </c>
      <c r="F369">
        <f t="shared" si="27"/>
        <v>0</v>
      </c>
    </row>
    <row r="370" spans="1:6" x14ac:dyDescent="0.25">
      <c r="A370" s="3"/>
    </row>
    <row r="371" spans="1:6" x14ac:dyDescent="0.25">
      <c r="A371" s="3"/>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workbookViewId="0"/>
  </sheetViews>
  <sheetFormatPr baseColWidth="10" defaultRowHeight="15" x14ac:dyDescent="0.25"/>
  <cols>
    <col min="1" max="1" width="23" customWidth="1"/>
    <col min="2" max="2" width="23.85546875" customWidth="1"/>
    <col min="3" max="3" width="21" customWidth="1"/>
    <col min="4" max="4" width="24.7109375" customWidth="1"/>
    <col min="5" max="5" width="12.5703125" customWidth="1"/>
    <col min="6" max="6" width="23.140625" customWidth="1"/>
    <col min="7" max="7" width="28" customWidth="1"/>
    <col min="8" max="8" width="21" customWidth="1"/>
    <col min="9" max="9" width="20.42578125" customWidth="1"/>
    <col min="10" max="10" width="20.28515625" bestFit="1" customWidth="1"/>
    <col min="12" max="12" width="21" customWidth="1"/>
    <col min="13" max="13" width="23.85546875" customWidth="1"/>
    <col min="14" max="14" width="17.28515625" customWidth="1"/>
    <col min="15" max="15" width="12.5703125" customWidth="1"/>
    <col min="16" max="16" width="12.5703125" bestFit="1" customWidth="1"/>
    <col min="17" max="17" width="11.7109375" bestFit="1" customWidth="1"/>
    <col min="18" max="18" width="18.42578125" bestFit="1" customWidth="1"/>
    <col min="19" max="19" width="25.42578125" bestFit="1" customWidth="1"/>
    <col min="20" max="20" width="23" bestFit="1" customWidth="1"/>
    <col min="24" max="24" width="36.140625" customWidth="1"/>
  </cols>
  <sheetData>
    <row r="1" spans="2:24" x14ac:dyDescent="0.25">
      <c r="B1" t="s">
        <v>233</v>
      </c>
      <c r="C1" s="232" t="s">
        <v>2</v>
      </c>
      <c r="D1" s="233">
        <v>2021</v>
      </c>
      <c r="G1" t="s">
        <v>234</v>
      </c>
      <c r="H1" s="232" t="s">
        <v>2</v>
      </c>
      <c r="I1" s="233">
        <v>2021</v>
      </c>
    </row>
    <row r="2" spans="2:24" x14ac:dyDescent="0.25">
      <c r="C2" s="232" t="s">
        <v>65</v>
      </c>
      <c r="D2" s="231" t="s">
        <v>58</v>
      </c>
      <c r="H2" s="232" t="s">
        <v>72</v>
      </c>
      <c r="I2" s="231" t="s">
        <v>214</v>
      </c>
      <c r="M2" t="s">
        <v>201</v>
      </c>
      <c r="N2">
        <f>I1</f>
        <v>2021</v>
      </c>
    </row>
    <row r="3" spans="2:24" x14ac:dyDescent="0.25">
      <c r="C3" s="232" t="s">
        <v>72</v>
      </c>
      <c r="D3" s="231" t="s">
        <v>214</v>
      </c>
      <c r="H3" s="232" t="s">
        <v>65</v>
      </c>
      <c r="I3" s="231" t="s">
        <v>58</v>
      </c>
      <c r="L3">
        <v>2</v>
      </c>
      <c r="M3" t="s">
        <v>194</v>
      </c>
      <c r="N3">
        <f>VLOOKUP($I$1,Site!$B$8:$G$23,L3,FALSE)</f>
        <v>0</v>
      </c>
    </row>
    <row r="4" spans="2:24" x14ac:dyDescent="0.25">
      <c r="L4">
        <v>3</v>
      </c>
      <c r="M4" t="s">
        <v>195</v>
      </c>
      <c r="N4">
        <f>VLOOKUP($I$1,Site!$B$8:$G$23,L4,FALSE)</f>
        <v>0</v>
      </c>
    </row>
    <row r="5" spans="2:24" x14ac:dyDescent="0.25">
      <c r="C5" s="232" t="s">
        <v>34</v>
      </c>
      <c r="D5" t="s">
        <v>347</v>
      </c>
      <c r="H5" s="232" t="s">
        <v>34</v>
      </c>
      <c r="I5" t="s">
        <v>360</v>
      </c>
      <c r="L5">
        <v>4</v>
      </c>
      <c r="M5" t="s">
        <v>199</v>
      </c>
      <c r="N5">
        <f>VLOOKUP($I$1,Site!$B$8:$G$23,L5,FALSE)</f>
        <v>0</v>
      </c>
    </row>
    <row r="6" spans="2:24" x14ac:dyDescent="0.25">
      <c r="C6" s="233" t="s">
        <v>35</v>
      </c>
      <c r="D6" s="221"/>
      <c r="H6" s="233" t="s">
        <v>35</v>
      </c>
      <c r="I6" s="221"/>
      <c r="L6">
        <v>5</v>
      </c>
      <c r="M6" t="s">
        <v>167</v>
      </c>
      <c r="N6">
        <f>VLOOKUP($I$1,Site!$B$8:$G$23,L6,FALSE)</f>
        <v>0</v>
      </c>
    </row>
    <row r="7" spans="2:24" x14ac:dyDescent="0.25">
      <c r="L7">
        <v>6</v>
      </c>
      <c r="M7" t="s">
        <v>200</v>
      </c>
      <c r="N7">
        <f>VLOOKUP($I$1,Site!$B$8:$G$23,L7,FALSE)</f>
        <v>0</v>
      </c>
    </row>
    <row r="9" spans="2:24" x14ac:dyDescent="0.25">
      <c r="L9" t="s">
        <v>210</v>
      </c>
    </row>
    <row r="10" spans="2:24" x14ac:dyDescent="0.25">
      <c r="L10" t="s">
        <v>211</v>
      </c>
      <c r="M10" s="204">
        <f>GETPIVOTDATA("Conso_mois_kWh",$C$5)/1000</f>
        <v>0</v>
      </c>
    </row>
    <row r="11" spans="2:24" x14ac:dyDescent="0.25">
      <c r="L11" t="s">
        <v>212</v>
      </c>
      <c r="M11" s="91">
        <f>GETPIVOTDATA("Cout_mois",$H$5)</f>
        <v>0</v>
      </c>
    </row>
    <row r="12" spans="2:24" ht="18.75" x14ac:dyDescent="0.3">
      <c r="X12" s="209" t="s">
        <v>449</v>
      </c>
    </row>
    <row r="13" spans="2:24" x14ac:dyDescent="0.25">
      <c r="L13" t="s">
        <v>209</v>
      </c>
      <c r="M13" t="s">
        <v>204</v>
      </c>
      <c r="N13" t="s">
        <v>278</v>
      </c>
      <c r="O13" t="s">
        <v>279</v>
      </c>
    </row>
    <row r="14" spans="2:24" x14ac:dyDescent="0.25">
      <c r="M14" s="36" t="s">
        <v>452</v>
      </c>
      <c r="N14">
        <f>IFERROR(GETPIVOTDATA("Conso_mois_kWh",Calculs_Consos!$AD$10,"ANNEE",$N$2,"Detail usage",M14),0)</f>
        <v>0</v>
      </c>
      <c r="O14">
        <f>IFERROR(GETPIVOTDATA("Conso_mois_kWhEP",Calculs_Consos!$AD$10,"ANNEE",$N$2,"Detail usage",M14),0)</f>
        <v>0</v>
      </c>
      <c r="R14" s="36" t="s">
        <v>291</v>
      </c>
      <c r="W14" t="s">
        <v>460</v>
      </c>
      <c r="X14" t="str">
        <f>Controle_des_données!$B$41</f>
        <v>Oui</v>
      </c>
    </row>
    <row r="15" spans="2:24" x14ac:dyDescent="0.25">
      <c r="M15" s="90" t="s">
        <v>68</v>
      </c>
      <c r="N15">
        <f>IFERROR(GETPIVOTDATA("Conso_mois_kWh",Calculs_Consos!$AD$10,"ANNEE",$N$2,"Detail usage",M15),0)</f>
        <v>0</v>
      </c>
      <c r="O15">
        <f>IFERROR(GETPIVOTDATA("Conso_mois_kWhEP",Calculs_Consos!$AD$10,"ANNEE",$N$2,"Detail usage",M15),0)</f>
        <v>0</v>
      </c>
      <c r="R15" t="s">
        <v>292</v>
      </c>
      <c r="S15" t="str">
        <f>IF(SUM(Site!F8:F23)&gt;0,"oui","non")</f>
        <v>non</v>
      </c>
      <c r="W15" t="s">
        <v>463</v>
      </c>
      <c r="X15" t="str">
        <f>Controle_des_données!$B$42</f>
        <v>Non</v>
      </c>
    </row>
    <row r="16" spans="2:24" x14ac:dyDescent="0.25">
      <c r="B16" t="s">
        <v>361</v>
      </c>
      <c r="C16" s="232" t="s">
        <v>2</v>
      </c>
      <c r="D16" s="233">
        <v>2021</v>
      </c>
      <c r="M16" s="90" t="s">
        <v>69</v>
      </c>
      <c r="N16">
        <f>IFERROR(GETPIVOTDATA("Conso_mois_kWh",Calculs_Consos!$AD$10,"ANNEE",$N$2,"Detail usage",M16),0)</f>
        <v>0</v>
      </c>
      <c r="O16">
        <f>IFERROR(GETPIVOTDATA("Conso_mois_kWhEP",Calculs_Consos!$AD$10,"ANNEE",$N$2,"Detail usage",M16),0)</f>
        <v>0</v>
      </c>
      <c r="R16" s="104"/>
      <c r="S16" t="str">
        <f>IF($S$15="oui",Liste!B91,Liste!C91)</f>
        <v>Bâtiment à usage de bureau ou d'administration</v>
      </c>
      <c r="T16" t="s">
        <v>297</v>
      </c>
      <c r="W16" t="s">
        <v>464</v>
      </c>
      <c r="X16">
        <f>Controle_des_données!$B$43</f>
        <v>70</v>
      </c>
    </row>
    <row r="17" spans="1:24" x14ac:dyDescent="0.25">
      <c r="C17" s="232" t="s">
        <v>65</v>
      </c>
      <c r="D17" s="231" t="s">
        <v>58</v>
      </c>
      <c r="M17" s="90" t="s">
        <v>137</v>
      </c>
      <c r="N17">
        <f>IFERROR(GETPIVOTDATA("Conso_mois_kWh",Calculs_Consos!$AD$10,"ANNEE",$N$2,"Detail usage",M17),0)</f>
        <v>0</v>
      </c>
      <c r="O17">
        <f>IFERROR(GETPIVOTDATA("Conso_mois_kWhEP",Calculs_Consos!$AD$10,"ANNEE",$N$2,"Detail usage",M17),0)</f>
        <v>0</v>
      </c>
      <c r="R17" s="104" t="s">
        <v>285</v>
      </c>
      <c r="S17">
        <f>IF($S$15="oui",Liste!B92,Liste!C92)</f>
        <v>50</v>
      </c>
      <c r="T17">
        <f>S17</f>
        <v>50</v>
      </c>
      <c r="W17" t="s">
        <v>469</v>
      </c>
      <c r="X17" s="104" t="e">
        <f t="array" ref="X17">MATCH(TRUE,(N16:N18)&gt;0,0)</f>
        <v>#N/A</v>
      </c>
    </row>
    <row r="18" spans="1:24" x14ac:dyDescent="0.25">
      <c r="C18" s="232" t="s">
        <v>72</v>
      </c>
      <c r="D18" s="231" t="s">
        <v>60</v>
      </c>
      <c r="M18" s="36" t="s">
        <v>320</v>
      </c>
      <c r="N18">
        <f>IFERROR(GETPIVOTDATA("Conso_mois_kWh",Calculs_Consos!$AD$10,"ANNEE",$N$2,"Detail usage",M18),0)</f>
        <v>0</v>
      </c>
      <c r="O18">
        <f>IFERROR(GETPIVOTDATA("Conso_mois_kWhEP",Calculs_Consos!$AD$10,"ANNEE",$N$2,"Detail usage",M18),0)</f>
        <v>0</v>
      </c>
      <c r="R18" s="104" t="s">
        <v>286</v>
      </c>
      <c r="S18">
        <f>IF($S$15="oui",Liste!B93,Liste!C93)</f>
        <v>110</v>
      </c>
      <c r="T18">
        <f>S18-S17</f>
        <v>60</v>
      </c>
      <c r="X18" s="210"/>
    </row>
    <row r="19" spans="1:24" x14ac:dyDescent="0.25">
      <c r="M19" s="90" t="s">
        <v>202</v>
      </c>
      <c r="N19">
        <f>SUM(N14:N18)</f>
        <v>0</v>
      </c>
      <c r="O19">
        <f>SUM(O14:O18)</f>
        <v>0</v>
      </c>
      <c r="R19" s="104" t="s">
        <v>287</v>
      </c>
      <c r="S19">
        <f>IF($S$15="oui",Liste!B94,Liste!C94)</f>
        <v>210</v>
      </c>
      <c r="T19">
        <f t="shared" ref="T19:T21" si="0">S19-S18</f>
        <v>100</v>
      </c>
      <c r="X19" s="210"/>
    </row>
    <row r="20" spans="1:24" x14ac:dyDescent="0.25">
      <c r="C20" s="232" t="s">
        <v>34</v>
      </c>
      <c r="D20" t="s">
        <v>342</v>
      </c>
      <c r="M20" s="90" t="s">
        <v>398</v>
      </c>
      <c r="N20">
        <f>GETPIVOTDATA("DJU(chauffagiste)",BDD_DJU!$H$13,"annee","Moyenne_2001_2020")</f>
        <v>2135.4549999999999</v>
      </c>
      <c r="R20" s="104" t="s">
        <v>288</v>
      </c>
      <c r="S20">
        <f>IF($S$15="oui",Liste!B95,Liste!C95)</f>
        <v>350</v>
      </c>
      <c r="T20">
        <f t="shared" si="0"/>
        <v>140</v>
      </c>
      <c r="X20" s="210"/>
    </row>
    <row r="21" spans="1:24" x14ac:dyDescent="0.25">
      <c r="C21" s="233" t="s">
        <v>35</v>
      </c>
      <c r="D21" s="221"/>
      <c r="M21" s="90" t="s">
        <v>399</v>
      </c>
      <c r="N21">
        <f>GETPIVOTDATA("DJU(chauffagiste)",BDD_DJU!$H$13,"annee",N2)</f>
        <v>2219.6999999999998</v>
      </c>
      <c r="R21" s="104" t="s">
        <v>289</v>
      </c>
      <c r="S21">
        <f>IF($S$15="oui",Liste!B96,Liste!C96)</f>
        <v>540</v>
      </c>
      <c r="T21">
        <f t="shared" si="0"/>
        <v>190</v>
      </c>
      <c r="W21" s="36"/>
      <c r="X21" s="36"/>
    </row>
    <row r="22" spans="1:24" x14ac:dyDescent="0.25">
      <c r="M22" s="90" t="s">
        <v>203</v>
      </c>
      <c r="N22" s="58" t="e">
        <f>N19/$N$4*(N20/N21)</f>
        <v>#DIV/0!</v>
      </c>
      <c r="O22" s="58" t="e">
        <f>O19/$N$4*(N20/N21)</f>
        <v>#DIV/0!</v>
      </c>
      <c r="T22">
        <f>SUM(T17:T21)</f>
        <v>540</v>
      </c>
      <c r="W22" s="104" t="s">
        <v>201</v>
      </c>
      <c r="X22">
        <f>N2</f>
        <v>2021</v>
      </c>
    </row>
    <row r="23" spans="1:24" x14ac:dyDescent="0.25">
      <c r="M23" s="90" t="s">
        <v>33</v>
      </c>
      <c r="R23" s="104" t="s">
        <v>293</v>
      </c>
      <c r="S23" s="205" t="e">
        <f>O28</f>
        <v>#DIV/0!</v>
      </c>
      <c r="W23" t="s">
        <v>450</v>
      </c>
      <c r="X23">
        <f>N26</f>
        <v>0</v>
      </c>
    </row>
    <row r="24" spans="1:24" x14ac:dyDescent="0.25">
      <c r="M24" t="s">
        <v>64</v>
      </c>
      <c r="N24">
        <f>IFERROR(GETPIVOTDATA("Conso_mois_kWh",Calculs_Consos!$AD$10,"ANNEE",$N$2,"Detail usage",M24),0)</f>
        <v>0</v>
      </c>
      <c r="O24">
        <f>IFERROR(GETPIVOTDATA("Conso_mois_kWhEP",Calculs_Consos!$AD$10,"ANNEE",$N$2,"Detail usage",M24),0)</f>
        <v>0</v>
      </c>
      <c r="R24" s="104" t="s">
        <v>294</v>
      </c>
      <c r="S24" t="e">
        <f>S23-0.5*S25</f>
        <v>#DIV/0!</v>
      </c>
      <c r="W24" t="s">
        <v>451</v>
      </c>
      <c r="X24">
        <f>N25</f>
        <v>0</v>
      </c>
    </row>
    <row r="25" spans="1:24" x14ac:dyDescent="0.25">
      <c r="M25" t="s">
        <v>61</v>
      </c>
      <c r="N25">
        <f>IFERROR(GETPIVOTDATA("Conso_mois_kWh",Calculs_Consos!$AD$10,"ANNEE",$N$2,"Detail usage",M25),0)</f>
        <v>0</v>
      </c>
      <c r="O25">
        <f>IFERROR(GETPIVOTDATA("Conso_mois_kWhEP",Calculs_Consos!$AD$10,"ANNEE",$N$2,"Detail usage",M25),0)</f>
        <v>0</v>
      </c>
      <c r="R25" s="104" t="s">
        <v>295</v>
      </c>
      <c r="S25">
        <v>30</v>
      </c>
      <c r="W25" t="str">
        <f>IF(X14="Oui","Chauffage seul",INDEX(M16:M18,X17,1))</f>
        <v>Chauffage seul</v>
      </c>
      <c r="X25">
        <f>SUM(N16:N18)-X26</f>
        <v>0</v>
      </c>
    </row>
    <row r="26" spans="1:24" x14ac:dyDescent="0.25">
      <c r="M26" s="90" t="s">
        <v>205</v>
      </c>
      <c r="N26">
        <f>N24-N25</f>
        <v>0</v>
      </c>
      <c r="O26">
        <f>O24-O25</f>
        <v>0</v>
      </c>
      <c r="R26" s="104" t="s">
        <v>296</v>
      </c>
      <c r="S26" t="e">
        <f>SUM(T17:T22)-S24-S25</f>
        <v>#DIV/0!</v>
      </c>
      <c r="W26" s="36" t="str">
        <f>IF(X26&gt;0,Estimation_ECS!B44,"")</f>
        <v/>
      </c>
      <c r="X26">
        <f>HLOOKUP($X$22,Estimation_ECS!$C$40:$R$44,5)</f>
        <v>0</v>
      </c>
    </row>
    <row r="27" spans="1:24" x14ac:dyDescent="0.25">
      <c r="M27" s="90" t="s">
        <v>203</v>
      </c>
      <c r="N27" s="58" t="e">
        <f>N26/$N$3</f>
        <v>#DIV/0!</v>
      </c>
      <c r="O27" s="58" t="e">
        <f>O26/$N$3</f>
        <v>#DIV/0!</v>
      </c>
      <c r="W27" t="str">
        <f>IF(X27&gt;0,"Cuisson seule","")</f>
        <v/>
      </c>
      <c r="X27">
        <f>N14</f>
        <v>0</v>
      </c>
    </row>
    <row r="28" spans="1:24" x14ac:dyDescent="0.25">
      <c r="M28" t="s">
        <v>206</v>
      </c>
      <c r="N28" s="58" t="e">
        <f>(N19*(N20/N21)+N26)/N3</f>
        <v>#DIV/0!</v>
      </c>
      <c r="O28" s="136" t="e">
        <f>(O19*(N20/N21)+O26)/N3</f>
        <v>#DIV/0!</v>
      </c>
    </row>
    <row r="29" spans="1:24" x14ac:dyDescent="0.25">
      <c r="M29" t="s">
        <v>380</v>
      </c>
      <c r="N29">
        <f>DATE(N2,12,31)-DATE(N2,1,1)+1</f>
        <v>365</v>
      </c>
    </row>
    <row r="30" spans="1:24" x14ac:dyDescent="0.25">
      <c r="M30" t="s">
        <v>431</v>
      </c>
      <c r="N30">
        <f>Ouverture!K10</f>
        <v>0</v>
      </c>
    </row>
    <row r="31" spans="1:24" x14ac:dyDescent="0.25">
      <c r="M31" t="s">
        <v>407</v>
      </c>
      <c r="N31">
        <f>N29-N30</f>
        <v>365</v>
      </c>
    </row>
    <row r="32" spans="1:24" x14ac:dyDescent="0.25">
      <c r="A32" s="232" t="s">
        <v>72</v>
      </c>
      <c r="B32" s="231" t="s">
        <v>214</v>
      </c>
      <c r="M32" t="s">
        <v>362</v>
      </c>
      <c r="N32" s="93" t="str">
        <f>IFERROR(GETPIVOTDATA("Conso_mois_U ",$C$20,"Combustible ","Eau (m3)")/(N6)*1000/N31,"N/A")</f>
        <v>N/A</v>
      </c>
    </row>
    <row r="33" spans="1:13" x14ac:dyDescent="0.25">
      <c r="A33" s="232" t="s">
        <v>65</v>
      </c>
      <c r="B33" s="231" t="s">
        <v>58</v>
      </c>
    </row>
    <row r="35" spans="1:13" x14ac:dyDescent="0.25">
      <c r="A35" s="232" t="s">
        <v>372</v>
      </c>
      <c r="B35" s="232" t="s">
        <v>165</v>
      </c>
      <c r="L35" s="232" t="s">
        <v>72</v>
      </c>
      <c r="M35" s="231" t="s">
        <v>214</v>
      </c>
    </row>
    <row r="36" spans="1:13" x14ac:dyDescent="0.25">
      <c r="A36" s="232" t="s">
        <v>34</v>
      </c>
      <c r="B36" s="231" t="s">
        <v>35</v>
      </c>
      <c r="L36" s="232" t="s">
        <v>65</v>
      </c>
      <c r="M36" s="231" t="s">
        <v>58</v>
      </c>
    </row>
    <row r="37" spans="1:13" x14ac:dyDescent="0.25">
      <c r="A37" s="233" t="s">
        <v>35</v>
      </c>
      <c r="B37" s="221" t="e">
        <v>#DIV/0!</v>
      </c>
    </row>
    <row r="38" spans="1:13" x14ac:dyDescent="0.25">
      <c r="L38" s="232" t="s">
        <v>360</v>
      </c>
      <c r="M38" s="232" t="s">
        <v>165</v>
      </c>
    </row>
    <row r="39" spans="1:13" x14ac:dyDescent="0.25">
      <c r="L39" s="232" t="s">
        <v>34</v>
      </c>
      <c r="M39" s="231" t="s">
        <v>35</v>
      </c>
    </row>
    <row r="40" spans="1:13" x14ac:dyDescent="0.25">
      <c r="L40" s="233" t="s">
        <v>35</v>
      </c>
      <c r="M40" s="235"/>
    </row>
  </sheetData>
  <pageMargins left="0.7" right="0.7" top="0.75" bottom="0.75" header="0.3" footer="0.3"/>
  <pageSetup paperSize="9" orientation="portrait"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43"/>
  <sheetViews>
    <sheetView workbookViewId="0"/>
  </sheetViews>
  <sheetFormatPr baseColWidth="10" defaultRowHeight="15" x14ac:dyDescent="0.25"/>
  <cols>
    <col min="1" max="1" width="23" customWidth="1"/>
    <col min="2" max="2" width="20.42578125" customWidth="1"/>
    <col min="3" max="3" width="21.7109375" customWidth="1"/>
    <col min="4" max="5" width="23.7109375" customWidth="1"/>
  </cols>
  <sheetData>
    <row r="4" spans="1:8" x14ac:dyDescent="0.25">
      <c r="A4" t="s">
        <v>3</v>
      </c>
    </row>
    <row r="5" spans="1:8" ht="15.75" thickBot="1" x14ac:dyDescent="0.3">
      <c r="A5" t="s">
        <v>3</v>
      </c>
    </row>
    <row r="6" spans="1:8" x14ac:dyDescent="0.25">
      <c r="B6" s="37" t="s">
        <v>88</v>
      </c>
      <c r="C6" s="38" t="s">
        <v>65</v>
      </c>
      <c r="D6" s="39" t="s">
        <v>72</v>
      </c>
      <c r="E6" s="39" t="s">
        <v>66</v>
      </c>
      <c r="F6" s="40" t="s">
        <v>67</v>
      </c>
      <c r="G6" s="50" t="s">
        <v>128</v>
      </c>
      <c r="H6" s="50" t="s">
        <v>311</v>
      </c>
    </row>
    <row r="7" spans="1:8" x14ac:dyDescent="0.25">
      <c r="B7" s="49" t="s">
        <v>120</v>
      </c>
      <c r="C7">
        <f>Site!D33</f>
        <v>0</v>
      </c>
      <c r="D7">
        <f>Site!E33</f>
        <v>0</v>
      </c>
      <c r="E7">
        <f>Site!F33</f>
        <v>0</v>
      </c>
      <c r="F7">
        <f>Site!G33</f>
        <v>0</v>
      </c>
      <c r="G7">
        <f>IFERROR(VLOOKUP(F7,Liste!$A$5:$G$19,2,FALSE),0)</f>
        <v>0</v>
      </c>
      <c r="H7">
        <f>IFERROR(VLOOKUP(F7,Liste!$A$5:$G$19,3,FALSE),0)</f>
        <v>0</v>
      </c>
    </row>
    <row r="8" spans="1:8" x14ac:dyDescent="0.25">
      <c r="B8" s="49" t="s">
        <v>121</v>
      </c>
      <c r="C8">
        <f>Site!D34</f>
        <v>0</v>
      </c>
      <c r="D8">
        <f>Site!E34</f>
        <v>0</v>
      </c>
      <c r="E8">
        <f>Site!F34</f>
        <v>0</v>
      </c>
      <c r="F8">
        <f>Site!G34</f>
        <v>0</v>
      </c>
      <c r="G8">
        <f>IFERROR(VLOOKUP(F8,Liste!$A$5:$G$19,2,FALSE),0)</f>
        <v>0</v>
      </c>
      <c r="H8">
        <f>IFERROR(VLOOKUP(F8,Liste!$A$5:$G$19,3,FALSE),0)</f>
        <v>0</v>
      </c>
    </row>
    <row r="9" spans="1:8" x14ac:dyDescent="0.25">
      <c r="B9" s="49" t="s">
        <v>122</v>
      </c>
      <c r="C9">
        <f>Site!D35</f>
        <v>0</v>
      </c>
      <c r="D9">
        <f>Site!E35</f>
        <v>0</v>
      </c>
      <c r="E9">
        <f>Site!F35</f>
        <v>0</v>
      </c>
      <c r="F9">
        <f>Site!G35</f>
        <v>0</v>
      </c>
      <c r="G9">
        <f>IFERROR(VLOOKUP(F9,Liste!$A$5:$G$19,2,FALSE),0)</f>
        <v>0</v>
      </c>
      <c r="H9">
        <f>IFERROR(VLOOKUP(F9,Liste!$A$5:$G$19,3,FALSE),0)</f>
        <v>0</v>
      </c>
    </row>
    <row r="10" spans="1:8" x14ac:dyDescent="0.25">
      <c r="B10" s="49" t="s">
        <v>123</v>
      </c>
      <c r="C10">
        <f>Site!D36</f>
        <v>0</v>
      </c>
      <c r="D10">
        <f>Site!E36</f>
        <v>0</v>
      </c>
      <c r="E10">
        <f>Site!F36</f>
        <v>0</v>
      </c>
      <c r="F10">
        <f>Site!G36</f>
        <v>0</v>
      </c>
      <c r="G10">
        <f>IFERROR(VLOOKUP(F10,Liste!$A$5:$G$19,2,FALSE),0)</f>
        <v>0</v>
      </c>
      <c r="H10">
        <f>IFERROR(VLOOKUP(F10,Liste!$A$5:$G$19,3,FALSE),0)</f>
        <v>0</v>
      </c>
    </row>
    <row r="11" spans="1:8" x14ac:dyDescent="0.25">
      <c r="B11" s="49" t="s">
        <v>124</v>
      </c>
      <c r="C11">
        <f>Site!D37</f>
        <v>0</v>
      </c>
      <c r="D11">
        <f>Site!E37</f>
        <v>0</v>
      </c>
      <c r="E11">
        <f>Site!F37</f>
        <v>0</v>
      </c>
      <c r="F11">
        <f>Site!G37</f>
        <v>0</v>
      </c>
      <c r="G11">
        <f>IFERROR(VLOOKUP(F11,Liste!$A$5:$G$19,2,FALSE),0)</f>
        <v>0</v>
      </c>
      <c r="H11">
        <f>IFERROR(VLOOKUP(F11,Liste!$A$5:$G$19,3,FALSE),0)</f>
        <v>0</v>
      </c>
    </row>
    <row r="12" spans="1:8" x14ac:dyDescent="0.25">
      <c r="B12" s="49" t="s">
        <v>125</v>
      </c>
      <c r="C12">
        <f>Site!D38</f>
        <v>0</v>
      </c>
      <c r="D12">
        <f>Site!E38</f>
        <v>0</v>
      </c>
      <c r="E12">
        <f>Site!F38</f>
        <v>0</v>
      </c>
      <c r="F12">
        <f>Site!G38</f>
        <v>0</v>
      </c>
      <c r="G12">
        <f>IFERROR(VLOOKUP(F12,Liste!$A$5:$G$19,2,FALSE),0)</f>
        <v>0</v>
      </c>
      <c r="H12">
        <f>IFERROR(VLOOKUP(F12,Liste!$A$5:$G$19,3,FALSE),0)</f>
        <v>0</v>
      </c>
    </row>
    <row r="13" spans="1:8" x14ac:dyDescent="0.25">
      <c r="B13" s="49" t="s">
        <v>126</v>
      </c>
      <c r="C13">
        <f>Site!D39</f>
        <v>0</v>
      </c>
      <c r="D13">
        <f>Site!E39</f>
        <v>0</v>
      </c>
      <c r="E13">
        <f>Site!F39</f>
        <v>0</v>
      </c>
      <c r="F13">
        <f>Site!G39</f>
        <v>0</v>
      </c>
      <c r="G13">
        <f>IFERROR(VLOOKUP(F13,Liste!$A$5:$G$19,2,FALSE),0)</f>
        <v>0</v>
      </c>
      <c r="H13">
        <f>IFERROR(VLOOKUP(F13,Liste!$A$5:$G$19,3,FALSE),0)</f>
        <v>0</v>
      </c>
    </row>
    <row r="14" spans="1:8" x14ac:dyDescent="0.25">
      <c r="B14" s="49" t="s">
        <v>127</v>
      </c>
      <c r="C14">
        <f>Site!D40</f>
        <v>0</v>
      </c>
      <c r="D14">
        <f>Site!E40</f>
        <v>0</v>
      </c>
      <c r="E14">
        <f>Site!F40</f>
        <v>0</v>
      </c>
      <c r="F14">
        <f>Site!G40</f>
        <v>0</v>
      </c>
      <c r="G14">
        <f>IFERROR(VLOOKUP(F14,Liste!$A$5:$G$19,2,FALSE),0)</f>
        <v>0</v>
      </c>
      <c r="H14">
        <f>IFERROR(VLOOKUP(F14,Liste!$A$5:$G$19,3,FALSE),0)</f>
        <v>0</v>
      </c>
    </row>
    <row r="15" spans="1:8" x14ac:dyDescent="0.25">
      <c r="A15" t="s">
        <v>189</v>
      </c>
    </row>
    <row r="16" spans="1:8" x14ac:dyDescent="0.25">
      <c r="A16" t="s">
        <v>187</v>
      </c>
      <c r="B16">
        <v>3</v>
      </c>
    </row>
    <row r="17" spans="1:3" x14ac:dyDescent="0.25">
      <c r="A17" t="str">
        <f>INDEX(Liste!$B$24:$H$31,1,ROW(Controle_des_données!$B17)-ROW($B$16))</f>
        <v>Type d'étblissement</v>
      </c>
      <c r="B17" t="str">
        <f>INDEX(Liste!$B$24:$H$31,Controle_des_données!$B$16+1,ROW(Controle_des_données!$B17)-ROW($B$16))</f>
        <v>EHPAD</v>
      </c>
    </row>
    <row r="18" spans="1:3" x14ac:dyDescent="0.25">
      <c r="A18" t="str">
        <f>INDEX(Liste!$B$24:$H$31,1,ROW(Controle_des_données!$B18)-ROW($B$16))</f>
        <v>Thermique - kWh/m²</v>
      </c>
      <c r="B18" s="58">
        <f>INDEX(Liste!$B$25:$H$31,Controle_des_données!$B$16,ROW(Controle_des_données!A18)-ROW($B$16))</f>
        <v>134.37719550799881</v>
      </c>
    </row>
    <row r="19" spans="1:3" x14ac:dyDescent="0.25">
      <c r="A19" t="str">
        <f>INDEX(Liste!$B$24:$H$31,1,ROW(Controle_des_données!$B19)-ROW($B$16))</f>
        <v>Electrique - kWh/m²</v>
      </c>
      <c r="B19" s="58">
        <f>INDEX(Liste!$B$25:$H$31,Controle_des_données!$B$16,ROW(Controle_des_données!A19)-ROW($B$16))</f>
        <v>53.407224193411814</v>
      </c>
    </row>
    <row r="20" spans="1:3" x14ac:dyDescent="0.25">
      <c r="A20" t="str">
        <f>INDEX(Liste!$B$24:$H$31,1,ROW(Controle_des_données!$B20)-ROW($B$16))</f>
        <v>Totale - kWh/m²</v>
      </c>
      <c r="B20" s="58">
        <f>INDEX(Liste!$B$25:$H$31,Controle_des_données!$B$16,ROW(Controle_des_données!A20)-ROW($B$16))</f>
        <v>187.784419701411</v>
      </c>
    </row>
    <row r="21" spans="1:3" x14ac:dyDescent="0.25">
      <c r="A21" t="str">
        <f>INDEX(Liste!$B$24:$H$31,1,ROW(Controle_des_données!$B21)-ROW($B$16))</f>
        <v>CHAUFFAGE - (CH/DJU/m²)x1000</v>
      </c>
      <c r="B21" s="58">
        <f>INDEX(Liste!$B$25:$H$31,Controle_des_données!$B$16,ROW(Controle_des_données!A21)-ROW($B$16))</f>
        <v>43.015283576240691</v>
      </c>
    </row>
    <row r="22" spans="1:3" x14ac:dyDescent="0.25">
      <c r="A22" t="str">
        <f>INDEX(Liste!$B$24:$H$31,1,ROW(Controle_des_données!$B22)-ROW($B$16))</f>
        <v>ECS - kWh/m²</v>
      </c>
      <c r="B22" s="58">
        <f>INDEX(Liste!$B$25:$H$31,Controle_des_données!$B$16,ROW(Controle_des_données!A22)-ROW($B$16))</f>
        <v>49.783917823165922</v>
      </c>
    </row>
    <row r="23" spans="1:3" x14ac:dyDescent="0.25">
      <c r="A23" t="str">
        <f>INDEX(Liste!$B$24:$H$31,1,ROW(Controle_des_données!$B23)-ROW($B$16))</f>
        <v>Eau - L/j/lit</v>
      </c>
      <c r="B23" s="93">
        <f>INDEX(Liste!$B$25:$H$31,Controle_des_données!$B$16,ROW(Controle_des_données!A23)-ROW($B$16))</f>
        <v>144.16961746331364</v>
      </c>
    </row>
    <row r="24" spans="1:3" x14ac:dyDescent="0.25">
      <c r="A24" t="s">
        <v>241</v>
      </c>
      <c r="B24" s="58">
        <f>B25+B26</f>
        <v>106</v>
      </c>
    </row>
    <row r="25" spans="1:3" x14ac:dyDescent="0.25">
      <c r="A25" t="s">
        <v>307</v>
      </c>
      <c r="B25">
        <f>INDEX(Liste!$B$25:$I$31,Controle_des_données!$B$16,ROW(Controle_des_données!A24)-ROW($B$16))</f>
        <v>72</v>
      </c>
    </row>
    <row r="26" spans="1:3" x14ac:dyDescent="0.25">
      <c r="A26" t="s">
        <v>308</v>
      </c>
      <c r="B26">
        <f>INDEX(Liste!C60:J69,MATCH(Controle_des_données!B31,Liste!B40:B44,0),MATCH(Controle_des_données!B30,Liste!C39:J39,0))</f>
        <v>34</v>
      </c>
    </row>
    <row r="29" spans="1:3" x14ac:dyDescent="0.25">
      <c r="A29" t="s">
        <v>243</v>
      </c>
    </row>
    <row r="30" spans="1:3" x14ac:dyDescent="0.25">
      <c r="A30" t="s">
        <v>260</v>
      </c>
      <c r="B30" t="str">
        <f>VLOOKUP(BDD_DJU!I11,Liste!L15:M40,2,FALSE)</f>
        <v>H2b</v>
      </c>
    </row>
    <row r="31" spans="1:3" x14ac:dyDescent="0.25">
      <c r="A31" t="s">
        <v>261</v>
      </c>
      <c r="B31" t="str">
        <f>INDEX(Liste!$M$3:$M$7,Controle_des_données!C31,1)</f>
        <v>Altitude &lt; 400 m</v>
      </c>
      <c r="C31">
        <v>1</v>
      </c>
    </row>
    <row r="32" spans="1:3" x14ac:dyDescent="0.25">
      <c r="A32" t="s">
        <v>265</v>
      </c>
      <c r="B32">
        <f>INDEX(Liste!C40:J44,MATCH(Controle_des_données!B31,Liste!B40:B44,0),MATCH(Controle_des_données!B30,Liste!C39:J39,0))</f>
        <v>3.2000000000000001E-2</v>
      </c>
    </row>
    <row r="33" spans="1:3" x14ac:dyDescent="0.25">
      <c r="A33" t="s">
        <v>266</v>
      </c>
      <c r="B33">
        <f>INDEX(Liste!C50:J54,MATCH(Controle_des_données!B31,Liste!B40:B44,0),MATCH(Controle_des_données!B30,Liste!C39:J39,0))</f>
        <v>4.9000000000000002E-2</v>
      </c>
    </row>
    <row r="37" spans="1:3" x14ac:dyDescent="0.25">
      <c r="A37" s="36" t="s">
        <v>328</v>
      </c>
    </row>
    <row r="38" spans="1:3" x14ac:dyDescent="0.25">
      <c r="A38" t="str">
        <f>INDEX(Liste!N15:N17,Controle_des_données!B38,1)</f>
        <v>TTC</v>
      </c>
      <c r="B38">
        <v>3</v>
      </c>
    </row>
    <row r="39" spans="1:3" x14ac:dyDescent="0.25">
      <c r="A39" s="36" t="s">
        <v>405</v>
      </c>
    </row>
    <row r="40" spans="1:3" x14ac:dyDescent="0.25">
      <c r="A40" t="str">
        <f>INDEX(Liste!O15:O19,Controle_des_données!B40,1)</f>
        <v>Continu</v>
      </c>
      <c r="B40">
        <v>2</v>
      </c>
    </row>
    <row r="41" spans="1:3" x14ac:dyDescent="0.25">
      <c r="A41" t="s">
        <v>460</v>
      </c>
      <c r="B41" t="str">
        <f>INDEX(Liste!P15:P18,Controle_des_données!C41,1)</f>
        <v>Oui</v>
      </c>
      <c r="C41">
        <v>2</v>
      </c>
    </row>
    <row r="42" spans="1:3" x14ac:dyDescent="0.25">
      <c r="A42" t="s">
        <v>463</v>
      </c>
      <c r="B42" t="str">
        <f>INDEX(Liste!P15:P18,Controle_des_données!C42,1)</f>
        <v>Non</v>
      </c>
      <c r="C42">
        <v>3</v>
      </c>
    </row>
    <row r="43" spans="1:3" x14ac:dyDescent="0.25">
      <c r="A43" t="s">
        <v>464</v>
      </c>
      <c r="B43">
        <f>Site!I59</f>
        <v>70</v>
      </c>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90"/>
  <sheetViews>
    <sheetView workbookViewId="0"/>
  </sheetViews>
  <sheetFormatPr baseColWidth="10" defaultRowHeight="15" x14ac:dyDescent="0.25"/>
  <cols>
    <col min="2" max="2" width="18.85546875" customWidth="1"/>
    <col min="3" max="3" width="15.42578125" customWidth="1"/>
    <col min="4" max="4" width="12.7109375" bestFit="1" customWidth="1"/>
    <col min="18" max="18" width="24.85546875" customWidth="1"/>
  </cols>
  <sheetData>
    <row r="2" spans="2:18" x14ac:dyDescent="0.25">
      <c r="G2" t="s">
        <v>140</v>
      </c>
      <c r="H2" t="s">
        <v>141</v>
      </c>
    </row>
    <row r="3" spans="2:18" x14ac:dyDescent="0.25">
      <c r="B3" t="s">
        <v>36</v>
      </c>
      <c r="F3" t="s">
        <v>139</v>
      </c>
      <c r="G3">
        <f>ROUND(GETPIVOTDATA("DJU(chauffagiste)",BDD_DJU!$H$13,"annee","Moyenne_2001_2020"),0)</f>
        <v>2135</v>
      </c>
      <c r="H3">
        <f>ROUND(GETPIVOTDATA("DJU(climaticien)",BDD_DJU!$L$13,"annee","Moyenne_2001_2020"),0)</f>
        <v>322</v>
      </c>
    </row>
    <row r="4" spans="2:18" x14ac:dyDescent="0.25">
      <c r="B4" t="s">
        <v>37</v>
      </c>
    </row>
    <row r="5" spans="2:18" x14ac:dyDescent="0.25">
      <c r="B5" t="s">
        <v>38</v>
      </c>
    </row>
    <row r="6" spans="2:18" x14ac:dyDescent="0.25">
      <c r="B6" t="s">
        <v>39</v>
      </c>
    </row>
    <row r="7" spans="2:18" x14ac:dyDescent="0.25">
      <c r="B7" t="s">
        <v>40</v>
      </c>
      <c r="C7" t="str">
        <f>INDEX(Site!$B$7:$B$17,'CALCUL DEET'!$D$7,1)</f>
        <v>Année</v>
      </c>
      <c r="D7">
        <v>1</v>
      </c>
      <c r="Q7" t="s">
        <v>142</v>
      </c>
    </row>
    <row r="8" spans="2:18" x14ac:dyDescent="0.25">
      <c r="Q8" t="s">
        <v>143</v>
      </c>
      <c r="R8" s="206">
        <f>ROUND(D39,1)</f>
        <v>0</v>
      </c>
    </row>
    <row r="9" spans="2:18" x14ac:dyDescent="0.25">
      <c r="D9" s="158">
        <f>IF(D10="",0,-30%)</f>
        <v>0</v>
      </c>
      <c r="E9" s="158">
        <f>IF(E10="",0,30%)</f>
        <v>0</v>
      </c>
      <c r="F9" s="158">
        <f>IF(F10="",0,-20%)</f>
        <v>0</v>
      </c>
      <c r="G9" s="158">
        <f>IF(G10="",0,20%)</f>
        <v>0</v>
      </c>
      <c r="H9" s="158">
        <f>IF(H10="",0,-30%)</f>
        <v>0</v>
      </c>
      <c r="I9" s="158">
        <f>IF(I10="",0,30%)</f>
        <v>0</v>
      </c>
      <c r="J9" s="158">
        <f>IF(J10="",0,-20%)</f>
        <v>0</v>
      </c>
      <c r="K9" s="158">
        <f>IF(K10="",0,20%)</f>
        <v>0</v>
      </c>
      <c r="L9" s="158">
        <f>IF(L10="",0,-30%)</f>
        <v>0</v>
      </c>
      <c r="M9" s="158">
        <f>IF(M10="",0,30%)</f>
        <v>0</v>
      </c>
      <c r="N9" s="158">
        <f>IF(N10="",0,-20%)</f>
        <v>0</v>
      </c>
      <c r="O9" s="158">
        <f>IF(O10="",0,20%)</f>
        <v>0</v>
      </c>
      <c r="Q9" t="s">
        <v>147</v>
      </c>
      <c r="R9">
        <f>R8*0.6</f>
        <v>0</v>
      </c>
    </row>
    <row r="10" spans="2:18" x14ac:dyDescent="0.25">
      <c r="E10" t="str">
        <f>IF(VLOOKUP('CALCUL DEET'!E11,Site!$B$8:$M$23,8,0)=0,"",VLOOKUP('CALCUL DEET'!E11,Site!$B$8:$M$23,8,0))</f>
        <v/>
      </c>
      <c r="F10" t="str">
        <f>IF(VLOOKUP('CALCUL DEET'!F11,Site!$B$8:$M$23,8,0)=0,"",VLOOKUP('CALCUL DEET'!F11,Site!$B$8:$M$23,8,0))</f>
        <v/>
      </c>
      <c r="G10" t="str">
        <f>IF(VLOOKUP('CALCUL DEET'!G11,Site!$B$8:$M$23,8,0)=0,"",VLOOKUP('CALCUL DEET'!G11,Site!$B$8:$M$23,8,0))</f>
        <v/>
      </c>
      <c r="H10" t="str">
        <f>IF(VLOOKUP('CALCUL DEET'!H11,Site!$B$8:$M$23,8,0)=0,"",VLOOKUP('CALCUL DEET'!H11,Site!$B$8:$M$23,8,0))</f>
        <v/>
      </c>
      <c r="I10" t="str">
        <f>IF(VLOOKUP('CALCUL DEET'!I11,Site!$B$8:$M$23,8,0)=0,"",VLOOKUP('CALCUL DEET'!I11,Site!$B$8:$M$23,8,0))</f>
        <v/>
      </c>
      <c r="J10" t="str">
        <f>IF(VLOOKUP('CALCUL DEET'!J11,Site!$B$8:$M$23,8,0)=0,"",VLOOKUP('CALCUL DEET'!J11,Site!$B$8:$M$23,8,0))</f>
        <v/>
      </c>
      <c r="Q10" t="s">
        <v>148</v>
      </c>
      <c r="R10">
        <f>R8*0.5</f>
        <v>0</v>
      </c>
    </row>
    <row r="11" spans="2:18" x14ac:dyDescent="0.25">
      <c r="B11" s="35" t="s">
        <v>41</v>
      </c>
      <c r="D11" t="str">
        <f>C7</f>
        <v>Année</v>
      </c>
      <c r="E11">
        <v>2020</v>
      </c>
      <c r="F11">
        <v>2021</v>
      </c>
      <c r="G11">
        <v>2022</v>
      </c>
      <c r="H11">
        <v>2023</v>
      </c>
      <c r="I11">
        <v>2024</v>
      </c>
      <c r="J11">
        <v>2025</v>
      </c>
      <c r="K11">
        <v>2026</v>
      </c>
      <c r="L11">
        <v>2027</v>
      </c>
      <c r="M11">
        <v>2028</v>
      </c>
      <c r="N11">
        <v>2029</v>
      </c>
      <c r="O11">
        <v>2030</v>
      </c>
      <c r="Q11" t="s">
        <v>149</v>
      </c>
      <c r="R11">
        <f>R8*0.4</f>
        <v>0</v>
      </c>
    </row>
    <row r="12" spans="2:18" x14ac:dyDescent="0.25">
      <c r="B12" s="352" t="s">
        <v>33</v>
      </c>
      <c r="C12" t="s">
        <v>64</v>
      </c>
      <c r="D12">
        <f>IFERROR(GETPIVOTDATA("Conso_mois_kWhDEET",Calculs_Consos!$AD$10,"ANNEE",D$11,"Detail usage",$C12),0)</f>
        <v>0</v>
      </c>
      <c r="E12">
        <f>IFERROR(GETPIVOTDATA("Conso_mois_kWhDEET",Calculs_Consos!$AD$10,"ANNEE",E$11,"Detail usage",$C12),0)</f>
        <v>0</v>
      </c>
      <c r="F12">
        <f>IFERROR(GETPIVOTDATA("Conso_mois_kWhDEET",Calculs_Consos!$AD$10,"ANNEE",F$11,"Detail usage",$C12),0)</f>
        <v>0</v>
      </c>
      <c r="G12">
        <f>IFERROR(GETPIVOTDATA("Conso_mois_kWhDEET",Calculs_Consos!$AD$10,"ANNEE",G$11,"Detail usage",$C12),0)</f>
        <v>0</v>
      </c>
      <c r="H12">
        <f>IFERROR(GETPIVOTDATA("Conso_mois_kWhDEET",Calculs_Consos!$AD$10,"ANNEE",H$11,"Detail usage",$C12),0)</f>
        <v>0</v>
      </c>
      <c r="I12">
        <f>IFERROR(GETPIVOTDATA("Conso_mois_kWhDEET",Calculs_Consos!$AD$10,"ANNEE",I$11,"Detail usage",$C12),0)</f>
        <v>0</v>
      </c>
      <c r="J12">
        <f>IFERROR(GETPIVOTDATA("Conso_mois_kWhDEET",Calculs_Consos!$AD$10,"ANNEE",J$11,"Detail usage",$C12),0)</f>
        <v>0</v>
      </c>
      <c r="K12">
        <f>IFERROR(GETPIVOTDATA("Conso_mois_kWhDEET",Calculs_Consos!$AD$10,"ANNEE",K$11,"Detail usage",$C12),0)</f>
        <v>0</v>
      </c>
      <c r="L12">
        <f>IFERROR(GETPIVOTDATA("Conso_mois_kWhDEET",Calculs_Consos!$AD$10,"ANNEE",L$11,"Detail usage",$C12),0)</f>
        <v>0</v>
      </c>
      <c r="M12">
        <f>IFERROR(GETPIVOTDATA("Conso_mois_kWhDEET",Calculs_Consos!$AD$10,"ANNEE",M$11,"Detail usage",$C12),0)</f>
        <v>0</v>
      </c>
      <c r="N12">
        <f>IFERROR(GETPIVOTDATA("Conso_mois_kWhDEET",Calculs_Consos!$AD$10,"ANNEE",N$11,"Detail usage",$C12),0)</f>
        <v>0</v>
      </c>
      <c r="O12">
        <f>IFERROR(GETPIVOTDATA("Conso_mois_kWhDEET",Calculs_Consos!$AD$10,"ANNEE",O$11,"Detail usage",$C12),0)</f>
        <v>0</v>
      </c>
    </row>
    <row r="13" spans="2:18" x14ac:dyDescent="0.25">
      <c r="B13" s="353"/>
      <c r="C13" t="s">
        <v>61</v>
      </c>
      <c r="D13">
        <f>IFERROR(GETPIVOTDATA("Conso_mois_kWhDEET",Calculs_Consos!$AD$10,"ANNEE",D$11,"Detail usage",$C13),0)</f>
        <v>0</v>
      </c>
      <c r="E13">
        <f>IFERROR(GETPIVOTDATA("Conso_mois_kWhDEET",Calculs_Consos!$AD$10,"ANNEE",E$11,"Detail usage",$C13),0)</f>
        <v>0</v>
      </c>
      <c r="F13">
        <f>IFERROR(GETPIVOTDATA("Conso_mois_kWhDEET",Calculs_Consos!$AD$10,"ANNEE",F$11,"Detail usage",$C13),0)</f>
        <v>0</v>
      </c>
      <c r="G13">
        <f>IFERROR(GETPIVOTDATA("Conso_mois_kWhDEET",Calculs_Consos!$AD$10,"ANNEE",G$11,"Detail usage",$C13),0)</f>
        <v>0</v>
      </c>
      <c r="H13">
        <f>IFERROR(GETPIVOTDATA("Conso_mois_kWhDEET",Calculs_Consos!$AD$10,"ANNEE",H$11,"Detail usage",$C13),0)</f>
        <v>0</v>
      </c>
      <c r="I13">
        <f>IFERROR(GETPIVOTDATA("Conso_mois_kWhDEET",Calculs_Consos!$AD$10,"ANNEE",I$11,"Detail usage",$C13),0)</f>
        <v>0</v>
      </c>
      <c r="J13">
        <f>IFERROR(GETPIVOTDATA("Conso_mois_kWhDEET",Calculs_Consos!$AD$10,"ANNEE",J$11,"Detail usage",$C13),0)</f>
        <v>0</v>
      </c>
      <c r="K13">
        <f>IFERROR(GETPIVOTDATA("Conso_mois_kWhDEET",Calculs_Consos!$AD$10,"ANNEE",K$11,"Detail usage",$C13),0)</f>
        <v>0</v>
      </c>
      <c r="L13">
        <f>IFERROR(GETPIVOTDATA("Conso_mois_kWhDEET",Calculs_Consos!$AD$10,"ANNEE",L$11,"Detail usage",$C13),0)</f>
        <v>0</v>
      </c>
      <c r="M13">
        <f>IFERROR(GETPIVOTDATA("Conso_mois_kWhDEET",Calculs_Consos!$AD$10,"ANNEE",M$11,"Detail usage",$C13),0)</f>
        <v>0</v>
      </c>
      <c r="N13">
        <f>IFERROR(GETPIVOTDATA("Conso_mois_kWhDEET",Calculs_Consos!$AD$10,"ANNEE",N$11,"Detail usage",$C13),0)</f>
        <v>0</v>
      </c>
      <c r="O13">
        <f>IFERROR(GETPIVOTDATA("Conso_mois_kWhDEET",Calculs_Consos!$AD$10,"ANNEE",O$11,"Detail usage",$C13),0)</f>
        <v>0</v>
      </c>
      <c r="Q13" t="s">
        <v>155</v>
      </c>
      <c r="R13">
        <v>1</v>
      </c>
    </row>
    <row r="14" spans="2:18" x14ac:dyDescent="0.25">
      <c r="B14" s="353"/>
      <c r="C14" s="36" t="s">
        <v>42</v>
      </c>
      <c r="D14">
        <f t="shared" ref="D14:O14" si="0">IFERROR(D12-D13,"")</f>
        <v>0</v>
      </c>
      <c r="E14">
        <f t="shared" si="0"/>
        <v>0</v>
      </c>
      <c r="F14">
        <f t="shared" si="0"/>
        <v>0</v>
      </c>
      <c r="G14">
        <f t="shared" si="0"/>
        <v>0</v>
      </c>
      <c r="H14">
        <f t="shared" si="0"/>
        <v>0</v>
      </c>
      <c r="I14">
        <f t="shared" si="0"/>
        <v>0</v>
      </c>
      <c r="J14">
        <f t="shared" si="0"/>
        <v>0</v>
      </c>
      <c r="K14">
        <f t="shared" si="0"/>
        <v>0</v>
      </c>
      <c r="L14">
        <f t="shared" si="0"/>
        <v>0</v>
      </c>
      <c r="M14">
        <f t="shared" si="0"/>
        <v>0</v>
      </c>
      <c r="N14">
        <f t="shared" si="0"/>
        <v>0</v>
      </c>
      <c r="O14">
        <f t="shared" si="0"/>
        <v>0</v>
      </c>
      <c r="Q14" t="s">
        <v>156</v>
      </c>
      <c r="R14">
        <f>INDEX(E11:J11,1,R13)</f>
        <v>2020</v>
      </c>
    </row>
    <row r="15" spans="2:18" ht="15" customHeight="1" x14ac:dyDescent="0.25">
      <c r="B15" s="354" t="s">
        <v>44</v>
      </c>
      <c r="C15" s="36" t="s">
        <v>47</v>
      </c>
      <c r="D15" t="e">
        <f>ROUND(GETPIVOTDATA("Somme de DJU(chauffagiste)",BDD_DJU!$H$13,"annee",D11),0)</f>
        <v>#REF!</v>
      </c>
      <c r="E15">
        <f>ROUND(GETPIVOTDATA("Somme de DJU(chauffagiste)",BDD_DJU!$H$13,"annee",E11),0)</f>
        <v>1805</v>
      </c>
      <c r="F15">
        <f>ROUND(GETPIVOTDATA("Somme de DJU(chauffagiste)",BDD_DJU!$H$13,"annee",F11),0)</f>
        <v>2220</v>
      </c>
      <c r="G15">
        <f>ROUND(GETPIVOTDATA("Somme de DJU(chauffagiste)",BDD_DJU!$H$13,"annee",G11),0)</f>
        <v>1878</v>
      </c>
      <c r="H15">
        <f>ROUND(GETPIVOTDATA("Somme de DJU(chauffagiste)",BDD_DJU!$H$13,"annee",H11),0)</f>
        <v>1862</v>
      </c>
      <c r="I15" t="e">
        <f>ROUND(GETPIVOTDATA("Somme de DJU(chauffagiste)",BDD_DJU!$H$13,"annee",I11),0)</f>
        <v>#REF!</v>
      </c>
      <c r="J15" t="e">
        <f>ROUND(GETPIVOTDATA("Somme de DJU(chauffagiste)",BDD_DJU!$H$13,"annee",J11),0)</f>
        <v>#REF!</v>
      </c>
      <c r="K15" t="e">
        <f>ROUND(GETPIVOTDATA("Somme de DJU(chauffagiste)",BDD_DJU!$H$13,"annee",K11),0)</f>
        <v>#REF!</v>
      </c>
      <c r="L15" t="e">
        <f>ROUND(GETPIVOTDATA("Somme de DJU(chauffagiste)",BDD_DJU!$H$13,"annee",L11),0)</f>
        <v>#REF!</v>
      </c>
      <c r="M15" t="e">
        <f>ROUND(GETPIVOTDATA("Somme de DJU(chauffagiste)",BDD_DJU!$H$13,"annee",M11),0)</f>
        <v>#REF!</v>
      </c>
      <c r="N15" t="e">
        <f>ROUND(GETPIVOTDATA("Somme de DJU(chauffagiste)",BDD_DJU!$H$13,"annee",N11),0)</f>
        <v>#REF!</v>
      </c>
      <c r="O15" t="e">
        <f>ROUND(GETPIVOTDATA("Somme de DJU(chauffagiste)",BDD_DJU!$H$13,"annee",O11),0)</f>
        <v>#REF!</v>
      </c>
      <c r="Q15" t="s">
        <v>157</v>
      </c>
      <c r="R15">
        <f>INDEX($E$11:$J$46,22,$R$13)</f>
        <v>0</v>
      </c>
    </row>
    <row r="16" spans="2:18" ht="15" customHeight="1" x14ac:dyDescent="0.25">
      <c r="B16" s="354"/>
      <c r="C16" s="36" t="s">
        <v>242</v>
      </c>
      <c r="D16" t="e">
        <f>VLOOKUP(D11,Site!$B$8:$H$23,7,FALSE)</f>
        <v>#N/A</v>
      </c>
      <c r="E16">
        <f>VLOOKUP(E11,Site!$B$8:$H$23,7,FALSE)</f>
        <v>106</v>
      </c>
      <c r="F16">
        <f>VLOOKUP(F11,Site!$B$8:$H$23,7,FALSE)</f>
        <v>106</v>
      </c>
      <c r="G16">
        <f>VLOOKUP(G11,Site!$B$8:$H$23,7,FALSE)</f>
        <v>106</v>
      </c>
      <c r="H16">
        <f>VLOOKUP(H11,Site!$B$8:$H$23,7,FALSE)</f>
        <v>106</v>
      </c>
      <c r="I16">
        <f>VLOOKUP(I11,Site!$B$8:$H$23,7,FALSE)</f>
        <v>106</v>
      </c>
      <c r="J16">
        <f>VLOOKUP(J11,Site!$B$8:$H$23,7,FALSE)</f>
        <v>106</v>
      </c>
      <c r="K16" t="e">
        <f>VLOOKUP(K11,Site!$B$8:$H$23,7,FALSE)</f>
        <v>#N/A</v>
      </c>
      <c r="L16" t="e">
        <f>VLOOKUP(L11,Site!$B$8:$H$23,7,FALSE)</f>
        <v>#N/A</v>
      </c>
      <c r="M16" t="e">
        <f>VLOOKUP(M11,Site!$B$8:$H$23,7,FALSE)</f>
        <v>#N/A</v>
      </c>
      <c r="N16" t="e">
        <f>VLOOKUP(N11,Site!$B$8:$H$23,7,FALSE)</f>
        <v>#N/A</v>
      </c>
      <c r="O16" t="e">
        <f>VLOOKUP(O11,Site!$B$8:$H$23,7,FALSE)</f>
        <v>#N/A</v>
      </c>
    </row>
    <row r="17" spans="2:18" ht="15" customHeight="1" x14ac:dyDescent="0.25">
      <c r="B17" s="354"/>
      <c r="C17" s="36" t="s">
        <v>264</v>
      </c>
      <c r="D17">
        <f>Controle_des_données!$B$32</f>
        <v>3.2000000000000001E-2</v>
      </c>
      <c r="E17">
        <f>Controle_des_données!$B$32</f>
        <v>3.2000000000000001E-2</v>
      </c>
      <c r="F17">
        <f>Controle_des_données!$B$32</f>
        <v>3.2000000000000001E-2</v>
      </c>
      <c r="G17">
        <f>Controle_des_données!$B$32</f>
        <v>3.2000000000000001E-2</v>
      </c>
      <c r="H17">
        <f>Controle_des_données!$B$32</f>
        <v>3.2000000000000001E-2</v>
      </c>
      <c r="I17">
        <f>Controle_des_données!$B$32</f>
        <v>3.2000000000000001E-2</v>
      </c>
      <c r="J17">
        <f>Controle_des_données!$B$32</f>
        <v>3.2000000000000001E-2</v>
      </c>
      <c r="K17">
        <f>Controle_des_données!$B$32</f>
        <v>3.2000000000000001E-2</v>
      </c>
      <c r="L17">
        <f>Controle_des_données!$B$32</f>
        <v>3.2000000000000001E-2</v>
      </c>
      <c r="M17">
        <f>Controle_des_données!$B$32</f>
        <v>3.2000000000000001E-2</v>
      </c>
      <c r="N17">
        <f>Controle_des_données!$B$32</f>
        <v>3.2000000000000001E-2</v>
      </c>
      <c r="O17">
        <f>Controle_des_données!$B$32</f>
        <v>3.2000000000000001E-2</v>
      </c>
    </row>
    <row r="18" spans="2:18" ht="16.5" customHeight="1" x14ac:dyDescent="0.25">
      <c r="B18" s="354"/>
      <c r="C18" s="36" t="s">
        <v>45</v>
      </c>
      <c r="D18" t="e">
        <f>VLOOKUP(D11,Site!$B$8:$E$23,3,FALSE)</f>
        <v>#N/A</v>
      </c>
      <c r="E18">
        <f>VLOOKUP(E11,Site!$B$8:$E$23,3,FALSE)</f>
        <v>0</v>
      </c>
      <c r="F18">
        <f>VLOOKUP(F11,Site!$B$8:$E$23,3,FALSE)</f>
        <v>0</v>
      </c>
      <c r="G18">
        <f>VLOOKUP(G11,Site!$B$8:$E$23,3,FALSE)</f>
        <v>0</v>
      </c>
      <c r="H18">
        <f>VLOOKUP(H11,Site!$B$8:$E$23,3,FALSE)</f>
        <v>0</v>
      </c>
      <c r="I18">
        <f>VLOOKUP(I11,Site!$B$8:$E$23,3,FALSE)</f>
        <v>0</v>
      </c>
      <c r="J18">
        <f>VLOOKUP(J11,Site!$B$8:$E$23,3,FALSE)</f>
        <v>0</v>
      </c>
      <c r="Q18" t="s">
        <v>158</v>
      </c>
      <c r="R18" s="58" t="e">
        <f>INDEX($E$11:$J$46,27,$R$13)</f>
        <v>#DIV/0!</v>
      </c>
    </row>
    <row r="19" spans="2:18" x14ac:dyDescent="0.25">
      <c r="B19" s="354"/>
      <c r="C19" s="36" t="s">
        <v>46</v>
      </c>
      <c r="D19">
        <f>IFERROR(IF(D27&gt;0,D27*($G$3-D15)/D15,D17*((D30+D14)/D32)/D16*D18*($G$3-D15)),0)</f>
        <v>0</v>
      </c>
      <c r="E19">
        <f t="shared" ref="E19:O19" si="1">IFERROR(IF(E27&gt;0,E27*($G$3-E15)/E15,E17*((E30+E14)/E32)/E16*E18*($G$3-E15)),0)</f>
        <v>0</v>
      </c>
      <c r="F19">
        <f t="shared" si="1"/>
        <v>0</v>
      </c>
      <c r="G19">
        <f t="shared" si="1"/>
        <v>0</v>
      </c>
      <c r="H19">
        <f t="shared" si="1"/>
        <v>0</v>
      </c>
      <c r="I19">
        <f t="shared" si="1"/>
        <v>0</v>
      </c>
      <c r="J19">
        <f t="shared" si="1"/>
        <v>0</v>
      </c>
      <c r="K19">
        <f t="shared" si="1"/>
        <v>0</v>
      </c>
      <c r="L19">
        <f t="shared" si="1"/>
        <v>0</v>
      </c>
      <c r="M19">
        <f t="shared" si="1"/>
        <v>0</v>
      </c>
      <c r="N19">
        <f t="shared" si="1"/>
        <v>0</v>
      </c>
      <c r="O19">
        <f t="shared" si="1"/>
        <v>0</v>
      </c>
      <c r="Q19" t="s">
        <v>159</v>
      </c>
      <c r="R19" s="58" t="e">
        <f>INDEX($E$11:$J$46,28,$R$13)</f>
        <v>#DIV/0!</v>
      </c>
    </row>
    <row r="20" spans="2:18" x14ac:dyDescent="0.25">
      <c r="B20" s="354" t="s">
        <v>51</v>
      </c>
      <c r="C20" t="s">
        <v>79</v>
      </c>
      <c r="D20">
        <f>IFERROR(GETPIVOTDATA("Conso_mois_kWhDEET",Calculs_Consos!$AD$10,"ANNEE",D$11,"Detail usage",$C20),0)</f>
        <v>0</v>
      </c>
      <c r="E20">
        <f>IFERROR(GETPIVOTDATA("Conso_mois_kWhDEET",Calculs_Consos!$AD$10,"ANNEE",E$11,"Detail usage",$C20),0)</f>
        <v>0</v>
      </c>
      <c r="F20">
        <f>IFERROR(GETPIVOTDATA("Conso_mois_kWhDEET",Calculs_Consos!$AD$10,"ANNEE",F$11,"Detail usage",$C20),0)</f>
        <v>0</v>
      </c>
      <c r="G20">
        <f>IFERROR(GETPIVOTDATA("Conso_mois_kWhDEET",Calculs_Consos!$AD$10,"ANNEE",G$11,"Detail usage",$C20),0)</f>
        <v>0</v>
      </c>
      <c r="H20">
        <f>IFERROR(GETPIVOTDATA("Conso_mois_kWhDEET",Calculs_Consos!$AD$10,"ANNEE",H$11,"Detail usage",$C20),0)</f>
        <v>0</v>
      </c>
      <c r="I20">
        <f>IFERROR(GETPIVOTDATA("Conso_mois_kWhDEET",Calculs_Consos!$AD$10,"ANNEE",I$11,"Detail usage",$C20),0)</f>
        <v>0</v>
      </c>
      <c r="J20">
        <f>IFERROR(GETPIVOTDATA("Conso_mois_kWhDEET",Calculs_Consos!$AD$10,"ANNEE",J$11,"Detail usage",$C20),0)</f>
        <v>0</v>
      </c>
      <c r="K20">
        <f>IFERROR(GETPIVOTDATA("Conso_mois_kWhDEET",Calculs_Consos!$AD$10,"ANNEE",K$11,"Detail usage",$C20),0)</f>
        <v>0</v>
      </c>
      <c r="L20">
        <f>IFERROR(GETPIVOTDATA("Conso_mois_kWhDEET",Calculs_Consos!$AD$10,"ANNEE",L$11,"Detail usage",$C20),0)</f>
        <v>0</v>
      </c>
      <c r="M20">
        <f>IFERROR(GETPIVOTDATA("Conso_mois_kWhDEET",Calculs_Consos!$AD$10,"ANNEE",M$11,"Detail usage",$C20),0)</f>
        <v>0</v>
      </c>
      <c r="N20">
        <f>IFERROR(GETPIVOTDATA("Conso_mois_kWhDEET",Calculs_Consos!$AD$10,"ANNEE",N$11,"Detail usage",$C20),0)</f>
        <v>0</v>
      </c>
      <c r="O20">
        <f>IFERROR(GETPIVOTDATA("Conso_mois_kWhDEET",Calculs_Consos!$AD$10,"ANNEE",O$11,"Detail usage",$C20),0)</f>
        <v>0</v>
      </c>
      <c r="Q20" t="s">
        <v>161</v>
      </c>
      <c r="R20" s="206" t="e">
        <f>INDEX($E$11:$J$46,29,$R$13)</f>
        <v>#DIV/0!</v>
      </c>
    </row>
    <row r="21" spans="2:18" ht="15" customHeight="1" x14ac:dyDescent="0.25">
      <c r="B21" s="354"/>
      <c r="C21" s="36" t="s">
        <v>48</v>
      </c>
      <c r="D21" t="e">
        <f>GETPIVOTDATA("DJU(climaticien)",BDD_DJU!$L$13,"annee",D11)</f>
        <v>#REF!</v>
      </c>
      <c r="E21">
        <f>GETPIVOTDATA("DJU(climaticien)",BDD_DJU!$L$13,"annee",E11)</f>
        <v>392.79999999999995</v>
      </c>
      <c r="F21">
        <f>GETPIVOTDATA("DJU(climaticien)",BDD_DJU!$L$13,"annee",F11)</f>
        <v>313.10000000000002</v>
      </c>
      <c r="G21">
        <f>GETPIVOTDATA("DJU(climaticien)",BDD_DJU!$L$13,"annee",G11)</f>
        <v>482.5</v>
      </c>
      <c r="H21">
        <f>GETPIVOTDATA("DJU(climaticien)",BDD_DJU!$L$13,"annee",H11)</f>
        <v>453.3</v>
      </c>
      <c r="I21" t="e">
        <f>GETPIVOTDATA("DJU(climaticien)",BDD_DJU!$L$13,"annee",I11)</f>
        <v>#REF!</v>
      </c>
      <c r="J21" t="e">
        <f>GETPIVOTDATA("DJU(climaticien)",BDD_DJU!$L$13,"annee",J11)</f>
        <v>#REF!</v>
      </c>
      <c r="K21" t="e">
        <f>GETPIVOTDATA("DJU(climaticien)",BDD_DJU!$L$13,"annee",K11)</f>
        <v>#REF!</v>
      </c>
      <c r="L21" t="e">
        <f>GETPIVOTDATA("DJU(climaticien)",BDD_DJU!$L$13,"annee",L11)</f>
        <v>#REF!</v>
      </c>
      <c r="M21" t="e">
        <f>GETPIVOTDATA("DJU(climaticien)",BDD_DJU!$L$13,"annee",M11)</f>
        <v>#REF!</v>
      </c>
      <c r="N21" t="e">
        <f>GETPIVOTDATA("DJU(climaticien)",BDD_DJU!$L$13,"annee",N11)</f>
        <v>#REF!</v>
      </c>
      <c r="O21" t="e">
        <f>GETPIVOTDATA("DJU(climaticien)",BDD_DJU!$L$13,"annee",O11)</f>
        <v>#REF!</v>
      </c>
      <c r="Q21" t="s">
        <v>160</v>
      </c>
      <c r="R21" s="59" t="e">
        <f>(R20-R8)/R8</f>
        <v>#DIV/0!</v>
      </c>
    </row>
    <row r="22" spans="2:18" ht="15" customHeight="1" x14ac:dyDescent="0.25">
      <c r="B22" s="354"/>
      <c r="C22" s="36" t="s">
        <v>263</v>
      </c>
      <c r="D22">
        <f>Controle_des_données!$B$33</f>
        <v>4.9000000000000002E-2</v>
      </c>
      <c r="E22">
        <f>Controle_des_données!$B$33</f>
        <v>4.9000000000000002E-2</v>
      </c>
      <c r="F22">
        <f>Controle_des_données!$B$33</f>
        <v>4.9000000000000002E-2</v>
      </c>
      <c r="G22">
        <f>Controle_des_données!$B$33</f>
        <v>4.9000000000000002E-2</v>
      </c>
      <c r="H22">
        <f>Controle_des_données!$B$33</f>
        <v>4.9000000000000002E-2</v>
      </c>
      <c r="I22">
        <f>Controle_des_données!$B$33</f>
        <v>4.9000000000000002E-2</v>
      </c>
      <c r="J22">
        <f>Controle_des_données!$B$33</f>
        <v>4.9000000000000002E-2</v>
      </c>
      <c r="K22">
        <f>Controle_des_données!$B$33</f>
        <v>4.9000000000000002E-2</v>
      </c>
      <c r="L22">
        <f>Controle_des_données!$B$33</f>
        <v>4.9000000000000002E-2</v>
      </c>
      <c r="M22">
        <f>Controle_des_données!$B$33</f>
        <v>4.9000000000000002E-2</v>
      </c>
      <c r="N22">
        <f>Controle_des_données!$B$33</f>
        <v>4.9000000000000002E-2</v>
      </c>
      <c r="O22">
        <f>Controle_des_données!$B$33</f>
        <v>4.9000000000000002E-2</v>
      </c>
      <c r="R22" s="59"/>
    </row>
    <row r="23" spans="2:18" x14ac:dyDescent="0.25">
      <c r="B23" s="354"/>
      <c r="C23" s="36" t="s">
        <v>49</v>
      </c>
      <c r="D23" t="e">
        <f>VLOOKUP(D11,Site!$B$8:$E$23,4,FALSE)</f>
        <v>#N/A</v>
      </c>
      <c r="E23">
        <f>VLOOKUP(E11,Site!$B$8:$E$23,4,FALSE)</f>
        <v>0</v>
      </c>
      <c r="F23">
        <f>VLOOKUP(F11,Site!$B$8:$E$23,4,FALSE)</f>
        <v>0</v>
      </c>
      <c r="G23">
        <f>VLOOKUP(G11,Site!$B$8:$E$23,4,FALSE)</f>
        <v>0</v>
      </c>
      <c r="H23">
        <f>VLOOKUP(H11,Site!$B$8:$E$23,4,FALSE)</f>
        <v>0</v>
      </c>
      <c r="I23">
        <f>VLOOKUP(I11,Site!$B$8:$E$23,4,FALSE)</f>
        <v>0</v>
      </c>
      <c r="J23">
        <f>VLOOKUP(J11,Site!$B$8:$E$23,4,FALSE)</f>
        <v>0</v>
      </c>
    </row>
    <row r="24" spans="2:18" x14ac:dyDescent="0.25">
      <c r="B24" s="354"/>
      <c r="C24" s="36" t="s">
        <v>50</v>
      </c>
      <c r="D24">
        <f>IFERROR(IF(D20&gt;0,D20*($H$3-D21)/D21,D22*((D30+D14)/D32)/D16*D23*($H$3-D21)),0)</f>
        <v>0</v>
      </c>
      <c r="E24">
        <f t="shared" ref="E24:O24" si="2">IFERROR(IF(E20&gt;0,E20*($H$3-E21)/E21,E22*((E30+E14)/E32)/E16*E23*($H$3-E21)),0)</f>
        <v>0</v>
      </c>
      <c r="F24">
        <f t="shared" si="2"/>
        <v>0</v>
      </c>
      <c r="G24">
        <f t="shared" si="2"/>
        <v>0</v>
      </c>
      <c r="H24">
        <f t="shared" si="2"/>
        <v>0</v>
      </c>
      <c r="I24">
        <f t="shared" si="2"/>
        <v>0</v>
      </c>
      <c r="J24">
        <f t="shared" si="2"/>
        <v>0</v>
      </c>
      <c r="K24">
        <f t="shared" si="2"/>
        <v>0</v>
      </c>
      <c r="L24">
        <f t="shared" si="2"/>
        <v>0</v>
      </c>
      <c r="M24">
        <f t="shared" si="2"/>
        <v>0</v>
      </c>
      <c r="N24">
        <f t="shared" si="2"/>
        <v>0</v>
      </c>
      <c r="O24">
        <f t="shared" si="2"/>
        <v>0</v>
      </c>
    </row>
    <row r="25" spans="2:18" x14ac:dyDescent="0.25">
      <c r="B25" s="51"/>
      <c r="C25" s="36" t="s">
        <v>452</v>
      </c>
      <c r="D25">
        <f>IFERROR(GETPIVOTDATA("Conso_mois_kWhDEET",Calculs_Consos!$AD$10,"ANNEE",D$11,"Detail usage",$C25),0)</f>
        <v>0</v>
      </c>
      <c r="E25">
        <f>IFERROR(GETPIVOTDATA("Conso_mois_kWhDEET",Calculs_Consos!$AD$10,"ANNEE",E$11,"Detail usage",$C25),0)</f>
        <v>0</v>
      </c>
      <c r="F25">
        <f>IFERROR(GETPIVOTDATA("Conso_mois_kWhDEET",Calculs_Consos!$AD$10,"ANNEE",F$11,"Detail usage",$C25),0)</f>
        <v>0</v>
      </c>
      <c r="G25">
        <f>IFERROR(GETPIVOTDATA("Conso_mois_kWhDEET",Calculs_Consos!$AD$10,"ANNEE",G$11,"Detail usage",$C25),0)</f>
        <v>0</v>
      </c>
      <c r="H25">
        <f>IFERROR(GETPIVOTDATA("Conso_mois_kWhDEET",Calculs_Consos!$AD$10,"ANNEE",H$11,"Detail usage",$C25),0)</f>
        <v>0</v>
      </c>
      <c r="I25">
        <f>IFERROR(GETPIVOTDATA("Conso_mois_kWhDEET",Calculs_Consos!$AD$10,"ANNEE",I$11,"Detail usage",$C25),0)</f>
        <v>0</v>
      </c>
      <c r="J25">
        <f>IFERROR(GETPIVOTDATA("Conso_mois_kWhDEET",Calculs_Consos!$AD$10,"ANNEE",J$11,"Detail usage",$C25),0)</f>
        <v>0</v>
      </c>
      <c r="K25">
        <f>IFERROR(GETPIVOTDATA("Conso_mois_kWhDEET",Calculs_Consos!$AD$10,"ANNEE",K$11,"Detail usage",$C25),0)</f>
        <v>0</v>
      </c>
      <c r="L25">
        <f>IFERROR(GETPIVOTDATA("Conso_mois_kWhDEET",Calculs_Consos!$AD$10,"ANNEE",L$11,"Detail usage",$C25),0)</f>
        <v>0</v>
      </c>
      <c r="M25">
        <f>IFERROR(GETPIVOTDATA("Conso_mois_kWhDEET",Calculs_Consos!$AD$10,"ANNEE",M$11,"Detail usage",$C25),0)</f>
        <v>0</v>
      </c>
      <c r="N25">
        <f>IFERROR(GETPIVOTDATA("Conso_mois_kWhDEET",Calculs_Consos!$AD$10,"ANNEE",N$11,"Detail usage",$C25),0)</f>
        <v>0</v>
      </c>
      <c r="O25">
        <f>IFERROR(GETPIVOTDATA("Conso_mois_kWhDEET",Calculs_Consos!$AD$10,"ANNEE",O$11,"Detail usage",$C25),0)</f>
        <v>0</v>
      </c>
    </row>
    <row r="26" spans="2:18" x14ac:dyDescent="0.25">
      <c r="B26" s="353" t="s">
        <v>52</v>
      </c>
      <c r="C26" s="36" t="s">
        <v>68</v>
      </c>
      <c r="D26">
        <f>IFERROR(GETPIVOTDATA("Conso_mois_kWhDEET",Calculs_Consos!$AD$10,"ANNEE",D$11,"Detail usage",$C26),0)</f>
        <v>0</v>
      </c>
      <c r="E26">
        <f>IFERROR(GETPIVOTDATA("Conso_mois_kWhDEET",Calculs_Consos!$AD$10,"ANNEE",E$11,"Detail usage",$C26),0)</f>
        <v>0</v>
      </c>
      <c r="F26">
        <f>IFERROR(GETPIVOTDATA("Conso_mois_kWhDEET",Calculs_Consos!$AD$10,"ANNEE",F$11,"Detail usage",$C26),0)</f>
        <v>0</v>
      </c>
      <c r="G26">
        <f>IFERROR(GETPIVOTDATA("Conso_mois_kWhDEET",Calculs_Consos!$AD$10,"ANNEE",G$11,"Detail usage",$C26),0)</f>
        <v>0</v>
      </c>
      <c r="H26">
        <f>IFERROR(GETPIVOTDATA("Conso_mois_kWhDEET",Calculs_Consos!$AD$10,"ANNEE",H$11,"Detail usage",$C26),0)</f>
        <v>0</v>
      </c>
      <c r="I26">
        <f>IFERROR(GETPIVOTDATA("Conso_mois_kWhDEET",Calculs_Consos!$AD$10,"ANNEE",I$11,"Detail usage",$C26),0)</f>
        <v>0</v>
      </c>
      <c r="J26">
        <f>IFERROR(GETPIVOTDATA("Conso_mois_kWhDEET",Calculs_Consos!$AD$10,"ANNEE",J$11,"Detail usage",$C26),0)</f>
        <v>0</v>
      </c>
      <c r="K26">
        <f>IFERROR(GETPIVOTDATA("Conso_mois_kWhDEET",Calculs_Consos!$AD$10,"ANNEE",K$11,"Detail usage",$C26),0)</f>
        <v>0</v>
      </c>
      <c r="L26">
        <f>IFERROR(GETPIVOTDATA("Conso_mois_kWhDEET",Calculs_Consos!$AD$10,"ANNEE",L$11,"Detail usage",$C26),0)</f>
        <v>0</v>
      </c>
      <c r="M26">
        <f>IFERROR(GETPIVOTDATA("Conso_mois_kWhDEET",Calculs_Consos!$AD$10,"ANNEE",M$11,"Detail usage",$C26),0)</f>
        <v>0</v>
      </c>
      <c r="N26">
        <f>IFERROR(GETPIVOTDATA("Conso_mois_kWhDEET",Calculs_Consos!$AD$10,"ANNEE",N$11,"Detail usage",$C26),0)</f>
        <v>0</v>
      </c>
      <c r="O26">
        <f>IFERROR(GETPIVOTDATA("Conso_mois_kWhDEET",Calculs_Consos!$AD$10,"ANNEE",O$11,"Detail usage",$C26),0)</f>
        <v>0</v>
      </c>
    </row>
    <row r="27" spans="2:18" x14ac:dyDescent="0.25">
      <c r="B27" s="353"/>
      <c r="C27" s="36" t="s">
        <v>69</v>
      </c>
      <c r="D27">
        <f>IFERROR(GETPIVOTDATA("Conso_mois_kWhDEET",Calculs_Consos!$AD$10,"ANNEE",D$11,"Detail usage",$C27),0)</f>
        <v>0</v>
      </c>
      <c r="E27">
        <f>IFERROR(GETPIVOTDATA("Conso_mois_kWhDEET",Calculs_Consos!$AD$10,"ANNEE",E$11,"Detail usage",$C27),0)</f>
        <v>0</v>
      </c>
      <c r="F27">
        <f>IFERROR(GETPIVOTDATA("Conso_mois_kWhDEET",Calculs_Consos!$AD$10,"ANNEE",F$11,"Detail usage",$C27),0)</f>
        <v>0</v>
      </c>
      <c r="G27">
        <f>IFERROR(GETPIVOTDATA("Conso_mois_kWhDEET",Calculs_Consos!$AD$10,"ANNEE",G$11,"Detail usage",$C27),0)</f>
        <v>0</v>
      </c>
      <c r="H27">
        <f>IFERROR(GETPIVOTDATA("Conso_mois_kWhDEET",Calculs_Consos!$AD$10,"ANNEE",H$11,"Detail usage",$C27),0)</f>
        <v>0</v>
      </c>
      <c r="I27">
        <f>IFERROR(GETPIVOTDATA("Conso_mois_kWhDEET",Calculs_Consos!$AD$10,"ANNEE",I$11,"Detail usage",$C27),0)</f>
        <v>0</v>
      </c>
      <c r="J27">
        <f>IFERROR(GETPIVOTDATA("Conso_mois_kWhDEET",Calculs_Consos!$AD$10,"ANNEE",J$11,"Detail usage",$C27),0)</f>
        <v>0</v>
      </c>
      <c r="K27">
        <f>IFERROR(GETPIVOTDATA("Conso_mois_kWhDEET",Calculs_Consos!$AD$10,"ANNEE",K$11,"Detail usage",$C27),0)</f>
        <v>0</v>
      </c>
      <c r="L27">
        <f>IFERROR(GETPIVOTDATA("Conso_mois_kWhDEET",Calculs_Consos!$AD$10,"ANNEE",L$11,"Detail usage",$C27),0)</f>
        <v>0</v>
      </c>
      <c r="M27">
        <f>IFERROR(GETPIVOTDATA("Conso_mois_kWhDEET",Calculs_Consos!$AD$10,"ANNEE",M$11,"Detail usage",$C27),0)</f>
        <v>0</v>
      </c>
      <c r="N27">
        <f>IFERROR(GETPIVOTDATA("Conso_mois_kWhDEET",Calculs_Consos!$AD$10,"ANNEE",N$11,"Detail usage",$C27),0)</f>
        <v>0</v>
      </c>
      <c r="O27">
        <f>IFERROR(GETPIVOTDATA("Conso_mois_kWhDEET",Calculs_Consos!$AD$10,"ANNEE",O$11,"Detail usage",$C27),0)</f>
        <v>0</v>
      </c>
    </row>
    <row r="28" spans="2:18" x14ac:dyDescent="0.25">
      <c r="B28" s="353"/>
      <c r="C28" s="36" t="s">
        <v>137</v>
      </c>
      <c r="D28">
        <f>IFERROR(GETPIVOTDATA("Conso_mois_kWhDEET",Calculs_Consos!$AD$10,"ANNEE",D$11,"Detail usage",$C28),0)</f>
        <v>0</v>
      </c>
      <c r="E28">
        <f>IFERROR(GETPIVOTDATA("Conso_mois_kWhDEET",Calculs_Consos!$AD$10,"ANNEE",E$11,"Detail usage",$C28),0)</f>
        <v>0</v>
      </c>
      <c r="F28">
        <f>IFERROR(GETPIVOTDATA("Conso_mois_kWhDEET",Calculs_Consos!$AD$10,"ANNEE",F$11,"Detail usage",$C28),0)</f>
        <v>0</v>
      </c>
      <c r="G28">
        <f>IFERROR(GETPIVOTDATA("Conso_mois_kWhDEET",Calculs_Consos!$AD$10,"ANNEE",G$11,"Detail usage",$C28),0)</f>
        <v>0</v>
      </c>
      <c r="H28">
        <f>IFERROR(GETPIVOTDATA("Conso_mois_kWhDEET",Calculs_Consos!$AD$10,"ANNEE",H$11,"Detail usage",$C28),0)</f>
        <v>0</v>
      </c>
      <c r="I28">
        <f>IFERROR(GETPIVOTDATA("Conso_mois_kWhDEET",Calculs_Consos!$AD$10,"ANNEE",I$11,"Detail usage",$C28),0)</f>
        <v>0</v>
      </c>
      <c r="J28">
        <f>IFERROR(GETPIVOTDATA("Conso_mois_kWhDEET",Calculs_Consos!$AD$10,"ANNEE",J$11,"Detail usage",$C28),0)</f>
        <v>0</v>
      </c>
      <c r="K28">
        <f>IFERROR(GETPIVOTDATA("Conso_mois_kWhDEET",Calculs_Consos!$AD$10,"ANNEE",K$11,"Detail usage",$C28),0)</f>
        <v>0</v>
      </c>
      <c r="L28">
        <f>IFERROR(GETPIVOTDATA("Conso_mois_kWhDEET",Calculs_Consos!$AD$10,"ANNEE",L$11,"Detail usage",$C28),0)</f>
        <v>0</v>
      </c>
      <c r="M28">
        <f>IFERROR(GETPIVOTDATA("Conso_mois_kWhDEET",Calculs_Consos!$AD$10,"ANNEE",M$11,"Detail usage",$C28),0)</f>
        <v>0</v>
      </c>
      <c r="N28">
        <f>IFERROR(GETPIVOTDATA("Conso_mois_kWhDEET",Calculs_Consos!$AD$10,"ANNEE",N$11,"Detail usage",$C28),0)</f>
        <v>0</v>
      </c>
      <c r="O28">
        <f>IFERROR(GETPIVOTDATA("Conso_mois_kWhDEET",Calculs_Consos!$AD$10,"ANNEE",O$11,"Detail usage",$C28),0)</f>
        <v>0</v>
      </c>
    </row>
    <row r="29" spans="2:18" x14ac:dyDescent="0.25">
      <c r="B29" s="353"/>
      <c r="C29" t="s">
        <v>320</v>
      </c>
      <c r="D29">
        <f>IFERROR(GETPIVOTDATA("Conso_mois_kWhDEET",Calculs_Consos!$AD$10,"ANNEE",D$11,"Detail usage",$C29),0)</f>
        <v>0</v>
      </c>
      <c r="E29">
        <f>IFERROR(GETPIVOTDATA("Conso_mois_kWhDEET",Calculs_Consos!$AD$10,"ANNEE",E$11,"Detail usage",$C29),0)</f>
        <v>0</v>
      </c>
      <c r="F29">
        <f>IFERROR(GETPIVOTDATA("Conso_mois_kWhDEET",Calculs_Consos!$AD$10,"ANNEE",F$11,"Detail usage",$C29),0)</f>
        <v>0</v>
      </c>
      <c r="G29">
        <f>IFERROR(GETPIVOTDATA("Conso_mois_kWhDEET",Calculs_Consos!$AD$10,"ANNEE",G$11,"Detail usage",$C29),0)</f>
        <v>0</v>
      </c>
      <c r="H29">
        <f>IFERROR(GETPIVOTDATA("Conso_mois_kWhDEET",Calculs_Consos!$AD$10,"ANNEE",H$11,"Detail usage",$C29),0)</f>
        <v>0</v>
      </c>
      <c r="I29">
        <f>IFERROR(GETPIVOTDATA("Conso_mois_kWhDEET",Calculs_Consos!$AD$10,"ANNEE",I$11,"Detail usage",$C29),0)</f>
        <v>0</v>
      </c>
      <c r="J29">
        <f>IFERROR(GETPIVOTDATA("Conso_mois_kWhDEET",Calculs_Consos!$AD$10,"ANNEE",J$11,"Detail usage",$C29),0)</f>
        <v>0</v>
      </c>
      <c r="K29">
        <f>IFERROR(GETPIVOTDATA("Conso_mois_kWhDEET",Calculs_Consos!$AD$10,"ANNEE",K$11,"Detail usage",$C29),0)</f>
        <v>0</v>
      </c>
      <c r="L29">
        <f>IFERROR(GETPIVOTDATA("Conso_mois_kWhDEET",Calculs_Consos!$AD$10,"ANNEE",L$11,"Detail usage",$C29),0)</f>
        <v>0</v>
      </c>
      <c r="M29">
        <f>IFERROR(GETPIVOTDATA("Conso_mois_kWhDEET",Calculs_Consos!$AD$10,"ANNEE",M$11,"Detail usage",$C29),0)</f>
        <v>0</v>
      </c>
      <c r="N29">
        <f>IFERROR(GETPIVOTDATA("Conso_mois_kWhDEET",Calculs_Consos!$AD$10,"ANNEE",N$11,"Detail usage",$C29),0)</f>
        <v>0</v>
      </c>
      <c r="O29">
        <f>IFERROR(GETPIVOTDATA("Conso_mois_kWhDEET",Calculs_Consos!$AD$10,"ANNEE",O$11,"Detail usage",$C29),0)</f>
        <v>0</v>
      </c>
    </row>
    <row r="30" spans="2:18" x14ac:dyDescent="0.25">
      <c r="B30" s="353"/>
      <c r="C30" s="36" t="s">
        <v>53</v>
      </c>
      <c r="D30">
        <f>SUM(D25:D29)</f>
        <v>0</v>
      </c>
      <c r="E30">
        <f t="shared" ref="E30:O30" si="3">SUM(E25:E29)</f>
        <v>0</v>
      </c>
      <c r="F30">
        <f t="shared" si="3"/>
        <v>0</v>
      </c>
      <c r="G30">
        <f t="shared" si="3"/>
        <v>0</v>
      </c>
      <c r="H30">
        <f t="shared" si="3"/>
        <v>0</v>
      </c>
      <c r="I30">
        <f t="shared" si="3"/>
        <v>0</v>
      </c>
      <c r="J30">
        <f t="shared" si="3"/>
        <v>0</v>
      </c>
      <c r="K30">
        <f t="shared" si="3"/>
        <v>0</v>
      </c>
      <c r="L30">
        <f t="shared" si="3"/>
        <v>0</v>
      </c>
      <c r="M30">
        <f>SUM(M25:M29)</f>
        <v>0</v>
      </c>
      <c r="N30">
        <f t="shared" si="3"/>
        <v>0</v>
      </c>
      <c r="O30">
        <f t="shared" si="3"/>
        <v>0</v>
      </c>
    </row>
    <row r="31" spans="2:18" x14ac:dyDescent="0.25">
      <c r="B31" s="353"/>
      <c r="C31" s="36" t="s">
        <v>54</v>
      </c>
      <c r="D31">
        <f>D30+D24+D19</f>
        <v>0</v>
      </c>
      <c r="E31">
        <f t="shared" ref="E31:J31" si="4">E30+E24+E19</f>
        <v>0</v>
      </c>
      <c r="F31">
        <f t="shared" si="4"/>
        <v>0</v>
      </c>
      <c r="G31">
        <f t="shared" si="4"/>
        <v>0</v>
      </c>
      <c r="H31">
        <f t="shared" si="4"/>
        <v>0</v>
      </c>
      <c r="I31">
        <f t="shared" si="4"/>
        <v>0</v>
      </c>
      <c r="J31">
        <f t="shared" si="4"/>
        <v>0</v>
      </c>
      <c r="K31">
        <f t="shared" ref="K31:O31" si="5">K30+K24+K19</f>
        <v>0</v>
      </c>
      <c r="L31">
        <f t="shared" si="5"/>
        <v>0</v>
      </c>
      <c r="M31">
        <f t="shared" si="5"/>
        <v>0</v>
      </c>
      <c r="N31">
        <f t="shared" si="5"/>
        <v>0</v>
      </c>
      <c r="O31">
        <f t="shared" si="5"/>
        <v>0</v>
      </c>
    </row>
    <row r="32" spans="2:18" x14ac:dyDescent="0.25">
      <c r="B32" s="354" t="s">
        <v>55</v>
      </c>
      <c r="C32" s="36" t="s">
        <v>56</v>
      </c>
      <c r="D32" t="e">
        <f>VLOOKUP(D11,Site!$B$8:$E$23,2,FALSE)</f>
        <v>#N/A</v>
      </c>
      <c r="E32">
        <f>VLOOKUP(E11,Site!$B$8:$E$23,2,FALSE)</f>
        <v>0</v>
      </c>
      <c r="F32">
        <f>VLOOKUP(F11,Site!$B$8:$E$23,2,FALSE)</f>
        <v>0</v>
      </c>
      <c r="G32">
        <f>VLOOKUP(G11,Site!$B$8:$E$23,2,FALSE)</f>
        <v>0</v>
      </c>
      <c r="H32">
        <f>VLOOKUP(H11,Site!$B$8:$E$23,2,FALSE)</f>
        <v>0</v>
      </c>
      <c r="I32">
        <f>VLOOKUP(I11,Site!$B$8:$E$23,2,FALSE)</f>
        <v>0</v>
      </c>
      <c r="J32">
        <f>VLOOKUP(J11,Site!$B$8:$E$23,2,FALSE)</f>
        <v>0</v>
      </c>
      <c r="K32" t="e">
        <f>VLOOKUP(K11,Site!$B$8:$E$23,2,FALSE)</f>
        <v>#N/A</v>
      </c>
      <c r="L32" t="e">
        <f>VLOOKUP(L11,Site!$B$8:$E$23,2,FALSE)</f>
        <v>#N/A</v>
      </c>
      <c r="M32" t="e">
        <f>VLOOKUP(M11,Site!$B$8:$E$23,2,FALSE)</f>
        <v>#N/A</v>
      </c>
      <c r="N32" t="e">
        <f>VLOOKUP(N11,Site!$B$8:$E$23,2,FALSE)</f>
        <v>#N/A</v>
      </c>
      <c r="O32" t="e">
        <f>VLOOKUP(O11,Site!$B$8:$E$23,2,FALSE)</f>
        <v>#N/A</v>
      </c>
    </row>
    <row r="33" spans="2:15" x14ac:dyDescent="0.25">
      <c r="B33" s="354"/>
      <c r="C33" s="36" t="s">
        <v>33</v>
      </c>
      <c r="D33">
        <f>IF(D11&lt;=$R$14,D14/D32,0)</f>
        <v>0</v>
      </c>
      <c r="E33" t="e">
        <f t="shared" ref="E33:O33" si="6">IF(E11&lt;=$R$14,E14/E32,0)</f>
        <v>#DIV/0!</v>
      </c>
      <c r="F33">
        <f t="shared" si="6"/>
        <v>0</v>
      </c>
      <c r="G33">
        <f t="shared" si="6"/>
        <v>0</v>
      </c>
      <c r="H33">
        <f t="shared" si="6"/>
        <v>0</v>
      </c>
      <c r="I33">
        <f t="shared" si="6"/>
        <v>0</v>
      </c>
      <c r="J33">
        <f t="shared" si="6"/>
        <v>0</v>
      </c>
      <c r="K33">
        <f t="shared" si="6"/>
        <v>0</v>
      </c>
      <c r="L33">
        <f t="shared" si="6"/>
        <v>0</v>
      </c>
      <c r="M33">
        <f t="shared" si="6"/>
        <v>0</v>
      </c>
      <c r="N33">
        <f t="shared" si="6"/>
        <v>0</v>
      </c>
      <c r="O33">
        <f t="shared" si="6"/>
        <v>0</v>
      </c>
    </row>
    <row r="34" spans="2:15" x14ac:dyDescent="0.25">
      <c r="B34" s="354"/>
      <c r="C34" s="36" t="s">
        <v>204</v>
      </c>
      <c r="D34">
        <f>IF(D11&lt;=$R$14,D30/D32,0)</f>
        <v>0</v>
      </c>
      <c r="E34" t="e">
        <f t="shared" ref="E34:O34" si="7">IF(E11&lt;=$R$14,E30/E32,0)</f>
        <v>#DIV/0!</v>
      </c>
      <c r="F34">
        <f t="shared" si="7"/>
        <v>0</v>
      </c>
      <c r="G34">
        <f t="shared" si="7"/>
        <v>0</v>
      </c>
      <c r="H34">
        <f t="shared" si="7"/>
        <v>0</v>
      </c>
      <c r="I34">
        <f t="shared" si="7"/>
        <v>0</v>
      </c>
      <c r="J34">
        <f t="shared" si="7"/>
        <v>0</v>
      </c>
      <c r="K34">
        <f t="shared" si="7"/>
        <v>0</v>
      </c>
      <c r="L34">
        <f t="shared" si="7"/>
        <v>0</v>
      </c>
      <c r="M34">
        <f t="shared" si="7"/>
        <v>0</v>
      </c>
      <c r="N34">
        <f t="shared" si="7"/>
        <v>0</v>
      </c>
      <c r="O34">
        <f t="shared" si="7"/>
        <v>0</v>
      </c>
    </row>
    <row r="35" spans="2:15" x14ac:dyDescent="0.25">
      <c r="B35" s="51"/>
      <c r="C35" s="36" t="str">
        <f>IF(D26&gt;0,"ECS", IF(D28&gt;0,"ECS estimée","ECS+Cuisson estimées"))</f>
        <v>ECS+Cuisson estimées</v>
      </c>
      <c r="D35">
        <f>IF(D11&lt;=$R$14,IF(D26&gt;0,D26,HLOOKUP(D11,Estimation_ECS!$C$27:$R$30,4))/D32,0)</f>
        <v>0</v>
      </c>
      <c r="E35" t="e">
        <f>IF(E11&lt;=$R$14,IF(E26&gt;0,E26,HLOOKUP(E11,Estimation_ECS!$C$27:$R$30,4))/E32,0)</f>
        <v>#DIV/0!</v>
      </c>
      <c r="F35">
        <f>IF(F11&lt;=$R$14,IF(F26&gt;0,F26,HLOOKUP(F11,Estimation_ECS!$C$27:$R$30,4))/F32,0)</f>
        <v>0</v>
      </c>
      <c r="G35">
        <f>IF(G11&lt;=$R$14,IF(G26&gt;0,G26,HLOOKUP(G11,Estimation_ECS!$C$27:$R$30,4))/G32,0)</f>
        <v>0</v>
      </c>
      <c r="H35">
        <f>IF(H11&lt;=$R$14,IF(H26&gt;0,H26,HLOOKUP(H11,Estimation_ECS!$C$27:$R$30,4))/H32,0)</f>
        <v>0</v>
      </c>
      <c r="I35">
        <f>IF(I11&lt;=$R$14,IF(I26&gt;0,I26,HLOOKUP(I11,Estimation_ECS!$C$27:$R$30,4))/I32,0)</f>
        <v>0</v>
      </c>
      <c r="J35">
        <f>IF(J11&lt;=$R$14,IF(J26&gt;0,J26,HLOOKUP(J11,Estimation_ECS!$C$27:$R$30,4))/J32,0)</f>
        <v>0</v>
      </c>
      <c r="K35">
        <f>IF(K11&lt;=$R$14,IF(K26&gt;0,K26,HLOOKUP(K11,Estimation_ECS!$C$27:$R$30,4))/K32,0)</f>
        <v>0</v>
      </c>
      <c r="L35">
        <f>IF(L11&lt;=$R$14,IF(L26&gt;0,L26,HLOOKUP(L11,Estimation_ECS!$C$27:$R$30,4))/L32,0)</f>
        <v>0</v>
      </c>
      <c r="M35">
        <f>IF(M11&lt;=$R$14,IF(M26&gt;0,M26,HLOOKUP(M11,Estimation_ECS!$C$27:$R$30,4))/M32,0)</f>
        <v>0</v>
      </c>
      <c r="N35">
        <f>IF(N11&lt;=$R$14,IF(N26&gt;0,N26,HLOOKUP(N11,Estimation_ECS!$C$27:$R$30,4))/N32,0)</f>
        <v>0</v>
      </c>
      <c r="O35">
        <f>IF(O11&lt;=$R$14,IF(O26&gt;0,O26,HLOOKUP(O11,Estimation_ECS!$C$27:$R$30,4))/O32,0)</f>
        <v>0</v>
      </c>
    </row>
    <row r="36" spans="2:15" x14ac:dyDescent="0.25">
      <c r="B36" s="51"/>
      <c r="C36" s="36" t="s">
        <v>447</v>
      </c>
      <c r="D36">
        <f>D34-D35</f>
        <v>0</v>
      </c>
      <c r="E36" t="e">
        <f t="shared" ref="E36:O36" si="8">E34-E35</f>
        <v>#DIV/0!</v>
      </c>
      <c r="F36">
        <f t="shared" si="8"/>
        <v>0</v>
      </c>
      <c r="G36">
        <f t="shared" si="8"/>
        <v>0</v>
      </c>
      <c r="H36">
        <f t="shared" si="8"/>
        <v>0</v>
      </c>
      <c r="I36">
        <f t="shared" si="8"/>
        <v>0</v>
      </c>
      <c r="J36">
        <f t="shared" si="8"/>
        <v>0</v>
      </c>
      <c r="K36">
        <f t="shared" si="8"/>
        <v>0</v>
      </c>
      <c r="L36">
        <f t="shared" si="8"/>
        <v>0</v>
      </c>
      <c r="M36">
        <f t="shared" si="8"/>
        <v>0</v>
      </c>
      <c r="N36">
        <f t="shared" si="8"/>
        <v>0</v>
      </c>
      <c r="O36">
        <f t="shared" si="8"/>
        <v>0</v>
      </c>
    </row>
    <row r="37" spans="2:15" x14ac:dyDescent="0.25">
      <c r="B37" s="51"/>
      <c r="C37" s="36" t="s">
        <v>272</v>
      </c>
      <c r="D37">
        <f>IF(D11&lt;=$R$14,D19/D32,0)</f>
        <v>0</v>
      </c>
      <c r="E37" t="e">
        <f t="shared" ref="E37:O37" si="9">IF(E11&lt;=$R$14,E19/E32,0)</f>
        <v>#DIV/0!</v>
      </c>
      <c r="F37">
        <f t="shared" si="9"/>
        <v>0</v>
      </c>
      <c r="G37">
        <f t="shared" si="9"/>
        <v>0</v>
      </c>
      <c r="H37">
        <f t="shared" si="9"/>
        <v>0</v>
      </c>
      <c r="I37">
        <f t="shared" si="9"/>
        <v>0</v>
      </c>
      <c r="J37">
        <f t="shared" si="9"/>
        <v>0</v>
      </c>
      <c r="K37">
        <f t="shared" si="9"/>
        <v>0</v>
      </c>
      <c r="L37">
        <f t="shared" si="9"/>
        <v>0</v>
      </c>
      <c r="M37">
        <f t="shared" si="9"/>
        <v>0</v>
      </c>
      <c r="N37">
        <f t="shared" si="9"/>
        <v>0</v>
      </c>
      <c r="O37">
        <f t="shared" si="9"/>
        <v>0</v>
      </c>
    </row>
    <row r="38" spans="2:15" x14ac:dyDescent="0.25">
      <c r="B38" s="51"/>
      <c r="C38" s="36" t="s">
        <v>273</v>
      </c>
      <c r="D38">
        <f>IF(D11&lt;=$R$14,D24/D32,0)</f>
        <v>0</v>
      </c>
      <c r="E38" t="e">
        <f t="shared" ref="E38:O38" si="10">IF(E11&lt;=$R$14,E24/E32,0)</f>
        <v>#DIV/0!</v>
      </c>
      <c r="F38">
        <f t="shared" si="10"/>
        <v>0</v>
      </c>
      <c r="G38">
        <f t="shared" si="10"/>
        <v>0</v>
      </c>
      <c r="H38">
        <f t="shared" si="10"/>
        <v>0</v>
      </c>
      <c r="I38">
        <f t="shared" si="10"/>
        <v>0</v>
      </c>
      <c r="J38">
        <f t="shared" si="10"/>
        <v>0</v>
      </c>
      <c r="K38">
        <f t="shared" si="10"/>
        <v>0</v>
      </c>
      <c r="L38">
        <f t="shared" si="10"/>
        <v>0</v>
      </c>
      <c r="M38">
        <f t="shared" si="10"/>
        <v>0</v>
      </c>
      <c r="N38">
        <f t="shared" si="10"/>
        <v>0</v>
      </c>
      <c r="O38">
        <f t="shared" si="10"/>
        <v>0</v>
      </c>
    </row>
    <row r="39" spans="2:15" x14ac:dyDescent="0.25">
      <c r="C39" s="36" t="s">
        <v>271</v>
      </c>
      <c r="D39">
        <f>IF(D11&lt;=$R$14,D33+D34+D37+D38,0)</f>
        <v>0</v>
      </c>
      <c r="E39" t="e">
        <f t="shared" ref="E39:O39" si="11">IF(E11&lt;=$R$14,E33+E34+E37+E38,0)</f>
        <v>#DIV/0!</v>
      </c>
      <c r="F39">
        <f t="shared" si="11"/>
        <v>0</v>
      </c>
      <c r="G39">
        <f t="shared" si="11"/>
        <v>0</v>
      </c>
      <c r="H39">
        <f t="shared" si="11"/>
        <v>0</v>
      </c>
      <c r="I39">
        <f t="shared" si="11"/>
        <v>0</v>
      </c>
      <c r="J39">
        <f t="shared" si="11"/>
        <v>0</v>
      </c>
      <c r="K39">
        <f t="shared" si="11"/>
        <v>0</v>
      </c>
      <c r="L39">
        <f t="shared" si="11"/>
        <v>0</v>
      </c>
      <c r="M39">
        <f t="shared" si="11"/>
        <v>0</v>
      </c>
      <c r="N39">
        <f t="shared" si="11"/>
        <v>0</v>
      </c>
      <c r="O39">
        <f t="shared" si="11"/>
        <v>0</v>
      </c>
    </row>
    <row r="41" spans="2:15" x14ac:dyDescent="0.25">
      <c r="C41" t="s">
        <v>147</v>
      </c>
      <c r="D41">
        <f>$R$9</f>
        <v>0</v>
      </c>
      <c r="E41">
        <f t="shared" ref="E41:O41" si="12">$R$9</f>
        <v>0</v>
      </c>
      <c r="F41">
        <f t="shared" si="12"/>
        <v>0</v>
      </c>
      <c r="G41">
        <f t="shared" si="12"/>
        <v>0</v>
      </c>
      <c r="H41">
        <f t="shared" si="12"/>
        <v>0</v>
      </c>
      <c r="I41">
        <f t="shared" si="12"/>
        <v>0</v>
      </c>
      <c r="J41">
        <f t="shared" si="12"/>
        <v>0</v>
      </c>
      <c r="K41">
        <f t="shared" si="12"/>
        <v>0</v>
      </c>
      <c r="L41">
        <f t="shared" si="12"/>
        <v>0</v>
      </c>
      <c r="M41">
        <f t="shared" si="12"/>
        <v>0</v>
      </c>
      <c r="N41">
        <f t="shared" si="12"/>
        <v>0</v>
      </c>
      <c r="O41">
        <f t="shared" si="12"/>
        <v>0</v>
      </c>
    </row>
    <row r="42" spans="2:15" x14ac:dyDescent="0.25">
      <c r="C42" s="36" t="s">
        <v>150</v>
      </c>
      <c r="D42" s="57">
        <f>E42</f>
        <v>0</v>
      </c>
      <c r="E42" s="55">
        <f>IF(E43*0.9&lt;$R$9,$R$9,E43*0.9)</f>
        <v>0</v>
      </c>
      <c r="F42" s="55">
        <f t="shared" ref="F42:O42" si="13">IF(F43*0.9&lt;$R$9,$R$9,F43*0.9)</f>
        <v>0</v>
      </c>
      <c r="G42" s="55">
        <f t="shared" si="13"/>
        <v>0</v>
      </c>
      <c r="H42" s="55">
        <f t="shared" si="13"/>
        <v>0</v>
      </c>
      <c r="I42" s="55">
        <f t="shared" si="13"/>
        <v>0</v>
      </c>
      <c r="J42" s="55">
        <f t="shared" si="13"/>
        <v>0</v>
      </c>
      <c r="K42" s="55">
        <f t="shared" si="13"/>
        <v>0</v>
      </c>
      <c r="L42" s="55">
        <f t="shared" si="13"/>
        <v>0</v>
      </c>
      <c r="M42" s="55">
        <f t="shared" si="13"/>
        <v>0</v>
      </c>
      <c r="N42" s="55">
        <f t="shared" si="13"/>
        <v>0</v>
      </c>
      <c r="O42" s="55">
        <f t="shared" si="13"/>
        <v>0</v>
      </c>
    </row>
    <row r="43" spans="2:15" x14ac:dyDescent="0.25">
      <c r="C43" s="36" t="s">
        <v>151</v>
      </c>
      <c r="D43">
        <f>R8</f>
        <v>0</v>
      </c>
      <c r="E43">
        <f>R8</f>
        <v>0</v>
      </c>
      <c r="F43" s="56">
        <f t="shared" ref="F43:O43" si="14">($R$9-$R$8)/($O$11-$E$11)*(F11-$E$11)+$E$43</f>
        <v>0</v>
      </c>
      <c r="G43" s="56">
        <f t="shared" si="14"/>
        <v>0</v>
      </c>
      <c r="H43" s="56">
        <f t="shared" si="14"/>
        <v>0</v>
      </c>
      <c r="I43" s="56">
        <f t="shared" si="14"/>
        <v>0</v>
      </c>
      <c r="J43" s="56">
        <f t="shared" si="14"/>
        <v>0</v>
      </c>
      <c r="K43" s="56">
        <f t="shared" si="14"/>
        <v>0</v>
      </c>
      <c r="L43" s="56">
        <f t="shared" si="14"/>
        <v>0</v>
      </c>
      <c r="M43" s="56">
        <f t="shared" si="14"/>
        <v>0</v>
      </c>
      <c r="N43" s="56">
        <f t="shared" si="14"/>
        <v>0</v>
      </c>
      <c r="O43" s="56">
        <f t="shared" si="14"/>
        <v>0</v>
      </c>
    </row>
    <row r="44" spans="2:15" x14ac:dyDescent="0.25">
      <c r="C44" s="36" t="s">
        <v>152</v>
      </c>
      <c r="D44" s="57">
        <f>E44</f>
        <v>0</v>
      </c>
      <c r="E44" s="55">
        <f t="shared" ref="E44:O44" si="15">IF(1.1*E43 &gt;$R$8,$R$8,1.1*E43)</f>
        <v>0</v>
      </c>
      <c r="F44" s="55">
        <f t="shared" si="15"/>
        <v>0</v>
      </c>
      <c r="G44" s="55">
        <f t="shared" si="15"/>
        <v>0</v>
      </c>
      <c r="H44" s="55">
        <f t="shared" si="15"/>
        <v>0</v>
      </c>
      <c r="I44" s="55">
        <f t="shared" si="15"/>
        <v>0</v>
      </c>
      <c r="J44" s="55">
        <f t="shared" si="15"/>
        <v>0</v>
      </c>
      <c r="K44" s="55">
        <f t="shared" si="15"/>
        <v>0</v>
      </c>
      <c r="L44" s="55">
        <f t="shared" si="15"/>
        <v>0</v>
      </c>
      <c r="M44" s="55">
        <f t="shared" si="15"/>
        <v>0</v>
      </c>
      <c r="N44" s="55">
        <f t="shared" si="15"/>
        <v>0</v>
      </c>
      <c r="O44" s="55">
        <f t="shared" si="15"/>
        <v>0</v>
      </c>
    </row>
    <row r="45" spans="2:15" x14ac:dyDescent="0.25">
      <c r="C45" s="36" t="s">
        <v>153</v>
      </c>
      <c r="D45">
        <f>$R$8</f>
        <v>0</v>
      </c>
      <c r="E45">
        <f t="shared" ref="E45:O45" si="16">$R$8</f>
        <v>0</v>
      </c>
      <c r="F45">
        <f t="shared" si="16"/>
        <v>0</v>
      </c>
      <c r="G45">
        <f t="shared" si="16"/>
        <v>0</v>
      </c>
      <c r="H45">
        <f t="shared" si="16"/>
        <v>0</v>
      </c>
      <c r="I45">
        <f t="shared" si="16"/>
        <v>0</v>
      </c>
      <c r="J45">
        <f t="shared" si="16"/>
        <v>0</v>
      </c>
      <c r="K45">
        <f t="shared" si="16"/>
        <v>0</v>
      </c>
      <c r="L45">
        <f t="shared" si="16"/>
        <v>0</v>
      </c>
      <c r="M45">
        <f t="shared" si="16"/>
        <v>0</v>
      </c>
      <c r="N45">
        <f t="shared" si="16"/>
        <v>0</v>
      </c>
      <c r="O45">
        <f t="shared" si="16"/>
        <v>0</v>
      </c>
    </row>
    <row r="46" spans="2:15" x14ac:dyDescent="0.25">
      <c r="C46" s="36" t="s">
        <v>154</v>
      </c>
      <c r="D46">
        <f>D45+50</f>
        <v>50</v>
      </c>
      <c r="E46">
        <f t="shared" ref="E46:O46" si="17">E45+50</f>
        <v>50</v>
      </c>
      <c r="F46">
        <f t="shared" si="17"/>
        <v>50</v>
      </c>
      <c r="G46">
        <f t="shared" si="17"/>
        <v>50</v>
      </c>
      <c r="H46">
        <f t="shared" si="17"/>
        <v>50</v>
      </c>
      <c r="I46">
        <f t="shared" si="17"/>
        <v>50</v>
      </c>
      <c r="J46">
        <f t="shared" si="17"/>
        <v>50</v>
      </c>
      <c r="K46">
        <f t="shared" si="17"/>
        <v>50</v>
      </c>
      <c r="L46">
        <f t="shared" si="17"/>
        <v>50</v>
      </c>
      <c r="M46">
        <f t="shared" si="17"/>
        <v>50</v>
      </c>
      <c r="N46">
        <f t="shared" si="17"/>
        <v>50</v>
      </c>
      <c r="O46">
        <f t="shared" si="17"/>
        <v>50</v>
      </c>
    </row>
    <row r="47" spans="2:15" x14ac:dyDescent="0.25">
      <c r="C47" s="36" t="s">
        <v>242</v>
      </c>
      <c r="D47" t="e">
        <f>VLOOKUP(D11,Site!$B$8:$H$23,7,FALSE)</f>
        <v>#N/A</v>
      </c>
      <c r="E47">
        <f>VLOOKUP(E11,Site!$B$8:$H$23,7,FALSE)</f>
        <v>106</v>
      </c>
      <c r="F47">
        <f>VLOOKUP(F11,Site!$B$8:$H$23,7,FALSE)</f>
        <v>106</v>
      </c>
      <c r="G47">
        <f>VLOOKUP(G11,Site!$B$8:$H$23,7,FALSE)</f>
        <v>106</v>
      </c>
      <c r="H47">
        <f>VLOOKUP(H11,Site!$B$8:$H$23,7,FALSE)</f>
        <v>106</v>
      </c>
      <c r="I47">
        <f>VLOOKUP(I11,Site!$B$8:$H$23,7,FALSE)</f>
        <v>106</v>
      </c>
      <c r="J47">
        <f>VLOOKUP(J11,Site!$B$8:$H$23,7,FALSE)</f>
        <v>106</v>
      </c>
      <c r="K47">
        <f>J47</f>
        <v>106</v>
      </c>
      <c r="L47" s="231">
        <f t="shared" ref="L47:O47" si="18">K47</f>
        <v>106</v>
      </c>
      <c r="M47" s="231">
        <f t="shared" si="18"/>
        <v>106</v>
      </c>
      <c r="N47" s="231">
        <f t="shared" si="18"/>
        <v>106</v>
      </c>
      <c r="O47" s="231">
        <f t="shared" si="18"/>
        <v>106</v>
      </c>
    </row>
    <row r="49" spans="2:15" x14ac:dyDescent="0.25">
      <c r="C49" s="36" t="s">
        <v>323</v>
      </c>
      <c r="D49" s="59">
        <f>IF(D11&lt;=$R$14,(D15-$G$3)/$G$3,0)</f>
        <v>0</v>
      </c>
      <c r="E49" s="59">
        <f t="shared" ref="E49:O49" si="19">IF(E11&lt;=$R$14,(E15-$G$3)/$G$3,0)</f>
        <v>-0.15456674473067916</v>
      </c>
      <c r="F49" s="59">
        <f t="shared" si="19"/>
        <v>0</v>
      </c>
      <c r="G49" s="59">
        <f t="shared" si="19"/>
        <v>0</v>
      </c>
      <c r="H49" s="59">
        <f t="shared" si="19"/>
        <v>0</v>
      </c>
      <c r="I49" s="59">
        <f t="shared" si="19"/>
        <v>0</v>
      </c>
      <c r="J49" s="59">
        <f t="shared" si="19"/>
        <v>0</v>
      </c>
      <c r="K49" s="59">
        <f t="shared" si="19"/>
        <v>0</v>
      </c>
      <c r="L49" s="59">
        <f t="shared" si="19"/>
        <v>0</v>
      </c>
      <c r="M49" s="59">
        <f t="shared" si="19"/>
        <v>0</v>
      </c>
      <c r="N49" s="59">
        <f t="shared" si="19"/>
        <v>0</v>
      </c>
      <c r="O49" s="59">
        <f t="shared" si="19"/>
        <v>0</v>
      </c>
    </row>
    <row r="50" spans="2:15" x14ac:dyDescent="0.25">
      <c r="C50" s="36" t="s">
        <v>324</v>
      </c>
      <c r="D50" s="59">
        <f>IF(D49&lt;0,"",D49)</f>
        <v>0</v>
      </c>
      <c r="E50" s="59" t="str">
        <f t="shared" ref="E50:O50" si="20">IF(E49&lt;0,"",E49)</f>
        <v/>
      </c>
      <c r="F50" s="59">
        <f t="shared" si="20"/>
        <v>0</v>
      </c>
      <c r="G50" s="59">
        <f t="shared" si="20"/>
        <v>0</v>
      </c>
      <c r="H50" s="59">
        <f t="shared" si="20"/>
        <v>0</v>
      </c>
      <c r="I50" s="59">
        <f t="shared" si="20"/>
        <v>0</v>
      </c>
      <c r="J50" s="59">
        <f t="shared" si="20"/>
        <v>0</v>
      </c>
      <c r="K50" s="59">
        <f t="shared" si="20"/>
        <v>0</v>
      </c>
      <c r="L50" s="59">
        <f t="shared" si="20"/>
        <v>0</v>
      </c>
      <c r="M50" s="59">
        <f t="shared" si="20"/>
        <v>0</v>
      </c>
      <c r="N50" s="59">
        <f t="shared" si="20"/>
        <v>0</v>
      </c>
      <c r="O50" s="59">
        <f t="shared" si="20"/>
        <v>0</v>
      </c>
    </row>
    <row r="51" spans="2:15" x14ac:dyDescent="0.25">
      <c r="C51" s="36" t="s">
        <v>325</v>
      </c>
      <c r="D51" s="59">
        <f>IF(D49&gt;0,"",D49)</f>
        <v>0</v>
      </c>
      <c r="E51" s="59">
        <f t="shared" ref="E51:O51" si="21">IF(E49&gt;0,"",E49)</f>
        <v>-0.15456674473067916</v>
      </c>
      <c r="F51" s="59">
        <f t="shared" si="21"/>
        <v>0</v>
      </c>
      <c r="G51" s="59">
        <f t="shared" si="21"/>
        <v>0</v>
      </c>
      <c r="H51" s="59">
        <f t="shared" si="21"/>
        <v>0</v>
      </c>
      <c r="I51" s="59">
        <f t="shared" si="21"/>
        <v>0</v>
      </c>
      <c r="J51" s="59">
        <f t="shared" si="21"/>
        <v>0</v>
      </c>
      <c r="K51" s="59">
        <f t="shared" si="21"/>
        <v>0</v>
      </c>
      <c r="L51" s="59">
        <f t="shared" si="21"/>
        <v>0</v>
      </c>
      <c r="M51" s="59">
        <f t="shared" si="21"/>
        <v>0</v>
      </c>
      <c r="N51" s="59">
        <f t="shared" si="21"/>
        <v>0</v>
      </c>
      <c r="O51" s="59">
        <f t="shared" si="21"/>
        <v>0</v>
      </c>
    </row>
    <row r="53" spans="2:15" x14ac:dyDescent="0.25">
      <c r="B53" s="35" t="s">
        <v>41</v>
      </c>
      <c r="D53">
        <v>2010</v>
      </c>
      <c r="E53">
        <v>2011</v>
      </c>
      <c r="F53">
        <v>2012</v>
      </c>
      <c r="G53">
        <v>2013</v>
      </c>
      <c r="H53">
        <v>2014</v>
      </c>
      <c r="I53">
        <v>2015</v>
      </c>
      <c r="J53">
        <v>2016</v>
      </c>
      <c r="K53">
        <v>2017</v>
      </c>
      <c r="L53">
        <v>2018</v>
      </c>
      <c r="M53">
        <v>2019</v>
      </c>
    </row>
    <row r="54" spans="2:15" x14ac:dyDescent="0.25">
      <c r="B54" s="352" t="s">
        <v>33</v>
      </c>
      <c r="C54" t="s">
        <v>64</v>
      </c>
      <c r="D54">
        <f>IFERROR(GETPIVOTDATA("Conso_mois_kWh",Calculs_Consos!$AD$10,"ANNEE",D$53,"Detail usage",$C54),0)</f>
        <v>0</v>
      </c>
      <c r="E54">
        <f>IFERROR(GETPIVOTDATA("Conso_mois_kWh",Calculs_Consos!$AD$10,"ANNEE",E$53,"Detail usage",$C54),0)</f>
        <v>0</v>
      </c>
      <c r="F54">
        <f>IFERROR(GETPIVOTDATA("Conso_mois_kWh",Calculs_Consos!$AD$10,"ANNEE",F$53,"Detail usage",$C54),0)</f>
        <v>0</v>
      </c>
      <c r="G54">
        <f>IFERROR(GETPIVOTDATA("Conso_mois_kWh",Calculs_Consos!$AD$10,"ANNEE",G$53,"Detail usage",$C54),0)</f>
        <v>0</v>
      </c>
      <c r="H54">
        <f>IFERROR(GETPIVOTDATA("Conso_mois_kWh",Calculs_Consos!$AD$10,"ANNEE",H$53,"Detail usage",$C54),0)</f>
        <v>0</v>
      </c>
      <c r="I54">
        <f>IFERROR(GETPIVOTDATA("Conso_mois_kWh",Calculs_Consos!$AD$10,"ANNEE",I$53,"Detail usage",$C54),0)</f>
        <v>0</v>
      </c>
      <c r="J54">
        <f>IFERROR(GETPIVOTDATA("Conso_mois_kWh",Calculs_Consos!$AD$10,"ANNEE",J$53,"Detail usage",$C54),0)</f>
        <v>0</v>
      </c>
      <c r="K54">
        <f>IFERROR(GETPIVOTDATA("Conso_mois_kWh",Calculs_Consos!$AD$10,"ANNEE",K$53,"Detail usage",$C54),0)</f>
        <v>0</v>
      </c>
      <c r="L54">
        <f>IFERROR(GETPIVOTDATA("Conso_mois_kWh",Calculs_Consos!$AD$10,"ANNEE",L$53,"Detail usage",$C54),0)</f>
        <v>0</v>
      </c>
      <c r="M54">
        <f>IFERROR(GETPIVOTDATA("Conso_mois_kWh",Calculs_Consos!$AD$10,"ANNEE",M$53,"Detail usage",$C54),0)</f>
        <v>0</v>
      </c>
    </row>
    <row r="55" spans="2:15" x14ac:dyDescent="0.25">
      <c r="B55" s="353"/>
      <c r="C55" t="s">
        <v>61</v>
      </c>
      <c r="D55">
        <f>IFERROR(GETPIVOTDATA("Conso_mois_kWh",Calculs_Consos!$AD$10,"ANNEE",D$53,"Detail usage",$C55),0)</f>
        <v>0</v>
      </c>
      <c r="E55">
        <f>IFERROR(GETPIVOTDATA("Conso_mois_kWh",Calculs_Consos!$AD$10,"ANNEE",E$53,"Detail usage",$C55),0)</f>
        <v>0</v>
      </c>
      <c r="F55">
        <f>IFERROR(GETPIVOTDATA("Conso_mois_kWh",Calculs_Consos!$AD$10,"ANNEE",F$53,"Detail usage",$C55),0)</f>
        <v>0</v>
      </c>
      <c r="G55">
        <f>IFERROR(GETPIVOTDATA("Conso_mois_kWh",Calculs_Consos!$AD$10,"ANNEE",G$53,"Detail usage",$C55),0)</f>
        <v>0</v>
      </c>
      <c r="H55">
        <f>IFERROR(GETPIVOTDATA("Conso_mois_kWh",Calculs_Consos!$AD$10,"ANNEE",H$53,"Detail usage",$C55),0)</f>
        <v>0</v>
      </c>
      <c r="I55">
        <f>IFERROR(GETPIVOTDATA("Conso_mois_kWh",Calculs_Consos!$AD$10,"ANNEE",I$53,"Detail usage",$C55),0)</f>
        <v>0</v>
      </c>
      <c r="J55">
        <f>IFERROR(GETPIVOTDATA("Conso_mois_kWh",Calculs_Consos!$AD$10,"ANNEE",J$53,"Detail usage",$C55),0)</f>
        <v>0</v>
      </c>
      <c r="K55">
        <f>IFERROR(GETPIVOTDATA("Conso_mois_kWh",Calculs_Consos!$AD$10,"ANNEE",K$53,"Detail usage",$C55),0)</f>
        <v>0</v>
      </c>
      <c r="L55">
        <f>IFERROR(GETPIVOTDATA("Conso_mois_kWh",Calculs_Consos!$AD$10,"ANNEE",L$53,"Detail usage",$C55),0)</f>
        <v>0</v>
      </c>
      <c r="M55">
        <f>IFERROR(GETPIVOTDATA("Conso_mois_kWh",Calculs_Consos!$AD$10,"ANNEE",M$53,"Detail usage",$C55),0)</f>
        <v>0</v>
      </c>
    </row>
    <row r="56" spans="2:15" x14ac:dyDescent="0.25">
      <c r="B56" s="353"/>
      <c r="C56" s="36" t="s">
        <v>42</v>
      </c>
      <c r="D56">
        <f>IFERROR(D54-D55,"")</f>
        <v>0</v>
      </c>
      <c r="E56">
        <f t="shared" ref="E56:O56" si="22">IFERROR(E54-E55,"")</f>
        <v>0</v>
      </c>
      <c r="F56">
        <f t="shared" si="22"/>
        <v>0</v>
      </c>
      <c r="G56">
        <f t="shared" si="22"/>
        <v>0</v>
      </c>
      <c r="H56">
        <f t="shared" si="22"/>
        <v>0</v>
      </c>
      <c r="I56">
        <f t="shared" si="22"/>
        <v>0</v>
      </c>
      <c r="J56">
        <f t="shared" si="22"/>
        <v>0</v>
      </c>
      <c r="K56">
        <f t="shared" ref="K56:M56" si="23">IFERROR(K54-K55,"")</f>
        <v>0</v>
      </c>
      <c r="L56">
        <f t="shared" si="23"/>
        <v>0</v>
      </c>
      <c r="M56">
        <f t="shared" si="23"/>
        <v>0</v>
      </c>
      <c r="N56">
        <f t="shared" si="22"/>
        <v>0</v>
      </c>
      <c r="O56">
        <f t="shared" si="22"/>
        <v>0</v>
      </c>
    </row>
    <row r="57" spans="2:15" x14ac:dyDescent="0.25">
      <c r="B57" s="354" t="s">
        <v>44</v>
      </c>
      <c r="C57" s="36" t="s">
        <v>47</v>
      </c>
      <c r="D57">
        <f>ROUND(GETPIVOTDATA("Somme de DJU(chauffagiste)",BDD_DJU!$H$13,"annee",D53),0)</f>
        <v>2537</v>
      </c>
      <c r="E57">
        <f>ROUND(GETPIVOTDATA("Somme de DJU(chauffagiste)",BDD_DJU!$H$13,"annee",E53),0)</f>
        <v>1844</v>
      </c>
      <c r="F57">
        <f>ROUND(GETPIVOTDATA("Somme de DJU(chauffagiste)",BDD_DJU!$H$13,"annee",F53),0)</f>
        <v>2229</v>
      </c>
      <c r="G57">
        <f>ROUND(GETPIVOTDATA("Somme de DJU(chauffagiste)",BDD_DJU!$H$13,"annee",G53),0)</f>
        <v>2396</v>
      </c>
      <c r="H57">
        <f>ROUND(GETPIVOTDATA("Somme de DJU(chauffagiste)",BDD_DJU!$H$13,"annee",H53),0)</f>
        <v>1893</v>
      </c>
      <c r="I57">
        <f>ROUND(GETPIVOTDATA("Somme de DJU(chauffagiste)",BDD_DJU!$H$13,"annee",I53),0)</f>
        <v>1980</v>
      </c>
      <c r="J57">
        <f>ROUND(GETPIVOTDATA("Somme de DJU(chauffagiste)",BDD_DJU!$H$13,"annee",J53),0)</f>
        <v>2237</v>
      </c>
      <c r="K57">
        <f>ROUND(GETPIVOTDATA("Somme de DJU(chauffagiste)",BDD_DJU!$H$13,"annee",K53),0)</f>
        <v>2074</v>
      </c>
      <c r="L57">
        <f>ROUND(GETPIVOTDATA("Somme de DJU(chauffagiste)",BDD_DJU!$H$13,"annee",L53),0)</f>
        <v>2022</v>
      </c>
      <c r="M57">
        <f>ROUND(GETPIVOTDATA("Somme de DJU(chauffagiste)",BDD_DJU!$H$13,"annee",M53),0)</f>
        <v>2054</v>
      </c>
    </row>
    <row r="58" spans="2:15" x14ac:dyDescent="0.25">
      <c r="B58" s="354"/>
      <c r="C58" s="36" t="s">
        <v>242</v>
      </c>
      <c r="D58">
        <f>VLOOKUP(D53,Site!$B$8:$H$23,7,FALSE)</f>
        <v>106</v>
      </c>
      <c r="E58">
        <f>VLOOKUP(E53,Site!$B$8:$H$23,7,FALSE)</f>
        <v>106</v>
      </c>
      <c r="F58">
        <f>VLOOKUP(F53,Site!$B$8:$H$23,7,FALSE)</f>
        <v>106</v>
      </c>
      <c r="G58">
        <f>VLOOKUP(G53,Site!$B$8:$H$23,7,FALSE)</f>
        <v>106</v>
      </c>
      <c r="H58">
        <f>VLOOKUP(H53,Site!$B$8:$H$23,7,FALSE)</f>
        <v>106</v>
      </c>
      <c r="I58">
        <f>VLOOKUP(I53,Site!$B$8:$H$23,7,FALSE)</f>
        <v>106</v>
      </c>
      <c r="J58">
        <f>VLOOKUP(J53,Site!$B$8:$H$23,7,FALSE)</f>
        <v>106</v>
      </c>
      <c r="K58">
        <f>VLOOKUP(K53,Site!$B$8:$H$23,7,FALSE)</f>
        <v>106</v>
      </c>
      <c r="L58">
        <f>VLOOKUP(L53,Site!$B$8:$H$23,7,FALSE)</f>
        <v>106</v>
      </c>
      <c r="M58">
        <f>VLOOKUP(M53,Site!$B$8:$H$23,7,FALSE)</f>
        <v>106</v>
      </c>
    </row>
    <row r="59" spans="2:15" x14ac:dyDescent="0.25">
      <c r="B59" s="354"/>
      <c r="C59" s="36" t="s">
        <v>264</v>
      </c>
      <c r="D59">
        <f>Controle_des_données!$B$32</f>
        <v>3.2000000000000001E-2</v>
      </c>
      <c r="E59">
        <f>Controle_des_données!$B$32</f>
        <v>3.2000000000000001E-2</v>
      </c>
      <c r="F59">
        <f>Controle_des_données!$B$32</f>
        <v>3.2000000000000001E-2</v>
      </c>
      <c r="G59">
        <f>Controle_des_données!$B$32</f>
        <v>3.2000000000000001E-2</v>
      </c>
      <c r="H59">
        <f>Controle_des_données!$B$32</f>
        <v>3.2000000000000001E-2</v>
      </c>
      <c r="I59">
        <f>Controle_des_données!$B$32</f>
        <v>3.2000000000000001E-2</v>
      </c>
      <c r="J59">
        <f>Controle_des_données!$B$32</f>
        <v>3.2000000000000001E-2</v>
      </c>
      <c r="K59">
        <f>Controle_des_données!$B$32</f>
        <v>3.2000000000000001E-2</v>
      </c>
      <c r="L59">
        <f>Controle_des_données!$B$32</f>
        <v>3.2000000000000001E-2</v>
      </c>
      <c r="M59">
        <f>Controle_des_données!$B$32</f>
        <v>3.2000000000000001E-2</v>
      </c>
    </row>
    <row r="60" spans="2:15" x14ac:dyDescent="0.25">
      <c r="B60" s="354"/>
      <c r="C60" s="36" t="s">
        <v>45</v>
      </c>
      <c r="D60">
        <f>VLOOKUP(D53,Site!$B$8:$E$23,3,FALSE)</f>
        <v>0</v>
      </c>
      <c r="E60">
        <f>VLOOKUP(E53,Site!$B$8:$E$23,3,FALSE)</f>
        <v>0</v>
      </c>
      <c r="F60">
        <f>VLOOKUP(F53,Site!$B$8:$E$23,3,FALSE)</f>
        <v>0</v>
      </c>
      <c r="G60">
        <f>VLOOKUP(G53,Site!$B$8:$E$23,3,FALSE)</f>
        <v>0</v>
      </c>
      <c r="H60">
        <f>VLOOKUP(H53,Site!$B$8:$E$23,3,FALSE)</f>
        <v>0</v>
      </c>
      <c r="I60">
        <f>VLOOKUP(I53,Site!$B$8:$E$23,3,FALSE)</f>
        <v>0</v>
      </c>
      <c r="J60">
        <f>VLOOKUP(J53,Site!$B$8:$E$23,3,FALSE)</f>
        <v>0</v>
      </c>
      <c r="K60">
        <f>VLOOKUP(K53,Site!$B$8:$E$23,3,FALSE)</f>
        <v>0</v>
      </c>
      <c r="L60">
        <f>VLOOKUP(L53,Site!$B$8:$E$23,3,FALSE)</f>
        <v>0</v>
      </c>
      <c r="M60">
        <f>VLOOKUP(M53,Site!$B$8:$E$23,3,FALSE)</f>
        <v>0</v>
      </c>
    </row>
    <row r="61" spans="2:15" x14ac:dyDescent="0.25">
      <c r="B61" s="354"/>
      <c r="C61" s="36" t="s">
        <v>46</v>
      </c>
      <c r="D61">
        <f>IFERROR(IF(D69&gt;0,D69*($G$3-D57)/D57,D59*((D72+D56)/D74)/D58*D60*($G$3-D57)),0)</f>
        <v>0</v>
      </c>
      <c r="E61">
        <f t="shared" ref="E61:M61" si="24">IFERROR(IF(E69&gt;0,E69*($G$3-E57)/E57,E59*((E72+E56)/E74)/E58*E60*($G$3-E57)),0)</f>
        <v>0</v>
      </c>
      <c r="F61">
        <f t="shared" si="24"/>
        <v>0</v>
      </c>
      <c r="G61">
        <f t="shared" si="24"/>
        <v>0</v>
      </c>
      <c r="H61">
        <f t="shared" si="24"/>
        <v>0</v>
      </c>
      <c r="I61">
        <f t="shared" si="24"/>
        <v>0</v>
      </c>
      <c r="J61">
        <f t="shared" si="24"/>
        <v>0</v>
      </c>
      <c r="K61">
        <f t="shared" si="24"/>
        <v>0</v>
      </c>
      <c r="L61">
        <f t="shared" si="24"/>
        <v>0</v>
      </c>
      <c r="M61">
        <f t="shared" si="24"/>
        <v>0</v>
      </c>
    </row>
    <row r="62" spans="2:15" x14ac:dyDescent="0.25">
      <c r="B62" s="354" t="s">
        <v>51</v>
      </c>
      <c r="C62" s="36" t="s">
        <v>138</v>
      </c>
      <c r="D62">
        <f>IFERROR(GETPIVOTDATA("Qté_kWh_annuelle",#REF!,"Année",D$53,"Usage 2 ",$C62),0)</f>
        <v>0</v>
      </c>
      <c r="E62">
        <f>IFERROR(GETPIVOTDATA("Qté_kWh_annuelle",#REF!,"Année",E$53,"Usage 2 ",$C62),0)</f>
        <v>0</v>
      </c>
      <c r="F62">
        <f>IFERROR(GETPIVOTDATA("Qté_kWh_annuelle",#REF!,"Année",F$53,"Usage 2 ",$C62),0)</f>
        <v>0</v>
      </c>
      <c r="G62">
        <f>IFERROR(GETPIVOTDATA("Qté_kWh_annuelle",#REF!,"Année",G$53,"Usage 2 ",$C62),0)</f>
        <v>0</v>
      </c>
      <c r="H62">
        <f>IFERROR(GETPIVOTDATA("Qté_kWh_annuelle",#REF!,"Année",H$53,"Usage 2 ",$C62),0)</f>
        <v>0</v>
      </c>
      <c r="I62">
        <f>IFERROR(GETPIVOTDATA("Qté_kWh_annuelle",#REF!,"Année",I$53,"Usage 2 ",$C62),0)</f>
        <v>0</v>
      </c>
      <c r="J62">
        <f>IFERROR(GETPIVOTDATA("Qté_kWh_annuelle",#REF!,"Année",J$53,"Usage 2 ",$C62),0)</f>
        <v>0</v>
      </c>
      <c r="K62">
        <f>IFERROR(GETPIVOTDATA("Qté_kWh_annuelle",#REF!,"Année",K$53,"Usage 2 ",$C62),0)</f>
        <v>0</v>
      </c>
      <c r="L62">
        <f>IFERROR(GETPIVOTDATA("Qté_kWh_annuelle",#REF!,"Année",L$53,"Usage 2 ",$C62),0)</f>
        <v>0</v>
      </c>
      <c r="M62">
        <f>IFERROR(GETPIVOTDATA("Qté_kWh_annuelle",#REF!,"Année",M$53,"Usage 2 ",$C62),0)</f>
        <v>0</v>
      </c>
    </row>
    <row r="63" spans="2:15" x14ac:dyDescent="0.25">
      <c r="B63" s="354"/>
      <c r="C63" s="36" t="s">
        <v>48</v>
      </c>
      <c r="D63">
        <f>GETPIVOTDATA("DJU(climaticien)",BDD_DJU!$L$13,"annee",D53)</f>
        <v>306.40000000000003</v>
      </c>
      <c r="E63">
        <f>GETPIVOTDATA("DJU(climaticien)",BDD_DJU!$L$13,"annee",E53)</f>
        <v>255.9</v>
      </c>
      <c r="F63">
        <f>GETPIVOTDATA("DJU(climaticien)",BDD_DJU!$L$13,"annee",F53)</f>
        <v>243.09999999999997</v>
      </c>
      <c r="G63">
        <f>GETPIVOTDATA("DJU(climaticien)",BDD_DJU!$L$13,"annee",G53)</f>
        <v>331.9</v>
      </c>
      <c r="H63">
        <f>GETPIVOTDATA("DJU(climaticien)",BDD_DJU!$L$13,"annee",H53)</f>
        <v>279.8</v>
      </c>
      <c r="I63">
        <f>GETPIVOTDATA("DJU(climaticien)",BDD_DJU!$L$13,"annee",I53)</f>
        <v>334.7</v>
      </c>
      <c r="J63">
        <f>GETPIVOTDATA("DJU(climaticien)",BDD_DJU!$L$13,"annee",J53)</f>
        <v>358.20000000000005</v>
      </c>
      <c r="K63">
        <f>GETPIVOTDATA("DJU(climaticien)",BDD_DJU!$L$13,"annee",K53)</f>
        <v>350</v>
      </c>
      <c r="L63">
        <f>GETPIVOTDATA("DJU(climaticien)",BDD_DJU!$L$13,"annee",L53)</f>
        <v>436.6</v>
      </c>
      <c r="M63">
        <f>GETPIVOTDATA("DJU(climaticien)",BDD_DJU!$L$13,"annee",M53)</f>
        <v>414.9</v>
      </c>
    </row>
    <row r="64" spans="2:15" x14ac:dyDescent="0.25">
      <c r="B64" s="354"/>
      <c r="C64" s="36" t="s">
        <v>263</v>
      </c>
      <c r="D64">
        <f>Controle_des_données!$B$33</f>
        <v>4.9000000000000002E-2</v>
      </c>
      <c r="E64">
        <f>Controle_des_données!$B$33</f>
        <v>4.9000000000000002E-2</v>
      </c>
      <c r="F64">
        <f>Controle_des_données!$B$33</f>
        <v>4.9000000000000002E-2</v>
      </c>
      <c r="G64">
        <f>Controle_des_données!$B$33</f>
        <v>4.9000000000000002E-2</v>
      </c>
      <c r="H64">
        <f>Controle_des_données!$B$33</f>
        <v>4.9000000000000002E-2</v>
      </c>
      <c r="I64">
        <f>Controle_des_données!$B$33</f>
        <v>4.9000000000000002E-2</v>
      </c>
      <c r="J64">
        <f>Controle_des_données!$B$33</f>
        <v>4.9000000000000002E-2</v>
      </c>
      <c r="K64">
        <f>Controle_des_données!$B$33</f>
        <v>4.9000000000000002E-2</v>
      </c>
      <c r="L64">
        <f>Controle_des_données!$B$33</f>
        <v>4.9000000000000002E-2</v>
      </c>
      <c r="M64">
        <f>Controle_des_données!$B$33</f>
        <v>4.9000000000000002E-2</v>
      </c>
    </row>
    <row r="65" spans="2:13" x14ac:dyDescent="0.25">
      <c r="B65" s="354"/>
      <c r="C65" s="36" t="s">
        <v>49</v>
      </c>
      <c r="D65">
        <f>VLOOKUP(D53,Site!$B$8:$E$23,4,FALSE)</f>
        <v>0</v>
      </c>
      <c r="E65">
        <f>VLOOKUP(E53,Site!$B$8:$E$23,4,FALSE)</f>
        <v>0</v>
      </c>
      <c r="F65">
        <f>VLOOKUP(F53,Site!$B$8:$E$23,4,FALSE)</f>
        <v>0</v>
      </c>
      <c r="G65">
        <f>VLOOKUP(G53,Site!$B$8:$E$23,4,FALSE)</f>
        <v>0</v>
      </c>
      <c r="H65">
        <f>VLOOKUP(H53,Site!$B$8:$E$23,4,FALSE)</f>
        <v>0</v>
      </c>
      <c r="I65">
        <f>VLOOKUP(I53,Site!$B$8:$E$23,4,FALSE)</f>
        <v>0</v>
      </c>
      <c r="J65">
        <f>VLOOKUP(J53,Site!$B$8:$E$23,4,FALSE)</f>
        <v>0</v>
      </c>
      <c r="K65">
        <f>VLOOKUP(K53,Site!$B$8:$E$23,4,FALSE)</f>
        <v>0</v>
      </c>
      <c r="L65">
        <f>VLOOKUP(L53,Site!$B$8:$E$23,4,FALSE)</f>
        <v>0</v>
      </c>
      <c r="M65">
        <f>VLOOKUP(M53,Site!$B$8:$E$23,4,FALSE)</f>
        <v>0</v>
      </c>
    </row>
    <row r="66" spans="2:13" x14ac:dyDescent="0.25">
      <c r="B66" s="354"/>
      <c r="C66" s="36" t="s">
        <v>50</v>
      </c>
      <c r="D66">
        <f>IFERROR(IF(D62&gt;0,D62*($H$3-D63)/D63,D64*((D72+D56)/D74)/D58*D65*($H$3-D63)),0)</f>
        <v>0</v>
      </c>
      <c r="E66">
        <f t="shared" ref="E66:M66" si="25">IFERROR(IF(E62&gt;0,E62*($H$3-E63)/E63,E64*((E72+E56)/E74)/E58*E65*($H$3-E63)),0)</f>
        <v>0</v>
      </c>
      <c r="F66">
        <f t="shared" si="25"/>
        <v>0</v>
      </c>
      <c r="G66">
        <f t="shared" si="25"/>
        <v>0</v>
      </c>
      <c r="H66">
        <f t="shared" si="25"/>
        <v>0</v>
      </c>
      <c r="I66">
        <f t="shared" si="25"/>
        <v>0</v>
      </c>
      <c r="J66">
        <f t="shared" si="25"/>
        <v>0</v>
      </c>
      <c r="K66">
        <f t="shared" si="25"/>
        <v>0</v>
      </c>
      <c r="L66">
        <f t="shared" si="25"/>
        <v>0</v>
      </c>
      <c r="M66">
        <f t="shared" si="25"/>
        <v>0</v>
      </c>
    </row>
    <row r="67" spans="2:13" x14ac:dyDescent="0.25">
      <c r="B67" s="51"/>
      <c r="C67" s="36" t="s">
        <v>452</v>
      </c>
      <c r="D67">
        <f>IFERROR(GETPIVOTDATA("Conso_mois_kWh",Calculs_Consos!$AD$10,"ANNEE",D$53,"Detail usage",$C67),0)</f>
        <v>0</v>
      </c>
      <c r="E67">
        <f>IFERROR(GETPIVOTDATA("Conso_mois_kWh",Calculs_Consos!$AD$10,"ANNEE",E$53,"Detail usage",$C67),0)</f>
        <v>0</v>
      </c>
      <c r="F67">
        <f>IFERROR(GETPIVOTDATA("Conso_mois_kWh",Calculs_Consos!$AD$10,"ANNEE",F$53,"Detail usage",$C67),0)</f>
        <v>0</v>
      </c>
      <c r="G67">
        <f>IFERROR(GETPIVOTDATA("Conso_mois_kWh",Calculs_Consos!$AD$10,"ANNEE",G$53,"Detail usage",$C67),0)</f>
        <v>0</v>
      </c>
      <c r="H67">
        <f>IFERROR(GETPIVOTDATA("Conso_mois_kWh",Calculs_Consos!$AD$10,"ANNEE",H$53,"Detail usage",$C67),0)</f>
        <v>0</v>
      </c>
      <c r="I67">
        <f>IFERROR(GETPIVOTDATA("Conso_mois_kWh",Calculs_Consos!$AD$10,"ANNEE",I$53,"Detail usage",$C67),0)</f>
        <v>0</v>
      </c>
      <c r="J67">
        <f>IFERROR(GETPIVOTDATA("Conso_mois_kWh",Calculs_Consos!$AD$10,"ANNEE",J$53,"Detail usage",$C67),0)</f>
        <v>0</v>
      </c>
      <c r="K67">
        <f>IFERROR(GETPIVOTDATA("Conso_mois_kWh",Calculs_Consos!$AD$10,"ANNEE",K$53,"Detail usage",$C67),0)</f>
        <v>0</v>
      </c>
      <c r="L67">
        <f>IFERROR(GETPIVOTDATA("Conso_mois_kWh",Calculs_Consos!$AD$10,"ANNEE",L$53,"Detail usage",$C67),0)</f>
        <v>0</v>
      </c>
      <c r="M67">
        <f>IFERROR(GETPIVOTDATA("Conso_mois_kWh",Calculs_Consos!$AD$10,"ANNEE",M$53,"Detail usage",$C67),0)</f>
        <v>0</v>
      </c>
    </row>
    <row r="68" spans="2:13" x14ac:dyDescent="0.25">
      <c r="B68" s="353" t="s">
        <v>52</v>
      </c>
      <c r="C68" s="36" t="s">
        <v>68</v>
      </c>
      <c r="D68">
        <f>IFERROR(GETPIVOTDATA("Conso_mois_kWh",Calculs_Consos!$AD$10,"ANNEE",D$53,"Detail usage",$C68),0)</f>
        <v>0</v>
      </c>
      <c r="E68">
        <f>IFERROR(GETPIVOTDATA("Conso_mois_kWh",Calculs_Consos!$AD$10,"ANNEE",E$53,"Detail usage",$C68),0)</f>
        <v>0</v>
      </c>
      <c r="F68">
        <f>IFERROR(GETPIVOTDATA("Conso_mois_kWh",Calculs_Consos!$AD$10,"ANNEE",F$53,"Detail usage",$C68),0)</f>
        <v>0</v>
      </c>
      <c r="G68">
        <f>IFERROR(GETPIVOTDATA("Conso_mois_kWh",Calculs_Consos!$AD$10,"ANNEE",G$53,"Detail usage",$C68),0)</f>
        <v>0</v>
      </c>
      <c r="H68">
        <f>IFERROR(GETPIVOTDATA("Conso_mois_kWh",Calculs_Consos!$AD$10,"ANNEE",H$53,"Detail usage",$C68),0)</f>
        <v>0</v>
      </c>
      <c r="I68">
        <f>IFERROR(GETPIVOTDATA("Conso_mois_kWh",Calculs_Consos!$AD$10,"ANNEE",I$53,"Detail usage",$C68),0)</f>
        <v>0</v>
      </c>
      <c r="J68">
        <f>IFERROR(GETPIVOTDATA("Conso_mois_kWh",Calculs_Consos!$AD$10,"ANNEE",J$53,"Detail usage",$C68),0)</f>
        <v>0</v>
      </c>
      <c r="K68">
        <f>IFERROR(GETPIVOTDATA("Conso_mois_kWh",Calculs_Consos!$AD$10,"ANNEE",K$53,"Detail usage",$C68),0)</f>
        <v>0</v>
      </c>
      <c r="L68">
        <f>IFERROR(GETPIVOTDATA("Conso_mois_kWh",Calculs_Consos!$AD$10,"ANNEE",L$53,"Detail usage",$C68),0)</f>
        <v>0</v>
      </c>
      <c r="M68">
        <f>IFERROR(GETPIVOTDATA("Conso_mois_kWh",Calculs_Consos!$AD$10,"ANNEE",M$53,"Detail usage",$C68),0)</f>
        <v>0</v>
      </c>
    </row>
    <row r="69" spans="2:13" x14ac:dyDescent="0.25">
      <c r="B69" s="353"/>
      <c r="C69" s="36" t="s">
        <v>69</v>
      </c>
      <c r="D69">
        <f>IFERROR(GETPIVOTDATA("Conso_mois_kWh",Calculs_Consos!$AD$10,"ANNEE",D$53,"Detail usage",$C69),0)</f>
        <v>0</v>
      </c>
      <c r="E69">
        <f>IFERROR(GETPIVOTDATA("Conso_mois_kWh",Calculs_Consos!$AD$10,"ANNEE",E$53,"Detail usage",$C69),0)</f>
        <v>0</v>
      </c>
      <c r="F69">
        <f>IFERROR(GETPIVOTDATA("Conso_mois_kWh",Calculs_Consos!$AD$10,"ANNEE",F$53,"Detail usage",$C69),0)</f>
        <v>0</v>
      </c>
      <c r="G69">
        <f>IFERROR(GETPIVOTDATA("Conso_mois_kWh",Calculs_Consos!$AD$10,"ANNEE",G$53,"Detail usage",$C69),0)</f>
        <v>0</v>
      </c>
      <c r="H69">
        <f>IFERROR(GETPIVOTDATA("Conso_mois_kWh",Calculs_Consos!$AD$10,"ANNEE",H$53,"Detail usage",$C69),0)</f>
        <v>0</v>
      </c>
      <c r="I69">
        <f>IFERROR(GETPIVOTDATA("Conso_mois_kWh",Calculs_Consos!$AD$10,"ANNEE",I$53,"Detail usage",$C69),0)</f>
        <v>0</v>
      </c>
      <c r="J69">
        <f>IFERROR(GETPIVOTDATA("Conso_mois_kWh",Calculs_Consos!$AD$10,"ANNEE",J$53,"Detail usage",$C69),0)</f>
        <v>0</v>
      </c>
      <c r="K69">
        <f>IFERROR(GETPIVOTDATA("Conso_mois_kWh",Calculs_Consos!$AD$10,"ANNEE",K$53,"Detail usage",$C69),0)</f>
        <v>0</v>
      </c>
      <c r="L69">
        <f>IFERROR(GETPIVOTDATA("Conso_mois_kWh",Calculs_Consos!$AD$10,"ANNEE",L$53,"Detail usage",$C69),0)</f>
        <v>0</v>
      </c>
      <c r="M69">
        <f>IFERROR(GETPIVOTDATA("Conso_mois_kWh",Calculs_Consos!$AD$10,"ANNEE",M$53,"Detail usage",$C69),0)</f>
        <v>0</v>
      </c>
    </row>
    <row r="70" spans="2:13" x14ac:dyDescent="0.25">
      <c r="B70" s="353"/>
      <c r="C70" t="s">
        <v>320</v>
      </c>
      <c r="D70">
        <f>IFERROR(GETPIVOTDATA("Conso_mois_kWh",Calculs_Consos!$AD$10,"ANNEE",D$53,"Detail usage",$C70),0)</f>
        <v>0</v>
      </c>
      <c r="E70">
        <f>IFERROR(GETPIVOTDATA("Conso_mois_kWh",Calculs_Consos!$AD$10,"ANNEE",E$53,"Detail usage",$C70),0)</f>
        <v>0</v>
      </c>
      <c r="F70">
        <f>IFERROR(GETPIVOTDATA("Conso_mois_kWh",Calculs_Consos!$AD$10,"ANNEE",F$53,"Detail usage",$C70),0)</f>
        <v>0</v>
      </c>
      <c r="G70">
        <f>IFERROR(GETPIVOTDATA("Conso_mois_kWh",Calculs_Consos!$AD$10,"ANNEE",G$53,"Detail usage",$C70),0)</f>
        <v>0</v>
      </c>
      <c r="H70">
        <f>IFERROR(GETPIVOTDATA("Conso_mois_kWh",Calculs_Consos!$AD$10,"ANNEE",H$53,"Detail usage",$C70),0)</f>
        <v>0</v>
      </c>
      <c r="I70">
        <f>IFERROR(GETPIVOTDATA("Conso_mois_kWh",Calculs_Consos!$AD$10,"ANNEE",I$53,"Detail usage",$C70),0)</f>
        <v>0</v>
      </c>
      <c r="J70">
        <f>IFERROR(GETPIVOTDATA("Conso_mois_kWh",Calculs_Consos!$AD$10,"ANNEE",J$53,"Detail usage",$C70),0)</f>
        <v>0</v>
      </c>
      <c r="K70">
        <f>IFERROR(GETPIVOTDATA("Conso_mois_kWh",Calculs_Consos!$AD$10,"ANNEE",K$53,"Detail usage",$C70),0)</f>
        <v>0</v>
      </c>
      <c r="L70">
        <f>IFERROR(GETPIVOTDATA("Conso_mois_kWh",Calculs_Consos!$AD$10,"ANNEE",L$53,"Detail usage",$C70),0)</f>
        <v>0</v>
      </c>
      <c r="M70">
        <f>IFERROR(GETPIVOTDATA("Conso_mois_kWh",Calculs_Consos!$AD$10,"ANNEE",M$53,"Detail usage",$C70),0)</f>
        <v>0</v>
      </c>
    </row>
    <row r="71" spans="2:13" x14ac:dyDescent="0.25">
      <c r="B71" s="353"/>
      <c r="C71" s="36" t="s">
        <v>137</v>
      </c>
      <c r="D71">
        <f>IFERROR(GETPIVOTDATA("Conso_mois_kWh",Calculs_Consos!$AD$10,"ANNEE",D$53,"Detail usage",$C71),0)</f>
        <v>0</v>
      </c>
      <c r="E71">
        <f>IFERROR(GETPIVOTDATA("Conso_mois_kWh",Calculs_Consos!$AD$10,"ANNEE",E$53,"Detail usage",$C71),0)</f>
        <v>0</v>
      </c>
      <c r="F71">
        <f>IFERROR(GETPIVOTDATA("Conso_mois_kWh",Calculs_Consos!$AD$10,"ANNEE",F$53,"Detail usage",$C71),0)</f>
        <v>0</v>
      </c>
      <c r="G71">
        <f>IFERROR(GETPIVOTDATA("Conso_mois_kWh",Calculs_Consos!$AD$10,"ANNEE",G$53,"Detail usage",$C71),0)</f>
        <v>0</v>
      </c>
      <c r="H71">
        <f>IFERROR(GETPIVOTDATA("Conso_mois_kWh",Calculs_Consos!$AD$10,"ANNEE",H$53,"Detail usage",$C71),0)</f>
        <v>0</v>
      </c>
      <c r="I71">
        <f>IFERROR(GETPIVOTDATA("Conso_mois_kWh",Calculs_Consos!$AD$10,"ANNEE",I$53,"Detail usage",$C71),0)</f>
        <v>0</v>
      </c>
      <c r="J71">
        <f>IFERROR(GETPIVOTDATA("Conso_mois_kWh",Calculs_Consos!$AD$10,"ANNEE",J$53,"Detail usage",$C71),0)</f>
        <v>0</v>
      </c>
      <c r="K71">
        <f>IFERROR(GETPIVOTDATA("Conso_mois_kWh",Calculs_Consos!$AD$10,"ANNEE",K$53,"Detail usage",$C71),0)</f>
        <v>0</v>
      </c>
      <c r="L71">
        <f>IFERROR(GETPIVOTDATA("Conso_mois_kWh",Calculs_Consos!$AD$10,"ANNEE",L$53,"Detail usage",$C71),0)</f>
        <v>0</v>
      </c>
      <c r="M71">
        <f>IFERROR(GETPIVOTDATA("Conso_mois_kWh",Calculs_Consos!$AD$10,"ANNEE",M$53,"Detail usage",$C71),0)</f>
        <v>0</v>
      </c>
    </row>
    <row r="72" spans="2:13" x14ac:dyDescent="0.25">
      <c r="B72" s="353"/>
      <c r="C72" s="36" t="s">
        <v>53</v>
      </c>
      <c r="D72">
        <f>SUM(D67:D71)</f>
        <v>0</v>
      </c>
      <c r="E72">
        <f t="shared" ref="E72:J72" si="26">SUM(E67:E71)</f>
        <v>0</v>
      </c>
      <c r="F72">
        <f t="shared" si="26"/>
        <v>0</v>
      </c>
      <c r="G72">
        <f t="shared" si="26"/>
        <v>0</v>
      </c>
      <c r="H72">
        <f t="shared" si="26"/>
        <v>0</v>
      </c>
      <c r="I72">
        <f t="shared" si="26"/>
        <v>0</v>
      </c>
      <c r="J72">
        <f t="shared" si="26"/>
        <v>0</v>
      </c>
      <c r="K72">
        <f t="shared" ref="K72:M72" si="27">SUM(K67:K71)</f>
        <v>0</v>
      </c>
      <c r="L72">
        <f t="shared" si="27"/>
        <v>0</v>
      </c>
      <c r="M72">
        <f t="shared" si="27"/>
        <v>0</v>
      </c>
    </row>
    <row r="73" spans="2:13" x14ac:dyDescent="0.25">
      <c r="B73" s="353"/>
      <c r="C73" s="36" t="s">
        <v>54</v>
      </c>
    </row>
    <row r="74" spans="2:13" x14ac:dyDescent="0.25">
      <c r="B74" s="354" t="s">
        <v>55</v>
      </c>
      <c r="C74" s="36" t="s">
        <v>56</v>
      </c>
      <c r="D74">
        <f>VLOOKUP(D53,Site!$B$8:$E$23,2,FALSE)</f>
        <v>0</v>
      </c>
      <c r="E74">
        <f>VLOOKUP(E53,Site!$B$8:$E$23,2,FALSE)</f>
        <v>0</v>
      </c>
      <c r="F74">
        <f>VLOOKUP(F53,Site!$B$8:$E$23,2,FALSE)</f>
        <v>0</v>
      </c>
      <c r="G74">
        <f>VLOOKUP(G53,Site!$B$8:$E$23,2,FALSE)</f>
        <v>0</v>
      </c>
      <c r="H74">
        <f>VLOOKUP(H53,Site!$B$8:$E$23,2,FALSE)</f>
        <v>0</v>
      </c>
      <c r="I74">
        <f>VLOOKUP(I53,Site!$B$8:$E$23,2,FALSE)</f>
        <v>0</v>
      </c>
      <c r="J74">
        <f>VLOOKUP(J53,Site!$B$8:$E$23,2,FALSE)</f>
        <v>0</v>
      </c>
      <c r="K74">
        <f>VLOOKUP(K53,Site!$B$8:$E$23,2,FALSE)</f>
        <v>0</v>
      </c>
      <c r="L74">
        <f>VLOOKUP(L53,Site!$B$8:$E$23,2,FALSE)</f>
        <v>0</v>
      </c>
      <c r="M74">
        <f>VLOOKUP(M53,Site!$B$8:$E$23,2,FALSE)</f>
        <v>0</v>
      </c>
    </row>
    <row r="75" spans="2:13" x14ac:dyDescent="0.25">
      <c r="B75" s="354"/>
      <c r="C75" s="36" t="s">
        <v>33</v>
      </c>
      <c r="D75" t="e">
        <f t="shared" ref="D75:M75" si="28">D56/D74</f>
        <v>#DIV/0!</v>
      </c>
      <c r="E75" t="e">
        <f t="shared" si="28"/>
        <v>#DIV/0!</v>
      </c>
      <c r="F75" t="e">
        <f t="shared" si="28"/>
        <v>#DIV/0!</v>
      </c>
      <c r="G75" t="e">
        <f t="shared" si="28"/>
        <v>#DIV/0!</v>
      </c>
      <c r="H75" t="e">
        <f t="shared" si="28"/>
        <v>#DIV/0!</v>
      </c>
      <c r="I75" t="e">
        <f t="shared" si="28"/>
        <v>#DIV/0!</v>
      </c>
      <c r="J75" t="e">
        <f t="shared" si="28"/>
        <v>#DIV/0!</v>
      </c>
      <c r="K75" t="e">
        <f t="shared" si="28"/>
        <v>#DIV/0!</v>
      </c>
      <c r="L75" t="e">
        <f t="shared" si="28"/>
        <v>#DIV/0!</v>
      </c>
      <c r="M75" t="e">
        <f t="shared" si="28"/>
        <v>#DIV/0!</v>
      </c>
    </row>
    <row r="76" spans="2:13" x14ac:dyDescent="0.25">
      <c r="B76" s="354"/>
      <c r="C76" s="36" t="s">
        <v>204</v>
      </c>
      <c r="D76" t="e">
        <f t="shared" ref="D76:F76" si="29">D72/D74</f>
        <v>#DIV/0!</v>
      </c>
      <c r="E76" t="e">
        <f t="shared" si="29"/>
        <v>#DIV/0!</v>
      </c>
      <c r="F76" t="e">
        <f t="shared" si="29"/>
        <v>#DIV/0!</v>
      </c>
      <c r="G76" t="e">
        <f>G72/G74</f>
        <v>#DIV/0!</v>
      </c>
      <c r="H76" t="e">
        <f t="shared" ref="H76:M76" si="30">H72/H74</f>
        <v>#DIV/0!</v>
      </c>
      <c r="I76" t="e">
        <f t="shared" si="30"/>
        <v>#DIV/0!</v>
      </c>
      <c r="J76" t="e">
        <f t="shared" si="30"/>
        <v>#DIV/0!</v>
      </c>
      <c r="K76" t="e">
        <f t="shared" si="30"/>
        <v>#DIV/0!</v>
      </c>
      <c r="L76" t="e">
        <f t="shared" si="30"/>
        <v>#DIV/0!</v>
      </c>
      <c r="M76" t="e">
        <f t="shared" si="30"/>
        <v>#DIV/0!</v>
      </c>
    </row>
    <row r="77" spans="2:13" x14ac:dyDescent="0.25">
      <c r="B77" s="51"/>
      <c r="C77" s="36" t="str">
        <f>IF(D68&gt;0,"ECS", IF(D71&gt;0,"ECS estimée","ECS+Cuisson estimées"))</f>
        <v>ECS+Cuisson estimées</v>
      </c>
      <c r="D77" t="e">
        <f>IF(D68&gt;0,D68,HLOOKUP(D53,Estimation_ECS!$C$27:$R$30,4))/D74</f>
        <v>#DIV/0!</v>
      </c>
      <c r="E77" t="e">
        <f>IF(E68&gt;0,E68,HLOOKUP(E53,Estimation_ECS!$C$27:$R$30,4))/E74</f>
        <v>#DIV/0!</v>
      </c>
      <c r="F77" t="e">
        <f>IF(F68&gt;0,F68,HLOOKUP(F53,Estimation_ECS!$C$27:$R$30,4))/F74</f>
        <v>#DIV/0!</v>
      </c>
      <c r="G77" t="e">
        <f>IF(G68&gt;0,G68,HLOOKUP(G53,Estimation_ECS!$C$27:$R$30,4))/G74</f>
        <v>#DIV/0!</v>
      </c>
      <c r="H77" t="e">
        <f>IF(H68&gt;0,H68,HLOOKUP(H53,Estimation_ECS!$C$27:$R$30,4))/H74</f>
        <v>#DIV/0!</v>
      </c>
      <c r="I77" t="e">
        <f>IF(I68&gt;0,I68,HLOOKUP(I53,Estimation_ECS!$C$27:$R$30,4))/I74</f>
        <v>#DIV/0!</v>
      </c>
      <c r="J77" t="e">
        <f>IF(J68&gt;0,J68,HLOOKUP(J53,Estimation_ECS!$C$27:$R$30,4))/J74</f>
        <v>#DIV/0!</v>
      </c>
      <c r="K77" t="e">
        <f>IF(K68&gt;0,K68,HLOOKUP(K53,Estimation_ECS!$C$27:$R$30,4))/K74</f>
        <v>#DIV/0!</v>
      </c>
      <c r="L77" t="e">
        <f>IF(L68&gt;0,L68,HLOOKUP(L53,Estimation_ECS!$C$27:$R$30,4))/L74</f>
        <v>#DIV/0!</v>
      </c>
      <c r="M77" t="e">
        <f>IF(M68&gt;0,M68,HLOOKUP(M53,Estimation_ECS!$C$27:$R$30,4))/M74</f>
        <v>#DIV/0!</v>
      </c>
    </row>
    <row r="78" spans="2:13" x14ac:dyDescent="0.25">
      <c r="B78" s="51"/>
      <c r="C78" s="36" t="s">
        <v>447</v>
      </c>
      <c r="D78" t="e">
        <f>D76-D77</f>
        <v>#DIV/0!</v>
      </c>
      <c r="E78" t="e">
        <f t="shared" ref="E78:M78" si="31">E76-E77</f>
        <v>#DIV/0!</v>
      </c>
      <c r="F78" t="e">
        <f t="shared" si="31"/>
        <v>#DIV/0!</v>
      </c>
      <c r="G78" t="e">
        <f t="shared" si="31"/>
        <v>#DIV/0!</v>
      </c>
      <c r="H78" t="e">
        <f t="shared" si="31"/>
        <v>#DIV/0!</v>
      </c>
      <c r="I78" t="e">
        <f t="shared" si="31"/>
        <v>#DIV/0!</v>
      </c>
      <c r="J78" t="e">
        <f t="shared" si="31"/>
        <v>#DIV/0!</v>
      </c>
      <c r="K78" t="e">
        <f t="shared" si="31"/>
        <v>#DIV/0!</v>
      </c>
      <c r="L78" t="e">
        <f t="shared" si="31"/>
        <v>#DIV/0!</v>
      </c>
      <c r="M78" t="e">
        <f t="shared" si="31"/>
        <v>#DIV/0!</v>
      </c>
    </row>
    <row r="79" spans="2:13" x14ac:dyDescent="0.25">
      <c r="B79" s="51"/>
      <c r="C79" s="36" t="s">
        <v>272</v>
      </c>
      <c r="D79" t="e">
        <f>D61/D74</f>
        <v>#DIV/0!</v>
      </c>
      <c r="E79" t="e">
        <f t="shared" ref="E79:M79" si="32">E61/E74</f>
        <v>#DIV/0!</v>
      </c>
      <c r="F79" t="e">
        <f t="shared" si="32"/>
        <v>#DIV/0!</v>
      </c>
      <c r="G79" t="e">
        <f t="shared" si="32"/>
        <v>#DIV/0!</v>
      </c>
      <c r="H79" t="e">
        <f t="shared" si="32"/>
        <v>#DIV/0!</v>
      </c>
      <c r="I79" t="e">
        <f t="shared" si="32"/>
        <v>#DIV/0!</v>
      </c>
      <c r="J79" t="e">
        <f t="shared" si="32"/>
        <v>#DIV/0!</v>
      </c>
      <c r="K79" t="e">
        <f t="shared" si="32"/>
        <v>#DIV/0!</v>
      </c>
      <c r="L79" t="e">
        <f t="shared" si="32"/>
        <v>#DIV/0!</v>
      </c>
      <c r="M79" t="e">
        <f t="shared" si="32"/>
        <v>#DIV/0!</v>
      </c>
    </row>
    <row r="80" spans="2:13" x14ac:dyDescent="0.25">
      <c r="B80" s="51"/>
      <c r="C80" s="36" t="s">
        <v>273</v>
      </c>
      <c r="D80" t="e">
        <f>D66/D74</f>
        <v>#DIV/0!</v>
      </c>
      <c r="E80" t="e">
        <f t="shared" ref="E80:M80" si="33">E66/E74</f>
        <v>#DIV/0!</v>
      </c>
      <c r="F80" t="e">
        <f t="shared" si="33"/>
        <v>#DIV/0!</v>
      </c>
      <c r="G80" t="e">
        <f t="shared" si="33"/>
        <v>#DIV/0!</v>
      </c>
      <c r="H80" t="e">
        <f t="shared" si="33"/>
        <v>#DIV/0!</v>
      </c>
      <c r="I80" t="e">
        <f t="shared" si="33"/>
        <v>#DIV/0!</v>
      </c>
      <c r="J80" t="e">
        <f t="shared" si="33"/>
        <v>#DIV/0!</v>
      </c>
      <c r="K80" t="e">
        <f t="shared" si="33"/>
        <v>#DIV/0!</v>
      </c>
      <c r="L80" t="e">
        <f t="shared" si="33"/>
        <v>#DIV/0!</v>
      </c>
      <c r="M80" t="e">
        <f t="shared" si="33"/>
        <v>#DIV/0!</v>
      </c>
    </row>
    <row r="81" spans="3:15" x14ac:dyDescent="0.25">
      <c r="C81" s="36" t="s">
        <v>271</v>
      </c>
      <c r="D81" t="e">
        <f>D75+D76+D79+D80</f>
        <v>#DIV/0!</v>
      </c>
      <c r="E81" t="e">
        <f t="shared" ref="E81:M81" si="34">E75+E76+E79+E80</f>
        <v>#DIV/0!</v>
      </c>
      <c r="F81" t="e">
        <f t="shared" si="34"/>
        <v>#DIV/0!</v>
      </c>
      <c r="G81" t="e">
        <f>G75+G76+G79+G80</f>
        <v>#DIV/0!</v>
      </c>
      <c r="H81" t="e">
        <f t="shared" si="34"/>
        <v>#DIV/0!</v>
      </c>
      <c r="I81" t="e">
        <f t="shared" si="34"/>
        <v>#DIV/0!</v>
      </c>
      <c r="J81" t="e">
        <f t="shared" si="34"/>
        <v>#DIV/0!</v>
      </c>
      <c r="K81" t="e">
        <f t="shared" si="34"/>
        <v>#DIV/0!</v>
      </c>
      <c r="L81" t="e">
        <f t="shared" si="34"/>
        <v>#DIV/0!</v>
      </c>
      <c r="M81" t="e">
        <f t="shared" si="34"/>
        <v>#DIV/0!</v>
      </c>
    </row>
    <row r="82" spans="3:15" x14ac:dyDescent="0.25">
      <c r="C82" s="36" t="s">
        <v>242</v>
      </c>
      <c r="D82" t="e">
        <f>VLOOKUP(D11,Site!$B$8:$H$23,7,FALSE)</f>
        <v>#N/A</v>
      </c>
      <c r="E82">
        <f>VLOOKUP(E11,Site!$B$8:$H$23,7,FALSE)</f>
        <v>106</v>
      </c>
      <c r="F82">
        <f>VLOOKUP(F11,Site!$B$8:$H$23,7,FALSE)</f>
        <v>106</v>
      </c>
      <c r="G82">
        <f>VLOOKUP(G11,Site!$B$8:$H$23,7,FALSE)</f>
        <v>106</v>
      </c>
      <c r="H82">
        <f>VLOOKUP(H11,Site!$B$8:$H$23,7,FALSE)</f>
        <v>106</v>
      </c>
      <c r="I82">
        <f>VLOOKUP(I11,Site!$B$8:$H$23,7,FALSE)</f>
        <v>106</v>
      </c>
      <c r="J82">
        <f>VLOOKUP(J11,Site!$B$8:$H$23,7,FALSE)</f>
        <v>106</v>
      </c>
      <c r="K82" t="e">
        <f>VLOOKUP(K11,Site!$B$8:$H$23,7,FALSE)</f>
        <v>#N/A</v>
      </c>
      <c r="L82" t="e">
        <f>VLOOKUP(L11,Site!$B$8:$H$23,7,FALSE)</f>
        <v>#N/A</v>
      </c>
      <c r="M82" t="e">
        <f>VLOOKUP(M11,Site!$B$8:$H$23,7,FALSE)</f>
        <v>#N/A</v>
      </c>
    </row>
    <row r="85" spans="3:15" x14ac:dyDescent="0.25">
      <c r="C85" s="36" t="s">
        <v>323</v>
      </c>
      <c r="D85" s="59">
        <f>(D57-$G$3)/$G$3</f>
        <v>0.1882903981264637</v>
      </c>
      <c r="E85" s="59">
        <f t="shared" ref="E85:M85" si="35">(E57-$G$3)/$G$3</f>
        <v>-0.13629976580796252</v>
      </c>
      <c r="F85" s="59">
        <f t="shared" si="35"/>
        <v>4.4028103044496489E-2</v>
      </c>
      <c r="G85" s="59">
        <f t="shared" si="35"/>
        <v>0.12224824355971897</v>
      </c>
      <c r="H85" s="59">
        <f t="shared" si="35"/>
        <v>-0.11334894613583138</v>
      </c>
      <c r="I85" s="59">
        <f t="shared" si="35"/>
        <v>-7.2599531615925056E-2</v>
      </c>
      <c r="J85" s="59">
        <f t="shared" si="35"/>
        <v>4.7775175644028105E-2</v>
      </c>
      <c r="K85" s="59">
        <f t="shared" si="35"/>
        <v>-2.8571428571428571E-2</v>
      </c>
      <c r="L85" s="59">
        <f t="shared" si="35"/>
        <v>-5.2927400468384074E-2</v>
      </c>
      <c r="M85" s="59">
        <f t="shared" si="35"/>
        <v>-3.793911007025761E-2</v>
      </c>
      <c r="N85" s="59"/>
      <c r="O85" s="59"/>
    </row>
    <row r="86" spans="3:15" x14ac:dyDescent="0.25">
      <c r="C86" s="36" t="s">
        <v>324</v>
      </c>
      <c r="D86" s="59">
        <f>IF(D85&lt;0,"",D85)</f>
        <v>0.1882903981264637</v>
      </c>
      <c r="E86" s="59" t="str">
        <f t="shared" ref="E86" si="36">IF(E85&lt;0,"",E85)</f>
        <v/>
      </c>
      <c r="F86" s="59">
        <f t="shared" ref="F86" si="37">IF(F85&lt;0,"",F85)</f>
        <v>4.4028103044496489E-2</v>
      </c>
      <c r="G86" s="59">
        <f t="shared" ref="G86" si="38">IF(G85&lt;0,"",G85)</f>
        <v>0.12224824355971897</v>
      </c>
      <c r="H86" s="59" t="str">
        <f t="shared" ref="H86" si="39">IF(H85&lt;0,"",H85)</f>
        <v/>
      </c>
      <c r="I86" s="59" t="str">
        <f t="shared" ref="I86" si="40">IF(I85&lt;0,"",I85)</f>
        <v/>
      </c>
      <c r="J86" s="59">
        <f t="shared" ref="J86" si="41">IF(J85&lt;0,"",J85)</f>
        <v>4.7775175644028105E-2</v>
      </c>
      <c r="K86" s="59" t="str">
        <f t="shared" ref="K86" si="42">IF(K85&lt;0,"",K85)</f>
        <v/>
      </c>
      <c r="L86" s="59" t="str">
        <f t="shared" ref="L86" si="43">IF(L85&lt;0,"",L85)</f>
        <v/>
      </c>
      <c r="M86" s="59" t="str">
        <f t="shared" ref="M86" si="44">IF(M85&lt;0,"",M85)</f>
        <v/>
      </c>
      <c r="N86" s="59"/>
      <c r="O86" s="59"/>
    </row>
    <row r="87" spans="3:15" x14ac:dyDescent="0.25">
      <c r="C87" s="36" t="s">
        <v>325</v>
      </c>
      <c r="D87" s="59" t="str">
        <f>IF(D85&gt;0,"",D85)</f>
        <v/>
      </c>
      <c r="E87" s="59">
        <f t="shared" ref="E87:M87" si="45">IF(E85&gt;0,"",E85)</f>
        <v>-0.13629976580796252</v>
      </c>
      <c r="F87" s="59" t="str">
        <f t="shared" si="45"/>
        <v/>
      </c>
      <c r="G87" s="59" t="str">
        <f t="shared" si="45"/>
        <v/>
      </c>
      <c r="H87" s="59">
        <f t="shared" si="45"/>
        <v>-0.11334894613583138</v>
      </c>
      <c r="I87" s="59">
        <f t="shared" si="45"/>
        <v>-7.2599531615925056E-2</v>
      </c>
      <c r="J87" s="59" t="str">
        <f t="shared" si="45"/>
        <v/>
      </c>
      <c r="K87" s="59">
        <f t="shared" si="45"/>
        <v>-2.8571428571428571E-2</v>
      </c>
      <c r="L87" s="59">
        <f t="shared" si="45"/>
        <v>-5.2927400468384074E-2</v>
      </c>
      <c r="M87" s="59">
        <f t="shared" si="45"/>
        <v>-3.793911007025761E-2</v>
      </c>
      <c r="N87" s="59"/>
      <c r="O87" s="59"/>
    </row>
    <row r="89" spans="3:15" x14ac:dyDescent="0.25">
      <c r="D89" s="158">
        <f>IF(D90="",0,-30%)</f>
        <v>0</v>
      </c>
      <c r="E89" s="158">
        <f t="shared" ref="E89:M89" si="46">IF(E90="",0,-30%)</f>
        <v>0</v>
      </c>
      <c r="F89" s="158">
        <f t="shared" si="46"/>
        <v>0</v>
      </c>
      <c r="G89" s="158">
        <f t="shared" si="46"/>
        <v>0</v>
      </c>
      <c r="H89" s="158">
        <f t="shared" si="46"/>
        <v>0</v>
      </c>
      <c r="I89" s="158">
        <f t="shared" si="46"/>
        <v>0</v>
      </c>
      <c r="J89" s="158">
        <f t="shared" si="46"/>
        <v>0</v>
      </c>
      <c r="K89" s="158">
        <f t="shared" si="46"/>
        <v>0</v>
      </c>
      <c r="L89" s="158">
        <f t="shared" si="46"/>
        <v>0</v>
      </c>
      <c r="M89" s="158">
        <f t="shared" si="46"/>
        <v>0</v>
      </c>
      <c r="N89" s="158"/>
      <c r="O89" s="158"/>
    </row>
    <row r="90" spans="3:15" x14ac:dyDescent="0.25">
      <c r="D90" t="str">
        <f>IF(VLOOKUP('CALCUL DEET'!D53,Site!$B$8:$M$23,8,0)=0,"",(VLOOKUP('CALCUL DEET'!D53,Site!$B$8:$M$23,8,0)))</f>
        <v/>
      </c>
      <c r="E90" t="str">
        <f>IF(VLOOKUP('CALCUL DEET'!E53,Site!$B$8:$M$23,8,0)=0,"",(VLOOKUP('CALCUL DEET'!E53,Site!$B$8:$M$23,8,0)))</f>
        <v/>
      </c>
      <c r="F90" t="str">
        <f>IF(VLOOKUP('CALCUL DEET'!F53,Site!$B$8:$M$23,8,0)=0,"",(VLOOKUP('CALCUL DEET'!F53,Site!$B$8:$M$23,8,0)))</f>
        <v/>
      </c>
      <c r="G90" t="str">
        <f>IF(VLOOKUP('CALCUL DEET'!G53,Site!$B$8:$M$23,8,0)=0,"",(VLOOKUP('CALCUL DEET'!G53,Site!$B$8:$M$23,8,0)))</f>
        <v/>
      </c>
      <c r="H90" t="str">
        <f>IF(VLOOKUP('CALCUL DEET'!H53,Site!$B$8:$M$23,8,0)=0,"",(VLOOKUP('CALCUL DEET'!H53,Site!$B$8:$M$23,8,0)))</f>
        <v/>
      </c>
      <c r="I90" t="str">
        <f>IF(VLOOKUP('CALCUL DEET'!I53,Site!$B$8:$M$23,8,0)=0,"",(VLOOKUP('CALCUL DEET'!I53,Site!$B$8:$M$23,8,0)))</f>
        <v/>
      </c>
      <c r="J90" t="str">
        <f>IF(VLOOKUP('CALCUL DEET'!J53,Site!$B$8:$M$23,8,0)=0,"",(VLOOKUP('CALCUL DEET'!J53,Site!$B$8:$M$23,8,0)))</f>
        <v/>
      </c>
      <c r="K90" t="str">
        <f>IF(VLOOKUP('CALCUL DEET'!K53,Site!$B$8:$M$23,8,0)=0,"",(VLOOKUP('CALCUL DEET'!K53,Site!$B$8:$M$23,8,0)))</f>
        <v/>
      </c>
      <c r="L90" t="str">
        <f>IF(VLOOKUP('CALCUL DEET'!L53,Site!$B$8:$M$23,8,0)=0,"",(VLOOKUP('CALCUL DEET'!L53,Site!$B$8:$M$23,8,0)))</f>
        <v/>
      </c>
      <c r="M90" t="str">
        <f>IF(VLOOKUP('CALCUL DEET'!M53,Site!$B$8:$M$23,8,0)=0,"",(VLOOKUP('CALCUL DEET'!M53,Site!$B$8:$M$23,8,0)))</f>
        <v/>
      </c>
    </row>
  </sheetData>
  <mergeCells count="10">
    <mergeCell ref="B54:B56"/>
    <mergeCell ref="B57:B61"/>
    <mergeCell ref="B62:B66"/>
    <mergeCell ref="B68:B73"/>
    <mergeCell ref="B74:B76"/>
    <mergeCell ref="B12:B14"/>
    <mergeCell ref="B32:B34"/>
    <mergeCell ref="B26:B31"/>
    <mergeCell ref="B15:B19"/>
    <mergeCell ref="B20:B2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33"/>
  <sheetViews>
    <sheetView workbookViewId="0"/>
  </sheetViews>
  <sheetFormatPr baseColWidth="10" defaultColWidth="0" defaultRowHeight="15" zeroHeight="1" x14ac:dyDescent="0.25"/>
  <cols>
    <col min="1" max="11" width="11.42578125" customWidth="1"/>
    <col min="12" max="16384" width="11.42578125" hidden="1"/>
  </cols>
  <sheetData>
    <row r="1" spans="1:11" x14ac:dyDescent="0.25">
      <c r="A1" s="42"/>
      <c r="B1" s="42"/>
      <c r="C1" s="42"/>
      <c r="D1" s="42"/>
      <c r="E1" s="42"/>
      <c r="F1" s="42"/>
      <c r="G1" s="42"/>
      <c r="H1" s="42"/>
      <c r="I1" s="42"/>
      <c r="J1" s="42"/>
      <c r="K1" s="42"/>
    </row>
    <row r="2" spans="1:11" x14ac:dyDescent="0.25">
      <c r="A2" s="42"/>
      <c r="B2" s="145" t="s">
        <v>198</v>
      </c>
      <c r="C2" s="322">
        <f>Site!C2</f>
        <v>0</v>
      </c>
      <c r="D2" s="322"/>
      <c r="E2" s="322"/>
      <c r="F2" s="42"/>
      <c r="G2" s="42"/>
      <c r="H2" s="42"/>
      <c r="I2" s="42"/>
      <c r="J2" s="42"/>
      <c r="K2" s="42"/>
    </row>
    <row r="3" spans="1:11" x14ac:dyDescent="0.25">
      <c r="A3" s="151" t="s">
        <v>166</v>
      </c>
      <c r="B3" s="42"/>
      <c r="C3" s="42"/>
      <c r="D3" s="42"/>
      <c r="E3" s="42"/>
      <c r="F3" s="42"/>
      <c r="G3" s="42"/>
      <c r="H3" s="42"/>
      <c r="I3" s="42"/>
      <c r="J3" s="42"/>
    </row>
    <row r="4" spans="1:11" x14ac:dyDescent="0.25">
      <c r="B4" s="42"/>
      <c r="C4" s="42"/>
      <c r="D4" s="42"/>
      <c r="E4" s="42"/>
      <c r="F4" s="42"/>
      <c r="G4" s="42"/>
      <c r="H4" s="42"/>
      <c r="I4" s="42"/>
      <c r="J4" s="42"/>
      <c r="K4" s="42"/>
    </row>
    <row r="5" spans="1:11" x14ac:dyDescent="0.25">
      <c r="A5" s="42"/>
      <c r="B5" s="42"/>
      <c r="C5" s="42"/>
      <c r="D5" s="42"/>
      <c r="E5" s="42"/>
      <c r="F5" s="42"/>
      <c r="G5" s="42"/>
      <c r="H5" s="42"/>
      <c r="I5" s="151"/>
      <c r="J5" s="42"/>
      <c r="K5" s="42"/>
    </row>
    <row r="6" spans="1:11" x14ac:dyDescent="0.25">
      <c r="A6" s="42"/>
      <c r="B6" s="42"/>
      <c r="C6" s="42"/>
      <c r="D6" s="42"/>
      <c r="E6" s="42"/>
      <c r="F6" s="42"/>
      <c r="G6" s="42"/>
      <c r="H6" s="42"/>
      <c r="J6" s="42"/>
      <c r="K6" s="60"/>
    </row>
    <row r="7" spans="1:11" x14ac:dyDescent="0.25">
      <c r="A7" s="42"/>
      <c r="B7" s="42"/>
      <c r="C7" s="42"/>
      <c r="D7" s="42"/>
      <c r="E7" s="42"/>
      <c r="F7" s="42"/>
      <c r="G7" s="42"/>
      <c r="H7" s="42"/>
      <c r="I7" s="42"/>
      <c r="J7" s="42"/>
      <c r="K7" s="42"/>
    </row>
    <row r="8" spans="1:11" x14ac:dyDescent="0.25">
      <c r="A8" s="42"/>
      <c r="B8" s="42"/>
      <c r="C8" s="42"/>
      <c r="D8" s="42"/>
      <c r="E8" s="42"/>
      <c r="F8" s="42"/>
      <c r="G8" s="42"/>
      <c r="H8" s="42"/>
      <c r="I8" s="42"/>
      <c r="J8" s="42"/>
      <c r="K8" s="42"/>
    </row>
    <row r="9" spans="1:11" x14ac:dyDescent="0.25">
      <c r="A9" s="42"/>
      <c r="B9" s="42"/>
      <c r="C9" s="42"/>
      <c r="D9" s="42"/>
      <c r="E9" s="42"/>
      <c r="F9" s="42"/>
      <c r="G9" s="42"/>
      <c r="H9" s="42"/>
      <c r="I9" s="42"/>
      <c r="J9" s="42"/>
      <c r="K9" s="42"/>
    </row>
    <row r="10" spans="1:11" x14ac:dyDescent="0.25">
      <c r="A10" s="42"/>
      <c r="B10" s="42"/>
      <c r="C10" s="42"/>
      <c r="D10" s="42"/>
      <c r="E10" s="42"/>
      <c r="F10" s="42"/>
      <c r="G10" s="42"/>
      <c r="H10" s="42"/>
      <c r="I10" s="42"/>
      <c r="J10" s="42"/>
      <c r="K10" s="42"/>
    </row>
    <row r="11" spans="1:11" x14ac:dyDescent="0.25">
      <c r="A11" s="42"/>
      <c r="B11" s="42"/>
      <c r="C11" s="42"/>
      <c r="D11" s="42"/>
      <c r="E11" s="42"/>
      <c r="F11" s="42"/>
      <c r="G11" s="42"/>
      <c r="H11" s="42"/>
      <c r="I11" s="42"/>
      <c r="J11" s="42"/>
      <c r="K11" s="42"/>
    </row>
    <row r="12" spans="1:11" x14ac:dyDescent="0.25">
      <c r="A12" s="42"/>
      <c r="B12" s="42"/>
      <c r="C12" s="42"/>
      <c r="D12" s="42"/>
      <c r="E12" s="42"/>
      <c r="F12" s="42"/>
      <c r="G12" s="42"/>
      <c r="H12" s="42"/>
      <c r="I12" s="42"/>
      <c r="J12" s="42"/>
      <c r="K12" s="42"/>
    </row>
    <row r="13" spans="1:11" x14ac:dyDescent="0.25">
      <c r="A13" s="42"/>
      <c r="B13" s="42"/>
      <c r="C13" s="42"/>
      <c r="D13" s="42"/>
      <c r="E13" s="42"/>
      <c r="F13" s="42"/>
      <c r="G13" s="42"/>
      <c r="H13" s="42"/>
      <c r="I13" s="42"/>
      <c r="J13" s="42"/>
      <c r="K13" s="42"/>
    </row>
    <row r="14" spans="1:11" x14ac:dyDescent="0.25">
      <c r="A14" s="42"/>
      <c r="B14" s="42"/>
      <c r="C14" s="42"/>
      <c r="D14" s="42"/>
      <c r="E14" s="42"/>
      <c r="F14" s="42"/>
      <c r="G14" s="42"/>
      <c r="H14" s="42"/>
      <c r="I14" s="42"/>
      <c r="J14" s="42"/>
      <c r="K14" s="42"/>
    </row>
    <row r="15" spans="1:11" x14ac:dyDescent="0.25">
      <c r="A15" s="42"/>
      <c r="B15" s="42"/>
      <c r="C15" s="42"/>
      <c r="D15" s="42"/>
      <c r="E15" s="42"/>
      <c r="F15" s="42"/>
      <c r="G15" s="42"/>
      <c r="H15" s="42"/>
      <c r="I15" s="42"/>
      <c r="J15" s="42"/>
      <c r="K15" s="42"/>
    </row>
    <row r="16" spans="1:11" x14ac:dyDescent="0.25">
      <c r="A16" s="42"/>
      <c r="B16" s="42"/>
      <c r="C16" s="42"/>
      <c r="D16" s="42"/>
      <c r="E16" s="42"/>
      <c r="F16" s="42"/>
      <c r="G16" s="42"/>
      <c r="H16" s="42"/>
      <c r="I16" s="42"/>
      <c r="J16" s="42"/>
      <c r="K16" s="42"/>
    </row>
    <row r="17" spans="1:11" x14ac:dyDescent="0.25">
      <c r="A17" s="42"/>
      <c r="B17" s="42"/>
      <c r="C17" s="42"/>
      <c r="D17" s="42"/>
      <c r="E17" s="42"/>
      <c r="F17" s="42"/>
      <c r="G17" s="42"/>
      <c r="H17" s="42"/>
      <c r="I17" s="42"/>
      <c r="J17" s="42"/>
      <c r="K17" s="42"/>
    </row>
    <row r="18" spans="1:11" x14ac:dyDescent="0.25">
      <c r="A18" s="42"/>
      <c r="B18" s="42"/>
      <c r="C18" s="42"/>
      <c r="D18" s="42"/>
      <c r="E18" s="42"/>
      <c r="F18" s="42"/>
      <c r="G18" s="42"/>
      <c r="H18" s="42"/>
      <c r="I18" s="42"/>
      <c r="J18" s="42"/>
      <c r="K18" s="42"/>
    </row>
    <row r="19" spans="1:11" x14ac:dyDescent="0.25">
      <c r="A19" s="42"/>
      <c r="B19" s="42"/>
      <c r="C19" s="42"/>
      <c r="D19" s="42"/>
      <c r="E19" s="42"/>
      <c r="F19" s="42"/>
      <c r="H19" s="42"/>
      <c r="I19" s="42"/>
      <c r="J19" s="42"/>
      <c r="K19" s="42"/>
    </row>
    <row r="20" spans="1:11" x14ac:dyDescent="0.25">
      <c r="A20" s="42"/>
      <c r="B20" s="42"/>
      <c r="C20" s="42"/>
      <c r="D20" s="42"/>
      <c r="E20" s="42"/>
      <c r="F20" s="42"/>
      <c r="G20" s="42"/>
      <c r="H20" s="42"/>
      <c r="I20" s="42"/>
      <c r="J20" s="42"/>
      <c r="K20" s="42"/>
    </row>
    <row r="21" spans="1:11" x14ac:dyDescent="0.25">
      <c r="A21" s="42"/>
      <c r="B21" s="42"/>
      <c r="C21" s="42"/>
      <c r="D21" s="42"/>
      <c r="E21" s="42"/>
      <c r="F21" s="42"/>
      <c r="G21" s="42"/>
      <c r="H21" s="42"/>
      <c r="I21" s="42"/>
      <c r="J21" s="42"/>
      <c r="K21" s="42"/>
    </row>
    <row r="22" spans="1:11" x14ac:dyDescent="0.25">
      <c r="A22" s="42"/>
      <c r="B22" s="42"/>
      <c r="C22" s="42"/>
      <c r="D22" s="42"/>
      <c r="E22" s="42"/>
      <c r="F22" s="42"/>
      <c r="G22" s="42"/>
      <c r="H22" s="42"/>
      <c r="I22" s="42"/>
      <c r="J22" s="42"/>
      <c r="K22" s="42"/>
    </row>
    <row r="23" spans="1:11" x14ac:dyDescent="0.25">
      <c r="A23" s="42"/>
      <c r="B23" s="42"/>
      <c r="C23" s="42"/>
      <c r="D23" s="42"/>
      <c r="E23" s="42"/>
      <c r="F23" s="42"/>
      <c r="G23" s="42"/>
      <c r="H23" s="42"/>
      <c r="I23" s="42"/>
      <c r="J23" s="42"/>
      <c r="K23" s="42"/>
    </row>
    <row r="24" spans="1:11" x14ac:dyDescent="0.25">
      <c r="A24" s="42"/>
      <c r="B24" s="42"/>
      <c r="C24" s="42"/>
      <c r="D24" s="42"/>
      <c r="E24" s="42"/>
      <c r="F24" s="42"/>
      <c r="G24" s="42"/>
      <c r="H24" s="42"/>
      <c r="I24" s="42"/>
      <c r="J24" s="42"/>
      <c r="K24" s="42"/>
    </row>
    <row r="25" spans="1:11" x14ac:dyDescent="0.25">
      <c r="A25" s="42"/>
      <c r="B25" s="42"/>
      <c r="C25" s="42"/>
      <c r="D25" s="42"/>
      <c r="E25" s="42"/>
      <c r="F25" s="42"/>
      <c r="G25" s="42"/>
      <c r="H25" s="42"/>
      <c r="I25" s="42"/>
      <c r="J25" s="42"/>
      <c r="K25" s="42"/>
    </row>
    <row r="26" spans="1:11" x14ac:dyDescent="0.25">
      <c r="A26" s="42"/>
      <c r="B26" s="42"/>
      <c r="C26" s="42"/>
      <c r="D26" s="42"/>
      <c r="E26" s="42"/>
      <c r="F26" s="42"/>
      <c r="G26" s="42"/>
      <c r="H26" s="42"/>
      <c r="I26" s="42"/>
      <c r="J26" s="42"/>
      <c r="K26" s="42"/>
    </row>
    <row r="27" spans="1:11" x14ac:dyDescent="0.25">
      <c r="A27" s="42"/>
      <c r="B27" s="42"/>
      <c r="C27" s="42"/>
      <c r="D27" s="42"/>
      <c r="E27" s="42"/>
      <c r="F27" s="42"/>
      <c r="G27" s="42"/>
      <c r="H27" s="42"/>
      <c r="I27" s="42"/>
      <c r="J27" s="42"/>
      <c r="K27" s="42"/>
    </row>
    <row r="28" spans="1:11" x14ac:dyDescent="0.25">
      <c r="A28" s="42"/>
      <c r="B28" s="42"/>
      <c r="C28" s="42"/>
      <c r="D28" s="42"/>
      <c r="E28" s="42"/>
      <c r="F28" s="42"/>
      <c r="G28" s="42"/>
      <c r="H28" s="42"/>
      <c r="I28" s="42"/>
      <c r="J28" s="42"/>
      <c r="K28" s="42"/>
    </row>
    <row r="29" spans="1:11" x14ac:dyDescent="0.25">
      <c r="A29" s="42"/>
      <c r="B29" s="42"/>
      <c r="C29" s="42"/>
      <c r="D29" s="42"/>
      <c r="E29" s="42"/>
      <c r="F29" s="42"/>
      <c r="G29" s="42"/>
      <c r="H29" s="42"/>
      <c r="I29" s="42"/>
      <c r="J29" s="42"/>
      <c r="K29" s="42"/>
    </row>
    <row r="30" spans="1:11" x14ac:dyDescent="0.25">
      <c r="A30" s="42"/>
      <c r="B30" s="42"/>
      <c r="C30" s="42"/>
      <c r="D30" s="42"/>
      <c r="E30" s="42"/>
      <c r="F30" s="42"/>
      <c r="G30" s="42"/>
      <c r="H30" s="42"/>
      <c r="I30" s="42"/>
      <c r="J30" s="42"/>
      <c r="K30" s="42"/>
    </row>
    <row r="31" spans="1:11" x14ac:dyDescent="0.25">
      <c r="A31" s="42"/>
      <c r="B31" s="42"/>
      <c r="C31" s="42"/>
      <c r="D31" s="42"/>
      <c r="E31" s="42"/>
      <c r="F31" s="42"/>
      <c r="G31" s="42"/>
      <c r="H31" s="42"/>
      <c r="I31" s="42"/>
      <c r="J31" s="42"/>
      <c r="K31" s="42"/>
    </row>
    <row r="32" spans="1:11" x14ac:dyDescent="0.25">
      <c r="A32" s="42"/>
      <c r="B32" s="42"/>
      <c r="C32" s="42"/>
      <c r="D32" s="42"/>
      <c r="E32" s="42"/>
      <c r="F32" s="42"/>
      <c r="G32" s="42"/>
      <c r="H32" s="42"/>
      <c r="I32" s="42"/>
      <c r="J32" s="42"/>
      <c r="K32" s="42"/>
    </row>
    <row r="33" spans="1:11" x14ac:dyDescent="0.25">
      <c r="A33" s="42"/>
      <c r="B33" s="42"/>
      <c r="C33" s="42"/>
      <c r="D33" s="42"/>
      <c r="E33" s="42"/>
      <c r="F33" s="42"/>
      <c r="G33" s="42"/>
      <c r="H33" s="42"/>
      <c r="I33" s="42"/>
      <c r="J33" s="42"/>
      <c r="K33" s="42"/>
    </row>
  </sheetData>
  <sheetProtection sheet="1" scenarios="1" autoFilter="0"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5"/>
  <sheetViews>
    <sheetView workbookViewId="0"/>
  </sheetViews>
  <sheetFormatPr baseColWidth="10" defaultRowHeight="15" x14ac:dyDescent="0.25"/>
  <cols>
    <col min="3" max="3" width="21" bestFit="1" customWidth="1"/>
    <col min="4" max="4" width="31.28515625" bestFit="1" customWidth="1"/>
    <col min="5" max="5" width="26.7109375" bestFit="1" customWidth="1"/>
    <col min="6" max="6" width="26.42578125" bestFit="1" customWidth="1"/>
    <col min="7" max="7" width="21.7109375" bestFit="1" customWidth="1"/>
    <col min="8" max="8" width="26.42578125" bestFit="1" customWidth="1"/>
    <col min="9" max="9" width="21.7109375" bestFit="1" customWidth="1"/>
    <col min="10" max="10" width="31.28515625" bestFit="1" customWidth="1"/>
    <col min="11" max="11" width="26.7109375" bestFit="1" customWidth="1"/>
  </cols>
  <sheetData>
    <row r="1" spans="2:9" x14ac:dyDescent="0.25">
      <c r="H1" t="s">
        <v>227</v>
      </c>
      <c r="I1" t="s">
        <v>228</v>
      </c>
    </row>
    <row r="2" spans="2:9" x14ac:dyDescent="0.25">
      <c r="B2" t="s">
        <v>201</v>
      </c>
      <c r="C2" t="s">
        <v>222</v>
      </c>
      <c r="D2" s="36" t="s">
        <v>137</v>
      </c>
      <c r="E2" s="36" t="s">
        <v>223</v>
      </c>
      <c r="G2" s="36" t="s">
        <v>224</v>
      </c>
      <c r="H2">
        <v>5</v>
      </c>
      <c r="I2">
        <f>INDEX(Site!$B$8:$B$23,Analyse_Chauffage!H2)</f>
        <v>2014</v>
      </c>
    </row>
    <row r="3" spans="2:9" x14ac:dyDescent="0.25">
      <c r="B3">
        <f t="shared" ref="B3:B10" si="0">$I$2</f>
        <v>2014</v>
      </c>
      <c r="C3">
        <v>1</v>
      </c>
      <c r="D3">
        <f>IFERROR(GETPIVOTDATA("Conso_mois_kWh",Calculs_Consos!$AD$45,"MOIS",$C3,"ANNEE",$B3),"")</f>
        <v>0</v>
      </c>
      <c r="E3">
        <f>IFERROR(GETPIVOTDATA("DJU(chauffagiste)",BDD_DJU!$H$13,"annee",Analyse_Chauffage!B3,"mois_numero",Analyse_Chauffage!C3),0)</f>
        <v>320.5</v>
      </c>
      <c r="G3" t="s">
        <v>225</v>
      </c>
      <c r="H3">
        <v>11</v>
      </c>
      <c r="I3">
        <f>INDEX(Site!$B$8:$B$23,Analyse_Chauffage!H3)</f>
        <v>2020</v>
      </c>
    </row>
    <row r="4" spans="2:9" x14ac:dyDescent="0.25">
      <c r="B4">
        <f t="shared" si="0"/>
        <v>2014</v>
      </c>
      <c r="C4">
        <v>2</v>
      </c>
      <c r="D4">
        <f>IFERROR(GETPIVOTDATA("Conso_mois_kWh",Calculs_Consos!$AD$45,"MOIS",$C4,"ANNEE",$B4),"")</f>
        <v>0</v>
      </c>
      <c r="E4">
        <f>IFERROR(GETPIVOTDATA("DJU(chauffagiste)",BDD_DJU!$H$13,"annee",Analyse_Chauffage!B4,"mois_numero",Analyse_Chauffage!C4),0)</f>
        <v>281.3</v>
      </c>
      <c r="G4" t="s">
        <v>226</v>
      </c>
      <c r="H4">
        <v>13</v>
      </c>
      <c r="I4">
        <f>INDEX(Site!$B$8:$B$23,Analyse_Chauffage!H4)</f>
        <v>2022</v>
      </c>
    </row>
    <row r="5" spans="2:9" x14ac:dyDescent="0.25">
      <c r="B5">
        <f t="shared" si="0"/>
        <v>2014</v>
      </c>
      <c r="C5">
        <v>3</v>
      </c>
      <c r="D5">
        <f>IFERROR(GETPIVOTDATA("Conso_mois_kWh",Calculs_Consos!$AD$45,"MOIS",$C5,"ANNEE",$B5),"")</f>
        <v>0</v>
      </c>
      <c r="E5">
        <f>IFERROR(GETPIVOTDATA("DJU(chauffagiste)",BDD_DJU!$H$13,"annee",Analyse_Chauffage!B5,"mois_numero",Analyse_Chauffage!C5),0)</f>
        <v>263.89999999999998</v>
      </c>
      <c r="H5">
        <v>3</v>
      </c>
    </row>
    <row r="6" spans="2:9" x14ac:dyDescent="0.25">
      <c r="B6">
        <f t="shared" si="0"/>
        <v>2014</v>
      </c>
      <c r="C6">
        <v>4</v>
      </c>
      <c r="D6">
        <f>IFERROR(GETPIVOTDATA("Conso_mois_kWh",Calculs_Consos!$AD$45,"MOIS",$C6,"ANNEE",$B6),"")</f>
        <v>0</v>
      </c>
      <c r="E6">
        <f>IFERROR(GETPIVOTDATA("DJU(chauffagiste)",BDD_DJU!$H$13,"annee",Analyse_Chauffage!B6,"mois_numero",Analyse_Chauffage!C6),0)</f>
        <v>174.2</v>
      </c>
    </row>
    <row r="7" spans="2:9" x14ac:dyDescent="0.25">
      <c r="B7">
        <f t="shared" si="0"/>
        <v>2014</v>
      </c>
      <c r="C7">
        <v>5</v>
      </c>
      <c r="D7">
        <f>IFERROR(GETPIVOTDATA("Conso_mois_kWh",Calculs_Consos!$AD$45,"MOIS",$C7,"ANNEE",$B7),"")</f>
        <v>0</v>
      </c>
      <c r="E7">
        <f>IFERROR(GETPIVOTDATA("DJU(chauffagiste)",BDD_DJU!$H$13,"annee",Analyse_Chauffage!B7,"mois_numero",Analyse_Chauffage!C7),0)</f>
        <v>134.5</v>
      </c>
    </row>
    <row r="8" spans="2:9" x14ac:dyDescent="0.25">
      <c r="B8">
        <f t="shared" si="0"/>
        <v>2014</v>
      </c>
      <c r="C8">
        <v>10</v>
      </c>
      <c r="D8">
        <f>IFERROR(GETPIVOTDATA("Conso_mois_kWh",Calculs_Consos!$AD$45,"MOIS",$C8,"ANNEE",$B8),"")</f>
        <v>0</v>
      </c>
      <c r="E8">
        <f>IFERROR(GETPIVOTDATA("DJU(chauffagiste)",BDD_DJU!$H$13,"annee",Analyse_Chauffage!B8,"mois_numero",Analyse_Chauffage!C8),0)</f>
        <v>124.2</v>
      </c>
    </row>
    <row r="9" spans="2:9" x14ac:dyDescent="0.25">
      <c r="B9">
        <f t="shared" si="0"/>
        <v>2014</v>
      </c>
      <c r="C9">
        <v>11</v>
      </c>
      <c r="D9">
        <f>IFERROR(GETPIVOTDATA("Conso_mois_kWh",Calculs_Consos!$AD$45,"MOIS",$C9,"ANNEE",$B9),"")</f>
        <v>0</v>
      </c>
      <c r="E9">
        <f>IFERROR(GETPIVOTDATA("DJU(chauffagiste)",BDD_DJU!$H$13,"annee",Analyse_Chauffage!B9,"mois_numero",Analyse_Chauffage!C9),0)</f>
        <v>219.5</v>
      </c>
    </row>
    <row r="10" spans="2:9" x14ac:dyDescent="0.25">
      <c r="B10">
        <f t="shared" si="0"/>
        <v>2014</v>
      </c>
      <c r="C10">
        <v>12</v>
      </c>
      <c r="D10">
        <f>IFERROR(GETPIVOTDATA("Conso_mois_kWh",Calculs_Consos!$AD$45,"MOIS",$C10,"ANNEE",$B10),"")</f>
        <v>0</v>
      </c>
      <c r="E10">
        <f>IFERROR(GETPIVOTDATA("DJU(chauffagiste)",BDD_DJU!$H$13,"annee",Analyse_Chauffage!B10,"mois_numero",Analyse_Chauffage!C10),0)</f>
        <v>374.8</v>
      </c>
    </row>
    <row r="11" spans="2:9" x14ac:dyDescent="0.25">
      <c r="B11">
        <f t="shared" ref="B11:B18" si="1">$I$3</f>
        <v>2020</v>
      </c>
      <c r="C11">
        <v>1</v>
      </c>
      <c r="D11">
        <f>IFERROR(GETPIVOTDATA("Conso_mois_kWh",Calculs_Consos!$AD$45,"MOIS",$C11,"ANNEE",$B11),"")</f>
        <v>0</v>
      </c>
      <c r="E11">
        <f>IFERROR(GETPIVOTDATA("DJU(chauffagiste)",BDD_DJU!$H$13,"annee",Analyse_Chauffage!B11,"mois_numero",Analyse_Chauffage!C11),0)</f>
        <v>331.5</v>
      </c>
    </row>
    <row r="12" spans="2:9" x14ac:dyDescent="0.25">
      <c r="B12">
        <f t="shared" si="1"/>
        <v>2020</v>
      </c>
      <c r="C12">
        <v>2</v>
      </c>
      <c r="D12">
        <f>IFERROR(GETPIVOTDATA("Conso_mois_kWh",Calculs_Consos!$AD$45,"MOIS",$C12,"ANNEE",$B12),"")</f>
        <v>0</v>
      </c>
      <c r="E12">
        <f>IFERROR(GETPIVOTDATA("DJU(chauffagiste)",BDD_DJU!$H$13,"annee",Analyse_Chauffage!B12,"mois_numero",Analyse_Chauffage!C12),0)</f>
        <v>251.6</v>
      </c>
    </row>
    <row r="13" spans="2:9" x14ac:dyDescent="0.25">
      <c r="B13">
        <f t="shared" si="1"/>
        <v>2020</v>
      </c>
      <c r="C13">
        <v>3</v>
      </c>
      <c r="D13">
        <f>IFERROR(GETPIVOTDATA("Conso_mois_kWh",Calculs_Consos!$AD$45,"MOIS",$C13,"ANNEE",$B13),"")</f>
        <v>0</v>
      </c>
      <c r="E13">
        <f>IFERROR(GETPIVOTDATA("DJU(chauffagiste)",BDD_DJU!$H$13,"annee",Analyse_Chauffage!B13,"mois_numero",Analyse_Chauffage!C13),0)</f>
        <v>272.60000000000002</v>
      </c>
    </row>
    <row r="14" spans="2:9" x14ac:dyDescent="0.25">
      <c r="B14">
        <f t="shared" si="1"/>
        <v>2020</v>
      </c>
      <c r="C14">
        <v>4</v>
      </c>
      <c r="D14">
        <f>IFERROR(GETPIVOTDATA("Conso_mois_kWh",Calculs_Consos!$AD$45,"MOIS",$C14,"ANNEE",$B14),"")</f>
        <v>0</v>
      </c>
      <c r="E14">
        <f>IFERROR(GETPIVOTDATA("DJU(chauffagiste)",BDD_DJU!$H$13,"annee",Analyse_Chauffage!B14,"mois_numero",Analyse_Chauffage!C14),0)</f>
        <v>126.3</v>
      </c>
    </row>
    <row r="15" spans="2:9" x14ac:dyDescent="0.25">
      <c r="B15">
        <f t="shared" si="1"/>
        <v>2020</v>
      </c>
      <c r="C15">
        <v>5</v>
      </c>
      <c r="D15">
        <f>IFERROR(GETPIVOTDATA("Conso_mois_kWh",Calculs_Consos!$AD$45,"MOIS",$C15,"ANNEE",$B15),"")</f>
        <v>0</v>
      </c>
      <c r="E15">
        <f>IFERROR(GETPIVOTDATA("DJU(chauffagiste)",BDD_DJU!$H$13,"annee",Analyse_Chauffage!B15,"mois_numero",Analyse_Chauffage!C15),0)</f>
        <v>91.8</v>
      </c>
    </row>
    <row r="16" spans="2:9" x14ac:dyDescent="0.25">
      <c r="B16">
        <f t="shared" si="1"/>
        <v>2020</v>
      </c>
      <c r="C16">
        <v>10</v>
      </c>
      <c r="D16">
        <f>IFERROR(GETPIVOTDATA("Conso_mois_kWh",Calculs_Consos!$AD$45,"MOIS",$C16,"ANNEE",$B16),"")</f>
        <v>0</v>
      </c>
      <c r="E16">
        <f>IFERROR(GETPIVOTDATA("DJU(chauffagiste)",BDD_DJU!$H$13,"annee",Analyse_Chauffage!B16,"mois_numero",Analyse_Chauffage!C16),0)</f>
        <v>159.30000000000001</v>
      </c>
    </row>
    <row r="17" spans="2:5" x14ac:dyDescent="0.25">
      <c r="B17">
        <f t="shared" si="1"/>
        <v>2020</v>
      </c>
      <c r="C17">
        <v>11</v>
      </c>
      <c r="D17">
        <f>IFERROR(GETPIVOTDATA("Conso_mois_kWh",Calculs_Consos!$AD$45,"MOIS",$C17,"ANNEE",$B17),"")</f>
        <v>0</v>
      </c>
      <c r="E17">
        <f>IFERROR(GETPIVOTDATA("DJU(chauffagiste)",BDD_DJU!$H$13,"annee",Analyse_Chauffage!B17,"mois_numero",Analyse_Chauffage!C17),0)</f>
        <v>237.3</v>
      </c>
    </row>
    <row r="18" spans="2:5" x14ac:dyDescent="0.25">
      <c r="B18">
        <f t="shared" si="1"/>
        <v>2020</v>
      </c>
      <c r="C18">
        <v>12</v>
      </c>
      <c r="D18">
        <f>IFERROR(GETPIVOTDATA("Conso_mois_kWh",Calculs_Consos!$AD$45,"MOIS",$C18,"ANNEE",$B18),"")</f>
        <v>0</v>
      </c>
      <c r="E18">
        <f>IFERROR(GETPIVOTDATA("DJU(chauffagiste)",BDD_DJU!$H$13,"annee",Analyse_Chauffage!B18,"mois_numero",Analyse_Chauffage!C18),0)</f>
        <v>334.4</v>
      </c>
    </row>
    <row r="19" spans="2:5" x14ac:dyDescent="0.25">
      <c r="B19">
        <f t="shared" ref="B19:B26" si="2">$I$4</f>
        <v>2022</v>
      </c>
      <c r="C19">
        <v>1</v>
      </c>
      <c r="D19">
        <f>IFERROR(GETPIVOTDATA("Conso_mois_kWh",Calculs_Consos!$AD$45,"MOIS",$C19,"ANNEE",$B19),"")</f>
        <v>0</v>
      </c>
      <c r="E19">
        <f>IFERROR(GETPIVOTDATA("DJU(chauffagiste)",BDD_DJU!$H$13,"annee",Analyse_Chauffage!B19,"mois_numero",Analyse_Chauffage!C19),0)</f>
        <v>396.3</v>
      </c>
    </row>
    <row r="20" spans="2:5" x14ac:dyDescent="0.25">
      <c r="B20">
        <f t="shared" si="2"/>
        <v>2022</v>
      </c>
      <c r="C20">
        <v>2</v>
      </c>
      <c r="D20">
        <f>IFERROR(GETPIVOTDATA("Conso_mois_kWh",Calculs_Consos!$AD$45,"MOIS",$C20,"ANNEE",$B20),"")</f>
        <v>0</v>
      </c>
      <c r="E20">
        <f>IFERROR(GETPIVOTDATA("DJU(chauffagiste)",BDD_DJU!$H$13,"annee",Analyse_Chauffage!B20,"mois_numero",Analyse_Chauffage!C20),0)</f>
        <v>286.10000000000002</v>
      </c>
    </row>
    <row r="21" spans="2:5" x14ac:dyDescent="0.25">
      <c r="B21">
        <f t="shared" si="2"/>
        <v>2022</v>
      </c>
      <c r="C21">
        <v>3</v>
      </c>
      <c r="D21">
        <f>IFERROR(GETPIVOTDATA("Conso_mois_kWh",Calculs_Consos!$AD$45,"MOIS",$C21,"ANNEE",$B21),"")</f>
        <v>0</v>
      </c>
      <c r="E21">
        <f>IFERROR(GETPIVOTDATA("DJU(chauffagiste)",BDD_DJU!$H$13,"annee",Analyse_Chauffage!B21,"mois_numero",Analyse_Chauffage!C21),0)</f>
        <v>239.8</v>
      </c>
    </row>
    <row r="22" spans="2:5" x14ac:dyDescent="0.25">
      <c r="B22">
        <f t="shared" si="2"/>
        <v>2022</v>
      </c>
      <c r="C22">
        <v>4</v>
      </c>
      <c r="D22">
        <f>IFERROR(GETPIVOTDATA("Conso_mois_kWh",Calculs_Consos!$AD$45,"MOIS",$C22,"ANNEE",$B22),"")</f>
        <v>0</v>
      </c>
      <c r="E22">
        <f>IFERROR(GETPIVOTDATA("DJU(chauffagiste)",BDD_DJU!$H$13,"annee",Analyse_Chauffage!B22,"mois_numero",Analyse_Chauffage!C22),0)</f>
        <v>192.3</v>
      </c>
    </row>
    <row r="23" spans="2:5" x14ac:dyDescent="0.25">
      <c r="B23">
        <f t="shared" si="2"/>
        <v>2022</v>
      </c>
      <c r="C23">
        <v>5</v>
      </c>
      <c r="D23">
        <f>IFERROR(GETPIVOTDATA("Conso_mois_kWh",Calculs_Consos!$AD$45,"MOIS",$C23,"ANNEE",$B23),"")</f>
        <v>0</v>
      </c>
      <c r="E23">
        <f>IFERROR(GETPIVOTDATA("DJU(chauffagiste)",BDD_DJU!$H$13,"annee",Analyse_Chauffage!B23,"mois_numero",Analyse_Chauffage!C23),0)</f>
        <v>81.8</v>
      </c>
    </row>
    <row r="24" spans="2:5" x14ac:dyDescent="0.25">
      <c r="B24">
        <f t="shared" si="2"/>
        <v>2022</v>
      </c>
      <c r="C24">
        <v>10</v>
      </c>
      <c r="D24">
        <f>IFERROR(GETPIVOTDATA("Conso_mois_kWh",Calculs_Consos!$AD$45,"MOIS",$C24,"ANNEE",$B24),"")</f>
        <v>0</v>
      </c>
      <c r="E24">
        <f>IFERROR(GETPIVOTDATA("DJU(chauffagiste)",BDD_DJU!$H$13,"annee",Analyse_Chauffage!B24,"mois_numero",Analyse_Chauffage!C24),0)</f>
        <v>73</v>
      </c>
    </row>
    <row r="25" spans="2:5" x14ac:dyDescent="0.25">
      <c r="B25">
        <f t="shared" si="2"/>
        <v>2022</v>
      </c>
      <c r="C25">
        <v>11</v>
      </c>
      <c r="D25">
        <f>IFERROR(GETPIVOTDATA("Conso_mois_kWh",Calculs_Consos!$AD$45,"MOIS",$C25,"ANNEE",$B25),"")</f>
        <v>0</v>
      </c>
      <c r="E25">
        <f>IFERROR(GETPIVOTDATA("DJU(chauffagiste)",BDD_DJU!$H$13,"annee",Analyse_Chauffage!B25,"mois_numero",Analyse_Chauffage!C25),0)</f>
        <v>227.5</v>
      </c>
    </row>
    <row r="26" spans="2:5" x14ac:dyDescent="0.25">
      <c r="B26">
        <f t="shared" si="2"/>
        <v>2022</v>
      </c>
      <c r="C26">
        <v>12</v>
      </c>
      <c r="D26">
        <f>IFERROR(GETPIVOTDATA("Conso_mois_kWh",Calculs_Consos!$AD$45,"MOIS",$C26,"ANNEE",$B26),"")</f>
        <v>0</v>
      </c>
      <c r="E26">
        <f>IFERROR(GETPIVOTDATA("DJU(chauffagiste)",BDD_DJU!$H$13,"annee",Analyse_Chauffage!B26,"mois_numero",Analyse_Chauffage!C26),0)</f>
        <v>380.8</v>
      </c>
    </row>
    <row r="29" spans="2:5" x14ac:dyDescent="0.25">
      <c r="B29" t="s">
        <v>201</v>
      </c>
      <c r="C29" t="s">
        <v>222</v>
      </c>
      <c r="D29" s="36" t="s">
        <v>137</v>
      </c>
    </row>
    <row r="30" spans="2:5" x14ac:dyDescent="0.25">
      <c r="B30">
        <f>$I$2</f>
        <v>2014</v>
      </c>
      <c r="C30">
        <v>1</v>
      </c>
      <c r="D30">
        <f>IFERROR(GETPIVOTDATA("Conso_mois_kWh",Calculs_Consos!$AD$45,"MOIS",$C30,"ANNEE",$B30),"")</f>
        <v>0</v>
      </c>
    </row>
    <row r="31" spans="2:5" x14ac:dyDescent="0.25">
      <c r="B31">
        <f>$I$2</f>
        <v>2014</v>
      </c>
      <c r="C31">
        <v>2</v>
      </c>
      <c r="D31">
        <f>IFERROR(GETPIVOTDATA("Conso_mois_kWh",Calculs_Consos!$AD$45,"MOIS",$C31,"ANNEE",$B31),"")</f>
        <v>0</v>
      </c>
    </row>
    <row r="32" spans="2:5" x14ac:dyDescent="0.25">
      <c r="B32">
        <f>$I$2</f>
        <v>2014</v>
      </c>
      <c r="C32">
        <v>3</v>
      </c>
      <c r="D32">
        <f>IFERROR(GETPIVOTDATA("Conso_mois_kWh",Calculs_Consos!$AD$45,"MOIS",$C32,"ANNEE",$B32),"")</f>
        <v>0</v>
      </c>
    </row>
    <row r="33" spans="2:4" x14ac:dyDescent="0.25">
      <c r="B33">
        <f>$I$2</f>
        <v>2014</v>
      </c>
      <c r="C33">
        <v>4</v>
      </c>
      <c r="D33">
        <f>IFERROR(GETPIVOTDATA("Conso_mois_kWh",Calculs_Consos!$AD$45,"MOIS",$C33,"ANNEE",$B33),"")</f>
        <v>0</v>
      </c>
    </row>
    <row r="34" spans="2:4" x14ac:dyDescent="0.25">
      <c r="B34">
        <f>$I$2</f>
        <v>2014</v>
      </c>
      <c r="C34">
        <v>5</v>
      </c>
      <c r="D34">
        <f>IFERROR(GETPIVOTDATA("Conso_mois_kWh",Calculs_Consos!$AD$45,"MOIS",$C34,"ANNEE",$B34),"")</f>
        <v>0</v>
      </c>
    </row>
    <row r="35" spans="2:4" x14ac:dyDescent="0.25">
      <c r="B35">
        <f t="shared" ref="B35:B38" si="3">$I$2</f>
        <v>2014</v>
      </c>
      <c r="C35">
        <v>6</v>
      </c>
      <c r="D35">
        <f>IFERROR(GETPIVOTDATA("Conso_mois_kWh",Calculs_Consos!$AD$45,"MOIS",$C35,"ANNEE",$B35),"")</f>
        <v>0</v>
      </c>
    </row>
    <row r="36" spans="2:4" x14ac:dyDescent="0.25">
      <c r="B36">
        <f t="shared" si="3"/>
        <v>2014</v>
      </c>
      <c r="C36">
        <v>7</v>
      </c>
      <c r="D36">
        <f>IFERROR(GETPIVOTDATA("Conso_mois_kWh",Calculs_Consos!$AD$45,"MOIS",$C36,"ANNEE",$B36),"")</f>
        <v>0</v>
      </c>
    </row>
    <row r="37" spans="2:4" x14ac:dyDescent="0.25">
      <c r="B37">
        <f t="shared" si="3"/>
        <v>2014</v>
      </c>
      <c r="C37">
        <v>8</v>
      </c>
      <c r="D37">
        <f>IFERROR(GETPIVOTDATA("Conso_mois_kWh",Calculs_Consos!$AD$45,"MOIS",$C37,"ANNEE",$B37),"")</f>
        <v>0</v>
      </c>
    </row>
    <row r="38" spans="2:4" x14ac:dyDescent="0.25">
      <c r="B38">
        <f t="shared" si="3"/>
        <v>2014</v>
      </c>
      <c r="C38">
        <v>9</v>
      </c>
      <c r="D38">
        <f>IFERROR(GETPIVOTDATA("Conso_mois_kWh",Calculs_Consos!$AD$45,"MOIS",$C38,"ANNEE",$B38),"")</f>
        <v>0</v>
      </c>
    </row>
    <row r="39" spans="2:4" x14ac:dyDescent="0.25">
      <c r="B39">
        <f>$I$2</f>
        <v>2014</v>
      </c>
      <c r="C39">
        <v>10</v>
      </c>
      <c r="D39">
        <f>IFERROR(GETPIVOTDATA("Conso_mois_kWh",Calculs_Consos!$AD$45,"MOIS",$C39,"ANNEE",$B39),"")</f>
        <v>0</v>
      </c>
    </row>
    <row r="40" spans="2:4" x14ac:dyDescent="0.25">
      <c r="B40">
        <f>$I$2</f>
        <v>2014</v>
      </c>
      <c r="C40">
        <v>11</v>
      </c>
      <c r="D40">
        <f>IFERROR(GETPIVOTDATA("Conso_mois_kWh",Calculs_Consos!$AD$45,"MOIS",$C40,"ANNEE",$B40),"")</f>
        <v>0</v>
      </c>
    </row>
    <row r="41" spans="2:4" x14ac:dyDescent="0.25">
      <c r="B41">
        <f>$I$2</f>
        <v>2014</v>
      </c>
      <c r="C41">
        <v>12</v>
      </c>
      <c r="D41">
        <f>IFERROR(GETPIVOTDATA("Conso_mois_kWh",Calculs_Consos!$AD$45,"MOIS",$C41,"ANNEE",$B41),"")</f>
        <v>0</v>
      </c>
    </row>
    <row r="42" spans="2:4" x14ac:dyDescent="0.25">
      <c r="B42">
        <f>$I$3</f>
        <v>2020</v>
      </c>
      <c r="C42">
        <v>1</v>
      </c>
      <c r="D42">
        <f>IFERROR(GETPIVOTDATA("Conso_mois_kWh",Calculs_Consos!$AD$45,"MOIS",$C42,"ANNEE",$B42),"")</f>
        <v>0</v>
      </c>
    </row>
    <row r="43" spans="2:4" x14ac:dyDescent="0.25">
      <c r="B43">
        <f>$I$3</f>
        <v>2020</v>
      </c>
      <c r="C43">
        <v>2</v>
      </c>
      <c r="D43">
        <f>IFERROR(GETPIVOTDATA("Conso_mois_kWh",Calculs_Consos!$AD$45,"MOIS",$C43,"ANNEE",$B43),"")</f>
        <v>0</v>
      </c>
    </row>
    <row r="44" spans="2:4" x14ac:dyDescent="0.25">
      <c r="B44">
        <f>$I$3</f>
        <v>2020</v>
      </c>
      <c r="C44">
        <v>3</v>
      </c>
      <c r="D44">
        <f>IFERROR(GETPIVOTDATA("Conso_mois_kWh",Calculs_Consos!$AD$45,"MOIS",$C44,"ANNEE",$B44),"")</f>
        <v>0</v>
      </c>
    </row>
    <row r="45" spans="2:4" x14ac:dyDescent="0.25">
      <c r="B45">
        <f>$I$3</f>
        <v>2020</v>
      </c>
      <c r="C45">
        <v>4</v>
      </c>
      <c r="D45">
        <f>IFERROR(GETPIVOTDATA("Conso_mois_kWh",Calculs_Consos!$AD$45,"MOIS",$C45,"ANNEE",$B45),"")</f>
        <v>0</v>
      </c>
    </row>
    <row r="46" spans="2:4" x14ac:dyDescent="0.25">
      <c r="B46">
        <f>$I$3</f>
        <v>2020</v>
      </c>
      <c r="C46">
        <v>5</v>
      </c>
      <c r="D46">
        <f>IFERROR(GETPIVOTDATA("Conso_mois_kWh",Calculs_Consos!$AD$45,"MOIS",$C46,"ANNEE",$B46),"")</f>
        <v>0</v>
      </c>
    </row>
    <row r="47" spans="2:4" x14ac:dyDescent="0.25">
      <c r="B47">
        <f t="shared" ref="B47:B50" si="4">$I$3</f>
        <v>2020</v>
      </c>
      <c r="C47">
        <v>6</v>
      </c>
      <c r="D47">
        <f>IFERROR(GETPIVOTDATA("Conso_mois_kWh",Calculs_Consos!$AD$45,"MOIS",$C47,"ANNEE",$B47),"")</f>
        <v>0</v>
      </c>
    </row>
    <row r="48" spans="2:4" x14ac:dyDescent="0.25">
      <c r="B48">
        <f t="shared" si="4"/>
        <v>2020</v>
      </c>
      <c r="C48">
        <v>7</v>
      </c>
      <c r="D48">
        <f>IFERROR(GETPIVOTDATA("Conso_mois_kWh",Calculs_Consos!$AD$45,"MOIS",$C48,"ANNEE",$B48),"")</f>
        <v>0</v>
      </c>
    </row>
    <row r="49" spans="2:4" x14ac:dyDescent="0.25">
      <c r="B49">
        <f t="shared" si="4"/>
        <v>2020</v>
      </c>
      <c r="C49">
        <v>8</v>
      </c>
      <c r="D49">
        <f>IFERROR(GETPIVOTDATA("Conso_mois_kWh",Calculs_Consos!$AD$45,"MOIS",$C49,"ANNEE",$B49),"")</f>
        <v>0</v>
      </c>
    </row>
    <row r="50" spans="2:4" x14ac:dyDescent="0.25">
      <c r="B50">
        <f t="shared" si="4"/>
        <v>2020</v>
      </c>
      <c r="C50">
        <v>9</v>
      </c>
      <c r="D50">
        <f>IFERROR(GETPIVOTDATA("Conso_mois_kWh",Calculs_Consos!$AD$45,"MOIS",$C50,"ANNEE",$B50),"")</f>
        <v>0</v>
      </c>
    </row>
    <row r="51" spans="2:4" x14ac:dyDescent="0.25">
      <c r="B51">
        <f>$I$3</f>
        <v>2020</v>
      </c>
      <c r="C51">
        <v>10</v>
      </c>
      <c r="D51">
        <f>IFERROR(GETPIVOTDATA("Conso_mois_kWh",Calculs_Consos!$AD$45,"MOIS",$C51,"ANNEE",$B51),"")</f>
        <v>0</v>
      </c>
    </row>
    <row r="52" spans="2:4" x14ac:dyDescent="0.25">
      <c r="B52">
        <f>$I$3</f>
        <v>2020</v>
      </c>
      <c r="C52">
        <v>11</v>
      </c>
      <c r="D52">
        <f>IFERROR(GETPIVOTDATA("Conso_mois_kWh",Calculs_Consos!$AD$45,"MOIS",$C52,"ANNEE",$B52),"")</f>
        <v>0</v>
      </c>
    </row>
    <row r="53" spans="2:4" x14ac:dyDescent="0.25">
      <c r="B53">
        <f>$I$3</f>
        <v>2020</v>
      </c>
      <c r="C53">
        <v>12</v>
      </c>
      <c r="D53">
        <f>IFERROR(GETPIVOTDATA("Conso_mois_kWh",Calculs_Consos!$AD$45,"MOIS",$C53,"ANNEE",$B53),"")</f>
        <v>0</v>
      </c>
    </row>
    <row r="54" spans="2:4" x14ac:dyDescent="0.25">
      <c r="B54">
        <f>$I$4</f>
        <v>2022</v>
      </c>
      <c r="C54">
        <v>1</v>
      </c>
      <c r="D54">
        <f>IFERROR(GETPIVOTDATA("Conso_mois_kWh",Calculs_Consos!$AD$45,"MOIS",$C54,"ANNEE",$B54),"")</f>
        <v>0</v>
      </c>
    </row>
    <row r="55" spans="2:4" x14ac:dyDescent="0.25">
      <c r="B55">
        <f>$I$4</f>
        <v>2022</v>
      </c>
      <c r="C55">
        <v>2</v>
      </c>
      <c r="D55">
        <f>IFERROR(GETPIVOTDATA("Conso_mois_kWh",Calculs_Consos!$AD$45,"MOIS",$C55,"ANNEE",$B55),"")</f>
        <v>0</v>
      </c>
    </row>
    <row r="56" spans="2:4" x14ac:dyDescent="0.25">
      <c r="B56">
        <f>$I$4</f>
        <v>2022</v>
      </c>
      <c r="C56">
        <v>3</v>
      </c>
      <c r="D56">
        <f>IFERROR(GETPIVOTDATA("Conso_mois_kWh",Calculs_Consos!$AD$45,"MOIS",$C56,"ANNEE",$B56),"")</f>
        <v>0</v>
      </c>
    </row>
    <row r="57" spans="2:4" x14ac:dyDescent="0.25">
      <c r="B57">
        <f>$I$4</f>
        <v>2022</v>
      </c>
      <c r="C57">
        <v>4</v>
      </c>
      <c r="D57">
        <f>IFERROR(GETPIVOTDATA("Conso_mois_kWh",Calculs_Consos!$AD$45,"MOIS",$C57,"ANNEE",$B57),"")</f>
        <v>0</v>
      </c>
    </row>
    <row r="58" spans="2:4" x14ac:dyDescent="0.25">
      <c r="B58">
        <f>$I$4</f>
        <v>2022</v>
      </c>
      <c r="C58">
        <v>5</v>
      </c>
      <c r="D58">
        <f>IFERROR(GETPIVOTDATA("Conso_mois_kWh",Calculs_Consos!$AD$45,"MOIS",$C58,"ANNEE",$B58),"")</f>
        <v>0</v>
      </c>
    </row>
    <row r="59" spans="2:4" x14ac:dyDescent="0.25">
      <c r="B59">
        <f t="shared" ref="B59:B62" si="5">$I$4</f>
        <v>2022</v>
      </c>
      <c r="C59">
        <v>6</v>
      </c>
      <c r="D59">
        <f>IFERROR(GETPIVOTDATA("Conso_mois_kWh",Calculs_Consos!$AD$45,"MOIS",$C59,"ANNEE",$B59),"")</f>
        <v>0</v>
      </c>
    </row>
    <row r="60" spans="2:4" x14ac:dyDescent="0.25">
      <c r="B60">
        <f t="shared" si="5"/>
        <v>2022</v>
      </c>
      <c r="C60">
        <v>7</v>
      </c>
      <c r="D60">
        <f>IFERROR(GETPIVOTDATA("Conso_mois_kWh",Calculs_Consos!$AD$45,"MOIS",$C60,"ANNEE",$B60),"")</f>
        <v>0</v>
      </c>
    </row>
    <row r="61" spans="2:4" x14ac:dyDescent="0.25">
      <c r="B61">
        <f t="shared" si="5"/>
        <v>2022</v>
      </c>
      <c r="C61">
        <v>8</v>
      </c>
      <c r="D61">
        <f>IFERROR(GETPIVOTDATA("Conso_mois_kWh",Calculs_Consos!$AD$45,"MOIS",$C61,"ANNEE",$B61),"")</f>
        <v>0</v>
      </c>
    </row>
    <row r="62" spans="2:4" x14ac:dyDescent="0.25">
      <c r="B62">
        <f t="shared" si="5"/>
        <v>2022</v>
      </c>
      <c r="C62">
        <v>9</v>
      </c>
      <c r="D62">
        <f>IFERROR(GETPIVOTDATA("Conso_mois_kWh",Calculs_Consos!$AD$45,"MOIS",$C62,"ANNEE",$B62),"")</f>
        <v>0</v>
      </c>
    </row>
    <row r="63" spans="2:4" x14ac:dyDescent="0.25">
      <c r="B63">
        <f>$I$4</f>
        <v>2022</v>
      </c>
      <c r="C63">
        <v>10</v>
      </c>
      <c r="D63">
        <f>IFERROR(GETPIVOTDATA("Conso_mois_kWh",Calculs_Consos!$AD$45,"MOIS",$C63,"ANNEE",$B63),"")</f>
        <v>0</v>
      </c>
    </row>
    <row r="64" spans="2:4" x14ac:dyDescent="0.25">
      <c r="B64">
        <f>$I$4</f>
        <v>2022</v>
      </c>
      <c r="C64">
        <v>11</v>
      </c>
      <c r="D64">
        <f>IFERROR(GETPIVOTDATA("Conso_mois_kWh",Calculs_Consos!$AD$45,"MOIS",$C64,"ANNEE",$B64),"")</f>
        <v>0</v>
      </c>
    </row>
    <row r="65" spans="2:4" x14ac:dyDescent="0.25">
      <c r="B65">
        <f>$I$4</f>
        <v>2022</v>
      </c>
      <c r="C65">
        <v>12</v>
      </c>
      <c r="D65">
        <f>IFERROR(GETPIVOTDATA("Conso_mois_kWh",Calculs_Consos!$AD$45,"MOIS",$C65,"ANNEE",$B65),"")</f>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51"/>
  <sheetViews>
    <sheetView workbookViewId="0"/>
  </sheetViews>
  <sheetFormatPr baseColWidth="10" defaultRowHeight="15" x14ac:dyDescent="0.25"/>
  <cols>
    <col min="2" max="2" width="21" bestFit="1" customWidth="1"/>
    <col min="3" max="3" width="29" bestFit="1" customWidth="1"/>
    <col min="4" max="4" width="33.42578125" bestFit="1" customWidth="1"/>
    <col min="5" max="5" width="29" bestFit="1" customWidth="1"/>
    <col min="6" max="6" width="33.42578125" bestFit="1" customWidth="1"/>
    <col min="7" max="7" width="29" bestFit="1" customWidth="1"/>
    <col min="8" max="8" width="33.42578125" bestFit="1" customWidth="1"/>
    <col min="9" max="9" width="29" bestFit="1" customWidth="1"/>
    <col min="10" max="10" width="33.42578125" bestFit="1" customWidth="1"/>
    <col min="11" max="11" width="29" bestFit="1" customWidth="1"/>
    <col min="12" max="12" width="33.42578125" bestFit="1" customWidth="1"/>
    <col min="13" max="13" width="29" bestFit="1" customWidth="1"/>
    <col min="14" max="14" width="33.42578125" bestFit="1" customWidth="1"/>
    <col min="15" max="15" width="29" bestFit="1" customWidth="1"/>
    <col min="16" max="16" width="33.42578125" bestFit="1" customWidth="1"/>
    <col min="17" max="17" width="29" bestFit="1" customWidth="1"/>
    <col min="18" max="18" width="33.42578125" bestFit="1" customWidth="1"/>
    <col min="19" max="19" width="29" bestFit="1" customWidth="1"/>
    <col min="20" max="20" width="33.42578125" bestFit="1" customWidth="1"/>
    <col min="21" max="21" width="29" bestFit="1" customWidth="1"/>
    <col min="22" max="22" width="33.42578125" bestFit="1" customWidth="1"/>
    <col min="23" max="23" width="29" bestFit="1" customWidth="1"/>
    <col min="24" max="24" width="33.42578125" bestFit="1" customWidth="1"/>
    <col min="25" max="25" width="29" bestFit="1" customWidth="1"/>
    <col min="26" max="26" width="33.42578125" bestFit="1" customWidth="1"/>
    <col min="27" max="27" width="29" bestFit="1" customWidth="1"/>
    <col min="28" max="28" width="33.42578125" bestFit="1" customWidth="1"/>
    <col min="29" max="29" width="29" bestFit="1" customWidth="1"/>
    <col min="30" max="30" width="33.42578125" bestFit="1" customWidth="1"/>
    <col min="31" max="31" width="29" bestFit="1" customWidth="1"/>
    <col min="32" max="32" width="33.42578125" bestFit="1" customWidth="1"/>
    <col min="33" max="33" width="29" bestFit="1" customWidth="1"/>
    <col min="34" max="34" width="33.42578125" bestFit="1" customWidth="1"/>
    <col min="35" max="35" width="34" bestFit="1" customWidth="1"/>
    <col min="36" max="36" width="38.42578125" bestFit="1" customWidth="1"/>
    <col min="37" max="37" width="34" bestFit="1" customWidth="1"/>
    <col min="38" max="38" width="38.42578125" bestFit="1" customWidth="1"/>
  </cols>
  <sheetData>
    <row r="1" spans="2:36" x14ac:dyDescent="0.25">
      <c r="B1" s="232" t="s">
        <v>1</v>
      </c>
      <c r="C1" s="231" t="s">
        <v>443</v>
      </c>
    </row>
    <row r="3" spans="2:36" x14ac:dyDescent="0.25">
      <c r="C3" s="232" t="s">
        <v>165</v>
      </c>
    </row>
    <row r="4" spans="2:36" x14ac:dyDescent="0.25">
      <c r="C4" s="231">
        <v>2010</v>
      </c>
      <c r="E4" s="231">
        <v>2011</v>
      </c>
      <c r="G4" s="231">
        <v>2012</v>
      </c>
      <c r="I4" s="231">
        <v>2013</v>
      </c>
      <c r="K4" s="231">
        <v>2014</v>
      </c>
      <c r="M4" s="231">
        <v>2015</v>
      </c>
      <c r="O4" s="231">
        <v>2016</v>
      </c>
      <c r="Q4" s="231">
        <v>2017</v>
      </c>
      <c r="S4" s="231">
        <v>2018</v>
      </c>
      <c r="U4" s="231">
        <v>2019</v>
      </c>
      <c r="W4" s="231">
        <v>2020</v>
      </c>
      <c r="Y4" s="231">
        <v>2021</v>
      </c>
      <c r="AA4" s="231">
        <v>2022</v>
      </c>
      <c r="AC4" s="231">
        <v>2023</v>
      </c>
      <c r="AE4" s="231">
        <v>2024</v>
      </c>
      <c r="AG4" s="231">
        <v>2025</v>
      </c>
      <c r="AI4" s="231" t="s">
        <v>439</v>
      </c>
      <c r="AJ4" s="231" t="s">
        <v>441</v>
      </c>
    </row>
    <row r="5" spans="2:36" x14ac:dyDescent="0.25">
      <c r="B5" s="232" t="s">
        <v>34</v>
      </c>
      <c r="C5" s="231" t="s">
        <v>440</v>
      </c>
      <c r="D5" s="231" t="s">
        <v>442</v>
      </c>
      <c r="E5" s="231" t="s">
        <v>440</v>
      </c>
      <c r="F5" s="231" t="s">
        <v>442</v>
      </c>
      <c r="G5" s="231" t="s">
        <v>440</v>
      </c>
      <c r="H5" s="231" t="s">
        <v>442</v>
      </c>
      <c r="I5" s="231" t="s">
        <v>440</v>
      </c>
      <c r="J5" s="231" t="s">
        <v>442</v>
      </c>
      <c r="K5" s="231" t="s">
        <v>440</v>
      </c>
      <c r="L5" s="231" t="s">
        <v>442</v>
      </c>
      <c r="M5" s="231" t="s">
        <v>440</v>
      </c>
      <c r="N5" s="231" t="s">
        <v>442</v>
      </c>
      <c r="O5" s="231" t="s">
        <v>440</v>
      </c>
      <c r="P5" s="231" t="s">
        <v>442</v>
      </c>
      <c r="Q5" s="231" t="s">
        <v>440</v>
      </c>
      <c r="R5" s="231" t="s">
        <v>442</v>
      </c>
      <c r="S5" s="231" t="s">
        <v>440</v>
      </c>
      <c r="T5" s="231" t="s">
        <v>442</v>
      </c>
      <c r="U5" s="231" t="s">
        <v>440</v>
      </c>
      <c r="V5" s="231" t="s">
        <v>442</v>
      </c>
      <c r="W5" s="231" t="s">
        <v>440</v>
      </c>
      <c r="X5" s="231" t="s">
        <v>442</v>
      </c>
      <c r="Y5" s="231" t="s">
        <v>440</v>
      </c>
      <c r="Z5" s="231" t="s">
        <v>442</v>
      </c>
      <c r="AA5" s="231" t="s">
        <v>440</v>
      </c>
      <c r="AB5" s="231" t="s">
        <v>442</v>
      </c>
      <c r="AC5" s="231" t="s">
        <v>440</v>
      </c>
      <c r="AD5" s="231" t="s">
        <v>442</v>
      </c>
      <c r="AE5" s="231" t="s">
        <v>440</v>
      </c>
      <c r="AF5" s="231" t="s">
        <v>442</v>
      </c>
      <c r="AG5" s="231" t="s">
        <v>440</v>
      </c>
      <c r="AH5" s="231" t="s">
        <v>442</v>
      </c>
    </row>
    <row r="6" spans="2:36" x14ac:dyDescent="0.25">
      <c r="B6" s="233"/>
      <c r="C6" s="221" t="e">
        <v>#DIV/0!</v>
      </c>
      <c r="D6" s="221" t="e">
        <v>#DIV/0!</v>
      </c>
      <c r="E6" s="221" t="e">
        <v>#DIV/0!</v>
      </c>
      <c r="F6" s="221" t="e">
        <v>#DIV/0!</v>
      </c>
      <c r="G6" s="221" t="e">
        <v>#DIV/0!</v>
      </c>
      <c r="H6" s="221" t="e">
        <v>#DIV/0!</v>
      </c>
      <c r="I6" s="221" t="e">
        <v>#DIV/0!</v>
      </c>
      <c r="J6" s="221" t="e">
        <v>#DIV/0!</v>
      </c>
      <c r="K6" s="221" t="e">
        <v>#DIV/0!</v>
      </c>
      <c r="L6" s="221" t="e">
        <v>#DIV/0!</v>
      </c>
      <c r="M6" s="221" t="e">
        <v>#DIV/0!</v>
      </c>
      <c r="N6" s="221" t="e">
        <v>#DIV/0!</v>
      </c>
      <c r="O6" s="221" t="e">
        <v>#DIV/0!</v>
      </c>
      <c r="P6" s="221" t="e">
        <v>#DIV/0!</v>
      </c>
      <c r="Q6" s="221" t="e">
        <v>#DIV/0!</v>
      </c>
      <c r="R6" s="221" t="e">
        <v>#DIV/0!</v>
      </c>
      <c r="S6" s="221" t="e">
        <v>#DIV/0!</v>
      </c>
      <c r="T6" s="221" t="e">
        <v>#DIV/0!</v>
      </c>
      <c r="U6" s="221" t="e">
        <v>#DIV/0!</v>
      </c>
      <c r="V6" s="221" t="e">
        <v>#DIV/0!</v>
      </c>
      <c r="W6" s="221" t="e">
        <v>#DIV/0!</v>
      </c>
      <c r="X6" s="221" t="e">
        <v>#DIV/0!</v>
      </c>
      <c r="Y6" s="221" t="e">
        <v>#DIV/0!</v>
      </c>
      <c r="Z6" s="221" t="e">
        <v>#DIV/0!</v>
      </c>
      <c r="AA6" s="221" t="e">
        <v>#DIV/0!</v>
      </c>
      <c r="AB6" s="221" t="e">
        <v>#DIV/0!</v>
      </c>
      <c r="AC6" s="221" t="e">
        <v>#DIV/0!</v>
      </c>
      <c r="AD6" s="221" t="e">
        <v>#DIV/0!</v>
      </c>
      <c r="AE6" s="221" t="e">
        <v>#DIV/0!</v>
      </c>
      <c r="AF6" s="221" t="e">
        <v>#DIV/0!</v>
      </c>
      <c r="AG6" s="221" t="e">
        <v>#DIV/0!</v>
      </c>
      <c r="AH6" s="221" t="e">
        <v>#DIV/0!</v>
      </c>
      <c r="AI6" s="221" t="e">
        <v>#DIV/0!</v>
      </c>
      <c r="AJ6" s="221" t="e">
        <v>#DIV/0!</v>
      </c>
    </row>
    <row r="7" spans="2:36" x14ac:dyDescent="0.25">
      <c r="B7" s="233" t="s">
        <v>35</v>
      </c>
      <c r="C7" s="221" t="e">
        <v>#DIV/0!</v>
      </c>
      <c r="D7" s="221" t="e">
        <v>#DIV/0!</v>
      </c>
      <c r="E7" s="221" t="e">
        <v>#DIV/0!</v>
      </c>
      <c r="F7" s="221" t="e">
        <v>#DIV/0!</v>
      </c>
      <c r="G7" s="221" t="e">
        <v>#DIV/0!</v>
      </c>
      <c r="H7" s="221" t="e">
        <v>#DIV/0!</v>
      </c>
      <c r="I7" s="221" t="e">
        <v>#DIV/0!</v>
      </c>
      <c r="J7" s="221" t="e">
        <v>#DIV/0!</v>
      </c>
      <c r="K7" s="221" t="e">
        <v>#DIV/0!</v>
      </c>
      <c r="L7" s="221" t="e">
        <v>#DIV/0!</v>
      </c>
      <c r="M7" s="221" t="e">
        <v>#DIV/0!</v>
      </c>
      <c r="N7" s="221" t="e">
        <v>#DIV/0!</v>
      </c>
      <c r="O7" s="221" t="e">
        <v>#DIV/0!</v>
      </c>
      <c r="P7" s="221" t="e">
        <v>#DIV/0!</v>
      </c>
      <c r="Q7" s="221" t="e">
        <v>#DIV/0!</v>
      </c>
      <c r="R7" s="221" t="e">
        <v>#DIV/0!</v>
      </c>
      <c r="S7" s="221" t="e">
        <v>#DIV/0!</v>
      </c>
      <c r="T7" s="221" t="e">
        <v>#DIV/0!</v>
      </c>
      <c r="U7" s="221" t="e">
        <v>#DIV/0!</v>
      </c>
      <c r="V7" s="221" t="e">
        <v>#DIV/0!</v>
      </c>
      <c r="W7" s="221" t="e">
        <v>#DIV/0!</v>
      </c>
      <c r="X7" s="221" t="e">
        <v>#DIV/0!</v>
      </c>
      <c r="Y7" s="221" t="e">
        <v>#DIV/0!</v>
      </c>
      <c r="Z7" s="221" t="e">
        <v>#DIV/0!</v>
      </c>
      <c r="AA7" s="221" t="e">
        <v>#DIV/0!</v>
      </c>
      <c r="AB7" s="221" t="e">
        <v>#DIV/0!</v>
      </c>
      <c r="AC7" s="221" t="e">
        <v>#DIV/0!</v>
      </c>
      <c r="AD7" s="221" t="e">
        <v>#DIV/0!</v>
      </c>
      <c r="AE7" s="221" t="e">
        <v>#DIV/0!</v>
      </c>
      <c r="AF7" s="221" t="e">
        <v>#DIV/0!</v>
      </c>
      <c r="AG7" s="221" t="e">
        <v>#DIV/0!</v>
      </c>
      <c r="AH7" s="221" t="e">
        <v>#DIV/0!</v>
      </c>
      <c r="AI7" s="221" t="e">
        <v>#DIV/0!</v>
      </c>
      <c r="AJ7" s="221" t="e">
        <v>#DIV/0!</v>
      </c>
    </row>
    <row r="12" spans="2:36" x14ac:dyDescent="0.25">
      <c r="B12" s="104"/>
    </row>
    <row r="13" spans="2:36" x14ac:dyDescent="0.25">
      <c r="B13" s="104"/>
    </row>
    <row r="14" spans="2:36" x14ac:dyDescent="0.25">
      <c r="B14" s="104"/>
    </row>
    <row r="15" spans="2:36" x14ac:dyDescent="0.25">
      <c r="B15" s="104"/>
    </row>
    <row r="16" spans="2:36" x14ac:dyDescent="0.25">
      <c r="B16" s="104"/>
    </row>
    <row r="17" spans="2:18" x14ac:dyDescent="0.25">
      <c r="B17" s="104"/>
    </row>
    <row r="18" spans="2:18" x14ac:dyDescent="0.25">
      <c r="B18" s="104"/>
    </row>
    <row r="19" spans="2:18" ht="21" x14ac:dyDescent="0.35">
      <c r="B19" s="214" t="s">
        <v>445</v>
      </c>
    </row>
    <row r="20" spans="2:18" x14ac:dyDescent="0.25">
      <c r="B20" s="210" t="s">
        <v>466</v>
      </c>
      <c r="C20">
        <v>2010</v>
      </c>
      <c r="D20">
        <v>2011</v>
      </c>
      <c r="E20">
        <v>2012</v>
      </c>
      <c r="F20">
        <v>2013</v>
      </c>
      <c r="G20">
        <v>2014</v>
      </c>
      <c r="H20">
        <v>2015</v>
      </c>
      <c r="I20">
        <v>2016</v>
      </c>
      <c r="J20">
        <v>2017</v>
      </c>
      <c r="K20">
        <v>2018</v>
      </c>
      <c r="L20">
        <v>2019</v>
      </c>
      <c r="M20">
        <v>2020</v>
      </c>
      <c r="N20">
        <v>2021</v>
      </c>
      <c r="O20">
        <v>2022</v>
      </c>
      <c r="P20">
        <v>2023</v>
      </c>
      <c r="Q20">
        <v>2024</v>
      </c>
      <c r="R20">
        <v>2025</v>
      </c>
    </row>
    <row r="21" spans="2:18" x14ac:dyDescent="0.25">
      <c r="B21" t="s">
        <v>137</v>
      </c>
      <c r="C21">
        <f>IFERROR(GETPIVOTDATA("Somme de Conso_mois_kWhDEET",Calculs_Consos!$AD$10,"ANNEE",C$20,"Type","Consommation","Detail usage",$B21),0)</f>
        <v>0</v>
      </c>
      <c r="D21">
        <f>IFERROR(GETPIVOTDATA("Somme de Conso_mois_kWhDEET",Calculs_Consos!$AD$10,"ANNEE",D$20,"Type","Consommation","Detail usage",$B21),0)</f>
        <v>0</v>
      </c>
      <c r="E21">
        <f>IFERROR(GETPIVOTDATA("Somme de Conso_mois_kWhDEET",Calculs_Consos!$AD$10,"ANNEE",E$20,"Type","Consommation","Detail usage",$B21),0)</f>
        <v>0</v>
      </c>
      <c r="F21">
        <f>IFERROR(GETPIVOTDATA("Somme de Conso_mois_kWhDEET",Calculs_Consos!$AD$10,"ANNEE",F$20,"Type","Consommation","Detail usage",$B21),0)</f>
        <v>0</v>
      </c>
      <c r="G21">
        <f>IFERROR(GETPIVOTDATA("Somme de Conso_mois_kWhDEET",Calculs_Consos!$AD$10,"ANNEE",G$20,"Type","Consommation","Detail usage",$B21),0)</f>
        <v>0</v>
      </c>
      <c r="H21">
        <f>IFERROR(GETPIVOTDATA("Somme de Conso_mois_kWhDEET",Calculs_Consos!$AD$10,"ANNEE",H$20,"Type","Consommation","Detail usage",$B21),0)</f>
        <v>0</v>
      </c>
      <c r="I21">
        <f>IFERROR(GETPIVOTDATA("Somme de Conso_mois_kWhDEET",Calculs_Consos!$AD$10,"ANNEE",I$20,"Type","Consommation","Detail usage",$B21),0)</f>
        <v>0</v>
      </c>
      <c r="J21">
        <f>IFERROR(GETPIVOTDATA("Somme de Conso_mois_kWhDEET",Calculs_Consos!$AD$10,"ANNEE",J$20,"Type","Consommation","Detail usage",$B21),0)</f>
        <v>0</v>
      </c>
      <c r="K21">
        <f>IFERROR(GETPIVOTDATA("Somme de Conso_mois_kWhDEET",Calculs_Consos!$AD$10,"ANNEE",K$20,"Type","Consommation","Detail usage",$B21),0)</f>
        <v>0</v>
      </c>
      <c r="L21">
        <f>IFERROR(GETPIVOTDATA("Somme de Conso_mois_kWhDEET",Calculs_Consos!$AD$10,"ANNEE",L$20,"Type","Consommation","Detail usage",$B21),0)</f>
        <v>0</v>
      </c>
      <c r="M21">
        <f>IFERROR(GETPIVOTDATA("Somme de Conso_mois_kWhDEET",Calculs_Consos!$AD$10,"ANNEE",M$20,"Type","Consommation","Detail usage",$B21),0)</f>
        <v>0</v>
      </c>
      <c r="N21">
        <f>IFERROR(GETPIVOTDATA("Somme de Conso_mois_kWhDEET",Calculs_Consos!$AD$10,"ANNEE",N$20,"Type","Consommation","Detail usage",$B21),0)</f>
        <v>0</v>
      </c>
      <c r="O21">
        <f>IFERROR(GETPIVOTDATA("Somme de Conso_mois_kWhDEET",Calculs_Consos!$AD$10,"ANNEE",O$20,"Type","Consommation","Detail usage",$B21),0)</f>
        <v>0</v>
      </c>
      <c r="P21">
        <f>IFERROR(GETPIVOTDATA("Somme de Conso_mois_kWhDEET",Calculs_Consos!$AD$10,"ANNEE",P$20,"Type","Consommation","Detail usage",$B21),0)</f>
        <v>0</v>
      </c>
      <c r="Q21">
        <f>IFERROR(GETPIVOTDATA("Somme de Conso_mois_kWhDEET",Calculs_Consos!$AD$10,"ANNEE",Q$20,"Type","Consommation","Detail usage",$B21),0)</f>
        <v>0</v>
      </c>
      <c r="R21">
        <f>IFERROR(GETPIVOTDATA("Somme de Conso_mois_kWhDEET",Calculs_Consos!$AD$10,"ANNEE",R$20,"Type","Consommation","Detail usage",$B21),0)</f>
        <v>0</v>
      </c>
    </row>
    <row r="22" spans="2:18" x14ac:dyDescent="0.25">
      <c r="B22" t="s">
        <v>320</v>
      </c>
      <c r="C22">
        <f>IFERROR(GETPIVOTDATA("Somme de Conso_mois_kWhDEET",Calculs_Consos!$AD$10,"ANNEE",C$20,"Type","Consommation","Detail usage",$B22),0)</f>
        <v>0</v>
      </c>
      <c r="D22">
        <f>IFERROR(GETPIVOTDATA("Somme de Conso_mois_kWhDEET",Calculs_Consos!$AD$10,"ANNEE",D$20,"Type","Consommation","Detail usage",$B22),0)</f>
        <v>0</v>
      </c>
      <c r="E22">
        <f>IFERROR(GETPIVOTDATA("Somme de Conso_mois_kWhDEET",Calculs_Consos!$AD$10,"ANNEE",E$20,"Type","Consommation","Detail usage",$B22),0)</f>
        <v>0</v>
      </c>
      <c r="F22">
        <f>IFERROR(GETPIVOTDATA("Somme de Conso_mois_kWhDEET",Calculs_Consos!$AD$10,"ANNEE",F$20,"Type","Consommation","Detail usage",$B22),0)</f>
        <v>0</v>
      </c>
      <c r="G22">
        <f>IFERROR(GETPIVOTDATA("Somme de Conso_mois_kWhDEET",Calculs_Consos!$AD$10,"ANNEE",G$20,"Type","Consommation","Detail usage",$B22),0)</f>
        <v>0</v>
      </c>
      <c r="H22">
        <f>IFERROR(GETPIVOTDATA("Somme de Conso_mois_kWhDEET",Calculs_Consos!$AD$10,"ANNEE",H$20,"Type","Consommation","Detail usage",$B22),0)</f>
        <v>0</v>
      </c>
      <c r="I22">
        <f>IFERROR(GETPIVOTDATA("Somme de Conso_mois_kWhDEET",Calculs_Consos!$AD$10,"ANNEE",I$20,"Type","Consommation","Detail usage",$B22),0)</f>
        <v>0</v>
      </c>
      <c r="J22">
        <f>IFERROR(GETPIVOTDATA("Somme de Conso_mois_kWhDEET",Calculs_Consos!$AD$10,"ANNEE",J$20,"Type","Consommation","Detail usage",$B22),0)</f>
        <v>0</v>
      </c>
      <c r="K22">
        <f>IFERROR(GETPIVOTDATA("Somme de Conso_mois_kWhDEET",Calculs_Consos!$AD$10,"ANNEE",K$20,"Type","Consommation","Detail usage",$B22),0)</f>
        <v>0</v>
      </c>
      <c r="L22">
        <f>IFERROR(GETPIVOTDATA("Somme de Conso_mois_kWhDEET",Calculs_Consos!$AD$10,"ANNEE",L$20,"Type","Consommation","Detail usage",$B22),0)</f>
        <v>0</v>
      </c>
      <c r="M22">
        <f>IFERROR(GETPIVOTDATA("Somme de Conso_mois_kWhDEET",Calculs_Consos!$AD$10,"ANNEE",M$20,"Type","Consommation","Detail usage",$B22),0)</f>
        <v>0</v>
      </c>
      <c r="N22">
        <f>IFERROR(GETPIVOTDATA("Somme de Conso_mois_kWhDEET",Calculs_Consos!$AD$10,"ANNEE",N$20,"Type","Consommation","Detail usage",$B22),0)</f>
        <v>0</v>
      </c>
      <c r="O22">
        <f>IFERROR(GETPIVOTDATA("Somme de Conso_mois_kWhDEET",Calculs_Consos!$AD$10,"ANNEE",O$20,"Type","Consommation","Detail usage",$B22),0)</f>
        <v>0</v>
      </c>
      <c r="P22">
        <f>IFERROR(GETPIVOTDATA("Somme de Conso_mois_kWhDEET",Calculs_Consos!$AD$10,"ANNEE",P$20,"Type","Consommation","Detail usage",$B22),0)</f>
        <v>0</v>
      </c>
      <c r="Q22">
        <f>IFERROR(GETPIVOTDATA("Somme de Conso_mois_kWhDEET",Calculs_Consos!$AD$10,"ANNEE",Q$20,"Type","Consommation","Detail usage",$B22),0)</f>
        <v>0</v>
      </c>
      <c r="R22">
        <f>IFERROR(GETPIVOTDATA("Somme de Conso_mois_kWhDEET",Calculs_Consos!$AD$10,"ANNEE",R$20,"Type","Consommation","Detail usage",$B22),0)</f>
        <v>0</v>
      </c>
    </row>
    <row r="23" spans="2:18" x14ac:dyDescent="0.25">
      <c r="B23" t="s">
        <v>446</v>
      </c>
      <c r="C23">
        <f>SUM(C21:C22)</f>
        <v>0</v>
      </c>
      <c r="D23">
        <f t="shared" ref="D23:I23" si="0">SUM(D21:D22)</f>
        <v>0</v>
      </c>
      <c r="E23">
        <f t="shared" si="0"/>
        <v>0</v>
      </c>
      <c r="F23">
        <f t="shared" si="0"/>
        <v>0</v>
      </c>
      <c r="G23">
        <f t="shared" si="0"/>
        <v>0</v>
      </c>
      <c r="H23">
        <f t="shared" si="0"/>
        <v>0</v>
      </c>
      <c r="I23">
        <f t="shared" si="0"/>
        <v>0</v>
      </c>
      <c r="J23">
        <f t="shared" ref="J23" si="1">SUM(J21:J22)</f>
        <v>0</v>
      </c>
      <c r="K23">
        <f t="shared" ref="K23" si="2">SUM(K21:K22)</f>
        <v>0</v>
      </c>
      <c r="L23">
        <f t="shared" ref="L23" si="3">SUM(L21:L22)</f>
        <v>0</v>
      </c>
      <c r="M23">
        <f t="shared" ref="M23" si="4">SUM(M21:M22)</f>
        <v>0</v>
      </c>
      <c r="N23">
        <f t="shared" ref="N23" si="5">SUM(N21:N22)</f>
        <v>0</v>
      </c>
      <c r="O23">
        <f t="shared" ref="O23" si="6">SUM(O21:O22)</f>
        <v>0</v>
      </c>
      <c r="P23">
        <f t="shared" ref="P23" si="7">SUM(P21:P22)</f>
        <v>0</v>
      </c>
      <c r="Q23">
        <f t="shared" ref="Q23" si="8">SUM(Q21:Q22)</f>
        <v>0</v>
      </c>
      <c r="R23">
        <f t="shared" ref="R23" si="9">SUM(R21:R22)</f>
        <v>0</v>
      </c>
    </row>
    <row r="26" spans="2:18" x14ac:dyDescent="0.25">
      <c r="B26" s="36" t="s">
        <v>444</v>
      </c>
    </row>
    <row r="27" spans="2:18" x14ac:dyDescent="0.25">
      <c r="C27">
        <v>2010</v>
      </c>
      <c r="D27">
        <v>2011</v>
      </c>
      <c r="E27">
        <v>2012</v>
      </c>
      <c r="F27">
        <v>2013</v>
      </c>
      <c r="G27">
        <v>2014</v>
      </c>
      <c r="H27">
        <v>2015</v>
      </c>
      <c r="I27">
        <v>2016</v>
      </c>
      <c r="J27">
        <v>2017</v>
      </c>
      <c r="K27">
        <v>2018</v>
      </c>
      <c r="L27">
        <v>2019</v>
      </c>
      <c r="M27">
        <v>2020</v>
      </c>
      <c r="N27">
        <v>2021</v>
      </c>
      <c r="O27">
        <v>2022</v>
      </c>
      <c r="P27">
        <v>2023</v>
      </c>
      <c r="Q27">
        <v>2024</v>
      </c>
      <c r="R27">
        <v>2025</v>
      </c>
    </row>
    <row r="28" spans="2:18" x14ac:dyDescent="0.25">
      <c r="B28" t="s">
        <v>137</v>
      </c>
      <c r="C28">
        <f>IFERROR(GETPIVOTDATA("Moyenne de Conso_mois_kWhDEET",$B$3,"ANNEE",C$27,"Detail usage",$B28),0)*12</f>
        <v>0</v>
      </c>
      <c r="D28">
        <f t="shared" ref="D28:R29" si="10">IFERROR(GETPIVOTDATA("Moyenne de Conso_mois_kWhDEET",$B$3,"ANNEE",D$27,"Detail usage",$B28),0)*12</f>
        <v>0</v>
      </c>
      <c r="E28">
        <f t="shared" si="10"/>
        <v>0</v>
      </c>
      <c r="F28">
        <f t="shared" si="10"/>
        <v>0</v>
      </c>
      <c r="G28">
        <f t="shared" si="10"/>
        <v>0</v>
      </c>
      <c r="H28">
        <f t="shared" si="10"/>
        <v>0</v>
      </c>
      <c r="I28">
        <f t="shared" si="10"/>
        <v>0</v>
      </c>
      <c r="J28">
        <f t="shared" si="10"/>
        <v>0</v>
      </c>
      <c r="K28">
        <f t="shared" si="10"/>
        <v>0</v>
      </c>
      <c r="L28">
        <f t="shared" si="10"/>
        <v>0</v>
      </c>
      <c r="M28">
        <f t="shared" si="10"/>
        <v>0</v>
      </c>
      <c r="N28">
        <f t="shared" si="10"/>
        <v>0</v>
      </c>
      <c r="O28">
        <f t="shared" si="10"/>
        <v>0</v>
      </c>
      <c r="P28">
        <f t="shared" si="10"/>
        <v>0</v>
      </c>
      <c r="Q28">
        <f t="shared" si="10"/>
        <v>0</v>
      </c>
      <c r="R28">
        <f t="shared" si="10"/>
        <v>0</v>
      </c>
    </row>
    <row r="29" spans="2:18" x14ac:dyDescent="0.25">
      <c r="B29" t="s">
        <v>320</v>
      </c>
      <c r="C29">
        <f>IFERROR(GETPIVOTDATA("Moyenne de Conso_mois_kWhDEET",$B$3,"ANNEE",C$27,"Detail usage",$B29),0)*12</f>
        <v>0</v>
      </c>
      <c r="D29">
        <f t="shared" si="10"/>
        <v>0</v>
      </c>
      <c r="E29">
        <f t="shared" si="10"/>
        <v>0</v>
      </c>
      <c r="F29">
        <f t="shared" si="10"/>
        <v>0</v>
      </c>
      <c r="G29">
        <f t="shared" si="10"/>
        <v>0</v>
      </c>
      <c r="H29">
        <f t="shared" si="10"/>
        <v>0</v>
      </c>
      <c r="I29">
        <f t="shared" si="10"/>
        <v>0</v>
      </c>
      <c r="J29">
        <f t="shared" si="10"/>
        <v>0</v>
      </c>
      <c r="K29">
        <f t="shared" si="10"/>
        <v>0</v>
      </c>
      <c r="L29">
        <f t="shared" si="10"/>
        <v>0</v>
      </c>
      <c r="M29">
        <f t="shared" si="10"/>
        <v>0</v>
      </c>
      <c r="N29">
        <f t="shared" si="10"/>
        <v>0</v>
      </c>
      <c r="O29">
        <f t="shared" si="10"/>
        <v>0</v>
      </c>
      <c r="P29">
        <f t="shared" si="10"/>
        <v>0</v>
      </c>
      <c r="Q29">
        <f t="shared" si="10"/>
        <v>0</v>
      </c>
      <c r="R29">
        <f t="shared" si="10"/>
        <v>0</v>
      </c>
    </row>
    <row r="30" spans="2:18" x14ac:dyDescent="0.25">
      <c r="B30" t="s">
        <v>446</v>
      </c>
      <c r="C30">
        <f>IF($C$49="Oui",IF($C$50="Oui",(100-$C$51)*C23/100,SUM(C28:C29)),0)</f>
        <v>0</v>
      </c>
      <c r="D30">
        <f t="shared" ref="D30:R30" si="11">IF($C$49="Oui",IF($C$50="Oui",(100-$C$51)*D23/100,SUM(D28:D29)),0)</f>
        <v>0</v>
      </c>
      <c r="E30">
        <f t="shared" si="11"/>
        <v>0</v>
      </c>
      <c r="F30">
        <f t="shared" si="11"/>
        <v>0</v>
      </c>
      <c r="G30">
        <f t="shared" si="11"/>
        <v>0</v>
      </c>
      <c r="H30">
        <f t="shared" si="11"/>
        <v>0</v>
      </c>
      <c r="I30">
        <f t="shared" si="11"/>
        <v>0</v>
      </c>
      <c r="J30">
        <f t="shared" si="11"/>
        <v>0</v>
      </c>
      <c r="K30">
        <f t="shared" si="11"/>
        <v>0</v>
      </c>
      <c r="L30">
        <f t="shared" si="11"/>
        <v>0</v>
      </c>
      <c r="M30">
        <f t="shared" si="11"/>
        <v>0</v>
      </c>
      <c r="N30">
        <f t="shared" si="11"/>
        <v>0</v>
      </c>
      <c r="O30">
        <f t="shared" si="11"/>
        <v>0</v>
      </c>
      <c r="P30">
        <f t="shared" si="11"/>
        <v>0</v>
      </c>
      <c r="Q30">
        <f t="shared" si="11"/>
        <v>0</v>
      </c>
      <c r="R30">
        <f t="shared" si="11"/>
        <v>0</v>
      </c>
    </row>
    <row r="32" spans="2:18" ht="21" x14ac:dyDescent="0.35">
      <c r="B32" s="214" t="s">
        <v>467</v>
      </c>
    </row>
    <row r="33" spans="1:18" x14ac:dyDescent="0.25">
      <c r="B33" s="210" t="s">
        <v>466</v>
      </c>
      <c r="C33">
        <v>2010</v>
      </c>
      <c r="D33">
        <v>2011</v>
      </c>
      <c r="E33">
        <v>2012</v>
      </c>
      <c r="F33">
        <v>2013</v>
      </c>
      <c r="G33">
        <v>2014</v>
      </c>
      <c r="H33">
        <v>2015</v>
      </c>
      <c r="I33">
        <v>2016</v>
      </c>
      <c r="J33">
        <v>2017</v>
      </c>
      <c r="K33">
        <v>2018</v>
      </c>
      <c r="L33">
        <v>2019</v>
      </c>
      <c r="M33">
        <v>2020</v>
      </c>
      <c r="N33">
        <v>2021</v>
      </c>
      <c r="O33">
        <v>2022</v>
      </c>
      <c r="P33">
        <v>2023</v>
      </c>
      <c r="Q33">
        <v>2024</v>
      </c>
      <c r="R33">
        <v>2025</v>
      </c>
    </row>
    <row r="34" spans="1:18" x14ac:dyDescent="0.25">
      <c r="B34" t="s">
        <v>137</v>
      </c>
      <c r="C34">
        <f>IFERROR(GETPIVOTDATA("Somme de Conso_mois_kWh",Calculs_Consos!$AD$10,"ANNEE",C$33,"Type","Consommation","Detail usage",$B34),0)</f>
        <v>0</v>
      </c>
      <c r="D34">
        <f>IFERROR(GETPIVOTDATA("Somme de Conso_mois_kWh",Calculs_Consos!$AD$10,"ANNEE",D$33,"Type","Consommation","Detail usage",$B34),0)</f>
        <v>0</v>
      </c>
      <c r="E34">
        <f>IFERROR(GETPIVOTDATA("Somme de Conso_mois_kWh",Calculs_Consos!$AD$10,"ANNEE",E$33,"Type","Consommation","Detail usage",$B34),0)</f>
        <v>0</v>
      </c>
      <c r="F34">
        <f>IFERROR(GETPIVOTDATA("Somme de Conso_mois_kWh",Calculs_Consos!$AD$10,"ANNEE",F$33,"Type","Consommation","Detail usage",$B34),0)</f>
        <v>0</v>
      </c>
      <c r="G34">
        <f>IFERROR(GETPIVOTDATA("Somme de Conso_mois_kWh",Calculs_Consos!$AD$10,"ANNEE",G$33,"Type","Consommation","Detail usage",$B34),0)</f>
        <v>0</v>
      </c>
      <c r="H34">
        <f>IFERROR(GETPIVOTDATA("Somme de Conso_mois_kWh",Calculs_Consos!$AD$10,"ANNEE",H$33,"Type","Consommation","Detail usage",$B34),0)</f>
        <v>0</v>
      </c>
      <c r="I34">
        <f>IFERROR(GETPIVOTDATA("Somme de Conso_mois_kWh",Calculs_Consos!$AD$10,"ANNEE",I$33,"Type","Consommation","Detail usage",$B34),0)</f>
        <v>0</v>
      </c>
      <c r="J34">
        <f>IFERROR(GETPIVOTDATA("Somme de Conso_mois_kWh",Calculs_Consos!$AD$10,"ANNEE",J$33,"Type","Consommation","Detail usage",$B34),0)</f>
        <v>0</v>
      </c>
      <c r="K34">
        <f>IFERROR(GETPIVOTDATA("Somme de Conso_mois_kWh",Calculs_Consos!$AD$10,"ANNEE",K$33,"Type","Consommation","Detail usage",$B34),0)</f>
        <v>0</v>
      </c>
      <c r="L34">
        <f>IFERROR(GETPIVOTDATA("Somme de Conso_mois_kWh",Calculs_Consos!$AD$10,"ANNEE",L$33,"Type","Consommation","Detail usage",$B34),0)</f>
        <v>0</v>
      </c>
      <c r="M34">
        <f>IFERROR(GETPIVOTDATA("Somme de Conso_mois_kWh",Calculs_Consos!$AD$10,"ANNEE",M$33,"Type","Consommation","Detail usage",$B34),0)</f>
        <v>0</v>
      </c>
      <c r="N34">
        <f>IFERROR(GETPIVOTDATA("Somme de Conso_mois_kWh",Calculs_Consos!$AD$10,"ANNEE",N$33,"Type","Consommation","Detail usage",$B34),0)</f>
        <v>0</v>
      </c>
      <c r="O34">
        <f>IFERROR(GETPIVOTDATA("Somme de Conso_mois_kWh",Calculs_Consos!$AD$10,"ANNEE",O$33,"Type","Consommation","Detail usage",$B34),0)</f>
        <v>0</v>
      </c>
      <c r="P34">
        <f>IFERROR(GETPIVOTDATA("Somme de Conso_mois_kWh",Calculs_Consos!$AD$10,"ANNEE",P$33,"Type","Consommation","Detail usage",$B34),0)</f>
        <v>0</v>
      </c>
      <c r="Q34">
        <f>IFERROR(GETPIVOTDATA("Somme de Conso_mois_kWh",Calculs_Consos!$AD$10,"ANNEE",Q$33,"Type","Consommation","Detail usage",$B34),0)</f>
        <v>0</v>
      </c>
      <c r="R34">
        <f>IFERROR(GETPIVOTDATA("Somme de Conso_mois_kWh",Calculs_Consos!$AD$10,"ANNEE",R$33,"Type","Consommation","Detail usage",$B34),0)</f>
        <v>0</v>
      </c>
    </row>
    <row r="35" spans="1:18" x14ac:dyDescent="0.25">
      <c r="B35" t="s">
        <v>320</v>
      </c>
      <c r="C35">
        <f>IFERROR(GETPIVOTDATA("Somme de Conso_mois_kWh",Calculs_Consos!$AD$10,"ANNEE",C$33,"Type","Consommation","Detail usage",$B35),0)</f>
        <v>0</v>
      </c>
      <c r="D35">
        <f>IFERROR(GETPIVOTDATA("Somme de Conso_mois_kWh",Calculs_Consos!$AD$10,"ANNEE",D$33,"Type","Consommation","Detail usage",$B35),0)</f>
        <v>0</v>
      </c>
      <c r="E35">
        <f>IFERROR(GETPIVOTDATA("Somme de Conso_mois_kWh",Calculs_Consos!$AD$10,"ANNEE",E$33,"Type","Consommation","Detail usage",$B35),0)</f>
        <v>0</v>
      </c>
      <c r="F35">
        <f>IFERROR(GETPIVOTDATA("Somme de Conso_mois_kWh",Calculs_Consos!$AD$10,"ANNEE",F$33,"Type","Consommation","Detail usage",$B35),0)</f>
        <v>0</v>
      </c>
      <c r="G35">
        <f>IFERROR(GETPIVOTDATA("Somme de Conso_mois_kWh",Calculs_Consos!$AD$10,"ANNEE",G$33,"Type","Consommation","Detail usage",$B35),0)</f>
        <v>0</v>
      </c>
      <c r="H35">
        <f>IFERROR(GETPIVOTDATA("Somme de Conso_mois_kWh",Calculs_Consos!$AD$10,"ANNEE",H$33,"Type","Consommation","Detail usage",$B35),0)</f>
        <v>0</v>
      </c>
      <c r="I35">
        <f>IFERROR(GETPIVOTDATA("Somme de Conso_mois_kWh",Calculs_Consos!$AD$10,"ANNEE",I$33,"Type","Consommation","Detail usage",$B35),0)</f>
        <v>0</v>
      </c>
      <c r="J35">
        <f>IFERROR(GETPIVOTDATA("Somme de Conso_mois_kWh",Calculs_Consos!$AD$10,"ANNEE",J$33,"Type","Consommation","Detail usage",$B35),0)</f>
        <v>0</v>
      </c>
      <c r="K35">
        <f>IFERROR(GETPIVOTDATA("Somme de Conso_mois_kWh",Calculs_Consos!$AD$10,"ANNEE",K$33,"Type","Consommation","Detail usage",$B35),0)</f>
        <v>0</v>
      </c>
      <c r="L35">
        <f>IFERROR(GETPIVOTDATA("Somme de Conso_mois_kWh",Calculs_Consos!$AD$10,"ANNEE",L$33,"Type","Consommation","Detail usage",$B35),0)</f>
        <v>0</v>
      </c>
      <c r="M35">
        <f>IFERROR(GETPIVOTDATA("Somme de Conso_mois_kWh",Calculs_Consos!$AD$10,"ANNEE",M$33,"Type","Consommation","Detail usage",$B35),0)</f>
        <v>0</v>
      </c>
      <c r="N35">
        <f>IFERROR(GETPIVOTDATA("Somme de Conso_mois_kWh",Calculs_Consos!$AD$10,"ANNEE",N$33,"Type","Consommation","Detail usage",$B35),0)</f>
        <v>0</v>
      </c>
      <c r="O35">
        <f>IFERROR(GETPIVOTDATA("Somme de Conso_mois_kWh",Calculs_Consos!$AD$10,"ANNEE",O$33,"Type","Consommation","Detail usage",$B35),0)</f>
        <v>0</v>
      </c>
      <c r="P35">
        <f>IFERROR(GETPIVOTDATA("Somme de Conso_mois_kWh",Calculs_Consos!$AD$10,"ANNEE",P$33,"Type","Consommation","Detail usage",$B35),0)</f>
        <v>0</v>
      </c>
      <c r="Q35">
        <f>IFERROR(GETPIVOTDATA("Somme de Conso_mois_kWh",Calculs_Consos!$AD$10,"ANNEE",Q$33,"Type","Consommation","Detail usage",$B35),0)</f>
        <v>0</v>
      </c>
      <c r="R35">
        <f>IFERROR(GETPIVOTDATA("Somme de Conso_mois_kWh",Calculs_Consos!$AD$10,"ANNEE",R$33,"Type","Consommation","Detail usage",$B35),0)</f>
        <v>0</v>
      </c>
    </row>
    <row r="36" spans="1:18" x14ac:dyDescent="0.25">
      <c r="B36" t="s">
        <v>446</v>
      </c>
      <c r="C36">
        <f>SUM(C34:C35)</f>
        <v>0</v>
      </c>
      <c r="D36">
        <f t="shared" ref="D36:R36" si="12">SUM(D34:D35)</f>
        <v>0</v>
      </c>
      <c r="E36">
        <f t="shared" si="12"/>
        <v>0</v>
      </c>
      <c r="F36">
        <f t="shared" si="12"/>
        <v>0</v>
      </c>
      <c r="G36">
        <f t="shared" si="12"/>
        <v>0</v>
      </c>
      <c r="H36">
        <f t="shared" si="12"/>
        <v>0</v>
      </c>
      <c r="I36">
        <f t="shared" si="12"/>
        <v>0</v>
      </c>
      <c r="J36">
        <f t="shared" si="12"/>
        <v>0</v>
      </c>
      <c r="K36">
        <f t="shared" si="12"/>
        <v>0</v>
      </c>
      <c r="L36">
        <f t="shared" si="12"/>
        <v>0</v>
      </c>
      <c r="M36">
        <f t="shared" si="12"/>
        <v>0</v>
      </c>
      <c r="N36">
        <f t="shared" si="12"/>
        <v>0</v>
      </c>
      <c r="O36">
        <f t="shared" si="12"/>
        <v>0</v>
      </c>
      <c r="P36">
        <f t="shared" si="12"/>
        <v>0</v>
      </c>
      <c r="Q36">
        <f t="shared" si="12"/>
        <v>0</v>
      </c>
      <c r="R36">
        <f t="shared" si="12"/>
        <v>0</v>
      </c>
    </row>
    <row r="37" spans="1:18" ht="21" x14ac:dyDescent="0.35">
      <c r="B37" s="214"/>
    </row>
    <row r="38" spans="1:18" ht="21" x14ac:dyDescent="0.35">
      <c r="B38" s="214"/>
    </row>
    <row r="40" spans="1:18" x14ac:dyDescent="0.25">
      <c r="C40">
        <v>2010</v>
      </c>
      <c r="D40">
        <v>2011</v>
      </c>
      <c r="E40">
        <v>2012</v>
      </c>
      <c r="F40">
        <v>2013</v>
      </c>
      <c r="G40">
        <v>2014</v>
      </c>
      <c r="H40">
        <v>2015</v>
      </c>
      <c r="I40">
        <v>2016</v>
      </c>
      <c r="J40">
        <v>2017</v>
      </c>
      <c r="K40">
        <v>2018</v>
      </c>
      <c r="L40">
        <v>2019</v>
      </c>
      <c r="M40">
        <v>2020</v>
      </c>
      <c r="N40">
        <v>2021</v>
      </c>
      <c r="O40">
        <v>2022</v>
      </c>
      <c r="P40">
        <v>2023</v>
      </c>
      <c r="Q40">
        <v>2024</v>
      </c>
      <c r="R40">
        <v>2025</v>
      </c>
    </row>
    <row r="41" spans="1:18" x14ac:dyDescent="0.25">
      <c r="B41" s="36" t="s">
        <v>137</v>
      </c>
      <c r="C41">
        <f>IFERROR(GETPIVOTDATA("Moyenne de Conso_mois_kWh",$B$3,"ANNEE",C$27,"Detail usage",$B41),0)*12</f>
        <v>0</v>
      </c>
      <c r="D41">
        <f t="shared" ref="D41:R42" si="13">IFERROR(GETPIVOTDATA("Moyenne de Conso_mois_kWh",$B$3,"ANNEE",D$27,"Detail usage",$B41),0)*12</f>
        <v>0</v>
      </c>
      <c r="E41">
        <f t="shared" si="13"/>
        <v>0</v>
      </c>
      <c r="F41">
        <f t="shared" si="13"/>
        <v>0</v>
      </c>
      <c r="G41">
        <f t="shared" si="13"/>
        <v>0</v>
      </c>
      <c r="H41">
        <f t="shared" si="13"/>
        <v>0</v>
      </c>
      <c r="I41">
        <f t="shared" si="13"/>
        <v>0</v>
      </c>
      <c r="J41">
        <f t="shared" si="13"/>
        <v>0</v>
      </c>
      <c r="K41">
        <f t="shared" si="13"/>
        <v>0</v>
      </c>
      <c r="L41">
        <f t="shared" si="13"/>
        <v>0</v>
      </c>
      <c r="M41">
        <f t="shared" si="13"/>
        <v>0</v>
      </c>
      <c r="N41">
        <f t="shared" si="13"/>
        <v>0</v>
      </c>
      <c r="O41">
        <f t="shared" si="13"/>
        <v>0</v>
      </c>
      <c r="P41">
        <f t="shared" si="13"/>
        <v>0</v>
      </c>
      <c r="Q41">
        <f t="shared" si="13"/>
        <v>0</v>
      </c>
      <c r="R41">
        <f t="shared" si="13"/>
        <v>0</v>
      </c>
    </row>
    <row r="42" spans="1:18" x14ac:dyDescent="0.25">
      <c r="B42" t="s">
        <v>320</v>
      </c>
      <c r="C42">
        <f>IFERROR(GETPIVOTDATA("Moyenne de Conso_mois_kWh",$B$3,"ANNEE",C$27,"Detail usage",$B42),0)*12</f>
        <v>0</v>
      </c>
      <c r="D42">
        <f t="shared" si="13"/>
        <v>0</v>
      </c>
      <c r="E42">
        <f t="shared" si="13"/>
        <v>0</v>
      </c>
      <c r="F42">
        <f t="shared" si="13"/>
        <v>0</v>
      </c>
      <c r="G42">
        <f t="shared" si="13"/>
        <v>0</v>
      </c>
      <c r="H42">
        <f t="shared" si="13"/>
        <v>0</v>
      </c>
      <c r="I42">
        <f t="shared" si="13"/>
        <v>0</v>
      </c>
      <c r="J42">
        <f t="shared" si="13"/>
        <v>0</v>
      </c>
      <c r="K42">
        <f t="shared" si="13"/>
        <v>0</v>
      </c>
      <c r="L42">
        <f t="shared" si="13"/>
        <v>0</v>
      </c>
      <c r="M42">
        <f t="shared" si="13"/>
        <v>0</v>
      </c>
      <c r="N42">
        <f t="shared" si="13"/>
        <v>0</v>
      </c>
      <c r="O42">
        <f t="shared" si="13"/>
        <v>0</v>
      </c>
      <c r="P42">
        <f t="shared" si="13"/>
        <v>0</v>
      </c>
      <c r="Q42">
        <f t="shared" si="13"/>
        <v>0</v>
      </c>
      <c r="R42">
        <f t="shared" si="13"/>
        <v>0</v>
      </c>
    </row>
    <row r="43" spans="1:18" x14ac:dyDescent="0.25">
      <c r="B43" t="s">
        <v>448</v>
      </c>
      <c r="C43">
        <f>IFERROR(GETPIVOTDATA("Somme de Conso_mois_U ",Calculs_Consos!$AD$10,"ANNEE",C$40,"Type","Consommation","Detail usage",$B43),0)</f>
        <v>0</v>
      </c>
      <c r="D43">
        <f>IFERROR(GETPIVOTDATA("Somme de Conso_mois_U ",Calculs_Consos!$AD$10,"ANNEE",D$40,"Type","Consommation","Detail usage",$B43),0)</f>
        <v>0</v>
      </c>
      <c r="E43">
        <f>IFERROR(GETPIVOTDATA("Somme de Conso_mois_U ",Calculs_Consos!$AD$10,"ANNEE",E$40,"Type","Consommation","Detail usage",$B43),0)</f>
        <v>0</v>
      </c>
      <c r="F43">
        <f>IFERROR(GETPIVOTDATA("Somme de Conso_mois_U ",Calculs_Consos!$AD$10,"ANNEE",F$40,"Type","Consommation","Detail usage",$B43),0)</f>
        <v>0</v>
      </c>
      <c r="G43">
        <f>IFERROR(GETPIVOTDATA("Somme de Conso_mois_U ",Calculs_Consos!$AD$10,"ANNEE",G$40,"Type","Consommation","Detail usage",$B43),0)</f>
        <v>0</v>
      </c>
      <c r="H43">
        <f>IFERROR(GETPIVOTDATA("Somme de Conso_mois_U ",Calculs_Consos!$AD$10,"ANNEE",H$40,"Type","Consommation","Detail usage",$B43),0)</f>
        <v>0</v>
      </c>
      <c r="I43">
        <f>IFERROR(GETPIVOTDATA("Somme de Conso_mois_U ",Calculs_Consos!$AD$10,"ANNEE",I$40,"Type","Consommation","Detail usage",$B43),0)</f>
        <v>0</v>
      </c>
      <c r="J43">
        <f>IFERROR(GETPIVOTDATA("Somme de Conso_mois_U ",Calculs_Consos!$AD$10,"ANNEE",J$40,"Type","Consommation","Detail usage",$B43),0)</f>
        <v>0</v>
      </c>
      <c r="K43">
        <f>IFERROR(GETPIVOTDATA("Somme de Conso_mois_U ",Calculs_Consos!$AD$10,"ANNEE",K$40,"Type","Consommation","Detail usage",$B43),0)</f>
        <v>0</v>
      </c>
      <c r="L43">
        <f>IFERROR(GETPIVOTDATA("Somme de Conso_mois_U ",Calculs_Consos!$AD$10,"ANNEE",L$40,"Type","Consommation","Detail usage",$B43),0)</f>
        <v>0</v>
      </c>
      <c r="M43">
        <f>IFERROR(GETPIVOTDATA("Somme de Conso_mois_U ",Calculs_Consos!$AD$10,"ANNEE",M$40,"Type","Consommation","Detail usage",$B43),0)</f>
        <v>0</v>
      </c>
      <c r="N43">
        <f>IFERROR(GETPIVOTDATA("Somme de Conso_mois_U ",Calculs_Consos!$AD$10,"ANNEE",N$40,"Type","Consommation","Detail usage",$B43),0)</f>
        <v>0</v>
      </c>
      <c r="O43">
        <f>IFERROR(GETPIVOTDATA("Somme de Conso_mois_U ",Calculs_Consos!$AD$10,"ANNEE",O$40,"Type","Consommation","Detail usage",$B43),0)</f>
        <v>0</v>
      </c>
      <c r="P43">
        <f>IFERROR(GETPIVOTDATA("Somme de Conso_mois_U ",Calculs_Consos!$AD$10,"ANNEE",P$40,"Type","Consommation","Detail usage",$B43),0)</f>
        <v>0</v>
      </c>
      <c r="Q43">
        <f>IFERROR(GETPIVOTDATA("Somme de Conso_mois_U ",Calculs_Consos!$AD$10,"ANNEE",Q$40,"Type","Consommation","Detail usage",$B43),0)</f>
        <v>0</v>
      </c>
      <c r="R43">
        <f>IFERROR(GETPIVOTDATA("Somme de Conso_mois_U ",Calculs_Consos!$AD$10,"ANNEE",R$40,"Type","Consommation","Detail usage",$B43),0)</f>
        <v>0</v>
      </c>
    </row>
    <row r="44" spans="1:18" x14ac:dyDescent="0.25">
      <c r="A44" t="s">
        <v>210</v>
      </c>
      <c r="B44" t="str">
        <f>IF(C43&gt;0,"ECS seule", IF(C41&gt;0,"ECS seule estimée","ECS+Cuisson estimées"))</f>
        <v>ECS+Cuisson estimées</v>
      </c>
      <c r="C44">
        <f>IF($C$49="Oui",IF($C$50="Oui",(100-$C$51)*C36/100,SUM(C41:C43)),0)</f>
        <v>0</v>
      </c>
      <c r="D44" s="231">
        <f t="shared" ref="D44:R44" si="14">IF($C$49="Oui",IF($C$50="Oui",(100-$C$51)*D36/100,SUM(D41:D43)),0)</f>
        <v>0</v>
      </c>
      <c r="E44" s="231">
        <f t="shared" si="14"/>
        <v>0</v>
      </c>
      <c r="F44" s="231">
        <f t="shared" si="14"/>
        <v>0</v>
      </c>
      <c r="G44" s="231">
        <f t="shared" si="14"/>
        <v>0</v>
      </c>
      <c r="H44" s="231">
        <f t="shared" si="14"/>
        <v>0</v>
      </c>
      <c r="I44" s="231">
        <f t="shared" si="14"/>
        <v>0</v>
      </c>
      <c r="J44" s="231">
        <f t="shared" si="14"/>
        <v>0</v>
      </c>
      <c r="K44" s="231">
        <f t="shared" si="14"/>
        <v>0</v>
      </c>
      <c r="L44" s="231">
        <f t="shared" si="14"/>
        <v>0</v>
      </c>
      <c r="M44" s="231">
        <f t="shared" si="14"/>
        <v>0</v>
      </c>
      <c r="N44" s="231">
        <f t="shared" si="14"/>
        <v>0</v>
      </c>
      <c r="O44" s="231">
        <f t="shared" si="14"/>
        <v>0</v>
      </c>
      <c r="P44" s="231">
        <f t="shared" si="14"/>
        <v>0</v>
      </c>
      <c r="Q44" s="231">
        <f t="shared" si="14"/>
        <v>0</v>
      </c>
      <c r="R44" s="231">
        <f t="shared" si="14"/>
        <v>0</v>
      </c>
    </row>
    <row r="49" spans="2:3" x14ac:dyDescent="0.25">
      <c r="B49" t="s">
        <v>460</v>
      </c>
      <c r="C49" t="str">
        <f>Controle_des_données!$B$41</f>
        <v>Oui</v>
      </c>
    </row>
    <row r="50" spans="2:3" x14ac:dyDescent="0.25">
      <c r="B50" t="s">
        <v>463</v>
      </c>
      <c r="C50" t="str">
        <f>Controle_des_données!$B$42</f>
        <v>Non</v>
      </c>
    </row>
    <row r="51" spans="2:3" x14ac:dyDescent="0.25">
      <c r="B51" t="s">
        <v>464</v>
      </c>
      <c r="C51">
        <f>Controle_des_données!$B$43</f>
        <v>70</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workbookViewId="0">
      <selection activeCell="C3" sqref="C3:D158"/>
    </sheetView>
  </sheetViews>
  <sheetFormatPr baseColWidth="10" defaultColWidth="0" defaultRowHeight="15" zeroHeight="1" x14ac:dyDescent="0.25"/>
  <cols>
    <col min="1" max="1" width="26.5703125" customWidth="1"/>
    <col min="2" max="2" width="15" style="125" customWidth="1"/>
    <col min="3" max="3" width="11.28515625" style="185" customWidth="1"/>
    <col min="4" max="4" width="13.7109375" customWidth="1"/>
    <col min="5" max="5" width="11.5703125" hidden="1" customWidth="1"/>
    <col min="6" max="7" width="11.42578125" hidden="1" customWidth="1"/>
    <col min="8" max="12" width="11.42578125" customWidth="1"/>
    <col min="13" max="16384" width="11.42578125" hidden="1"/>
  </cols>
  <sheetData>
    <row r="1" spans="1:12" x14ac:dyDescent="0.25">
      <c r="A1" s="63" t="s">
        <v>119</v>
      </c>
      <c r="B1" s="143" t="s">
        <v>28</v>
      </c>
      <c r="C1" s="186" t="s">
        <v>455</v>
      </c>
      <c r="D1" s="65" t="s">
        <v>29</v>
      </c>
      <c r="E1" s="32" t="s">
        <v>0</v>
      </c>
      <c r="F1" s="33" t="s">
        <v>31</v>
      </c>
      <c r="G1" s="34" t="s">
        <v>32</v>
      </c>
      <c r="H1" s="42"/>
      <c r="I1" s="42"/>
      <c r="J1" s="42"/>
      <c r="K1" s="42"/>
      <c r="L1" s="42"/>
    </row>
    <row r="2" spans="1:12" hidden="1" x14ac:dyDescent="0.25">
      <c r="A2" s="3"/>
      <c r="B2" s="144">
        <f>A3-1</f>
        <v>0</v>
      </c>
      <c r="C2" s="187"/>
      <c r="D2" s="179"/>
      <c r="H2" s="42"/>
      <c r="I2" s="42"/>
      <c r="J2" s="42"/>
      <c r="K2" s="42"/>
      <c r="L2" s="42"/>
    </row>
    <row r="3" spans="1:12" x14ac:dyDescent="0.25">
      <c r="A3" s="3">
        <f>EDATE(B3,-Site!I33)+1</f>
        <v>1</v>
      </c>
      <c r="B3" s="144">
        <f>Site!H33</f>
        <v>0</v>
      </c>
      <c r="C3" s="243"/>
      <c r="D3" s="180"/>
      <c r="E3">
        <f>IFERROR(B3-A3+1,"")</f>
        <v>0</v>
      </c>
      <c r="F3" t="str">
        <f>IFERROR(Tab_Compteur_1[[#This Row],[Quantité ]]/Tab_Compteur_1[[#This Row],[Delta Jour]],"")</f>
        <v/>
      </c>
      <c r="G3" t="str">
        <f>IFERROR(Tab_Compteur_1[[#This Row],[Montant TTC]]/Tab_Compteur_1[[#This Row],[Delta Jour]],"")</f>
        <v/>
      </c>
      <c r="H3" s="42"/>
      <c r="I3" s="42"/>
      <c r="J3" s="42"/>
      <c r="K3" s="42"/>
      <c r="L3" s="42"/>
    </row>
    <row r="4" spans="1:12" x14ac:dyDescent="0.25">
      <c r="A4" s="3">
        <f>B3+1</f>
        <v>1</v>
      </c>
      <c r="B4" s="144">
        <f>EDATE($B$3,Site!$I$33*(ROW(Tab_Compteur_1[[#This Row],[Début de période]])-3))</f>
        <v>0</v>
      </c>
      <c r="C4" s="243"/>
      <c r="D4" s="180"/>
      <c r="E4">
        <f t="shared" ref="E4:E67" si="0">IFERROR(B4-A4+1,"")</f>
        <v>0</v>
      </c>
      <c r="F4" t="str">
        <f>IFERROR(Tab_Compteur_1[[#This Row],[Quantité ]]/Tab_Compteur_1[[#This Row],[Delta Jour]],"")</f>
        <v/>
      </c>
      <c r="G4" t="str">
        <f>IFERROR(Tab_Compteur_1[[#This Row],[Montant TTC]]/Tab_Compteur_1[[#This Row],[Delta Jour]],"")</f>
        <v/>
      </c>
      <c r="H4" s="42"/>
      <c r="I4" s="42"/>
      <c r="J4" s="42"/>
      <c r="K4" s="137"/>
      <c r="L4" s="42"/>
    </row>
    <row r="5" spans="1:12" x14ac:dyDescent="0.25">
      <c r="A5" s="3">
        <f t="shared" ref="A5:A68" si="1">B4+1</f>
        <v>1</v>
      </c>
      <c r="B5" s="144">
        <f>EDATE($B$3,Site!$I$33*(ROW(Tab_Compteur_1[[#This Row],[Début de période]])-3))</f>
        <v>0</v>
      </c>
      <c r="C5" s="243"/>
      <c r="D5" s="180"/>
      <c r="E5">
        <f t="shared" si="0"/>
        <v>0</v>
      </c>
      <c r="F5" t="str">
        <f>IFERROR(Tab_Compteur_1[[#This Row],[Quantité ]]/Tab_Compteur_1[[#This Row],[Delta Jour]],"")</f>
        <v/>
      </c>
      <c r="G5" t="str">
        <f>IFERROR(Tab_Compteur_1[[#This Row],[Montant TTC]]/Tab_Compteur_1[[#This Row],[Delta Jour]],"")</f>
        <v/>
      </c>
      <c r="H5" s="42"/>
      <c r="I5" s="42"/>
      <c r="J5" s="42"/>
      <c r="K5" s="42"/>
      <c r="L5" s="42"/>
    </row>
    <row r="6" spans="1:12" ht="15" customHeight="1" x14ac:dyDescent="0.25">
      <c r="A6" s="3">
        <f t="shared" si="1"/>
        <v>1</v>
      </c>
      <c r="B6" s="144">
        <f>EDATE($B$3,Site!$I$33*(ROW(Tab_Compteur_1[[#This Row],[Début de période]])-3))</f>
        <v>0</v>
      </c>
      <c r="C6" s="243"/>
      <c r="D6" s="180"/>
      <c r="E6">
        <f t="shared" si="0"/>
        <v>0</v>
      </c>
      <c r="F6" t="str">
        <f>IFERROR(Tab_Compteur_1[[#This Row],[Quantité ]]/Tab_Compteur_1[[#This Row],[Delta Jour]],"")</f>
        <v/>
      </c>
      <c r="G6" t="str">
        <f>IFERROR(Tab_Compteur_1[[#This Row],[Montant TTC]]/Tab_Compteur_1[[#This Row],[Delta Jour]],"")</f>
        <v/>
      </c>
      <c r="H6" s="42"/>
      <c r="I6" s="42"/>
      <c r="J6" s="42"/>
      <c r="K6" s="42"/>
      <c r="L6" s="42"/>
    </row>
    <row r="7" spans="1:12" x14ac:dyDescent="0.25">
      <c r="A7" s="3">
        <f t="shared" si="1"/>
        <v>1</v>
      </c>
      <c r="B7" s="144">
        <f>EDATE($B$3,Site!$I$33*(ROW(Tab_Compteur_1[[#This Row],[Début de période]])-3))</f>
        <v>0</v>
      </c>
      <c r="C7" s="243"/>
      <c r="D7" s="180"/>
      <c r="E7">
        <f t="shared" si="0"/>
        <v>0</v>
      </c>
      <c r="F7" t="str">
        <f>IFERROR(Tab_Compteur_1[[#This Row],[Quantité ]]/Tab_Compteur_1[[#This Row],[Delta Jour]],"")</f>
        <v/>
      </c>
      <c r="G7" t="str">
        <f>IFERROR(Tab_Compteur_1[[#This Row],[Montant TTC]]/Tab_Compteur_1[[#This Row],[Delta Jour]],"")</f>
        <v/>
      </c>
      <c r="H7" s="42"/>
      <c r="I7" s="42"/>
      <c r="J7" s="42"/>
      <c r="K7" s="42"/>
      <c r="L7" s="42"/>
    </row>
    <row r="8" spans="1:12" x14ac:dyDescent="0.25">
      <c r="A8" s="3">
        <f t="shared" si="1"/>
        <v>1</v>
      </c>
      <c r="B8" s="144">
        <f>EDATE($B$3,Site!$I$33*(ROW(Tab_Compteur_1[[#This Row],[Début de période]])-3))</f>
        <v>0</v>
      </c>
      <c r="C8" s="243"/>
      <c r="D8" s="180"/>
      <c r="E8">
        <f t="shared" si="0"/>
        <v>0</v>
      </c>
      <c r="F8" t="str">
        <f>IFERROR(Tab_Compteur_1[[#This Row],[Quantité ]]/Tab_Compteur_1[[#This Row],[Delta Jour]],"")</f>
        <v/>
      </c>
      <c r="G8" t="str">
        <f>IFERROR(Tab_Compteur_1[[#This Row],[Montant TTC]]/Tab_Compteur_1[[#This Row],[Delta Jour]],"")</f>
        <v/>
      </c>
      <c r="H8" s="42"/>
      <c r="I8" s="42"/>
      <c r="J8" s="42"/>
      <c r="K8" s="42"/>
      <c r="L8" s="42"/>
    </row>
    <row r="9" spans="1:12" ht="15" customHeight="1" x14ac:dyDescent="0.25">
      <c r="A9" s="3">
        <f t="shared" si="1"/>
        <v>1</v>
      </c>
      <c r="B9" s="144">
        <f>EDATE($B$3,Site!$I$33*(ROW(Tab_Compteur_1[[#This Row],[Début de période]])-3))</f>
        <v>0</v>
      </c>
      <c r="C9" s="243"/>
      <c r="D9" s="180"/>
      <c r="E9">
        <f t="shared" si="0"/>
        <v>0</v>
      </c>
      <c r="F9" t="str">
        <f>IFERROR(Tab_Compteur_1[[#This Row],[Quantité ]]/Tab_Compteur_1[[#This Row],[Delta Jour]],"")</f>
        <v/>
      </c>
      <c r="G9" t="str">
        <f>IFERROR(Tab_Compteur_1[[#This Row],[Montant TTC]]/Tab_Compteur_1[[#This Row],[Delta Jour]],"")</f>
        <v/>
      </c>
      <c r="H9" s="355" t="s">
        <v>277</v>
      </c>
      <c r="I9" s="355"/>
      <c r="J9" s="355"/>
      <c r="K9" s="355"/>
      <c r="L9" s="355"/>
    </row>
    <row r="10" spans="1:12" x14ac:dyDescent="0.25">
      <c r="A10" s="3">
        <f t="shared" si="1"/>
        <v>1</v>
      </c>
      <c r="B10" s="144">
        <f>EDATE($B$3,Site!$I$33*(ROW(Tab_Compteur_1[[#This Row],[Début de période]])-3))</f>
        <v>0</v>
      </c>
      <c r="C10" s="243"/>
      <c r="D10" s="180"/>
      <c r="E10">
        <f t="shared" si="0"/>
        <v>0</v>
      </c>
      <c r="F10" t="str">
        <f>IFERROR(Tab_Compteur_1[[#This Row],[Quantité ]]/Tab_Compteur_1[[#This Row],[Delta Jour]],"")</f>
        <v/>
      </c>
      <c r="G10" t="str">
        <f>IFERROR(Tab_Compteur_1[[#This Row],[Montant TTC]]/Tab_Compteur_1[[#This Row],[Delta Jour]],"")</f>
        <v/>
      </c>
      <c r="H10" s="355"/>
      <c r="I10" s="355"/>
      <c r="J10" s="355"/>
      <c r="K10" s="355"/>
      <c r="L10" s="355"/>
    </row>
    <row r="11" spans="1:12" x14ac:dyDescent="0.25">
      <c r="A11" s="3">
        <f t="shared" si="1"/>
        <v>1</v>
      </c>
      <c r="B11" s="144">
        <f>EDATE($B$3,Site!$I$33*(ROW(Tab_Compteur_1[[#This Row],[Début de période]])-3))</f>
        <v>0</v>
      </c>
      <c r="C11" s="243"/>
      <c r="D11" s="180"/>
      <c r="E11">
        <f t="shared" si="0"/>
        <v>0</v>
      </c>
      <c r="F11" t="str">
        <f>IFERROR(Tab_Compteur_1[[#This Row],[Quantité ]]/Tab_Compteur_1[[#This Row],[Delta Jour]],"")</f>
        <v/>
      </c>
      <c r="G11" t="str">
        <f>IFERROR(Tab_Compteur_1[[#This Row],[Montant TTC]]/Tab_Compteur_1[[#This Row],[Delta Jour]],"")</f>
        <v/>
      </c>
      <c r="H11" s="355"/>
      <c r="I11" s="355"/>
      <c r="J11" s="355"/>
      <c r="K11" s="355"/>
      <c r="L11" s="355"/>
    </row>
    <row r="12" spans="1:12" x14ac:dyDescent="0.25">
      <c r="A12" s="3">
        <f t="shared" si="1"/>
        <v>1</v>
      </c>
      <c r="B12" s="144">
        <f>EDATE($B$3,Site!$I$33*(ROW(Tab_Compteur_1[[#This Row],[Début de période]])-3))</f>
        <v>0</v>
      </c>
      <c r="C12" s="243"/>
      <c r="D12" s="180"/>
      <c r="E12">
        <f t="shared" si="0"/>
        <v>0</v>
      </c>
      <c r="F12" t="str">
        <f>IFERROR(Tab_Compteur_1[[#This Row],[Quantité ]]/Tab_Compteur_1[[#This Row],[Delta Jour]],"")</f>
        <v/>
      </c>
      <c r="G12" t="str">
        <f>IFERROR(Tab_Compteur_1[[#This Row],[Montant TTC]]/Tab_Compteur_1[[#This Row],[Delta Jour]],"")</f>
        <v/>
      </c>
      <c r="H12" s="355"/>
      <c r="I12" s="355"/>
      <c r="J12" s="355"/>
      <c r="K12" s="355"/>
      <c r="L12" s="355"/>
    </row>
    <row r="13" spans="1:12" x14ac:dyDescent="0.25">
      <c r="A13" s="3">
        <f t="shared" si="1"/>
        <v>1</v>
      </c>
      <c r="B13" s="144">
        <f>EDATE($B$3,Site!$I$33*(ROW(Tab_Compteur_1[[#This Row],[Début de période]])-3))</f>
        <v>0</v>
      </c>
      <c r="C13" s="243"/>
      <c r="D13" s="180"/>
      <c r="E13">
        <f t="shared" si="0"/>
        <v>0</v>
      </c>
      <c r="F13" t="str">
        <f>IFERROR(Tab_Compteur_1[[#This Row],[Quantité ]]/Tab_Compteur_1[[#This Row],[Delta Jour]],"")</f>
        <v/>
      </c>
      <c r="G13" t="str">
        <f>IFERROR(Tab_Compteur_1[[#This Row],[Montant TTC]]/Tab_Compteur_1[[#This Row],[Delta Jour]],"")</f>
        <v/>
      </c>
      <c r="H13" s="355"/>
      <c r="I13" s="355"/>
      <c r="J13" s="355"/>
      <c r="K13" s="355"/>
      <c r="L13" s="355"/>
    </row>
    <row r="14" spans="1:12" x14ac:dyDescent="0.25">
      <c r="A14" s="3">
        <f t="shared" si="1"/>
        <v>1</v>
      </c>
      <c r="B14" s="144">
        <f>EDATE($B$3,Site!$I$33*(ROW(Tab_Compteur_1[[#This Row],[Début de période]])-3))</f>
        <v>0</v>
      </c>
      <c r="C14" s="243"/>
      <c r="D14" s="180"/>
      <c r="E14">
        <f t="shared" si="0"/>
        <v>0</v>
      </c>
      <c r="F14" t="str">
        <f>IFERROR(Tab_Compteur_1[[#This Row],[Quantité ]]/Tab_Compteur_1[[#This Row],[Delta Jour]],"")</f>
        <v/>
      </c>
      <c r="G14" t="str">
        <f>IFERROR(Tab_Compteur_1[[#This Row],[Montant TTC]]/Tab_Compteur_1[[#This Row],[Delta Jour]],"")</f>
        <v/>
      </c>
      <c r="H14" s="355"/>
      <c r="I14" s="355"/>
      <c r="J14" s="355"/>
      <c r="K14" s="355"/>
      <c r="L14" s="355"/>
    </row>
    <row r="15" spans="1:12" x14ac:dyDescent="0.25">
      <c r="A15" s="3">
        <f t="shared" si="1"/>
        <v>1</v>
      </c>
      <c r="B15" s="144">
        <f>EDATE($B$3,Site!$I$33*(ROW(Tab_Compteur_1[[#This Row],[Début de période]])-3))</f>
        <v>0</v>
      </c>
      <c r="C15" s="243"/>
      <c r="D15" s="180"/>
      <c r="E15">
        <f t="shared" si="0"/>
        <v>0</v>
      </c>
      <c r="F15" t="str">
        <f>IFERROR(Tab_Compteur_1[[#This Row],[Quantité ]]/Tab_Compteur_1[[#This Row],[Delta Jour]],"")</f>
        <v/>
      </c>
      <c r="G15" t="str">
        <f>IFERROR(Tab_Compteur_1[[#This Row],[Montant TTC]]/Tab_Compteur_1[[#This Row],[Delta Jour]],"")</f>
        <v/>
      </c>
      <c r="H15" s="355"/>
      <c r="I15" s="355"/>
      <c r="J15" s="355"/>
      <c r="K15" s="355"/>
      <c r="L15" s="355"/>
    </row>
    <row r="16" spans="1:12" x14ac:dyDescent="0.25">
      <c r="A16" s="3">
        <f t="shared" si="1"/>
        <v>1</v>
      </c>
      <c r="B16" s="144">
        <f>EDATE($B$3,Site!$I$33*(ROW(Tab_Compteur_1[[#This Row],[Début de période]])-3))</f>
        <v>0</v>
      </c>
      <c r="C16" s="243"/>
      <c r="D16" s="180"/>
      <c r="E16">
        <f t="shared" si="0"/>
        <v>0</v>
      </c>
      <c r="F16" t="str">
        <f>IFERROR(Tab_Compteur_1[[#This Row],[Quantité ]]/Tab_Compteur_1[[#This Row],[Delta Jour]],"")</f>
        <v/>
      </c>
      <c r="G16" t="str">
        <f>IFERROR(Tab_Compteur_1[[#This Row],[Montant TTC]]/Tab_Compteur_1[[#This Row],[Delta Jour]],"")</f>
        <v/>
      </c>
      <c r="H16" s="355"/>
      <c r="I16" s="355"/>
      <c r="J16" s="355"/>
      <c r="K16" s="355"/>
      <c r="L16" s="355"/>
    </row>
    <row r="17" spans="1:12" x14ac:dyDescent="0.25">
      <c r="A17" s="3">
        <f t="shared" si="1"/>
        <v>1</v>
      </c>
      <c r="B17" s="144">
        <f>EDATE($B$3,Site!$I$33*(ROW(Tab_Compteur_1[[#This Row],[Début de période]])-3))</f>
        <v>0</v>
      </c>
      <c r="C17" s="243"/>
      <c r="D17" s="180"/>
      <c r="E17">
        <f t="shared" si="0"/>
        <v>0</v>
      </c>
      <c r="F17" t="str">
        <f>IFERROR(Tab_Compteur_1[[#This Row],[Quantité ]]/Tab_Compteur_1[[#This Row],[Delta Jour]],"")</f>
        <v/>
      </c>
      <c r="G17" t="str">
        <f>IFERROR(Tab_Compteur_1[[#This Row],[Montant TTC]]/Tab_Compteur_1[[#This Row],[Delta Jour]],"")</f>
        <v/>
      </c>
      <c r="H17" s="355"/>
      <c r="I17" s="355"/>
      <c r="J17" s="355"/>
      <c r="K17" s="355"/>
      <c r="L17" s="355"/>
    </row>
    <row r="18" spans="1:12" x14ac:dyDescent="0.25">
      <c r="A18" s="3">
        <f t="shared" si="1"/>
        <v>1</v>
      </c>
      <c r="B18" s="144">
        <f>EDATE($B$3,Site!$I$33*(ROW(Tab_Compteur_1[[#This Row],[Début de période]])-3))</f>
        <v>0</v>
      </c>
      <c r="C18" s="243"/>
      <c r="D18" s="180"/>
      <c r="E18">
        <f t="shared" si="0"/>
        <v>0</v>
      </c>
      <c r="F18" t="str">
        <f>IFERROR(Tab_Compteur_1[[#This Row],[Quantité ]]/Tab_Compteur_1[[#This Row],[Delta Jour]],"")</f>
        <v/>
      </c>
      <c r="G18" t="str">
        <f>IFERROR(Tab_Compteur_1[[#This Row],[Montant TTC]]/Tab_Compteur_1[[#This Row],[Delta Jour]],"")</f>
        <v/>
      </c>
      <c r="H18" s="355"/>
      <c r="I18" s="355"/>
      <c r="J18" s="355"/>
      <c r="K18" s="355"/>
      <c r="L18" s="355"/>
    </row>
    <row r="19" spans="1:12" x14ac:dyDescent="0.25">
      <c r="A19" s="3">
        <f t="shared" si="1"/>
        <v>1</v>
      </c>
      <c r="B19" s="144">
        <f>EDATE($B$3,Site!$I$33*(ROW(Tab_Compteur_1[[#This Row],[Début de période]])-3))</f>
        <v>0</v>
      </c>
      <c r="C19" s="243"/>
      <c r="D19" s="180"/>
      <c r="E19">
        <f t="shared" si="0"/>
        <v>0</v>
      </c>
      <c r="F19" t="str">
        <f>IFERROR(Tab_Compteur_1[[#This Row],[Quantité ]]/Tab_Compteur_1[[#This Row],[Delta Jour]],"")</f>
        <v/>
      </c>
      <c r="G19" t="str">
        <f>IFERROR(Tab_Compteur_1[[#This Row],[Montant TTC]]/Tab_Compteur_1[[#This Row],[Delta Jour]],"")</f>
        <v/>
      </c>
      <c r="H19" s="355"/>
      <c r="I19" s="355"/>
      <c r="J19" s="355"/>
      <c r="K19" s="355"/>
      <c r="L19" s="355"/>
    </row>
    <row r="20" spans="1:12" x14ac:dyDescent="0.25">
      <c r="A20" s="3">
        <f t="shared" si="1"/>
        <v>1</v>
      </c>
      <c r="B20" s="144">
        <f>EDATE($B$3,Site!$I$33*(ROW(Tab_Compteur_1[[#This Row],[Début de période]])-3))</f>
        <v>0</v>
      </c>
      <c r="C20" s="243"/>
      <c r="D20" s="180"/>
      <c r="E20">
        <f t="shared" si="0"/>
        <v>0</v>
      </c>
      <c r="F20" t="str">
        <f>IFERROR(Tab_Compteur_1[[#This Row],[Quantité ]]/Tab_Compteur_1[[#This Row],[Delta Jour]],"")</f>
        <v/>
      </c>
      <c r="G20" t="str">
        <f>IFERROR(Tab_Compteur_1[[#This Row],[Montant TTC]]/Tab_Compteur_1[[#This Row],[Delta Jour]],"")</f>
        <v/>
      </c>
      <c r="H20" s="355"/>
      <c r="I20" s="355"/>
      <c r="J20" s="355"/>
      <c r="K20" s="355"/>
      <c r="L20" s="355"/>
    </row>
    <row r="21" spans="1:12" x14ac:dyDescent="0.25">
      <c r="A21" s="3">
        <f t="shared" si="1"/>
        <v>1</v>
      </c>
      <c r="B21" s="144">
        <f>EDATE($B$3,Site!$I$33*(ROW(Tab_Compteur_1[[#This Row],[Début de période]])-3))</f>
        <v>0</v>
      </c>
      <c r="C21" s="243"/>
      <c r="D21" s="180"/>
      <c r="E21">
        <f t="shared" si="0"/>
        <v>0</v>
      </c>
      <c r="F21" t="str">
        <f>IFERROR(Tab_Compteur_1[[#This Row],[Quantité ]]/Tab_Compteur_1[[#This Row],[Delta Jour]],"")</f>
        <v/>
      </c>
      <c r="G21" t="str">
        <f>IFERROR(Tab_Compteur_1[[#This Row],[Montant TTC]]/Tab_Compteur_1[[#This Row],[Delta Jour]],"")</f>
        <v/>
      </c>
      <c r="H21" s="355"/>
      <c r="I21" s="355"/>
      <c r="J21" s="355"/>
      <c r="K21" s="355"/>
      <c r="L21" s="355"/>
    </row>
    <row r="22" spans="1:12" x14ac:dyDescent="0.25">
      <c r="A22" s="3">
        <f t="shared" si="1"/>
        <v>1</v>
      </c>
      <c r="B22" s="144">
        <f>EDATE($B$3,Site!$I$33*(ROW(Tab_Compteur_1[[#This Row],[Début de période]])-3))</f>
        <v>0</v>
      </c>
      <c r="C22" s="243"/>
      <c r="D22" s="180"/>
      <c r="E22">
        <f t="shared" si="0"/>
        <v>0</v>
      </c>
      <c r="F22" t="str">
        <f>IFERROR(Tab_Compteur_1[[#This Row],[Quantité ]]/Tab_Compteur_1[[#This Row],[Delta Jour]],"")</f>
        <v/>
      </c>
      <c r="G22" t="str">
        <f>IFERROR(Tab_Compteur_1[[#This Row],[Montant TTC]]/Tab_Compteur_1[[#This Row],[Delta Jour]],"")</f>
        <v/>
      </c>
      <c r="H22" s="355"/>
      <c r="I22" s="355"/>
      <c r="J22" s="355"/>
      <c r="K22" s="355"/>
      <c r="L22" s="355"/>
    </row>
    <row r="23" spans="1:12" x14ac:dyDescent="0.25">
      <c r="A23" s="3">
        <f t="shared" si="1"/>
        <v>1</v>
      </c>
      <c r="B23" s="144">
        <f>EDATE($B$3,Site!$I$33*(ROW(Tab_Compteur_1[[#This Row],[Début de période]])-3))</f>
        <v>0</v>
      </c>
      <c r="C23" s="243"/>
      <c r="D23" s="180"/>
      <c r="E23">
        <f t="shared" si="0"/>
        <v>0</v>
      </c>
      <c r="F23" t="str">
        <f>IFERROR(Tab_Compteur_1[[#This Row],[Quantité ]]/Tab_Compteur_1[[#This Row],[Delta Jour]],"")</f>
        <v/>
      </c>
      <c r="G23" t="str">
        <f>IFERROR(Tab_Compteur_1[[#This Row],[Montant TTC]]/Tab_Compteur_1[[#This Row],[Delta Jour]],"")</f>
        <v/>
      </c>
      <c r="H23" s="355"/>
      <c r="I23" s="355"/>
      <c r="J23" s="355"/>
      <c r="K23" s="355"/>
      <c r="L23" s="355"/>
    </row>
    <row r="24" spans="1:12" x14ac:dyDescent="0.25">
      <c r="A24" s="3">
        <f t="shared" si="1"/>
        <v>1</v>
      </c>
      <c r="B24" s="144">
        <f>EDATE($B$3,Site!$I$33*(ROW(Tab_Compteur_1[[#This Row],[Début de période]])-3))</f>
        <v>0</v>
      </c>
      <c r="C24" s="243"/>
      <c r="D24" s="180"/>
      <c r="E24">
        <f t="shared" si="0"/>
        <v>0</v>
      </c>
      <c r="F24" t="str">
        <f>IFERROR(Tab_Compteur_1[[#This Row],[Quantité ]]/Tab_Compteur_1[[#This Row],[Delta Jour]],"")</f>
        <v/>
      </c>
      <c r="G24" t="str">
        <f>IFERROR(Tab_Compteur_1[[#This Row],[Montant TTC]]/Tab_Compteur_1[[#This Row],[Delta Jour]],"")</f>
        <v/>
      </c>
      <c r="H24" s="42"/>
      <c r="I24" s="42"/>
      <c r="J24" s="42"/>
      <c r="K24" s="42"/>
      <c r="L24" s="42"/>
    </row>
    <row r="25" spans="1:12" x14ac:dyDescent="0.25">
      <c r="A25" s="3">
        <f t="shared" si="1"/>
        <v>1</v>
      </c>
      <c r="B25" s="144">
        <f>EDATE($B$3,Site!$I$33*(ROW(Tab_Compteur_1[[#This Row],[Début de période]])-3))</f>
        <v>0</v>
      </c>
      <c r="C25" s="243"/>
      <c r="D25" s="180"/>
      <c r="E25">
        <f t="shared" si="0"/>
        <v>0</v>
      </c>
      <c r="F25" t="str">
        <f>IFERROR(Tab_Compteur_1[[#This Row],[Quantité ]]/Tab_Compteur_1[[#This Row],[Delta Jour]],"")</f>
        <v/>
      </c>
      <c r="G25" t="str">
        <f>IFERROR(Tab_Compteur_1[[#This Row],[Montant TTC]]/Tab_Compteur_1[[#This Row],[Delta Jour]],"")</f>
        <v/>
      </c>
      <c r="H25" s="42"/>
      <c r="I25" s="42"/>
      <c r="J25" s="42"/>
      <c r="K25" s="42"/>
      <c r="L25" s="42"/>
    </row>
    <row r="26" spans="1:12" x14ac:dyDescent="0.25">
      <c r="A26" s="3">
        <f t="shared" si="1"/>
        <v>1</v>
      </c>
      <c r="B26" s="144">
        <f>EDATE($B$3,Site!$I$33*(ROW(Tab_Compteur_1[[#This Row],[Début de période]])-3))</f>
        <v>0</v>
      </c>
      <c r="C26" s="243"/>
      <c r="D26" s="180"/>
      <c r="E26">
        <f t="shared" si="0"/>
        <v>0</v>
      </c>
      <c r="F26" t="str">
        <f>IFERROR(Tab_Compteur_1[[#This Row],[Quantité ]]/Tab_Compteur_1[[#This Row],[Delta Jour]],"")</f>
        <v/>
      </c>
      <c r="G26" t="str">
        <f>IFERROR(Tab_Compteur_1[[#This Row],[Montant TTC]]/Tab_Compteur_1[[#This Row],[Delta Jour]],"")</f>
        <v/>
      </c>
      <c r="H26" s="42"/>
      <c r="I26" s="42"/>
      <c r="J26" s="42"/>
      <c r="K26" s="42"/>
      <c r="L26" s="42"/>
    </row>
    <row r="27" spans="1:12" x14ac:dyDescent="0.25">
      <c r="A27" s="3">
        <f t="shared" si="1"/>
        <v>1</v>
      </c>
      <c r="B27" s="144">
        <f>EDATE($B$3,Site!$I$33*(ROW(Tab_Compteur_1[[#This Row],[Début de période]])-3))</f>
        <v>0</v>
      </c>
      <c r="C27" s="243"/>
      <c r="D27" s="180"/>
      <c r="E27">
        <f t="shared" si="0"/>
        <v>0</v>
      </c>
      <c r="F27" t="str">
        <f>IFERROR(Tab_Compteur_1[[#This Row],[Quantité ]]/Tab_Compteur_1[[#This Row],[Delta Jour]],"")</f>
        <v/>
      </c>
      <c r="G27" t="str">
        <f>IFERROR(Tab_Compteur_1[[#This Row],[Montant TTC]]/Tab_Compteur_1[[#This Row],[Delta Jour]],"")</f>
        <v/>
      </c>
      <c r="H27" s="42"/>
      <c r="I27" s="42"/>
      <c r="J27" s="42"/>
      <c r="K27" s="42"/>
      <c r="L27" s="42"/>
    </row>
    <row r="28" spans="1:12" x14ac:dyDescent="0.25">
      <c r="A28" s="3">
        <f t="shared" si="1"/>
        <v>1</v>
      </c>
      <c r="B28" s="144">
        <f>EDATE($B$3,Site!$I$33*(ROW(Tab_Compteur_1[[#This Row],[Début de période]])-3))</f>
        <v>0</v>
      </c>
      <c r="C28" s="243"/>
      <c r="D28" s="180"/>
      <c r="E28">
        <f t="shared" si="0"/>
        <v>0</v>
      </c>
      <c r="F28" t="str">
        <f>IFERROR(Tab_Compteur_1[[#This Row],[Quantité ]]/Tab_Compteur_1[[#This Row],[Delta Jour]],"")</f>
        <v/>
      </c>
      <c r="G28" t="str">
        <f>IFERROR(Tab_Compteur_1[[#This Row],[Montant TTC]]/Tab_Compteur_1[[#This Row],[Delta Jour]],"")</f>
        <v/>
      </c>
      <c r="H28" s="42"/>
      <c r="I28" s="42"/>
      <c r="J28" s="42"/>
      <c r="K28" s="42"/>
      <c r="L28" s="42"/>
    </row>
    <row r="29" spans="1:12" x14ac:dyDescent="0.25">
      <c r="A29" s="3">
        <f t="shared" si="1"/>
        <v>1</v>
      </c>
      <c r="B29" s="144">
        <f>EDATE($B$3,Site!$I$33*(ROW(Tab_Compteur_1[[#This Row],[Début de période]])-3))</f>
        <v>0</v>
      </c>
      <c r="C29" s="243"/>
      <c r="D29" s="180"/>
      <c r="E29">
        <f t="shared" si="0"/>
        <v>0</v>
      </c>
      <c r="F29" t="str">
        <f>IFERROR(Tab_Compteur_1[[#This Row],[Quantité ]]/Tab_Compteur_1[[#This Row],[Delta Jour]],"")</f>
        <v/>
      </c>
      <c r="G29" t="str">
        <f>IFERROR(Tab_Compteur_1[[#This Row],[Montant TTC]]/Tab_Compteur_1[[#This Row],[Delta Jour]],"")</f>
        <v/>
      </c>
      <c r="H29" s="42"/>
      <c r="I29" s="42"/>
      <c r="J29" s="42"/>
      <c r="K29" s="42"/>
      <c r="L29" s="42"/>
    </row>
    <row r="30" spans="1:12" x14ac:dyDescent="0.25">
      <c r="A30" s="3">
        <f t="shared" si="1"/>
        <v>1</v>
      </c>
      <c r="B30" s="144">
        <f>EDATE($B$3,Site!$I$33*(ROW(Tab_Compteur_1[[#This Row],[Début de période]])-3))</f>
        <v>0</v>
      </c>
      <c r="C30" s="243"/>
      <c r="D30" s="180"/>
      <c r="E30">
        <f t="shared" si="0"/>
        <v>0</v>
      </c>
      <c r="F30" t="str">
        <f>IFERROR(Tab_Compteur_1[[#This Row],[Quantité ]]/Tab_Compteur_1[[#This Row],[Delta Jour]],"")</f>
        <v/>
      </c>
      <c r="G30" t="str">
        <f>IFERROR(Tab_Compteur_1[[#This Row],[Montant TTC]]/Tab_Compteur_1[[#This Row],[Delta Jour]],"")</f>
        <v/>
      </c>
      <c r="H30" s="42"/>
      <c r="I30" s="42"/>
      <c r="J30" s="42"/>
      <c r="K30" s="42"/>
      <c r="L30" s="42"/>
    </row>
    <row r="31" spans="1:12" x14ac:dyDescent="0.25">
      <c r="A31" s="3">
        <f t="shared" si="1"/>
        <v>1</v>
      </c>
      <c r="B31" s="144">
        <f>EDATE($B$3,Site!$I$33*(ROW(Tab_Compteur_1[[#This Row],[Début de période]])-3))</f>
        <v>0</v>
      </c>
      <c r="C31" s="243"/>
      <c r="D31" s="180"/>
      <c r="E31">
        <f t="shared" si="0"/>
        <v>0</v>
      </c>
      <c r="F31" t="str">
        <f>IFERROR(Tab_Compteur_1[[#This Row],[Quantité ]]/Tab_Compteur_1[[#This Row],[Delta Jour]],"")</f>
        <v/>
      </c>
      <c r="G31" t="str">
        <f>IFERROR(Tab_Compteur_1[[#This Row],[Montant TTC]]/Tab_Compteur_1[[#This Row],[Delta Jour]],"")</f>
        <v/>
      </c>
      <c r="H31" s="42"/>
      <c r="I31" s="42"/>
      <c r="J31" s="42"/>
      <c r="K31" s="42"/>
      <c r="L31" s="42"/>
    </row>
    <row r="32" spans="1:12" x14ac:dyDescent="0.25">
      <c r="A32" s="3">
        <f t="shared" si="1"/>
        <v>1</v>
      </c>
      <c r="B32" s="144">
        <f>EDATE($B$3,Site!$I$33*(ROW(Tab_Compteur_1[[#This Row],[Début de période]])-3))</f>
        <v>0</v>
      </c>
      <c r="C32" s="243"/>
      <c r="D32" s="180"/>
      <c r="E32">
        <f t="shared" si="0"/>
        <v>0</v>
      </c>
      <c r="F32" t="str">
        <f>IFERROR(Tab_Compteur_1[[#This Row],[Quantité ]]/Tab_Compteur_1[[#This Row],[Delta Jour]],"")</f>
        <v/>
      </c>
      <c r="G32" t="str">
        <f>IFERROR(Tab_Compteur_1[[#This Row],[Montant TTC]]/Tab_Compteur_1[[#This Row],[Delta Jour]],"")</f>
        <v/>
      </c>
      <c r="H32" s="42"/>
      <c r="I32" s="42"/>
      <c r="J32" s="42"/>
      <c r="K32" s="42"/>
      <c r="L32" s="42"/>
    </row>
    <row r="33" spans="1:12" x14ac:dyDescent="0.25">
      <c r="A33" s="3">
        <f t="shared" si="1"/>
        <v>1</v>
      </c>
      <c r="B33" s="144">
        <f>EDATE($B$3,Site!$I$33*(ROW(Tab_Compteur_1[[#This Row],[Début de période]])-3))</f>
        <v>0</v>
      </c>
      <c r="C33" s="243"/>
      <c r="D33" s="180"/>
      <c r="E33">
        <f t="shared" si="0"/>
        <v>0</v>
      </c>
      <c r="F33" t="str">
        <f>IFERROR(Tab_Compteur_1[[#This Row],[Quantité ]]/Tab_Compteur_1[[#This Row],[Delta Jour]],"")</f>
        <v/>
      </c>
      <c r="G33" t="str">
        <f>IFERROR(Tab_Compteur_1[[#This Row],[Montant TTC]]/Tab_Compteur_1[[#This Row],[Delta Jour]],"")</f>
        <v/>
      </c>
      <c r="H33" s="42"/>
      <c r="I33" s="42"/>
      <c r="J33" s="42"/>
      <c r="K33" s="42"/>
      <c r="L33" s="42"/>
    </row>
    <row r="34" spans="1:12" x14ac:dyDescent="0.25">
      <c r="A34" s="3">
        <f t="shared" si="1"/>
        <v>1</v>
      </c>
      <c r="B34" s="144">
        <f>EDATE($B$3,Site!$I$33*(ROW(Tab_Compteur_1[[#This Row],[Début de période]])-3))</f>
        <v>0</v>
      </c>
      <c r="C34" s="243"/>
      <c r="D34" s="180"/>
      <c r="E34">
        <f t="shared" si="0"/>
        <v>0</v>
      </c>
      <c r="F34" t="str">
        <f>IFERROR(Tab_Compteur_1[[#This Row],[Quantité ]]/Tab_Compteur_1[[#This Row],[Delta Jour]],"")</f>
        <v/>
      </c>
      <c r="G34" t="str">
        <f>IFERROR(Tab_Compteur_1[[#This Row],[Montant TTC]]/Tab_Compteur_1[[#This Row],[Delta Jour]],"")</f>
        <v/>
      </c>
      <c r="H34" s="42"/>
      <c r="I34" s="42"/>
      <c r="J34" s="42"/>
      <c r="K34" s="42"/>
      <c r="L34" s="42"/>
    </row>
    <row r="35" spans="1:12" x14ac:dyDescent="0.25">
      <c r="A35" s="3">
        <f t="shared" si="1"/>
        <v>1</v>
      </c>
      <c r="B35" s="144">
        <f>EDATE($B$3,Site!$I$33*(ROW(Tab_Compteur_1[[#This Row],[Début de période]])-3))</f>
        <v>0</v>
      </c>
      <c r="C35" s="243"/>
      <c r="D35" s="180"/>
      <c r="E35">
        <f t="shared" si="0"/>
        <v>0</v>
      </c>
      <c r="F35" t="str">
        <f>IFERROR(Tab_Compteur_1[[#This Row],[Quantité ]]/Tab_Compteur_1[[#This Row],[Delta Jour]],"")</f>
        <v/>
      </c>
      <c r="G35" t="str">
        <f>IFERROR(Tab_Compteur_1[[#This Row],[Montant TTC]]/Tab_Compteur_1[[#This Row],[Delta Jour]],"")</f>
        <v/>
      </c>
      <c r="H35" s="42"/>
      <c r="I35" s="42"/>
      <c r="J35" s="42"/>
      <c r="K35" s="42"/>
      <c r="L35" s="42"/>
    </row>
    <row r="36" spans="1:12" x14ac:dyDescent="0.25">
      <c r="A36" s="3">
        <f t="shared" si="1"/>
        <v>1</v>
      </c>
      <c r="B36" s="144">
        <f>EDATE($B$3,Site!$I$33*(ROW(Tab_Compteur_1[[#This Row],[Début de période]])-3))</f>
        <v>0</v>
      </c>
      <c r="C36" s="243"/>
      <c r="D36" s="180"/>
      <c r="E36">
        <f t="shared" si="0"/>
        <v>0</v>
      </c>
      <c r="F36" t="str">
        <f>IFERROR(Tab_Compteur_1[[#This Row],[Quantité ]]/Tab_Compteur_1[[#This Row],[Delta Jour]],"")</f>
        <v/>
      </c>
      <c r="G36" t="str">
        <f>IFERROR(Tab_Compteur_1[[#This Row],[Montant TTC]]/Tab_Compteur_1[[#This Row],[Delta Jour]],"")</f>
        <v/>
      </c>
      <c r="H36" s="42"/>
      <c r="I36" s="42"/>
      <c r="J36" s="42"/>
      <c r="K36" s="42"/>
      <c r="L36" s="42"/>
    </row>
    <row r="37" spans="1:12" x14ac:dyDescent="0.25">
      <c r="A37" s="3">
        <f t="shared" si="1"/>
        <v>1</v>
      </c>
      <c r="B37" s="144">
        <f>EDATE($B$3,Site!$I$33*(ROW(Tab_Compteur_1[[#This Row],[Début de période]])-3))</f>
        <v>0</v>
      </c>
      <c r="C37" s="243"/>
      <c r="D37" s="180"/>
      <c r="E37">
        <f t="shared" si="0"/>
        <v>0</v>
      </c>
      <c r="F37" t="str">
        <f>IFERROR(Tab_Compteur_1[[#This Row],[Quantité ]]/Tab_Compteur_1[[#This Row],[Delta Jour]],"")</f>
        <v/>
      </c>
      <c r="G37" t="str">
        <f>IFERROR(Tab_Compteur_1[[#This Row],[Montant TTC]]/Tab_Compteur_1[[#This Row],[Delta Jour]],"")</f>
        <v/>
      </c>
      <c r="H37" s="42"/>
      <c r="I37" s="42"/>
      <c r="J37" s="42"/>
      <c r="K37" s="42"/>
      <c r="L37" s="42"/>
    </row>
    <row r="38" spans="1:12" x14ac:dyDescent="0.25">
      <c r="A38" s="3">
        <f t="shared" si="1"/>
        <v>1</v>
      </c>
      <c r="B38" s="144">
        <f>EDATE($B$3,Site!$I$33*(ROW(Tab_Compteur_1[[#This Row],[Début de période]])-3))</f>
        <v>0</v>
      </c>
      <c r="C38" s="243"/>
      <c r="D38" s="180"/>
      <c r="E38">
        <f t="shared" si="0"/>
        <v>0</v>
      </c>
      <c r="F38" t="str">
        <f>IFERROR(Tab_Compteur_1[[#This Row],[Quantité ]]/Tab_Compteur_1[[#This Row],[Delta Jour]],"")</f>
        <v/>
      </c>
      <c r="G38" t="str">
        <f>IFERROR(Tab_Compteur_1[[#This Row],[Montant TTC]]/Tab_Compteur_1[[#This Row],[Delta Jour]],"")</f>
        <v/>
      </c>
      <c r="H38" s="42"/>
      <c r="I38" s="42"/>
      <c r="J38" s="42"/>
      <c r="K38" s="42"/>
      <c r="L38" s="42"/>
    </row>
    <row r="39" spans="1:12" x14ac:dyDescent="0.25">
      <c r="A39" s="3">
        <f t="shared" si="1"/>
        <v>1</v>
      </c>
      <c r="B39" s="144">
        <f>EDATE($B$3,Site!$I$33*(ROW(Tab_Compteur_1[[#This Row],[Début de période]])-3))</f>
        <v>0</v>
      </c>
      <c r="C39" s="243"/>
      <c r="D39" s="180"/>
      <c r="E39">
        <f t="shared" si="0"/>
        <v>0</v>
      </c>
      <c r="F39" t="str">
        <f>IFERROR(Tab_Compteur_1[[#This Row],[Quantité ]]/Tab_Compteur_1[[#This Row],[Delta Jour]],"")</f>
        <v/>
      </c>
      <c r="G39" t="str">
        <f>IFERROR(Tab_Compteur_1[[#This Row],[Montant TTC]]/Tab_Compteur_1[[#This Row],[Delta Jour]],"")</f>
        <v/>
      </c>
      <c r="H39" s="42"/>
      <c r="I39" s="42"/>
      <c r="J39" s="42"/>
      <c r="K39" s="42"/>
      <c r="L39" s="42"/>
    </row>
    <row r="40" spans="1:12" x14ac:dyDescent="0.25">
      <c r="A40" s="3">
        <f t="shared" si="1"/>
        <v>1</v>
      </c>
      <c r="B40" s="144">
        <f>EDATE($B$3,Site!$I$33*(ROW(Tab_Compteur_1[[#This Row],[Début de période]])-3))</f>
        <v>0</v>
      </c>
      <c r="C40" s="243"/>
      <c r="D40" s="180"/>
      <c r="E40">
        <f t="shared" si="0"/>
        <v>0</v>
      </c>
      <c r="F40" t="str">
        <f>IFERROR(Tab_Compteur_1[[#This Row],[Quantité ]]/Tab_Compteur_1[[#This Row],[Delta Jour]],"")</f>
        <v/>
      </c>
      <c r="G40" t="str">
        <f>IFERROR(Tab_Compteur_1[[#This Row],[Montant TTC]]/Tab_Compteur_1[[#This Row],[Delta Jour]],"")</f>
        <v/>
      </c>
      <c r="H40" s="42"/>
      <c r="I40" s="42"/>
      <c r="J40" s="42"/>
      <c r="K40" s="42"/>
      <c r="L40" s="42"/>
    </row>
    <row r="41" spans="1:12" x14ac:dyDescent="0.25">
      <c r="A41" s="3">
        <f t="shared" si="1"/>
        <v>1</v>
      </c>
      <c r="B41" s="144">
        <f>EDATE($B$3,Site!$I$33*(ROW(Tab_Compteur_1[[#This Row],[Début de période]])-3))</f>
        <v>0</v>
      </c>
      <c r="C41" s="243"/>
      <c r="D41" s="180"/>
      <c r="E41">
        <f t="shared" si="0"/>
        <v>0</v>
      </c>
      <c r="F41" t="str">
        <f>IFERROR(Tab_Compteur_1[[#This Row],[Quantité ]]/Tab_Compteur_1[[#This Row],[Delta Jour]],"")</f>
        <v/>
      </c>
      <c r="G41" t="str">
        <f>IFERROR(Tab_Compteur_1[[#This Row],[Montant TTC]]/Tab_Compteur_1[[#This Row],[Delta Jour]],"")</f>
        <v/>
      </c>
      <c r="H41" s="42"/>
      <c r="I41" s="42"/>
      <c r="J41" s="42"/>
      <c r="K41" s="42"/>
      <c r="L41" s="42"/>
    </row>
    <row r="42" spans="1:12" x14ac:dyDescent="0.25">
      <c r="A42" s="3">
        <f t="shared" si="1"/>
        <v>1</v>
      </c>
      <c r="B42" s="144">
        <f>EDATE($B$3,Site!$I$33*(ROW(Tab_Compteur_1[[#This Row],[Début de période]])-3))</f>
        <v>0</v>
      </c>
      <c r="C42" s="243"/>
      <c r="D42" s="180"/>
      <c r="E42">
        <f t="shared" si="0"/>
        <v>0</v>
      </c>
      <c r="F42" t="str">
        <f>IFERROR(Tab_Compteur_1[[#This Row],[Quantité ]]/Tab_Compteur_1[[#This Row],[Delta Jour]],"")</f>
        <v/>
      </c>
      <c r="G42" t="str">
        <f>IFERROR(Tab_Compteur_1[[#This Row],[Montant TTC]]/Tab_Compteur_1[[#This Row],[Delta Jour]],"")</f>
        <v/>
      </c>
      <c r="H42" s="42"/>
      <c r="I42" s="42"/>
      <c r="J42" s="42"/>
      <c r="K42" s="42"/>
      <c r="L42" s="42"/>
    </row>
    <row r="43" spans="1:12" x14ac:dyDescent="0.25">
      <c r="A43" s="3">
        <f t="shared" si="1"/>
        <v>1</v>
      </c>
      <c r="B43" s="144">
        <f>EDATE($B$3,Site!$I$33*(ROW(Tab_Compteur_1[[#This Row],[Début de période]])-3))</f>
        <v>0</v>
      </c>
      <c r="C43" s="243"/>
      <c r="D43" s="180"/>
      <c r="E43">
        <f t="shared" si="0"/>
        <v>0</v>
      </c>
      <c r="F43" t="str">
        <f>IFERROR(Tab_Compteur_1[[#This Row],[Quantité ]]/Tab_Compteur_1[[#This Row],[Delta Jour]],"")</f>
        <v/>
      </c>
      <c r="G43" t="str">
        <f>IFERROR(Tab_Compteur_1[[#This Row],[Montant TTC]]/Tab_Compteur_1[[#This Row],[Delta Jour]],"")</f>
        <v/>
      </c>
      <c r="H43" s="42"/>
      <c r="I43" s="42"/>
      <c r="J43" s="42"/>
      <c r="K43" s="42"/>
      <c r="L43" s="42"/>
    </row>
    <row r="44" spans="1:12" x14ac:dyDescent="0.25">
      <c r="A44" s="3">
        <f t="shared" si="1"/>
        <v>1</v>
      </c>
      <c r="B44" s="144">
        <f>EDATE($B$3,Site!$I$33*(ROW(Tab_Compteur_1[[#This Row],[Début de période]])-3))</f>
        <v>0</v>
      </c>
      <c r="C44" s="243"/>
      <c r="D44" s="180"/>
      <c r="E44">
        <f t="shared" si="0"/>
        <v>0</v>
      </c>
      <c r="F44" t="str">
        <f>IFERROR(Tab_Compteur_1[[#This Row],[Quantité ]]/Tab_Compteur_1[[#This Row],[Delta Jour]],"")</f>
        <v/>
      </c>
      <c r="G44" t="str">
        <f>IFERROR(Tab_Compteur_1[[#This Row],[Montant TTC]]/Tab_Compteur_1[[#This Row],[Delta Jour]],"")</f>
        <v/>
      </c>
      <c r="H44" s="42"/>
      <c r="I44" s="42"/>
      <c r="J44" s="42"/>
      <c r="K44" s="42"/>
      <c r="L44" s="42"/>
    </row>
    <row r="45" spans="1:12" x14ac:dyDescent="0.25">
      <c r="A45" s="3">
        <f t="shared" si="1"/>
        <v>1</v>
      </c>
      <c r="B45" s="144">
        <f>EDATE($B$3,Site!$I$33*(ROW(Tab_Compteur_1[[#This Row],[Début de période]])-3))</f>
        <v>0</v>
      </c>
      <c r="C45" s="243"/>
      <c r="D45" s="180"/>
      <c r="E45">
        <f t="shared" si="0"/>
        <v>0</v>
      </c>
      <c r="F45" t="str">
        <f>IFERROR(Tab_Compteur_1[[#This Row],[Quantité ]]/Tab_Compteur_1[[#This Row],[Delta Jour]],"")</f>
        <v/>
      </c>
      <c r="G45" t="str">
        <f>IFERROR(Tab_Compteur_1[[#This Row],[Montant TTC]]/Tab_Compteur_1[[#This Row],[Delta Jour]],"")</f>
        <v/>
      </c>
      <c r="H45" s="42"/>
      <c r="I45" s="42"/>
      <c r="J45" s="42"/>
      <c r="K45" s="42"/>
      <c r="L45" s="42"/>
    </row>
    <row r="46" spans="1:12" x14ac:dyDescent="0.25">
      <c r="A46" s="3">
        <f t="shared" si="1"/>
        <v>1</v>
      </c>
      <c r="B46" s="144">
        <f>EDATE($B$3,Site!$I$33*(ROW(Tab_Compteur_1[[#This Row],[Début de période]])-3))</f>
        <v>0</v>
      </c>
      <c r="C46" s="243"/>
      <c r="D46" s="180"/>
      <c r="E46">
        <f t="shared" si="0"/>
        <v>0</v>
      </c>
      <c r="F46" t="str">
        <f>IFERROR(Tab_Compteur_1[[#This Row],[Quantité ]]/Tab_Compteur_1[[#This Row],[Delta Jour]],"")</f>
        <v/>
      </c>
      <c r="G46" t="str">
        <f>IFERROR(Tab_Compteur_1[[#This Row],[Montant TTC]]/Tab_Compteur_1[[#This Row],[Delta Jour]],"")</f>
        <v/>
      </c>
      <c r="H46" s="42"/>
      <c r="I46" s="42"/>
      <c r="J46" s="42"/>
      <c r="K46" s="42"/>
      <c r="L46" s="42"/>
    </row>
    <row r="47" spans="1:12" x14ac:dyDescent="0.25">
      <c r="A47" s="3">
        <f t="shared" si="1"/>
        <v>1</v>
      </c>
      <c r="B47" s="144">
        <f>EDATE($B$3,Site!$I$33*(ROW(Tab_Compteur_1[[#This Row],[Début de période]])-3))</f>
        <v>0</v>
      </c>
      <c r="C47" s="243"/>
      <c r="D47" s="180"/>
      <c r="E47">
        <f t="shared" si="0"/>
        <v>0</v>
      </c>
      <c r="F47" t="str">
        <f>IFERROR(Tab_Compteur_1[[#This Row],[Quantité ]]/Tab_Compteur_1[[#This Row],[Delta Jour]],"")</f>
        <v/>
      </c>
      <c r="G47" t="str">
        <f>IFERROR(Tab_Compteur_1[[#This Row],[Montant TTC]]/Tab_Compteur_1[[#This Row],[Delta Jour]],"")</f>
        <v/>
      </c>
      <c r="H47" s="42"/>
      <c r="I47" s="42"/>
      <c r="J47" s="42"/>
      <c r="K47" s="42"/>
      <c r="L47" s="42"/>
    </row>
    <row r="48" spans="1:12" x14ac:dyDescent="0.25">
      <c r="A48" s="3">
        <f t="shared" si="1"/>
        <v>1</v>
      </c>
      <c r="B48" s="144">
        <f>EDATE($B$3,Site!$I$33*(ROW(Tab_Compteur_1[[#This Row],[Début de période]])-3))</f>
        <v>0</v>
      </c>
      <c r="C48" s="243"/>
      <c r="D48" s="180"/>
      <c r="E48">
        <f t="shared" si="0"/>
        <v>0</v>
      </c>
      <c r="F48" t="str">
        <f>IFERROR(Tab_Compteur_1[[#This Row],[Quantité ]]/Tab_Compteur_1[[#This Row],[Delta Jour]],"")</f>
        <v/>
      </c>
      <c r="G48" t="str">
        <f>IFERROR(Tab_Compteur_1[[#This Row],[Montant TTC]]/Tab_Compteur_1[[#This Row],[Delta Jour]],"")</f>
        <v/>
      </c>
      <c r="H48" s="42"/>
      <c r="I48" s="42"/>
      <c r="J48" s="42"/>
      <c r="K48" s="42"/>
      <c r="L48" s="42"/>
    </row>
    <row r="49" spans="1:12" x14ac:dyDescent="0.25">
      <c r="A49" s="3">
        <f t="shared" si="1"/>
        <v>1</v>
      </c>
      <c r="B49" s="144">
        <f>EDATE($B$3,Site!$I$33*(ROW(Tab_Compteur_1[[#This Row],[Début de période]])-3))</f>
        <v>0</v>
      </c>
      <c r="C49" s="243"/>
      <c r="D49" s="180"/>
      <c r="E49">
        <f t="shared" si="0"/>
        <v>0</v>
      </c>
      <c r="F49" t="str">
        <f>IFERROR(Tab_Compteur_1[[#This Row],[Quantité ]]/Tab_Compteur_1[[#This Row],[Delta Jour]],"")</f>
        <v/>
      </c>
      <c r="G49" t="str">
        <f>IFERROR(Tab_Compteur_1[[#This Row],[Montant TTC]]/Tab_Compteur_1[[#This Row],[Delta Jour]],"")</f>
        <v/>
      </c>
      <c r="H49" s="42"/>
      <c r="I49" s="42"/>
      <c r="J49" s="42"/>
      <c r="K49" s="42"/>
      <c r="L49" s="42"/>
    </row>
    <row r="50" spans="1:12" x14ac:dyDescent="0.25">
      <c r="A50" s="3">
        <f t="shared" si="1"/>
        <v>1</v>
      </c>
      <c r="B50" s="144">
        <f>EDATE($B$3,Site!$I$33*(ROW(Tab_Compteur_1[[#This Row],[Début de période]])-3))</f>
        <v>0</v>
      </c>
      <c r="C50" s="243"/>
      <c r="D50" s="180"/>
      <c r="E50">
        <f t="shared" si="0"/>
        <v>0</v>
      </c>
      <c r="F50" t="str">
        <f>IFERROR(Tab_Compteur_1[[#This Row],[Quantité ]]/Tab_Compteur_1[[#This Row],[Delta Jour]],"")</f>
        <v/>
      </c>
      <c r="G50" t="str">
        <f>IFERROR(Tab_Compteur_1[[#This Row],[Montant TTC]]/Tab_Compteur_1[[#This Row],[Delta Jour]],"")</f>
        <v/>
      </c>
      <c r="H50" s="42"/>
      <c r="I50" s="42"/>
      <c r="J50" s="42"/>
      <c r="K50" s="42"/>
      <c r="L50" s="42"/>
    </row>
    <row r="51" spans="1:12" x14ac:dyDescent="0.25">
      <c r="A51" s="3">
        <f t="shared" si="1"/>
        <v>1</v>
      </c>
      <c r="B51" s="144">
        <f>EDATE($B$3,Site!$I$33*(ROW(Tab_Compteur_1[[#This Row],[Début de période]])-3))</f>
        <v>0</v>
      </c>
      <c r="C51" s="243"/>
      <c r="D51" s="180"/>
      <c r="E51">
        <f t="shared" si="0"/>
        <v>0</v>
      </c>
      <c r="F51" t="str">
        <f>IFERROR(Tab_Compteur_1[[#This Row],[Quantité ]]/Tab_Compteur_1[[#This Row],[Delta Jour]],"")</f>
        <v/>
      </c>
      <c r="G51" t="str">
        <f>IFERROR(Tab_Compteur_1[[#This Row],[Montant TTC]]/Tab_Compteur_1[[#This Row],[Delta Jour]],"")</f>
        <v/>
      </c>
      <c r="H51" s="42"/>
      <c r="I51" s="42"/>
      <c r="J51" s="42"/>
      <c r="K51" s="42"/>
      <c r="L51" s="42"/>
    </row>
    <row r="52" spans="1:12" x14ac:dyDescent="0.25">
      <c r="A52" s="3">
        <f t="shared" si="1"/>
        <v>1</v>
      </c>
      <c r="B52" s="144">
        <f>EDATE($B$3,Site!$I$33*(ROW(Tab_Compteur_1[[#This Row],[Début de période]])-3))</f>
        <v>0</v>
      </c>
      <c r="C52" s="243"/>
      <c r="D52" s="180"/>
      <c r="E52">
        <f t="shared" si="0"/>
        <v>0</v>
      </c>
      <c r="F52" t="str">
        <f>IFERROR(Tab_Compteur_1[[#This Row],[Quantité ]]/Tab_Compteur_1[[#This Row],[Delta Jour]],"")</f>
        <v/>
      </c>
      <c r="G52" t="str">
        <f>IFERROR(Tab_Compteur_1[[#This Row],[Montant TTC]]/Tab_Compteur_1[[#This Row],[Delta Jour]],"")</f>
        <v/>
      </c>
      <c r="H52" s="42"/>
      <c r="I52" s="42"/>
      <c r="J52" s="42"/>
      <c r="K52" s="42"/>
      <c r="L52" s="42"/>
    </row>
    <row r="53" spans="1:12" x14ac:dyDescent="0.25">
      <c r="A53" s="3">
        <f t="shared" si="1"/>
        <v>1</v>
      </c>
      <c r="B53" s="144">
        <f>EDATE($B$3,Site!$I$33*(ROW(Tab_Compteur_1[[#This Row],[Début de période]])-3))</f>
        <v>0</v>
      </c>
      <c r="C53" s="243"/>
      <c r="D53" s="180"/>
      <c r="E53">
        <f t="shared" si="0"/>
        <v>0</v>
      </c>
      <c r="F53" t="str">
        <f>IFERROR(Tab_Compteur_1[[#This Row],[Quantité ]]/Tab_Compteur_1[[#This Row],[Delta Jour]],"")</f>
        <v/>
      </c>
      <c r="G53" t="str">
        <f>IFERROR(Tab_Compteur_1[[#This Row],[Montant TTC]]/Tab_Compteur_1[[#This Row],[Delta Jour]],"")</f>
        <v/>
      </c>
      <c r="H53" s="42"/>
      <c r="I53" s="42"/>
      <c r="J53" s="42"/>
      <c r="K53" s="42"/>
      <c r="L53" s="42"/>
    </row>
    <row r="54" spans="1:12" x14ac:dyDescent="0.25">
      <c r="A54" s="3">
        <f t="shared" si="1"/>
        <v>1</v>
      </c>
      <c r="B54" s="144">
        <f>EDATE($B$3,Site!$I$33*(ROW(Tab_Compteur_1[[#This Row],[Début de période]])-3))</f>
        <v>0</v>
      </c>
      <c r="C54" s="243"/>
      <c r="D54" s="180"/>
      <c r="E54">
        <f t="shared" si="0"/>
        <v>0</v>
      </c>
      <c r="F54" t="str">
        <f>IFERROR(Tab_Compteur_1[[#This Row],[Quantité ]]/Tab_Compteur_1[[#This Row],[Delta Jour]],"")</f>
        <v/>
      </c>
      <c r="G54" t="str">
        <f>IFERROR(Tab_Compteur_1[[#This Row],[Montant TTC]]/Tab_Compteur_1[[#This Row],[Delta Jour]],"")</f>
        <v/>
      </c>
      <c r="H54" s="42"/>
      <c r="I54" s="42"/>
      <c r="J54" s="42"/>
      <c r="K54" s="42"/>
      <c r="L54" s="42"/>
    </row>
    <row r="55" spans="1:12" x14ac:dyDescent="0.25">
      <c r="A55" s="3">
        <f t="shared" si="1"/>
        <v>1</v>
      </c>
      <c r="B55" s="144">
        <f>EDATE($B$3,Site!$I$33*(ROW(Tab_Compteur_1[[#This Row],[Début de période]])-3))</f>
        <v>0</v>
      </c>
      <c r="C55" s="243"/>
      <c r="D55" s="180"/>
      <c r="E55">
        <f t="shared" si="0"/>
        <v>0</v>
      </c>
      <c r="F55" t="str">
        <f>IFERROR(Tab_Compteur_1[[#This Row],[Quantité ]]/Tab_Compteur_1[[#This Row],[Delta Jour]],"")</f>
        <v/>
      </c>
      <c r="G55" t="str">
        <f>IFERROR(Tab_Compteur_1[[#This Row],[Montant TTC]]/Tab_Compteur_1[[#This Row],[Delta Jour]],"")</f>
        <v/>
      </c>
      <c r="H55" s="42"/>
      <c r="I55" s="42"/>
      <c r="J55" s="42"/>
      <c r="K55" s="42"/>
      <c r="L55" s="42"/>
    </row>
    <row r="56" spans="1:12" x14ac:dyDescent="0.25">
      <c r="A56" s="3">
        <f t="shared" si="1"/>
        <v>1</v>
      </c>
      <c r="B56" s="144">
        <f>EDATE($B$3,Site!$I$33*(ROW(Tab_Compteur_1[[#This Row],[Début de période]])-3))</f>
        <v>0</v>
      </c>
      <c r="C56" s="243"/>
      <c r="D56" s="180"/>
      <c r="E56">
        <f t="shared" si="0"/>
        <v>0</v>
      </c>
      <c r="F56" t="str">
        <f>IFERROR(Tab_Compteur_1[[#This Row],[Quantité ]]/Tab_Compteur_1[[#This Row],[Delta Jour]],"")</f>
        <v/>
      </c>
      <c r="G56" t="str">
        <f>IFERROR(Tab_Compteur_1[[#This Row],[Montant TTC]]/Tab_Compteur_1[[#This Row],[Delta Jour]],"")</f>
        <v/>
      </c>
      <c r="H56" s="42"/>
      <c r="I56" s="42"/>
      <c r="J56" s="42"/>
      <c r="K56" s="42"/>
      <c r="L56" s="42"/>
    </row>
    <row r="57" spans="1:12" x14ac:dyDescent="0.25">
      <c r="A57" s="3">
        <f t="shared" si="1"/>
        <v>1</v>
      </c>
      <c r="B57" s="144">
        <f>EDATE($B$3,Site!$I$33*(ROW(Tab_Compteur_1[[#This Row],[Début de période]])-3))</f>
        <v>0</v>
      </c>
      <c r="C57" s="243"/>
      <c r="D57" s="180"/>
      <c r="E57">
        <f t="shared" si="0"/>
        <v>0</v>
      </c>
      <c r="F57" t="str">
        <f>IFERROR(Tab_Compteur_1[[#This Row],[Quantité ]]/Tab_Compteur_1[[#This Row],[Delta Jour]],"")</f>
        <v/>
      </c>
      <c r="G57" t="str">
        <f>IFERROR(Tab_Compteur_1[[#This Row],[Montant TTC]]/Tab_Compteur_1[[#This Row],[Delta Jour]],"")</f>
        <v/>
      </c>
      <c r="H57" s="42"/>
      <c r="I57" s="42"/>
      <c r="J57" s="42"/>
      <c r="K57" s="42"/>
      <c r="L57" s="42"/>
    </row>
    <row r="58" spans="1:12" x14ac:dyDescent="0.25">
      <c r="A58" s="3">
        <f t="shared" si="1"/>
        <v>1</v>
      </c>
      <c r="B58" s="144">
        <f>EDATE($B$3,Site!$I$33*(ROW(Tab_Compteur_1[[#This Row],[Début de période]])-3))</f>
        <v>0</v>
      </c>
      <c r="C58" s="243"/>
      <c r="D58" s="180"/>
      <c r="E58">
        <f t="shared" si="0"/>
        <v>0</v>
      </c>
      <c r="F58" t="str">
        <f>IFERROR(Tab_Compteur_1[[#This Row],[Quantité ]]/Tab_Compteur_1[[#This Row],[Delta Jour]],"")</f>
        <v/>
      </c>
      <c r="G58" t="str">
        <f>IFERROR(Tab_Compteur_1[[#This Row],[Montant TTC]]/Tab_Compteur_1[[#This Row],[Delta Jour]],"")</f>
        <v/>
      </c>
      <c r="H58" s="42"/>
      <c r="I58" s="42"/>
      <c r="J58" s="42"/>
      <c r="K58" s="42"/>
      <c r="L58" s="42"/>
    </row>
    <row r="59" spans="1:12" x14ac:dyDescent="0.25">
      <c r="A59" s="3">
        <f t="shared" si="1"/>
        <v>1</v>
      </c>
      <c r="B59" s="144">
        <f>EDATE($B$3,Site!$I$33*(ROW(Tab_Compteur_1[[#This Row],[Début de période]])-3))</f>
        <v>0</v>
      </c>
      <c r="C59" s="243"/>
      <c r="D59" s="180"/>
      <c r="E59">
        <f t="shared" si="0"/>
        <v>0</v>
      </c>
      <c r="F59" t="str">
        <f>IFERROR(Tab_Compteur_1[[#This Row],[Quantité ]]/Tab_Compteur_1[[#This Row],[Delta Jour]],"")</f>
        <v/>
      </c>
      <c r="G59" t="str">
        <f>IFERROR(Tab_Compteur_1[[#This Row],[Montant TTC]]/Tab_Compteur_1[[#This Row],[Delta Jour]],"")</f>
        <v/>
      </c>
      <c r="H59" s="42"/>
      <c r="I59" s="42"/>
      <c r="J59" s="42"/>
      <c r="K59" s="42"/>
      <c r="L59" s="42"/>
    </row>
    <row r="60" spans="1:12" x14ac:dyDescent="0.25">
      <c r="A60" s="3">
        <f t="shared" si="1"/>
        <v>1</v>
      </c>
      <c r="B60" s="144">
        <f>EDATE($B$3,Site!$I$33*(ROW(Tab_Compteur_1[[#This Row],[Début de période]])-3))</f>
        <v>0</v>
      </c>
      <c r="C60" s="243"/>
      <c r="D60" s="180"/>
      <c r="E60">
        <f t="shared" si="0"/>
        <v>0</v>
      </c>
      <c r="F60" t="str">
        <f>IFERROR(Tab_Compteur_1[[#This Row],[Quantité ]]/Tab_Compteur_1[[#This Row],[Delta Jour]],"")</f>
        <v/>
      </c>
      <c r="G60" t="str">
        <f>IFERROR(Tab_Compteur_1[[#This Row],[Montant TTC]]/Tab_Compteur_1[[#This Row],[Delta Jour]],"")</f>
        <v/>
      </c>
      <c r="H60" s="42"/>
      <c r="I60" s="42"/>
      <c r="J60" s="42"/>
      <c r="K60" s="42"/>
      <c r="L60" s="42"/>
    </row>
    <row r="61" spans="1:12" x14ac:dyDescent="0.25">
      <c r="A61" s="3">
        <f t="shared" si="1"/>
        <v>1</v>
      </c>
      <c r="B61" s="144">
        <f>EDATE($B$3,Site!$I$33*(ROW(Tab_Compteur_1[[#This Row],[Début de période]])-3))</f>
        <v>0</v>
      </c>
      <c r="C61" s="243"/>
      <c r="D61" s="180"/>
      <c r="E61">
        <f t="shared" si="0"/>
        <v>0</v>
      </c>
      <c r="F61" t="str">
        <f>IFERROR(Tab_Compteur_1[[#This Row],[Quantité ]]/Tab_Compteur_1[[#This Row],[Delta Jour]],"")</f>
        <v/>
      </c>
      <c r="G61" t="str">
        <f>IFERROR(Tab_Compteur_1[[#This Row],[Montant TTC]]/Tab_Compteur_1[[#This Row],[Delta Jour]],"")</f>
        <v/>
      </c>
      <c r="H61" s="42"/>
      <c r="I61" s="42"/>
      <c r="J61" s="42"/>
      <c r="K61" s="42"/>
      <c r="L61" s="42"/>
    </row>
    <row r="62" spans="1:12" x14ac:dyDescent="0.25">
      <c r="A62" s="3">
        <f t="shared" si="1"/>
        <v>1</v>
      </c>
      <c r="B62" s="144">
        <f>EDATE($B$3,Site!$I$33*(ROW(Tab_Compteur_1[[#This Row],[Début de période]])-3))</f>
        <v>0</v>
      </c>
      <c r="C62" s="243"/>
      <c r="D62" s="180"/>
      <c r="E62">
        <f t="shared" si="0"/>
        <v>0</v>
      </c>
      <c r="F62" t="str">
        <f>IFERROR(Tab_Compteur_1[[#This Row],[Quantité ]]/Tab_Compteur_1[[#This Row],[Delta Jour]],"")</f>
        <v/>
      </c>
      <c r="G62" t="str">
        <f>IFERROR(Tab_Compteur_1[[#This Row],[Montant TTC]]/Tab_Compteur_1[[#This Row],[Delta Jour]],"")</f>
        <v/>
      </c>
      <c r="H62" s="42"/>
      <c r="I62" s="42"/>
      <c r="J62" s="42"/>
      <c r="K62" s="42"/>
      <c r="L62" s="42"/>
    </row>
    <row r="63" spans="1:12" x14ac:dyDescent="0.25">
      <c r="A63" s="3">
        <f t="shared" si="1"/>
        <v>1</v>
      </c>
      <c r="B63" s="144">
        <f>EDATE($B$3,Site!$I$33*(ROW(Tab_Compteur_1[[#This Row],[Début de période]])-3))</f>
        <v>0</v>
      </c>
      <c r="C63" s="243"/>
      <c r="D63" s="180"/>
      <c r="E63">
        <f t="shared" si="0"/>
        <v>0</v>
      </c>
      <c r="F63" t="str">
        <f>IFERROR(Tab_Compteur_1[[#This Row],[Quantité ]]/Tab_Compteur_1[[#This Row],[Delta Jour]],"")</f>
        <v/>
      </c>
      <c r="G63" t="str">
        <f>IFERROR(Tab_Compteur_1[[#This Row],[Montant TTC]]/Tab_Compteur_1[[#This Row],[Delta Jour]],"")</f>
        <v/>
      </c>
      <c r="H63" s="42"/>
      <c r="I63" s="42"/>
      <c r="J63" s="42"/>
      <c r="K63" s="42"/>
      <c r="L63" s="42"/>
    </row>
    <row r="64" spans="1:12" x14ac:dyDescent="0.25">
      <c r="A64" s="3">
        <f t="shared" si="1"/>
        <v>1</v>
      </c>
      <c r="B64" s="144">
        <f>EDATE($B$3,Site!$I$33*(ROW(Tab_Compteur_1[[#This Row],[Début de période]])-3))</f>
        <v>0</v>
      </c>
      <c r="C64" s="243"/>
      <c r="D64" s="180"/>
      <c r="E64">
        <f t="shared" si="0"/>
        <v>0</v>
      </c>
      <c r="F64" t="str">
        <f>IFERROR(Tab_Compteur_1[[#This Row],[Quantité ]]/Tab_Compteur_1[[#This Row],[Delta Jour]],"")</f>
        <v/>
      </c>
      <c r="G64" t="str">
        <f>IFERROR(Tab_Compteur_1[[#This Row],[Montant TTC]]/Tab_Compteur_1[[#This Row],[Delta Jour]],"")</f>
        <v/>
      </c>
      <c r="H64" s="42"/>
      <c r="I64" s="42"/>
      <c r="J64" s="42"/>
      <c r="K64" s="42"/>
      <c r="L64" s="42"/>
    </row>
    <row r="65" spans="1:12" x14ac:dyDescent="0.25">
      <c r="A65" s="3">
        <f t="shared" si="1"/>
        <v>1</v>
      </c>
      <c r="B65" s="144">
        <f>EDATE($B$3,Site!$I$33*(ROW(Tab_Compteur_1[[#This Row],[Début de période]])-3))</f>
        <v>0</v>
      </c>
      <c r="C65" s="243"/>
      <c r="D65" s="180"/>
      <c r="E65">
        <f t="shared" si="0"/>
        <v>0</v>
      </c>
      <c r="F65" t="str">
        <f>IFERROR(Tab_Compteur_1[[#This Row],[Quantité ]]/Tab_Compteur_1[[#This Row],[Delta Jour]],"")</f>
        <v/>
      </c>
      <c r="G65" t="str">
        <f>IFERROR(Tab_Compteur_1[[#This Row],[Montant TTC]]/Tab_Compteur_1[[#This Row],[Delta Jour]],"")</f>
        <v/>
      </c>
      <c r="H65" s="42"/>
      <c r="I65" s="42"/>
      <c r="J65" s="42"/>
      <c r="K65" s="42"/>
      <c r="L65" s="42"/>
    </row>
    <row r="66" spans="1:12" x14ac:dyDescent="0.25">
      <c r="A66" s="3">
        <f t="shared" si="1"/>
        <v>1</v>
      </c>
      <c r="B66" s="144">
        <f>EDATE($B$3,Site!$I$33*(ROW(Tab_Compteur_1[[#This Row],[Début de période]])-3))</f>
        <v>0</v>
      </c>
      <c r="C66" s="243"/>
      <c r="D66" s="180"/>
      <c r="E66">
        <f t="shared" si="0"/>
        <v>0</v>
      </c>
      <c r="F66" t="str">
        <f>IFERROR(Tab_Compteur_1[[#This Row],[Quantité ]]/Tab_Compteur_1[[#This Row],[Delta Jour]],"")</f>
        <v/>
      </c>
      <c r="G66" t="str">
        <f>IFERROR(Tab_Compteur_1[[#This Row],[Montant TTC]]/Tab_Compteur_1[[#This Row],[Delta Jour]],"")</f>
        <v/>
      </c>
      <c r="H66" s="42"/>
      <c r="I66" s="42"/>
      <c r="J66" s="42"/>
      <c r="K66" s="42"/>
      <c r="L66" s="42"/>
    </row>
    <row r="67" spans="1:12" x14ac:dyDescent="0.25">
      <c r="A67" s="3">
        <f t="shared" si="1"/>
        <v>1</v>
      </c>
      <c r="B67" s="144">
        <f>EDATE($B$3,Site!$I$33*(ROW(Tab_Compteur_1[[#This Row],[Début de période]])-3))</f>
        <v>0</v>
      </c>
      <c r="C67" s="243"/>
      <c r="D67" s="180"/>
      <c r="E67">
        <f t="shared" si="0"/>
        <v>0</v>
      </c>
      <c r="F67" t="str">
        <f>IFERROR(Tab_Compteur_1[[#This Row],[Quantité ]]/Tab_Compteur_1[[#This Row],[Delta Jour]],"")</f>
        <v/>
      </c>
      <c r="G67" t="str">
        <f>IFERROR(Tab_Compteur_1[[#This Row],[Montant TTC]]/Tab_Compteur_1[[#This Row],[Delta Jour]],"")</f>
        <v/>
      </c>
      <c r="H67" s="42"/>
      <c r="I67" s="42"/>
      <c r="J67" s="42"/>
      <c r="K67" s="42"/>
      <c r="L67" s="42"/>
    </row>
    <row r="68" spans="1:12" x14ac:dyDescent="0.25">
      <c r="A68" s="3">
        <f t="shared" si="1"/>
        <v>1</v>
      </c>
      <c r="B68" s="144">
        <f>EDATE($B$3,Site!$I$33*(ROW(Tab_Compteur_1[[#This Row],[Début de période]])-3))</f>
        <v>0</v>
      </c>
      <c r="C68" s="243"/>
      <c r="D68" s="180"/>
      <c r="E68">
        <f t="shared" ref="E68:E131" si="2">IFERROR(B68-A68+1,"")</f>
        <v>0</v>
      </c>
      <c r="F68" t="str">
        <f>IFERROR(Tab_Compteur_1[[#This Row],[Quantité ]]/Tab_Compteur_1[[#This Row],[Delta Jour]],"")</f>
        <v/>
      </c>
      <c r="G68" t="str">
        <f>IFERROR(Tab_Compteur_1[[#This Row],[Montant TTC]]/Tab_Compteur_1[[#This Row],[Delta Jour]],"")</f>
        <v/>
      </c>
      <c r="H68" s="42"/>
      <c r="I68" s="42"/>
      <c r="J68" s="42"/>
      <c r="K68" s="42"/>
      <c r="L68" s="42"/>
    </row>
    <row r="69" spans="1:12" x14ac:dyDescent="0.25">
      <c r="A69" s="3">
        <f t="shared" ref="A69:A132" si="3">B68+1</f>
        <v>1</v>
      </c>
      <c r="B69" s="144">
        <f>EDATE($B$3,Site!$I$33*(ROW(Tab_Compteur_1[[#This Row],[Début de période]])-3))</f>
        <v>0</v>
      </c>
      <c r="C69" s="243"/>
      <c r="D69" s="180"/>
      <c r="E69">
        <f t="shared" si="2"/>
        <v>0</v>
      </c>
      <c r="F69" t="str">
        <f>IFERROR(Tab_Compteur_1[[#This Row],[Quantité ]]/Tab_Compteur_1[[#This Row],[Delta Jour]],"")</f>
        <v/>
      </c>
      <c r="G69" t="str">
        <f>IFERROR(Tab_Compteur_1[[#This Row],[Montant TTC]]/Tab_Compteur_1[[#This Row],[Delta Jour]],"")</f>
        <v/>
      </c>
      <c r="H69" s="42"/>
      <c r="I69" s="42"/>
      <c r="J69" s="42"/>
      <c r="K69" s="42"/>
      <c r="L69" s="42"/>
    </row>
    <row r="70" spans="1:12" x14ac:dyDescent="0.25">
      <c r="A70" s="3">
        <f t="shared" si="3"/>
        <v>1</v>
      </c>
      <c r="B70" s="144">
        <f>EDATE($B$3,Site!$I$33*(ROW(Tab_Compteur_1[[#This Row],[Début de période]])-3))</f>
        <v>0</v>
      </c>
      <c r="C70" s="243"/>
      <c r="D70" s="180"/>
      <c r="E70">
        <f t="shared" si="2"/>
        <v>0</v>
      </c>
      <c r="F70" t="str">
        <f>IFERROR(Tab_Compteur_1[[#This Row],[Quantité ]]/Tab_Compteur_1[[#This Row],[Delta Jour]],"")</f>
        <v/>
      </c>
      <c r="G70" t="str">
        <f>IFERROR(Tab_Compteur_1[[#This Row],[Montant TTC]]/Tab_Compteur_1[[#This Row],[Delta Jour]],"")</f>
        <v/>
      </c>
      <c r="H70" s="42"/>
      <c r="I70" s="42"/>
      <c r="J70" s="42"/>
      <c r="K70" s="42"/>
      <c r="L70" s="42"/>
    </row>
    <row r="71" spans="1:12" x14ac:dyDescent="0.25">
      <c r="A71" s="3">
        <f t="shared" si="3"/>
        <v>1</v>
      </c>
      <c r="B71" s="144">
        <f>EDATE($B$3,Site!$I$33*(ROW(Tab_Compteur_1[[#This Row],[Début de période]])-3))</f>
        <v>0</v>
      </c>
      <c r="C71" s="243"/>
      <c r="D71" s="180"/>
      <c r="E71">
        <f t="shared" si="2"/>
        <v>0</v>
      </c>
      <c r="F71" t="str">
        <f>IFERROR(Tab_Compteur_1[[#This Row],[Quantité ]]/Tab_Compteur_1[[#This Row],[Delta Jour]],"")</f>
        <v/>
      </c>
      <c r="G71" t="str">
        <f>IFERROR(Tab_Compteur_1[[#This Row],[Montant TTC]]/Tab_Compteur_1[[#This Row],[Delta Jour]],"")</f>
        <v/>
      </c>
      <c r="H71" s="42"/>
      <c r="I71" s="42"/>
      <c r="J71" s="42"/>
      <c r="K71" s="42"/>
      <c r="L71" s="42"/>
    </row>
    <row r="72" spans="1:12" x14ac:dyDescent="0.25">
      <c r="A72" s="3">
        <f t="shared" si="3"/>
        <v>1</v>
      </c>
      <c r="B72" s="144">
        <f>EDATE($B$3,Site!$I$33*(ROW(Tab_Compteur_1[[#This Row],[Début de période]])-3))</f>
        <v>0</v>
      </c>
      <c r="C72" s="243"/>
      <c r="D72" s="180"/>
      <c r="E72">
        <f t="shared" si="2"/>
        <v>0</v>
      </c>
      <c r="F72" t="str">
        <f>IFERROR(Tab_Compteur_1[[#This Row],[Quantité ]]/Tab_Compteur_1[[#This Row],[Delta Jour]],"")</f>
        <v/>
      </c>
      <c r="G72" t="str">
        <f>IFERROR(Tab_Compteur_1[[#This Row],[Montant TTC]]/Tab_Compteur_1[[#This Row],[Delta Jour]],"")</f>
        <v/>
      </c>
      <c r="H72" s="42"/>
      <c r="I72" s="42"/>
      <c r="J72" s="42"/>
      <c r="K72" s="42"/>
      <c r="L72" s="42"/>
    </row>
    <row r="73" spans="1:12" x14ac:dyDescent="0.25">
      <c r="A73" s="3">
        <f t="shared" si="3"/>
        <v>1</v>
      </c>
      <c r="B73" s="144">
        <f>EDATE($B$3,Site!$I$33*(ROW(Tab_Compteur_1[[#This Row],[Début de période]])-3))</f>
        <v>0</v>
      </c>
      <c r="C73" s="243"/>
      <c r="D73" s="180"/>
      <c r="E73">
        <f t="shared" si="2"/>
        <v>0</v>
      </c>
      <c r="F73" t="str">
        <f>IFERROR(Tab_Compteur_1[[#This Row],[Quantité ]]/Tab_Compteur_1[[#This Row],[Delta Jour]],"")</f>
        <v/>
      </c>
      <c r="G73" t="str">
        <f>IFERROR(Tab_Compteur_1[[#This Row],[Montant TTC]]/Tab_Compteur_1[[#This Row],[Delta Jour]],"")</f>
        <v/>
      </c>
      <c r="H73" s="42"/>
      <c r="I73" s="42"/>
      <c r="J73" s="42"/>
      <c r="K73" s="42"/>
      <c r="L73" s="42"/>
    </row>
    <row r="74" spans="1:12" x14ac:dyDescent="0.25">
      <c r="A74" s="3">
        <f t="shared" si="3"/>
        <v>1</v>
      </c>
      <c r="B74" s="144">
        <f>EDATE($B$3,Site!$I$33*(ROW(Tab_Compteur_1[[#This Row],[Début de période]])-3))</f>
        <v>0</v>
      </c>
      <c r="C74" s="243"/>
      <c r="D74" s="180"/>
      <c r="E74">
        <f t="shared" si="2"/>
        <v>0</v>
      </c>
      <c r="F74" t="str">
        <f>IFERROR(Tab_Compteur_1[[#This Row],[Quantité ]]/Tab_Compteur_1[[#This Row],[Delta Jour]],"")</f>
        <v/>
      </c>
      <c r="G74" t="str">
        <f>IFERROR(Tab_Compteur_1[[#This Row],[Montant TTC]]/Tab_Compteur_1[[#This Row],[Delta Jour]],"")</f>
        <v/>
      </c>
      <c r="H74" s="42"/>
      <c r="I74" s="42"/>
      <c r="J74" s="42"/>
      <c r="K74" s="42"/>
      <c r="L74" s="42"/>
    </row>
    <row r="75" spans="1:12" x14ac:dyDescent="0.25">
      <c r="A75" s="3">
        <f t="shared" si="3"/>
        <v>1</v>
      </c>
      <c r="B75" s="144">
        <f>EDATE($B$3,Site!$I$33*(ROW(Tab_Compteur_1[[#This Row],[Début de période]])-3))</f>
        <v>0</v>
      </c>
      <c r="C75" s="243"/>
      <c r="D75" s="180"/>
      <c r="E75">
        <f t="shared" si="2"/>
        <v>0</v>
      </c>
      <c r="F75" t="str">
        <f>IFERROR(Tab_Compteur_1[[#This Row],[Quantité ]]/Tab_Compteur_1[[#This Row],[Delta Jour]],"")</f>
        <v/>
      </c>
      <c r="G75" t="str">
        <f>IFERROR(Tab_Compteur_1[[#This Row],[Montant TTC]]/Tab_Compteur_1[[#This Row],[Delta Jour]],"")</f>
        <v/>
      </c>
      <c r="H75" s="42"/>
      <c r="I75" s="42"/>
      <c r="J75" s="42"/>
      <c r="K75" s="42"/>
      <c r="L75" s="42"/>
    </row>
    <row r="76" spans="1:12" x14ac:dyDescent="0.25">
      <c r="A76" s="3">
        <f t="shared" si="3"/>
        <v>1</v>
      </c>
      <c r="B76" s="144">
        <f>EDATE($B$3,Site!$I$33*(ROW(Tab_Compteur_1[[#This Row],[Début de période]])-3))</f>
        <v>0</v>
      </c>
      <c r="C76" s="243"/>
      <c r="D76" s="180"/>
      <c r="E76">
        <f t="shared" si="2"/>
        <v>0</v>
      </c>
      <c r="F76" t="str">
        <f>IFERROR(Tab_Compteur_1[[#This Row],[Quantité ]]/Tab_Compteur_1[[#This Row],[Delta Jour]],"")</f>
        <v/>
      </c>
      <c r="G76" t="str">
        <f>IFERROR(Tab_Compteur_1[[#This Row],[Montant TTC]]/Tab_Compteur_1[[#This Row],[Delta Jour]],"")</f>
        <v/>
      </c>
      <c r="H76" s="42"/>
      <c r="I76" s="42"/>
      <c r="J76" s="42"/>
      <c r="K76" s="42"/>
      <c r="L76" s="42"/>
    </row>
    <row r="77" spans="1:12" x14ac:dyDescent="0.25">
      <c r="A77" s="3">
        <f t="shared" si="3"/>
        <v>1</v>
      </c>
      <c r="B77" s="144">
        <f>EDATE($B$3,Site!$I$33*(ROW(Tab_Compteur_1[[#This Row],[Début de période]])-3))</f>
        <v>0</v>
      </c>
      <c r="C77" s="243"/>
      <c r="D77" s="180"/>
      <c r="E77">
        <f t="shared" si="2"/>
        <v>0</v>
      </c>
      <c r="F77" t="str">
        <f>IFERROR(Tab_Compteur_1[[#This Row],[Quantité ]]/Tab_Compteur_1[[#This Row],[Delta Jour]],"")</f>
        <v/>
      </c>
      <c r="G77" t="str">
        <f>IFERROR(Tab_Compteur_1[[#This Row],[Montant TTC]]/Tab_Compteur_1[[#This Row],[Delta Jour]],"")</f>
        <v/>
      </c>
      <c r="H77" s="42"/>
      <c r="I77" s="42"/>
      <c r="J77" s="42"/>
      <c r="K77" s="42"/>
      <c r="L77" s="42"/>
    </row>
    <row r="78" spans="1:12" x14ac:dyDescent="0.25">
      <c r="A78" s="3">
        <f t="shared" si="3"/>
        <v>1</v>
      </c>
      <c r="B78" s="144">
        <f>EDATE($B$3,Site!$I$33*(ROW(Tab_Compteur_1[[#This Row],[Début de période]])-3))</f>
        <v>0</v>
      </c>
      <c r="C78" s="243"/>
      <c r="D78" s="180"/>
      <c r="E78">
        <f t="shared" si="2"/>
        <v>0</v>
      </c>
      <c r="F78" t="str">
        <f>IFERROR(Tab_Compteur_1[[#This Row],[Quantité ]]/Tab_Compteur_1[[#This Row],[Delta Jour]],"")</f>
        <v/>
      </c>
      <c r="G78" t="str">
        <f>IFERROR(Tab_Compteur_1[[#This Row],[Montant TTC]]/Tab_Compteur_1[[#This Row],[Delta Jour]],"")</f>
        <v/>
      </c>
      <c r="H78" s="42"/>
      <c r="I78" s="42"/>
      <c r="J78" s="42"/>
      <c r="K78" s="42"/>
      <c r="L78" s="42"/>
    </row>
    <row r="79" spans="1:12" x14ac:dyDescent="0.25">
      <c r="A79" s="3">
        <f t="shared" si="3"/>
        <v>1</v>
      </c>
      <c r="B79" s="144">
        <f>EDATE($B$3,Site!$I$33*(ROW(Tab_Compteur_1[[#This Row],[Début de période]])-3))</f>
        <v>0</v>
      </c>
      <c r="C79" s="243"/>
      <c r="D79" s="180"/>
      <c r="E79">
        <f t="shared" si="2"/>
        <v>0</v>
      </c>
      <c r="F79" t="str">
        <f>IFERROR(Tab_Compteur_1[[#This Row],[Quantité ]]/Tab_Compteur_1[[#This Row],[Delta Jour]],"")</f>
        <v/>
      </c>
      <c r="G79" t="str">
        <f>IFERROR(Tab_Compteur_1[[#This Row],[Montant TTC]]/Tab_Compteur_1[[#This Row],[Delta Jour]],"")</f>
        <v/>
      </c>
      <c r="H79" s="42"/>
      <c r="I79" s="42"/>
      <c r="J79" s="42"/>
      <c r="K79" s="42"/>
      <c r="L79" s="42"/>
    </row>
    <row r="80" spans="1:12" x14ac:dyDescent="0.25">
      <c r="A80" s="3">
        <f t="shared" si="3"/>
        <v>1</v>
      </c>
      <c r="B80" s="144">
        <f>EDATE($B$3,Site!$I$33*(ROW(Tab_Compteur_1[[#This Row],[Début de période]])-3))</f>
        <v>0</v>
      </c>
      <c r="C80" s="243"/>
      <c r="D80" s="180"/>
      <c r="E80">
        <f t="shared" si="2"/>
        <v>0</v>
      </c>
      <c r="F80" t="str">
        <f>IFERROR(Tab_Compteur_1[[#This Row],[Quantité ]]/Tab_Compteur_1[[#This Row],[Delta Jour]],"")</f>
        <v/>
      </c>
      <c r="G80" t="str">
        <f>IFERROR(Tab_Compteur_1[[#This Row],[Montant TTC]]/Tab_Compteur_1[[#This Row],[Delta Jour]],"")</f>
        <v/>
      </c>
      <c r="H80" s="42"/>
      <c r="I80" s="42"/>
      <c r="J80" s="42"/>
      <c r="K80" s="42"/>
      <c r="L80" s="42"/>
    </row>
    <row r="81" spans="1:12" x14ac:dyDescent="0.25">
      <c r="A81" s="3">
        <f t="shared" si="3"/>
        <v>1</v>
      </c>
      <c r="B81" s="144">
        <f>EDATE($B$3,Site!$I$33*(ROW(Tab_Compteur_1[[#This Row],[Début de période]])-3))</f>
        <v>0</v>
      </c>
      <c r="C81" s="243"/>
      <c r="D81" s="180"/>
      <c r="E81">
        <f t="shared" si="2"/>
        <v>0</v>
      </c>
      <c r="F81" t="str">
        <f>IFERROR(Tab_Compteur_1[[#This Row],[Quantité ]]/Tab_Compteur_1[[#This Row],[Delta Jour]],"")</f>
        <v/>
      </c>
      <c r="G81" t="str">
        <f>IFERROR(Tab_Compteur_1[[#This Row],[Montant TTC]]/Tab_Compteur_1[[#This Row],[Delta Jour]],"")</f>
        <v/>
      </c>
      <c r="H81" s="42"/>
      <c r="I81" s="42"/>
      <c r="J81" s="42"/>
      <c r="K81" s="42"/>
      <c r="L81" s="42"/>
    </row>
    <row r="82" spans="1:12" x14ac:dyDescent="0.25">
      <c r="A82" s="3">
        <f t="shared" si="3"/>
        <v>1</v>
      </c>
      <c r="B82" s="144">
        <f>EDATE($B$3,Site!$I$33*(ROW(Tab_Compteur_1[[#This Row],[Début de période]])-3))</f>
        <v>0</v>
      </c>
      <c r="C82" s="243"/>
      <c r="D82" s="180"/>
      <c r="E82">
        <f t="shared" si="2"/>
        <v>0</v>
      </c>
      <c r="F82" t="str">
        <f>IFERROR(Tab_Compteur_1[[#This Row],[Quantité ]]/Tab_Compteur_1[[#This Row],[Delta Jour]],"")</f>
        <v/>
      </c>
      <c r="G82" t="str">
        <f>IFERROR(Tab_Compteur_1[[#This Row],[Montant TTC]]/Tab_Compteur_1[[#This Row],[Delta Jour]],"")</f>
        <v/>
      </c>
      <c r="H82" s="42"/>
      <c r="I82" s="42"/>
      <c r="J82" s="42"/>
      <c r="K82" s="42"/>
      <c r="L82" s="42"/>
    </row>
    <row r="83" spans="1:12" x14ac:dyDescent="0.25">
      <c r="A83" s="3">
        <f t="shared" si="3"/>
        <v>1</v>
      </c>
      <c r="B83" s="144">
        <f>EDATE($B$3,Site!$I$33*(ROW(Tab_Compteur_1[[#This Row],[Début de période]])-3))</f>
        <v>0</v>
      </c>
      <c r="C83" s="243"/>
      <c r="D83" s="180"/>
      <c r="E83">
        <f t="shared" si="2"/>
        <v>0</v>
      </c>
      <c r="F83" t="str">
        <f>IFERROR(Tab_Compteur_1[[#This Row],[Quantité ]]/Tab_Compteur_1[[#This Row],[Delta Jour]],"")</f>
        <v/>
      </c>
      <c r="G83" t="str">
        <f>IFERROR(Tab_Compteur_1[[#This Row],[Montant TTC]]/Tab_Compteur_1[[#This Row],[Delta Jour]],"")</f>
        <v/>
      </c>
      <c r="H83" s="42"/>
      <c r="I83" s="42"/>
      <c r="J83" s="42"/>
      <c r="K83" s="42"/>
      <c r="L83" s="42"/>
    </row>
    <row r="84" spans="1:12" x14ac:dyDescent="0.25">
      <c r="A84" s="3">
        <f t="shared" si="3"/>
        <v>1</v>
      </c>
      <c r="B84" s="144">
        <f>EDATE($B$3,Site!$I$33*(ROW(Tab_Compteur_1[[#This Row],[Début de période]])-3))</f>
        <v>0</v>
      </c>
      <c r="C84" s="243"/>
      <c r="D84" s="180"/>
      <c r="E84">
        <f t="shared" si="2"/>
        <v>0</v>
      </c>
      <c r="F84" t="str">
        <f>IFERROR(Tab_Compteur_1[[#This Row],[Quantité ]]/Tab_Compteur_1[[#This Row],[Delta Jour]],"")</f>
        <v/>
      </c>
      <c r="G84" t="str">
        <f>IFERROR(Tab_Compteur_1[[#This Row],[Montant TTC]]/Tab_Compteur_1[[#This Row],[Delta Jour]],"")</f>
        <v/>
      </c>
      <c r="H84" s="42"/>
      <c r="I84" s="42"/>
      <c r="J84" s="42"/>
      <c r="K84" s="42"/>
      <c r="L84" s="42"/>
    </row>
    <row r="85" spans="1:12" x14ac:dyDescent="0.25">
      <c r="A85" s="3">
        <f t="shared" si="3"/>
        <v>1</v>
      </c>
      <c r="B85" s="144">
        <f>EDATE($B$3,Site!$I$33*(ROW(Tab_Compteur_1[[#This Row],[Début de période]])-3))</f>
        <v>0</v>
      </c>
      <c r="C85" s="243"/>
      <c r="D85" s="180"/>
      <c r="E85">
        <f t="shared" si="2"/>
        <v>0</v>
      </c>
      <c r="F85" t="str">
        <f>IFERROR(Tab_Compteur_1[[#This Row],[Quantité ]]/Tab_Compteur_1[[#This Row],[Delta Jour]],"")</f>
        <v/>
      </c>
      <c r="G85" t="str">
        <f>IFERROR(Tab_Compteur_1[[#This Row],[Montant TTC]]/Tab_Compteur_1[[#This Row],[Delta Jour]],"")</f>
        <v/>
      </c>
      <c r="H85" s="42"/>
      <c r="I85" s="42"/>
      <c r="J85" s="42"/>
      <c r="K85" s="42"/>
      <c r="L85" s="42"/>
    </row>
    <row r="86" spans="1:12" x14ac:dyDescent="0.25">
      <c r="A86" s="3">
        <f t="shared" si="3"/>
        <v>1</v>
      </c>
      <c r="B86" s="144">
        <f>EDATE($B$3,Site!$I$33*(ROW(Tab_Compteur_1[[#This Row],[Début de période]])-3))</f>
        <v>0</v>
      </c>
      <c r="C86" s="243"/>
      <c r="D86" s="180"/>
      <c r="E86">
        <f t="shared" si="2"/>
        <v>0</v>
      </c>
      <c r="F86" t="str">
        <f>IFERROR(Tab_Compteur_1[[#This Row],[Quantité ]]/Tab_Compteur_1[[#This Row],[Delta Jour]],"")</f>
        <v/>
      </c>
      <c r="G86" t="str">
        <f>IFERROR(Tab_Compteur_1[[#This Row],[Montant TTC]]/Tab_Compteur_1[[#This Row],[Delta Jour]],"")</f>
        <v/>
      </c>
      <c r="H86" s="42"/>
      <c r="I86" s="42"/>
      <c r="J86" s="42"/>
      <c r="K86" s="42"/>
      <c r="L86" s="42"/>
    </row>
    <row r="87" spans="1:12" x14ac:dyDescent="0.25">
      <c r="A87" s="3">
        <f t="shared" si="3"/>
        <v>1</v>
      </c>
      <c r="B87" s="144">
        <f>EDATE($B$3,Site!$I$33*(ROW(Tab_Compteur_1[[#This Row],[Début de période]])-3))</f>
        <v>0</v>
      </c>
      <c r="C87" s="243"/>
      <c r="D87" s="180"/>
      <c r="E87">
        <f t="shared" si="2"/>
        <v>0</v>
      </c>
      <c r="F87" t="str">
        <f>IFERROR(Tab_Compteur_1[[#This Row],[Quantité ]]/Tab_Compteur_1[[#This Row],[Delta Jour]],"")</f>
        <v/>
      </c>
      <c r="G87" t="str">
        <f>IFERROR(Tab_Compteur_1[[#This Row],[Montant TTC]]/Tab_Compteur_1[[#This Row],[Delta Jour]],"")</f>
        <v/>
      </c>
      <c r="H87" s="42"/>
      <c r="I87" s="42"/>
      <c r="J87" s="42"/>
      <c r="K87" s="42"/>
      <c r="L87" s="42"/>
    </row>
    <row r="88" spans="1:12" x14ac:dyDescent="0.25">
      <c r="A88" s="3">
        <f t="shared" si="3"/>
        <v>1</v>
      </c>
      <c r="B88" s="144">
        <f>EDATE($B$3,Site!$I$33*(ROW(Tab_Compteur_1[[#This Row],[Début de période]])-3))</f>
        <v>0</v>
      </c>
      <c r="C88" s="243"/>
      <c r="D88" s="180"/>
      <c r="E88">
        <f t="shared" si="2"/>
        <v>0</v>
      </c>
      <c r="F88" t="str">
        <f>IFERROR(Tab_Compteur_1[[#This Row],[Quantité ]]/Tab_Compteur_1[[#This Row],[Delta Jour]],"")</f>
        <v/>
      </c>
      <c r="G88" t="str">
        <f>IFERROR(Tab_Compteur_1[[#This Row],[Montant TTC]]/Tab_Compteur_1[[#This Row],[Delta Jour]],"")</f>
        <v/>
      </c>
      <c r="H88" s="42"/>
      <c r="I88" s="42"/>
      <c r="J88" s="42"/>
      <c r="K88" s="42"/>
      <c r="L88" s="42"/>
    </row>
    <row r="89" spans="1:12" x14ac:dyDescent="0.25">
      <c r="A89" s="3">
        <f t="shared" si="3"/>
        <v>1</v>
      </c>
      <c r="B89" s="144">
        <f>EDATE($B$3,Site!$I$33*(ROW(Tab_Compteur_1[[#This Row],[Début de période]])-3))</f>
        <v>0</v>
      </c>
      <c r="C89" s="243"/>
      <c r="D89" s="180"/>
      <c r="E89">
        <f t="shared" si="2"/>
        <v>0</v>
      </c>
      <c r="F89" t="str">
        <f>IFERROR(Tab_Compteur_1[[#This Row],[Quantité ]]/Tab_Compteur_1[[#This Row],[Delta Jour]],"")</f>
        <v/>
      </c>
      <c r="G89" t="str">
        <f>IFERROR(Tab_Compteur_1[[#This Row],[Montant TTC]]/Tab_Compteur_1[[#This Row],[Delta Jour]],"")</f>
        <v/>
      </c>
      <c r="H89" s="42"/>
      <c r="I89" s="42"/>
      <c r="J89" s="42"/>
      <c r="K89" s="42"/>
      <c r="L89" s="42"/>
    </row>
    <row r="90" spans="1:12" x14ac:dyDescent="0.25">
      <c r="A90" s="3">
        <f t="shared" si="3"/>
        <v>1</v>
      </c>
      <c r="B90" s="144">
        <f>EDATE($B$3,Site!$I$33*(ROW(Tab_Compteur_1[[#This Row],[Début de période]])-3))</f>
        <v>0</v>
      </c>
      <c r="C90" s="243"/>
      <c r="D90" s="180"/>
      <c r="E90">
        <f t="shared" si="2"/>
        <v>0</v>
      </c>
      <c r="F90" t="str">
        <f>IFERROR(Tab_Compteur_1[[#This Row],[Quantité ]]/Tab_Compteur_1[[#This Row],[Delta Jour]],"")</f>
        <v/>
      </c>
      <c r="G90" t="str">
        <f>IFERROR(Tab_Compteur_1[[#This Row],[Montant TTC]]/Tab_Compteur_1[[#This Row],[Delta Jour]],"")</f>
        <v/>
      </c>
      <c r="H90" s="42"/>
      <c r="I90" s="42"/>
      <c r="J90" s="42"/>
      <c r="K90" s="42"/>
      <c r="L90" s="42"/>
    </row>
    <row r="91" spans="1:12" x14ac:dyDescent="0.25">
      <c r="A91" s="3">
        <f t="shared" si="3"/>
        <v>1</v>
      </c>
      <c r="B91" s="144">
        <f>EDATE($B$3,Site!$I$33*(ROW(Tab_Compteur_1[[#This Row],[Début de période]])-3))</f>
        <v>0</v>
      </c>
      <c r="C91" s="243"/>
      <c r="D91" s="180"/>
      <c r="E91">
        <f t="shared" si="2"/>
        <v>0</v>
      </c>
      <c r="F91" t="str">
        <f>IFERROR(Tab_Compteur_1[[#This Row],[Quantité ]]/Tab_Compteur_1[[#This Row],[Delta Jour]],"")</f>
        <v/>
      </c>
      <c r="G91" t="str">
        <f>IFERROR(Tab_Compteur_1[[#This Row],[Montant TTC]]/Tab_Compteur_1[[#This Row],[Delta Jour]],"")</f>
        <v/>
      </c>
      <c r="H91" s="42"/>
      <c r="I91" s="42"/>
      <c r="J91" s="42"/>
      <c r="K91" s="42"/>
      <c r="L91" s="42"/>
    </row>
    <row r="92" spans="1:12" x14ac:dyDescent="0.25">
      <c r="A92" s="3">
        <f t="shared" si="3"/>
        <v>1</v>
      </c>
      <c r="B92" s="144">
        <f>EDATE($B$3,Site!$I$33*(ROW(Tab_Compteur_1[[#This Row],[Début de période]])-3))</f>
        <v>0</v>
      </c>
      <c r="C92" s="243"/>
      <c r="D92" s="180"/>
      <c r="E92">
        <f t="shared" si="2"/>
        <v>0</v>
      </c>
      <c r="F92" t="str">
        <f>IFERROR(Tab_Compteur_1[[#This Row],[Quantité ]]/Tab_Compteur_1[[#This Row],[Delta Jour]],"")</f>
        <v/>
      </c>
      <c r="G92" t="str">
        <f>IFERROR(Tab_Compteur_1[[#This Row],[Montant TTC]]/Tab_Compteur_1[[#This Row],[Delta Jour]],"")</f>
        <v/>
      </c>
      <c r="H92" s="42"/>
      <c r="I92" s="42"/>
      <c r="J92" s="42"/>
      <c r="K92" s="42"/>
      <c r="L92" s="42"/>
    </row>
    <row r="93" spans="1:12" x14ac:dyDescent="0.25">
      <c r="A93" s="3">
        <f t="shared" si="3"/>
        <v>1</v>
      </c>
      <c r="B93" s="144">
        <f>EDATE($B$3,Site!$I$33*(ROW(Tab_Compteur_1[[#This Row],[Début de période]])-3))</f>
        <v>0</v>
      </c>
      <c r="C93" s="243"/>
      <c r="D93" s="180"/>
      <c r="E93">
        <f t="shared" si="2"/>
        <v>0</v>
      </c>
      <c r="F93" t="str">
        <f>IFERROR(Tab_Compteur_1[[#This Row],[Quantité ]]/Tab_Compteur_1[[#This Row],[Delta Jour]],"")</f>
        <v/>
      </c>
      <c r="G93" t="str">
        <f>IFERROR(Tab_Compteur_1[[#This Row],[Montant TTC]]/Tab_Compteur_1[[#This Row],[Delta Jour]],"")</f>
        <v/>
      </c>
      <c r="H93" s="42"/>
      <c r="I93" s="42"/>
      <c r="J93" s="42"/>
      <c r="K93" s="42"/>
      <c r="L93" s="42"/>
    </row>
    <row r="94" spans="1:12" x14ac:dyDescent="0.25">
      <c r="A94" s="3">
        <f t="shared" si="3"/>
        <v>1</v>
      </c>
      <c r="B94" s="144">
        <f>EDATE($B$3,Site!$I$33*(ROW(Tab_Compteur_1[[#This Row],[Début de période]])-3))</f>
        <v>0</v>
      </c>
      <c r="C94" s="243"/>
      <c r="D94" s="180"/>
      <c r="E94">
        <f t="shared" si="2"/>
        <v>0</v>
      </c>
      <c r="F94" t="str">
        <f>IFERROR(Tab_Compteur_1[[#This Row],[Quantité ]]/Tab_Compteur_1[[#This Row],[Delta Jour]],"")</f>
        <v/>
      </c>
      <c r="G94" t="str">
        <f>IFERROR(Tab_Compteur_1[[#This Row],[Montant TTC]]/Tab_Compteur_1[[#This Row],[Delta Jour]],"")</f>
        <v/>
      </c>
      <c r="H94" s="42"/>
      <c r="I94" s="42"/>
      <c r="J94" s="42"/>
      <c r="K94" s="42"/>
      <c r="L94" s="42"/>
    </row>
    <row r="95" spans="1:12" x14ac:dyDescent="0.25">
      <c r="A95" s="3">
        <f t="shared" si="3"/>
        <v>1</v>
      </c>
      <c r="B95" s="144">
        <f>EDATE($B$3,Site!$I$33*(ROW(Tab_Compteur_1[[#This Row],[Début de période]])-3))</f>
        <v>0</v>
      </c>
      <c r="C95" s="243"/>
      <c r="D95" s="180"/>
      <c r="E95">
        <f t="shared" si="2"/>
        <v>0</v>
      </c>
      <c r="F95" t="str">
        <f>IFERROR(Tab_Compteur_1[[#This Row],[Quantité ]]/Tab_Compteur_1[[#This Row],[Delta Jour]],"")</f>
        <v/>
      </c>
      <c r="G95" t="str">
        <f>IFERROR(Tab_Compteur_1[[#This Row],[Montant TTC]]/Tab_Compteur_1[[#This Row],[Delta Jour]],"")</f>
        <v/>
      </c>
      <c r="H95" s="42"/>
      <c r="I95" s="42"/>
      <c r="J95" s="42"/>
      <c r="K95" s="42"/>
      <c r="L95" s="42"/>
    </row>
    <row r="96" spans="1:12" x14ac:dyDescent="0.25">
      <c r="A96" s="3">
        <f t="shared" si="3"/>
        <v>1</v>
      </c>
      <c r="B96" s="144">
        <f>EDATE($B$3,Site!$I$33*(ROW(Tab_Compteur_1[[#This Row],[Début de période]])-3))</f>
        <v>0</v>
      </c>
      <c r="C96" s="243"/>
      <c r="D96" s="180"/>
      <c r="E96">
        <f t="shared" si="2"/>
        <v>0</v>
      </c>
      <c r="F96" t="str">
        <f>IFERROR(Tab_Compteur_1[[#This Row],[Quantité ]]/Tab_Compteur_1[[#This Row],[Delta Jour]],"")</f>
        <v/>
      </c>
      <c r="G96" t="str">
        <f>IFERROR(Tab_Compteur_1[[#This Row],[Montant TTC]]/Tab_Compteur_1[[#This Row],[Delta Jour]],"")</f>
        <v/>
      </c>
      <c r="H96" s="42"/>
      <c r="I96" s="42"/>
      <c r="J96" s="42"/>
      <c r="K96" s="42"/>
      <c r="L96" s="42"/>
    </row>
    <row r="97" spans="1:12" x14ac:dyDescent="0.25">
      <c r="A97" s="3">
        <f t="shared" si="3"/>
        <v>1</v>
      </c>
      <c r="B97" s="144">
        <f>EDATE($B$3,Site!$I$33*(ROW(Tab_Compteur_1[[#This Row],[Début de période]])-3))</f>
        <v>0</v>
      </c>
      <c r="C97" s="243"/>
      <c r="D97" s="180"/>
      <c r="E97">
        <f t="shared" si="2"/>
        <v>0</v>
      </c>
      <c r="F97" t="str">
        <f>IFERROR(Tab_Compteur_1[[#This Row],[Quantité ]]/Tab_Compteur_1[[#This Row],[Delta Jour]],"")</f>
        <v/>
      </c>
      <c r="G97" t="str">
        <f>IFERROR(Tab_Compteur_1[[#This Row],[Montant TTC]]/Tab_Compteur_1[[#This Row],[Delta Jour]],"")</f>
        <v/>
      </c>
      <c r="H97" s="42"/>
      <c r="I97" s="42"/>
      <c r="J97" s="42"/>
      <c r="K97" s="42"/>
      <c r="L97" s="42"/>
    </row>
    <row r="98" spans="1:12" x14ac:dyDescent="0.25">
      <c r="A98" s="3">
        <f t="shared" si="3"/>
        <v>1</v>
      </c>
      <c r="B98" s="144">
        <f>EDATE($B$3,Site!$I$33*(ROW(Tab_Compteur_1[[#This Row],[Début de période]])-3))</f>
        <v>0</v>
      </c>
      <c r="C98" s="243"/>
      <c r="D98" s="180"/>
      <c r="E98">
        <f t="shared" si="2"/>
        <v>0</v>
      </c>
      <c r="F98" t="str">
        <f>IFERROR(Tab_Compteur_1[[#This Row],[Quantité ]]/Tab_Compteur_1[[#This Row],[Delta Jour]],"")</f>
        <v/>
      </c>
      <c r="G98" t="str">
        <f>IFERROR(Tab_Compteur_1[[#This Row],[Montant TTC]]/Tab_Compteur_1[[#This Row],[Delta Jour]],"")</f>
        <v/>
      </c>
      <c r="H98" s="42"/>
      <c r="I98" s="42"/>
      <c r="J98" s="42"/>
      <c r="K98" s="42"/>
      <c r="L98" s="42"/>
    </row>
    <row r="99" spans="1:12" x14ac:dyDescent="0.25">
      <c r="A99" s="3">
        <f t="shared" si="3"/>
        <v>1</v>
      </c>
      <c r="B99" s="144">
        <f>EDATE($B$3,Site!$I$33*(ROW(Tab_Compteur_1[[#This Row],[Début de période]])-3))</f>
        <v>0</v>
      </c>
      <c r="C99" s="243"/>
      <c r="D99" s="180"/>
      <c r="E99">
        <f t="shared" si="2"/>
        <v>0</v>
      </c>
      <c r="F99" t="str">
        <f>IFERROR(Tab_Compteur_1[[#This Row],[Quantité ]]/Tab_Compteur_1[[#This Row],[Delta Jour]],"")</f>
        <v/>
      </c>
      <c r="G99" t="str">
        <f>IFERROR(Tab_Compteur_1[[#This Row],[Montant TTC]]/Tab_Compteur_1[[#This Row],[Delta Jour]],"")</f>
        <v/>
      </c>
      <c r="H99" s="42"/>
      <c r="I99" s="42"/>
      <c r="J99" s="42"/>
      <c r="K99" s="42"/>
      <c r="L99" s="42"/>
    </row>
    <row r="100" spans="1:12" x14ac:dyDescent="0.25">
      <c r="A100" s="3">
        <f t="shared" si="3"/>
        <v>1</v>
      </c>
      <c r="B100" s="144">
        <f>EDATE($B$3,Site!$I$33*(ROW(Tab_Compteur_1[[#This Row],[Début de période]])-3))</f>
        <v>0</v>
      </c>
      <c r="C100" s="243"/>
      <c r="D100" s="180"/>
      <c r="E100">
        <f t="shared" si="2"/>
        <v>0</v>
      </c>
      <c r="F100" t="str">
        <f>IFERROR(Tab_Compteur_1[[#This Row],[Quantité ]]/Tab_Compteur_1[[#This Row],[Delta Jour]],"")</f>
        <v/>
      </c>
      <c r="G100" t="str">
        <f>IFERROR(Tab_Compteur_1[[#This Row],[Montant TTC]]/Tab_Compteur_1[[#This Row],[Delta Jour]],"")</f>
        <v/>
      </c>
      <c r="H100" s="42"/>
      <c r="I100" s="42"/>
      <c r="J100" s="42"/>
      <c r="K100" s="42"/>
      <c r="L100" s="42"/>
    </row>
    <row r="101" spans="1:12" x14ac:dyDescent="0.25">
      <c r="A101" s="3">
        <f t="shared" si="3"/>
        <v>1</v>
      </c>
      <c r="B101" s="144">
        <f>EDATE($B$3,Site!$I$33*(ROW(Tab_Compteur_1[[#This Row],[Début de période]])-3))</f>
        <v>0</v>
      </c>
      <c r="C101" s="243"/>
      <c r="D101" s="180"/>
      <c r="E101">
        <f t="shared" si="2"/>
        <v>0</v>
      </c>
      <c r="F101" t="str">
        <f>IFERROR(Tab_Compteur_1[[#This Row],[Quantité ]]/Tab_Compteur_1[[#This Row],[Delta Jour]],"")</f>
        <v/>
      </c>
      <c r="G101" t="str">
        <f>IFERROR(Tab_Compteur_1[[#This Row],[Montant TTC]]/Tab_Compteur_1[[#This Row],[Delta Jour]],"")</f>
        <v/>
      </c>
      <c r="H101" s="42"/>
      <c r="I101" s="42"/>
      <c r="J101" s="42"/>
      <c r="K101" s="42"/>
      <c r="L101" s="42"/>
    </row>
    <row r="102" spans="1:12" x14ac:dyDescent="0.25">
      <c r="A102" s="3">
        <f t="shared" si="3"/>
        <v>1</v>
      </c>
      <c r="B102" s="144">
        <f>EDATE($B$3,Site!$I$33*(ROW(Tab_Compteur_1[[#This Row],[Début de période]])-3))</f>
        <v>0</v>
      </c>
      <c r="C102" s="243"/>
      <c r="D102" s="180"/>
      <c r="E102">
        <f t="shared" si="2"/>
        <v>0</v>
      </c>
      <c r="F102" t="str">
        <f>IFERROR(Tab_Compteur_1[[#This Row],[Quantité ]]/Tab_Compteur_1[[#This Row],[Delta Jour]],"")</f>
        <v/>
      </c>
      <c r="G102" t="str">
        <f>IFERROR(Tab_Compteur_1[[#This Row],[Montant TTC]]/Tab_Compteur_1[[#This Row],[Delta Jour]],"")</f>
        <v/>
      </c>
      <c r="H102" s="42"/>
      <c r="I102" s="42"/>
      <c r="J102" s="42"/>
      <c r="K102" s="42"/>
      <c r="L102" s="42"/>
    </row>
    <row r="103" spans="1:12" x14ac:dyDescent="0.25">
      <c r="A103" s="3">
        <f t="shared" si="3"/>
        <v>1</v>
      </c>
      <c r="B103" s="144">
        <f>EDATE($B$3,Site!$I$33*(ROW(Tab_Compteur_1[[#This Row],[Début de période]])-3))</f>
        <v>0</v>
      </c>
      <c r="C103" s="243"/>
      <c r="D103" s="180"/>
      <c r="E103">
        <f t="shared" si="2"/>
        <v>0</v>
      </c>
      <c r="F103" t="str">
        <f>IFERROR(Tab_Compteur_1[[#This Row],[Quantité ]]/Tab_Compteur_1[[#This Row],[Delta Jour]],"")</f>
        <v/>
      </c>
      <c r="G103" t="str">
        <f>IFERROR(Tab_Compteur_1[[#This Row],[Montant TTC]]/Tab_Compteur_1[[#This Row],[Delta Jour]],"")</f>
        <v/>
      </c>
      <c r="H103" s="42"/>
      <c r="I103" s="42"/>
      <c r="J103" s="42"/>
      <c r="K103" s="42"/>
      <c r="L103" s="42"/>
    </row>
    <row r="104" spans="1:12" x14ac:dyDescent="0.25">
      <c r="A104" s="3">
        <f t="shared" si="3"/>
        <v>1</v>
      </c>
      <c r="B104" s="144">
        <f>EDATE($B$3,Site!$I$33*(ROW(Tab_Compteur_1[[#This Row],[Début de période]])-3))</f>
        <v>0</v>
      </c>
      <c r="C104" s="243"/>
      <c r="D104" s="180"/>
      <c r="E104">
        <f t="shared" si="2"/>
        <v>0</v>
      </c>
      <c r="F104" t="str">
        <f>IFERROR(Tab_Compteur_1[[#This Row],[Quantité ]]/Tab_Compteur_1[[#This Row],[Delta Jour]],"")</f>
        <v/>
      </c>
      <c r="G104" t="str">
        <f>IFERROR(Tab_Compteur_1[[#This Row],[Montant TTC]]/Tab_Compteur_1[[#This Row],[Delta Jour]],"")</f>
        <v/>
      </c>
      <c r="H104" s="42"/>
      <c r="I104" s="42"/>
      <c r="J104" s="42"/>
      <c r="K104" s="42"/>
      <c r="L104" s="42"/>
    </row>
    <row r="105" spans="1:12" x14ac:dyDescent="0.25">
      <c r="A105" s="3">
        <f t="shared" si="3"/>
        <v>1</v>
      </c>
      <c r="B105" s="144">
        <f>EDATE($B$3,Site!$I$33*(ROW(Tab_Compteur_1[[#This Row],[Début de période]])-3))</f>
        <v>0</v>
      </c>
      <c r="C105" s="243"/>
      <c r="D105" s="180"/>
      <c r="E105">
        <f t="shared" si="2"/>
        <v>0</v>
      </c>
      <c r="F105" t="str">
        <f>IFERROR(Tab_Compteur_1[[#This Row],[Quantité ]]/Tab_Compteur_1[[#This Row],[Delta Jour]],"")</f>
        <v/>
      </c>
      <c r="G105" t="str">
        <f>IFERROR(Tab_Compteur_1[[#This Row],[Montant TTC]]/Tab_Compteur_1[[#This Row],[Delta Jour]],"")</f>
        <v/>
      </c>
      <c r="H105" s="42"/>
      <c r="I105" s="42"/>
      <c r="J105" s="42"/>
      <c r="K105" s="42"/>
      <c r="L105" s="42"/>
    </row>
    <row r="106" spans="1:12" x14ac:dyDescent="0.25">
      <c r="A106" s="3">
        <f t="shared" si="3"/>
        <v>1</v>
      </c>
      <c r="B106" s="144">
        <f>EDATE($B$3,Site!$I$33*(ROW(Tab_Compteur_1[[#This Row],[Début de période]])-3))</f>
        <v>0</v>
      </c>
      <c r="C106" s="243"/>
      <c r="D106" s="180"/>
      <c r="E106">
        <f t="shared" si="2"/>
        <v>0</v>
      </c>
      <c r="F106" t="str">
        <f>IFERROR(Tab_Compteur_1[[#This Row],[Quantité ]]/Tab_Compteur_1[[#This Row],[Delta Jour]],"")</f>
        <v/>
      </c>
      <c r="G106" t="str">
        <f>IFERROR(Tab_Compteur_1[[#This Row],[Montant TTC]]/Tab_Compteur_1[[#This Row],[Delta Jour]],"")</f>
        <v/>
      </c>
      <c r="H106" s="42"/>
      <c r="I106" s="42"/>
      <c r="J106" s="42"/>
      <c r="K106" s="42"/>
      <c r="L106" s="42"/>
    </row>
    <row r="107" spans="1:12" x14ac:dyDescent="0.25">
      <c r="A107" s="3">
        <f t="shared" si="3"/>
        <v>1</v>
      </c>
      <c r="B107" s="144">
        <f>EDATE($B$3,Site!$I$33*(ROW(Tab_Compteur_1[[#This Row],[Début de période]])-3))</f>
        <v>0</v>
      </c>
      <c r="C107" s="243"/>
      <c r="D107" s="180"/>
      <c r="E107">
        <f t="shared" si="2"/>
        <v>0</v>
      </c>
      <c r="F107" t="str">
        <f>IFERROR(Tab_Compteur_1[[#This Row],[Quantité ]]/Tab_Compteur_1[[#This Row],[Delta Jour]],"")</f>
        <v/>
      </c>
      <c r="G107" t="str">
        <f>IFERROR(Tab_Compteur_1[[#This Row],[Montant TTC]]/Tab_Compteur_1[[#This Row],[Delta Jour]],"")</f>
        <v/>
      </c>
      <c r="H107" s="42"/>
      <c r="I107" s="42"/>
      <c r="J107" s="42"/>
      <c r="K107" s="42"/>
      <c r="L107" s="42"/>
    </row>
    <row r="108" spans="1:12" x14ac:dyDescent="0.25">
      <c r="A108" s="3">
        <f t="shared" si="3"/>
        <v>1</v>
      </c>
      <c r="B108" s="144">
        <f>EDATE($B$3,Site!$I$33*(ROW(Tab_Compteur_1[[#This Row],[Début de période]])-3))</f>
        <v>0</v>
      </c>
      <c r="C108" s="243"/>
      <c r="D108" s="180"/>
      <c r="E108">
        <f t="shared" si="2"/>
        <v>0</v>
      </c>
      <c r="F108" t="str">
        <f>IFERROR(Tab_Compteur_1[[#This Row],[Quantité ]]/Tab_Compteur_1[[#This Row],[Delta Jour]],"")</f>
        <v/>
      </c>
      <c r="G108" t="str">
        <f>IFERROR(Tab_Compteur_1[[#This Row],[Montant TTC]]/Tab_Compteur_1[[#This Row],[Delta Jour]],"")</f>
        <v/>
      </c>
      <c r="H108" s="42"/>
      <c r="I108" s="42"/>
      <c r="J108" s="42"/>
      <c r="K108" s="42"/>
      <c r="L108" s="42"/>
    </row>
    <row r="109" spans="1:12" x14ac:dyDescent="0.25">
      <c r="A109" s="3">
        <f t="shared" si="3"/>
        <v>1</v>
      </c>
      <c r="B109" s="144">
        <f>EDATE($B$3,Site!$I$33*(ROW(Tab_Compteur_1[[#This Row],[Début de période]])-3))</f>
        <v>0</v>
      </c>
      <c r="C109" s="243"/>
      <c r="D109" s="180"/>
      <c r="E109">
        <f t="shared" si="2"/>
        <v>0</v>
      </c>
      <c r="F109" t="str">
        <f>IFERROR(Tab_Compteur_1[[#This Row],[Quantité ]]/Tab_Compteur_1[[#This Row],[Delta Jour]],"")</f>
        <v/>
      </c>
      <c r="G109" t="str">
        <f>IFERROR(Tab_Compteur_1[[#This Row],[Montant TTC]]/Tab_Compteur_1[[#This Row],[Delta Jour]],"")</f>
        <v/>
      </c>
      <c r="H109" s="42"/>
      <c r="I109" s="42"/>
      <c r="J109" s="42"/>
      <c r="K109" s="42"/>
      <c r="L109" s="42"/>
    </row>
    <row r="110" spans="1:12" x14ac:dyDescent="0.25">
      <c r="A110" s="3">
        <f t="shared" si="3"/>
        <v>1</v>
      </c>
      <c r="B110" s="144">
        <f>EDATE($B$3,Site!$I$33*(ROW(Tab_Compteur_1[[#This Row],[Début de période]])-3))</f>
        <v>0</v>
      </c>
      <c r="C110" s="243"/>
      <c r="D110" s="180"/>
      <c r="E110">
        <f t="shared" si="2"/>
        <v>0</v>
      </c>
      <c r="F110" t="str">
        <f>IFERROR(Tab_Compteur_1[[#This Row],[Quantité ]]/Tab_Compteur_1[[#This Row],[Delta Jour]],"")</f>
        <v/>
      </c>
      <c r="G110" t="str">
        <f>IFERROR(Tab_Compteur_1[[#This Row],[Montant TTC]]/Tab_Compteur_1[[#This Row],[Delta Jour]],"")</f>
        <v/>
      </c>
      <c r="H110" s="42"/>
      <c r="I110" s="42"/>
      <c r="J110" s="42"/>
      <c r="K110" s="42"/>
      <c r="L110" s="42"/>
    </row>
    <row r="111" spans="1:12" x14ac:dyDescent="0.25">
      <c r="A111" s="3">
        <f t="shared" si="3"/>
        <v>1</v>
      </c>
      <c r="B111" s="144">
        <f>EDATE($B$3,Site!$I$33*(ROW(Tab_Compteur_1[[#This Row],[Début de période]])-3))</f>
        <v>0</v>
      </c>
      <c r="C111" s="243"/>
      <c r="D111" s="180"/>
      <c r="E111">
        <f t="shared" si="2"/>
        <v>0</v>
      </c>
      <c r="F111" t="str">
        <f>IFERROR(Tab_Compteur_1[[#This Row],[Quantité ]]/Tab_Compteur_1[[#This Row],[Delta Jour]],"")</f>
        <v/>
      </c>
      <c r="G111" t="str">
        <f>IFERROR(Tab_Compteur_1[[#This Row],[Montant TTC]]/Tab_Compteur_1[[#This Row],[Delta Jour]],"")</f>
        <v/>
      </c>
      <c r="H111" s="42"/>
      <c r="I111" s="42"/>
      <c r="J111" s="42"/>
      <c r="K111" s="42"/>
      <c r="L111" s="42"/>
    </row>
    <row r="112" spans="1:12" x14ac:dyDescent="0.25">
      <c r="A112" s="3">
        <f t="shared" si="3"/>
        <v>1</v>
      </c>
      <c r="B112" s="144">
        <f>EDATE($B$3,Site!$I$33*(ROW(Tab_Compteur_1[[#This Row],[Début de période]])-3))</f>
        <v>0</v>
      </c>
      <c r="C112" s="243"/>
      <c r="D112" s="180"/>
      <c r="E112">
        <f t="shared" si="2"/>
        <v>0</v>
      </c>
      <c r="F112" t="str">
        <f>IFERROR(Tab_Compteur_1[[#This Row],[Quantité ]]/Tab_Compteur_1[[#This Row],[Delta Jour]],"")</f>
        <v/>
      </c>
      <c r="G112" t="str">
        <f>IFERROR(Tab_Compteur_1[[#This Row],[Montant TTC]]/Tab_Compteur_1[[#This Row],[Delta Jour]],"")</f>
        <v/>
      </c>
      <c r="H112" s="42"/>
      <c r="I112" s="42"/>
      <c r="J112" s="42"/>
      <c r="K112" s="42"/>
      <c r="L112" s="42"/>
    </row>
    <row r="113" spans="1:12" x14ac:dyDescent="0.25">
      <c r="A113" s="3">
        <f t="shared" si="3"/>
        <v>1</v>
      </c>
      <c r="B113" s="144">
        <f>EDATE($B$3,Site!$I$33*(ROW(Tab_Compteur_1[[#This Row],[Début de période]])-3))</f>
        <v>0</v>
      </c>
      <c r="C113" s="243"/>
      <c r="D113" s="180"/>
      <c r="E113">
        <f t="shared" si="2"/>
        <v>0</v>
      </c>
      <c r="F113" t="str">
        <f>IFERROR(Tab_Compteur_1[[#This Row],[Quantité ]]/Tab_Compteur_1[[#This Row],[Delta Jour]],"")</f>
        <v/>
      </c>
      <c r="G113" t="str">
        <f>IFERROR(Tab_Compteur_1[[#This Row],[Montant TTC]]/Tab_Compteur_1[[#This Row],[Delta Jour]],"")</f>
        <v/>
      </c>
      <c r="H113" s="42"/>
      <c r="I113" s="42"/>
      <c r="J113" s="42"/>
      <c r="K113" s="42"/>
      <c r="L113" s="42"/>
    </row>
    <row r="114" spans="1:12" x14ac:dyDescent="0.25">
      <c r="A114" s="3">
        <f t="shared" si="3"/>
        <v>1</v>
      </c>
      <c r="B114" s="144">
        <f>EDATE($B$3,Site!$I$33*(ROW(Tab_Compteur_1[[#This Row],[Début de période]])-3))</f>
        <v>0</v>
      </c>
      <c r="C114" s="243"/>
      <c r="D114" s="180"/>
      <c r="E114">
        <f t="shared" si="2"/>
        <v>0</v>
      </c>
      <c r="F114" t="str">
        <f>IFERROR(Tab_Compteur_1[[#This Row],[Quantité ]]/Tab_Compteur_1[[#This Row],[Delta Jour]],"")</f>
        <v/>
      </c>
      <c r="G114" t="str">
        <f>IFERROR(Tab_Compteur_1[[#This Row],[Montant TTC]]/Tab_Compteur_1[[#This Row],[Delta Jour]],"")</f>
        <v/>
      </c>
      <c r="H114" s="42"/>
      <c r="I114" s="42"/>
      <c r="J114" s="42"/>
      <c r="K114" s="42"/>
      <c r="L114" s="42"/>
    </row>
    <row r="115" spans="1:12" x14ac:dyDescent="0.25">
      <c r="A115" s="3">
        <f t="shared" si="3"/>
        <v>1</v>
      </c>
      <c r="B115" s="144">
        <f>EDATE($B$3,Site!$I$33*(ROW(Tab_Compteur_1[[#This Row],[Début de période]])-3))</f>
        <v>0</v>
      </c>
      <c r="C115" s="243"/>
      <c r="D115" s="180"/>
      <c r="E115">
        <f t="shared" si="2"/>
        <v>0</v>
      </c>
      <c r="F115" t="str">
        <f>IFERROR(Tab_Compteur_1[[#This Row],[Quantité ]]/Tab_Compteur_1[[#This Row],[Delta Jour]],"")</f>
        <v/>
      </c>
      <c r="G115" t="str">
        <f>IFERROR(Tab_Compteur_1[[#This Row],[Montant TTC]]/Tab_Compteur_1[[#This Row],[Delta Jour]],"")</f>
        <v/>
      </c>
      <c r="H115" s="42"/>
      <c r="I115" s="42"/>
      <c r="J115" s="42"/>
      <c r="K115" s="42"/>
      <c r="L115" s="42"/>
    </row>
    <row r="116" spans="1:12" x14ac:dyDescent="0.25">
      <c r="A116" s="3">
        <f t="shared" si="3"/>
        <v>1</v>
      </c>
      <c r="B116" s="144">
        <f>EDATE($B$3,Site!$I$33*(ROW(Tab_Compteur_1[[#This Row],[Début de période]])-3))</f>
        <v>0</v>
      </c>
      <c r="C116" s="243"/>
      <c r="D116" s="180"/>
      <c r="E116">
        <f t="shared" si="2"/>
        <v>0</v>
      </c>
      <c r="F116" t="str">
        <f>IFERROR(Tab_Compteur_1[[#This Row],[Quantité ]]/Tab_Compteur_1[[#This Row],[Delta Jour]],"")</f>
        <v/>
      </c>
      <c r="G116" t="str">
        <f>IFERROR(Tab_Compteur_1[[#This Row],[Montant TTC]]/Tab_Compteur_1[[#This Row],[Delta Jour]],"")</f>
        <v/>
      </c>
      <c r="H116" s="42"/>
      <c r="I116" s="42"/>
      <c r="J116" s="42"/>
      <c r="K116" s="42"/>
      <c r="L116" s="42"/>
    </row>
    <row r="117" spans="1:12" x14ac:dyDescent="0.25">
      <c r="A117" s="3">
        <f t="shared" si="3"/>
        <v>1</v>
      </c>
      <c r="B117" s="144">
        <f>EDATE($B$3,Site!$I$33*(ROW(Tab_Compteur_1[[#This Row],[Début de période]])-3))</f>
        <v>0</v>
      </c>
      <c r="C117" s="243"/>
      <c r="D117" s="180"/>
      <c r="E117">
        <f t="shared" si="2"/>
        <v>0</v>
      </c>
      <c r="F117" t="str">
        <f>IFERROR(Tab_Compteur_1[[#This Row],[Quantité ]]/Tab_Compteur_1[[#This Row],[Delta Jour]],"")</f>
        <v/>
      </c>
      <c r="G117" t="str">
        <f>IFERROR(Tab_Compteur_1[[#This Row],[Montant TTC]]/Tab_Compteur_1[[#This Row],[Delta Jour]],"")</f>
        <v/>
      </c>
      <c r="H117" s="42"/>
      <c r="I117" s="42"/>
      <c r="J117" s="42"/>
      <c r="K117" s="42"/>
      <c r="L117" s="42"/>
    </row>
    <row r="118" spans="1:12" x14ac:dyDescent="0.25">
      <c r="A118" s="3">
        <f t="shared" si="3"/>
        <v>1</v>
      </c>
      <c r="B118" s="144">
        <f>EDATE($B$3,Site!$I$33*(ROW(Tab_Compteur_1[[#This Row],[Début de période]])-3))</f>
        <v>0</v>
      </c>
      <c r="C118" s="243"/>
      <c r="D118" s="180"/>
      <c r="E118">
        <f t="shared" si="2"/>
        <v>0</v>
      </c>
      <c r="F118" t="str">
        <f>IFERROR(Tab_Compteur_1[[#This Row],[Quantité ]]/Tab_Compteur_1[[#This Row],[Delta Jour]],"")</f>
        <v/>
      </c>
      <c r="G118" t="str">
        <f>IFERROR(Tab_Compteur_1[[#This Row],[Montant TTC]]/Tab_Compteur_1[[#This Row],[Delta Jour]],"")</f>
        <v/>
      </c>
      <c r="H118" s="42"/>
      <c r="I118" s="42"/>
      <c r="J118" s="42"/>
      <c r="K118" s="42"/>
      <c r="L118" s="42"/>
    </row>
    <row r="119" spans="1:12" x14ac:dyDescent="0.25">
      <c r="A119" s="3">
        <f t="shared" si="3"/>
        <v>1</v>
      </c>
      <c r="B119" s="144">
        <f>EDATE($B$3,Site!$I$33*(ROW(Tab_Compteur_1[[#This Row],[Début de période]])-3))</f>
        <v>0</v>
      </c>
      <c r="C119" s="243"/>
      <c r="D119" s="180"/>
      <c r="E119">
        <f t="shared" si="2"/>
        <v>0</v>
      </c>
      <c r="F119" t="str">
        <f>IFERROR(Tab_Compteur_1[[#This Row],[Quantité ]]/Tab_Compteur_1[[#This Row],[Delta Jour]],"")</f>
        <v/>
      </c>
      <c r="G119" t="str">
        <f>IFERROR(Tab_Compteur_1[[#This Row],[Montant TTC]]/Tab_Compteur_1[[#This Row],[Delta Jour]],"")</f>
        <v/>
      </c>
      <c r="H119" s="42"/>
      <c r="I119" s="42"/>
      <c r="J119" s="42"/>
      <c r="K119" s="42"/>
      <c r="L119" s="42"/>
    </row>
    <row r="120" spans="1:12" x14ac:dyDescent="0.25">
      <c r="A120" s="3">
        <f t="shared" si="3"/>
        <v>1</v>
      </c>
      <c r="B120" s="144">
        <f>EDATE($B$3,Site!$I$33*(ROW(Tab_Compteur_1[[#This Row],[Début de période]])-3))</f>
        <v>0</v>
      </c>
      <c r="C120" s="243"/>
      <c r="D120" s="180"/>
      <c r="E120">
        <f t="shared" si="2"/>
        <v>0</v>
      </c>
      <c r="F120" t="str">
        <f>IFERROR(Tab_Compteur_1[[#This Row],[Quantité ]]/Tab_Compteur_1[[#This Row],[Delta Jour]],"")</f>
        <v/>
      </c>
      <c r="G120" t="str">
        <f>IFERROR(Tab_Compteur_1[[#This Row],[Montant TTC]]/Tab_Compteur_1[[#This Row],[Delta Jour]],"")</f>
        <v/>
      </c>
      <c r="H120" s="42"/>
      <c r="I120" s="42"/>
      <c r="J120" s="42"/>
      <c r="K120" s="42"/>
      <c r="L120" s="42"/>
    </row>
    <row r="121" spans="1:12" x14ac:dyDescent="0.25">
      <c r="A121" s="3">
        <f t="shared" si="3"/>
        <v>1</v>
      </c>
      <c r="B121" s="144">
        <f>EDATE($B$3,Site!$I$33*(ROW(Tab_Compteur_1[[#This Row],[Début de période]])-3))</f>
        <v>0</v>
      </c>
      <c r="C121" s="243"/>
      <c r="D121" s="180"/>
      <c r="E121">
        <f t="shared" si="2"/>
        <v>0</v>
      </c>
      <c r="F121" t="str">
        <f>IFERROR(Tab_Compteur_1[[#This Row],[Quantité ]]/Tab_Compteur_1[[#This Row],[Delta Jour]],"")</f>
        <v/>
      </c>
      <c r="G121" t="str">
        <f>IFERROR(Tab_Compteur_1[[#This Row],[Montant TTC]]/Tab_Compteur_1[[#This Row],[Delta Jour]],"")</f>
        <v/>
      </c>
      <c r="H121" s="42"/>
      <c r="I121" s="42"/>
      <c r="J121" s="42"/>
      <c r="K121" s="42"/>
      <c r="L121" s="42"/>
    </row>
    <row r="122" spans="1:12" x14ac:dyDescent="0.25">
      <c r="A122" s="3">
        <f t="shared" si="3"/>
        <v>1</v>
      </c>
      <c r="B122" s="144">
        <f>EDATE($B$3,Site!$I$33*(ROW(Tab_Compteur_1[[#This Row],[Début de période]])-3))</f>
        <v>0</v>
      </c>
      <c r="C122" s="243"/>
      <c r="D122" s="180"/>
      <c r="E122">
        <f t="shared" si="2"/>
        <v>0</v>
      </c>
      <c r="F122" t="str">
        <f>IFERROR(Tab_Compteur_1[[#This Row],[Quantité ]]/Tab_Compteur_1[[#This Row],[Delta Jour]],"")</f>
        <v/>
      </c>
      <c r="G122" t="str">
        <f>IFERROR(Tab_Compteur_1[[#This Row],[Montant TTC]]/Tab_Compteur_1[[#This Row],[Delta Jour]],"")</f>
        <v/>
      </c>
      <c r="H122" s="42"/>
      <c r="I122" s="42"/>
      <c r="J122" s="42"/>
      <c r="K122" s="42"/>
      <c r="L122" s="42"/>
    </row>
    <row r="123" spans="1:12" x14ac:dyDescent="0.25">
      <c r="A123" s="3">
        <f t="shared" si="3"/>
        <v>1</v>
      </c>
      <c r="B123" s="144">
        <f>EDATE($B$3,Site!$I$33*(ROW(Tab_Compteur_1[[#This Row],[Début de période]])-3))</f>
        <v>0</v>
      </c>
      <c r="C123" s="243"/>
      <c r="D123" s="180"/>
      <c r="E123">
        <f t="shared" si="2"/>
        <v>0</v>
      </c>
      <c r="F123" t="str">
        <f>IFERROR(Tab_Compteur_1[[#This Row],[Quantité ]]/Tab_Compteur_1[[#This Row],[Delta Jour]],"")</f>
        <v/>
      </c>
      <c r="G123" t="str">
        <f>IFERROR(Tab_Compteur_1[[#This Row],[Montant TTC]]/Tab_Compteur_1[[#This Row],[Delta Jour]],"")</f>
        <v/>
      </c>
      <c r="H123" s="42"/>
      <c r="I123" s="42"/>
      <c r="J123" s="42"/>
      <c r="K123" s="42"/>
      <c r="L123" s="42"/>
    </row>
    <row r="124" spans="1:12" x14ac:dyDescent="0.25">
      <c r="A124" s="3">
        <f t="shared" si="3"/>
        <v>1</v>
      </c>
      <c r="B124" s="144">
        <f>EDATE($B$3,Site!$I$33*(ROW(Tab_Compteur_1[[#This Row],[Début de période]])-3))</f>
        <v>0</v>
      </c>
      <c r="C124" s="243"/>
      <c r="D124" s="180"/>
      <c r="E124">
        <f t="shared" si="2"/>
        <v>0</v>
      </c>
      <c r="F124" t="str">
        <f>IFERROR(Tab_Compteur_1[[#This Row],[Quantité ]]/Tab_Compteur_1[[#This Row],[Delta Jour]],"")</f>
        <v/>
      </c>
      <c r="G124" t="str">
        <f>IFERROR(Tab_Compteur_1[[#This Row],[Montant TTC]]/Tab_Compteur_1[[#This Row],[Delta Jour]],"")</f>
        <v/>
      </c>
      <c r="H124" s="42"/>
      <c r="I124" s="42"/>
      <c r="J124" s="42"/>
      <c r="K124" s="42"/>
      <c r="L124" s="42"/>
    </row>
    <row r="125" spans="1:12" x14ac:dyDescent="0.25">
      <c r="A125" s="3">
        <f t="shared" si="3"/>
        <v>1</v>
      </c>
      <c r="B125" s="144">
        <f>EDATE($B$3,Site!$I$33*(ROW(Tab_Compteur_1[[#This Row],[Début de période]])-3))</f>
        <v>0</v>
      </c>
      <c r="C125" s="243"/>
      <c r="D125" s="180"/>
      <c r="E125">
        <f t="shared" si="2"/>
        <v>0</v>
      </c>
      <c r="F125" t="str">
        <f>IFERROR(Tab_Compteur_1[[#This Row],[Quantité ]]/Tab_Compteur_1[[#This Row],[Delta Jour]],"")</f>
        <v/>
      </c>
      <c r="G125" t="str">
        <f>IFERROR(Tab_Compteur_1[[#This Row],[Montant TTC]]/Tab_Compteur_1[[#This Row],[Delta Jour]],"")</f>
        <v/>
      </c>
      <c r="H125" s="42"/>
      <c r="I125" s="42"/>
      <c r="J125" s="42"/>
      <c r="K125" s="42"/>
      <c r="L125" s="42"/>
    </row>
    <row r="126" spans="1:12" x14ac:dyDescent="0.25">
      <c r="A126" s="3">
        <f t="shared" si="3"/>
        <v>1</v>
      </c>
      <c r="B126" s="144">
        <f>EDATE($B$3,Site!$I$33*(ROW(Tab_Compteur_1[[#This Row],[Début de période]])-3))</f>
        <v>0</v>
      </c>
      <c r="C126" s="243"/>
      <c r="D126" s="180"/>
      <c r="E126">
        <f t="shared" si="2"/>
        <v>0</v>
      </c>
      <c r="F126" t="str">
        <f>IFERROR(Tab_Compteur_1[[#This Row],[Quantité ]]/Tab_Compteur_1[[#This Row],[Delta Jour]],"")</f>
        <v/>
      </c>
      <c r="G126" t="str">
        <f>IFERROR(Tab_Compteur_1[[#This Row],[Montant TTC]]/Tab_Compteur_1[[#This Row],[Delta Jour]],"")</f>
        <v/>
      </c>
      <c r="H126" s="42"/>
      <c r="I126" s="42"/>
      <c r="J126" s="42"/>
      <c r="K126" s="42"/>
      <c r="L126" s="42"/>
    </row>
    <row r="127" spans="1:12" x14ac:dyDescent="0.25">
      <c r="A127" s="3">
        <f t="shared" si="3"/>
        <v>1</v>
      </c>
      <c r="B127" s="144">
        <f>EDATE($B$3,Site!$I$33*(ROW(Tab_Compteur_1[[#This Row],[Début de période]])-3))</f>
        <v>0</v>
      </c>
      <c r="C127" s="243"/>
      <c r="D127" s="180"/>
      <c r="E127">
        <f t="shared" si="2"/>
        <v>0</v>
      </c>
      <c r="F127" t="str">
        <f>IFERROR(Tab_Compteur_1[[#This Row],[Quantité ]]/Tab_Compteur_1[[#This Row],[Delta Jour]],"")</f>
        <v/>
      </c>
      <c r="G127" t="str">
        <f>IFERROR(Tab_Compteur_1[[#This Row],[Montant TTC]]/Tab_Compteur_1[[#This Row],[Delta Jour]],"")</f>
        <v/>
      </c>
      <c r="H127" s="42"/>
      <c r="I127" s="42"/>
      <c r="J127" s="42"/>
      <c r="K127" s="42"/>
      <c r="L127" s="42"/>
    </row>
    <row r="128" spans="1:12" x14ac:dyDescent="0.25">
      <c r="A128" s="3">
        <f t="shared" si="3"/>
        <v>1</v>
      </c>
      <c r="B128" s="144">
        <f>EDATE($B$3,Site!$I$33*(ROW(Tab_Compteur_1[[#This Row],[Début de période]])-3))</f>
        <v>0</v>
      </c>
      <c r="C128" s="243"/>
      <c r="D128" s="180"/>
      <c r="E128">
        <f t="shared" si="2"/>
        <v>0</v>
      </c>
      <c r="F128" t="str">
        <f>IFERROR(Tab_Compteur_1[[#This Row],[Quantité ]]/Tab_Compteur_1[[#This Row],[Delta Jour]],"")</f>
        <v/>
      </c>
      <c r="G128" t="str">
        <f>IFERROR(Tab_Compteur_1[[#This Row],[Montant TTC]]/Tab_Compteur_1[[#This Row],[Delta Jour]],"")</f>
        <v/>
      </c>
      <c r="H128" s="42"/>
      <c r="I128" s="42"/>
      <c r="J128" s="42"/>
      <c r="K128" s="42"/>
      <c r="L128" s="42"/>
    </row>
    <row r="129" spans="1:12" x14ac:dyDescent="0.25">
      <c r="A129" s="3">
        <f t="shared" si="3"/>
        <v>1</v>
      </c>
      <c r="B129" s="144">
        <f>EDATE($B$3,Site!$I$33*(ROW(Tab_Compteur_1[[#This Row],[Début de période]])-3))</f>
        <v>0</v>
      </c>
      <c r="C129" s="243"/>
      <c r="D129" s="180"/>
      <c r="E129">
        <f t="shared" si="2"/>
        <v>0</v>
      </c>
      <c r="F129" t="str">
        <f>IFERROR(Tab_Compteur_1[[#This Row],[Quantité ]]/Tab_Compteur_1[[#This Row],[Delta Jour]],"")</f>
        <v/>
      </c>
      <c r="G129" t="str">
        <f>IFERROR(Tab_Compteur_1[[#This Row],[Montant TTC]]/Tab_Compteur_1[[#This Row],[Delta Jour]],"")</f>
        <v/>
      </c>
      <c r="H129" s="42"/>
      <c r="I129" s="42"/>
      <c r="J129" s="42"/>
      <c r="K129" s="42"/>
      <c r="L129" s="42"/>
    </row>
    <row r="130" spans="1:12" x14ac:dyDescent="0.25">
      <c r="A130" s="3">
        <f t="shared" si="3"/>
        <v>1</v>
      </c>
      <c r="B130" s="144">
        <f>EDATE($B$3,Site!$I$33*(ROW(Tab_Compteur_1[[#This Row],[Début de période]])-3))</f>
        <v>0</v>
      </c>
      <c r="C130" s="243"/>
      <c r="D130" s="180"/>
      <c r="E130">
        <f t="shared" si="2"/>
        <v>0</v>
      </c>
      <c r="F130" t="str">
        <f>IFERROR(Tab_Compteur_1[[#This Row],[Quantité ]]/Tab_Compteur_1[[#This Row],[Delta Jour]],"")</f>
        <v/>
      </c>
      <c r="G130" t="str">
        <f>IFERROR(Tab_Compteur_1[[#This Row],[Montant TTC]]/Tab_Compteur_1[[#This Row],[Delta Jour]],"")</f>
        <v/>
      </c>
      <c r="H130" s="42"/>
      <c r="I130" s="42"/>
      <c r="J130" s="42"/>
      <c r="K130" s="42"/>
      <c r="L130" s="42"/>
    </row>
    <row r="131" spans="1:12" x14ac:dyDescent="0.25">
      <c r="A131" s="3">
        <f t="shared" si="3"/>
        <v>1</v>
      </c>
      <c r="B131" s="144">
        <f>EDATE($B$3,Site!$I$33*(ROW(Tab_Compteur_1[[#This Row],[Début de période]])-3))</f>
        <v>0</v>
      </c>
      <c r="C131" s="243"/>
      <c r="D131" s="180"/>
      <c r="E131">
        <f t="shared" si="2"/>
        <v>0</v>
      </c>
      <c r="F131" t="str">
        <f>IFERROR(Tab_Compteur_1[[#This Row],[Quantité ]]/Tab_Compteur_1[[#This Row],[Delta Jour]],"")</f>
        <v/>
      </c>
      <c r="G131" t="str">
        <f>IFERROR(Tab_Compteur_1[[#This Row],[Montant TTC]]/Tab_Compteur_1[[#This Row],[Delta Jour]],"")</f>
        <v/>
      </c>
      <c r="H131" s="42"/>
      <c r="I131" s="42"/>
      <c r="J131" s="42"/>
      <c r="K131" s="42"/>
      <c r="L131" s="42"/>
    </row>
    <row r="132" spans="1:12" x14ac:dyDescent="0.25">
      <c r="A132" s="3">
        <f t="shared" si="3"/>
        <v>1</v>
      </c>
      <c r="B132" s="144">
        <f>EDATE($B$3,Site!$I$33*(ROW(Tab_Compteur_1[[#This Row],[Début de période]])-3))</f>
        <v>0</v>
      </c>
      <c r="C132" s="243"/>
      <c r="D132" s="180"/>
      <c r="E132">
        <f t="shared" ref="E132:E195" si="4">IFERROR(B132-A132+1,"")</f>
        <v>0</v>
      </c>
      <c r="F132" t="str">
        <f>IFERROR(Tab_Compteur_1[[#This Row],[Quantité ]]/Tab_Compteur_1[[#This Row],[Delta Jour]],"")</f>
        <v/>
      </c>
      <c r="G132" t="str">
        <f>IFERROR(Tab_Compteur_1[[#This Row],[Montant TTC]]/Tab_Compteur_1[[#This Row],[Delta Jour]],"")</f>
        <v/>
      </c>
      <c r="H132" s="42"/>
      <c r="I132" s="42"/>
      <c r="J132" s="42"/>
      <c r="K132" s="42"/>
      <c r="L132" s="42"/>
    </row>
    <row r="133" spans="1:12" x14ac:dyDescent="0.25">
      <c r="A133" s="3">
        <f t="shared" ref="A133:A196" si="5">B132+1</f>
        <v>1</v>
      </c>
      <c r="B133" s="144">
        <f>EDATE($B$3,Site!$I$33*(ROW(Tab_Compteur_1[[#This Row],[Début de période]])-3))</f>
        <v>0</v>
      </c>
      <c r="C133" s="243"/>
      <c r="D133" s="180"/>
      <c r="E133">
        <f t="shared" si="4"/>
        <v>0</v>
      </c>
      <c r="F133" t="str">
        <f>IFERROR(Tab_Compteur_1[[#This Row],[Quantité ]]/Tab_Compteur_1[[#This Row],[Delta Jour]],"")</f>
        <v/>
      </c>
      <c r="G133" t="str">
        <f>IFERROR(Tab_Compteur_1[[#This Row],[Montant TTC]]/Tab_Compteur_1[[#This Row],[Delta Jour]],"")</f>
        <v/>
      </c>
      <c r="H133" s="42"/>
      <c r="I133" s="42"/>
      <c r="J133" s="42"/>
      <c r="K133" s="42"/>
      <c r="L133" s="42"/>
    </row>
    <row r="134" spans="1:12" x14ac:dyDescent="0.25">
      <c r="A134" s="3">
        <f t="shared" si="5"/>
        <v>1</v>
      </c>
      <c r="B134" s="144">
        <f>EDATE($B$3,Site!$I$33*(ROW(Tab_Compteur_1[[#This Row],[Début de période]])-3))</f>
        <v>0</v>
      </c>
      <c r="C134" s="243"/>
      <c r="D134" s="180"/>
      <c r="E134">
        <f t="shared" si="4"/>
        <v>0</v>
      </c>
      <c r="F134" t="str">
        <f>IFERROR(Tab_Compteur_1[[#This Row],[Quantité ]]/Tab_Compteur_1[[#This Row],[Delta Jour]],"")</f>
        <v/>
      </c>
      <c r="G134" t="str">
        <f>IFERROR(Tab_Compteur_1[[#This Row],[Montant TTC]]/Tab_Compteur_1[[#This Row],[Delta Jour]],"")</f>
        <v/>
      </c>
      <c r="H134" s="42"/>
      <c r="I134" s="42"/>
      <c r="J134" s="42"/>
      <c r="K134" s="42"/>
      <c r="L134" s="42"/>
    </row>
    <row r="135" spans="1:12" x14ac:dyDescent="0.25">
      <c r="A135" s="3">
        <f t="shared" si="5"/>
        <v>1</v>
      </c>
      <c r="B135" s="144">
        <f>EDATE($B$3,Site!$I$33*(ROW(Tab_Compteur_1[[#This Row],[Début de période]])-3))</f>
        <v>0</v>
      </c>
      <c r="C135" s="243"/>
      <c r="D135" s="180"/>
      <c r="E135">
        <f t="shared" si="4"/>
        <v>0</v>
      </c>
      <c r="F135" t="str">
        <f>IFERROR(Tab_Compteur_1[[#This Row],[Quantité ]]/Tab_Compteur_1[[#This Row],[Delta Jour]],"")</f>
        <v/>
      </c>
      <c r="G135" t="str">
        <f>IFERROR(Tab_Compteur_1[[#This Row],[Montant TTC]]/Tab_Compteur_1[[#This Row],[Delta Jour]],"")</f>
        <v/>
      </c>
      <c r="H135" s="42"/>
      <c r="I135" s="42"/>
      <c r="J135" s="42"/>
      <c r="K135" s="42"/>
      <c r="L135" s="42"/>
    </row>
    <row r="136" spans="1:12" x14ac:dyDescent="0.25">
      <c r="A136" s="3">
        <f t="shared" si="5"/>
        <v>1</v>
      </c>
      <c r="B136" s="144">
        <f>EDATE($B$3,Site!$I$33*(ROW(Tab_Compteur_1[[#This Row],[Début de période]])-3))</f>
        <v>0</v>
      </c>
      <c r="C136" s="243"/>
      <c r="D136" s="180"/>
      <c r="E136">
        <f t="shared" si="4"/>
        <v>0</v>
      </c>
      <c r="F136" t="str">
        <f>IFERROR(Tab_Compteur_1[[#This Row],[Quantité ]]/Tab_Compteur_1[[#This Row],[Delta Jour]],"")</f>
        <v/>
      </c>
      <c r="G136" t="str">
        <f>IFERROR(Tab_Compteur_1[[#This Row],[Montant TTC]]/Tab_Compteur_1[[#This Row],[Delta Jour]],"")</f>
        <v/>
      </c>
      <c r="H136" s="42"/>
      <c r="I136" s="42"/>
      <c r="J136" s="42"/>
      <c r="K136" s="42"/>
      <c r="L136" s="42"/>
    </row>
    <row r="137" spans="1:12" x14ac:dyDescent="0.25">
      <c r="A137" s="3">
        <f t="shared" si="5"/>
        <v>1</v>
      </c>
      <c r="B137" s="144">
        <f>EDATE($B$3,Site!$I$33*(ROW(Tab_Compteur_1[[#This Row],[Début de période]])-3))</f>
        <v>0</v>
      </c>
      <c r="C137" s="243"/>
      <c r="D137" s="180"/>
      <c r="E137">
        <f t="shared" si="4"/>
        <v>0</v>
      </c>
      <c r="F137" t="str">
        <f>IFERROR(Tab_Compteur_1[[#This Row],[Quantité ]]/Tab_Compteur_1[[#This Row],[Delta Jour]],"")</f>
        <v/>
      </c>
      <c r="G137" t="str">
        <f>IFERROR(Tab_Compteur_1[[#This Row],[Montant TTC]]/Tab_Compteur_1[[#This Row],[Delta Jour]],"")</f>
        <v/>
      </c>
      <c r="H137" s="42"/>
      <c r="I137" s="42"/>
      <c r="J137" s="42"/>
      <c r="K137" s="42"/>
      <c r="L137" s="42"/>
    </row>
    <row r="138" spans="1:12" x14ac:dyDescent="0.25">
      <c r="A138" s="3">
        <f t="shared" si="5"/>
        <v>1</v>
      </c>
      <c r="B138" s="144">
        <f>EDATE($B$3,Site!$I$33*(ROW(Tab_Compteur_1[[#This Row],[Début de période]])-3))</f>
        <v>0</v>
      </c>
      <c r="C138" s="243"/>
      <c r="D138" s="180"/>
      <c r="E138">
        <f t="shared" si="4"/>
        <v>0</v>
      </c>
      <c r="F138" t="str">
        <f>IFERROR(Tab_Compteur_1[[#This Row],[Quantité ]]/Tab_Compteur_1[[#This Row],[Delta Jour]],"")</f>
        <v/>
      </c>
      <c r="G138" t="str">
        <f>IFERROR(Tab_Compteur_1[[#This Row],[Montant TTC]]/Tab_Compteur_1[[#This Row],[Delta Jour]],"")</f>
        <v/>
      </c>
      <c r="H138" s="42"/>
      <c r="I138" s="42"/>
      <c r="J138" s="42"/>
      <c r="K138" s="42"/>
      <c r="L138" s="42"/>
    </row>
    <row r="139" spans="1:12" x14ac:dyDescent="0.25">
      <c r="A139" s="3">
        <f t="shared" si="5"/>
        <v>1</v>
      </c>
      <c r="B139" s="144">
        <f>EDATE($B$3,Site!$I$33*(ROW(Tab_Compteur_1[[#This Row],[Début de période]])-3))</f>
        <v>0</v>
      </c>
      <c r="C139" s="243"/>
      <c r="D139" s="180"/>
      <c r="E139">
        <f t="shared" si="4"/>
        <v>0</v>
      </c>
      <c r="F139" t="str">
        <f>IFERROR(Tab_Compteur_1[[#This Row],[Quantité ]]/Tab_Compteur_1[[#This Row],[Delta Jour]],"")</f>
        <v/>
      </c>
      <c r="G139" t="str">
        <f>IFERROR(Tab_Compteur_1[[#This Row],[Montant TTC]]/Tab_Compteur_1[[#This Row],[Delta Jour]],"")</f>
        <v/>
      </c>
      <c r="H139" s="42"/>
      <c r="I139" s="42"/>
      <c r="J139" s="42"/>
      <c r="K139" s="42"/>
      <c r="L139" s="42"/>
    </row>
    <row r="140" spans="1:12" x14ac:dyDescent="0.25">
      <c r="A140" s="3">
        <f t="shared" si="5"/>
        <v>1</v>
      </c>
      <c r="B140" s="144">
        <f>EDATE($B$3,Site!$I$33*(ROW(Tab_Compteur_1[[#This Row],[Début de période]])-3))</f>
        <v>0</v>
      </c>
      <c r="C140" s="243"/>
      <c r="D140" s="180"/>
      <c r="E140">
        <f t="shared" si="4"/>
        <v>0</v>
      </c>
      <c r="F140" t="str">
        <f>IFERROR(Tab_Compteur_1[[#This Row],[Quantité ]]/Tab_Compteur_1[[#This Row],[Delta Jour]],"")</f>
        <v/>
      </c>
      <c r="G140" t="str">
        <f>IFERROR(Tab_Compteur_1[[#This Row],[Montant TTC]]/Tab_Compteur_1[[#This Row],[Delta Jour]],"")</f>
        <v/>
      </c>
      <c r="H140" s="42"/>
      <c r="I140" s="42"/>
      <c r="J140" s="42"/>
      <c r="K140" s="42"/>
      <c r="L140" s="42"/>
    </row>
    <row r="141" spans="1:12" x14ac:dyDescent="0.25">
      <c r="A141" s="3">
        <f t="shared" si="5"/>
        <v>1</v>
      </c>
      <c r="B141" s="144">
        <f>EDATE($B$3,Site!$I$33*(ROW(Tab_Compteur_1[[#This Row],[Début de période]])-3))</f>
        <v>0</v>
      </c>
      <c r="C141" s="243"/>
      <c r="D141" s="180"/>
      <c r="E141">
        <f t="shared" si="4"/>
        <v>0</v>
      </c>
      <c r="F141" t="str">
        <f>IFERROR(Tab_Compteur_1[[#This Row],[Quantité ]]/Tab_Compteur_1[[#This Row],[Delta Jour]],"")</f>
        <v/>
      </c>
      <c r="G141" t="str">
        <f>IFERROR(Tab_Compteur_1[[#This Row],[Montant TTC]]/Tab_Compteur_1[[#This Row],[Delta Jour]],"")</f>
        <v/>
      </c>
      <c r="H141" s="42"/>
      <c r="I141" s="42"/>
      <c r="J141" s="42"/>
      <c r="K141" s="42"/>
      <c r="L141" s="42"/>
    </row>
    <row r="142" spans="1:12" x14ac:dyDescent="0.25">
      <c r="A142" s="3">
        <f t="shared" si="5"/>
        <v>1</v>
      </c>
      <c r="B142" s="144">
        <f>EDATE($B$3,Site!$I$33*(ROW(Tab_Compteur_1[[#This Row],[Début de période]])-3))</f>
        <v>0</v>
      </c>
      <c r="C142" s="243"/>
      <c r="D142" s="180"/>
      <c r="E142">
        <f t="shared" si="4"/>
        <v>0</v>
      </c>
      <c r="F142" t="str">
        <f>IFERROR(Tab_Compteur_1[[#This Row],[Quantité ]]/Tab_Compteur_1[[#This Row],[Delta Jour]],"")</f>
        <v/>
      </c>
      <c r="G142" t="str">
        <f>IFERROR(Tab_Compteur_1[[#This Row],[Montant TTC]]/Tab_Compteur_1[[#This Row],[Delta Jour]],"")</f>
        <v/>
      </c>
      <c r="H142" s="42"/>
      <c r="I142" s="42"/>
      <c r="J142" s="42"/>
      <c r="K142" s="42"/>
      <c r="L142" s="42"/>
    </row>
    <row r="143" spans="1:12" x14ac:dyDescent="0.25">
      <c r="A143" s="3">
        <f t="shared" si="5"/>
        <v>1</v>
      </c>
      <c r="B143" s="144">
        <f>EDATE($B$3,Site!$I$33*(ROW(Tab_Compteur_1[[#This Row],[Début de période]])-3))</f>
        <v>0</v>
      </c>
      <c r="C143" s="243"/>
      <c r="D143" s="180"/>
      <c r="E143">
        <f t="shared" si="4"/>
        <v>0</v>
      </c>
      <c r="F143" t="str">
        <f>IFERROR(Tab_Compteur_1[[#This Row],[Quantité ]]/Tab_Compteur_1[[#This Row],[Delta Jour]],"")</f>
        <v/>
      </c>
      <c r="G143" t="str">
        <f>IFERROR(Tab_Compteur_1[[#This Row],[Montant TTC]]/Tab_Compteur_1[[#This Row],[Delta Jour]],"")</f>
        <v/>
      </c>
      <c r="H143" s="42"/>
      <c r="I143" s="42"/>
      <c r="J143" s="42"/>
      <c r="K143" s="42"/>
      <c r="L143" s="42"/>
    </row>
    <row r="144" spans="1:12" x14ac:dyDescent="0.25">
      <c r="A144" s="3">
        <f t="shared" si="5"/>
        <v>1</v>
      </c>
      <c r="B144" s="144">
        <f>EDATE($B$3,Site!$I$33*(ROW(Tab_Compteur_1[[#This Row],[Début de période]])-3))</f>
        <v>0</v>
      </c>
      <c r="C144" s="243"/>
      <c r="D144" s="180"/>
      <c r="E144">
        <f t="shared" si="4"/>
        <v>0</v>
      </c>
      <c r="F144" t="str">
        <f>IFERROR(Tab_Compteur_1[[#This Row],[Quantité ]]/Tab_Compteur_1[[#This Row],[Delta Jour]],"")</f>
        <v/>
      </c>
      <c r="G144" t="str">
        <f>IFERROR(Tab_Compteur_1[[#This Row],[Montant TTC]]/Tab_Compteur_1[[#This Row],[Delta Jour]],"")</f>
        <v/>
      </c>
      <c r="H144" s="42"/>
      <c r="I144" s="42"/>
      <c r="J144" s="42"/>
      <c r="K144" s="42"/>
      <c r="L144" s="42"/>
    </row>
    <row r="145" spans="1:12" x14ac:dyDescent="0.25">
      <c r="A145" s="3">
        <f t="shared" si="5"/>
        <v>1</v>
      </c>
      <c r="B145" s="144">
        <f>EDATE($B$3,Site!$I$33*(ROW(Tab_Compteur_1[[#This Row],[Début de période]])-3))</f>
        <v>0</v>
      </c>
      <c r="C145" s="243"/>
      <c r="D145" s="180"/>
      <c r="E145">
        <f t="shared" si="4"/>
        <v>0</v>
      </c>
      <c r="F145" t="str">
        <f>IFERROR(Tab_Compteur_1[[#This Row],[Quantité ]]/Tab_Compteur_1[[#This Row],[Delta Jour]],"")</f>
        <v/>
      </c>
      <c r="G145" t="str">
        <f>IFERROR(Tab_Compteur_1[[#This Row],[Montant TTC]]/Tab_Compteur_1[[#This Row],[Delta Jour]],"")</f>
        <v/>
      </c>
      <c r="H145" s="42"/>
      <c r="I145" s="42"/>
      <c r="J145" s="42"/>
      <c r="K145" s="42"/>
      <c r="L145" s="42"/>
    </row>
    <row r="146" spans="1:12" x14ac:dyDescent="0.25">
      <c r="A146" s="3">
        <f t="shared" si="5"/>
        <v>1</v>
      </c>
      <c r="B146" s="144">
        <f>EDATE($B$3,Site!$I$33*(ROW(Tab_Compteur_1[[#This Row],[Début de période]])-3))</f>
        <v>0</v>
      </c>
      <c r="C146" s="243"/>
      <c r="D146" s="180"/>
      <c r="E146">
        <f t="shared" si="4"/>
        <v>0</v>
      </c>
      <c r="F146" t="str">
        <f>IFERROR(Tab_Compteur_1[[#This Row],[Quantité ]]/Tab_Compteur_1[[#This Row],[Delta Jour]],"")</f>
        <v/>
      </c>
      <c r="G146" t="str">
        <f>IFERROR(Tab_Compteur_1[[#This Row],[Montant TTC]]/Tab_Compteur_1[[#This Row],[Delta Jour]],"")</f>
        <v/>
      </c>
      <c r="H146" s="42"/>
      <c r="I146" s="42"/>
      <c r="J146" s="42"/>
      <c r="K146" s="42"/>
      <c r="L146" s="42"/>
    </row>
    <row r="147" spans="1:12" x14ac:dyDescent="0.25">
      <c r="A147" s="3">
        <f t="shared" si="5"/>
        <v>1</v>
      </c>
      <c r="B147" s="144">
        <f>EDATE($B$3,Site!$I$33*(ROW(Tab_Compteur_1[[#This Row],[Début de période]])-3))</f>
        <v>0</v>
      </c>
      <c r="C147" s="243"/>
      <c r="D147" s="180"/>
      <c r="E147">
        <f t="shared" si="4"/>
        <v>0</v>
      </c>
      <c r="F147" t="str">
        <f>IFERROR(Tab_Compteur_1[[#This Row],[Quantité ]]/Tab_Compteur_1[[#This Row],[Delta Jour]],"")</f>
        <v/>
      </c>
      <c r="G147" t="str">
        <f>IFERROR(Tab_Compteur_1[[#This Row],[Montant TTC]]/Tab_Compteur_1[[#This Row],[Delta Jour]],"")</f>
        <v/>
      </c>
      <c r="H147" s="42"/>
      <c r="I147" s="42"/>
      <c r="J147" s="42"/>
      <c r="K147" s="42"/>
      <c r="L147" s="42"/>
    </row>
    <row r="148" spans="1:12" x14ac:dyDescent="0.25">
      <c r="A148" s="3">
        <f t="shared" si="5"/>
        <v>1</v>
      </c>
      <c r="B148" s="144">
        <f>EDATE($B$3,Site!$I$33*(ROW(Tab_Compteur_1[[#This Row],[Début de période]])-3))</f>
        <v>0</v>
      </c>
      <c r="C148" s="243"/>
      <c r="D148" s="180"/>
      <c r="E148">
        <f t="shared" si="4"/>
        <v>0</v>
      </c>
      <c r="F148" t="str">
        <f>IFERROR(Tab_Compteur_1[[#This Row],[Quantité ]]/Tab_Compteur_1[[#This Row],[Delta Jour]],"")</f>
        <v/>
      </c>
      <c r="G148" t="str">
        <f>IFERROR(Tab_Compteur_1[[#This Row],[Montant TTC]]/Tab_Compteur_1[[#This Row],[Delta Jour]],"")</f>
        <v/>
      </c>
      <c r="H148" s="42"/>
      <c r="I148" s="42"/>
      <c r="J148" s="42"/>
      <c r="K148" s="42"/>
      <c r="L148" s="42"/>
    </row>
    <row r="149" spans="1:12" x14ac:dyDescent="0.25">
      <c r="A149" s="3">
        <f t="shared" si="5"/>
        <v>1</v>
      </c>
      <c r="B149" s="144">
        <f>EDATE($B$3,Site!$I$33*(ROW(Tab_Compteur_1[[#This Row],[Début de période]])-3))</f>
        <v>0</v>
      </c>
      <c r="C149" s="243"/>
      <c r="D149" s="180"/>
      <c r="E149">
        <f t="shared" si="4"/>
        <v>0</v>
      </c>
      <c r="F149" t="str">
        <f>IFERROR(Tab_Compteur_1[[#This Row],[Quantité ]]/Tab_Compteur_1[[#This Row],[Delta Jour]],"")</f>
        <v/>
      </c>
      <c r="G149" t="str">
        <f>IFERROR(Tab_Compteur_1[[#This Row],[Montant TTC]]/Tab_Compteur_1[[#This Row],[Delta Jour]],"")</f>
        <v/>
      </c>
      <c r="H149" s="42"/>
      <c r="I149" s="42"/>
      <c r="J149" s="42"/>
      <c r="K149" s="42"/>
      <c r="L149" s="42"/>
    </row>
    <row r="150" spans="1:12" x14ac:dyDescent="0.25">
      <c r="A150" s="3">
        <f t="shared" si="5"/>
        <v>1</v>
      </c>
      <c r="B150" s="144">
        <f>EDATE($B$3,Site!$I$33*(ROW(Tab_Compteur_1[[#This Row],[Début de période]])-3))</f>
        <v>0</v>
      </c>
      <c r="C150" s="243"/>
      <c r="D150" s="180"/>
      <c r="E150">
        <f t="shared" si="4"/>
        <v>0</v>
      </c>
      <c r="F150" t="str">
        <f>IFERROR(Tab_Compteur_1[[#This Row],[Quantité ]]/Tab_Compteur_1[[#This Row],[Delta Jour]],"")</f>
        <v/>
      </c>
      <c r="G150" t="str">
        <f>IFERROR(Tab_Compteur_1[[#This Row],[Montant TTC]]/Tab_Compteur_1[[#This Row],[Delta Jour]],"")</f>
        <v/>
      </c>
      <c r="H150" s="42"/>
      <c r="I150" s="42"/>
      <c r="J150" s="42"/>
      <c r="K150" s="42"/>
      <c r="L150" s="42"/>
    </row>
    <row r="151" spans="1:12" x14ac:dyDescent="0.25">
      <c r="A151" s="3">
        <f t="shared" si="5"/>
        <v>1</v>
      </c>
      <c r="B151" s="144">
        <f>EDATE($B$3,Site!$I$33*(ROW(Tab_Compteur_1[[#This Row],[Début de période]])-3))</f>
        <v>0</v>
      </c>
      <c r="C151" s="243"/>
      <c r="D151" s="180"/>
      <c r="E151">
        <f t="shared" si="4"/>
        <v>0</v>
      </c>
      <c r="F151" t="str">
        <f>IFERROR(Tab_Compteur_1[[#This Row],[Quantité ]]/Tab_Compteur_1[[#This Row],[Delta Jour]],"")</f>
        <v/>
      </c>
      <c r="G151" t="str">
        <f>IFERROR(Tab_Compteur_1[[#This Row],[Montant TTC]]/Tab_Compteur_1[[#This Row],[Delta Jour]],"")</f>
        <v/>
      </c>
      <c r="H151" s="42"/>
      <c r="I151" s="42"/>
      <c r="J151" s="42"/>
      <c r="K151" s="42"/>
      <c r="L151" s="42"/>
    </row>
    <row r="152" spans="1:12" x14ac:dyDescent="0.25">
      <c r="A152" s="3">
        <f t="shared" si="5"/>
        <v>1</v>
      </c>
      <c r="B152" s="144">
        <f>EDATE($B$3,Site!$I$33*(ROW(Tab_Compteur_1[[#This Row],[Début de période]])-3))</f>
        <v>0</v>
      </c>
      <c r="C152" s="243"/>
      <c r="D152" s="180"/>
      <c r="E152">
        <f t="shared" si="4"/>
        <v>0</v>
      </c>
      <c r="F152" t="str">
        <f>IFERROR(Tab_Compteur_1[[#This Row],[Quantité ]]/Tab_Compteur_1[[#This Row],[Delta Jour]],"")</f>
        <v/>
      </c>
      <c r="G152" t="str">
        <f>IFERROR(Tab_Compteur_1[[#This Row],[Montant TTC]]/Tab_Compteur_1[[#This Row],[Delta Jour]],"")</f>
        <v/>
      </c>
      <c r="H152" s="42"/>
      <c r="I152" s="42"/>
      <c r="J152" s="42"/>
      <c r="K152" s="42"/>
      <c r="L152" s="42"/>
    </row>
    <row r="153" spans="1:12" x14ac:dyDescent="0.25">
      <c r="A153" s="3">
        <f t="shared" si="5"/>
        <v>1</v>
      </c>
      <c r="B153" s="144">
        <f>EDATE($B$3,Site!$I$33*(ROW(Tab_Compteur_1[[#This Row],[Début de période]])-3))</f>
        <v>0</v>
      </c>
      <c r="C153" s="243"/>
      <c r="D153" s="180"/>
      <c r="E153">
        <f t="shared" si="4"/>
        <v>0</v>
      </c>
      <c r="F153" t="str">
        <f>IFERROR(Tab_Compteur_1[[#This Row],[Quantité ]]/Tab_Compteur_1[[#This Row],[Delta Jour]],"")</f>
        <v/>
      </c>
      <c r="G153" t="str">
        <f>IFERROR(Tab_Compteur_1[[#This Row],[Montant TTC]]/Tab_Compteur_1[[#This Row],[Delta Jour]],"")</f>
        <v/>
      </c>
      <c r="H153" s="42"/>
      <c r="I153" s="42"/>
      <c r="J153" s="42"/>
      <c r="K153" s="42"/>
      <c r="L153" s="42"/>
    </row>
    <row r="154" spans="1:12" x14ac:dyDescent="0.25">
      <c r="A154" s="3">
        <f t="shared" si="5"/>
        <v>1</v>
      </c>
      <c r="B154" s="144">
        <f>EDATE($B$3,Site!$I$33*(ROW(Tab_Compteur_1[[#This Row],[Début de période]])-3))</f>
        <v>0</v>
      </c>
      <c r="C154" s="243"/>
      <c r="D154" s="180"/>
      <c r="E154">
        <f t="shared" si="4"/>
        <v>0</v>
      </c>
      <c r="F154" t="str">
        <f>IFERROR(Tab_Compteur_1[[#This Row],[Quantité ]]/Tab_Compteur_1[[#This Row],[Delta Jour]],"")</f>
        <v/>
      </c>
      <c r="G154" t="str">
        <f>IFERROR(Tab_Compteur_1[[#This Row],[Montant TTC]]/Tab_Compteur_1[[#This Row],[Delta Jour]],"")</f>
        <v/>
      </c>
      <c r="H154" s="42"/>
      <c r="I154" s="42"/>
      <c r="J154" s="42"/>
      <c r="K154" s="42"/>
      <c r="L154" s="42"/>
    </row>
    <row r="155" spans="1:12" x14ac:dyDescent="0.25">
      <c r="A155" s="3">
        <f t="shared" si="5"/>
        <v>1</v>
      </c>
      <c r="B155" s="144">
        <f>EDATE($B$3,Site!$I$33*(ROW(Tab_Compteur_1[[#This Row],[Début de période]])-3))</f>
        <v>0</v>
      </c>
      <c r="C155" s="243"/>
      <c r="D155" s="180"/>
      <c r="E155">
        <f t="shared" si="4"/>
        <v>0</v>
      </c>
      <c r="F155" t="str">
        <f>IFERROR(Tab_Compteur_1[[#This Row],[Quantité ]]/Tab_Compteur_1[[#This Row],[Delta Jour]],"")</f>
        <v/>
      </c>
      <c r="G155" t="str">
        <f>IFERROR(Tab_Compteur_1[[#This Row],[Montant TTC]]/Tab_Compteur_1[[#This Row],[Delta Jour]],"")</f>
        <v/>
      </c>
      <c r="H155" s="42"/>
      <c r="I155" s="42"/>
      <c r="J155" s="42"/>
      <c r="K155" s="42"/>
      <c r="L155" s="42"/>
    </row>
    <row r="156" spans="1:12" x14ac:dyDescent="0.25">
      <c r="A156" s="3">
        <f t="shared" si="5"/>
        <v>1</v>
      </c>
      <c r="B156" s="144">
        <f>EDATE($B$3,Site!$I$33*(ROW(Tab_Compteur_1[[#This Row],[Début de période]])-3))</f>
        <v>0</v>
      </c>
      <c r="C156" s="243"/>
      <c r="D156" s="180"/>
      <c r="E156">
        <f t="shared" si="4"/>
        <v>0</v>
      </c>
      <c r="F156" t="str">
        <f>IFERROR(Tab_Compteur_1[[#This Row],[Quantité ]]/Tab_Compteur_1[[#This Row],[Delta Jour]],"")</f>
        <v/>
      </c>
      <c r="G156" t="str">
        <f>IFERROR(Tab_Compteur_1[[#This Row],[Montant TTC]]/Tab_Compteur_1[[#This Row],[Delta Jour]],"")</f>
        <v/>
      </c>
      <c r="H156" s="42"/>
      <c r="I156" s="42"/>
      <c r="J156" s="42"/>
      <c r="K156" s="42"/>
      <c r="L156" s="42"/>
    </row>
    <row r="157" spans="1:12" x14ac:dyDescent="0.25">
      <c r="A157" s="3">
        <f t="shared" si="5"/>
        <v>1</v>
      </c>
      <c r="B157" s="144">
        <f>EDATE($B$3,Site!$I$33*(ROW(Tab_Compteur_1[[#This Row],[Début de période]])-3))</f>
        <v>0</v>
      </c>
      <c r="C157" s="243"/>
      <c r="D157" s="180"/>
      <c r="E157">
        <f t="shared" si="4"/>
        <v>0</v>
      </c>
      <c r="F157" t="str">
        <f>IFERROR(Tab_Compteur_1[[#This Row],[Quantité ]]/Tab_Compteur_1[[#This Row],[Delta Jour]],"")</f>
        <v/>
      </c>
      <c r="G157" t="str">
        <f>IFERROR(Tab_Compteur_1[[#This Row],[Montant TTC]]/Tab_Compteur_1[[#This Row],[Delta Jour]],"")</f>
        <v/>
      </c>
      <c r="H157" s="42"/>
      <c r="I157" s="42"/>
      <c r="J157" s="42"/>
      <c r="K157" s="42"/>
      <c r="L157" s="42"/>
    </row>
    <row r="158" spans="1:12" x14ac:dyDescent="0.25">
      <c r="A158" s="3">
        <f t="shared" si="5"/>
        <v>1</v>
      </c>
      <c r="B158" s="144">
        <f>EDATE($B$3,Site!$I$33*(ROW(Tab_Compteur_1[[#This Row],[Début de période]])-3))</f>
        <v>0</v>
      </c>
      <c r="C158" s="243"/>
      <c r="D158" s="180"/>
      <c r="E158">
        <f t="shared" si="4"/>
        <v>0</v>
      </c>
      <c r="F158" t="str">
        <f>IFERROR(Tab_Compteur_1[[#This Row],[Quantité ]]/Tab_Compteur_1[[#This Row],[Delta Jour]],"")</f>
        <v/>
      </c>
      <c r="G158" t="str">
        <f>IFERROR(Tab_Compteur_1[[#This Row],[Montant TTC]]/Tab_Compteur_1[[#This Row],[Delta Jour]],"")</f>
        <v/>
      </c>
      <c r="H158" s="42"/>
      <c r="I158" s="42"/>
      <c r="J158" s="42"/>
      <c r="K158" s="42"/>
      <c r="L158" s="42"/>
    </row>
    <row r="159" spans="1:12" x14ac:dyDescent="0.25">
      <c r="A159" s="3">
        <f t="shared" si="5"/>
        <v>1</v>
      </c>
      <c r="B159" s="144">
        <f>EDATE($B$3,Site!$I$33*(ROW(Tab_Compteur_1[[#This Row],[Début de période]])-3))</f>
        <v>0</v>
      </c>
      <c r="C159" s="263"/>
      <c r="D159" s="180"/>
      <c r="E159">
        <f t="shared" si="4"/>
        <v>0</v>
      </c>
      <c r="F159" t="str">
        <f>IFERROR(Tab_Compteur_1[[#This Row],[Quantité ]]/Tab_Compteur_1[[#This Row],[Delta Jour]],"")</f>
        <v/>
      </c>
      <c r="G159" t="str">
        <f>IFERROR(Tab_Compteur_1[[#This Row],[Montant TTC]]/Tab_Compteur_1[[#This Row],[Delta Jour]],"")</f>
        <v/>
      </c>
      <c r="H159" s="42"/>
      <c r="I159" s="42"/>
      <c r="J159" s="42"/>
      <c r="K159" s="42"/>
      <c r="L159" s="42"/>
    </row>
    <row r="160" spans="1:12" x14ac:dyDescent="0.25">
      <c r="A160" s="3">
        <f t="shared" si="5"/>
        <v>1</v>
      </c>
      <c r="B160" s="144">
        <f>EDATE($B$3,Site!$I$33*(ROW(Tab_Compteur_1[[#This Row],[Début de période]])-3))</f>
        <v>0</v>
      </c>
      <c r="C160" s="263"/>
      <c r="D160" s="180"/>
      <c r="E160">
        <f t="shared" si="4"/>
        <v>0</v>
      </c>
      <c r="F160" t="str">
        <f>IFERROR(Tab_Compteur_1[[#This Row],[Quantité ]]/Tab_Compteur_1[[#This Row],[Delta Jour]],"")</f>
        <v/>
      </c>
      <c r="G160" t="str">
        <f>IFERROR(Tab_Compteur_1[[#This Row],[Montant TTC]]/Tab_Compteur_1[[#This Row],[Delta Jour]],"")</f>
        <v/>
      </c>
      <c r="H160" s="42"/>
      <c r="I160" s="42"/>
      <c r="J160" s="42"/>
      <c r="K160" s="42"/>
      <c r="L160" s="42"/>
    </row>
    <row r="161" spans="1:12" x14ac:dyDescent="0.25">
      <c r="A161" s="3">
        <f t="shared" si="5"/>
        <v>1</v>
      </c>
      <c r="B161" s="144">
        <f>EDATE($B$3,Site!$I$33*(ROW(Tab_Compteur_1[[#This Row],[Début de période]])-3))</f>
        <v>0</v>
      </c>
      <c r="C161" s="263"/>
      <c r="D161" s="180"/>
      <c r="E161">
        <f t="shared" si="4"/>
        <v>0</v>
      </c>
      <c r="F161" t="str">
        <f>IFERROR(Tab_Compteur_1[[#This Row],[Quantité ]]/Tab_Compteur_1[[#This Row],[Delta Jour]],"")</f>
        <v/>
      </c>
      <c r="G161" t="str">
        <f>IFERROR(Tab_Compteur_1[[#This Row],[Montant TTC]]/Tab_Compteur_1[[#This Row],[Delta Jour]],"")</f>
        <v/>
      </c>
      <c r="H161" s="42"/>
      <c r="I161" s="42"/>
      <c r="J161" s="42"/>
      <c r="K161" s="42"/>
      <c r="L161" s="42"/>
    </row>
    <row r="162" spans="1:12" x14ac:dyDescent="0.25">
      <c r="A162" s="3">
        <f t="shared" si="5"/>
        <v>1</v>
      </c>
      <c r="B162" s="144">
        <f>EDATE($B$3,Site!$I$33*(ROW(Tab_Compteur_1[[#This Row],[Début de période]])-3))</f>
        <v>0</v>
      </c>
      <c r="C162" s="263"/>
      <c r="D162" s="180"/>
      <c r="E162">
        <f t="shared" si="4"/>
        <v>0</v>
      </c>
      <c r="F162" t="str">
        <f>IFERROR(Tab_Compteur_1[[#This Row],[Quantité ]]/Tab_Compteur_1[[#This Row],[Delta Jour]],"")</f>
        <v/>
      </c>
      <c r="G162" t="str">
        <f>IFERROR(Tab_Compteur_1[[#This Row],[Montant TTC]]/Tab_Compteur_1[[#This Row],[Delta Jour]],"")</f>
        <v/>
      </c>
      <c r="H162" s="42"/>
      <c r="I162" s="42"/>
      <c r="J162" s="42"/>
      <c r="K162" s="42"/>
      <c r="L162" s="42"/>
    </row>
    <row r="163" spans="1:12" x14ac:dyDescent="0.25">
      <c r="A163" s="3">
        <f t="shared" si="5"/>
        <v>1</v>
      </c>
      <c r="B163" s="144">
        <f>EDATE($B$3,Site!$I$33*(ROW(Tab_Compteur_1[[#This Row],[Début de période]])-3))</f>
        <v>0</v>
      </c>
      <c r="C163" s="263"/>
      <c r="D163" s="180"/>
      <c r="E163">
        <f t="shared" si="4"/>
        <v>0</v>
      </c>
      <c r="F163" t="str">
        <f>IFERROR(Tab_Compteur_1[[#This Row],[Quantité ]]/Tab_Compteur_1[[#This Row],[Delta Jour]],"")</f>
        <v/>
      </c>
      <c r="G163" t="str">
        <f>IFERROR(Tab_Compteur_1[[#This Row],[Montant TTC]]/Tab_Compteur_1[[#This Row],[Delta Jour]],"")</f>
        <v/>
      </c>
      <c r="H163" s="42"/>
      <c r="I163" s="42"/>
      <c r="J163" s="42"/>
      <c r="K163" s="42"/>
      <c r="L163" s="42"/>
    </row>
    <row r="164" spans="1:12" x14ac:dyDescent="0.25">
      <c r="A164" s="3">
        <f t="shared" si="5"/>
        <v>1</v>
      </c>
      <c r="B164" s="144">
        <f>EDATE($B$3,Site!$I$33*(ROW(Tab_Compteur_1[[#This Row],[Début de période]])-3))</f>
        <v>0</v>
      </c>
      <c r="C164" s="263"/>
      <c r="D164" s="180"/>
      <c r="E164">
        <f t="shared" si="4"/>
        <v>0</v>
      </c>
      <c r="F164" t="str">
        <f>IFERROR(Tab_Compteur_1[[#This Row],[Quantité ]]/Tab_Compteur_1[[#This Row],[Delta Jour]],"")</f>
        <v/>
      </c>
      <c r="G164" t="str">
        <f>IFERROR(Tab_Compteur_1[[#This Row],[Montant TTC]]/Tab_Compteur_1[[#This Row],[Delta Jour]],"")</f>
        <v/>
      </c>
      <c r="H164" s="42"/>
      <c r="I164" s="42"/>
      <c r="J164" s="42"/>
      <c r="K164" s="42"/>
      <c r="L164" s="42"/>
    </row>
    <row r="165" spans="1:12" x14ac:dyDescent="0.25">
      <c r="A165" s="3">
        <f t="shared" si="5"/>
        <v>1</v>
      </c>
      <c r="B165" s="144">
        <f>EDATE($B$3,Site!$I$33*(ROW(Tab_Compteur_1[[#This Row],[Début de période]])-3))</f>
        <v>0</v>
      </c>
      <c r="C165" s="263"/>
      <c r="D165" s="180"/>
      <c r="E165">
        <f t="shared" si="4"/>
        <v>0</v>
      </c>
      <c r="F165" t="str">
        <f>IFERROR(Tab_Compteur_1[[#This Row],[Quantité ]]/Tab_Compteur_1[[#This Row],[Delta Jour]],"")</f>
        <v/>
      </c>
      <c r="G165" t="str">
        <f>IFERROR(Tab_Compteur_1[[#This Row],[Montant TTC]]/Tab_Compteur_1[[#This Row],[Delta Jour]],"")</f>
        <v/>
      </c>
      <c r="H165" s="42"/>
      <c r="I165" s="42"/>
      <c r="J165" s="42"/>
      <c r="K165" s="42"/>
      <c r="L165" s="42"/>
    </row>
    <row r="166" spans="1:12" x14ac:dyDescent="0.25">
      <c r="A166" s="3">
        <f t="shared" si="5"/>
        <v>1</v>
      </c>
      <c r="B166" s="144">
        <f>EDATE($B$3,Site!$I$33*(ROW(Tab_Compteur_1[[#This Row],[Début de période]])-3))</f>
        <v>0</v>
      </c>
      <c r="C166" s="263"/>
      <c r="D166" s="180"/>
      <c r="E166">
        <f t="shared" si="4"/>
        <v>0</v>
      </c>
      <c r="F166" t="str">
        <f>IFERROR(Tab_Compteur_1[[#This Row],[Quantité ]]/Tab_Compteur_1[[#This Row],[Delta Jour]],"")</f>
        <v/>
      </c>
      <c r="G166" t="str">
        <f>IFERROR(Tab_Compteur_1[[#This Row],[Montant TTC]]/Tab_Compteur_1[[#This Row],[Delta Jour]],"")</f>
        <v/>
      </c>
      <c r="H166" s="42"/>
      <c r="I166" s="42"/>
      <c r="J166" s="42"/>
      <c r="K166" s="42"/>
      <c r="L166" s="42"/>
    </row>
    <row r="167" spans="1:12" x14ac:dyDescent="0.25">
      <c r="A167" s="3">
        <f t="shared" si="5"/>
        <v>1</v>
      </c>
      <c r="B167" s="144">
        <f>EDATE($B$3,Site!$I$33*(ROW(Tab_Compteur_1[[#This Row],[Début de période]])-3))</f>
        <v>0</v>
      </c>
      <c r="C167" s="263"/>
      <c r="D167" s="180"/>
      <c r="E167">
        <f t="shared" si="4"/>
        <v>0</v>
      </c>
      <c r="F167" t="str">
        <f>IFERROR(Tab_Compteur_1[[#This Row],[Quantité ]]/Tab_Compteur_1[[#This Row],[Delta Jour]],"")</f>
        <v/>
      </c>
      <c r="G167" t="str">
        <f>IFERROR(Tab_Compteur_1[[#This Row],[Montant TTC]]/Tab_Compteur_1[[#This Row],[Delta Jour]],"")</f>
        <v/>
      </c>
      <c r="H167" s="42"/>
      <c r="I167" s="42"/>
      <c r="J167" s="42"/>
      <c r="K167" s="42"/>
      <c r="L167" s="42"/>
    </row>
    <row r="168" spans="1:12" x14ac:dyDescent="0.25">
      <c r="A168" s="3">
        <f t="shared" si="5"/>
        <v>1</v>
      </c>
      <c r="B168" s="144">
        <f>EDATE($B$3,Site!$I$33*(ROW(Tab_Compteur_1[[#This Row],[Début de période]])-3))</f>
        <v>0</v>
      </c>
      <c r="C168" s="263"/>
      <c r="D168" s="180"/>
      <c r="E168">
        <f t="shared" si="4"/>
        <v>0</v>
      </c>
      <c r="F168" t="str">
        <f>IFERROR(Tab_Compteur_1[[#This Row],[Quantité ]]/Tab_Compteur_1[[#This Row],[Delta Jour]],"")</f>
        <v/>
      </c>
      <c r="G168" t="str">
        <f>IFERROR(Tab_Compteur_1[[#This Row],[Montant TTC]]/Tab_Compteur_1[[#This Row],[Delta Jour]],"")</f>
        <v/>
      </c>
      <c r="H168" s="42"/>
      <c r="I168" s="42"/>
      <c r="J168" s="42"/>
      <c r="K168" s="42"/>
      <c r="L168" s="42"/>
    </row>
    <row r="169" spans="1:12" x14ac:dyDescent="0.25">
      <c r="A169" s="3">
        <f t="shared" si="5"/>
        <v>1</v>
      </c>
      <c r="B169" s="144">
        <f>EDATE($B$3,Site!$I$33*(ROW(Tab_Compteur_1[[#This Row],[Début de période]])-3))</f>
        <v>0</v>
      </c>
      <c r="C169" s="263"/>
      <c r="D169" s="180"/>
      <c r="E169">
        <f t="shared" si="4"/>
        <v>0</v>
      </c>
      <c r="F169" t="str">
        <f>IFERROR(Tab_Compteur_1[[#This Row],[Quantité ]]/Tab_Compteur_1[[#This Row],[Delta Jour]],"")</f>
        <v/>
      </c>
      <c r="G169" t="str">
        <f>IFERROR(Tab_Compteur_1[[#This Row],[Montant TTC]]/Tab_Compteur_1[[#This Row],[Delta Jour]],"")</f>
        <v/>
      </c>
      <c r="H169" s="267"/>
      <c r="I169" s="42"/>
      <c r="J169" s="42"/>
      <c r="K169" s="42"/>
      <c r="L169" s="42"/>
    </row>
    <row r="170" spans="1:12" x14ac:dyDescent="0.25">
      <c r="A170" s="3">
        <f t="shared" si="5"/>
        <v>1</v>
      </c>
      <c r="B170" s="144">
        <f>EDATE($B$3,Site!$I$33*(ROW(Tab_Compteur_1[[#This Row],[Début de période]])-3))</f>
        <v>0</v>
      </c>
      <c r="C170" s="263"/>
      <c r="D170" s="180"/>
      <c r="E170">
        <f t="shared" si="4"/>
        <v>0</v>
      </c>
      <c r="F170" t="str">
        <f>IFERROR(Tab_Compteur_1[[#This Row],[Quantité ]]/Tab_Compteur_1[[#This Row],[Delta Jour]],"")</f>
        <v/>
      </c>
      <c r="G170" t="str">
        <f>IFERROR(Tab_Compteur_1[[#This Row],[Montant TTC]]/Tab_Compteur_1[[#This Row],[Delta Jour]],"")</f>
        <v/>
      </c>
      <c r="H170" s="42"/>
      <c r="I170" s="42"/>
      <c r="J170" s="42"/>
      <c r="K170" s="42"/>
      <c r="L170" s="42"/>
    </row>
    <row r="171" spans="1:12" x14ac:dyDescent="0.25">
      <c r="A171" s="3">
        <f t="shared" si="5"/>
        <v>1</v>
      </c>
      <c r="B171" s="144">
        <f>EDATE($B$3,Site!$I$33*(ROW(Tab_Compteur_1[[#This Row],[Début de période]])-3))</f>
        <v>0</v>
      </c>
      <c r="C171" s="263"/>
      <c r="D171" s="180"/>
      <c r="E171">
        <f t="shared" si="4"/>
        <v>0</v>
      </c>
      <c r="F171" t="str">
        <f>IFERROR(Tab_Compteur_1[[#This Row],[Quantité ]]/Tab_Compteur_1[[#This Row],[Delta Jour]],"")</f>
        <v/>
      </c>
      <c r="G171" t="str">
        <f>IFERROR(Tab_Compteur_1[[#This Row],[Montant TTC]]/Tab_Compteur_1[[#This Row],[Delta Jour]],"")</f>
        <v/>
      </c>
      <c r="H171" s="42"/>
      <c r="I171" s="42"/>
      <c r="J171" s="42"/>
      <c r="K171" s="42"/>
      <c r="L171" s="42"/>
    </row>
    <row r="172" spans="1:12" x14ac:dyDescent="0.25">
      <c r="A172" s="3">
        <f t="shared" si="5"/>
        <v>1</v>
      </c>
      <c r="B172" s="144">
        <f>EDATE($B$3,Site!$I$33*(ROW(Tab_Compteur_1[[#This Row],[Début de période]])-3))</f>
        <v>0</v>
      </c>
      <c r="C172" s="263"/>
      <c r="D172" s="180"/>
      <c r="E172">
        <f t="shared" si="4"/>
        <v>0</v>
      </c>
      <c r="F172" t="str">
        <f>IFERROR(Tab_Compteur_1[[#This Row],[Quantité ]]/Tab_Compteur_1[[#This Row],[Delta Jour]],"")</f>
        <v/>
      </c>
      <c r="G172" t="str">
        <f>IFERROR(Tab_Compteur_1[[#This Row],[Montant TTC]]/Tab_Compteur_1[[#This Row],[Delta Jour]],"")</f>
        <v/>
      </c>
      <c r="H172" s="42"/>
      <c r="I172" s="42"/>
      <c r="J172" s="42"/>
      <c r="K172" s="42"/>
      <c r="L172" s="42"/>
    </row>
    <row r="173" spans="1:12" x14ac:dyDescent="0.25">
      <c r="A173" s="3">
        <f t="shared" si="5"/>
        <v>1</v>
      </c>
      <c r="B173" s="144">
        <f>EDATE($B$3,Site!$I$33*(ROW(Tab_Compteur_1[[#This Row],[Début de période]])-3))</f>
        <v>0</v>
      </c>
      <c r="C173" s="263"/>
      <c r="D173" s="180"/>
      <c r="E173">
        <f t="shared" si="4"/>
        <v>0</v>
      </c>
      <c r="F173" t="str">
        <f>IFERROR(Tab_Compteur_1[[#This Row],[Quantité ]]/Tab_Compteur_1[[#This Row],[Delta Jour]],"")</f>
        <v/>
      </c>
      <c r="G173" t="str">
        <f>IFERROR(Tab_Compteur_1[[#This Row],[Montant TTC]]/Tab_Compteur_1[[#This Row],[Delta Jour]],"")</f>
        <v/>
      </c>
      <c r="H173" s="42"/>
      <c r="I173" s="42"/>
      <c r="J173" s="42"/>
      <c r="K173" s="42"/>
      <c r="L173" s="42"/>
    </row>
    <row r="174" spans="1:12" x14ac:dyDescent="0.25">
      <c r="A174" s="3">
        <f t="shared" si="5"/>
        <v>1</v>
      </c>
      <c r="B174" s="144">
        <f>EDATE($B$3,Site!$I$33*(ROW(Tab_Compteur_1[[#This Row],[Début de période]])-3))</f>
        <v>0</v>
      </c>
      <c r="C174" s="263"/>
      <c r="D174" s="180"/>
      <c r="E174">
        <f t="shared" si="4"/>
        <v>0</v>
      </c>
      <c r="F174" t="str">
        <f>IFERROR(Tab_Compteur_1[[#This Row],[Quantité ]]/Tab_Compteur_1[[#This Row],[Delta Jour]],"")</f>
        <v/>
      </c>
      <c r="G174" t="str">
        <f>IFERROR(Tab_Compteur_1[[#This Row],[Montant TTC]]/Tab_Compteur_1[[#This Row],[Delta Jour]],"")</f>
        <v/>
      </c>
      <c r="H174" s="42"/>
      <c r="I174" s="42"/>
      <c r="J174" s="42"/>
      <c r="K174" s="42"/>
      <c r="L174" s="42"/>
    </row>
    <row r="175" spans="1:12" x14ac:dyDescent="0.25">
      <c r="A175" s="3">
        <f t="shared" si="5"/>
        <v>1</v>
      </c>
      <c r="B175" s="144">
        <f>EDATE($B$3,Site!$I$33*(ROW(Tab_Compteur_1[[#This Row],[Début de période]])-3))</f>
        <v>0</v>
      </c>
      <c r="C175" s="263"/>
      <c r="D175" s="180"/>
      <c r="E175">
        <f t="shared" si="4"/>
        <v>0</v>
      </c>
      <c r="F175" t="str">
        <f>IFERROR(Tab_Compteur_1[[#This Row],[Quantité ]]/Tab_Compteur_1[[#This Row],[Delta Jour]],"")</f>
        <v/>
      </c>
      <c r="G175" t="str">
        <f>IFERROR(Tab_Compteur_1[[#This Row],[Montant TTC]]/Tab_Compteur_1[[#This Row],[Delta Jour]],"")</f>
        <v/>
      </c>
      <c r="H175" s="42"/>
      <c r="I175" s="42"/>
      <c r="J175" s="42"/>
      <c r="K175" s="42"/>
      <c r="L175" s="42"/>
    </row>
    <row r="176" spans="1:12" x14ac:dyDescent="0.25">
      <c r="A176" s="3">
        <f t="shared" si="5"/>
        <v>1</v>
      </c>
      <c r="B176" s="144">
        <f>EDATE($B$3,Site!$I$33*(ROW(Tab_Compteur_1[[#This Row],[Début de période]])-3))</f>
        <v>0</v>
      </c>
      <c r="C176" s="263"/>
      <c r="D176" s="180"/>
      <c r="E176">
        <f t="shared" si="4"/>
        <v>0</v>
      </c>
      <c r="F176" t="str">
        <f>IFERROR(Tab_Compteur_1[[#This Row],[Quantité ]]/Tab_Compteur_1[[#This Row],[Delta Jour]],"")</f>
        <v/>
      </c>
      <c r="G176" t="str">
        <f>IFERROR(Tab_Compteur_1[[#This Row],[Montant TTC]]/Tab_Compteur_1[[#This Row],[Delta Jour]],"")</f>
        <v/>
      </c>
      <c r="H176" s="42"/>
      <c r="I176" s="42"/>
      <c r="J176" s="42"/>
      <c r="K176" s="42"/>
      <c r="L176" s="42"/>
    </row>
    <row r="177" spans="1:12" x14ac:dyDescent="0.25">
      <c r="A177" s="3">
        <f t="shared" si="5"/>
        <v>1</v>
      </c>
      <c r="B177" s="144">
        <f>EDATE($B$3,Site!$I$33*(ROW(Tab_Compteur_1[[#This Row],[Début de période]])-3))</f>
        <v>0</v>
      </c>
      <c r="C177" s="263"/>
      <c r="D177" s="180"/>
      <c r="E177">
        <f t="shared" si="4"/>
        <v>0</v>
      </c>
      <c r="F177" t="str">
        <f>IFERROR(Tab_Compteur_1[[#This Row],[Quantité ]]/Tab_Compteur_1[[#This Row],[Delta Jour]],"")</f>
        <v/>
      </c>
      <c r="G177" t="str">
        <f>IFERROR(Tab_Compteur_1[[#This Row],[Montant TTC]]/Tab_Compteur_1[[#This Row],[Delta Jour]],"")</f>
        <v/>
      </c>
      <c r="H177" s="42"/>
      <c r="I177" s="42"/>
      <c r="J177" s="42"/>
      <c r="K177" s="42"/>
      <c r="L177" s="42"/>
    </row>
    <row r="178" spans="1:12" x14ac:dyDescent="0.25">
      <c r="A178" s="3">
        <f t="shared" si="5"/>
        <v>1</v>
      </c>
      <c r="B178" s="144">
        <f>EDATE($B$3,Site!$I$33*(ROW(Tab_Compteur_1[[#This Row],[Début de période]])-3))</f>
        <v>0</v>
      </c>
      <c r="C178" s="263"/>
      <c r="D178" s="180"/>
      <c r="E178">
        <f t="shared" si="4"/>
        <v>0</v>
      </c>
      <c r="F178" t="str">
        <f>IFERROR(Tab_Compteur_1[[#This Row],[Quantité ]]/Tab_Compteur_1[[#This Row],[Delta Jour]],"")</f>
        <v/>
      </c>
      <c r="G178" t="str">
        <f>IFERROR(Tab_Compteur_1[[#This Row],[Montant TTC]]/Tab_Compteur_1[[#This Row],[Delta Jour]],"")</f>
        <v/>
      </c>
      <c r="H178" s="42"/>
      <c r="I178" s="42"/>
      <c r="J178" s="42"/>
      <c r="K178" s="42"/>
      <c r="L178" s="42"/>
    </row>
    <row r="179" spans="1:12" x14ac:dyDescent="0.25">
      <c r="A179" s="3">
        <f t="shared" si="5"/>
        <v>1</v>
      </c>
      <c r="B179" s="144">
        <f>EDATE($B$3,Site!$I$33*(ROW(Tab_Compteur_1[[#This Row],[Début de période]])-3))</f>
        <v>0</v>
      </c>
      <c r="C179" s="263"/>
      <c r="D179" s="180"/>
      <c r="E179">
        <f t="shared" si="4"/>
        <v>0</v>
      </c>
      <c r="F179" t="str">
        <f>IFERROR(Tab_Compteur_1[[#This Row],[Quantité ]]/Tab_Compteur_1[[#This Row],[Delta Jour]],"")</f>
        <v/>
      </c>
      <c r="G179" t="str">
        <f>IFERROR(Tab_Compteur_1[[#This Row],[Montant TTC]]/Tab_Compteur_1[[#This Row],[Delta Jour]],"")</f>
        <v/>
      </c>
      <c r="H179" s="42"/>
      <c r="I179" s="42"/>
      <c r="J179" s="42"/>
      <c r="K179" s="42"/>
      <c r="L179" s="42"/>
    </row>
    <row r="180" spans="1:12" x14ac:dyDescent="0.25">
      <c r="A180" s="3">
        <f t="shared" si="5"/>
        <v>1</v>
      </c>
      <c r="B180" s="144">
        <f>EDATE($B$3,Site!$I$33*(ROW(Tab_Compteur_1[[#This Row],[Début de période]])-3))</f>
        <v>0</v>
      </c>
      <c r="C180" s="263"/>
      <c r="D180" s="180"/>
      <c r="E180">
        <f t="shared" si="4"/>
        <v>0</v>
      </c>
      <c r="F180" t="str">
        <f>IFERROR(Tab_Compteur_1[[#This Row],[Quantité ]]/Tab_Compteur_1[[#This Row],[Delta Jour]],"")</f>
        <v/>
      </c>
      <c r="G180" t="str">
        <f>IFERROR(Tab_Compteur_1[[#This Row],[Montant TTC]]/Tab_Compteur_1[[#This Row],[Delta Jour]],"")</f>
        <v/>
      </c>
      <c r="H180" s="42"/>
      <c r="I180" s="42"/>
      <c r="J180" s="42"/>
      <c r="K180" s="42"/>
      <c r="L180" s="42"/>
    </row>
    <row r="181" spans="1:12" x14ac:dyDescent="0.25">
      <c r="A181" s="3">
        <f t="shared" si="5"/>
        <v>1</v>
      </c>
      <c r="B181" s="144">
        <f>EDATE($B$3,Site!$I$33*(ROW(Tab_Compteur_1[[#This Row],[Début de période]])-3))</f>
        <v>0</v>
      </c>
      <c r="C181" s="263"/>
      <c r="D181" s="180"/>
      <c r="E181">
        <f t="shared" si="4"/>
        <v>0</v>
      </c>
      <c r="F181" t="str">
        <f>IFERROR(Tab_Compteur_1[[#This Row],[Quantité ]]/Tab_Compteur_1[[#This Row],[Delta Jour]],"")</f>
        <v/>
      </c>
      <c r="G181" t="str">
        <f>IFERROR(Tab_Compteur_1[[#This Row],[Montant TTC]]/Tab_Compteur_1[[#This Row],[Delta Jour]],"")</f>
        <v/>
      </c>
      <c r="H181" s="42"/>
      <c r="I181" s="42"/>
      <c r="J181" s="42"/>
      <c r="K181" s="42"/>
      <c r="L181" s="42"/>
    </row>
    <row r="182" spans="1:12" x14ac:dyDescent="0.25">
      <c r="A182" s="3">
        <f t="shared" si="5"/>
        <v>1</v>
      </c>
      <c r="B182" s="144">
        <f>EDATE($B$3,Site!$I$33*(ROW(Tab_Compteur_1[[#This Row],[Début de période]])-3))</f>
        <v>0</v>
      </c>
      <c r="C182" s="263"/>
      <c r="D182" s="180"/>
      <c r="E182">
        <f t="shared" si="4"/>
        <v>0</v>
      </c>
      <c r="F182" t="str">
        <f>IFERROR(Tab_Compteur_1[[#This Row],[Quantité ]]/Tab_Compteur_1[[#This Row],[Delta Jour]],"")</f>
        <v/>
      </c>
      <c r="G182" t="str">
        <f>IFERROR(Tab_Compteur_1[[#This Row],[Montant TTC]]/Tab_Compteur_1[[#This Row],[Delta Jour]],"")</f>
        <v/>
      </c>
      <c r="H182" s="42"/>
      <c r="I182" s="42"/>
      <c r="J182" s="42"/>
      <c r="K182" s="42"/>
      <c r="L182" s="42"/>
    </row>
    <row r="183" spans="1:12" x14ac:dyDescent="0.25">
      <c r="A183" s="3">
        <f t="shared" si="5"/>
        <v>1</v>
      </c>
      <c r="B183" s="144">
        <f>EDATE($B$3,Site!$I$33*(ROW(Tab_Compteur_1[[#This Row],[Début de période]])-3))</f>
        <v>0</v>
      </c>
      <c r="C183" s="263"/>
      <c r="D183" s="180"/>
      <c r="E183">
        <f t="shared" si="4"/>
        <v>0</v>
      </c>
      <c r="F183" t="str">
        <f>IFERROR(Tab_Compteur_1[[#This Row],[Quantité ]]/Tab_Compteur_1[[#This Row],[Delta Jour]],"")</f>
        <v/>
      </c>
      <c r="G183" t="str">
        <f>IFERROR(Tab_Compteur_1[[#This Row],[Montant TTC]]/Tab_Compteur_1[[#This Row],[Delta Jour]],"")</f>
        <v/>
      </c>
      <c r="H183" s="42"/>
      <c r="I183" s="42"/>
      <c r="J183" s="42"/>
      <c r="K183" s="42"/>
      <c r="L183" s="42"/>
    </row>
    <row r="184" spans="1:12" x14ac:dyDescent="0.25">
      <c r="A184" s="3">
        <f t="shared" si="5"/>
        <v>1</v>
      </c>
      <c r="B184" s="144">
        <f>EDATE($B$3,Site!$I$33*(ROW(Tab_Compteur_1[[#This Row],[Début de période]])-3))</f>
        <v>0</v>
      </c>
      <c r="C184" s="263"/>
      <c r="D184" s="180"/>
      <c r="E184">
        <f t="shared" si="4"/>
        <v>0</v>
      </c>
      <c r="F184" t="str">
        <f>IFERROR(Tab_Compteur_1[[#This Row],[Quantité ]]/Tab_Compteur_1[[#This Row],[Delta Jour]],"")</f>
        <v/>
      </c>
      <c r="G184" t="str">
        <f>IFERROR(Tab_Compteur_1[[#This Row],[Montant TTC]]/Tab_Compteur_1[[#This Row],[Delta Jour]],"")</f>
        <v/>
      </c>
      <c r="H184" s="42"/>
      <c r="I184" s="42"/>
      <c r="J184" s="42"/>
      <c r="K184" s="42"/>
      <c r="L184" s="42"/>
    </row>
    <row r="185" spans="1:12" x14ac:dyDescent="0.25">
      <c r="A185" s="3">
        <f t="shared" si="5"/>
        <v>1</v>
      </c>
      <c r="B185" s="144">
        <f>EDATE($B$3,Site!$I$33*(ROW(Tab_Compteur_1[[#This Row],[Début de période]])-3))</f>
        <v>0</v>
      </c>
      <c r="C185" s="263"/>
      <c r="D185" s="180"/>
      <c r="E185">
        <f t="shared" si="4"/>
        <v>0</v>
      </c>
      <c r="F185" t="str">
        <f>IFERROR(Tab_Compteur_1[[#This Row],[Quantité ]]/Tab_Compteur_1[[#This Row],[Delta Jour]],"")</f>
        <v/>
      </c>
      <c r="G185" t="str">
        <f>IFERROR(Tab_Compteur_1[[#This Row],[Montant TTC]]/Tab_Compteur_1[[#This Row],[Delta Jour]],"")</f>
        <v/>
      </c>
      <c r="H185" s="42"/>
      <c r="I185" s="42"/>
      <c r="J185" s="42"/>
      <c r="K185" s="42"/>
      <c r="L185" s="42"/>
    </row>
    <row r="186" spans="1:12" x14ac:dyDescent="0.25">
      <c r="A186" s="3">
        <f t="shared" si="5"/>
        <v>1</v>
      </c>
      <c r="B186" s="144">
        <f>EDATE($B$3,Site!$I$33*(ROW(Tab_Compteur_1[[#This Row],[Début de période]])-3))</f>
        <v>0</v>
      </c>
      <c r="C186" s="263"/>
      <c r="D186" s="180"/>
      <c r="E186">
        <f t="shared" si="4"/>
        <v>0</v>
      </c>
      <c r="F186" t="str">
        <f>IFERROR(Tab_Compteur_1[[#This Row],[Quantité ]]/Tab_Compteur_1[[#This Row],[Delta Jour]],"")</f>
        <v/>
      </c>
      <c r="G186" t="str">
        <f>IFERROR(Tab_Compteur_1[[#This Row],[Montant TTC]]/Tab_Compteur_1[[#This Row],[Delta Jour]],"")</f>
        <v/>
      </c>
      <c r="H186" s="42"/>
      <c r="I186" s="42"/>
      <c r="J186" s="42"/>
      <c r="K186" s="42"/>
      <c r="L186" s="42"/>
    </row>
    <row r="187" spans="1:12" x14ac:dyDescent="0.25">
      <c r="A187" s="3">
        <f t="shared" si="5"/>
        <v>1</v>
      </c>
      <c r="B187" s="144">
        <f>EDATE($B$3,Site!$I$33*(ROW(Tab_Compteur_1[[#This Row],[Début de période]])-3))</f>
        <v>0</v>
      </c>
      <c r="C187" s="263"/>
      <c r="D187" s="180"/>
      <c r="E187">
        <f t="shared" si="4"/>
        <v>0</v>
      </c>
      <c r="F187" t="str">
        <f>IFERROR(Tab_Compteur_1[[#This Row],[Quantité ]]/Tab_Compteur_1[[#This Row],[Delta Jour]],"")</f>
        <v/>
      </c>
      <c r="G187" t="str">
        <f>IFERROR(Tab_Compteur_1[[#This Row],[Montant TTC]]/Tab_Compteur_1[[#This Row],[Delta Jour]],"")</f>
        <v/>
      </c>
      <c r="H187" s="42"/>
      <c r="I187" s="42"/>
      <c r="J187" s="42"/>
      <c r="K187" s="42"/>
      <c r="L187" s="42"/>
    </row>
    <row r="188" spans="1:12" x14ac:dyDescent="0.25">
      <c r="A188" s="3">
        <f t="shared" si="5"/>
        <v>1</v>
      </c>
      <c r="B188" s="144">
        <f>EDATE($B$3,Site!$I$33*(ROW(Tab_Compteur_1[[#This Row],[Début de période]])-3))</f>
        <v>0</v>
      </c>
      <c r="C188" s="263"/>
      <c r="D188" s="180"/>
      <c r="E188">
        <f t="shared" si="4"/>
        <v>0</v>
      </c>
      <c r="F188" t="str">
        <f>IFERROR(Tab_Compteur_1[[#This Row],[Quantité ]]/Tab_Compteur_1[[#This Row],[Delta Jour]],"")</f>
        <v/>
      </c>
      <c r="G188" t="str">
        <f>IFERROR(Tab_Compteur_1[[#This Row],[Montant TTC]]/Tab_Compteur_1[[#This Row],[Delta Jour]],"")</f>
        <v/>
      </c>
      <c r="H188" s="42"/>
      <c r="I188" s="42"/>
      <c r="J188" s="42"/>
      <c r="K188" s="42"/>
      <c r="L188" s="42"/>
    </row>
    <row r="189" spans="1:12" x14ac:dyDescent="0.25">
      <c r="A189" s="3">
        <f t="shared" si="5"/>
        <v>1</v>
      </c>
      <c r="B189" s="144">
        <f>EDATE($B$3,Site!$I$33*(ROW(Tab_Compteur_1[[#This Row],[Début de période]])-3))</f>
        <v>0</v>
      </c>
      <c r="C189" s="263"/>
      <c r="D189" s="180"/>
      <c r="E189">
        <f t="shared" si="4"/>
        <v>0</v>
      </c>
      <c r="F189" t="str">
        <f>IFERROR(Tab_Compteur_1[[#This Row],[Quantité ]]/Tab_Compteur_1[[#This Row],[Delta Jour]],"")</f>
        <v/>
      </c>
      <c r="G189" t="str">
        <f>IFERROR(Tab_Compteur_1[[#This Row],[Montant TTC]]/Tab_Compteur_1[[#This Row],[Delta Jour]],"")</f>
        <v/>
      </c>
      <c r="H189" s="42"/>
      <c r="I189" s="42"/>
      <c r="J189" s="42"/>
      <c r="K189" s="42"/>
      <c r="L189" s="42"/>
    </row>
    <row r="190" spans="1:12" x14ac:dyDescent="0.25">
      <c r="A190" s="3">
        <f t="shared" si="5"/>
        <v>1</v>
      </c>
      <c r="B190" s="144">
        <f>EDATE($B$3,Site!$I$33*(ROW(Tab_Compteur_1[[#This Row],[Début de période]])-3))</f>
        <v>0</v>
      </c>
      <c r="C190" s="263"/>
      <c r="D190" s="180"/>
      <c r="E190">
        <f t="shared" si="4"/>
        <v>0</v>
      </c>
      <c r="F190" t="str">
        <f>IFERROR(Tab_Compteur_1[[#This Row],[Quantité ]]/Tab_Compteur_1[[#This Row],[Delta Jour]],"")</f>
        <v/>
      </c>
      <c r="G190" t="str">
        <f>IFERROR(Tab_Compteur_1[[#This Row],[Montant TTC]]/Tab_Compteur_1[[#This Row],[Delta Jour]],"")</f>
        <v/>
      </c>
      <c r="H190" s="42"/>
      <c r="I190" s="42"/>
      <c r="J190" s="42"/>
      <c r="K190" s="42"/>
      <c r="L190" s="42"/>
    </row>
    <row r="191" spans="1:12" x14ac:dyDescent="0.25">
      <c r="A191" s="3">
        <f t="shared" si="5"/>
        <v>1</v>
      </c>
      <c r="B191" s="144">
        <f>EDATE($B$3,Site!$I$33*(ROW(Tab_Compteur_1[[#This Row],[Début de période]])-3))</f>
        <v>0</v>
      </c>
      <c r="C191" s="263"/>
      <c r="D191" s="180"/>
      <c r="E191">
        <f t="shared" si="4"/>
        <v>0</v>
      </c>
      <c r="F191" t="str">
        <f>IFERROR(Tab_Compteur_1[[#This Row],[Quantité ]]/Tab_Compteur_1[[#This Row],[Delta Jour]],"")</f>
        <v/>
      </c>
      <c r="G191" t="str">
        <f>IFERROR(Tab_Compteur_1[[#This Row],[Montant TTC]]/Tab_Compteur_1[[#This Row],[Delta Jour]],"")</f>
        <v/>
      </c>
      <c r="H191" s="42"/>
      <c r="I191" s="42"/>
      <c r="J191" s="42"/>
      <c r="K191" s="42"/>
      <c r="L191" s="42"/>
    </row>
    <row r="192" spans="1:12" x14ac:dyDescent="0.25">
      <c r="A192" s="3">
        <f t="shared" si="5"/>
        <v>1</v>
      </c>
      <c r="B192" s="144">
        <f>EDATE($B$3,Site!$I$33*(ROW(Tab_Compteur_1[[#This Row],[Début de période]])-3))</f>
        <v>0</v>
      </c>
      <c r="C192" s="263"/>
      <c r="D192" s="180"/>
      <c r="E192">
        <f t="shared" si="4"/>
        <v>0</v>
      </c>
      <c r="F192" t="str">
        <f>IFERROR(Tab_Compteur_1[[#This Row],[Quantité ]]/Tab_Compteur_1[[#This Row],[Delta Jour]],"")</f>
        <v/>
      </c>
      <c r="G192" t="str">
        <f>IFERROR(Tab_Compteur_1[[#This Row],[Montant TTC]]/Tab_Compteur_1[[#This Row],[Delta Jour]],"")</f>
        <v/>
      </c>
      <c r="H192" s="42"/>
      <c r="I192" s="42"/>
      <c r="J192" s="42"/>
      <c r="K192" s="42"/>
      <c r="L192" s="42"/>
    </row>
    <row r="193" spans="1:12" x14ac:dyDescent="0.25">
      <c r="A193" s="3">
        <f t="shared" si="5"/>
        <v>1</v>
      </c>
      <c r="B193" s="144">
        <f>EDATE($B$3,Site!$I$33*(ROW(Tab_Compteur_1[[#This Row],[Début de période]])-3))</f>
        <v>0</v>
      </c>
      <c r="C193" s="263"/>
      <c r="D193" s="180"/>
      <c r="E193">
        <f t="shared" si="4"/>
        <v>0</v>
      </c>
      <c r="F193" t="str">
        <f>IFERROR(Tab_Compteur_1[[#This Row],[Quantité ]]/Tab_Compteur_1[[#This Row],[Delta Jour]],"")</f>
        <v/>
      </c>
      <c r="G193" t="str">
        <f>IFERROR(Tab_Compteur_1[[#This Row],[Montant TTC]]/Tab_Compteur_1[[#This Row],[Delta Jour]],"")</f>
        <v/>
      </c>
      <c r="H193" s="42"/>
      <c r="I193" s="42"/>
      <c r="J193" s="42"/>
      <c r="K193" s="42"/>
      <c r="L193" s="42"/>
    </row>
    <row r="194" spans="1:12" x14ac:dyDescent="0.25">
      <c r="A194" s="3">
        <f t="shared" si="5"/>
        <v>1</v>
      </c>
      <c r="B194" s="144">
        <f>EDATE($B$3,Site!$I$33*(ROW(Tab_Compteur_1[[#This Row],[Début de période]])-3))</f>
        <v>0</v>
      </c>
      <c r="C194" s="263"/>
      <c r="D194" s="180"/>
      <c r="E194">
        <f t="shared" si="4"/>
        <v>0</v>
      </c>
      <c r="F194" t="str">
        <f>IFERROR(Tab_Compteur_1[[#This Row],[Quantité ]]/Tab_Compteur_1[[#This Row],[Delta Jour]],"")</f>
        <v/>
      </c>
      <c r="G194" t="str">
        <f>IFERROR(Tab_Compteur_1[[#This Row],[Montant TTC]]/Tab_Compteur_1[[#This Row],[Delta Jour]],"")</f>
        <v/>
      </c>
      <c r="H194" s="42"/>
      <c r="I194" s="42"/>
      <c r="J194" s="42"/>
      <c r="K194" s="42"/>
      <c r="L194" s="42"/>
    </row>
    <row r="195" spans="1:12" x14ac:dyDescent="0.25">
      <c r="A195" s="3">
        <f t="shared" si="5"/>
        <v>1</v>
      </c>
      <c r="B195" s="144">
        <f>EDATE($B$3,Site!$I$33*(ROW(Tab_Compteur_1[[#This Row],[Début de période]])-3))</f>
        <v>0</v>
      </c>
      <c r="C195" s="263"/>
      <c r="D195" s="180"/>
      <c r="E195">
        <f t="shared" si="4"/>
        <v>0</v>
      </c>
      <c r="F195" t="str">
        <f>IFERROR(Tab_Compteur_1[[#This Row],[Quantité ]]/Tab_Compteur_1[[#This Row],[Delta Jour]],"")</f>
        <v/>
      </c>
      <c r="G195" t="str">
        <f>IFERROR(Tab_Compteur_1[[#This Row],[Montant TTC]]/Tab_Compteur_1[[#This Row],[Delta Jour]],"")</f>
        <v/>
      </c>
      <c r="H195" s="42"/>
      <c r="I195" s="42"/>
      <c r="J195" s="42"/>
      <c r="K195" s="42"/>
      <c r="L195" s="42"/>
    </row>
    <row r="196" spans="1:12" x14ac:dyDescent="0.25">
      <c r="A196" s="3">
        <f t="shared" si="5"/>
        <v>1</v>
      </c>
      <c r="B196" s="144">
        <f>EDATE($B$3,Site!$I$33*(ROW(Tab_Compteur_1[[#This Row],[Début de période]])-3))</f>
        <v>0</v>
      </c>
      <c r="C196" s="263"/>
      <c r="D196" s="180"/>
      <c r="E196">
        <f t="shared" ref="E196:E242" si="6">IFERROR(B196-A196+1,"")</f>
        <v>0</v>
      </c>
      <c r="F196" t="str">
        <f>IFERROR(Tab_Compteur_1[[#This Row],[Quantité ]]/Tab_Compteur_1[[#This Row],[Delta Jour]],"")</f>
        <v/>
      </c>
      <c r="G196" t="str">
        <f>IFERROR(Tab_Compteur_1[[#This Row],[Montant TTC]]/Tab_Compteur_1[[#This Row],[Delta Jour]],"")</f>
        <v/>
      </c>
      <c r="H196" s="42"/>
      <c r="I196" s="42"/>
      <c r="J196" s="42"/>
      <c r="K196" s="42"/>
      <c r="L196" s="42"/>
    </row>
    <row r="197" spans="1:12" x14ac:dyDescent="0.25">
      <c r="A197" s="3">
        <f t="shared" ref="A197:A242" si="7">B196+1</f>
        <v>1</v>
      </c>
      <c r="B197" s="144">
        <f>EDATE($B$3,Site!$I$33*(ROW(Tab_Compteur_1[[#This Row],[Début de période]])-3))</f>
        <v>0</v>
      </c>
      <c r="C197" s="263"/>
      <c r="D197" s="180"/>
      <c r="E197">
        <f t="shared" si="6"/>
        <v>0</v>
      </c>
      <c r="F197" t="str">
        <f>IFERROR(Tab_Compteur_1[[#This Row],[Quantité ]]/Tab_Compteur_1[[#This Row],[Delta Jour]],"")</f>
        <v/>
      </c>
      <c r="G197" t="str">
        <f>IFERROR(Tab_Compteur_1[[#This Row],[Montant TTC]]/Tab_Compteur_1[[#This Row],[Delta Jour]],"")</f>
        <v/>
      </c>
      <c r="H197" s="42"/>
      <c r="I197" s="42"/>
      <c r="J197" s="42"/>
      <c r="K197" s="42"/>
      <c r="L197" s="42"/>
    </row>
    <row r="198" spans="1:12" x14ac:dyDescent="0.25">
      <c r="A198" s="3">
        <f t="shared" si="7"/>
        <v>1</v>
      </c>
      <c r="B198" s="144">
        <f>EDATE($B$3,Site!$I$33*(ROW(Tab_Compteur_1[[#This Row],[Début de période]])-3))</f>
        <v>0</v>
      </c>
      <c r="C198" s="263"/>
      <c r="D198" s="180"/>
      <c r="E198">
        <f t="shared" si="6"/>
        <v>0</v>
      </c>
      <c r="F198" t="str">
        <f>IFERROR(Tab_Compteur_1[[#This Row],[Quantité ]]/Tab_Compteur_1[[#This Row],[Delta Jour]],"")</f>
        <v/>
      </c>
      <c r="G198" t="str">
        <f>IFERROR(Tab_Compteur_1[[#This Row],[Montant TTC]]/Tab_Compteur_1[[#This Row],[Delta Jour]],"")</f>
        <v/>
      </c>
      <c r="H198" s="42"/>
      <c r="I198" s="42"/>
      <c r="J198" s="42"/>
      <c r="K198" s="42"/>
      <c r="L198" s="42"/>
    </row>
    <row r="199" spans="1:12" x14ac:dyDescent="0.25">
      <c r="A199" s="3">
        <f t="shared" si="7"/>
        <v>1</v>
      </c>
      <c r="B199" s="144">
        <f>EDATE($B$3,Site!$I$33*(ROW(Tab_Compteur_1[[#This Row],[Début de période]])-3))</f>
        <v>0</v>
      </c>
      <c r="C199" s="263"/>
      <c r="D199" s="180"/>
      <c r="E199">
        <f t="shared" si="6"/>
        <v>0</v>
      </c>
      <c r="F199" t="str">
        <f>IFERROR(Tab_Compteur_1[[#This Row],[Quantité ]]/Tab_Compteur_1[[#This Row],[Delta Jour]],"")</f>
        <v/>
      </c>
      <c r="G199" t="str">
        <f>IFERROR(Tab_Compteur_1[[#This Row],[Montant TTC]]/Tab_Compteur_1[[#This Row],[Delta Jour]],"")</f>
        <v/>
      </c>
      <c r="H199" s="42"/>
      <c r="I199" s="42"/>
      <c r="J199" s="42"/>
      <c r="K199" s="42"/>
      <c r="L199" s="42"/>
    </row>
    <row r="200" spans="1:12" x14ac:dyDescent="0.25">
      <c r="A200" s="3">
        <f t="shared" si="7"/>
        <v>1</v>
      </c>
      <c r="B200" s="144">
        <f>EDATE($B$3,Site!$I$33*(ROW(Tab_Compteur_1[[#This Row],[Début de période]])-3))</f>
        <v>0</v>
      </c>
      <c r="C200" s="263"/>
      <c r="D200" s="180"/>
      <c r="E200">
        <f t="shared" si="6"/>
        <v>0</v>
      </c>
      <c r="F200" t="str">
        <f>IFERROR(Tab_Compteur_1[[#This Row],[Quantité ]]/Tab_Compteur_1[[#This Row],[Delta Jour]],"")</f>
        <v/>
      </c>
      <c r="G200" t="str">
        <f>IFERROR(Tab_Compteur_1[[#This Row],[Montant TTC]]/Tab_Compteur_1[[#This Row],[Delta Jour]],"")</f>
        <v/>
      </c>
      <c r="H200" s="42"/>
      <c r="I200" s="42"/>
      <c r="J200" s="42"/>
      <c r="K200" s="42"/>
      <c r="L200" s="42"/>
    </row>
    <row r="201" spans="1:12" x14ac:dyDescent="0.25">
      <c r="A201" s="3">
        <f t="shared" si="7"/>
        <v>1</v>
      </c>
      <c r="B201" s="144">
        <f>EDATE($B$3,Site!$I$33*(ROW(Tab_Compteur_1[[#This Row],[Début de période]])-3))</f>
        <v>0</v>
      </c>
      <c r="C201" s="263"/>
      <c r="D201" s="180"/>
      <c r="E201">
        <f t="shared" si="6"/>
        <v>0</v>
      </c>
      <c r="F201" t="str">
        <f>IFERROR(Tab_Compteur_1[[#This Row],[Quantité ]]/Tab_Compteur_1[[#This Row],[Delta Jour]],"")</f>
        <v/>
      </c>
      <c r="G201" t="str">
        <f>IFERROR(Tab_Compteur_1[[#This Row],[Montant TTC]]/Tab_Compteur_1[[#This Row],[Delta Jour]],"")</f>
        <v/>
      </c>
      <c r="H201" s="42"/>
      <c r="I201" s="42"/>
      <c r="J201" s="42"/>
      <c r="K201" s="42"/>
      <c r="L201" s="42"/>
    </row>
    <row r="202" spans="1:12" x14ac:dyDescent="0.25">
      <c r="A202" s="3">
        <f t="shared" si="7"/>
        <v>1</v>
      </c>
      <c r="B202" s="144">
        <f>EDATE($B$3,Site!$I$33*(ROW(Tab_Compteur_1[[#This Row],[Début de période]])-3))</f>
        <v>0</v>
      </c>
      <c r="C202" s="263"/>
      <c r="D202" s="180"/>
      <c r="E202">
        <f t="shared" si="6"/>
        <v>0</v>
      </c>
      <c r="F202" t="str">
        <f>IFERROR(Tab_Compteur_1[[#This Row],[Quantité ]]/Tab_Compteur_1[[#This Row],[Delta Jour]],"")</f>
        <v/>
      </c>
      <c r="G202" t="str">
        <f>IFERROR(Tab_Compteur_1[[#This Row],[Montant TTC]]/Tab_Compteur_1[[#This Row],[Delta Jour]],"")</f>
        <v/>
      </c>
      <c r="H202" s="42"/>
      <c r="I202" s="42"/>
      <c r="J202" s="42"/>
      <c r="K202" s="42"/>
      <c r="L202" s="42"/>
    </row>
    <row r="203" spans="1:12" x14ac:dyDescent="0.25">
      <c r="A203" s="3">
        <f t="shared" si="7"/>
        <v>1</v>
      </c>
      <c r="B203" s="144">
        <f>EDATE($B$3,Site!$I$33*(ROW(Tab_Compteur_1[[#This Row],[Début de période]])-3))</f>
        <v>0</v>
      </c>
      <c r="C203" s="263"/>
      <c r="D203" s="180"/>
      <c r="E203">
        <f t="shared" si="6"/>
        <v>0</v>
      </c>
      <c r="F203" t="str">
        <f>IFERROR(Tab_Compteur_1[[#This Row],[Quantité ]]/Tab_Compteur_1[[#This Row],[Delta Jour]],"")</f>
        <v/>
      </c>
      <c r="G203" t="str">
        <f>IFERROR(Tab_Compteur_1[[#This Row],[Montant TTC]]/Tab_Compteur_1[[#This Row],[Delta Jour]],"")</f>
        <v/>
      </c>
      <c r="H203" s="42"/>
      <c r="I203" s="42"/>
      <c r="J203" s="42"/>
      <c r="K203" s="42"/>
      <c r="L203" s="42"/>
    </row>
    <row r="204" spans="1:12" x14ac:dyDescent="0.25">
      <c r="A204" s="3">
        <f t="shared" si="7"/>
        <v>1</v>
      </c>
      <c r="B204" s="144">
        <f>EDATE($B$3,Site!$I$33*(ROW(Tab_Compteur_1[[#This Row],[Début de période]])-3))</f>
        <v>0</v>
      </c>
      <c r="C204" s="263"/>
      <c r="D204" s="180"/>
      <c r="E204">
        <f t="shared" si="6"/>
        <v>0</v>
      </c>
      <c r="F204" t="str">
        <f>IFERROR(Tab_Compteur_1[[#This Row],[Quantité ]]/Tab_Compteur_1[[#This Row],[Delta Jour]],"")</f>
        <v/>
      </c>
      <c r="G204" t="str">
        <f>IFERROR(Tab_Compteur_1[[#This Row],[Montant TTC]]/Tab_Compteur_1[[#This Row],[Delta Jour]],"")</f>
        <v/>
      </c>
      <c r="H204" s="42"/>
      <c r="I204" s="42"/>
      <c r="J204" s="42"/>
      <c r="K204" s="42"/>
      <c r="L204" s="42"/>
    </row>
    <row r="205" spans="1:12" x14ac:dyDescent="0.25">
      <c r="A205" s="3">
        <f t="shared" si="7"/>
        <v>1</v>
      </c>
      <c r="B205" s="144">
        <f>EDATE($B$3,Site!$I$33*(ROW(Tab_Compteur_1[[#This Row],[Début de période]])-3))</f>
        <v>0</v>
      </c>
      <c r="C205" s="263"/>
      <c r="D205" s="180"/>
      <c r="E205">
        <f t="shared" si="6"/>
        <v>0</v>
      </c>
      <c r="F205" t="str">
        <f>IFERROR(Tab_Compteur_1[[#This Row],[Quantité ]]/Tab_Compteur_1[[#This Row],[Delta Jour]],"")</f>
        <v/>
      </c>
      <c r="G205" t="str">
        <f>IFERROR(Tab_Compteur_1[[#This Row],[Montant TTC]]/Tab_Compteur_1[[#This Row],[Delta Jour]],"")</f>
        <v/>
      </c>
      <c r="H205" s="42"/>
      <c r="I205" s="42"/>
      <c r="J205" s="42"/>
      <c r="K205" s="42"/>
      <c r="L205" s="42"/>
    </row>
    <row r="206" spans="1:12" x14ac:dyDescent="0.25">
      <c r="A206" s="3">
        <f t="shared" si="7"/>
        <v>1</v>
      </c>
      <c r="B206" s="144">
        <f>EDATE($B$3,Site!$I$33*(ROW(Tab_Compteur_1[[#This Row],[Début de période]])-3))</f>
        <v>0</v>
      </c>
      <c r="C206" s="263"/>
      <c r="D206" s="180"/>
      <c r="E206">
        <f t="shared" si="6"/>
        <v>0</v>
      </c>
      <c r="F206" t="str">
        <f>IFERROR(Tab_Compteur_1[[#This Row],[Quantité ]]/Tab_Compteur_1[[#This Row],[Delta Jour]],"")</f>
        <v/>
      </c>
      <c r="G206" t="str">
        <f>IFERROR(Tab_Compteur_1[[#This Row],[Montant TTC]]/Tab_Compteur_1[[#This Row],[Delta Jour]],"")</f>
        <v/>
      </c>
      <c r="H206" s="42"/>
      <c r="I206" s="42"/>
      <c r="J206" s="42"/>
      <c r="K206" s="42"/>
      <c r="L206" s="42"/>
    </row>
    <row r="207" spans="1:12" x14ac:dyDescent="0.25">
      <c r="A207" s="3">
        <f t="shared" si="7"/>
        <v>1</v>
      </c>
      <c r="B207" s="144">
        <f>EDATE($B$3,Site!$I$33*(ROW(Tab_Compteur_1[[#This Row],[Début de période]])-3))</f>
        <v>0</v>
      </c>
      <c r="C207" s="263"/>
      <c r="D207" s="180"/>
      <c r="E207">
        <f t="shared" si="6"/>
        <v>0</v>
      </c>
      <c r="F207" t="str">
        <f>IFERROR(Tab_Compteur_1[[#This Row],[Quantité ]]/Tab_Compteur_1[[#This Row],[Delta Jour]],"")</f>
        <v/>
      </c>
      <c r="G207" t="str">
        <f>IFERROR(Tab_Compteur_1[[#This Row],[Montant TTC]]/Tab_Compteur_1[[#This Row],[Delta Jour]],"")</f>
        <v/>
      </c>
      <c r="H207" s="42"/>
      <c r="I207" s="42"/>
      <c r="J207" s="42"/>
      <c r="K207" s="42"/>
      <c r="L207" s="42"/>
    </row>
    <row r="208" spans="1:12" x14ac:dyDescent="0.25">
      <c r="A208" s="3">
        <f t="shared" si="7"/>
        <v>1</v>
      </c>
      <c r="B208" s="144">
        <f>EDATE($B$3,Site!$I$33*(ROW(Tab_Compteur_1[[#This Row],[Début de période]])-3))</f>
        <v>0</v>
      </c>
      <c r="C208" s="263"/>
      <c r="D208" s="180"/>
      <c r="E208">
        <f t="shared" si="6"/>
        <v>0</v>
      </c>
      <c r="F208" t="str">
        <f>IFERROR(Tab_Compteur_1[[#This Row],[Quantité ]]/Tab_Compteur_1[[#This Row],[Delta Jour]],"")</f>
        <v/>
      </c>
      <c r="G208" t="str">
        <f>IFERROR(Tab_Compteur_1[[#This Row],[Montant TTC]]/Tab_Compteur_1[[#This Row],[Delta Jour]],"")</f>
        <v/>
      </c>
      <c r="H208" s="42"/>
      <c r="I208" s="42"/>
      <c r="J208" s="42"/>
      <c r="K208" s="42"/>
      <c r="L208" s="42"/>
    </row>
    <row r="209" spans="1:12" x14ac:dyDescent="0.25">
      <c r="A209" s="3">
        <f t="shared" si="7"/>
        <v>1</v>
      </c>
      <c r="B209" s="144">
        <f>EDATE($B$3,Site!$I$33*(ROW(Tab_Compteur_1[[#This Row],[Début de période]])-3))</f>
        <v>0</v>
      </c>
      <c r="C209" s="263"/>
      <c r="D209" s="180"/>
      <c r="E209">
        <f t="shared" si="6"/>
        <v>0</v>
      </c>
      <c r="F209" t="str">
        <f>IFERROR(Tab_Compteur_1[[#This Row],[Quantité ]]/Tab_Compteur_1[[#This Row],[Delta Jour]],"")</f>
        <v/>
      </c>
      <c r="G209" t="str">
        <f>IFERROR(Tab_Compteur_1[[#This Row],[Montant TTC]]/Tab_Compteur_1[[#This Row],[Delta Jour]],"")</f>
        <v/>
      </c>
      <c r="H209" s="42"/>
      <c r="I209" s="42"/>
      <c r="J209" s="42"/>
      <c r="K209" s="42"/>
      <c r="L209" s="42"/>
    </row>
    <row r="210" spans="1:12" x14ac:dyDescent="0.25">
      <c r="A210" s="3">
        <f t="shared" si="7"/>
        <v>1</v>
      </c>
      <c r="B210" s="144">
        <f>EDATE($B$3,Site!$I$33*(ROW(Tab_Compteur_1[[#This Row],[Début de période]])-3))</f>
        <v>0</v>
      </c>
      <c r="C210" s="263"/>
      <c r="D210" s="180"/>
      <c r="E210">
        <f t="shared" si="6"/>
        <v>0</v>
      </c>
      <c r="F210" t="str">
        <f>IFERROR(Tab_Compteur_1[[#This Row],[Quantité ]]/Tab_Compteur_1[[#This Row],[Delta Jour]],"")</f>
        <v/>
      </c>
      <c r="G210" t="str">
        <f>IFERROR(Tab_Compteur_1[[#This Row],[Montant TTC]]/Tab_Compteur_1[[#This Row],[Delta Jour]],"")</f>
        <v/>
      </c>
      <c r="H210" s="42"/>
      <c r="I210" s="42"/>
      <c r="J210" s="42"/>
      <c r="K210" s="42"/>
      <c r="L210" s="42"/>
    </row>
    <row r="211" spans="1:12" x14ac:dyDescent="0.25">
      <c r="A211" s="3">
        <f t="shared" si="7"/>
        <v>1</v>
      </c>
      <c r="B211" s="144">
        <f>EDATE($B$3,Site!$I$33*(ROW(Tab_Compteur_1[[#This Row],[Début de période]])-3))</f>
        <v>0</v>
      </c>
      <c r="C211" s="263"/>
      <c r="D211" s="180"/>
      <c r="E211">
        <f t="shared" si="6"/>
        <v>0</v>
      </c>
      <c r="F211" t="str">
        <f>IFERROR(Tab_Compteur_1[[#This Row],[Quantité ]]/Tab_Compteur_1[[#This Row],[Delta Jour]],"")</f>
        <v/>
      </c>
      <c r="G211" t="str">
        <f>IFERROR(Tab_Compteur_1[[#This Row],[Montant TTC]]/Tab_Compteur_1[[#This Row],[Delta Jour]],"")</f>
        <v/>
      </c>
      <c r="H211" s="42"/>
      <c r="I211" s="42"/>
      <c r="J211" s="42"/>
      <c r="K211" s="42"/>
      <c r="L211" s="42"/>
    </row>
    <row r="212" spans="1:12" x14ac:dyDescent="0.25">
      <c r="A212" s="3">
        <f t="shared" si="7"/>
        <v>1</v>
      </c>
      <c r="B212" s="144">
        <f>EDATE($B$3,Site!$I$33*(ROW(Tab_Compteur_1[[#This Row],[Début de période]])-3))</f>
        <v>0</v>
      </c>
      <c r="C212" s="263"/>
      <c r="D212" s="180"/>
      <c r="E212">
        <f t="shared" si="6"/>
        <v>0</v>
      </c>
      <c r="F212" t="str">
        <f>IFERROR(Tab_Compteur_1[[#This Row],[Quantité ]]/Tab_Compteur_1[[#This Row],[Delta Jour]],"")</f>
        <v/>
      </c>
      <c r="G212" t="str">
        <f>IFERROR(Tab_Compteur_1[[#This Row],[Montant TTC]]/Tab_Compteur_1[[#This Row],[Delta Jour]],"")</f>
        <v/>
      </c>
      <c r="H212" s="42"/>
      <c r="I212" s="42"/>
      <c r="J212" s="42"/>
      <c r="K212" s="42"/>
      <c r="L212" s="42"/>
    </row>
    <row r="213" spans="1:12" x14ac:dyDescent="0.25">
      <c r="A213" s="3">
        <f t="shared" si="7"/>
        <v>1</v>
      </c>
      <c r="B213" s="144">
        <f>EDATE($B$3,Site!$I$33*(ROW(Tab_Compteur_1[[#This Row],[Début de période]])-3))</f>
        <v>0</v>
      </c>
      <c r="C213" s="263"/>
      <c r="D213" s="180"/>
      <c r="E213">
        <f t="shared" si="6"/>
        <v>0</v>
      </c>
      <c r="F213" t="str">
        <f>IFERROR(Tab_Compteur_1[[#This Row],[Quantité ]]/Tab_Compteur_1[[#This Row],[Delta Jour]],"")</f>
        <v/>
      </c>
      <c r="G213" t="str">
        <f>IFERROR(Tab_Compteur_1[[#This Row],[Montant TTC]]/Tab_Compteur_1[[#This Row],[Delta Jour]],"")</f>
        <v/>
      </c>
      <c r="H213" s="42"/>
      <c r="I213" s="42"/>
      <c r="J213" s="42"/>
      <c r="K213" s="42"/>
      <c r="L213" s="42"/>
    </row>
    <row r="214" spans="1:12" x14ac:dyDescent="0.25">
      <c r="A214" s="3">
        <f t="shared" si="7"/>
        <v>1</v>
      </c>
      <c r="B214" s="144">
        <f>EDATE($B$3,Site!$I$33*(ROW(Tab_Compteur_1[[#This Row],[Début de période]])-3))</f>
        <v>0</v>
      </c>
      <c r="C214" s="263"/>
      <c r="D214" s="180"/>
      <c r="E214">
        <f t="shared" si="6"/>
        <v>0</v>
      </c>
      <c r="F214" t="str">
        <f>IFERROR(Tab_Compteur_1[[#This Row],[Quantité ]]/Tab_Compteur_1[[#This Row],[Delta Jour]],"")</f>
        <v/>
      </c>
      <c r="G214" t="str">
        <f>IFERROR(Tab_Compteur_1[[#This Row],[Montant TTC]]/Tab_Compteur_1[[#This Row],[Delta Jour]],"")</f>
        <v/>
      </c>
      <c r="H214" s="42"/>
      <c r="I214" s="42"/>
      <c r="J214" s="42"/>
      <c r="K214" s="42"/>
      <c r="L214" s="42"/>
    </row>
    <row r="215" spans="1:12" x14ac:dyDescent="0.25">
      <c r="A215" s="3">
        <f t="shared" si="7"/>
        <v>1</v>
      </c>
      <c r="B215" s="144">
        <f>EDATE($B$3,Site!$I$33*(ROW(Tab_Compteur_1[[#This Row],[Début de période]])-3))</f>
        <v>0</v>
      </c>
      <c r="C215" s="263"/>
      <c r="D215" s="180"/>
      <c r="E215">
        <f t="shared" si="6"/>
        <v>0</v>
      </c>
      <c r="F215" t="str">
        <f>IFERROR(Tab_Compteur_1[[#This Row],[Quantité ]]/Tab_Compteur_1[[#This Row],[Delta Jour]],"")</f>
        <v/>
      </c>
      <c r="G215" t="str">
        <f>IFERROR(Tab_Compteur_1[[#This Row],[Montant TTC]]/Tab_Compteur_1[[#This Row],[Delta Jour]],"")</f>
        <v/>
      </c>
      <c r="H215" s="42"/>
      <c r="I215" s="42"/>
      <c r="J215" s="42"/>
      <c r="K215" s="42"/>
      <c r="L215" s="42"/>
    </row>
    <row r="216" spans="1:12" x14ac:dyDescent="0.25">
      <c r="A216" s="3">
        <f t="shared" si="7"/>
        <v>1</v>
      </c>
      <c r="B216" s="144">
        <f>EDATE($B$3,Site!$I$33*(ROW(Tab_Compteur_1[[#This Row],[Début de période]])-3))</f>
        <v>0</v>
      </c>
      <c r="C216" s="263"/>
      <c r="D216" s="180"/>
      <c r="E216">
        <f t="shared" si="6"/>
        <v>0</v>
      </c>
      <c r="F216" t="str">
        <f>IFERROR(Tab_Compteur_1[[#This Row],[Quantité ]]/Tab_Compteur_1[[#This Row],[Delta Jour]],"")</f>
        <v/>
      </c>
      <c r="G216" t="str">
        <f>IFERROR(Tab_Compteur_1[[#This Row],[Montant TTC]]/Tab_Compteur_1[[#This Row],[Delta Jour]],"")</f>
        <v/>
      </c>
      <c r="H216" s="42"/>
      <c r="I216" s="42"/>
      <c r="J216" s="42"/>
      <c r="K216" s="42"/>
      <c r="L216" s="42"/>
    </row>
    <row r="217" spans="1:12" x14ac:dyDescent="0.25">
      <c r="A217" s="3">
        <f t="shared" si="7"/>
        <v>1</v>
      </c>
      <c r="B217" s="144">
        <f>EDATE($B$3,Site!$I$33*(ROW(Tab_Compteur_1[[#This Row],[Début de période]])-3))</f>
        <v>0</v>
      </c>
      <c r="C217" s="263"/>
      <c r="D217" s="180"/>
      <c r="E217">
        <f t="shared" si="6"/>
        <v>0</v>
      </c>
      <c r="F217" t="str">
        <f>IFERROR(Tab_Compteur_1[[#This Row],[Quantité ]]/Tab_Compteur_1[[#This Row],[Delta Jour]],"")</f>
        <v/>
      </c>
      <c r="G217" t="str">
        <f>IFERROR(Tab_Compteur_1[[#This Row],[Montant TTC]]/Tab_Compteur_1[[#This Row],[Delta Jour]],"")</f>
        <v/>
      </c>
      <c r="H217" s="42"/>
      <c r="I217" s="42"/>
      <c r="J217" s="42"/>
      <c r="K217" s="42"/>
      <c r="L217" s="42"/>
    </row>
    <row r="218" spans="1:12" x14ac:dyDescent="0.25">
      <c r="A218" s="3">
        <f t="shared" si="7"/>
        <v>1</v>
      </c>
      <c r="B218" s="144">
        <f>EDATE($B$3,Site!$I$33*(ROW(Tab_Compteur_1[[#This Row],[Début de période]])-3))</f>
        <v>0</v>
      </c>
      <c r="C218" s="263"/>
      <c r="D218" s="180"/>
      <c r="E218">
        <f t="shared" si="6"/>
        <v>0</v>
      </c>
      <c r="F218" t="str">
        <f>IFERROR(Tab_Compteur_1[[#This Row],[Quantité ]]/Tab_Compteur_1[[#This Row],[Delta Jour]],"")</f>
        <v/>
      </c>
      <c r="G218" t="str">
        <f>IFERROR(Tab_Compteur_1[[#This Row],[Montant TTC]]/Tab_Compteur_1[[#This Row],[Delta Jour]],"")</f>
        <v/>
      </c>
      <c r="H218" s="42"/>
      <c r="I218" s="42"/>
      <c r="J218" s="42"/>
      <c r="K218" s="42"/>
      <c r="L218" s="42"/>
    </row>
    <row r="219" spans="1:12" x14ac:dyDescent="0.25">
      <c r="A219" s="3">
        <f t="shared" si="7"/>
        <v>1</v>
      </c>
      <c r="B219" s="144">
        <f>EDATE($B$3,Site!$I$33*(ROW(Tab_Compteur_1[[#This Row],[Début de période]])-3))</f>
        <v>0</v>
      </c>
      <c r="C219" s="263"/>
      <c r="D219" s="180"/>
      <c r="E219">
        <f t="shared" si="6"/>
        <v>0</v>
      </c>
      <c r="F219" t="str">
        <f>IFERROR(Tab_Compteur_1[[#This Row],[Quantité ]]/Tab_Compteur_1[[#This Row],[Delta Jour]],"")</f>
        <v/>
      </c>
      <c r="G219" t="str">
        <f>IFERROR(Tab_Compteur_1[[#This Row],[Montant TTC]]/Tab_Compteur_1[[#This Row],[Delta Jour]],"")</f>
        <v/>
      </c>
      <c r="H219" s="42"/>
      <c r="I219" s="42"/>
      <c r="J219" s="42"/>
      <c r="K219" s="42"/>
      <c r="L219" s="42"/>
    </row>
    <row r="220" spans="1:12" x14ac:dyDescent="0.25">
      <c r="A220" s="3">
        <f t="shared" si="7"/>
        <v>1</v>
      </c>
      <c r="B220" s="144">
        <f>EDATE($B$3,Site!$I$33*(ROW(Tab_Compteur_1[[#This Row],[Début de période]])-3))</f>
        <v>0</v>
      </c>
      <c r="C220" s="263"/>
      <c r="D220" s="180"/>
      <c r="E220">
        <f t="shared" si="6"/>
        <v>0</v>
      </c>
      <c r="F220" t="str">
        <f>IFERROR(Tab_Compteur_1[[#This Row],[Quantité ]]/Tab_Compteur_1[[#This Row],[Delta Jour]],"")</f>
        <v/>
      </c>
      <c r="G220" t="str">
        <f>IFERROR(Tab_Compteur_1[[#This Row],[Montant TTC]]/Tab_Compteur_1[[#This Row],[Delta Jour]],"")</f>
        <v/>
      </c>
      <c r="H220" s="42"/>
      <c r="I220" s="42"/>
      <c r="J220" s="42"/>
      <c r="K220" s="42"/>
      <c r="L220" s="42"/>
    </row>
    <row r="221" spans="1:12" x14ac:dyDescent="0.25">
      <c r="A221" s="3">
        <f t="shared" si="7"/>
        <v>1</v>
      </c>
      <c r="B221" s="144">
        <f>EDATE($B$3,Site!$I$33*(ROW(Tab_Compteur_1[[#This Row],[Début de période]])-3))</f>
        <v>0</v>
      </c>
      <c r="C221" s="263"/>
      <c r="D221" s="180"/>
      <c r="E221">
        <f t="shared" si="6"/>
        <v>0</v>
      </c>
      <c r="F221" t="str">
        <f>IFERROR(Tab_Compteur_1[[#This Row],[Quantité ]]/Tab_Compteur_1[[#This Row],[Delta Jour]],"")</f>
        <v/>
      </c>
      <c r="G221" t="str">
        <f>IFERROR(Tab_Compteur_1[[#This Row],[Montant TTC]]/Tab_Compteur_1[[#This Row],[Delta Jour]],"")</f>
        <v/>
      </c>
      <c r="H221" s="42"/>
      <c r="I221" s="42"/>
      <c r="J221" s="42"/>
      <c r="K221" s="42"/>
      <c r="L221" s="42"/>
    </row>
    <row r="222" spans="1:12" x14ac:dyDescent="0.25">
      <c r="A222" s="3">
        <f t="shared" si="7"/>
        <v>1</v>
      </c>
      <c r="B222" s="144">
        <f>EDATE($B$3,Site!$I$33*(ROW(Tab_Compteur_1[[#This Row],[Début de période]])-3))</f>
        <v>0</v>
      </c>
      <c r="C222" s="263"/>
      <c r="D222" s="180"/>
      <c r="E222">
        <f t="shared" si="6"/>
        <v>0</v>
      </c>
      <c r="F222" t="str">
        <f>IFERROR(Tab_Compteur_1[[#This Row],[Quantité ]]/Tab_Compteur_1[[#This Row],[Delta Jour]],"")</f>
        <v/>
      </c>
      <c r="G222" t="str">
        <f>IFERROR(Tab_Compteur_1[[#This Row],[Montant TTC]]/Tab_Compteur_1[[#This Row],[Delta Jour]],"")</f>
        <v/>
      </c>
      <c r="H222" s="42"/>
      <c r="I222" s="42"/>
      <c r="J222" s="42"/>
      <c r="K222" s="42"/>
      <c r="L222" s="42"/>
    </row>
    <row r="223" spans="1:12" x14ac:dyDescent="0.25">
      <c r="A223" s="3">
        <f t="shared" si="7"/>
        <v>1</v>
      </c>
      <c r="B223" s="144">
        <f>EDATE($B$3,Site!$I$33*(ROW(Tab_Compteur_1[[#This Row],[Début de période]])-3))</f>
        <v>0</v>
      </c>
      <c r="C223" s="263"/>
      <c r="D223" s="180"/>
      <c r="E223">
        <f t="shared" si="6"/>
        <v>0</v>
      </c>
      <c r="F223" t="str">
        <f>IFERROR(Tab_Compteur_1[[#This Row],[Quantité ]]/Tab_Compteur_1[[#This Row],[Delta Jour]],"")</f>
        <v/>
      </c>
      <c r="G223" t="str">
        <f>IFERROR(Tab_Compteur_1[[#This Row],[Montant TTC]]/Tab_Compteur_1[[#This Row],[Delta Jour]],"")</f>
        <v/>
      </c>
      <c r="H223" s="42"/>
      <c r="I223" s="42"/>
      <c r="J223" s="42"/>
      <c r="K223" s="42"/>
      <c r="L223" s="42"/>
    </row>
    <row r="224" spans="1:12" x14ac:dyDescent="0.25">
      <c r="A224" s="3">
        <f t="shared" si="7"/>
        <v>1</v>
      </c>
      <c r="B224" s="144">
        <f>EDATE($B$3,Site!$I$33*(ROW(Tab_Compteur_1[[#This Row],[Début de période]])-3))</f>
        <v>0</v>
      </c>
      <c r="C224" s="263"/>
      <c r="D224" s="180"/>
      <c r="E224">
        <f t="shared" si="6"/>
        <v>0</v>
      </c>
      <c r="F224" t="str">
        <f>IFERROR(Tab_Compteur_1[[#This Row],[Quantité ]]/Tab_Compteur_1[[#This Row],[Delta Jour]],"")</f>
        <v/>
      </c>
      <c r="G224" t="str">
        <f>IFERROR(Tab_Compteur_1[[#This Row],[Montant TTC]]/Tab_Compteur_1[[#This Row],[Delta Jour]],"")</f>
        <v/>
      </c>
      <c r="H224" s="42"/>
      <c r="I224" s="42"/>
      <c r="J224" s="42"/>
      <c r="K224" s="42"/>
      <c r="L224" s="42"/>
    </row>
    <row r="225" spans="1:12" x14ac:dyDescent="0.25">
      <c r="A225" s="3">
        <f t="shared" si="7"/>
        <v>1</v>
      </c>
      <c r="B225" s="144">
        <f>EDATE($B$3,Site!$I$33*(ROW(Tab_Compteur_1[[#This Row],[Début de période]])-3))</f>
        <v>0</v>
      </c>
      <c r="C225" s="263"/>
      <c r="D225" s="180"/>
      <c r="E225">
        <f t="shared" si="6"/>
        <v>0</v>
      </c>
      <c r="F225" t="str">
        <f>IFERROR(Tab_Compteur_1[[#This Row],[Quantité ]]/Tab_Compteur_1[[#This Row],[Delta Jour]],"")</f>
        <v/>
      </c>
      <c r="G225" t="str">
        <f>IFERROR(Tab_Compteur_1[[#This Row],[Montant TTC]]/Tab_Compteur_1[[#This Row],[Delta Jour]],"")</f>
        <v/>
      </c>
      <c r="H225" s="42"/>
      <c r="I225" s="42"/>
      <c r="J225" s="42"/>
      <c r="K225" s="42"/>
      <c r="L225" s="42"/>
    </row>
    <row r="226" spans="1:12" x14ac:dyDescent="0.25">
      <c r="A226" s="3">
        <f t="shared" si="7"/>
        <v>1</v>
      </c>
      <c r="B226" s="144">
        <f>EDATE($B$3,Site!$I$33*(ROW(Tab_Compteur_1[[#This Row],[Début de période]])-3))</f>
        <v>0</v>
      </c>
      <c r="C226" s="263"/>
      <c r="D226" s="180"/>
      <c r="E226">
        <f t="shared" si="6"/>
        <v>0</v>
      </c>
      <c r="F226" t="str">
        <f>IFERROR(Tab_Compteur_1[[#This Row],[Quantité ]]/Tab_Compteur_1[[#This Row],[Delta Jour]],"")</f>
        <v/>
      </c>
      <c r="G226" t="str">
        <f>IFERROR(Tab_Compteur_1[[#This Row],[Montant TTC]]/Tab_Compteur_1[[#This Row],[Delta Jour]],"")</f>
        <v/>
      </c>
      <c r="H226" s="42"/>
      <c r="I226" s="42"/>
      <c r="J226" s="42"/>
      <c r="K226" s="42"/>
      <c r="L226" s="42"/>
    </row>
    <row r="227" spans="1:12" x14ac:dyDescent="0.25">
      <c r="A227" s="3">
        <f t="shared" si="7"/>
        <v>1</v>
      </c>
      <c r="B227" s="144">
        <f>EDATE($B$3,Site!$I$33*(ROW(Tab_Compteur_1[[#This Row],[Début de période]])-3))</f>
        <v>0</v>
      </c>
      <c r="C227" s="263"/>
      <c r="D227" s="180"/>
      <c r="E227">
        <f t="shared" si="6"/>
        <v>0</v>
      </c>
      <c r="F227" t="str">
        <f>IFERROR(Tab_Compteur_1[[#This Row],[Quantité ]]/Tab_Compteur_1[[#This Row],[Delta Jour]],"")</f>
        <v/>
      </c>
      <c r="G227" t="str">
        <f>IFERROR(Tab_Compteur_1[[#This Row],[Montant TTC]]/Tab_Compteur_1[[#This Row],[Delta Jour]],"")</f>
        <v/>
      </c>
      <c r="H227" s="42"/>
      <c r="I227" s="42"/>
      <c r="J227" s="42"/>
      <c r="K227" s="42"/>
      <c r="L227" s="42"/>
    </row>
    <row r="228" spans="1:12" x14ac:dyDescent="0.25">
      <c r="A228" s="3">
        <f t="shared" si="7"/>
        <v>1</v>
      </c>
      <c r="B228" s="144">
        <f>EDATE($B$3,Site!$I$33*(ROW(Tab_Compteur_1[[#This Row],[Début de période]])-3))</f>
        <v>0</v>
      </c>
      <c r="C228" s="263"/>
      <c r="D228" s="180"/>
      <c r="E228">
        <f t="shared" si="6"/>
        <v>0</v>
      </c>
      <c r="F228" t="str">
        <f>IFERROR(Tab_Compteur_1[[#This Row],[Quantité ]]/Tab_Compteur_1[[#This Row],[Delta Jour]],"")</f>
        <v/>
      </c>
      <c r="G228" t="str">
        <f>IFERROR(Tab_Compteur_1[[#This Row],[Montant TTC]]/Tab_Compteur_1[[#This Row],[Delta Jour]],"")</f>
        <v/>
      </c>
      <c r="H228" s="42"/>
      <c r="I228" s="42"/>
      <c r="J228" s="42"/>
      <c r="K228" s="42"/>
      <c r="L228" s="42"/>
    </row>
    <row r="229" spans="1:12" x14ac:dyDescent="0.25">
      <c r="A229" s="3">
        <f t="shared" si="7"/>
        <v>1</v>
      </c>
      <c r="B229" s="144">
        <f>EDATE($B$3,Site!$I$33*(ROW(Tab_Compteur_1[[#This Row],[Début de période]])-3))</f>
        <v>0</v>
      </c>
      <c r="C229" s="263"/>
      <c r="D229" s="180"/>
      <c r="E229">
        <f t="shared" si="6"/>
        <v>0</v>
      </c>
      <c r="F229" t="str">
        <f>IFERROR(Tab_Compteur_1[[#This Row],[Quantité ]]/Tab_Compteur_1[[#This Row],[Delta Jour]],"")</f>
        <v/>
      </c>
      <c r="G229" t="str">
        <f>IFERROR(Tab_Compteur_1[[#This Row],[Montant TTC]]/Tab_Compteur_1[[#This Row],[Delta Jour]],"")</f>
        <v/>
      </c>
      <c r="H229" s="42"/>
      <c r="I229" s="42"/>
      <c r="J229" s="42"/>
      <c r="K229" s="42"/>
      <c r="L229" s="42"/>
    </row>
    <row r="230" spans="1:12" x14ac:dyDescent="0.25">
      <c r="A230" s="3">
        <f t="shared" si="7"/>
        <v>1</v>
      </c>
      <c r="B230" s="144">
        <f>EDATE($B$3,Site!$I$33*(ROW(Tab_Compteur_1[[#This Row],[Début de période]])-3))</f>
        <v>0</v>
      </c>
      <c r="C230" s="263"/>
      <c r="D230" s="180"/>
      <c r="E230">
        <f t="shared" si="6"/>
        <v>0</v>
      </c>
      <c r="F230" t="str">
        <f>IFERROR(Tab_Compteur_1[[#This Row],[Quantité ]]/Tab_Compteur_1[[#This Row],[Delta Jour]],"")</f>
        <v/>
      </c>
      <c r="G230" t="str">
        <f>IFERROR(Tab_Compteur_1[[#This Row],[Montant TTC]]/Tab_Compteur_1[[#This Row],[Delta Jour]],"")</f>
        <v/>
      </c>
      <c r="H230" s="42"/>
      <c r="I230" s="42"/>
      <c r="J230" s="42"/>
      <c r="K230" s="42"/>
      <c r="L230" s="42"/>
    </row>
    <row r="231" spans="1:12" x14ac:dyDescent="0.25">
      <c r="A231" s="3">
        <f t="shared" si="7"/>
        <v>1</v>
      </c>
      <c r="B231" s="144">
        <f>EDATE($B$3,Site!$I$33*(ROW(Tab_Compteur_1[[#This Row],[Début de période]])-3))</f>
        <v>0</v>
      </c>
      <c r="C231" s="263"/>
      <c r="D231" s="180"/>
      <c r="E231">
        <f t="shared" si="6"/>
        <v>0</v>
      </c>
      <c r="F231" t="str">
        <f>IFERROR(Tab_Compteur_1[[#This Row],[Quantité ]]/Tab_Compteur_1[[#This Row],[Delta Jour]],"")</f>
        <v/>
      </c>
      <c r="G231" t="str">
        <f>IFERROR(Tab_Compteur_1[[#This Row],[Montant TTC]]/Tab_Compteur_1[[#This Row],[Delta Jour]],"")</f>
        <v/>
      </c>
      <c r="H231" s="42"/>
      <c r="I231" s="42"/>
      <c r="J231" s="42"/>
      <c r="K231" s="42"/>
      <c r="L231" s="42"/>
    </row>
    <row r="232" spans="1:12" x14ac:dyDescent="0.25">
      <c r="A232" s="3">
        <f t="shared" si="7"/>
        <v>1</v>
      </c>
      <c r="B232" s="144">
        <f>EDATE($B$3,Site!$I$33*(ROW(Tab_Compteur_1[[#This Row],[Début de période]])-3))</f>
        <v>0</v>
      </c>
      <c r="C232" s="263"/>
      <c r="D232" s="180"/>
      <c r="E232">
        <f t="shared" si="6"/>
        <v>0</v>
      </c>
      <c r="F232" t="str">
        <f>IFERROR(Tab_Compteur_1[[#This Row],[Quantité ]]/Tab_Compteur_1[[#This Row],[Delta Jour]],"")</f>
        <v/>
      </c>
      <c r="G232" t="str">
        <f>IFERROR(Tab_Compteur_1[[#This Row],[Montant TTC]]/Tab_Compteur_1[[#This Row],[Delta Jour]],"")</f>
        <v/>
      </c>
      <c r="H232" s="42"/>
      <c r="I232" s="42"/>
      <c r="J232" s="42"/>
      <c r="K232" s="42"/>
      <c r="L232" s="42"/>
    </row>
    <row r="233" spans="1:12" x14ac:dyDescent="0.25">
      <c r="A233" s="3">
        <f t="shared" si="7"/>
        <v>1</v>
      </c>
      <c r="B233" s="144">
        <f>EDATE($B$3,Site!$I$33*(ROW(Tab_Compteur_1[[#This Row],[Début de période]])-3))</f>
        <v>0</v>
      </c>
      <c r="C233" s="263"/>
      <c r="D233" s="180"/>
      <c r="E233">
        <f t="shared" si="6"/>
        <v>0</v>
      </c>
      <c r="F233" t="str">
        <f>IFERROR(Tab_Compteur_1[[#This Row],[Quantité ]]/Tab_Compteur_1[[#This Row],[Delta Jour]],"")</f>
        <v/>
      </c>
      <c r="G233" t="str">
        <f>IFERROR(Tab_Compteur_1[[#This Row],[Montant TTC]]/Tab_Compteur_1[[#This Row],[Delta Jour]],"")</f>
        <v/>
      </c>
      <c r="H233" s="42"/>
      <c r="I233" s="42"/>
      <c r="J233" s="42"/>
      <c r="K233" s="42"/>
      <c r="L233" s="42"/>
    </row>
    <row r="234" spans="1:12" x14ac:dyDescent="0.25">
      <c r="A234" s="3">
        <f t="shared" si="7"/>
        <v>1</v>
      </c>
      <c r="B234" s="144">
        <f>EDATE($B$3,Site!$I$33*(ROW(Tab_Compteur_1[[#This Row],[Début de période]])-3))</f>
        <v>0</v>
      </c>
      <c r="C234" s="263"/>
      <c r="D234" s="180"/>
      <c r="E234">
        <f t="shared" si="6"/>
        <v>0</v>
      </c>
      <c r="F234" t="str">
        <f>IFERROR(Tab_Compteur_1[[#This Row],[Quantité ]]/Tab_Compteur_1[[#This Row],[Delta Jour]],"")</f>
        <v/>
      </c>
      <c r="G234" t="str">
        <f>IFERROR(Tab_Compteur_1[[#This Row],[Montant TTC]]/Tab_Compteur_1[[#This Row],[Delta Jour]],"")</f>
        <v/>
      </c>
      <c r="H234" s="42"/>
      <c r="I234" s="42"/>
      <c r="J234" s="42"/>
      <c r="K234" s="42"/>
      <c r="L234" s="42"/>
    </row>
    <row r="235" spans="1:12" x14ac:dyDescent="0.25">
      <c r="A235" s="3">
        <f t="shared" si="7"/>
        <v>1</v>
      </c>
      <c r="B235" s="144">
        <f>EDATE($B$3,Site!$I$33*(ROW(Tab_Compteur_1[[#This Row],[Début de période]])-3))</f>
        <v>0</v>
      </c>
      <c r="C235" s="263"/>
      <c r="D235" s="180"/>
      <c r="E235">
        <f t="shared" si="6"/>
        <v>0</v>
      </c>
      <c r="F235" t="str">
        <f>IFERROR(Tab_Compteur_1[[#This Row],[Quantité ]]/Tab_Compteur_1[[#This Row],[Delta Jour]],"")</f>
        <v/>
      </c>
      <c r="G235" t="str">
        <f>IFERROR(Tab_Compteur_1[[#This Row],[Montant TTC]]/Tab_Compteur_1[[#This Row],[Delta Jour]],"")</f>
        <v/>
      </c>
      <c r="H235" s="42"/>
      <c r="I235" s="42"/>
      <c r="J235" s="42"/>
      <c r="K235" s="42"/>
      <c r="L235" s="42"/>
    </row>
    <row r="236" spans="1:12" x14ac:dyDescent="0.25">
      <c r="A236" s="3">
        <f t="shared" si="7"/>
        <v>1</v>
      </c>
      <c r="B236" s="144">
        <f>EDATE($B$3,Site!$I$33*(ROW(Tab_Compteur_1[[#This Row],[Début de période]])-3))</f>
        <v>0</v>
      </c>
      <c r="C236" s="263"/>
      <c r="D236" s="180"/>
      <c r="E236">
        <f t="shared" si="6"/>
        <v>0</v>
      </c>
      <c r="F236" t="str">
        <f>IFERROR(Tab_Compteur_1[[#This Row],[Quantité ]]/Tab_Compteur_1[[#This Row],[Delta Jour]],"")</f>
        <v/>
      </c>
      <c r="G236" t="str">
        <f>IFERROR(Tab_Compteur_1[[#This Row],[Montant TTC]]/Tab_Compteur_1[[#This Row],[Delta Jour]],"")</f>
        <v/>
      </c>
      <c r="H236" s="42"/>
      <c r="I236" s="42"/>
      <c r="J236" s="42"/>
      <c r="K236" s="42"/>
      <c r="L236" s="42"/>
    </row>
    <row r="237" spans="1:12" x14ac:dyDescent="0.25">
      <c r="A237" s="3">
        <f t="shared" si="7"/>
        <v>1</v>
      </c>
      <c r="B237" s="144">
        <f>EDATE($B$3,Site!$I$33*(ROW(Tab_Compteur_1[[#This Row],[Début de période]])-3))</f>
        <v>0</v>
      </c>
      <c r="C237" s="263"/>
      <c r="D237" s="180"/>
      <c r="E237">
        <f t="shared" si="6"/>
        <v>0</v>
      </c>
      <c r="F237" t="str">
        <f>IFERROR(Tab_Compteur_1[[#This Row],[Quantité ]]/Tab_Compteur_1[[#This Row],[Delta Jour]],"")</f>
        <v/>
      </c>
      <c r="G237" t="str">
        <f>IFERROR(Tab_Compteur_1[[#This Row],[Montant TTC]]/Tab_Compteur_1[[#This Row],[Delta Jour]],"")</f>
        <v/>
      </c>
      <c r="H237" s="42"/>
      <c r="I237" s="42"/>
      <c r="J237" s="42"/>
      <c r="K237" s="42"/>
      <c r="L237" s="42"/>
    </row>
    <row r="238" spans="1:12" x14ac:dyDescent="0.25">
      <c r="A238" s="3">
        <f t="shared" si="7"/>
        <v>1</v>
      </c>
      <c r="B238" s="144">
        <f>EDATE($B$3,Site!$I$33*(ROW(Tab_Compteur_1[[#This Row],[Début de période]])-3))</f>
        <v>0</v>
      </c>
      <c r="C238" s="263"/>
      <c r="D238" s="180"/>
      <c r="E238">
        <f t="shared" si="6"/>
        <v>0</v>
      </c>
      <c r="F238" t="str">
        <f>IFERROR(Tab_Compteur_1[[#This Row],[Quantité ]]/Tab_Compteur_1[[#This Row],[Delta Jour]],"")</f>
        <v/>
      </c>
      <c r="G238" t="str">
        <f>IFERROR(Tab_Compteur_1[[#This Row],[Montant TTC]]/Tab_Compteur_1[[#This Row],[Delta Jour]],"")</f>
        <v/>
      </c>
      <c r="H238" s="42"/>
      <c r="I238" s="42"/>
      <c r="J238" s="42"/>
      <c r="K238" s="42"/>
      <c r="L238" s="42"/>
    </row>
    <row r="239" spans="1:12" x14ac:dyDescent="0.25">
      <c r="A239" s="3">
        <f t="shared" si="7"/>
        <v>1</v>
      </c>
      <c r="B239" s="144">
        <f>EDATE($B$3,Site!$I$33*(ROW(Tab_Compteur_1[[#This Row],[Début de période]])-3))</f>
        <v>0</v>
      </c>
      <c r="C239" s="263"/>
      <c r="D239" s="180"/>
      <c r="E239">
        <f t="shared" si="6"/>
        <v>0</v>
      </c>
      <c r="F239" t="str">
        <f>IFERROR(Tab_Compteur_1[[#This Row],[Quantité ]]/Tab_Compteur_1[[#This Row],[Delta Jour]],"")</f>
        <v/>
      </c>
      <c r="G239" t="str">
        <f>IFERROR(Tab_Compteur_1[[#This Row],[Montant TTC]]/Tab_Compteur_1[[#This Row],[Delta Jour]],"")</f>
        <v/>
      </c>
      <c r="H239" s="42"/>
      <c r="I239" s="42"/>
      <c r="J239" s="42"/>
      <c r="K239" s="42"/>
      <c r="L239" s="42"/>
    </row>
    <row r="240" spans="1:12" x14ac:dyDescent="0.25">
      <c r="A240" s="3">
        <f t="shared" si="7"/>
        <v>1</v>
      </c>
      <c r="B240" s="144">
        <f>EDATE($B$3,Site!$I$33*(ROW(Tab_Compteur_1[[#This Row],[Début de période]])-3))</f>
        <v>0</v>
      </c>
      <c r="C240" s="263"/>
      <c r="D240" s="180"/>
      <c r="E240">
        <f t="shared" si="6"/>
        <v>0</v>
      </c>
      <c r="F240" t="str">
        <f>IFERROR(Tab_Compteur_1[[#This Row],[Quantité ]]/Tab_Compteur_1[[#This Row],[Delta Jour]],"")</f>
        <v/>
      </c>
      <c r="G240" t="str">
        <f>IFERROR(Tab_Compteur_1[[#This Row],[Montant TTC]]/Tab_Compteur_1[[#This Row],[Delta Jour]],"")</f>
        <v/>
      </c>
      <c r="H240" s="42"/>
      <c r="I240" s="42"/>
      <c r="J240" s="42"/>
      <c r="K240" s="42"/>
      <c r="L240" s="42"/>
    </row>
    <row r="241" spans="1:12" x14ac:dyDescent="0.25">
      <c r="A241" s="3">
        <f t="shared" si="7"/>
        <v>1</v>
      </c>
      <c r="B241" s="144">
        <f>EDATE($B$3,Site!$I$33*(ROW(Tab_Compteur_1[[#This Row],[Début de période]])-3))</f>
        <v>0</v>
      </c>
      <c r="C241" s="263"/>
      <c r="D241" s="180"/>
      <c r="E241">
        <f t="shared" si="6"/>
        <v>0</v>
      </c>
      <c r="F241" t="str">
        <f>IFERROR(Tab_Compteur_1[[#This Row],[Quantité ]]/Tab_Compteur_1[[#This Row],[Delta Jour]],"")</f>
        <v/>
      </c>
      <c r="G241" t="str">
        <f>IFERROR(Tab_Compteur_1[[#This Row],[Montant TTC]]/Tab_Compteur_1[[#This Row],[Delta Jour]],"")</f>
        <v/>
      </c>
      <c r="H241" s="42"/>
      <c r="I241" s="42"/>
      <c r="J241" s="42"/>
      <c r="K241" s="42"/>
      <c r="L241" s="42"/>
    </row>
    <row r="242" spans="1:12" x14ac:dyDescent="0.25">
      <c r="A242" s="3">
        <f t="shared" si="7"/>
        <v>1</v>
      </c>
      <c r="B242" s="144">
        <f>EDATE($B$3,Site!$I$33*(ROW(Tab_Compteur_1[[#This Row],[Début de période]])-3))</f>
        <v>0</v>
      </c>
      <c r="C242" s="263"/>
      <c r="D242" s="180"/>
      <c r="E242">
        <f t="shared" si="6"/>
        <v>0</v>
      </c>
      <c r="F242" t="str">
        <f>IFERROR(Tab_Compteur_1[[#This Row],[Quantité ]]/Tab_Compteur_1[[#This Row],[Delta Jour]],"")</f>
        <v/>
      </c>
      <c r="G242" t="str">
        <f>IFERROR(Tab_Compteur_1[[#This Row],[Montant TTC]]/Tab_Compteur_1[[#This Row],[Delta Jour]],"")</f>
        <v/>
      </c>
      <c r="H242" s="42"/>
      <c r="I242" s="42"/>
      <c r="J242" s="42"/>
      <c r="K242" s="42"/>
      <c r="L242" s="42"/>
    </row>
  </sheetData>
  <sheetProtection sheet="1" objects="1" scenarios="1"/>
  <protectedRanges>
    <protectedRange sqref="C3:D3 C4:C136 D4:D146" name="Donnée_compteur1_1_3_1"/>
    <protectedRange sqref="C147:D156 C137:C146" name="Donnée_compteur1_4_1"/>
    <protectedRange sqref="C157:D158" name="Compteur_1_3_1"/>
    <protectedRange sqref="A5:A136 B5:B242 A3:B4" name="Donnée_compteur1_1"/>
    <protectedRange sqref="A137:A156" name="Donnée_compteur1"/>
    <protectedRange sqref="A243:D243 A157:A242 C159:D242 H1:L1048576" name="Compteur_1"/>
  </protectedRanges>
  <mergeCells count="1">
    <mergeCell ref="H9:L23"/>
  </mergeCells>
  <pageMargins left="0.7" right="0.7" top="0.75" bottom="0.75" header="0.3" footer="0.3"/>
  <pageSetup paperSize="9" orientation="portrait"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5"/>
  <sheetViews>
    <sheetView workbookViewId="0">
      <selection activeCell="C3" sqref="C3:D158"/>
    </sheetView>
  </sheetViews>
  <sheetFormatPr baseColWidth="10" defaultColWidth="0" defaultRowHeight="15" x14ac:dyDescent="0.25"/>
  <cols>
    <col min="1" max="1" width="22.140625" style="3" customWidth="1"/>
    <col min="2" max="2" width="14" customWidth="1"/>
    <col min="3" max="3" width="11.5703125" style="185" customWidth="1"/>
    <col min="4" max="4" width="17.140625" style="179" customWidth="1"/>
    <col min="5" max="5" width="14" hidden="1" customWidth="1"/>
    <col min="6" max="7" width="11.42578125" hidden="1" customWidth="1"/>
    <col min="8" max="12" width="11.42578125" customWidth="1"/>
    <col min="13" max="16384" width="11.42578125" hidden="1"/>
  </cols>
  <sheetData>
    <row r="1" spans="1:12" x14ac:dyDescent="0.25">
      <c r="A1" s="98" t="s">
        <v>119</v>
      </c>
      <c r="B1" s="99" t="s">
        <v>28</v>
      </c>
      <c r="C1" s="186" t="s">
        <v>455</v>
      </c>
      <c r="D1" s="181" t="s">
        <v>29</v>
      </c>
      <c r="E1" s="32" t="s">
        <v>0</v>
      </c>
      <c r="F1" s="33" t="s">
        <v>31</v>
      </c>
      <c r="G1" s="33" t="s">
        <v>32</v>
      </c>
      <c r="H1" s="86"/>
      <c r="I1" s="86"/>
      <c r="J1" s="86"/>
      <c r="K1" s="86"/>
      <c r="L1" s="86"/>
    </row>
    <row r="2" spans="1:12" hidden="1" x14ac:dyDescent="0.25">
      <c r="A2" s="100" t="e">
        <f>EDATE(Tab_Compteur_2[[#This Row],[Fin de période]],-1)+1</f>
        <v>#NUM!</v>
      </c>
      <c r="B2" s="100">
        <f>A3-1</f>
        <v>0</v>
      </c>
      <c r="C2" s="183"/>
      <c r="D2" s="182">
        <f>Tab_Compteur_2[[#This Row],[Quantité ]]/1000*100</f>
        <v>0</v>
      </c>
      <c r="E2" s="52"/>
      <c r="F2" s="52"/>
      <c r="G2" s="52"/>
      <c r="H2" s="86"/>
      <c r="I2" s="86"/>
      <c r="J2" s="86"/>
      <c r="K2" s="86"/>
      <c r="L2" s="86"/>
    </row>
    <row r="3" spans="1:12" x14ac:dyDescent="0.25">
      <c r="A3" s="3">
        <f>EDATE(B3,-Site!I34)+1</f>
        <v>1</v>
      </c>
      <c r="B3" s="3">
        <f>Site!H34</f>
        <v>0</v>
      </c>
      <c r="C3" s="184"/>
      <c r="D3" s="105"/>
      <c r="E3">
        <f>IFERROR(B3-A3+1,"")</f>
        <v>0</v>
      </c>
      <c r="F3" t="str">
        <f>IFERROR(Tab_Compteur_2[[#This Row],[Quantité ]]/Tab_Compteur_2[[#This Row],[Delta Jour]],"")</f>
        <v/>
      </c>
      <c r="G3" t="str">
        <f>IFERROR(Tab_Compteur_2[[#This Row],[Montant TTC]]/Tab_Compteur_2[[#This Row],[Delta Jour]],"")</f>
        <v/>
      </c>
      <c r="H3" s="86"/>
      <c r="I3" s="86"/>
      <c r="J3" s="86"/>
      <c r="K3" s="86"/>
      <c r="L3" s="86"/>
    </row>
    <row r="4" spans="1:12" x14ac:dyDescent="0.25">
      <c r="A4" s="3">
        <f>B3+1</f>
        <v>1</v>
      </c>
      <c r="B4" s="3">
        <f>EDATE($B$3,Site!$I$34*(ROW(Tab_Compteur_2[[#This Row],[Début de période]])-3))</f>
        <v>0</v>
      </c>
      <c r="C4" s="184"/>
      <c r="D4" s="105"/>
      <c r="E4">
        <f t="shared" ref="E4:E67" si="0">IFERROR(B4-A4+1,"")</f>
        <v>0</v>
      </c>
      <c r="F4" t="str">
        <f>IFERROR(Tab_Compteur_2[[#This Row],[Quantité ]]/Tab_Compteur_2[[#This Row],[Delta Jour]],"")</f>
        <v/>
      </c>
      <c r="G4" t="str">
        <f>IFERROR(Tab_Compteur_2[[#This Row],[Montant TTC]]/Tab_Compteur_2[[#This Row],[Delta Jour]],"")</f>
        <v/>
      </c>
      <c r="H4" s="86"/>
      <c r="I4" s="86"/>
      <c r="J4" s="86"/>
      <c r="K4" s="86"/>
      <c r="L4" s="86"/>
    </row>
    <row r="5" spans="1:12" x14ac:dyDescent="0.25">
      <c r="A5" s="3">
        <f t="shared" ref="A5:A68" si="1">B4+1</f>
        <v>1</v>
      </c>
      <c r="B5" s="3">
        <f>EDATE($B$3,Site!$I$34*(ROW(Tab_Compteur_2[[#This Row],[Début de période]])-3))</f>
        <v>0</v>
      </c>
      <c r="C5" s="184"/>
      <c r="D5" s="105"/>
      <c r="E5">
        <f t="shared" si="0"/>
        <v>0</v>
      </c>
      <c r="F5" t="str">
        <f>IFERROR(Tab_Compteur_2[[#This Row],[Quantité ]]/Tab_Compteur_2[[#This Row],[Delta Jour]],"")</f>
        <v/>
      </c>
      <c r="G5" t="str">
        <f>IFERROR(Tab_Compteur_2[[#This Row],[Montant TTC]]/Tab_Compteur_2[[#This Row],[Delta Jour]],"")</f>
        <v/>
      </c>
      <c r="H5" s="86"/>
      <c r="I5" s="86"/>
      <c r="J5" s="86"/>
      <c r="K5" s="86"/>
      <c r="L5" s="86"/>
    </row>
    <row r="6" spans="1:12" x14ac:dyDescent="0.25">
      <c r="A6" s="3">
        <f t="shared" si="1"/>
        <v>1</v>
      </c>
      <c r="B6" s="3">
        <f>EDATE($B$3,Site!$I$34*(ROW(Tab_Compteur_2[[#This Row],[Début de période]])-3))</f>
        <v>0</v>
      </c>
      <c r="C6" s="184"/>
      <c r="D6" s="105"/>
      <c r="E6">
        <f t="shared" si="0"/>
        <v>0</v>
      </c>
      <c r="F6" t="str">
        <f>IFERROR(Tab_Compteur_2[[#This Row],[Quantité ]]/Tab_Compteur_2[[#This Row],[Delta Jour]],"")</f>
        <v/>
      </c>
      <c r="G6" t="str">
        <f>IFERROR(Tab_Compteur_2[[#This Row],[Montant TTC]]/Tab_Compteur_2[[#This Row],[Delta Jour]],"")</f>
        <v/>
      </c>
      <c r="H6" s="86"/>
      <c r="I6" s="86"/>
      <c r="J6" s="86"/>
      <c r="K6" s="86"/>
      <c r="L6" s="86"/>
    </row>
    <row r="7" spans="1:12" x14ac:dyDescent="0.25">
      <c r="A7" s="3">
        <f t="shared" si="1"/>
        <v>1</v>
      </c>
      <c r="B7" s="3">
        <f>EDATE($B$3,Site!$I$34*(ROW(Tab_Compteur_2[[#This Row],[Début de période]])-3))</f>
        <v>0</v>
      </c>
      <c r="C7" s="184"/>
      <c r="D7" s="105"/>
      <c r="E7">
        <f t="shared" si="0"/>
        <v>0</v>
      </c>
      <c r="F7" t="str">
        <f>IFERROR(Tab_Compteur_2[[#This Row],[Quantité ]]/Tab_Compteur_2[[#This Row],[Delta Jour]],"")</f>
        <v/>
      </c>
      <c r="G7" t="str">
        <f>IFERROR(Tab_Compteur_2[[#This Row],[Montant TTC]]/Tab_Compteur_2[[#This Row],[Delta Jour]],"")</f>
        <v/>
      </c>
      <c r="H7" s="86"/>
      <c r="I7" s="86"/>
      <c r="J7" s="86"/>
      <c r="K7" s="86"/>
      <c r="L7" s="86"/>
    </row>
    <row r="8" spans="1:12" x14ac:dyDescent="0.25">
      <c r="A8" s="3">
        <f t="shared" si="1"/>
        <v>1</v>
      </c>
      <c r="B8" s="3">
        <f>EDATE($B$3,Site!$I$34*(ROW(Tab_Compteur_2[[#This Row],[Début de période]])-3))</f>
        <v>0</v>
      </c>
      <c r="C8" s="184"/>
      <c r="D8" s="105"/>
      <c r="E8">
        <f t="shared" si="0"/>
        <v>0</v>
      </c>
      <c r="F8" t="str">
        <f>IFERROR(Tab_Compteur_2[[#This Row],[Quantité ]]/Tab_Compteur_2[[#This Row],[Delta Jour]],"")</f>
        <v/>
      </c>
      <c r="G8" t="str">
        <f>IFERROR(Tab_Compteur_2[[#This Row],[Montant TTC]]/Tab_Compteur_2[[#This Row],[Delta Jour]],"")</f>
        <v/>
      </c>
      <c r="H8" s="86"/>
      <c r="I8" s="86"/>
      <c r="J8" s="86"/>
      <c r="K8" s="86"/>
      <c r="L8" s="86"/>
    </row>
    <row r="9" spans="1:12" x14ac:dyDescent="0.25">
      <c r="A9" s="3">
        <f t="shared" si="1"/>
        <v>1</v>
      </c>
      <c r="B9" s="3">
        <f>EDATE($B$3,Site!$I$34*(ROW(Tab_Compteur_2[[#This Row],[Début de période]])-3))</f>
        <v>0</v>
      </c>
      <c r="C9" s="184"/>
      <c r="D9" s="105"/>
      <c r="E9">
        <f t="shared" si="0"/>
        <v>0</v>
      </c>
      <c r="F9" t="str">
        <f>IFERROR(Tab_Compteur_2[[#This Row],[Quantité ]]/Tab_Compteur_2[[#This Row],[Delta Jour]],"")</f>
        <v/>
      </c>
      <c r="G9" t="str">
        <f>IFERROR(Tab_Compteur_2[[#This Row],[Montant TTC]]/Tab_Compteur_2[[#This Row],[Delta Jour]],"")</f>
        <v/>
      </c>
      <c r="H9" s="356" t="str">
        <f>Compteur_1!H9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I9" s="357"/>
      <c r="J9" s="357"/>
      <c r="K9" s="357"/>
      <c r="L9" s="357"/>
    </row>
    <row r="10" spans="1:12" x14ac:dyDescent="0.25">
      <c r="A10" s="3">
        <f t="shared" si="1"/>
        <v>1</v>
      </c>
      <c r="B10" s="3">
        <f>EDATE($B$3,Site!$I$34*(ROW(Tab_Compteur_2[[#This Row],[Début de période]])-3))</f>
        <v>0</v>
      </c>
      <c r="C10" s="184"/>
      <c r="D10" s="105"/>
      <c r="E10">
        <f t="shared" si="0"/>
        <v>0</v>
      </c>
      <c r="F10" t="str">
        <f>IFERROR(Tab_Compteur_2[[#This Row],[Quantité ]]/Tab_Compteur_2[[#This Row],[Delta Jour]],"")</f>
        <v/>
      </c>
      <c r="G10" t="str">
        <f>IFERROR(Tab_Compteur_2[[#This Row],[Montant TTC]]/Tab_Compteur_2[[#This Row],[Delta Jour]],"")</f>
        <v/>
      </c>
      <c r="H10" s="357"/>
      <c r="I10" s="357"/>
      <c r="J10" s="357"/>
      <c r="K10" s="357"/>
      <c r="L10" s="357"/>
    </row>
    <row r="11" spans="1:12" x14ac:dyDescent="0.25">
      <c r="A11" s="3">
        <f t="shared" si="1"/>
        <v>1</v>
      </c>
      <c r="B11" s="3">
        <f>EDATE($B$3,Site!$I$34*(ROW(Tab_Compteur_2[[#This Row],[Début de période]])-3))</f>
        <v>0</v>
      </c>
      <c r="C11" s="184"/>
      <c r="D11" s="105"/>
      <c r="E11">
        <f t="shared" si="0"/>
        <v>0</v>
      </c>
      <c r="F11" t="str">
        <f>IFERROR(Tab_Compteur_2[[#This Row],[Quantité ]]/Tab_Compteur_2[[#This Row],[Delta Jour]],"")</f>
        <v/>
      </c>
      <c r="G11" t="str">
        <f>IFERROR(Tab_Compteur_2[[#This Row],[Montant TTC]]/Tab_Compteur_2[[#This Row],[Delta Jour]],"")</f>
        <v/>
      </c>
      <c r="H11" s="357"/>
      <c r="I11" s="357"/>
      <c r="J11" s="357"/>
      <c r="K11" s="357"/>
      <c r="L11" s="357"/>
    </row>
    <row r="12" spans="1:12" x14ac:dyDescent="0.25">
      <c r="A12" s="3">
        <f t="shared" si="1"/>
        <v>1</v>
      </c>
      <c r="B12" s="3">
        <f>EDATE($B$3,Site!$I$34*(ROW(Tab_Compteur_2[[#This Row],[Début de période]])-3))</f>
        <v>0</v>
      </c>
      <c r="C12" s="184"/>
      <c r="D12" s="105"/>
      <c r="E12">
        <f t="shared" si="0"/>
        <v>0</v>
      </c>
      <c r="F12" t="str">
        <f>IFERROR(Tab_Compteur_2[[#This Row],[Quantité ]]/Tab_Compteur_2[[#This Row],[Delta Jour]],"")</f>
        <v/>
      </c>
      <c r="G12" t="str">
        <f>IFERROR(Tab_Compteur_2[[#This Row],[Montant TTC]]/Tab_Compteur_2[[#This Row],[Delta Jour]],"")</f>
        <v/>
      </c>
      <c r="H12" s="357"/>
      <c r="I12" s="357"/>
      <c r="J12" s="357"/>
      <c r="K12" s="357"/>
      <c r="L12" s="357"/>
    </row>
    <row r="13" spans="1:12" x14ac:dyDescent="0.25">
      <c r="A13" s="3">
        <f t="shared" si="1"/>
        <v>1</v>
      </c>
      <c r="B13" s="3">
        <f>EDATE($B$3,Site!$I$34*(ROW(Tab_Compteur_2[[#This Row],[Début de période]])-3))</f>
        <v>0</v>
      </c>
      <c r="C13" s="184"/>
      <c r="D13" s="105"/>
      <c r="E13">
        <f t="shared" si="0"/>
        <v>0</v>
      </c>
      <c r="F13" t="str">
        <f>IFERROR(Tab_Compteur_2[[#This Row],[Quantité ]]/Tab_Compteur_2[[#This Row],[Delta Jour]],"")</f>
        <v/>
      </c>
      <c r="G13" t="str">
        <f>IFERROR(Tab_Compteur_2[[#This Row],[Montant TTC]]/Tab_Compteur_2[[#This Row],[Delta Jour]],"")</f>
        <v/>
      </c>
      <c r="H13" s="357"/>
      <c r="I13" s="357"/>
      <c r="J13" s="357"/>
      <c r="K13" s="357"/>
      <c r="L13" s="357"/>
    </row>
    <row r="14" spans="1:12" x14ac:dyDescent="0.25">
      <c r="A14" s="3">
        <f t="shared" si="1"/>
        <v>1</v>
      </c>
      <c r="B14" s="3">
        <f>EDATE($B$3,Site!$I$34*(ROW(Tab_Compteur_2[[#This Row],[Début de période]])-3))</f>
        <v>0</v>
      </c>
      <c r="C14" s="184"/>
      <c r="D14" s="105"/>
      <c r="E14">
        <f t="shared" si="0"/>
        <v>0</v>
      </c>
      <c r="F14" t="str">
        <f>IFERROR(Tab_Compteur_2[[#This Row],[Quantité ]]/Tab_Compteur_2[[#This Row],[Delta Jour]],"")</f>
        <v/>
      </c>
      <c r="G14" t="str">
        <f>IFERROR(Tab_Compteur_2[[#This Row],[Montant TTC]]/Tab_Compteur_2[[#This Row],[Delta Jour]],"")</f>
        <v/>
      </c>
      <c r="H14" s="357"/>
      <c r="I14" s="357"/>
      <c r="J14" s="357"/>
      <c r="K14" s="357"/>
      <c r="L14" s="357"/>
    </row>
    <row r="15" spans="1:12" x14ac:dyDescent="0.25">
      <c r="A15" s="3">
        <f t="shared" si="1"/>
        <v>1</v>
      </c>
      <c r="B15" s="3">
        <f>EDATE($B$3,Site!$I$34*(ROW(Tab_Compteur_2[[#This Row],[Début de période]])-3))</f>
        <v>0</v>
      </c>
      <c r="C15" s="184"/>
      <c r="D15" s="105"/>
      <c r="E15">
        <f t="shared" si="0"/>
        <v>0</v>
      </c>
      <c r="F15" t="str">
        <f>IFERROR(Tab_Compteur_2[[#This Row],[Quantité ]]/Tab_Compteur_2[[#This Row],[Delta Jour]],"")</f>
        <v/>
      </c>
      <c r="G15" t="str">
        <f>IFERROR(Tab_Compteur_2[[#This Row],[Montant TTC]]/Tab_Compteur_2[[#This Row],[Delta Jour]],"")</f>
        <v/>
      </c>
      <c r="H15" s="357"/>
      <c r="I15" s="357"/>
      <c r="J15" s="357"/>
      <c r="K15" s="357"/>
      <c r="L15" s="357"/>
    </row>
    <row r="16" spans="1:12" x14ac:dyDescent="0.25">
      <c r="A16" s="3">
        <f t="shared" si="1"/>
        <v>1</v>
      </c>
      <c r="B16" s="3">
        <f>EDATE($B$3,Site!$I$34*(ROW(Tab_Compteur_2[[#This Row],[Début de période]])-3))</f>
        <v>0</v>
      </c>
      <c r="C16" s="184"/>
      <c r="D16" s="105"/>
      <c r="E16">
        <f t="shared" si="0"/>
        <v>0</v>
      </c>
      <c r="F16" t="str">
        <f>IFERROR(Tab_Compteur_2[[#This Row],[Quantité ]]/Tab_Compteur_2[[#This Row],[Delta Jour]],"")</f>
        <v/>
      </c>
      <c r="G16" t="str">
        <f>IFERROR(Tab_Compteur_2[[#This Row],[Montant TTC]]/Tab_Compteur_2[[#This Row],[Delta Jour]],"")</f>
        <v/>
      </c>
      <c r="H16" s="357"/>
      <c r="I16" s="357"/>
      <c r="J16" s="357"/>
      <c r="K16" s="357"/>
      <c r="L16" s="357"/>
    </row>
    <row r="17" spans="1:12" x14ac:dyDescent="0.25">
      <c r="A17" s="3">
        <f t="shared" si="1"/>
        <v>1</v>
      </c>
      <c r="B17" s="3">
        <f>EDATE($B$3,Site!$I$34*(ROW(Tab_Compteur_2[[#This Row],[Début de période]])-3))</f>
        <v>0</v>
      </c>
      <c r="C17" s="184"/>
      <c r="D17" s="105"/>
      <c r="E17">
        <f t="shared" si="0"/>
        <v>0</v>
      </c>
      <c r="F17" t="str">
        <f>IFERROR(Tab_Compteur_2[[#This Row],[Quantité ]]/Tab_Compteur_2[[#This Row],[Delta Jour]],"")</f>
        <v/>
      </c>
      <c r="G17" t="str">
        <f>IFERROR(Tab_Compteur_2[[#This Row],[Montant TTC]]/Tab_Compteur_2[[#This Row],[Delta Jour]],"")</f>
        <v/>
      </c>
      <c r="H17" s="357"/>
      <c r="I17" s="357"/>
      <c r="J17" s="357"/>
      <c r="K17" s="357"/>
      <c r="L17" s="357"/>
    </row>
    <row r="18" spans="1:12" x14ac:dyDescent="0.25">
      <c r="A18" s="3">
        <f t="shared" si="1"/>
        <v>1</v>
      </c>
      <c r="B18" s="3">
        <f>EDATE($B$3,Site!$I$34*(ROW(Tab_Compteur_2[[#This Row],[Début de période]])-3))</f>
        <v>0</v>
      </c>
      <c r="C18" s="184"/>
      <c r="D18" s="105"/>
      <c r="E18">
        <f t="shared" si="0"/>
        <v>0</v>
      </c>
      <c r="F18" t="str">
        <f>IFERROR(Tab_Compteur_2[[#This Row],[Quantité ]]/Tab_Compteur_2[[#This Row],[Delta Jour]],"")</f>
        <v/>
      </c>
      <c r="G18" t="str">
        <f>IFERROR(Tab_Compteur_2[[#This Row],[Montant TTC]]/Tab_Compteur_2[[#This Row],[Delta Jour]],"")</f>
        <v/>
      </c>
      <c r="H18" s="357"/>
      <c r="I18" s="357"/>
      <c r="J18" s="357"/>
      <c r="K18" s="357"/>
      <c r="L18" s="357"/>
    </row>
    <row r="19" spans="1:12" x14ac:dyDescent="0.25">
      <c r="A19" s="3">
        <f t="shared" si="1"/>
        <v>1</v>
      </c>
      <c r="B19" s="3">
        <f>EDATE($B$3,Site!$I$34*(ROW(Tab_Compteur_2[[#This Row],[Début de période]])-3))</f>
        <v>0</v>
      </c>
      <c r="C19" s="184"/>
      <c r="D19" s="105"/>
      <c r="E19">
        <f t="shared" si="0"/>
        <v>0</v>
      </c>
      <c r="F19" t="str">
        <f>IFERROR(Tab_Compteur_2[[#This Row],[Quantité ]]/Tab_Compteur_2[[#This Row],[Delta Jour]],"")</f>
        <v/>
      </c>
      <c r="G19" t="str">
        <f>IFERROR(Tab_Compteur_2[[#This Row],[Montant TTC]]/Tab_Compteur_2[[#This Row],[Delta Jour]],"")</f>
        <v/>
      </c>
      <c r="H19" s="357"/>
      <c r="I19" s="357"/>
      <c r="J19" s="357"/>
      <c r="K19" s="357"/>
      <c r="L19" s="357"/>
    </row>
    <row r="20" spans="1:12" x14ac:dyDescent="0.25">
      <c r="A20" s="3">
        <f t="shared" si="1"/>
        <v>1</v>
      </c>
      <c r="B20" s="3">
        <f>EDATE($B$3,Site!$I$34*(ROW(Tab_Compteur_2[[#This Row],[Début de période]])-3))</f>
        <v>0</v>
      </c>
      <c r="C20" s="184"/>
      <c r="D20" s="105"/>
      <c r="E20">
        <f t="shared" si="0"/>
        <v>0</v>
      </c>
      <c r="F20" t="str">
        <f>IFERROR(Tab_Compteur_2[[#This Row],[Quantité ]]/Tab_Compteur_2[[#This Row],[Delta Jour]],"")</f>
        <v/>
      </c>
      <c r="G20" t="str">
        <f>IFERROR(Tab_Compteur_2[[#This Row],[Montant TTC]]/Tab_Compteur_2[[#This Row],[Delta Jour]],"")</f>
        <v/>
      </c>
      <c r="H20" s="357"/>
      <c r="I20" s="357"/>
      <c r="J20" s="357"/>
      <c r="K20" s="357"/>
      <c r="L20" s="357"/>
    </row>
    <row r="21" spans="1:12" x14ac:dyDescent="0.25">
      <c r="A21" s="3">
        <f t="shared" si="1"/>
        <v>1</v>
      </c>
      <c r="B21" s="3">
        <f>EDATE($B$3,Site!$I$34*(ROW(Tab_Compteur_2[[#This Row],[Début de période]])-3))</f>
        <v>0</v>
      </c>
      <c r="C21" s="184"/>
      <c r="D21" s="105"/>
      <c r="E21">
        <f t="shared" si="0"/>
        <v>0</v>
      </c>
      <c r="F21" t="str">
        <f>IFERROR(Tab_Compteur_2[[#This Row],[Quantité ]]/Tab_Compteur_2[[#This Row],[Delta Jour]],"")</f>
        <v/>
      </c>
      <c r="G21" t="str">
        <f>IFERROR(Tab_Compteur_2[[#This Row],[Montant TTC]]/Tab_Compteur_2[[#This Row],[Delta Jour]],"")</f>
        <v/>
      </c>
      <c r="H21" s="86"/>
      <c r="I21" s="86"/>
      <c r="J21" s="86"/>
      <c r="K21" s="86"/>
      <c r="L21" s="86"/>
    </row>
    <row r="22" spans="1:12" x14ac:dyDescent="0.25">
      <c r="A22" s="3">
        <f t="shared" si="1"/>
        <v>1</v>
      </c>
      <c r="B22" s="3">
        <f>EDATE($B$3,Site!$I$34*(ROW(Tab_Compteur_2[[#This Row],[Début de période]])-3))</f>
        <v>0</v>
      </c>
      <c r="C22" s="184"/>
      <c r="D22" s="105"/>
      <c r="E22">
        <f t="shared" si="0"/>
        <v>0</v>
      </c>
      <c r="F22" t="str">
        <f>IFERROR(Tab_Compteur_2[[#This Row],[Quantité ]]/Tab_Compteur_2[[#This Row],[Delta Jour]],"")</f>
        <v/>
      </c>
      <c r="G22" t="str">
        <f>IFERROR(Tab_Compteur_2[[#This Row],[Montant TTC]]/Tab_Compteur_2[[#This Row],[Delta Jour]],"")</f>
        <v/>
      </c>
      <c r="H22" s="86"/>
      <c r="I22" s="86"/>
      <c r="J22" s="86"/>
      <c r="K22" s="86"/>
      <c r="L22" s="86"/>
    </row>
    <row r="23" spans="1:12" x14ac:dyDescent="0.25">
      <c r="A23" s="3">
        <f t="shared" si="1"/>
        <v>1</v>
      </c>
      <c r="B23" s="3">
        <f>EDATE($B$3,Site!$I$34*(ROW(Tab_Compteur_2[[#This Row],[Début de période]])-3))</f>
        <v>0</v>
      </c>
      <c r="C23" s="184"/>
      <c r="D23" s="105"/>
      <c r="E23">
        <f t="shared" si="0"/>
        <v>0</v>
      </c>
      <c r="F23" t="str">
        <f>IFERROR(Tab_Compteur_2[[#This Row],[Quantité ]]/Tab_Compteur_2[[#This Row],[Delta Jour]],"")</f>
        <v/>
      </c>
      <c r="G23" t="str">
        <f>IFERROR(Tab_Compteur_2[[#This Row],[Montant TTC]]/Tab_Compteur_2[[#This Row],[Delta Jour]],"")</f>
        <v/>
      </c>
      <c r="H23" s="86"/>
      <c r="I23" s="86"/>
      <c r="J23" s="86"/>
      <c r="K23" s="86"/>
      <c r="L23" s="86"/>
    </row>
    <row r="24" spans="1:12" x14ac:dyDescent="0.25">
      <c r="A24" s="3">
        <f t="shared" si="1"/>
        <v>1</v>
      </c>
      <c r="B24" s="3">
        <f>EDATE($B$3,Site!$I$34*(ROW(Tab_Compteur_2[[#This Row],[Début de période]])-3))</f>
        <v>0</v>
      </c>
      <c r="C24" s="184"/>
      <c r="D24" s="105"/>
      <c r="E24">
        <f t="shared" si="0"/>
        <v>0</v>
      </c>
      <c r="F24" t="str">
        <f>IFERROR(Tab_Compteur_2[[#This Row],[Quantité ]]/Tab_Compteur_2[[#This Row],[Delta Jour]],"")</f>
        <v/>
      </c>
      <c r="G24" t="str">
        <f>IFERROR(Tab_Compteur_2[[#This Row],[Montant TTC]]/Tab_Compteur_2[[#This Row],[Delta Jour]],"")</f>
        <v/>
      </c>
      <c r="H24" s="86"/>
      <c r="I24" s="86"/>
      <c r="J24" s="86"/>
      <c r="K24" s="86"/>
      <c r="L24" s="86"/>
    </row>
    <row r="25" spans="1:12" x14ac:dyDescent="0.25">
      <c r="A25" s="3">
        <f t="shared" si="1"/>
        <v>1</v>
      </c>
      <c r="B25" s="3">
        <f>EDATE($B$3,Site!$I$34*(ROW(Tab_Compteur_2[[#This Row],[Début de période]])-3))</f>
        <v>0</v>
      </c>
      <c r="C25" s="184"/>
      <c r="D25" s="105"/>
      <c r="E25">
        <f t="shared" si="0"/>
        <v>0</v>
      </c>
      <c r="F25" t="str">
        <f>IFERROR(Tab_Compteur_2[[#This Row],[Quantité ]]/Tab_Compteur_2[[#This Row],[Delta Jour]],"")</f>
        <v/>
      </c>
      <c r="G25" t="str">
        <f>IFERROR(Tab_Compteur_2[[#This Row],[Montant TTC]]/Tab_Compteur_2[[#This Row],[Delta Jour]],"")</f>
        <v/>
      </c>
      <c r="H25" s="86"/>
      <c r="I25" s="86"/>
      <c r="J25" s="86"/>
      <c r="K25" s="86"/>
      <c r="L25" s="86"/>
    </row>
    <row r="26" spans="1:12" x14ac:dyDescent="0.25">
      <c r="A26" s="3">
        <f t="shared" si="1"/>
        <v>1</v>
      </c>
      <c r="B26" s="3">
        <f>EDATE($B$3,Site!$I$34*(ROW(Tab_Compteur_2[[#This Row],[Début de période]])-3))</f>
        <v>0</v>
      </c>
      <c r="C26" s="184"/>
      <c r="D26" s="105"/>
      <c r="E26">
        <f t="shared" si="0"/>
        <v>0</v>
      </c>
      <c r="F26" t="str">
        <f>IFERROR(Tab_Compteur_2[[#This Row],[Quantité ]]/Tab_Compteur_2[[#This Row],[Delta Jour]],"")</f>
        <v/>
      </c>
      <c r="G26" t="str">
        <f>IFERROR(Tab_Compteur_2[[#This Row],[Montant TTC]]/Tab_Compteur_2[[#This Row],[Delta Jour]],"")</f>
        <v/>
      </c>
      <c r="H26" s="86"/>
      <c r="I26" s="86"/>
      <c r="J26" s="86"/>
      <c r="K26" s="86"/>
      <c r="L26" s="86"/>
    </row>
    <row r="27" spans="1:12" x14ac:dyDescent="0.25">
      <c r="A27" s="3">
        <f t="shared" si="1"/>
        <v>1</v>
      </c>
      <c r="B27" s="3">
        <f>EDATE($B$3,Site!$I$34*(ROW(Tab_Compteur_2[[#This Row],[Début de période]])-3))</f>
        <v>0</v>
      </c>
      <c r="C27" s="184"/>
      <c r="D27" s="105"/>
      <c r="E27">
        <f t="shared" si="0"/>
        <v>0</v>
      </c>
      <c r="F27" t="str">
        <f>IFERROR(Tab_Compteur_2[[#This Row],[Quantité ]]/Tab_Compteur_2[[#This Row],[Delta Jour]],"")</f>
        <v/>
      </c>
      <c r="G27" t="str">
        <f>IFERROR(Tab_Compteur_2[[#This Row],[Montant TTC]]/Tab_Compteur_2[[#This Row],[Delta Jour]],"")</f>
        <v/>
      </c>
      <c r="H27" s="86"/>
      <c r="I27" s="86"/>
      <c r="J27" s="86"/>
      <c r="K27" s="86"/>
      <c r="L27" s="86"/>
    </row>
    <row r="28" spans="1:12" x14ac:dyDescent="0.25">
      <c r="A28" s="3">
        <f t="shared" si="1"/>
        <v>1</v>
      </c>
      <c r="B28" s="3">
        <f>EDATE($B$3,Site!$I$34*(ROW(Tab_Compteur_2[[#This Row],[Début de période]])-3))</f>
        <v>0</v>
      </c>
      <c r="C28" s="184"/>
      <c r="D28" s="105"/>
      <c r="E28">
        <f t="shared" si="0"/>
        <v>0</v>
      </c>
      <c r="F28" t="str">
        <f>IFERROR(Tab_Compteur_2[[#This Row],[Quantité ]]/Tab_Compteur_2[[#This Row],[Delta Jour]],"")</f>
        <v/>
      </c>
      <c r="G28" t="str">
        <f>IFERROR(Tab_Compteur_2[[#This Row],[Montant TTC]]/Tab_Compteur_2[[#This Row],[Delta Jour]],"")</f>
        <v/>
      </c>
      <c r="H28" s="86"/>
      <c r="I28" s="86"/>
      <c r="J28" s="86"/>
      <c r="K28" s="86"/>
      <c r="L28" s="86"/>
    </row>
    <row r="29" spans="1:12" x14ac:dyDescent="0.25">
      <c r="A29" s="3">
        <f t="shared" si="1"/>
        <v>1</v>
      </c>
      <c r="B29" s="3">
        <f>EDATE($B$3,Site!$I$34*(ROW(Tab_Compteur_2[[#This Row],[Début de période]])-3))</f>
        <v>0</v>
      </c>
      <c r="C29" s="184"/>
      <c r="D29" s="105"/>
      <c r="E29">
        <f t="shared" si="0"/>
        <v>0</v>
      </c>
      <c r="F29" t="str">
        <f>IFERROR(Tab_Compteur_2[[#This Row],[Quantité ]]/Tab_Compteur_2[[#This Row],[Delta Jour]],"")</f>
        <v/>
      </c>
      <c r="G29" t="str">
        <f>IFERROR(Tab_Compteur_2[[#This Row],[Montant TTC]]/Tab_Compteur_2[[#This Row],[Delta Jour]],"")</f>
        <v/>
      </c>
      <c r="H29" s="86"/>
      <c r="I29" s="86"/>
      <c r="J29" s="86"/>
      <c r="K29" s="86"/>
      <c r="L29" s="86"/>
    </row>
    <row r="30" spans="1:12" x14ac:dyDescent="0.25">
      <c r="A30" s="3">
        <f t="shared" si="1"/>
        <v>1</v>
      </c>
      <c r="B30" s="3">
        <f>EDATE($B$3,Site!$I$34*(ROW(Tab_Compteur_2[[#This Row],[Début de période]])-3))</f>
        <v>0</v>
      </c>
      <c r="C30" s="184"/>
      <c r="D30" s="105"/>
      <c r="E30">
        <f t="shared" si="0"/>
        <v>0</v>
      </c>
      <c r="F30" t="str">
        <f>IFERROR(Tab_Compteur_2[[#This Row],[Quantité ]]/Tab_Compteur_2[[#This Row],[Delta Jour]],"")</f>
        <v/>
      </c>
      <c r="G30" t="str">
        <f>IFERROR(Tab_Compteur_2[[#This Row],[Montant TTC]]/Tab_Compteur_2[[#This Row],[Delta Jour]],"")</f>
        <v/>
      </c>
      <c r="H30" s="86"/>
      <c r="I30" s="86"/>
      <c r="J30" s="86"/>
      <c r="K30" s="86"/>
      <c r="L30" s="86"/>
    </row>
    <row r="31" spans="1:12" x14ac:dyDescent="0.25">
      <c r="A31" s="3">
        <f t="shared" si="1"/>
        <v>1</v>
      </c>
      <c r="B31" s="3">
        <f>EDATE($B$3,Site!$I$34*(ROW(Tab_Compteur_2[[#This Row],[Début de période]])-3))</f>
        <v>0</v>
      </c>
      <c r="C31" s="184"/>
      <c r="D31" s="105"/>
      <c r="E31">
        <f t="shared" si="0"/>
        <v>0</v>
      </c>
      <c r="F31" t="str">
        <f>IFERROR(Tab_Compteur_2[[#This Row],[Quantité ]]/Tab_Compteur_2[[#This Row],[Delta Jour]],"")</f>
        <v/>
      </c>
      <c r="G31" t="str">
        <f>IFERROR(Tab_Compteur_2[[#This Row],[Montant TTC]]/Tab_Compteur_2[[#This Row],[Delta Jour]],"")</f>
        <v/>
      </c>
      <c r="H31" s="86"/>
      <c r="I31" s="86"/>
      <c r="J31" s="86"/>
      <c r="K31" s="86"/>
      <c r="L31" s="86"/>
    </row>
    <row r="32" spans="1:12" x14ac:dyDescent="0.25">
      <c r="A32" s="3">
        <f t="shared" si="1"/>
        <v>1</v>
      </c>
      <c r="B32" s="3">
        <f>EDATE($B$3,Site!$I$34*(ROW(Tab_Compteur_2[[#This Row],[Début de période]])-3))</f>
        <v>0</v>
      </c>
      <c r="C32" s="184"/>
      <c r="D32" s="105"/>
      <c r="E32">
        <f t="shared" si="0"/>
        <v>0</v>
      </c>
      <c r="F32" t="str">
        <f>IFERROR(Tab_Compteur_2[[#This Row],[Quantité ]]/Tab_Compteur_2[[#This Row],[Delta Jour]],"")</f>
        <v/>
      </c>
      <c r="G32" t="str">
        <f>IFERROR(Tab_Compteur_2[[#This Row],[Montant TTC]]/Tab_Compteur_2[[#This Row],[Delta Jour]],"")</f>
        <v/>
      </c>
      <c r="H32" s="86"/>
      <c r="I32" s="86"/>
      <c r="J32" s="86"/>
      <c r="K32" s="86"/>
      <c r="L32" s="86"/>
    </row>
    <row r="33" spans="1:12" x14ac:dyDescent="0.25">
      <c r="A33" s="3">
        <f t="shared" si="1"/>
        <v>1</v>
      </c>
      <c r="B33" s="3">
        <f>EDATE($B$3,Site!$I$34*(ROW(Tab_Compteur_2[[#This Row],[Début de période]])-3))</f>
        <v>0</v>
      </c>
      <c r="C33" s="184"/>
      <c r="D33" s="105"/>
      <c r="E33">
        <f t="shared" si="0"/>
        <v>0</v>
      </c>
      <c r="F33" t="str">
        <f>IFERROR(Tab_Compteur_2[[#This Row],[Quantité ]]/Tab_Compteur_2[[#This Row],[Delta Jour]],"")</f>
        <v/>
      </c>
      <c r="G33" t="str">
        <f>IFERROR(Tab_Compteur_2[[#This Row],[Montant TTC]]/Tab_Compteur_2[[#This Row],[Delta Jour]],"")</f>
        <v/>
      </c>
      <c r="H33" s="86"/>
      <c r="I33" s="86"/>
      <c r="J33" s="86"/>
      <c r="K33" s="86"/>
      <c r="L33" s="86"/>
    </row>
    <row r="34" spans="1:12" x14ac:dyDescent="0.25">
      <c r="A34" s="3">
        <f t="shared" si="1"/>
        <v>1</v>
      </c>
      <c r="B34" s="3">
        <f>EDATE($B$3,Site!$I$34*(ROW(Tab_Compteur_2[[#This Row],[Début de période]])-3))</f>
        <v>0</v>
      </c>
      <c r="C34" s="184"/>
      <c r="D34" s="105"/>
      <c r="E34">
        <f t="shared" si="0"/>
        <v>0</v>
      </c>
      <c r="F34" t="str">
        <f>IFERROR(Tab_Compteur_2[[#This Row],[Quantité ]]/Tab_Compteur_2[[#This Row],[Delta Jour]],"")</f>
        <v/>
      </c>
      <c r="G34" t="str">
        <f>IFERROR(Tab_Compteur_2[[#This Row],[Montant TTC]]/Tab_Compteur_2[[#This Row],[Delta Jour]],"")</f>
        <v/>
      </c>
      <c r="H34" s="86"/>
      <c r="I34" s="86"/>
      <c r="J34" s="86"/>
      <c r="K34" s="86"/>
      <c r="L34" s="86"/>
    </row>
    <row r="35" spans="1:12" x14ac:dyDescent="0.25">
      <c r="A35" s="3">
        <f t="shared" si="1"/>
        <v>1</v>
      </c>
      <c r="B35" s="3">
        <f>EDATE($B$3,Site!$I$34*(ROW(Tab_Compteur_2[[#This Row],[Début de période]])-3))</f>
        <v>0</v>
      </c>
      <c r="C35" s="184"/>
      <c r="D35" s="105"/>
      <c r="E35">
        <f t="shared" si="0"/>
        <v>0</v>
      </c>
      <c r="F35" t="str">
        <f>IFERROR(Tab_Compteur_2[[#This Row],[Quantité ]]/Tab_Compteur_2[[#This Row],[Delta Jour]],"")</f>
        <v/>
      </c>
      <c r="G35" t="str">
        <f>IFERROR(Tab_Compteur_2[[#This Row],[Montant TTC]]/Tab_Compteur_2[[#This Row],[Delta Jour]],"")</f>
        <v/>
      </c>
      <c r="H35" s="86"/>
      <c r="I35" s="86"/>
      <c r="J35" s="86"/>
      <c r="K35" s="86"/>
      <c r="L35" s="86"/>
    </row>
    <row r="36" spans="1:12" x14ac:dyDescent="0.25">
      <c r="A36" s="3">
        <f t="shared" si="1"/>
        <v>1</v>
      </c>
      <c r="B36" s="3">
        <f>EDATE($B$3,Site!$I$34*(ROW(Tab_Compteur_2[[#This Row],[Début de période]])-3))</f>
        <v>0</v>
      </c>
      <c r="C36" s="184"/>
      <c r="D36" s="105"/>
      <c r="E36">
        <f t="shared" si="0"/>
        <v>0</v>
      </c>
      <c r="F36" t="str">
        <f>IFERROR(Tab_Compteur_2[[#This Row],[Quantité ]]/Tab_Compteur_2[[#This Row],[Delta Jour]],"")</f>
        <v/>
      </c>
      <c r="G36" t="str">
        <f>IFERROR(Tab_Compteur_2[[#This Row],[Montant TTC]]/Tab_Compteur_2[[#This Row],[Delta Jour]],"")</f>
        <v/>
      </c>
      <c r="H36" s="86"/>
      <c r="I36" s="86"/>
      <c r="J36" s="86"/>
      <c r="K36" s="86"/>
      <c r="L36" s="86"/>
    </row>
    <row r="37" spans="1:12" x14ac:dyDescent="0.25">
      <c r="A37" s="3">
        <f t="shared" si="1"/>
        <v>1</v>
      </c>
      <c r="B37" s="3">
        <f>EDATE($B$3,Site!$I$34*(ROW(Tab_Compteur_2[[#This Row],[Début de période]])-3))</f>
        <v>0</v>
      </c>
      <c r="C37" s="184"/>
      <c r="D37" s="105"/>
      <c r="E37">
        <f t="shared" si="0"/>
        <v>0</v>
      </c>
      <c r="F37" t="str">
        <f>IFERROR(Tab_Compteur_2[[#This Row],[Quantité ]]/Tab_Compteur_2[[#This Row],[Delta Jour]],"")</f>
        <v/>
      </c>
      <c r="G37" t="str">
        <f>IFERROR(Tab_Compteur_2[[#This Row],[Montant TTC]]/Tab_Compteur_2[[#This Row],[Delta Jour]],"")</f>
        <v/>
      </c>
      <c r="H37" s="86"/>
      <c r="I37" s="86"/>
      <c r="J37" s="86"/>
      <c r="K37" s="86"/>
      <c r="L37" s="86"/>
    </row>
    <row r="38" spans="1:12" x14ac:dyDescent="0.25">
      <c r="A38" s="3">
        <f t="shared" si="1"/>
        <v>1</v>
      </c>
      <c r="B38" s="3">
        <f>EDATE($B$3,Site!$I$34*(ROW(Tab_Compteur_2[[#This Row],[Début de période]])-3))</f>
        <v>0</v>
      </c>
      <c r="C38" s="184"/>
      <c r="D38" s="105"/>
      <c r="E38">
        <f t="shared" si="0"/>
        <v>0</v>
      </c>
      <c r="F38" t="str">
        <f>IFERROR(Tab_Compteur_2[[#This Row],[Quantité ]]/Tab_Compteur_2[[#This Row],[Delta Jour]],"")</f>
        <v/>
      </c>
      <c r="G38" t="str">
        <f>IFERROR(Tab_Compteur_2[[#This Row],[Montant TTC]]/Tab_Compteur_2[[#This Row],[Delta Jour]],"")</f>
        <v/>
      </c>
      <c r="H38" s="86"/>
      <c r="I38" s="86"/>
      <c r="J38" s="86"/>
      <c r="K38" s="86"/>
      <c r="L38" s="86"/>
    </row>
    <row r="39" spans="1:12" x14ac:dyDescent="0.25">
      <c r="A39" s="3">
        <f t="shared" si="1"/>
        <v>1</v>
      </c>
      <c r="B39" s="3">
        <f>EDATE($B$3,Site!$I$34*(ROW(Tab_Compteur_2[[#This Row],[Début de période]])-3))</f>
        <v>0</v>
      </c>
      <c r="C39" s="184"/>
      <c r="D39" s="105"/>
      <c r="E39">
        <f t="shared" si="0"/>
        <v>0</v>
      </c>
      <c r="F39" t="str">
        <f>IFERROR(Tab_Compteur_2[[#This Row],[Quantité ]]/Tab_Compteur_2[[#This Row],[Delta Jour]],"")</f>
        <v/>
      </c>
      <c r="G39" t="str">
        <f>IFERROR(Tab_Compteur_2[[#This Row],[Montant TTC]]/Tab_Compteur_2[[#This Row],[Delta Jour]],"")</f>
        <v/>
      </c>
      <c r="H39" s="86"/>
      <c r="I39" s="86"/>
      <c r="J39" s="86"/>
      <c r="K39" s="86"/>
      <c r="L39" s="86"/>
    </row>
    <row r="40" spans="1:12" x14ac:dyDescent="0.25">
      <c r="A40" s="3">
        <f t="shared" si="1"/>
        <v>1</v>
      </c>
      <c r="B40" s="3">
        <f>EDATE($B$3,Site!$I$34*(ROW(Tab_Compteur_2[[#This Row],[Début de période]])-3))</f>
        <v>0</v>
      </c>
      <c r="C40" s="184"/>
      <c r="D40" s="105"/>
      <c r="E40">
        <f t="shared" si="0"/>
        <v>0</v>
      </c>
      <c r="F40" t="str">
        <f>IFERROR(Tab_Compteur_2[[#This Row],[Quantité ]]/Tab_Compteur_2[[#This Row],[Delta Jour]],"")</f>
        <v/>
      </c>
      <c r="G40" t="str">
        <f>IFERROR(Tab_Compteur_2[[#This Row],[Montant TTC]]/Tab_Compteur_2[[#This Row],[Delta Jour]],"")</f>
        <v/>
      </c>
      <c r="H40" s="86"/>
      <c r="I40" s="86"/>
      <c r="J40" s="86"/>
      <c r="K40" s="86"/>
      <c r="L40" s="86"/>
    </row>
    <row r="41" spans="1:12" x14ac:dyDescent="0.25">
      <c r="A41" s="3">
        <f t="shared" si="1"/>
        <v>1</v>
      </c>
      <c r="B41" s="3">
        <f>EDATE($B$3,Site!$I$34*(ROW(Tab_Compteur_2[[#This Row],[Début de période]])-3))</f>
        <v>0</v>
      </c>
      <c r="C41" s="184"/>
      <c r="D41" s="105"/>
      <c r="E41">
        <f t="shared" si="0"/>
        <v>0</v>
      </c>
      <c r="F41" t="str">
        <f>IFERROR(Tab_Compteur_2[[#This Row],[Quantité ]]/Tab_Compteur_2[[#This Row],[Delta Jour]],"")</f>
        <v/>
      </c>
      <c r="G41" t="str">
        <f>IFERROR(Tab_Compteur_2[[#This Row],[Montant TTC]]/Tab_Compteur_2[[#This Row],[Delta Jour]],"")</f>
        <v/>
      </c>
      <c r="H41" s="86"/>
      <c r="I41" s="86"/>
      <c r="J41" s="86"/>
      <c r="K41" s="86"/>
      <c r="L41" s="86"/>
    </row>
    <row r="42" spans="1:12" x14ac:dyDescent="0.25">
      <c r="A42" s="3">
        <f t="shared" si="1"/>
        <v>1</v>
      </c>
      <c r="B42" s="3">
        <f>EDATE($B$3,Site!$I$34*(ROW(Tab_Compteur_2[[#This Row],[Début de période]])-3))</f>
        <v>0</v>
      </c>
      <c r="C42" s="184"/>
      <c r="D42" s="105"/>
      <c r="E42">
        <f t="shared" si="0"/>
        <v>0</v>
      </c>
      <c r="F42" t="str">
        <f>IFERROR(Tab_Compteur_2[[#This Row],[Quantité ]]/Tab_Compteur_2[[#This Row],[Delta Jour]],"")</f>
        <v/>
      </c>
      <c r="G42" t="str">
        <f>IFERROR(Tab_Compteur_2[[#This Row],[Montant TTC]]/Tab_Compteur_2[[#This Row],[Delta Jour]],"")</f>
        <v/>
      </c>
      <c r="H42" s="86"/>
      <c r="I42" s="86"/>
      <c r="J42" s="86"/>
      <c r="K42" s="86"/>
      <c r="L42" s="86"/>
    </row>
    <row r="43" spans="1:12" x14ac:dyDescent="0.25">
      <c r="A43" s="3">
        <f t="shared" si="1"/>
        <v>1</v>
      </c>
      <c r="B43" s="3">
        <f>EDATE($B$3,Site!$I$34*(ROW(Tab_Compteur_2[[#This Row],[Début de période]])-3))</f>
        <v>0</v>
      </c>
      <c r="C43" s="184"/>
      <c r="D43" s="105"/>
      <c r="E43">
        <f t="shared" si="0"/>
        <v>0</v>
      </c>
      <c r="F43" t="str">
        <f>IFERROR(Tab_Compteur_2[[#This Row],[Quantité ]]/Tab_Compteur_2[[#This Row],[Delta Jour]],"")</f>
        <v/>
      </c>
      <c r="G43" t="str">
        <f>IFERROR(Tab_Compteur_2[[#This Row],[Montant TTC]]/Tab_Compteur_2[[#This Row],[Delta Jour]],"")</f>
        <v/>
      </c>
      <c r="H43" s="86"/>
      <c r="I43" s="86"/>
      <c r="J43" s="86"/>
      <c r="K43" s="86"/>
      <c r="L43" s="86"/>
    </row>
    <row r="44" spans="1:12" x14ac:dyDescent="0.25">
      <c r="A44" s="3">
        <f t="shared" si="1"/>
        <v>1</v>
      </c>
      <c r="B44" s="3">
        <f>EDATE($B$3,Site!$I$34*(ROW(Tab_Compteur_2[[#This Row],[Début de période]])-3))</f>
        <v>0</v>
      </c>
      <c r="C44" s="184"/>
      <c r="D44" s="105"/>
      <c r="E44">
        <f t="shared" si="0"/>
        <v>0</v>
      </c>
      <c r="F44" t="str">
        <f>IFERROR(Tab_Compteur_2[[#This Row],[Quantité ]]/Tab_Compteur_2[[#This Row],[Delta Jour]],"")</f>
        <v/>
      </c>
      <c r="G44" t="str">
        <f>IFERROR(Tab_Compteur_2[[#This Row],[Montant TTC]]/Tab_Compteur_2[[#This Row],[Delta Jour]],"")</f>
        <v/>
      </c>
      <c r="H44" s="86"/>
      <c r="I44" s="86"/>
      <c r="J44" s="86"/>
      <c r="K44" s="86"/>
      <c r="L44" s="86"/>
    </row>
    <row r="45" spans="1:12" x14ac:dyDescent="0.25">
      <c r="A45" s="3">
        <f t="shared" si="1"/>
        <v>1</v>
      </c>
      <c r="B45" s="3">
        <f>EDATE($B$3,Site!$I$34*(ROW(Tab_Compteur_2[[#This Row],[Début de période]])-3))</f>
        <v>0</v>
      </c>
      <c r="C45" s="184"/>
      <c r="D45" s="105"/>
      <c r="E45">
        <f t="shared" si="0"/>
        <v>0</v>
      </c>
      <c r="F45" t="str">
        <f>IFERROR(Tab_Compteur_2[[#This Row],[Quantité ]]/Tab_Compteur_2[[#This Row],[Delta Jour]],"")</f>
        <v/>
      </c>
      <c r="G45" t="str">
        <f>IFERROR(Tab_Compteur_2[[#This Row],[Montant TTC]]/Tab_Compteur_2[[#This Row],[Delta Jour]],"")</f>
        <v/>
      </c>
      <c r="H45" s="86"/>
      <c r="I45" s="86"/>
      <c r="J45" s="86"/>
      <c r="K45" s="86"/>
      <c r="L45" s="86"/>
    </row>
    <row r="46" spans="1:12" x14ac:dyDescent="0.25">
      <c r="A46" s="3">
        <f t="shared" si="1"/>
        <v>1</v>
      </c>
      <c r="B46" s="3">
        <f>EDATE($B$3,Site!$I$34*(ROW(Tab_Compteur_2[[#This Row],[Début de période]])-3))</f>
        <v>0</v>
      </c>
      <c r="C46" s="184"/>
      <c r="D46" s="105"/>
      <c r="E46">
        <f t="shared" si="0"/>
        <v>0</v>
      </c>
      <c r="F46" t="str">
        <f>IFERROR(Tab_Compteur_2[[#This Row],[Quantité ]]/Tab_Compteur_2[[#This Row],[Delta Jour]],"")</f>
        <v/>
      </c>
      <c r="G46" t="str">
        <f>IFERROR(Tab_Compteur_2[[#This Row],[Montant TTC]]/Tab_Compteur_2[[#This Row],[Delta Jour]],"")</f>
        <v/>
      </c>
      <c r="H46" s="86"/>
      <c r="I46" s="86"/>
      <c r="J46" s="86"/>
      <c r="K46" s="86"/>
      <c r="L46" s="86"/>
    </row>
    <row r="47" spans="1:12" x14ac:dyDescent="0.25">
      <c r="A47" s="3">
        <f t="shared" si="1"/>
        <v>1</v>
      </c>
      <c r="B47" s="3">
        <f>EDATE($B$3,Site!$I$34*(ROW(Tab_Compteur_2[[#This Row],[Début de période]])-3))</f>
        <v>0</v>
      </c>
      <c r="C47" s="184"/>
      <c r="D47" s="105"/>
      <c r="E47">
        <f t="shared" si="0"/>
        <v>0</v>
      </c>
      <c r="F47" t="str">
        <f>IFERROR(Tab_Compteur_2[[#This Row],[Quantité ]]/Tab_Compteur_2[[#This Row],[Delta Jour]],"")</f>
        <v/>
      </c>
      <c r="G47" t="str">
        <f>IFERROR(Tab_Compteur_2[[#This Row],[Montant TTC]]/Tab_Compteur_2[[#This Row],[Delta Jour]],"")</f>
        <v/>
      </c>
      <c r="H47" s="86"/>
      <c r="I47" s="86"/>
      <c r="J47" s="86"/>
      <c r="K47" s="86"/>
      <c r="L47" s="86"/>
    </row>
    <row r="48" spans="1:12" x14ac:dyDescent="0.25">
      <c r="A48" s="3">
        <f t="shared" si="1"/>
        <v>1</v>
      </c>
      <c r="B48" s="3">
        <f>EDATE($B$3,Site!$I$34*(ROW(Tab_Compteur_2[[#This Row],[Début de période]])-3))</f>
        <v>0</v>
      </c>
      <c r="C48" s="184"/>
      <c r="D48" s="105"/>
      <c r="E48">
        <f t="shared" si="0"/>
        <v>0</v>
      </c>
      <c r="F48" t="str">
        <f>IFERROR(Tab_Compteur_2[[#This Row],[Quantité ]]/Tab_Compteur_2[[#This Row],[Delta Jour]],"")</f>
        <v/>
      </c>
      <c r="G48" t="str">
        <f>IFERROR(Tab_Compteur_2[[#This Row],[Montant TTC]]/Tab_Compteur_2[[#This Row],[Delta Jour]],"")</f>
        <v/>
      </c>
      <c r="H48" s="86"/>
      <c r="I48" s="86"/>
      <c r="J48" s="86"/>
      <c r="K48" s="86"/>
      <c r="L48" s="86"/>
    </row>
    <row r="49" spans="1:12" x14ac:dyDescent="0.25">
      <c r="A49" s="3">
        <f t="shared" si="1"/>
        <v>1</v>
      </c>
      <c r="B49" s="3">
        <f>EDATE($B$3,Site!$I$34*(ROW(Tab_Compteur_2[[#This Row],[Début de période]])-3))</f>
        <v>0</v>
      </c>
      <c r="C49" s="184"/>
      <c r="D49" s="105"/>
      <c r="E49">
        <f t="shared" si="0"/>
        <v>0</v>
      </c>
      <c r="F49" t="str">
        <f>IFERROR(Tab_Compteur_2[[#This Row],[Quantité ]]/Tab_Compteur_2[[#This Row],[Delta Jour]],"")</f>
        <v/>
      </c>
      <c r="G49" t="str">
        <f>IFERROR(Tab_Compteur_2[[#This Row],[Montant TTC]]/Tab_Compteur_2[[#This Row],[Delta Jour]],"")</f>
        <v/>
      </c>
      <c r="H49" s="86"/>
      <c r="I49" s="86"/>
      <c r="J49" s="86"/>
      <c r="K49" s="86"/>
      <c r="L49" s="86"/>
    </row>
    <row r="50" spans="1:12" x14ac:dyDescent="0.25">
      <c r="A50" s="3">
        <f t="shared" si="1"/>
        <v>1</v>
      </c>
      <c r="B50" s="3">
        <f>EDATE($B$3,Site!$I$34*(ROW(Tab_Compteur_2[[#This Row],[Début de période]])-3))</f>
        <v>0</v>
      </c>
      <c r="C50" s="184"/>
      <c r="D50" s="105"/>
      <c r="E50">
        <f t="shared" si="0"/>
        <v>0</v>
      </c>
      <c r="F50" t="str">
        <f>IFERROR(Tab_Compteur_2[[#This Row],[Quantité ]]/Tab_Compteur_2[[#This Row],[Delta Jour]],"")</f>
        <v/>
      </c>
      <c r="G50" t="str">
        <f>IFERROR(Tab_Compteur_2[[#This Row],[Montant TTC]]/Tab_Compteur_2[[#This Row],[Delta Jour]],"")</f>
        <v/>
      </c>
      <c r="H50" s="86"/>
      <c r="I50" s="86"/>
      <c r="J50" s="86"/>
      <c r="K50" s="86"/>
      <c r="L50" s="86"/>
    </row>
    <row r="51" spans="1:12" x14ac:dyDescent="0.25">
      <c r="A51" s="3">
        <f t="shared" si="1"/>
        <v>1</v>
      </c>
      <c r="B51" s="3">
        <f>EDATE($B$3,Site!$I$34*(ROW(Tab_Compteur_2[[#This Row],[Début de période]])-3))</f>
        <v>0</v>
      </c>
      <c r="C51" s="184"/>
      <c r="D51" s="105"/>
      <c r="E51">
        <f t="shared" si="0"/>
        <v>0</v>
      </c>
      <c r="F51" t="str">
        <f>IFERROR(Tab_Compteur_2[[#This Row],[Quantité ]]/Tab_Compteur_2[[#This Row],[Delta Jour]],"")</f>
        <v/>
      </c>
      <c r="G51" t="str">
        <f>IFERROR(Tab_Compteur_2[[#This Row],[Montant TTC]]/Tab_Compteur_2[[#This Row],[Delta Jour]],"")</f>
        <v/>
      </c>
      <c r="H51" s="86"/>
      <c r="I51" s="86"/>
      <c r="J51" s="86"/>
      <c r="K51" s="86"/>
      <c r="L51" s="86"/>
    </row>
    <row r="52" spans="1:12" x14ac:dyDescent="0.25">
      <c r="A52" s="3">
        <f t="shared" si="1"/>
        <v>1</v>
      </c>
      <c r="B52" s="3">
        <f>EDATE($B$3,Site!$I$34*(ROW(Tab_Compteur_2[[#This Row],[Début de période]])-3))</f>
        <v>0</v>
      </c>
      <c r="C52" s="184"/>
      <c r="D52" s="105"/>
      <c r="E52">
        <f t="shared" si="0"/>
        <v>0</v>
      </c>
      <c r="F52" t="str">
        <f>IFERROR(Tab_Compteur_2[[#This Row],[Quantité ]]/Tab_Compteur_2[[#This Row],[Delta Jour]],"")</f>
        <v/>
      </c>
      <c r="G52" t="str">
        <f>IFERROR(Tab_Compteur_2[[#This Row],[Montant TTC]]/Tab_Compteur_2[[#This Row],[Delta Jour]],"")</f>
        <v/>
      </c>
      <c r="H52" s="86"/>
      <c r="I52" s="86"/>
      <c r="J52" s="86"/>
      <c r="K52" s="86"/>
      <c r="L52" s="86"/>
    </row>
    <row r="53" spans="1:12" x14ac:dyDescent="0.25">
      <c r="A53" s="3">
        <f t="shared" si="1"/>
        <v>1</v>
      </c>
      <c r="B53" s="3">
        <f>EDATE($B$3,Site!$I$34*(ROW(Tab_Compteur_2[[#This Row],[Début de période]])-3))</f>
        <v>0</v>
      </c>
      <c r="C53" s="184"/>
      <c r="D53" s="105"/>
      <c r="E53">
        <f t="shared" si="0"/>
        <v>0</v>
      </c>
      <c r="F53" t="str">
        <f>IFERROR(Tab_Compteur_2[[#This Row],[Quantité ]]/Tab_Compteur_2[[#This Row],[Delta Jour]],"")</f>
        <v/>
      </c>
      <c r="G53" t="str">
        <f>IFERROR(Tab_Compteur_2[[#This Row],[Montant TTC]]/Tab_Compteur_2[[#This Row],[Delta Jour]],"")</f>
        <v/>
      </c>
      <c r="H53" s="86"/>
      <c r="I53" s="86"/>
      <c r="J53" s="86"/>
      <c r="K53" s="86"/>
      <c r="L53" s="86"/>
    </row>
    <row r="54" spans="1:12" x14ac:dyDescent="0.25">
      <c r="A54" s="3">
        <f t="shared" si="1"/>
        <v>1</v>
      </c>
      <c r="B54" s="3">
        <f>EDATE($B$3,Site!$I$34*(ROW(Tab_Compteur_2[[#This Row],[Début de période]])-3))</f>
        <v>0</v>
      </c>
      <c r="C54" s="184"/>
      <c r="D54" s="105"/>
      <c r="E54">
        <f t="shared" si="0"/>
        <v>0</v>
      </c>
      <c r="F54" t="str">
        <f>IFERROR(Tab_Compteur_2[[#This Row],[Quantité ]]/Tab_Compteur_2[[#This Row],[Delta Jour]],"")</f>
        <v/>
      </c>
      <c r="G54" t="str">
        <f>IFERROR(Tab_Compteur_2[[#This Row],[Montant TTC]]/Tab_Compteur_2[[#This Row],[Delta Jour]],"")</f>
        <v/>
      </c>
      <c r="H54" s="86"/>
      <c r="I54" s="86"/>
      <c r="J54" s="86"/>
      <c r="K54" s="86"/>
      <c r="L54" s="86"/>
    </row>
    <row r="55" spans="1:12" x14ac:dyDescent="0.25">
      <c r="A55" s="3">
        <f t="shared" si="1"/>
        <v>1</v>
      </c>
      <c r="B55" s="3">
        <f>EDATE($B$3,Site!$I$34*(ROW(Tab_Compteur_2[[#This Row],[Début de période]])-3))</f>
        <v>0</v>
      </c>
      <c r="C55" s="184"/>
      <c r="D55" s="105"/>
      <c r="E55">
        <f t="shared" si="0"/>
        <v>0</v>
      </c>
      <c r="F55" t="str">
        <f>IFERROR(Tab_Compteur_2[[#This Row],[Quantité ]]/Tab_Compteur_2[[#This Row],[Delta Jour]],"")</f>
        <v/>
      </c>
      <c r="G55" t="str">
        <f>IFERROR(Tab_Compteur_2[[#This Row],[Montant TTC]]/Tab_Compteur_2[[#This Row],[Delta Jour]],"")</f>
        <v/>
      </c>
      <c r="H55" s="86"/>
      <c r="I55" s="86"/>
      <c r="J55" s="86"/>
      <c r="K55" s="86"/>
      <c r="L55" s="86"/>
    </row>
    <row r="56" spans="1:12" x14ac:dyDescent="0.25">
      <c r="A56" s="3">
        <f t="shared" si="1"/>
        <v>1</v>
      </c>
      <c r="B56" s="3">
        <f>EDATE($B$3,Site!$I$34*(ROW(Tab_Compteur_2[[#This Row],[Début de période]])-3))</f>
        <v>0</v>
      </c>
      <c r="C56" s="184"/>
      <c r="D56" s="105"/>
      <c r="E56">
        <f t="shared" si="0"/>
        <v>0</v>
      </c>
      <c r="F56" t="str">
        <f>IFERROR(Tab_Compteur_2[[#This Row],[Quantité ]]/Tab_Compteur_2[[#This Row],[Delta Jour]],"")</f>
        <v/>
      </c>
      <c r="G56" t="str">
        <f>IFERROR(Tab_Compteur_2[[#This Row],[Montant TTC]]/Tab_Compteur_2[[#This Row],[Delta Jour]],"")</f>
        <v/>
      </c>
      <c r="H56" s="86"/>
      <c r="I56" s="86"/>
      <c r="J56" s="86"/>
      <c r="K56" s="86"/>
      <c r="L56" s="86"/>
    </row>
    <row r="57" spans="1:12" x14ac:dyDescent="0.25">
      <c r="A57" s="3">
        <f t="shared" si="1"/>
        <v>1</v>
      </c>
      <c r="B57" s="3">
        <f>EDATE($B$3,Site!$I$34*(ROW(Tab_Compteur_2[[#This Row],[Début de période]])-3))</f>
        <v>0</v>
      </c>
      <c r="C57" s="184"/>
      <c r="D57" s="105"/>
      <c r="E57">
        <f t="shared" si="0"/>
        <v>0</v>
      </c>
      <c r="F57" t="str">
        <f>IFERROR(Tab_Compteur_2[[#This Row],[Quantité ]]/Tab_Compteur_2[[#This Row],[Delta Jour]],"")</f>
        <v/>
      </c>
      <c r="G57" t="str">
        <f>IFERROR(Tab_Compteur_2[[#This Row],[Montant TTC]]/Tab_Compteur_2[[#This Row],[Delta Jour]],"")</f>
        <v/>
      </c>
      <c r="H57" s="86"/>
      <c r="I57" s="86"/>
      <c r="J57" s="86"/>
      <c r="K57" s="86"/>
      <c r="L57" s="86"/>
    </row>
    <row r="58" spans="1:12" x14ac:dyDescent="0.25">
      <c r="A58" s="3">
        <f t="shared" si="1"/>
        <v>1</v>
      </c>
      <c r="B58" s="3">
        <f>EDATE($B$3,Site!$I$34*(ROW(Tab_Compteur_2[[#This Row],[Début de période]])-3))</f>
        <v>0</v>
      </c>
      <c r="C58" s="184"/>
      <c r="D58" s="105"/>
      <c r="E58">
        <f t="shared" si="0"/>
        <v>0</v>
      </c>
      <c r="F58" t="str">
        <f>IFERROR(Tab_Compteur_2[[#This Row],[Quantité ]]/Tab_Compteur_2[[#This Row],[Delta Jour]],"")</f>
        <v/>
      </c>
      <c r="G58" t="str">
        <f>IFERROR(Tab_Compteur_2[[#This Row],[Montant TTC]]/Tab_Compteur_2[[#This Row],[Delta Jour]],"")</f>
        <v/>
      </c>
      <c r="H58" s="86"/>
      <c r="I58" s="86"/>
      <c r="J58" s="86"/>
      <c r="K58" s="86"/>
      <c r="L58" s="86"/>
    </row>
    <row r="59" spans="1:12" x14ac:dyDescent="0.25">
      <c r="A59" s="3">
        <f t="shared" si="1"/>
        <v>1</v>
      </c>
      <c r="B59" s="3">
        <f>EDATE($B$3,Site!$I$34*(ROW(Tab_Compteur_2[[#This Row],[Début de période]])-3))</f>
        <v>0</v>
      </c>
      <c r="C59" s="184"/>
      <c r="D59" s="105"/>
      <c r="E59">
        <f t="shared" si="0"/>
        <v>0</v>
      </c>
      <c r="F59" t="str">
        <f>IFERROR(Tab_Compteur_2[[#This Row],[Quantité ]]/Tab_Compteur_2[[#This Row],[Delta Jour]],"")</f>
        <v/>
      </c>
      <c r="G59" t="str">
        <f>IFERROR(Tab_Compteur_2[[#This Row],[Montant TTC]]/Tab_Compteur_2[[#This Row],[Delta Jour]],"")</f>
        <v/>
      </c>
      <c r="H59" s="86"/>
      <c r="I59" s="86"/>
      <c r="J59" s="86"/>
      <c r="K59" s="86"/>
      <c r="L59" s="86"/>
    </row>
    <row r="60" spans="1:12" x14ac:dyDescent="0.25">
      <c r="A60" s="3">
        <f t="shared" si="1"/>
        <v>1</v>
      </c>
      <c r="B60" s="3">
        <f>EDATE($B$3,Site!$I$34*(ROW(Tab_Compteur_2[[#This Row],[Début de période]])-3))</f>
        <v>0</v>
      </c>
      <c r="C60" s="184"/>
      <c r="D60" s="105"/>
      <c r="E60">
        <f t="shared" si="0"/>
        <v>0</v>
      </c>
      <c r="F60" t="str">
        <f>IFERROR(Tab_Compteur_2[[#This Row],[Quantité ]]/Tab_Compteur_2[[#This Row],[Delta Jour]],"")</f>
        <v/>
      </c>
      <c r="G60" t="str">
        <f>IFERROR(Tab_Compteur_2[[#This Row],[Montant TTC]]/Tab_Compteur_2[[#This Row],[Delta Jour]],"")</f>
        <v/>
      </c>
      <c r="H60" s="86"/>
      <c r="I60" s="86"/>
      <c r="J60" s="86"/>
      <c r="K60" s="86"/>
      <c r="L60" s="86"/>
    </row>
    <row r="61" spans="1:12" x14ac:dyDescent="0.25">
      <c r="A61" s="3">
        <f t="shared" si="1"/>
        <v>1</v>
      </c>
      <c r="B61" s="3">
        <f>EDATE($B$3,Site!$I$34*(ROW(Tab_Compteur_2[[#This Row],[Début de période]])-3))</f>
        <v>0</v>
      </c>
      <c r="C61" s="184"/>
      <c r="D61" s="105"/>
      <c r="E61">
        <f t="shared" si="0"/>
        <v>0</v>
      </c>
      <c r="F61" t="str">
        <f>IFERROR(Tab_Compteur_2[[#This Row],[Quantité ]]/Tab_Compteur_2[[#This Row],[Delta Jour]],"")</f>
        <v/>
      </c>
      <c r="G61" t="str">
        <f>IFERROR(Tab_Compteur_2[[#This Row],[Montant TTC]]/Tab_Compteur_2[[#This Row],[Delta Jour]],"")</f>
        <v/>
      </c>
      <c r="H61" s="86"/>
      <c r="I61" s="86"/>
      <c r="J61" s="86"/>
      <c r="K61" s="86"/>
      <c r="L61" s="86"/>
    </row>
    <row r="62" spans="1:12" x14ac:dyDescent="0.25">
      <c r="A62" s="3">
        <f t="shared" si="1"/>
        <v>1</v>
      </c>
      <c r="B62" s="3">
        <f>EDATE($B$3,Site!$I$34*(ROW(Tab_Compteur_2[[#This Row],[Début de période]])-3))</f>
        <v>0</v>
      </c>
      <c r="C62" s="184"/>
      <c r="D62" s="105"/>
      <c r="E62">
        <f t="shared" si="0"/>
        <v>0</v>
      </c>
      <c r="F62" t="str">
        <f>IFERROR(Tab_Compteur_2[[#This Row],[Quantité ]]/Tab_Compteur_2[[#This Row],[Delta Jour]],"")</f>
        <v/>
      </c>
      <c r="G62" t="str">
        <f>IFERROR(Tab_Compteur_2[[#This Row],[Montant TTC]]/Tab_Compteur_2[[#This Row],[Delta Jour]],"")</f>
        <v/>
      </c>
      <c r="H62" s="86"/>
      <c r="I62" s="86"/>
      <c r="J62" s="86"/>
      <c r="K62" s="86"/>
      <c r="L62" s="86"/>
    </row>
    <row r="63" spans="1:12" x14ac:dyDescent="0.25">
      <c r="A63" s="3">
        <f t="shared" si="1"/>
        <v>1</v>
      </c>
      <c r="B63" s="3">
        <f>EDATE($B$3,Site!$I$34*(ROW(Tab_Compteur_2[[#This Row],[Début de période]])-3))</f>
        <v>0</v>
      </c>
      <c r="C63" s="184"/>
      <c r="D63" s="105"/>
      <c r="E63">
        <f t="shared" si="0"/>
        <v>0</v>
      </c>
      <c r="F63" t="str">
        <f>IFERROR(Tab_Compteur_2[[#This Row],[Quantité ]]/Tab_Compteur_2[[#This Row],[Delta Jour]],"")</f>
        <v/>
      </c>
      <c r="G63" t="str">
        <f>IFERROR(Tab_Compteur_2[[#This Row],[Montant TTC]]/Tab_Compteur_2[[#This Row],[Delta Jour]],"")</f>
        <v/>
      </c>
      <c r="H63" s="86"/>
      <c r="I63" s="86"/>
      <c r="J63" s="86"/>
      <c r="K63" s="86"/>
      <c r="L63" s="86"/>
    </row>
    <row r="64" spans="1:12" x14ac:dyDescent="0.25">
      <c r="A64" s="3">
        <f t="shared" si="1"/>
        <v>1</v>
      </c>
      <c r="B64" s="3">
        <f>EDATE($B$3,Site!$I$34*(ROW(Tab_Compteur_2[[#This Row],[Début de période]])-3))</f>
        <v>0</v>
      </c>
      <c r="C64" s="184"/>
      <c r="D64" s="105"/>
      <c r="E64">
        <f t="shared" si="0"/>
        <v>0</v>
      </c>
      <c r="F64" t="str">
        <f>IFERROR(Tab_Compteur_2[[#This Row],[Quantité ]]/Tab_Compteur_2[[#This Row],[Delta Jour]],"")</f>
        <v/>
      </c>
      <c r="G64" t="str">
        <f>IFERROR(Tab_Compteur_2[[#This Row],[Montant TTC]]/Tab_Compteur_2[[#This Row],[Delta Jour]],"")</f>
        <v/>
      </c>
      <c r="H64" s="86"/>
      <c r="I64" s="86"/>
      <c r="J64" s="86"/>
      <c r="K64" s="86"/>
      <c r="L64" s="86"/>
    </row>
    <row r="65" spans="1:12" x14ac:dyDescent="0.25">
      <c r="A65" s="3">
        <f t="shared" si="1"/>
        <v>1</v>
      </c>
      <c r="B65" s="3">
        <f>EDATE($B$3,Site!$I$34*(ROW(Tab_Compteur_2[[#This Row],[Début de période]])-3))</f>
        <v>0</v>
      </c>
      <c r="C65" s="184"/>
      <c r="D65" s="105"/>
      <c r="E65">
        <f t="shared" si="0"/>
        <v>0</v>
      </c>
      <c r="F65" t="str">
        <f>IFERROR(Tab_Compteur_2[[#This Row],[Quantité ]]/Tab_Compteur_2[[#This Row],[Delta Jour]],"")</f>
        <v/>
      </c>
      <c r="G65" t="str">
        <f>IFERROR(Tab_Compteur_2[[#This Row],[Montant TTC]]/Tab_Compteur_2[[#This Row],[Delta Jour]],"")</f>
        <v/>
      </c>
      <c r="H65" s="86"/>
      <c r="I65" s="86"/>
      <c r="J65" s="86"/>
      <c r="K65" s="86"/>
      <c r="L65" s="86"/>
    </row>
    <row r="66" spans="1:12" x14ac:dyDescent="0.25">
      <c r="A66" s="3">
        <f t="shared" si="1"/>
        <v>1</v>
      </c>
      <c r="B66" s="3">
        <f>EDATE($B$3,Site!$I$34*(ROW(Tab_Compteur_2[[#This Row],[Début de période]])-3))</f>
        <v>0</v>
      </c>
      <c r="C66" s="184"/>
      <c r="D66" s="105"/>
      <c r="E66">
        <f t="shared" si="0"/>
        <v>0</v>
      </c>
      <c r="F66" t="str">
        <f>IFERROR(Tab_Compteur_2[[#This Row],[Quantité ]]/Tab_Compteur_2[[#This Row],[Delta Jour]],"")</f>
        <v/>
      </c>
      <c r="G66" t="str">
        <f>IFERROR(Tab_Compteur_2[[#This Row],[Montant TTC]]/Tab_Compteur_2[[#This Row],[Delta Jour]],"")</f>
        <v/>
      </c>
      <c r="H66" s="86"/>
      <c r="I66" s="86"/>
      <c r="J66" s="86"/>
      <c r="K66" s="86"/>
      <c r="L66" s="86"/>
    </row>
    <row r="67" spans="1:12" x14ac:dyDescent="0.25">
      <c r="A67" s="3">
        <f t="shared" si="1"/>
        <v>1</v>
      </c>
      <c r="B67" s="3">
        <f>EDATE($B$3,Site!$I$34*(ROW(Tab_Compteur_2[[#This Row],[Début de période]])-3))</f>
        <v>0</v>
      </c>
      <c r="C67" s="184"/>
      <c r="D67" s="105"/>
      <c r="E67">
        <f t="shared" si="0"/>
        <v>0</v>
      </c>
      <c r="F67" t="str">
        <f>IFERROR(Tab_Compteur_2[[#This Row],[Quantité ]]/Tab_Compteur_2[[#This Row],[Delta Jour]],"")</f>
        <v/>
      </c>
      <c r="G67" t="str">
        <f>IFERROR(Tab_Compteur_2[[#This Row],[Montant TTC]]/Tab_Compteur_2[[#This Row],[Delta Jour]],"")</f>
        <v/>
      </c>
      <c r="H67" s="86"/>
      <c r="I67" s="86"/>
      <c r="J67" s="86"/>
      <c r="K67" s="86"/>
      <c r="L67" s="86"/>
    </row>
    <row r="68" spans="1:12" x14ac:dyDescent="0.25">
      <c r="A68" s="3">
        <f t="shared" si="1"/>
        <v>1</v>
      </c>
      <c r="B68" s="3">
        <f>EDATE($B$3,Site!$I$34*(ROW(Tab_Compteur_2[[#This Row],[Début de période]])-3))</f>
        <v>0</v>
      </c>
      <c r="C68" s="184"/>
      <c r="D68" s="105"/>
      <c r="E68">
        <f t="shared" ref="E68:E131" si="2">IFERROR(B68-A68+1,"")</f>
        <v>0</v>
      </c>
      <c r="F68" t="str">
        <f>IFERROR(Tab_Compteur_2[[#This Row],[Quantité ]]/Tab_Compteur_2[[#This Row],[Delta Jour]],"")</f>
        <v/>
      </c>
      <c r="G68" t="str">
        <f>IFERROR(Tab_Compteur_2[[#This Row],[Montant TTC]]/Tab_Compteur_2[[#This Row],[Delta Jour]],"")</f>
        <v/>
      </c>
      <c r="H68" s="86"/>
      <c r="I68" s="86"/>
      <c r="J68" s="86"/>
      <c r="K68" s="86"/>
      <c r="L68" s="86"/>
    </row>
    <row r="69" spans="1:12" x14ac:dyDescent="0.25">
      <c r="A69" s="3">
        <f t="shared" ref="A69:A132" si="3">B68+1</f>
        <v>1</v>
      </c>
      <c r="B69" s="3">
        <f>EDATE($B$3,Site!$I$34*(ROW(Tab_Compteur_2[[#This Row],[Début de période]])-3))</f>
        <v>0</v>
      </c>
      <c r="C69" s="184"/>
      <c r="D69" s="105"/>
      <c r="E69">
        <f t="shared" si="2"/>
        <v>0</v>
      </c>
      <c r="F69" t="str">
        <f>IFERROR(Tab_Compteur_2[[#This Row],[Quantité ]]/Tab_Compteur_2[[#This Row],[Delta Jour]],"")</f>
        <v/>
      </c>
      <c r="G69" t="str">
        <f>IFERROR(Tab_Compteur_2[[#This Row],[Montant TTC]]/Tab_Compteur_2[[#This Row],[Delta Jour]],"")</f>
        <v/>
      </c>
      <c r="H69" s="86"/>
      <c r="I69" s="86"/>
      <c r="J69" s="86"/>
      <c r="K69" s="86"/>
      <c r="L69" s="86"/>
    </row>
    <row r="70" spans="1:12" x14ac:dyDescent="0.25">
      <c r="A70" s="3">
        <f t="shared" si="3"/>
        <v>1</v>
      </c>
      <c r="B70" s="3">
        <f>EDATE($B$3,Site!$I$34*(ROW(Tab_Compteur_2[[#This Row],[Début de période]])-3))</f>
        <v>0</v>
      </c>
      <c r="C70" s="184"/>
      <c r="D70" s="105"/>
      <c r="E70">
        <f t="shared" si="2"/>
        <v>0</v>
      </c>
      <c r="F70" t="str">
        <f>IFERROR(Tab_Compteur_2[[#This Row],[Quantité ]]/Tab_Compteur_2[[#This Row],[Delta Jour]],"")</f>
        <v/>
      </c>
      <c r="G70" t="str">
        <f>IFERROR(Tab_Compteur_2[[#This Row],[Montant TTC]]/Tab_Compteur_2[[#This Row],[Delta Jour]],"")</f>
        <v/>
      </c>
      <c r="H70" s="86"/>
      <c r="I70" s="86"/>
      <c r="J70" s="86"/>
      <c r="K70" s="86"/>
      <c r="L70" s="86"/>
    </row>
    <row r="71" spans="1:12" x14ac:dyDescent="0.25">
      <c r="A71" s="3">
        <f t="shared" si="3"/>
        <v>1</v>
      </c>
      <c r="B71" s="3">
        <f>EDATE($B$3,Site!$I$34*(ROW(Tab_Compteur_2[[#This Row],[Début de période]])-3))</f>
        <v>0</v>
      </c>
      <c r="C71" s="184"/>
      <c r="D71" s="105"/>
      <c r="E71">
        <f t="shared" si="2"/>
        <v>0</v>
      </c>
      <c r="F71" t="str">
        <f>IFERROR(Tab_Compteur_2[[#This Row],[Quantité ]]/Tab_Compteur_2[[#This Row],[Delta Jour]],"")</f>
        <v/>
      </c>
      <c r="G71" t="str">
        <f>IFERROR(Tab_Compteur_2[[#This Row],[Montant TTC]]/Tab_Compteur_2[[#This Row],[Delta Jour]],"")</f>
        <v/>
      </c>
      <c r="H71" s="86"/>
      <c r="I71" s="86"/>
      <c r="J71" s="86"/>
      <c r="K71" s="86"/>
      <c r="L71" s="86"/>
    </row>
    <row r="72" spans="1:12" x14ac:dyDescent="0.25">
      <c r="A72" s="3">
        <f t="shared" si="3"/>
        <v>1</v>
      </c>
      <c r="B72" s="3">
        <f>EDATE($B$3,Site!$I$34*(ROW(Tab_Compteur_2[[#This Row],[Début de période]])-3))</f>
        <v>0</v>
      </c>
      <c r="C72" s="184"/>
      <c r="D72" s="105"/>
      <c r="E72">
        <f t="shared" si="2"/>
        <v>0</v>
      </c>
      <c r="F72" t="str">
        <f>IFERROR(Tab_Compteur_2[[#This Row],[Quantité ]]/Tab_Compteur_2[[#This Row],[Delta Jour]],"")</f>
        <v/>
      </c>
      <c r="G72" t="str">
        <f>IFERROR(Tab_Compteur_2[[#This Row],[Montant TTC]]/Tab_Compteur_2[[#This Row],[Delta Jour]],"")</f>
        <v/>
      </c>
      <c r="H72" s="86"/>
      <c r="I72" s="86"/>
      <c r="J72" s="86"/>
      <c r="K72" s="86"/>
      <c r="L72" s="86"/>
    </row>
    <row r="73" spans="1:12" x14ac:dyDescent="0.25">
      <c r="A73" s="3">
        <f t="shared" si="3"/>
        <v>1</v>
      </c>
      <c r="B73" s="3">
        <f>EDATE($B$3,Site!$I$34*(ROW(Tab_Compteur_2[[#This Row],[Début de période]])-3))</f>
        <v>0</v>
      </c>
      <c r="C73" s="184"/>
      <c r="D73" s="105"/>
      <c r="E73">
        <f t="shared" si="2"/>
        <v>0</v>
      </c>
      <c r="F73" t="str">
        <f>IFERROR(Tab_Compteur_2[[#This Row],[Quantité ]]/Tab_Compteur_2[[#This Row],[Delta Jour]],"")</f>
        <v/>
      </c>
      <c r="G73" t="str">
        <f>IFERROR(Tab_Compteur_2[[#This Row],[Montant TTC]]/Tab_Compteur_2[[#This Row],[Delta Jour]],"")</f>
        <v/>
      </c>
      <c r="H73" s="86"/>
      <c r="I73" s="86"/>
      <c r="J73" s="86"/>
      <c r="K73" s="86"/>
      <c r="L73" s="86"/>
    </row>
    <row r="74" spans="1:12" x14ac:dyDescent="0.25">
      <c r="A74" s="3">
        <f t="shared" si="3"/>
        <v>1</v>
      </c>
      <c r="B74" s="3">
        <f>EDATE($B$3,Site!$I$34*(ROW(Tab_Compteur_2[[#This Row],[Début de période]])-3))</f>
        <v>0</v>
      </c>
      <c r="C74" s="184"/>
      <c r="D74" s="105"/>
      <c r="E74">
        <f t="shared" si="2"/>
        <v>0</v>
      </c>
      <c r="F74" t="str">
        <f>IFERROR(Tab_Compteur_2[[#This Row],[Quantité ]]/Tab_Compteur_2[[#This Row],[Delta Jour]],"")</f>
        <v/>
      </c>
      <c r="G74" t="str">
        <f>IFERROR(Tab_Compteur_2[[#This Row],[Montant TTC]]/Tab_Compteur_2[[#This Row],[Delta Jour]],"")</f>
        <v/>
      </c>
      <c r="H74" s="86"/>
      <c r="I74" s="86"/>
      <c r="J74" s="86"/>
      <c r="K74" s="86"/>
      <c r="L74" s="86"/>
    </row>
    <row r="75" spans="1:12" x14ac:dyDescent="0.25">
      <c r="A75" s="3">
        <f t="shared" si="3"/>
        <v>1</v>
      </c>
      <c r="B75" s="3">
        <f>EDATE($B$3,Site!$I$34*(ROW(Tab_Compteur_2[[#This Row],[Début de période]])-3))</f>
        <v>0</v>
      </c>
      <c r="C75" s="184"/>
      <c r="D75" s="105"/>
      <c r="E75">
        <f t="shared" si="2"/>
        <v>0</v>
      </c>
      <c r="F75" t="str">
        <f>IFERROR(Tab_Compteur_2[[#This Row],[Quantité ]]/Tab_Compteur_2[[#This Row],[Delta Jour]],"")</f>
        <v/>
      </c>
      <c r="G75" t="str">
        <f>IFERROR(Tab_Compteur_2[[#This Row],[Montant TTC]]/Tab_Compteur_2[[#This Row],[Delta Jour]],"")</f>
        <v/>
      </c>
      <c r="H75" s="86"/>
      <c r="I75" s="86"/>
      <c r="J75" s="86"/>
      <c r="K75" s="86"/>
      <c r="L75" s="86"/>
    </row>
    <row r="76" spans="1:12" x14ac:dyDescent="0.25">
      <c r="A76" s="3">
        <f t="shared" si="3"/>
        <v>1</v>
      </c>
      <c r="B76" s="3">
        <f>EDATE($B$3,Site!$I$34*(ROW(Tab_Compteur_2[[#This Row],[Début de période]])-3))</f>
        <v>0</v>
      </c>
      <c r="C76" s="184"/>
      <c r="D76" s="105"/>
      <c r="E76">
        <f t="shared" si="2"/>
        <v>0</v>
      </c>
      <c r="F76" t="str">
        <f>IFERROR(Tab_Compteur_2[[#This Row],[Quantité ]]/Tab_Compteur_2[[#This Row],[Delta Jour]],"")</f>
        <v/>
      </c>
      <c r="G76" t="str">
        <f>IFERROR(Tab_Compteur_2[[#This Row],[Montant TTC]]/Tab_Compteur_2[[#This Row],[Delta Jour]],"")</f>
        <v/>
      </c>
      <c r="H76" s="86"/>
      <c r="I76" s="86"/>
      <c r="J76" s="86"/>
      <c r="K76" s="86"/>
      <c r="L76" s="86"/>
    </row>
    <row r="77" spans="1:12" x14ac:dyDescent="0.25">
      <c r="A77" s="3">
        <f t="shared" si="3"/>
        <v>1</v>
      </c>
      <c r="B77" s="3">
        <f>EDATE($B$3,Site!$I$34*(ROW(Tab_Compteur_2[[#This Row],[Début de période]])-3))</f>
        <v>0</v>
      </c>
      <c r="C77" s="184"/>
      <c r="D77" s="105"/>
      <c r="E77">
        <f t="shared" si="2"/>
        <v>0</v>
      </c>
      <c r="F77" t="str">
        <f>IFERROR(Tab_Compteur_2[[#This Row],[Quantité ]]/Tab_Compteur_2[[#This Row],[Delta Jour]],"")</f>
        <v/>
      </c>
      <c r="G77" t="str">
        <f>IFERROR(Tab_Compteur_2[[#This Row],[Montant TTC]]/Tab_Compteur_2[[#This Row],[Delta Jour]],"")</f>
        <v/>
      </c>
      <c r="H77" s="86"/>
      <c r="I77" s="86"/>
      <c r="J77" s="86"/>
      <c r="K77" s="86"/>
      <c r="L77" s="86"/>
    </row>
    <row r="78" spans="1:12" x14ac:dyDescent="0.25">
      <c r="A78" s="3">
        <f t="shared" si="3"/>
        <v>1</v>
      </c>
      <c r="B78" s="3">
        <f>EDATE($B$3,Site!$I$34*(ROW(Tab_Compteur_2[[#This Row],[Début de période]])-3))</f>
        <v>0</v>
      </c>
      <c r="C78" s="184"/>
      <c r="D78" s="105"/>
      <c r="E78">
        <f t="shared" si="2"/>
        <v>0</v>
      </c>
      <c r="F78" t="str">
        <f>IFERROR(Tab_Compteur_2[[#This Row],[Quantité ]]/Tab_Compteur_2[[#This Row],[Delta Jour]],"")</f>
        <v/>
      </c>
      <c r="G78" t="str">
        <f>IFERROR(Tab_Compteur_2[[#This Row],[Montant TTC]]/Tab_Compteur_2[[#This Row],[Delta Jour]],"")</f>
        <v/>
      </c>
      <c r="H78" s="86"/>
      <c r="I78" s="86"/>
      <c r="J78" s="86"/>
      <c r="K78" s="86"/>
      <c r="L78" s="86"/>
    </row>
    <row r="79" spans="1:12" x14ac:dyDescent="0.25">
      <c r="A79" s="3">
        <f t="shared" si="3"/>
        <v>1</v>
      </c>
      <c r="B79" s="3">
        <f>EDATE($B$3,Site!$I$34*(ROW(Tab_Compteur_2[[#This Row],[Début de période]])-3))</f>
        <v>0</v>
      </c>
      <c r="C79" s="184"/>
      <c r="D79" s="105"/>
      <c r="E79">
        <f t="shared" si="2"/>
        <v>0</v>
      </c>
      <c r="F79" t="str">
        <f>IFERROR(Tab_Compteur_2[[#This Row],[Quantité ]]/Tab_Compteur_2[[#This Row],[Delta Jour]],"")</f>
        <v/>
      </c>
      <c r="G79" t="str">
        <f>IFERROR(Tab_Compteur_2[[#This Row],[Montant TTC]]/Tab_Compteur_2[[#This Row],[Delta Jour]],"")</f>
        <v/>
      </c>
      <c r="H79" s="86"/>
      <c r="I79" s="86"/>
      <c r="J79" s="86"/>
      <c r="K79" s="86"/>
      <c r="L79" s="86"/>
    </row>
    <row r="80" spans="1:12" x14ac:dyDescent="0.25">
      <c r="A80" s="3">
        <f t="shared" si="3"/>
        <v>1</v>
      </c>
      <c r="B80" s="3">
        <f>EDATE($B$3,Site!$I$34*(ROW(Tab_Compteur_2[[#This Row],[Début de période]])-3))</f>
        <v>0</v>
      </c>
      <c r="C80" s="184"/>
      <c r="D80" s="105"/>
      <c r="E80">
        <f t="shared" si="2"/>
        <v>0</v>
      </c>
      <c r="F80" t="str">
        <f>IFERROR(Tab_Compteur_2[[#This Row],[Quantité ]]/Tab_Compteur_2[[#This Row],[Delta Jour]],"")</f>
        <v/>
      </c>
      <c r="G80" t="str">
        <f>IFERROR(Tab_Compteur_2[[#This Row],[Montant TTC]]/Tab_Compteur_2[[#This Row],[Delta Jour]],"")</f>
        <v/>
      </c>
      <c r="H80" s="86"/>
      <c r="I80" s="86"/>
      <c r="J80" s="86"/>
      <c r="K80" s="86"/>
      <c r="L80" s="86"/>
    </row>
    <row r="81" spans="1:12" x14ac:dyDescent="0.25">
      <c r="A81" s="3">
        <f t="shared" si="3"/>
        <v>1</v>
      </c>
      <c r="B81" s="3">
        <f>EDATE($B$3,Site!$I$34*(ROW(Tab_Compteur_2[[#This Row],[Début de période]])-3))</f>
        <v>0</v>
      </c>
      <c r="C81" s="184"/>
      <c r="D81" s="105"/>
      <c r="E81">
        <f t="shared" si="2"/>
        <v>0</v>
      </c>
      <c r="F81" t="str">
        <f>IFERROR(Tab_Compteur_2[[#This Row],[Quantité ]]/Tab_Compteur_2[[#This Row],[Delta Jour]],"")</f>
        <v/>
      </c>
      <c r="G81" t="str">
        <f>IFERROR(Tab_Compteur_2[[#This Row],[Montant TTC]]/Tab_Compteur_2[[#This Row],[Delta Jour]],"")</f>
        <v/>
      </c>
      <c r="H81" s="86"/>
      <c r="I81" s="86"/>
      <c r="J81" s="86"/>
      <c r="K81" s="86"/>
      <c r="L81" s="86"/>
    </row>
    <row r="82" spans="1:12" x14ac:dyDescent="0.25">
      <c r="A82" s="3">
        <f t="shared" si="3"/>
        <v>1</v>
      </c>
      <c r="B82" s="3">
        <f>EDATE($B$3,Site!$I$34*(ROW(Tab_Compteur_2[[#This Row],[Début de période]])-3))</f>
        <v>0</v>
      </c>
      <c r="C82" s="184"/>
      <c r="D82" s="105"/>
      <c r="E82">
        <f t="shared" si="2"/>
        <v>0</v>
      </c>
      <c r="F82" t="str">
        <f>IFERROR(Tab_Compteur_2[[#This Row],[Quantité ]]/Tab_Compteur_2[[#This Row],[Delta Jour]],"")</f>
        <v/>
      </c>
      <c r="G82" t="str">
        <f>IFERROR(Tab_Compteur_2[[#This Row],[Montant TTC]]/Tab_Compteur_2[[#This Row],[Delta Jour]],"")</f>
        <v/>
      </c>
      <c r="H82" s="86"/>
      <c r="I82" s="86"/>
      <c r="J82" s="86"/>
      <c r="K82" s="86"/>
      <c r="L82" s="86"/>
    </row>
    <row r="83" spans="1:12" x14ac:dyDescent="0.25">
      <c r="A83" s="3">
        <f t="shared" si="3"/>
        <v>1</v>
      </c>
      <c r="B83" s="3">
        <f>EDATE($B$3,Site!$I$34*(ROW(Tab_Compteur_2[[#This Row],[Début de période]])-3))</f>
        <v>0</v>
      </c>
      <c r="C83" s="184"/>
      <c r="D83" s="105"/>
      <c r="E83">
        <f t="shared" si="2"/>
        <v>0</v>
      </c>
      <c r="F83" t="str">
        <f>IFERROR(Tab_Compteur_2[[#This Row],[Quantité ]]/Tab_Compteur_2[[#This Row],[Delta Jour]],"")</f>
        <v/>
      </c>
      <c r="G83" t="str">
        <f>IFERROR(Tab_Compteur_2[[#This Row],[Montant TTC]]/Tab_Compteur_2[[#This Row],[Delta Jour]],"")</f>
        <v/>
      </c>
      <c r="H83" s="86"/>
      <c r="I83" s="86"/>
      <c r="J83" s="86"/>
      <c r="K83" s="86"/>
      <c r="L83" s="86"/>
    </row>
    <row r="84" spans="1:12" x14ac:dyDescent="0.25">
      <c r="A84" s="3">
        <f t="shared" si="3"/>
        <v>1</v>
      </c>
      <c r="B84" s="3">
        <f>EDATE($B$3,Site!$I$34*(ROW(Tab_Compteur_2[[#This Row],[Début de période]])-3))</f>
        <v>0</v>
      </c>
      <c r="C84" s="184"/>
      <c r="D84" s="105"/>
      <c r="E84">
        <f t="shared" si="2"/>
        <v>0</v>
      </c>
      <c r="F84" t="str">
        <f>IFERROR(Tab_Compteur_2[[#This Row],[Quantité ]]/Tab_Compteur_2[[#This Row],[Delta Jour]],"")</f>
        <v/>
      </c>
      <c r="G84" t="str">
        <f>IFERROR(Tab_Compteur_2[[#This Row],[Montant TTC]]/Tab_Compteur_2[[#This Row],[Delta Jour]],"")</f>
        <v/>
      </c>
      <c r="H84" s="86"/>
      <c r="I84" s="86"/>
      <c r="J84" s="86"/>
      <c r="K84" s="86"/>
      <c r="L84" s="86"/>
    </row>
    <row r="85" spans="1:12" x14ac:dyDescent="0.25">
      <c r="A85" s="3">
        <f t="shared" si="3"/>
        <v>1</v>
      </c>
      <c r="B85" s="3">
        <f>EDATE($B$3,Site!$I$34*(ROW(Tab_Compteur_2[[#This Row],[Début de période]])-3))</f>
        <v>0</v>
      </c>
      <c r="C85" s="184"/>
      <c r="D85" s="105"/>
      <c r="E85">
        <f t="shared" si="2"/>
        <v>0</v>
      </c>
      <c r="F85" t="str">
        <f>IFERROR(Tab_Compteur_2[[#This Row],[Quantité ]]/Tab_Compteur_2[[#This Row],[Delta Jour]],"")</f>
        <v/>
      </c>
      <c r="G85" t="str">
        <f>IFERROR(Tab_Compteur_2[[#This Row],[Montant TTC]]/Tab_Compteur_2[[#This Row],[Delta Jour]],"")</f>
        <v/>
      </c>
      <c r="H85" s="86"/>
      <c r="I85" s="86"/>
      <c r="J85" s="86"/>
      <c r="K85" s="86"/>
      <c r="L85" s="86"/>
    </row>
    <row r="86" spans="1:12" x14ac:dyDescent="0.25">
      <c r="A86" s="3">
        <f t="shared" si="3"/>
        <v>1</v>
      </c>
      <c r="B86" s="3">
        <f>EDATE($B$3,Site!$I$34*(ROW(Tab_Compteur_2[[#This Row],[Début de période]])-3))</f>
        <v>0</v>
      </c>
      <c r="C86" s="184"/>
      <c r="D86" s="105"/>
      <c r="E86">
        <f t="shared" si="2"/>
        <v>0</v>
      </c>
      <c r="F86" t="str">
        <f>IFERROR(Tab_Compteur_2[[#This Row],[Quantité ]]/Tab_Compteur_2[[#This Row],[Delta Jour]],"")</f>
        <v/>
      </c>
      <c r="G86" t="str">
        <f>IFERROR(Tab_Compteur_2[[#This Row],[Montant TTC]]/Tab_Compteur_2[[#This Row],[Delta Jour]],"")</f>
        <v/>
      </c>
      <c r="H86" s="86"/>
      <c r="I86" s="86"/>
      <c r="J86" s="86"/>
      <c r="K86" s="86"/>
      <c r="L86" s="86"/>
    </row>
    <row r="87" spans="1:12" x14ac:dyDescent="0.25">
      <c r="A87" s="3">
        <f t="shared" si="3"/>
        <v>1</v>
      </c>
      <c r="B87" s="3">
        <f>EDATE($B$3,Site!$I$34*(ROW(Tab_Compteur_2[[#This Row],[Début de période]])-3))</f>
        <v>0</v>
      </c>
      <c r="C87" s="184"/>
      <c r="D87" s="105"/>
      <c r="E87">
        <f t="shared" si="2"/>
        <v>0</v>
      </c>
      <c r="F87" t="str">
        <f>IFERROR(Tab_Compteur_2[[#This Row],[Quantité ]]/Tab_Compteur_2[[#This Row],[Delta Jour]],"")</f>
        <v/>
      </c>
      <c r="G87" t="str">
        <f>IFERROR(Tab_Compteur_2[[#This Row],[Montant TTC]]/Tab_Compteur_2[[#This Row],[Delta Jour]],"")</f>
        <v/>
      </c>
      <c r="H87" s="86"/>
      <c r="I87" s="86"/>
      <c r="J87" s="86"/>
      <c r="K87" s="86"/>
      <c r="L87" s="86"/>
    </row>
    <row r="88" spans="1:12" x14ac:dyDescent="0.25">
      <c r="A88" s="3">
        <f t="shared" si="3"/>
        <v>1</v>
      </c>
      <c r="B88" s="3">
        <f>EDATE($B$3,Site!$I$34*(ROW(Tab_Compteur_2[[#This Row],[Début de période]])-3))</f>
        <v>0</v>
      </c>
      <c r="C88" s="184"/>
      <c r="D88" s="105"/>
      <c r="E88">
        <f t="shared" si="2"/>
        <v>0</v>
      </c>
      <c r="F88" t="str">
        <f>IFERROR(Tab_Compteur_2[[#This Row],[Quantité ]]/Tab_Compteur_2[[#This Row],[Delta Jour]],"")</f>
        <v/>
      </c>
      <c r="G88" t="str">
        <f>IFERROR(Tab_Compteur_2[[#This Row],[Montant TTC]]/Tab_Compteur_2[[#This Row],[Delta Jour]],"")</f>
        <v/>
      </c>
      <c r="H88" s="86"/>
      <c r="I88" s="86"/>
      <c r="J88" s="86"/>
      <c r="K88" s="86"/>
      <c r="L88" s="86"/>
    </row>
    <row r="89" spans="1:12" x14ac:dyDescent="0.25">
      <c r="A89" s="3">
        <f t="shared" si="3"/>
        <v>1</v>
      </c>
      <c r="B89" s="3">
        <f>EDATE($B$3,Site!$I$34*(ROW(Tab_Compteur_2[[#This Row],[Début de période]])-3))</f>
        <v>0</v>
      </c>
      <c r="C89" s="184"/>
      <c r="D89" s="105"/>
      <c r="E89">
        <f t="shared" si="2"/>
        <v>0</v>
      </c>
      <c r="F89" t="str">
        <f>IFERROR(Tab_Compteur_2[[#This Row],[Quantité ]]/Tab_Compteur_2[[#This Row],[Delta Jour]],"")</f>
        <v/>
      </c>
      <c r="G89" t="str">
        <f>IFERROR(Tab_Compteur_2[[#This Row],[Montant TTC]]/Tab_Compteur_2[[#This Row],[Delta Jour]],"")</f>
        <v/>
      </c>
      <c r="H89" s="86"/>
      <c r="I89" s="86"/>
      <c r="J89" s="86"/>
      <c r="K89" s="86"/>
      <c r="L89" s="86"/>
    </row>
    <row r="90" spans="1:12" x14ac:dyDescent="0.25">
      <c r="A90" s="3">
        <f t="shared" si="3"/>
        <v>1</v>
      </c>
      <c r="B90" s="3">
        <f>EDATE($B$3,Site!$I$34*(ROW(Tab_Compteur_2[[#This Row],[Début de période]])-3))</f>
        <v>0</v>
      </c>
      <c r="C90" s="184"/>
      <c r="D90" s="105"/>
      <c r="E90">
        <f t="shared" si="2"/>
        <v>0</v>
      </c>
      <c r="F90" t="str">
        <f>IFERROR(Tab_Compteur_2[[#This Row],[Quantité ]]/Tab_Compteur_2[[#This Row],[Delta Jour]],"")</f>
        <v/>
      </c>
      <c r="G90" t="str">
        <f>IFERROR(Tab_Compteur_2[[#This Row],[Montant TTC]]/Tab_Compteur_2[[#This Row],[Delta Jour]],"")</f>
        <v/>
      </c>
      <c r="H90" s="86"/>
      <c r="I90" s="86"/>
      <c r="J90" s="86"/>
      <c r="K90" s="86"/>
      <c r="L90" s="86"/>
    </row>
    <row r="91" spans="1:12" x14ac:dyDescent="0.25">
      <c r="A91" s="3">
        <f t="shared" si="3"/>
        <v>1</v>
      </c>
      <c r="B91" s="3">
        <f>EDATE($B$3,Site!$I$34*(ROW(Tab_Compteur_2[[#This Row],[Début de période]])-3))</f>
        <v>0</v>
      </c>
      <c r="C91" s="184"/>
      <c r="D91" s="105"/>
      <c r="E91">
        <f t="shared" si="2"/>
        <v>0</v>
      </c>
      <c r="F91" t="str">
        <f>IFERROR(Tab_Compteur_2[[#This Row],[Quantité ]]/Tab_Compteur_2[[#This Row],[Delta Jour]],"")</f>
        <v/>
      </c>
      <c r="G91" t="str">
        <f>IFERROR(Tab_Compteur_2[[#This Row],[Montant TTC]]/Tab_Compteur_2[[#This Row],[Delta Jour]],"")</f>
        <v/>
      </c>
      <c r="H91" s="86"/>
      <c r="I91" s="86"/>
      <c r="J91" s="86"/>
      <c r="K91" s="86"/>
      <c r="L91" s="86"/>
    </row>
    <row r="92" spans="1:12" x14ac:dyDescent="0.25">
      <c r="A92" s="3">
        <f t="shared" si="3"/>
        <v>1</v>
      </c>
      <c r="B92" s="3">
        <f>EDATE($B$3,Site!$I$34*(ROW(Tab_Compteur_2[[#This Row],[Début de période]])-3))</f>
        <v>0</v>
      </c>
      <c r="C92" s="184"/>
      <c r="D92" s="105"/>
      <c r="E92">
        <f t="shared" si="2"/>
        <v>0</v>
      </c>
      <c r="F92" t="str">
        <f>IFERROR(Tab_Compteur_2[[#This Row],[Quantité ]]/Tab_Compteur_2[[#This Row],[Delta Jour]],"")</f>
        <v/>
      </c>
      <c r="G92" t="str">
        <f>IFERROR(Tab_Compteur_2[[#This Row],[Montant TTC]]/Tab_Compteur_2[[#This Row],[Delta Jour]],"")</f>
        <v/>
      </c>
      <c r="H92" s="86"/>
      <c r="I92" s="86"/>
      <c r="J92" s="86"/>
      <c r="K92" s="86"/>
      <c r="L92" s="86"/>
    </row>
    <row r="93" spans="1:12" x14ac:dyDescent="0.25">
      <c r="A93" s="3">
        <f t="shared" si="3"/>
        <v>1</v>
      </c>
      <c r="B93" s="3">
        <f>EDATE($B$3,Site!$I$34*(ROW(Tab_Compteur_2[[#This Row],[Début de période]])-3))</f>
        <v>0</v>
      </c>
      <c r="C93" s="184"/>
      <c r="D93" s="105"/>
      <c r="E93">
        <f t="shared" si="2"/>
        <v>0</v>
      </c>
      <c r="F93" t="str">
        <f>IFERROR(Tab_Compteur_2[[#This Row],[Quantité ]]/Tab_Compteur_2[[#This Row],[Delta Jour]],"")</f>
        <v/>
      </c>
      <c r="G93" t="str">
        <f>IFERROR(Tab_Compteur_2[[#This Row],[Montant TTC]]/Tab_Compteur_2[[#This Row],[Delta Jour]],"")</f>
        <v/>
      </c>
      <c r="H93" s="86"/>
      <c r="I93" s="86"/>
      <c r="J93" s="86"/>
      <c r="K93" s="86"/>
      <c r="L93" s="86"/>
    </row>
    <row r="94" spans="1:12" x14ac:dyDescent="0.25">
      <c r="A94" s="3">
        <f t="shared" si="3"/>
        <v>1</v>
      </c>
      <c r="B94" s="3">
        <f>EDATE($B$3,Site!$I$34*(ROW(Tab_Compteur_2[[#This Row],[Début de période]])-3))</f>
        <v>0</v>
      </c>
      <c r="C94" s="184"/>
      <c r="D94" s="105"/>
      <c r="E94">
        <f t="shared" si="2"/>
        <v>0</v>
      </c>
      <c r="F94" t="str">
        <f>IFERROR(Tab_Compteur_2[[#This Row],[Quantité ]]/Tab_Compteur_2[[#This Row],[Delta Jour]],"")</f>
        <v/>
      </c>
      <c r="G94" t="str">
        <f>IFERROR(Tab_Compteur_2[[#This Row],[Montant TTC]]/Tab_Compteur_2[[#This Row],[Delta Jour]],"")</f>
        <v/>
      </c>
      <c r="H94" s="86"/>
      <c r="I94" s="86"/>
      <c r="J94" s="86"/>
      <c r="K94" s="86"/>
      <c r="L94" s="86"/>
    </row>
    <row r="95" spans="1:12" x14ac:dyDescent="0.25">
      <c r="A95" s="3">
        <f t="shared" si="3"/>
        <v>1</v>
      </c>
      <c r="B95" s="3">
        <f>EDATE($B$3,Site!$I$34*(ROW(Tab_Compteur_2[[#This Row],[Début de période]])-3))</f>
        <v>0</v>
      </c>
      <c r="C95" s="184"/>
      <c r="D95" s="105"/>
      <c r="E95">
        <f t="shared" si="2"/>
        <v>0</v>
      </c>
      <c r="F95" t="str">
        <f>IFERROR(Tab_Compteur_2[[#This Row],[Quantité ]]/Tab_Compteur_2[[#This Row],[Delta Jour]],"")</f>
        <v/>
      </c>
      <c r="G95" t="str">
        <f>IFERROR(Tab_Compteur_2[[#This Row],[Montant TTC]]/Tab_Compteur_2[[#This Row],[Delta Jour]],"")</f>
        <v/>
      </c>
      <c r="H95" s="86"/>
      <c r="I95" s="86"/>
      <c r="J95" s="86"/>
      <c r="K95" s="86"/>
      <c r="L95" s="86"/>
    </row>
    <row r="96" spans="1:12" x14ac:dyDescent="0.25">
      <c r="A96" s="3">
        <f t="shared" si="3"/>
        <v>1</v>
      </c>
      <c r="B96" s="3">
        <f>EDATE($B$3,Site!$I$34*(ROW(Tab_Compteur_2[[#This Row],[Début de période]])-3))</f>
        <v>0</v>
      </c>
      <c r="C96" s="184"/>
      <c r="D96" s="105"/>
      <c r="E96">
        <f t="shared" si="2"/>
        <v>0</v>
      </c>
      <c r="F96" t="str">
        <f>IFERROR(Tab_Compteur_2[[#This Row],[Quantité ]]/Tab_Compteur_2[[#This Row],[Delta Jour]],"")</f>
        <v/>
      </c>
      <c r="G96" t="str">
        <f>IFERROR(Tab_Compteur_2[[#This Row],[Montant TTC]]/Tab_Compteur_2[[#This Row],[Delta Jour]],"")</f>
        <v/>
      </c>
      <c r="H96" s="86"/>
      <c r="I96" s="86"/>
      <c r="J96" s="86"/>
      <c r="K96" s="86"/>
      <c r="L96" s="86"/>
    </row>
    <row r="97" spans="1:12" x14ac:dyDescent="0.25">
      <c r="A97" s="3">
        <f t="shared" si="3"/>
        <v>1</v>
      </c>
      <c r="B97" s="3">
        <f>EDATE($B$3,Site!$I$34*(ROW(Tab_Compteur_2[[#This Row],[Début de période]])-3))</f>
        <v>0</v>
      </c>
      <c r="C97" s="184"/>
      <c r="D97" s="105"/>
      <c r="E97">
        <f t="shared" si="2"/>
        <v>0</v>
      </c>
      <c r="F97" t="str">
        <f>IFERROR(Tab_Compteur_2[[#This Row],[Quantité ]]/Tab_Compteur_2[[#This Row],[Delta Jour]],"")</f>
        <v/>
      </c>
      <c r="G97" t="str">
        <f>IFERROR(Tab_Compteur_2[[#This Row],[Montant TTC]]/Tab_Compteur_2[[#This Row],[Delta Jour]],"")</f>
        <v/>
      </c>
      <c r="H97" s="86"/>
      <c r="I97" s="86"/>
      <c r="J97" s="86"/>
      <c r="K97" s="86"/>
      <c r="L97" s="86"/>
    </row>
    <row r="98" spans="1:12" x14ac:dyDescent="0.25">
      <c r="A98" s="3">
        <f t="shared" si="3"/>
        <v>1</v>
      </c>
      <c r="B98" s="3">
        <f>EDATE($B$3,Site!$I$34*(ROW(Tab_Compteur_2[[#This Row],[Début de période]])-3))</f>
        <v>0</v>
      </c>
      <c r="C98" s="184"/>
      <c r="D98" s="105"/>
      <c r="E98">
        <f t="shared" si="2"/>
        <v>0</v>
      </c>
      <c r="F98" t="str">
        <f>IFERROR(Tab_Compteur_2[[#This Row],[Quantité ]]/Tab_Compteur_2[[#This Row],[Delta Jour]],"")</f>
        <v/>
      </c>
      <c r="G98" t="str">
        <f>IFERROR(Tab_Compteur_2[[#This Row],[Montant TTC]]/Tab_Compteur_2[[#This Row],[Delta Jour]],"")</f>
        <v/>
      </c>
      <c r="H98" s="86"/>
      <c r="I98" s="86"/>
      <c r="J98" s="86"/>
      <c r="K98" s="86"/>
      <c r="L98" s="86"/>
    </row>
    <row r="99" spans="1:12" x14ac:dyDescent="0.25">
      <c r="A99" s="3">
        <f t="shared" si="3"/>
        <v>1</v>
      </c>
      <c r="B99" s="3">
        <f>EDATE($B$3,Site!$I$34*(ROW(Tab_Compteur_2[[#This Row],[Début de période]])-3))</f>
        <v>0</v>
      </c>
      <c r="C99" s="184"/>
      <c r="D99" s="105"/>
      <c r="E99">
        <f t="shared" si="2"/>
        <v>0</v>
      </c>
      <c r="F99" t="str">
        <f>IFERROR(Tab_Compteur_2[[#This Row],[Quantité ]]/Tab_Compteur_2[[#This Row],[Delta Jour]],"")</f>
        <v/>
      </c>
      <c r="G99" t="str">
        <f>IFERROR(Tab_Compteur_2[[#This Row],[Montant TTC]]/Tab_Compteur_2[[#This Row],[Delta Jour]],"")</f>
        <v/>
      </c>
      <c r="H99" s="86"/>
      <c r="I99" s="86"/>
      <c r="J99" s="86"/>
      <c r="K99" s="86"/>
      <c r="L99" s="86"/>
    </row>
    <row r="100" spans="1:12" x14ac:dyDescent="0.25">
      <c r="A100" s="3">
        <f t="shared" si="3"/>
        <v>1</v>
      </c>
      <c r="B100" s="3">
        <f>EDATE($B$3,Site!$I$34*(ROW(Tab_Compteur_2[[#This Row],[Début de période]])-3))</f>
        <v>0</v>
      </c>
      <c r="C100" s="184"/>
      <c r="D100" s="105"/>
      <c r="E100">
        <f t="shared" si="2"/>
        <v>0</v>
      </c>
      <c r="F100" t="str">
        <f>IFERROR(Tab_Compteur_2[[#This Row],[Quantité ]]/Tab_Compteur_2[[#This Row],[Delta Jour]],"")</f>
        <v/>
      </c>
      <c r="G100" t="str">
        <f>IFERROR(Tab_Compteur_2[[#This Row],[Montant TTC]]/Tab_Compteur_2[[#This Row],[Delta Jour]],"")</f>
        <v/>
      </c>
      <c r="H100" s="86"/>
      <c r="I100" s="86"/>
      <c r="J100" s="86"/>
      <c r="K100" s="86"/>
      <c r="L100" s="86"/>
    </row>
    <row r="101" spans="1:12" x14ac:dyDescent="0.25">
      <c r="A101" s="3">
        <f t="shared" si="3"/>
        <v>1</v>
      </c>
      <c r="B101" s="3">
        <f>EDATE($B$3,Site!$I$34*(ROW(Tab_Compteur_2[[#This Row],[Début de période]])-3))</f>
        <v>0</v>
      </c>
      <c r="C101" s="184"/>
      <c r="D101" s="105"/>
      <c r="E101">
        <f t="shared" si="2"/>
        <v>0</v>
      </c>
      <c r="F101" t="str">
        <f>IFERROR(Tab_Compteur_2[[#This Row],[Quantité ]]/Tab_Compteur_2[[#This Row],[Delta Jour]],"")</f>
        <v/>
      </c>
      <c r="G101" t="str">
        <f>IFERROR(Tab_Compteur_2[[#This Row],[Montant TTC]]/Tab_Compteur_2[[#This Row],[Delta Jour]],"")</f>
        <v/>
      </c>
      <c r="H101" s="86"/>
      <c r="I101" s="86"/>
      <c r="J101" s="86"/>
      <c r="K101" s="86"/>
      <c r="L101" s="86"/>
    </row>
    <row r="102" spans="1:12" x14ac:dyDescent="0.25">
      <c r="A102" s="3">
        <f t="shared" si="3"/>
        <v>1</v>
      </c>
      <c r="B102" s="3">
        <f>EDATE($B$3,Site!$I$34*(ROW(Tab_Compteur_2[[#This Row],[Début de période]])-3))</f>
        <v>0</v>
      </c>
      <c r="C102" s="184"/>
      <c r="D102" s="105"/>
      <c r="E102">
        <f t="shared" si="2"/>
        <v>0</v>
      </c>
      <c r="F102" t="str">
        <f>IFERROR(Tab_Compteur_2[[#This Row],[Quantité ]]/Tab_Compteur_2[[#This Row],[Delta Jour]],"")</f>
        <v/>
      </c>
      <c r="G102" t="str">
        <f>IFERROR(Tab_Compteur_2[[#This Row],[Montant TTC]]/Tab_Compteur_2[[#This Row],[Delta Jour]],"")</f>
        <v/>
      </c>
      <c r="H102" s="86"/>
      <c r="I102" s="86"/>
      <c r="J102" s="86"/>
      <c r="K102" s="86"/>
      <c r="L102" s="86"/>
    </row>
    <row r="103" spans="1:12" x14ac:dyDescent="0.25">
      <c r="A103" s="3">
        <f t="shared" si="3"/>
        <v>1</v>
      </c>
      <c r="B103" s="3">
        <f>EDATE($B$3,Site!$I$34*(ROW(Tab_Compteur_2[[#This Row],[Début de période]])-3))</f>
        <v>0</v>
      </c>
      <c r="C103" s="184"/>
      <c r="D103" s="105"/>
      <c r="E103">
        <f t="shared" si="2"/>
        <v>0</v>
      </c>
      <c r="F103" t="str">
        <f>IFERROR(Tab_Compteur_2[[#This Row],[Quantité ]]/Tab_Compteur_2[[#This Row],[Delta Jour]],"")</f>
        <v/>
      </c>
      <c r="G103" t="str">
        <f>IFERROR(Tab_Compteur_2[[#This Row],[Montant TTC]]/Tab_Compteur_2[[#This Row],[Delta Jour]],"")</f>
        <v/>
      </c>
      <c r="H103" s="86"/>
      <c r="I103" s="86"/>
      <c r="J103" s="86"/>
      <c r="K103" s="86"/>
      <c r="L103" s="86"/>
    </row>
    <row r="104" spans="1:12" x14ac:dyDescent="0.25">
      <c r="A104" s="3">
        <f t="shared" si="3"/>
        <v>1</v>
      </c>
      <c r="B104" s="3">
        <f>EDATE($B$3,Site!$I$34*(ROW(Tab_Compteur_2[[#This Row],[Début de période]])-3))</f>
        <v>0</v>
      </c>
      <c r="C104" s="184"/>
      <c r="D104" s="105"/>
      <c r="E104">
        <f t="shared" si="2"/>
        <v>0</v>
      </c>
      <c r="F104" t="str">
        <f>IFERROR(Tab_Compteur_2[[#This Row],[Quantité ]]/Tab_Compteur_2[[#This Row],[Delta Jour]],"")</f>
        <v/>
      </c>
      <c r="G104" t="str">
        <f>IFERROR(Tab_Compteur_2[[#This Row],[Montant TTC]]/Tab_Compteur_2[[#This Row],[Delta Jour]],"")</f>
        <v/>
      </c>
      <c r="H104" s="86"/>
      <c r="I104" s="86"/>
      <c r="J104" s="86"/>
      <c r="K104" s="86"/>
      <c r="L104" s="86"/>
    </row>
    <row r="105" spans="1:12" x14ac:dyDescent="0.25">
      <c r="A105" s="3">
        <f t="shared" si="3"/>
        <v>1</v>
      </c>
      <c r="B105" s="3">
        <f>EDATE($B$3,Site!$I$34*(ROW(Tab_Compteur_2[[#This Row],[Début de période]])-3))</f>
        <v>0</v>
      </c>
      <c r="C105" s="184"/>
      <c r="D105" s="105"/>
      <c r="E105">
        <f t="shared" si="2"/>
        <v>0</v>
      </c>
      <c r="F105" t="str">
        <f>IFERROR(Tab_Compteur_2[[#This Row],[Quantité ]]/Tab_Compteur_2[[#This Row],[Delta Jour]],"")</f>
        <v/>
      </c>
      <c r="G105" t="str">
        <f>IFERROR(Tab_Compteur_2[[#This Row],[Montant TTC]]/Tab_Compteur_2[[#This Row],[Delta Jour]],"")</f>
        <v/>
      </c>
      <c r="H105" s="86"/>
      <c r="I105" s="86"/>
      <c r="J105" s="86"/>
      <c r="K105" s="86"/>
      <c r="L105" s="86"/>
    </row>
    <row r="106" spans="1:12" x14ac:dyDescent="0.25">
      <c r="A106" s="3">
        <f t="shared" si="3"/>
        <v>1</v>
      </c>
      <c r="B106" s="3">
        <f>EDATE($B$3,Site!$I$34*(ROW(Tab_Compteur_2[[#This Row],[Début de période]])-3))</f>
        <v>0</v>
      </c>
      <c r="C106" s="184"/>
      <c r="D106" s="105"/>
      <c r="E106">
        <f t="shared" si="2"/>
        <v>0</v>
      </c>
      <c r="F106" t="str">
        <f>IFERROR(Tab_Compteur_2[[#This Row],[Quantité ]]/Tab_Compteur_2[[#This Row],[Delta Jour]],"")</f>
        <v/>
      </c>
      <c r="G106" t="str">
        <f>IFERROR(Tab_Compteur_2[[#This Row],[Montant TTC]]/Tab_Compteur_2[[#This Row],[Delta Jour]],"")</f>
        <v/>
      </c>
      <c r="H106" s="86"/>
      <c r="I106" s="86"/>
      <c r="J106" s="86"/>
      <c r="K106" s="86"/>
      <c r="L106" s="86"/>
    </row>
    <row r="107" spans="1:12" x14ac:dyDescent="0.25">
      <c r="A107" s="3">
        <f t="shared" si="3"/>
        <v>1</v>
      </c>
      <c r="B107" s="3">
        <f>EDATE($B$3,Site!$I$34*(ROW(Tab_Compteur_2[[#This Row],[Début de période]])-3))</f>
        <v>0</v>
      </c>
      <c r="C107" s="184"/>
      <c r="D107" s="105"/>
      <c r="E107">
        <f t="shared" si="2"/>
        <v>0</v>
      </c>
      <c r="F107" t="str">
        <f>IFERROR(Tab_Compteur_2[[#This Row],[Quantité ]]/Tab_Compteur_2[[#This Row],[Delta Jour]],"")</f>
        <v/>
      </c>
      <c r="G107" t="str">
        <f>IFERROR(Tab_Compteur_2[[#This Row],[Montant TTC]]/Tab_Compteur_2[[#This Row],[Delta Jour]],"")</f>
        <v/>
      </c>
      <c r="H107" s="86"/>
      <c r="I107" s="86"/>
      <c r="J107" s="86"/>
      <c r="K107" s="86"/>
      <c r="L107" s="86"/>
    </row>
    <row r="108" spans="1:12" x14ac:dyDescent="0.25">
      <c r="A108" s="3">
        <f t="shared" si="3"/>
        <v>1</v>
      </c>
      <c r="B108" s="3">
        <f>EDATE($B$3,Site!$I$34*(ROW(Tab_Compteur_2[[#This Row],[Début de période]])-3))</f>
        <v>0</v>
      </c>
      <c r="C108" s="184"/>
      <c r="D108" s="105"/>
      <c r="E108">
        <f t="shared" si="2"/>
        <v>0</v>
      </c>
      <c r="F108" t="str">
        <f>IFERROR(Tab_Compteur_2[[#This Row],[Quantité ]]/Tab_Compteur_2[[#This Row],[Delta Jour]],"")</f>
        <v/>
      </c>
      <c r="G108" t="str">
        <f>IFERROR(Tab_Compteur_2[[#This Row],[Montant TTC]]/Tab_Compteur_2[[#This Row],[Delta Jour]],"")</f>
        <v/>
      </c>
      <c r="H108" s="86"/>
      <c r="I108" s="86"/>
      <c r="J108" s="86"/>
      <c r="K108" s="86"/>
      <c r="L108" s="86"/>
    </row>
    <row r="109" spans="1:12" x14ac:dyDescent="0.25">
      <c r="A109" s="3">
        <f t="shared" si="3"/>
        <v>1</v>
      </c>
      <c r="B109" s="3">
        <f>EDATE($B$3,Site!$I$34*(ROW(Tab_Compteur_2[[#This Row],[Début de période]])-3))</f>
        <v>0</v>
      </c>
      <c r="C109" s="184"/>
      <c r="D109" s="105"/>
      <c r="E109">
        <f t="shared" si="2"/>
        <v>0</v>
      </c>
      <c r="F109" t="str">
        <f>IFERROR(Tab_Compteur_2[[#This Row],[Quantité ]]/Tab_Compteur_2[[#This Row],[Delta Jour]],"")</f>
        <v/>
      </c>
      <c r="G109" t="str">
        <f>IFERROR(Tab_Compteur_2[[#This Row],[Montant TTC]]/Tab_Compteur_2[[#This Row],[Delta Jour]],"")</f>
        <v/>
      </c>
      <c r="H109" s="86"/>
      <c r="I109" s="86"/>
      <c r="J109" s="86"/>
      <c r="K109" s="86"/>
      <c r="L109" s="86"/>
    </row>
    <row r="110" spans="1:12" x14ac:dyDescent="0.25">
      <c r="A110" s="3">
        <f t="shared" si="3"/>
        <v>1</v>
      </c>
      <c r="B110" s="3">
        <f>EDATE($B$3,Site!$I$34*(ROW(Tab_Compteur_2[[#This Row],[Début de période]])-3))</f>
        <v>0</v>
      </c>
      <c r="C110" s="184"/>
      <c r="D110" s="105"/>
      <c r="E110">
        <f t="shared" si="2"/>
        <v>0</v>
      </c>
      <c r="F110" t="str">
        <f>IFERROR(Tab_Compteur_2[[#This Row],[Quantité ]]/Tab_Compteur_2[[#This Row],[Delta Jour]],"")</f>
        <v/>
      </c>
      <c r="G110" t="str">
        <f>IFERROR(Tab_Compteur_2[[#This Row],[Montant TTC]]/Tab_Compteur_2[[#This Row],[Delta Jour]],"")</f>
        <v/>
      </c>
      <c r="H110" s="86"/>
      <c r="I110" s="86"/>
      <c r="J110" s="86"/>
      <c r="K110" s="86"/>
      <c r="L110" s="86"/>
    </row>
    <row r="111" spans="1:12" x14ac:dyDescent="0.25">
      <c r="A111" s="3">
        <f t="shared" si="3"/>
        <v>1</v>
      </c>
      <c r="B111" s="3">
        <f>EDATE($B$3,Site!$I$34*(ROW(Tab_Compteur_2[[#This Row],[Début de période]])-3))</f>
        <v>0</v>
      </c>
      <c r="C111" s="184"/>
      <c r="D111" s="105"/>
      <c r="E111">
        <f t="shared" si="2"/>
        <v>0</v>
      </c>
      <c r="F111" t="str">
        <f>IFERROR(Tab_Compteur_2[[#This Row],[Quantité ]]/Tab_Compteur_2[[#This Row],[Delta Jour]],"")</f>
        <v/>
      </c>
      <c r="G111" t="str">
        <f>IFERROR(Tab_Compteur_2[[#This Row],[Montant TTC]]/Tab_Compteur_2[[#This Row],[Delta Jour]],"")</f>
        <v/>
      </c>
      <c r="H111" s="86"/>
      <c r="I111" s="86"/>
      <c r="J111" s="86"/>
      <c r="K111" s="86"/>
      <c r="L111" s="86"/>
    </row>
    <row r="112" spans="1:12" x14ac:dyDescent="0.25">
      <c r="A112" s="3">
        <f t="shared" si="3"/>
        <v>1</v>
      </c>
      <c r="B112" s="3">
        <f>EDATE($B$3,Site!$I$34*(ROW(Tab_Compteur_2[[#This Row],[Début de période]])-3))</f>
        <v>0</v>
      </c>
      <c r="C112" s="184"/>
      <c r="D112" s="105"/>
      <c r="E112">
        <f t="shared" si="2"/>
        <v>0</v>
      </c>
      <c r="F112" t="str">
        <f>IFERROR(Tab_Compteur_2[[#This Row],[Quantité ]]/Tab_Compteur_2[[#This Row],[Delta Jour]],"")</f>
        <v/>
      </c>
      <c r="G112" t="str">
        <f>IFERROR(Tab_Compteur_2[[#This Row],[Montant TTC]]/Tab_Compteur_2[[#This Row],[Delta Jour]],"")</f>
        <v/>
      </c>
      <c r="H112" s="86"/>
      <c r="I112" s="86"/>
      <c r="J112" s="86"/>
      <c r="K112" s="86"/>
      <c r="L112" s="86"/>
    </row>
    <row r="113" spans="1:12" x14ac:dyDescent="0.25">
      <c r="A113" s="3">
        <f t="shared" si="3"/>
        <v>1</v>
      </c>
      <c r="B113" s="3">
        <f>EDATE($B$3,Site!$I$34*(ROW(Tab_Compteur_2[[#This Row],[Début de période]])-3))</f>
        <v>0</v>
      </c>
      <c r="C113" s="184"/>
      <c r="D113" s="105"/>
      <c r="E113">
        <f t="shared" si="2"/>
        <v>0</v>
      </c>
      <c r="F113" t="str">
        <f>IFERROR(Tab_Compteur_2[[#This Row],[Quantité ]]/Tab_Compteur_2[[#This Row],[Delta Jour]],"")</f>
        <v/>
      </c>
      <c r="G113" t="str">
        <f>IFERROR(Tab_Compteur_2[[#This Row],[Montant TTC]]/Tab_Compteur_2[[#This Row],[Delta Jour]],"")</f>
        <v/>
      </c>
      <c r="H113" s="86"/>
      <c r="I113" s="86"/>
      <c r="J113" s="86"/>
      <c r="K113" s="86"/>
      <c r="L113" s="86"/>
    </row>
    <row r="114" spans="1:12" x14ac:dyDescent="0.25">
      <c r="A114" s="3">
        <f t="shared" si="3"/>
        <v>1</v>
      </c>
      <c r="B114" s="3">
        <f>EDATE($B$3,Site!$I$34*(ROW(Tab_Compteur_2[[#This Row],[Début de période]])-3))</f>
        <v>0</v>
      </c>
      <c r="C114" s="184"/>
      <c r="D114" s="105"/>
      <c r="E114">
        <f t="shared" si="2"/>
        <v>0</v>
      </c>
      <c r="F114" t="str">
        <f>IFERROR(Tab_Compteur_2[[#This Row],[Quantité ]]/Tab_Compteur_2[[#This Row],[Delta Jour]],"")</f>
        <v/>
      </c>
      <c r="G114" t="str">
        <f>IFERROR(Tab_Compteur_2[[#This Row],[Montant TTC]]/Tab_Compteur_2[[#This Row],[Delta Jour]],"")</f>
        <v/>
      </c>
      <c r="H114" s="86"/>
      <c r="I114" s="86"/>
      <c r="J114" s="86"/>
      <c r="K114" s="86"/>
      <c r="L114" s="86"/>
    </row>
    <row r="115" spans="1:12" x14ac:dyDescent="0.25">
      <c r="A115" s="3">
        <f t="shared" si="3"/>
        <v>1</v>
      </c>
      <c r="B115" s="3">
        <f>EDATE($B$3,Site!$I$34*(ROW(Tab_Compteur_2[[#This Row],[Début de période]])-3))</f>
        <v>0</v>
      </c>
      <c r="C115" s="184"/>
      <c r="D115" s="105"/>
      <c r="E115">
        <f t="shared" si="2"/>
        <v>0</v>
      </c>
      <c r="F115" t="str">
        <f>IFERROR(Tab_Compteur_2[[#This Row],[Quantité ]]/Tab_Compteur_2[[#This Row],[Delta Jour]],"")</f>
        <v/>
      </c>
      <c r="G115" t="str">
        <f>IFERROR(Tab_Compteur_2[[#This Row],[Montant TTC]]/Tab_Compteur_2[[#This Row],[Delta Jour]],"")</f>
        <v/>
      </c>
      <c r="H115" s="86"/>
      <c r="I115" s="86"/>
      <c r="J115" s="86"/>
      <c r="K115" s="86"/>
      <c r="L115" s="86"/>
    </row>
    <row r="116" spans="1:12" x14ac:dyDescent="0.25">
      <c r="A116" s="3">
        <f t="shared" si="3"/>
        <v>1</v>
      </c>
      <c r="B116" s="3">
        <f>EDATE($B$3,Site!$I$34*(ROW(Tab_Compteur_2[[#This Row],[Début de période]])-3))</f>
        <v>0</v>
      </c>
      <c r="C116" s="184"/>
      <c r="D116" s="105"/>
      <c r="E116">
        <f t="shared" si="2"/>
        <v>0</v>
      </c>
      <c r="F116" t="str">
        <f>IFERROR(Tab_Compteur_2[[#This Row],[Quantité ]]/Tab_Compteur_2[[#This Row],[Delta Jour]],"")</f>
        <v/>
      </c>
      <c r="G116" t="str">
        <f>IFERROR(Tab_Compteur_2[[#This Row],[Montant TTC]]/Tab_Compteur_2[[#This Row],[Delta Jour]],"")</f>
        <v/>
      </c>
      <c r="H116" s="86"/>
      <c r="I116" s="86"/>
      <c r="J116" s="86"/>
      <c r="K116" s="86"/>
      <c r="L116" s="86"/>
    </row>
    <row r="117" spans="1:12" x14ac:dyDescent="0.25">
      <c r="A117" s="3">
        <f t="shared" si="3"/>
        <v>1</v>
      </c>
      <c r="B117" s="3">
        <f>EDATE($B$3,Site!$I$34*(ROW(Tab_Compteur_2[[#This Row],[Début de période]])-3))</f>
        <v>0</v>
      </c>
      <c r="C117" s="184"/>
      <c r="D117" s="105"/>
      <c r="E117">
        <f t="shared" si="2"/>
        <v>0</v>
      </c>
      <c r="F117" t="str">
        <f>IFERROR(Tab_Compteur_2[[#This Row],[Quantité ]]/Tab_Compteur_2[[#This Row],[Delta Jour]],"")</f>
        <v/>
      </c>
      <c r="G117" t="str">
        <f>IFERROR(Tab_Compteur_2[[#This Row],[Montant TTC]]/Tab_Compteur_2[[#This Row],[Delta Jour]],"")</f>
        <v/>
      </c>
      <c r="H117" s="86"/>
      <c r="I117" s="86"/>
      <c r="J117" s="86"/>
      <c r="K117" s="86"/>
      <c r="L117" s="86"/>
    </row>
    <row r="118" spans="1:12" x14ac:dyDescent="0.25">
      <c r="A118" s="3">
        <f t="shared" si="3"/>
        <v>1</v>
      </c>
      <c r="B118" s="3">
        <f>EDATE($B$3,Site!$I$34*(ROW(Tab_Compteur_2[[#This Row],[Début de période]])-3))</f>
        <v>0</v>
      </c>
      <c r="C118" s="184"/>
      <c r="D118" s="105"/>
      <c r="E118">
        <f t="shared" si="2"/>
        <v>0</v>
      </c>
      <c r="F118" t="str">
        <f>IFERROR(Tab_Compteur_2[[#This Row],[Quantité ]]/Tab_Compteur_2[[#This Row],[Delta Jour]],"")</f>
        <v/>
      </c>
      <c r="G118" t="str">
        <f>IFERROR(Tab_Compteur_2[[#This Row],[Montant TTC]]/Tab_Compteur_2[[#This Row],[Delta Jour]],"")</f>
        <v/>
      </c>
      <c r="H118" s="86"/>
      <c r="I118" s="86"/>
      <c r="J118" s="86"/>
      <c r="K118" s="86"/>
      <c r="L118" s="86"/>
    </row>
    <row r="119" spans="1:12" x14ac:dyDescent="0.25">
      <c r="A119" s="3">
        <f t="shared" si="3"/>
        <v>1</v>
      </c>
      <c r="B119" s="3">
        <f>EDATE($B$3,Site!$I$34*(ROW(Tab_Compteur_2[[#This Row],[Début de période]])-3))</f>
        <v>0</v>
      </c>
      <c r="C119" s="184"/>
      <c r="D119" s="105"/>
      <c r="E119">
        <f t="shared" si="2"/>
        <v>0</v>
      </c>
      <c r="F119" t="str">
        <f>IFERROR(Tab_Compteur_2[[#This Row],[Quantité ]]/Tab_Compteur_2[[#This Row],[Delta Jour]],"")</f>
        <v/>
      </c>
      <c r="G119" t="str">
        <f>IFERROR(Tab_Compteur_2[[#This Row],[Montant TTC]]/Tab_Compteur_2[[#This Row],[Delta Jour]],"")</f>
        <v/>
      </c>
      <c r="H119" s="86"/>
      <c r="I119" s="86"/>
      <c r="J119" s="86"/>
      <c r="K119" s="86"/>
      <c r="L119" s="86"/>
    </row>
    <row r="120" spans="1:12" x14ac:dyDescent="0.25">
      <c r="A120" s="3">
        <f t="shared" si="3"/>
        <v>1</v>
      </c>
      <c r="B120" s="3">
        <f>EDATE($B$3,Site!$I$34*(ROW(Tab_Compteur_2[[#This Row],[Début de période]])-3))</f>
        <v>0</v>
      </c>
      <c r="C120" s="184"/>
      <c r="D120" s="105"/>
      <c r="E120">
        <f t="shared" si="2"/>
        <v>0</v>
      </c>
      <c r="F120" t="str">
        <f>IFERROR(Tab_Compteur_2[[#This Row],[Quantité ]]/Tab_Compteur_2[[#This Row],[Delta Jour]],"")</f>
        <v/>
      </c>
      <c r="G120" t="str">
        <f>IFERROR(Tab_Compteur_2[[#This Row],[Montant TTC]]/Tab_Compteur_2[[#This Row],[Delta Jour]],"")</f>
        <v/>
      </c>
      <c r="H120" s="86"/>
      <c r="I120" s="86"/>
      <c r="J120" s="86"/>
      <c r="K120" s="86"/>
      <c r="L120" s="86"/>
    </row>
    <row r="121" spans="1:12" x14ac:dyDescent="0.25">
      <c r="A121" s="3">
        <f t="shared" si="3"/>
        <v>1</v>
      </c>
      <c r="B121" s="3">
        <f>EDATE($B$3,Site!$I$34*(ROW(Tab_Compteur_2[[#This Row],[Début de période]])-3))</f>
        <v>0</v>
      </c>
      <c r="C121" s="184"/>
      <c r="D121" s="105"/>
      <c r="E121">
        <f t="shared" si="2"/>
        <v>0</v>
      </c>
      <c r="F121" t="str">
        <f>IFERROR(Tab_Compteur_2[[#This Row],[Quantité ]]/Tab_Compteur_2[[#This Row],[Delta Jour]],"")</f>
        <v/>
      </c>
      <c r="G121" t="str">
        <f>IFERROR(Tab_Compteur_2[[#This Row],[Montant TTC]]/Tab_Compteur_2[[#This Row],[Delta Jour]],"")</f>
        <v/>
      </c>
      <c r="H121" s="86"/>
      <c r="I121" s="86"/>
      <c r="J121" s="86"/>
      <c r="K121" s="86"/>
      <c r="L121" s="86"/>
    </row>
    <row r="122" spans="1:12" x14ac:dyDescent="0.25">
      <c r="A122" s="3">
        <f t="shared" si="3"/>
        <v>1</v>
      </c>
      <c r="B122" s="3">
        <f>EDATE($B$3,Site!$I$34*(ROW(Tab_Compteur_2[[#This Row],[Début de période]])-3))</f>
        <v>0</v>
      </c>
      <c r="C122" s="184"/>
      <c r="D122" s="105"/>
      <c r="E122">
        <f t="shared" si="2"/>
        <v>0</v>
      </c>
      <c r="F122" t="str">
        <f>IFERROR(Tab_Compteur_2[[#This Row],[Quantité ]]/Tab_Compteur_2[[#This Row],[Delta Jour]],"")</f>
        <v/>
      </c>
      <c r="G122" t="str">
        <f>IFERROR(Tab_Compteur_2[[#This Row],[Montant TTC]]/Tab_Compteur_2[[#This Row],[Delta Jour]],"")</f>
        <v/>
      </c>
      <c r="H122" s="86"/>
      <c r="I122" s="86"/>
      <c r="J122" s="86"/>
      <c r="K122" s="86"/>
      <c r="L122" s="86"/>
    </row>
    <row r="123" spans="1:12" x14ac:dyDescent="0.25">
      <c r="A123" s="3">
        <f t="shared" si="3"/>
        <v>1</v>
      </c>
      <c r="B123" s="3">
        <f>EDATE($B$3,Site!$I$34*(ROW(Tab_Compteur_2[[#This Row],[Début de période]])-3))</f>
        <v>0</v>
      </c>
      <c r="C123" s="184"/>
      <c r="D123" s="105"/>
      <c r="E123">
        <f t="shared" si="2"/>
        <v>0</v>
      </c>
      <c r="F123" t="str">
        <f>IFERROR(Tab_Compteur_2[[#This Row],[Quantité ]]/Tab_Compteur_2[[#This Row],[Delta Jour]],"")</f>
        <v/>
      </c>
      <c r="G123" t="str">
        <f>IFERROR(Tab_Compteur_2[[#This Row],[Montant TTC]]/Tab_Compteur_2[[#This Row],[Delta Jour]],"")</f>
        <v/>
      </c>
      <c r="H123" s="86"/>
      <c r="I123" s="86"/>
      <c r="J123" s="86"/>
      <c r="K123" s="86"/>
      <c r="L123" s="86"/>
    </row>
    <row r="124" spans="1:12" x14ac:dyDescent="0.25">
      <c r="A124" s="3">
        <f t="shared" si="3"/>
        <v>1</v>
      </c>
      <c r="B124" s="3">
        <f>EDATE($B$3,Site!$I$34*(ROW(Tab_Compteur_2[[#This Row],[Début de période]])-3))</f>
        <v>0</v>
      </c>
      <c r="C124" s="184"/>
      <c r="D124" s="105"/>
      <c r="E124">
        <f t="shared" si="2"/>
        <v>0</v>
      </c>
      <c r="F124" t="str">
        <f>IFERROR(Tab_Compteur_2[[#This Row],[Quantité ]]/Tab_Compteur_2[[#This Row],[Delta Jour]],"")</f>
        <v/>
      </c>
      <c r="G124" t="str">
        <f>IFERROR(Tab_Compteur_2[[#This Row],[Montant TTC]]/Tab_Compteur_2[[#This Row],[Delta Jour]],"")</f>
        <v/>
      </c>
      <c r="H124" s="86"/>
      <c r="I124" s="86"/>
      <c r="J124" s="86"/>
      <c r="K124" s="86"/>
      <c r="L124" s="86"/>
    </row>
    <row r="125" spans="1:12" x14ac:dyDescent="0.25">
      <c r="A125" s="3">
        <f t="shared" si="3"/>
        <v>1</v>
      </c>
      <c r="B125" s="3">
        <f>EDATE($B$3,Site!$I$34*(ROW(Tab_Compteur_2[[#This Row],[Début de période]])-3))</f>
        <v>0</v>
      </c>
      <c r="C125" s="184"/>
      <c r="D125" s="105"/>
      <c r="E125">
        <f t="shared" si="2"/>
        <v>0</v>
      </c>
      <c r="F125" t="str">
        <f>IFERROR(Tab_Compteur_2[[#This Row],[Quantité ]]/Tab_Compteur_2[[#This Row],[Delta Jour]],"")</f>
        <v/>
      </c>
      <c r="G125" t="str">
        <f>IFERROR(Tab_Compteur_2[[#This Row],[Montant TTC]]/Tab_Compteur_2[[#This Row],[Delta Jour]],"")</f>
        <v/>
      </c>
      <c r="H125" s="86"/>
      <c r="I125" s="86"/>
      <c r="J125" s="86"/>
      <c r="K125" s="86"/>
      <c r="L125" s="86"/>
    </row>
    <row r="126" spans="1:12" x14ac:dyDescent="0.25">
      <c r="A126" s="3">
        <f t="shared" si="3"/>
        <v>1</v>
      </c>
      <c r="B126" s="3">
        <f>EDATE($B$3,Site!$I$34*(ROW(Tab_Compteur_2[[#This Row],[Début de période]])-3))</f>
        <v>0</v>
      </c>
      <c r="C126" s="184"/>
      <c r="D126" s="105"/>
      <c r="E126">
        <f t="shared" si="2"/>
        <v>0</v>
      </c>
      <c r="F126" t="str">
        <f>IFERROR(Tab_Compteur_2[[#This Row],[Quantité ]]/Tab_Compteur_2[[#This Row],[Delta Jour]],"")</f>
        <v/>
      </c>
      <c r="G126" t="str">
        <f>IFERROR(Tab_Compteur_2[[#This Row],[Montant TTC]]/Tab_Compteur_2[[#This Row],[Delta Jour]],"")</f>
        <v/>
      </c>
      <c r="H126" s="86"/>
      <c r="I126" s="86"/>
      <c r="J126" s="86"/>
      <c r="K126" s="86"/>
      <c r="L126" s="86"/>
    </row>
    <row r="127" spans="1:12" x14ac:dyDescent="0.25">
      <c r="A127" s="3">
        <f t="shared" si="3"/>
        <v>1</v>
      </c>
      <c r="B127" s="3">
        <f>EDATE($B$3,Site!$I$34*(ROW(Tab_Compteur_2[[#This Row],[Début de période]])-3))</f>
        <v>0</v>
      </c>
      <c r="C127" s="184"/>
      <c r="D127" s="105"/>
      <c r="E127">
        <f t="shared" si="2"/>
        <v>0</v>
      </c>
      <c r="F127" t="str">
        <f>IFERROR(Tab_Compteur_2[[#This Row],[Quantité ]]/Tab_Compteur_2[[#This Row],[Delta Jour]],"")</f>
        <v/>
      </c>
      <c r="G127" t="str">
        <f>IFERROR(Tab_Compteur_2[[#This Row],[Montant TTC]]/Tab_Compteur_2[[#This Row],[Delta Jour]],"")</f>
        <v/>
      </c>
      <c r="H127" s="86"/>
      <c r="I127" s="86"/>
      <c r="J127" s="86"/>
      <c r="K127" s="86"/>
      <c r="L127" s="86"/>
    </row>
    <row r="128" spans="1:12" x14ac:dyDescent="0.25">
      <c r="A128" s="3">
        <f t="shared" si="3"/>
        <v>1</v>
      </c>
      <c r="B128" s="3">
        <f>EDATE($B$3,Site!$I$34*(ROW(Tab_Compteur_2[[#This Row],[Début de période]])-3))</f>
        <v>0</v>
      </c>
      <c r="C128" s="184"/>
      <c r="D128" s="105"/>
      <c r="E128">
        <f t="shared" si="2"/>
        <v>0</v>
      </c>
      <c r="F128" t="str">
        <f>IFERROR(Tab_Compteur_2[[#This Row],[Quantité ]]/Tab_Compteur_2[[#This Row],[Delta Jour]],"")</f>
        <v/>
      </c>
      <c r="G128" t="str">
        <f>IFERROR(Tab_Compteur_2[[#This Row],[Montant TTC]]/Tab_Compteur_2[[#This Row],[Delta Jour]],"")</f>
        <v/>
      </c>
      <c r="H128" s="86"/>
      <c r="I128" s="86"/>
      <c r="J128" s="86"/>
      <c r="K128" s="86"/>
      <c r="L128" s="86"/>
    </row>
    <row r="129" spans="1:12" x14ac:dyDescent="0.25">
      <c r="A129" s="3">
        <f t="shared" si="3"/>
        <v>1</v>
      </c>
      <c r="B129" s="3">
        <f>EDATE($B$3,Site!$I$34*(ROW(Tab_Compteur_2[[#This Row],[Début de période]])-3))</f>
        <v>0</v>
      </c>
      <c r="C129" s="184"/>
      <c r="D129" s="105"/>
      <c r="E129">
        <f t="shared" si="2"/>
        <v>0</v>
      </c>
      <c r="F129" t="str">
        <f>IFERROR(Tab_Compteur_2[[#This Row],[Quantité ]]/Tab_Compteur_2[[#This Row],[Delta Jour]],"")</f>
        <v/>
      </c>
      <c r="G129" t="str">
        <f>IFERROR(Tab_Compteur_2[[#This Row],[Montant TTC]]/Tab_Compteur_2[[#This Row],[Delta Jour]],"")</f>
        <v/>
      </c>
      <c r="H129" s="86"/>
      <c r="I129" s="86"/>
      <c r="J129" s="86"/>
      <c r="K129" s="86"/>
      <c r="L129" s="86"/>
    </row>
    <row r="130" spans="1:12" x14ac:dyDescent="0.25">
      <c r="A130" s="3">
        <f t="shared" si="3"/>
        <v>1</v>
      </c>
      <c r="B130" s="3">
        <f>EDATE($B$3,Site!$I$34*(ROW(Tab_Compteur_2[[#This Row],[Début de période]])-3))</f>
        <v>0</v>
      </c>
      <c r="C130" s="184"/>
      <c r="D130" s="105"/>
      <c r="E130">
        <f t="shared" si="2"/>
        <v>0</v>
      </c>
      <c r="F130" t="str">
        <f>IFERROR(Tab_Compteur_2[[#This Row],[Quantité ]]/Tab_Compteur_2[[#This Row],[Delta Jour]],"")</f>
        <v/>
      </c>
      <c r="G130" t="str">
        <f>IFERROR(Tab_Compteur_2[[#This Row],[Montant TTC]]/Tab_Compteur_2[[#This Row],[Delta Jour]],"")</f>
        <v/>
      </c>
      <c r="H130" s="86"/>
      <c r="I130" s="86"/>
      <c r="J130" s="86"/>
      <c r="K130" s="86"/>
      <c r="L130" s="86"/>
    </row>
    <row r="131" spans="1:12" x14ac:dyDescent="0.25">
      <c r="A131" s="3">
        <f t="shared" si="3"/>
        <v>1</v>
      </c>
      <c r="B131" s="3">
        <f>EDATE($B$3,Site!$I$34*(ROW(Tab_Compteur_2[[#This Row],[Début de période]])-3))</f>
        <v>0</v>
      </c>
      <c r="C131" s="184"/>
      <c r="D131" s="105"/>
      <c r="E131">
        <f t="shared" si="2"/>
        <v>0</v>
      </c>
      <c r="F131" t="str">
        <f>IFERROR(Tab_Compteur_2[[#This Row],[Quantité ]]/Tab_Compteur_2[[#This Row],[Delta Jour]],"")</f>
        <v/>
      </c>
      <c r="G131" t="str">
        <f>IFERROR(Tab_Compteur_2[[#This Row],[Montant TTC]]/Tab_Compteur_2[[#This Row],[Delta Jour]],"")</f>
        <v/>
      </c>
      <c r="H131" s="86"/>
      <c r="I131" s="86"/>
      <c r="J131" s="86"/>
      <c r="K131" s="86"/>
      <c r="L131" s="86"/>
    </row>
    <row r="132" spans="1:12" x14ac:dyDescent="0.25">
      <c r="A132" s="3">
        <f t="shared" si="3"/>
        <v>1</v>
      </c>
      <c r="B132" s="3">
        <f>EDATE($B$3,Site!$I$34*(ROW(Tab_Compteur_2[[#This Row],[Début de période]])-3))</f>
        <v>0</v>
      </c>
      <c r="C132" s="184"/>
      <c r="D132" s="105"/>
      <c r="E132">
        <f t="shared" ref="E132:E195" si="4">IFERROR(B132-A132+1,"")</f>
        <v>0</v>
      </c>
      <c r="F132" t="str">
        <f>IFERROR(Tab_Compteur_2[[#This Row],[Quantité ]]/Tab_Compteur_2[[#This Row],[Delta Jour]],"")</f>
        <v/>
      </c>
      <c r="G132" t="str">
        <f>IFERROR(Tab_Compteur_2[[#This Row],[Montant TTC]]/Tab_Compteur_2[[#This Row],[Delta Jour]],"")</f>
        <v/>
      </c>
      <c r="H132" s="86"/>
      <c r="I132" s="86"/>
      <c r="J132" s="86"/>
      <c r="K132" s="86"/>
      <c r="L132" s="86"/>
    </row>
    <row r="133" spans="1:12" x14ac:dyDescent="0.25">
      <c r="A133" s="3">
        <f t="shared" ref="A133:A196" si="5">B132+1</f>
        <v>1</v>
      </c>
      <c r="B133" s="3">
        <f>EDATE($B$3,Site!$I$34*(ROW(Tab_Compteur_2[[#This Row],[Début de période]])-3))</f>
        <v>0</v>
      </c>
      <c r="C133" s="184"/>
      <c r="D133" s="105"/>
      <c r="E133">
        <f t="shared" si="4"/>
        <v>0</v>
      </c>
      <c r="F133" t="str">
        <f>IFERROR(Tab_Compteur_2[[#This Row],[Quantité ]]/Tab_Compteur_2[[#This Row],[Delta Jour]],"")</f>
        <v/>
      </c>
      <c r="G133" t="str">
        <f>IFERROR(Tab_Compteur_2[[#This Row],[Montant TTC]]/Tab_Compteur_2[[#This Row],[Delta Jour]],"")</f>
        <v/>
      </c>
      <c r="H133" s="86"/>
      <c r="I133" s="86"/>
      <c r="J133" s="86"/>
      <c r="K133" s="86"/>
      <c r="L133" s="86"/>
    </row>
    <row r="134" spans="1:12" x14ac:dyDescent="0.25">
      <c r="A134" s="3">
        <f t="shared" si="5"/>
        <v>1</v>
      </c>
      <c r="B134" s="3">
        <f>EDATE($B$3,Site!$I$34*(ROW(Tab_Compteur_2[[#This Row],[Début de période]])-3))</f>
        <v>0</v>
      </c>
      <c r="C134" s="184"/>
      <c r="D134" s="105"/>
      <c r="E134">
        <f t="shared" si="4"/>
        <v>0</v>
      </c>
      <c r="F134" t="str">
        <f>IFERROR(Tab_Compteur_2[[#This Row],[Quantité ]]/Tab_Compteur_2[[#This Row],[Delta Jour]],"")</f>
        <v/>
      </c>
      <c r="G134" t="str">
        <f>IFERROR(Tab_Compteur_2[[#This Row],[Montant TTC]]/Tab_Compteur_2[[#This Row],[Delta Jour]],"")</f>
        <v/>
      </c>
      <c r="H134" s="86"/>
      <c r="I134" s="86"/>
      <c r="J134" s="86"/>
      <c r="K134" s="86"/>
      <c r="L134" s="86"/>
    </row>
    <row r="135" spans="1:12" x14ac:dyDescent="0.25">
      <c r="A135" s="3">
        <f t="shared" si="5"/>
        <v>1</v>
      </c>
      <c r="B135" s="3">
        <f>EDATE($B$3,Site!$I$34*(ROW(Tab_Compteur_2[[#This Row],[Début de période]])-3))</f>
        <v>0</v>
      </c>
      <c r="C135" s="184"/>
      <c r="D135" s="105"/>
      <c r="E135">
        <f t="shared" si="4"/>
        <v>0</v>
      </c>
      <c r="F135" t="str">
        <f>IFERROR(Tab_Compteur_2[[#This Row],[Quantité ]]/Tab_Compteur_2[[#This Row],[Delta Jour]],"")</f>
        <v/>
      </c>
      <c r="G135" t="str">
        <f>IFERROR(Tab_Compteur_2[[#This Row],[Montant TTC]]/Tab_Compteur_2[[#This Row],[Delta Jour]],"")</f>
        <v/>
      </c>
      <c r="H135" s="86"/>
      <c r="I135" s="86"/>
      <c r="J135" s="86"/>
      <c r="K135" s="86"/>
      <c r="L135" s="86"/>
    </row>
    <row r="136" spans="1:12" x14ac:dyDescent="0.25">
      <c r="A136" s="3">
        <f t="shared" si="5"/>
        <v>1</v>
      </c>
      <c r="B136" s="3">
        <f>EDATE($B$3,Site!$I$34*(ROW(Tab_Compteur_2[[#This Row],[Début de période]])-3))</f>
        <v>0</v>
      </c>
      <c r="C136" s="184"/>
      <c r="D136" s="105"/>
      <c r="E136">
        <f t="shared" si="4"/>
        <v>0</v>
      </c>
      <c r="F136" t="str">
        <f>IFERROR(Tab_Compteur_2[[#This Row],[Quantité ]]/Tab_Compteur_2[[#This Row],[Delta Jour]],"")</f>
        <v/>
      </c>
      <c r="G136" t="str">
        <f>IFERROR(Tab_Compteur_2[[#This Row],[Montant TTC]]/Tab_Compteur_2[[#This Row],[Delta Jour]],"")</f>
        <v/>
      </c>
      <c r="H136" s="86"/>
      <c r="I136" s="86"/>
      <c r="J136" s="86"/>
      <c r="K136" s="86"/>
      <c r="L136" s="86"/>
    </row>
    <row r="137" spans="1:12" x14ac:dyDescent="0.25">
      <c r="A137" s="3">
        <f t="shared" si="5"/>
        <v>1</v>
      </c>
      <c r="B137" s="3">
        <f>EDATE($B$3,Site!$I$34*(ROW(Tab_Compteur_2[[#This Row],[Début de période]])-3))</f>
        <v>0</v>
      </c>
      <c r="C137" s="184"/>
      <c r="D137" s="105"/>
      <c r="E137">
        <f t="shared" si="4"/>
        <v>0</v>
      </c>
      <c r="F137" t="str">
        <f>IFERROR(Tab_Compteur_2[[#This Row],[Quantité ]]/Tab_Compteur_2[[#This Row],[Delta Jour]],"")</f>
        <v/>
      </c>
      <c r="G137" t="str">
        <f>IFERROR(Tab_Compteur_2[[#This Row],[Montant TTC]]/Tab_Compteur_2[[#This Row],[Delta Jour]],"")</f>
        <v/>
      </c>
      <c r="H137" s="86"/>
      <c r="I137" s="86"/>
      <c r="J137" s="86"/>
      <c r="K137" s="86"/>
      <c r="L137" s="86"/>
    </row>
    <row r="138" spans="1:12" x14ac:dyDescent="0.25">
      <c r="A138" s="3">
        <f t="shared" si="5"/>
        <v>1</v>
      </c>
      <c r="B138" s="3">
        <f>EDATE($B$3,Site!$I$34*(ROW(Tab_Compteur_2[[#This Row],[Début de période]])-3))</f>
        <v>0</v>
      </c>
      <c r="C138" s="184"/>
      <c r="D138" s="105"/>
      <c r="E138">
        <f t="shared" si="4"/>
        <v>0</v>
      </c>
      <c r="F138" t="str">
        <f>IFERROR(Tab_Compteur_2[[#This Row],[Quantité ]]/Tab_Compteur_2[[#This Row],[Delta Jour]],"")</f>
        <v/>
      </c>
      <c r="G138" t="str">
        <f>IFERROR(Tab_Compteur_2[[#This Row],[Montant TTC]]/Tab_Compteur_2[[#This Row],[Delta Jour]],"")</f>
        <v/>
      </c>
      <c r="H138" s="86"/>
      <c r="I138" s="86"/>
      <c r="J138" s="86"/>
      <c r="K138" s="86"/>
      <c r="L138" s="86"/>
    </row>
    <row r="139" spans="1:12" x14ac:dyDescent="0.25">
      <c r="A139" s="101">
        <f t="shared" si="5"/>
        <v>1</v>
      </c>
      <c r="B139" s="3">
        <f>EDATE($B$3,Site!$I$34*(ROW(Tab_Compteur_2[[#This Row],[Début de période]])-3))</f>
        <v>0</v>
      </c>
      <c r="C139" s="184"/>
      <c r="D139" s="105"/>
      <c r="E139">
        <f t="shared" si="4"/>
        <v>0</v>
      </c>
      <c r="F139" t="str">
        <f>IFERROR(Tab_Compteur_2[[#This Row],[Quantité ]]/Tab_Compteur_2[[#This Row],[Delta Jour]],"")</f>
        <v/>
      </c>
      <c r="G139" t="str">
        <f>IFERROR(Tab_Compteur_2[[#This Row],[Montant TTC]]/Tab_Compteur_2[[#This Row],[Delta Jour]],"")</f>
        <v/>
      </c>
      <c r="H139" s="86"/>
      <c r="I139" s="86"/>
      <c r="J139" s="86"/>
      <c r="K139" s="86"/>
      <c r="L139" s="86"/>
    </row>
    <row r="140" spans="1:12" x14ac:dyDescent="0.25">
      <c r="A140" s="101">
        <f t="shared" si="5"/>
        <v>1</v>
      </c>
      <c r="B140" s="3">
        <f>EDATE($B$3,Site!$I$34*(ROW(Tab_Compteur_2[[#This Row],[Début de période]])-3))</f>
        <v>0</v>
      </c>
      <c r="C140" s="184"/>
      <c r="D140" s="105"/>
      <c r="E140">
        <f t="shared" si="4"/>
        <v>0</v>
      </c>
      <c r="F140" t="str">
        <f>IFERROR(Tab_Compteur_2[[#This Row],[Quantité ]]/Tab_Compteur_2[[#This Row],[Delta Jour]],"")</f>
        <v/>
      </c>
      <c r="G140" t="str">
        <f>IFERROR(Tab_Compteur_2[[#This Row],[Montant TTC]]/Tab_Compteur_2[[#This Row],[Delta Jour]],"")</f>
        <v/>
      </c>
      <c r="H140" s="86"/>
      <c r="I140" s="86"/>
      <c r="J140" s="86"/>
      <c r="K140" s="86"/>
      <c r="L140" s="86"/>
    </row>
    <row r="141" spans="1:12" x14ac:dyDescent="0.25">
      <c r="A141" s="101">
        <f t="shared" si="5"/>
        <v>1</v>
      </c>
      <c r="B141" s="3">
        <f>EDATE($B$3,Site!$I$34*(ROW(Tab_Compteur_2[[#This Row],[Début de période]])-3))</f>
        <v>0</v>
      </c>
      <c r="C141" s="184"/>
      <c r="D141" s="105"/>
      <c r="E141">
        <f t="shared" si="4"/>
        <v>0</v>
      </c>
      <c r="F141" t="str">
        <f>IFERROR(Tab_Compteur_2[[#This Row],[Quantité ]]/Tab_Compteur_2[[#This Row],[Delta Jour]],"")</f>
        <v/>
      </c>
      <c r="G141" t="str">
        <f>IFERROR(Tab_Compteur_2[[#This Row],[Montant TTC]]/Tab_Compteur_2[[#This Row],[Delta Jour]],"")</f>
        <v/>
      </c>
      <c r="H141" s="86"/>
      <c r="I141" s="86"/>
      <c r="J141" s="86"/>
      <c r="K141" s="86"/>
      <c r="L141" s="86"/>
    </row>
    <row r="142" spans="1:12" x14ac:dyDescent="0.25">
      <c r="A142" s="101">
        <f t="shared" si="5"/>
        <v>1</v>
      </c>
      <c r="B142" s="3">
        <f>EDATE($B$3,Site!$I$34*(ROW(Tab_Compteur_2[[#This Row],[Début de période]])-3))</f>
        <v>0</v>
      </c>
      <c r="C142" s="184"/>
      <c r="D142" s="105"/>
      <c r="E142">
        <f t="shared" si="4"/>
        <v>0</v>
      </c>
      <c r="F142" t="str">
        <f>IFERROR(Tab_Compteur_2[[#This Row],[Quantité ]]/Tab_Compteur_2[[#This Row],[Delta Jour]],"")</f>
        <v/>
      </c>
      <c r="G142" t="str">
        <f>IFERROR(Tab_Compteur_2[[#This Row],[Montant TTC]]/Tab_Compteur_2[[#This Row],[Delta Jour]],"")</f>
        <v/>
      </c>
      <c r="H142" s="86"/>
      <c r="I142" s="86"/>
      <c r="J142" s="86"/>
      <c r="K142" s="86"/>
      <c r="L142" s="86"/>
    </row>
    <row r="143" spans="1:12" x14ac:dyDescent="0.25">
      <c r="A143" s="101">
        <f t="shared" si="5"/>
        <v>1</v>
      </c>
      <c r="B143" s="3">
        <f>EDATE($B$3,Site!$I$34*(ROW(Tab_Compteur_2[[#This Row],[Début de période]])-3))</f>
        <v>0</v>
      </c>
      <c r="C143" s="184"/>
      <c r="D143" s="105"/>
      <c r="E143">
        <f t="shared" si="4"/>
        <v>0</v>
      </c>
      <c r="F143" t="str">
        <f>IFERROR(Tab_Compteur_2[[#This Row],[Quantité ]]/Tab_Compteur_2[[#This Row],[Delta Jour]],"")</f>
        <v/>
      </c>
      <c r="G143" t="str">
        <f>IFERROR(Tab_Compteur_2[[#This Row],[Montant TTC]]/Tab_Compteur_2[[#This Row],[Delta Jour]],"")</f>
        <v/>
      </c>
      <c r="H143" s="86"/>
      <c r="I143" s="86"/>
      <c r="J143" s="86"/>
      <c r="K143" s="86"/>
      <c r="L143" s="86"/>
    </row>
    <row r="144" spans="1:12" x14ac:dyDescent="0.25">
      <c r="A144" s="101">
        <f t="shared" si="5"/>
        <v>1</v>
      </c>
      <c r="B144" s="3">
        <f>EDATE($B$3,Site!$I$34*(ROW(Tab_Compteur_2[[#This Row],[Début de période]])-3))</f>
        <v>0</v>
      </c>
      <c r="C144" s="184"/>
      <c r="D144" s="105"/>
      <c r="E144">
        <f t="shared" si="4"/>
        <v>0</v>
      </c>
      <c r="F144" t="str">
        <f>IFERROR(Tab_Compteur_2[[#This Row],[Quantité ]]/Tab_Compteur_2[[#This Row],[Delta Jour]],"")</f>
        <v/>
      </c>
      <c r="G144" t="str">
        <f>IFERROR(Tab_Compteur_2[[#This Row],[Montant TTC]]/Tab_Compteur_2[[#This Row],[Delta Jour]],"")</f>
        <v/>
      </c>
      <c r="H144" s="86"/>
      <c r="I144" s="86"/>
      <c r="J144" s="86"/>
      <c r="K144" s="86"/>
      <c r="L144" s="86"/>
    </row>
    <row r="145" spans="1:12" x14ac:dyDescent="0.25">
      <c r="A145" s="101">
        <f t="shared" si="5"/>
        <v>1</v>
      </c>
      <c r="B145" s="3">
        <f>EDATE($B$3,Site!$I$34*(ROW(Tab_Compteur_2[[#This Row],[Début de période]])-3))</f>
        <v>0</v>
      </c>
      <c r="C145" s="184"/>
      <c r="D145" s="105"/>
      <c r="E145">
        <f t="shared" si="4"/>
        <v>0</v>
      </c>
      <c r="F145" t="str">
        <f>IFERROR(Tab_Compteur_2[[#This Row],[Quantité ]]/Tab_Compteur_2[[#This Row],[Delta Jour]],"")</f>
        <v/>
      </c>
      <c r="G145" t="str">
        <f>IFERROR(Tab_Compteur_2[[#This Row],[Montant TTC]]/Tab_Compteur_2[[#This Row],[Delta Jour]],"")</f>
        <v/>
      </c>
      <c r="H145" s="86"/>
      <c r="I145" s="86"/>
      <c r="J145" s="86"/>
      <c r="K145" s="86"/>
      <c r="L145" s="86"/>
    </row>
    <row r="146" spans="1:12" x14ac:dyDescent="0.25">
      <c r="A146" s="101">
        <f t="shared" si="5"/>
        <v>1</v>
      </c>
      <c r="B146" s="3">
        <f>EDATE($B$3,Site!$I$34*(ROW(Tab_Compteur_2[[#This Row],[Début de période]])-3))</f>
        <v>0</v>
      </c>
      <c r="C146" s="184"/>
      <c r="D146" s="105"/>
      <c r="E146">
        <f t="shared" si="4"/>
        <v>0</v>
      </c>
      <c r="F146" t="str">
        <f>IFERROR(Tab_Compteur_2[[#This Row],[Quantité ]]/Tab_Compteur_2[[#This Row],[Delta Jour]],"")</f>
        <v/>
      </c>
      <c r="G146" t="str">
        <f>IFERROR(Tab_Compteur_2[[#This Row],[Montant TTC]]/Tab_Compteur_2[[#This Row],[Delta Jour]],"")</f>
        <v/>
      </c>
      <c r="H146" s="86"/>
      <c r="I146" s="86"/>
      <c r="J146" s="86"/>
      <c r="K146" s="86"/>
      <c r="L146" s="86"/>
    </row>
    <row r="147" spans="1:12" x14ac:dyDescent="0.25">
      <c r="A147" s="101">
        <f t="shared" si="5"/>
        <v>1</v>
      </c>
      <c r="B147" s="3">
        <f>EDATE($B$3,Site!$I$34*(ROW(Tab_Compteur_2[[#This Row],[Début de période]])-3))</f>
        <v>0</v>
      </c>
      <c r="C147" s="184"/>
      <c r="D147" s="105"/>
      <c r="E147" s="231">
        <f t="shared" ref="E147:E159" si="6">IFERROR(B147-A147+1,"")</f>
        <v>0</v>
      </c>
      <c r="F147" s="231" t="str">
        <f>IFERROR(Tab_Compteur_2[[#This Row],[Quantité ]]/Tab_Compteur_2[[#This Row],[Delta Jour]],"")</f>
        <v/>
      </c>
      <c r="G147" s="231" t="str">
        <f>IFERROR(Tab_Compteur_2[[#This Row],[Montant TTC]]/Tab_Compteur_2[[#This Row],[Delta Jour]],"")</f>
        <v/>
      </c>
      <c r="H147" s="86"/>
      <c r="I147" s="86"/>
      <c r="J147" s="86"/>
      <c r="K147" s="86"/>
      <c r="L147" s="86"/>
    </row>
    <row r="148" spans="1:12" x14ac:dyDescent="0.25">
      <c r="A148" s="101">
        <f t="shared" si="5"/>
        <v>1</v>
      </c>
      <c r="B148" s="3">
        <f>EDATE($B$3,Site!$I$34*(ROW(Tab_Compteur_2[[#This Row],[Début de période]])-3))</f>
        <v>0</v>
      </c>
      <c r="C148" s="184"/>
      <c r="D148" s="105"/>
      <c r="E148" s="231">
        <f t="shared" si="6"/>
        <v>0</v>
      </c>
      <c r="F148" s="231" t="str">
        <f>IFERROR(Tab_Compteur_2[[#This Row],[Quantité ]]/Tab_Compteur_2[[#This Row],[Delta Jour]],"")</f>
        <v/>
      </c>
      <c r="G148" s="231" t="str">
        <f>IFERROR(Tab_Compteur_2[[#This Row],[Montant TTC]]/Tab_Compteur_2[[#This Row],[Delta Jour]],"")</f>
        <v/>
      </c>
      <c r="H148" s="86"/>
      <c r="I148" s="86"/>
      <c r="J148" s="86"/>
      <c r="K148" s="86"/>
      <c r="L148" s="86"/>
    </row>
    <row r="149" spans="1:12" x14ac:dyDescent="0.25">
      <c r="A149" s="101">
        <f t="shared" si="5"/>
        <v>1</v>
      </c>
      <c r="B149" s="3">
        <f>EDATE($B$3,Site!$I$34*(ROW(Tab_Compteur_2[[#This Row],[Début de période]])-3))</f>
        <v>0</v>
      </c>
      <c r="C149" s="184"/>
      <c r="D149" s="105"/>
      <c r="E149" s="231">
        <f t="shared" si="6"/>
        <v>0</v>
      </c>
      <c r="F149" s="231" t="str">
        <f>IFERROR(Tab_Compteur_2[[#This Row],[Quantité ]]/Tab_Compteur_2[[#This Row],[Delta Jour]],"")</f>
        <v/>
      </c>
      <c r="G149" s="231" t="str">
        <f>IFERROR(Tab_Compteur_2[[#This Row],[Montant TTC]]/Tab_Compteur_2[[#This Row],[Delta Jour]],"")</f>
        <v/>
      </c>
      <c r="H149" s="86"/>
      <c r="I149" s="86"/>
      <c r="J149" s="86"/>
      <c r="K149" s="86"/>
      <c r="L149" s="86"/>
    </row>
    <row r="150" spans="1:12" x14ac:dyDescent="0.25">
      <c r="A150" s="101">
        <f t="shared" si="5"/>
        <v>1</v>
      </c>
      <c r="B150" s="3">
        <f>EDATE($B$3,Site!$I$34*(ROW(Tab_Compteur_2[[#This Row],[Début de période]])-3))</f>
        <v>0</v>
      </c>
      <c r="C150" s="184"/>
      <c r="D150" s="105"/>
      <c r="E150" s="231">
        <f t="shared" si="6"/>
        <v>0</v>
      </c>
      <c r="F150" s="231" t="str">
        <f>IFERROR(Tab_Compteur_2[[#This Row],[Quantité ]]/Tab_Compteur_2[[#This Row],[Delta Jour]],"")</f>
        <v/>
      </c>
      <c r="G150" s="231" t="str">
        <f>IFERROR(Tab_Compteur_2[[#This Row],[Montant TTC]]/Tab_Compteur_2[[#This Row],[Delta Jour]],"")</f>
        <v/>
      </c>
      <c r="H150" s="86"/>
      <c r="I150" s="86"/>
      <c r="J150" s="86"/>
      <c r="K150" s="86"/>
      <c r="L150" s="86"/>
    </row>
    <row r="151" spans="1:12" x14ac:dyDescent="0.25">
      <c r="A151" s="101">
        <f t="shared" si="5"/>
        <v>1</v>
      </c>
      <c r="B151" s="3">
        <f>EDATE($B$3,Site!$I$34*(ROW(Tab_Compteur_2[[#This Row],[Début de période]])-3))</f>
        <v>0</v>
      </c>
      <c r="C151" s="184"/>
      <c r="D151" s="105"/>
      <c r="E151" s="231">
        <f t="shared" si="6"/>
        <v>0</v>
      </c>
      <c r="F151" s="231" t="str">
        <f>IFERROR(Tab_Compteur_2[[#This Row],[Quantité ]]/Tab_Compteur_2[[#This Row],[Delta Jour]],"")</f>
        <v/>
      </c>
      <c r="G151" s="231" t="str">
        <f>IFERROR(Tab_Compteur_2[[#This Row],[Montant TTC]]/Tab_Compteur_2[[#This Row],[Delta Jour]],"")</f>
        <v/>
      </c>
      <c r="H151" s="86"/>
      <c r="I151" s="86"/>
      <c r="J151" s="86"/>
      <c r="K151" s="86"/>
      <c r="L151" s="86"/>
    </row>
    <row r="152" spans="1:12" x14ac:dyDescent="0.25">
      <c r="A152" s="101">
        <f t="shared" si="5"/>
        <v>1</v>
      </c>
      <c r="B152" s="3">
        <f>EDATE($B$3,Site!$I$34*(ROW(Tab_Compteur_2[[#This Row],[Début de période]])-3))</f>
        <v>0</v>
      </c>
      <c r="C152" s="184"/>
      <c r="D152" s="105"/>
      <c r="E152" s="231">
        <f t="shared" si="6"/>
        <v>0</v>
      </c>
      <c r="F152" s="231" t="str">
        <f>IFERROR(Tab_Compteur_2[[#This Row],[Quantité ]]/Tab_Compteur_2[[#This Row],[Delta Jour]],"")</f>
        <v/>
      </c>
      <c r="G152" s="231" t="str">
        <f>IFERROR(Tab_Compteur_2[[#This Row],[Montant TTC]]/Tab_Compteur_2[[#This Row],[Delta Jour]],"")</f>
        <v/>
      </c>
      <c r="H152" s="86"/>
      <c r="I152" s="86"/>
      <c r="J152" s="86"/>
      <c r="K152" s="86"/>
      <c r="L152" s="86"/>
    </row>
    <row r="153" spans="1:12" x14ac:dyDescent="0.25">
      <c r="A153" s="101">
        <f t="shared" si="5"/>
        <v>1</v>
      </c>
      <c r="B153" s="3">
        <f>EDATE($B$3,Site!$I$34*(ROW(Tab_Compteur_2[[#This Row],[Début de période]])-3))</f>
        <v>0</v>
      </c>
      <c r="C153" s="184"/>
      <c r="D153" s="105"/>
      <c r="E153" s="231">
        <f t="shared" si="6"/>
        <v>0</v>
      </c>
      <c r="F153" s="231" t="str">
        <f>IFERROR(Tab_Compteur_2[[#This Row],[Quantité ]]/Tab_Compteur_2[[#This Row],[Delta Jour]],"")</f>
        <v/>
      </c>
      <c r="G153" s="231" t="str">
        <f>IFERROR(Tab_Compteur_2[[#This Row],[Montant TTC]]/Tab_Compteur_2[[#This Row],[Delta Jour]],"")</f>
        <v/>
      </c>
      <c r="H153" s="86"/>
      <c r="I153" s="86"/>
      <c r="J153" s="86"/>
      <c r="K153" s="86"/>
      <c r="L153" s="86"/>
    </row>
    <row r="154" spans="1:12" x14ac:dyDescent="0.25">
      <c r="A154" s="101">
        <f t="shared" si="5"/>
        <v>1</v>
      </c>
      <c r="B154" s="3">
        <f>EDATE($B$3,Site!$I$34*(ROW(Tab_Compteur_2[[#This Row],[Début de période]])-3))</f>
        <v>0</v>
      </c>
      <c r="C154" s="184"/>
      <c r="D154" s="105"/>
      <c r="E154" s="231">
        <f t="shared" si="6"/>
        <v>0</v>
      </c>
      <c r="F154" s="231" t="str">
        <f>IFERROR(Tab_Compteur_2[[#This Row],[Quantité ]]/Tab_Compteur_2[[#This Row],[Delta Jour]],"")</f>
        <v/>
      </c>
      <c r="G154" s="231" t="str">
        <f>IFERROR(Tab_Compteur_2[[#This Row],[Montant TTC]]/Tab_Compteur_2[[#This Row],[Delta Jour]],"")</f>
        <v/>
      </c>
      <c r="H154" s="86"/>
      <c r="I154" s="86"/>
      <c r="J154" s="86"/>
      <c r="K154" s="86"/>
      <c r="L154" s="86"/>
    </row>
    <row r="155" spans="1:12" x14ac:dyDescent="0.25">
      <c r="A155" s="101">
        <f t="shared" si="5"/>
        <v>1</v>
      </c>
      <c r="B155" s="3">
        <f>EDATE($B$3,Site!$I$34*(ROW(Tab_Compteur_2[[#This Row],[Début de période]])-3))</f>
        <v>0</v>
      </c>
      <c r="C155" s="184"/>
      <c r="D155" s="105"/>
      <c r="E155" s="231">
        <f t="shared" si="6"/>
        <v>0</v>
      </c>
      <c r="F155" s="231" t="str">
        <f>IFERROR(Tab_Compteur_2[[#This Row],[Quantité ]]/Tab_Compteur_2[[#This Row],[Delta Jour]],"")</f>
        <v/>
      </c>
      <c r="G155" s="231" t="str">
        <f>IFERROR(Tab_Compteur_2[[#This Row],[Montant TTC]]/Tab_Compteur_2[[#This Row],[Delta Jour]],"")</f>
        <v/>
      </c>
      <c r="H155" s="86"/>
      <c r="I155" s="86"/>
      <c r="J155" s="86"/>
      <c r="K155" s="86"/>
      <c r="L155" s="86"/>
    </row>
    <row r="156" spans="1:12" x14ac:dyDescent="0.25">
      <c r="A156" s="101">
        <f t="shared" si="5"/>
        <v>1</v>
      </c>
      <c r="B156" s="3">
        <f>EDATE($B$3,Site!$I$34*(ROW(Tab_Compteur_2[[#This Row],[Début de période]])-3))</f>
        <v>0</v>
      </c>
      <c r="C156" s="184"/>
      <c r="D156" s="105"/>
      <c r="E156" s="231">
        <f t="shared" si="6"/>
        <v>0</v>
      </c>
      <c r="F156" s="231" t="str">
        <f>IFERROR(Tab_Compteur_2[[#This Row],[Quantité ]]/Tab_Compteur_2[[#This Row],[Delta Jour]],"")</f>
        <v/>
      </c>
      <c r="G156" s="231" t="str">
        <f>IFERROR(Tab_Compteur_2[[#This Row],[Montant TTC]]/Tab_Compteur_2[[#This Row],[Delta Jour]],"")</f>
        <v/>
      </c>
      <c r="H156" s="86"/>
      <c r="I156" s="86"/>
      <c r="J156" s="86"/>
      <c r="K156" s="86"/>
      <c r="L156" s="86"/>
    </row>
    <row r="157" spans="1:12" x14ac:dyDescent="0.25">
      <c r="A157" s="101">
        <f t="shared" si="5"/>
        <v>1</v>
      </c>
      <c r="B157" s="3">
        <f>EDATE($B$3,Site!$I$34*(ROW(Tab_Compteur_2[[#This Row],[Début de période]])-3))</f>
        <v>0</v>
      </c>
      <c r="C157" s="184"/>
      <c r="D157" s="105"/>
      <c r="E157" s="231">
        <f t="shared" si="6"/>
        <v>0</v>
      </c>
      <c r="F157" s="231" t="str">
        <f>IFERROR(Tab_Compteur_2[[#This Row],[Quantité ]]/Tab_Compteur_2[[#This Row],[Delta Jour]],"")</f>
        <v/>
      </c>
      <c r="G157" s="231" t="str">
        <f>IFERROR(Tab_Compteur_2[[#This Row],[Montant TTC]]/Tab_Compteur_2[[#This Row],[Delta Jour]],"")</f>
        <v/>
      </c>
      <c r="H157" s="86"/>
      <c r="I157" s="86"/>
      <c r="J157" s="86"/>
      <c r="K157" s="86"/>
      <c r="L157" s="86"/>
    </row>
    <row r="158" spans="1:12" x14ac:dyDescent="0.25">
      <c r="A158" s="101">
        <f t="shared" si="5"/>
        <v>1</v>
      </c>
      <c r="B158" s="3">
        <f>EDATE($B$3,Site!$I$34*(ROW(Tab_Compteur_2[[#This Row],[Début de période]])-3))</f>
        <v>0</v>
      </c>
      <c r="C158" s="184"/>
      <c r="D158" s="105"/>
      <c r="E158" s="231">
        <f t="shared" si="6"/>
        <v>0</v>
      </c>
      <c r="F158" s="231" t="str">
        <f>IFERROR(Tab_Compteur_2[[#This Row],[Quantité ]]/Tab_Compteur_2[[#This Row],[Delta Jour]],"")</f>
        <v/>
      </c>
      <c r="G158" s="231" t="str">
        <f>IFERROR(Tab_Compteur_2[[#This Row],[Montant TTC]]/Tab_Compteur_2[[#This Row],[Delta Jour]],"")</f>
        <v/>
      </c>
      <c r="H158" s="86"/>
      <c r="I158" s="200"/>
      <c r="J158" s="86"/>
      <c r="K158" s="86"/>
      <c r="L158" s="86"/>
    </row>
    <row r="159" spans="1:12" x14ac:dyDescent="0.25">
      <c r="A159" s="101">
        <f t="shared" si="5"/>
        <v>1</v>
      </c>
      <c r="B159" s="3">
        <f>EDATE($B$3,Site!$I$34*(ROW(Tab_Compteur_2[[#This Row],[Début de période]])-3))</f>
        <v>0</v>
      </c>
      <c r="C159" s="184"/>
      <c r="D159" s="105"/>
      <c r="E159" s="231">
        <f t="shared" si="6"/>
        <v>0</v>
      </c>
      <c r="F159" s="231" t="str">
        <f>IFERROR(Tab_Compteur_2[[#This Row],[Quantité ]]/Tab_Compteur_2[[#This Row],[Delta Jour]],"")</f>
        <v/>
      </c>
      <c r="G159" s="231" t="str">
        <f>IFERROR(Tab_Compteur_2[[#This Row],[Montant TTC]]/Tab_Compteur_2[[#This Row],[Delta Jour]],"")</f>
        <v/>
      </c>
      <c r="H159" s="86"/>
      <c r="I159" s="86"/>
      <c r="J159" s="86"/>
      <c r="K159" s="86"/>
      <c r="L159" s="86"/>
    </row>
    <row r="160" spans="1:12" x14ac:dyDescent="0.25">
      <c r="A160" s="101">
        <f t="shared" si="5"/>
        <v>1</v>
      </c>
      <c r="B160" s="3">
        <f>EDATE($B$3,Site!$I$34*(ROW(Tab_Compteur_2[[#This Row],[Début de période]])-3))</f>
        <v>0</v>
      </c>
      <c r="C160" s="184"/>
      <c r="D160" s="105"/>
      <c r="E160">
        <f t="shared" si="4"/>
        <v>0</v>
      </c>
      <c r="F160" t="str">
        <f>IFERROR(Tab_Compteur_2[[#This Row],[Quantité ]]/Tab_Compteur_2[[#This Row],[Delta Jour]],"")</f>
        <v/>
      </c>
      <c r="G160" t="str">
        <f>IFERROR(Tab_Compteur_2[[#This Row],[Montant TTC]]/Tab_Compteur_2[[#This Row],[Delta Jour]],"")</f>
        <v/>
      </c>
      <c r="H160" s="86"/>
      <c r="I160" s="86"/>
      <c r="J160" s="86"/>
      <c r="K160" s="86"/>
      <c r="L160" s="86"/>
    </row>
    <row r="161" spans="1:12" x14ac:dyDescent="0.25">
      <c r="A161" s="101">
        <f t="shared" si="5"/>
        <v>1</v>
      </c>
      <c r="B161" s="3">
        <f>EDATE($B$3,Site!$I$34*(ROW(Tab_Compteur_2[[#This Row],[Début de période]])-3))</f>
        <v>0</v>
      </c>
      <c r="C161" s="184"/>
      <c r="D161" s="105"/>
      <c r="E161">
        <f t="shared" si="4"/>
        <v>0</v>
      </c>
      <c r="F161" t="str">
        <f>IFERROR(Tab_Compteur_2[[#This Row],[Quantité ]]/Tab_Compteur_2[[#This Row],[Delta Jour]],"")</f>
        <v/>
      </c>
      <c r="G161" t="str">
        <f>IFERROR(Tab_Compteur_2[[#This Row],[Montant TTC]]/Tab_Compteur_2[[#This Row],[Delta Jour]],"")</f>
        <v/>
      </c>
      <c r="H161" s="86"/>
      <c r="I161" s="86"/>
      <c r="J161" s="86"/>
      <c r="K161" s="86"/>
      <c r="L161" s="86"/>
    </row>
    <row r="162" spans="1:12" x14ac:dyDescent="0.25">
      <c r="A162" s="101">
        <f t="shared" si="5"/>
        <v>1</v>
      </c>
      <c r="B162" s="3">
        <f>EDATE($B$3,Site!$I$34*(ROW(Tab_Compteur_2[[#This Row],[Début de période]])-3))</f>
        <v>0</v>
      </c>
      <c r="C162" s="184"/>
      <c r="D162" s="105"/>
      <c r="E162">
        <f t="shared" si="4"/>
        <v>0</v>
      </c>
      <c r="F162" t="str">
        <f>IFERROR(Tab_Compteur_2[[#This Row],[Quantité ]]/Tab_Compteur_2[[#This Row],[Delta Jour]],"")</f>
        <v/>
      </c>
      <c r="G162" t="str">
        <f>IFERROR(Tab_Compteur_2[[#This Row],[Montant TTC]]/Tab_Compteur_2[[#This Row],[Delta Jour]],"")</f>
        <v/>
      </c>
      <c r="H162" s="86"/>
      <c r="I162" s="86"/>
      <c r="J162" s="86"/>
      <c r="K162" s="86"/>
      <c r="L162" s="86"/>
    </row>
    <row r="163" spans="1:12" x14ac:dyDescent="0.25">
      <c r="A163" s="101">
        <f t="shared" si="5"/>
        <v>1</v>
      </c>
      <c r="B163" s="3">
        <f>EDATE($B$3,Site!$I$34*(ROW(Tab_Compteur_2[[#This Row],[Début de période]])-3))</f>
        <v>0</v>
      </c>
      <c r="C163" s="184"/>
      <c r="D163" s="105"/>
      <c r="E163">
        <f t="shared" si="4"/>
        <v>0</v>
      </c>
      <c r="F163" t="str">
        <f>IFERROR(Tab_Compteur_2[[#This Row],[Quantité ]]/Tab_Compteur_2[[#This Row],[Delta Jour]],"")</f>
        <v/>
      </c>
      <c r="G163" t="str">
        <f>IFERROR(Tab_Compteur_2[[#This Row],[Montant TTC]]/Tab_Compteur_2[[#This Row],[Delta Jour]],"")</f>
        <v/>
      </c>
      <c r="H163" s="86"/>
      <c r="I163" s="86"/>
      <c r="J163" s="86"/>
      <c r="K163" s="86"/>
      <c r="L163" s="86"/>
    </row>
    <row r="164" spans="1:12" x14ac:dyDescent="0.25">
      <c r="A164" s="101">
        <f t="shared" si="5"/>
        <v>1</v>
      </c>
      <c r="B164" s="3">
        <f>EDATE($B$3,Site!$I$34*(ROW(Tab_Compteur_2[[#This Row],[Début de période]])-3))</f>
        <v>0</v>
      </c>
      <c r="C164" s="184"/>
      <c r="D164" s="105"/>
      <c r="E164">
        <f t="shared" si="4"/>
        <v>0</v>
      </c>
      <c r="F164" t="str">
        <f>IFERROR(Tab_Compteur_2[[#This Row],[Quantité ]]/Tab_Compteur_2[[#This Row],[Delta Jour]],"")</f>
        <v/>
      </c>
      <c r="G164" t="str">
        <f>IFERROR(Tab_Compteur_2[[#This Row],[Montant TTC]]/Tab_Compteur_2[[#This Row],[Delta Jour]],"")</f>
        <v/>
      </c>
      <c r="H164" s="86"/>
      <c r="I164" s="86"/>
      <c r="J164" s="86"/>
      <c r="K164" s="86"/>
      <c r="L164" s="86"/>
    </row>
    <row r="165" spans="1:12" x14ac:dyDescent="0.25">
      <c r="A165" s="101">
        <f t="shared" si="5"/>
        <v>1</v>
      </c>
      <c r="B165" s="3">
        <f>EDATE($B$3,Site!$I$34*(ROW(Tab_Compteur_2[[#This Row],[Début de période]])-3))</f>
        <v>0</v>
      </c>
      <c r="C165" s="184"/>
      <c r="D165" s="105"/>
      <c r="E165">
        <f t="shared" si="4"/>
        <v>0</v>
      </c>
      <c r="F165" t="str">
        <f>IFERROR(Tab_Compteur_2[[#This Row],[Quantité ]]/Tab_Compteur_2[[#This Row],[Delta Jour]],"")</f>
        <v/>
      </c>
      <c r="G165" t="str">
        <f>IFERROR(Tab_Compteur_2[[#This Row],[Montant TTC]]/Tab_Compteur_2[[#This Row],[Delta Jour]],"")</f>
        <v/>
      </c>
      <c r="H165" s="86"/>
      <c r="I165" s="86"/>
      <c r="J165" s="86"/>
      <c r="K165" s="86"/>
      <c r="L165" s="86"/>
    </row>
    <row r="166" spans="1:12" x14ac:dyDescent="0.25">
      <c r="A166" s="101">
        <f t="shared" si="5"/>
        <v>1</v>
      </c>
      <c r="B166" s="3">
        <f>EDATE($B$3,Site!$I$34*(ROW(Tab_Compteur_2[[#This Row],[Début de période]])-3))</f>
        <v>0</v>
      </c>
      <c r="C166" s="184"/>
      <c r="D166" s="105"/>
      <c r="E166">
        <f t="shared" si="4"/>
        <v>0</v>
      </c>
      <c r="F166" t="str">
        <f>IFERROR(Tab_Compteur_2[[#This Row],[Quantité ]]/Tab_Compteur_2[[#This Row],[Delta Jour]],"")</f>
        <v/>
      </c>
      <c r="G166" t="str">
        <f>IFERROR(Tab_Compteur_2[[#This Row],[Montant TTC]]/Tab_Compteur_2[[#This Row],[Delta Jour]],"")</f>
        <v/>
      </c>
      <c r="H166" s="86"/>
      <c r="I166" s="86"/>
      <c r="J166" s="86"/>
      <c r="K166" s="86"/>
      <c r="L166" s="86"/>
    </row>
    <row r="167" spans="1:12" x14ac:dyDescent="0.25">
      <c r="A167" s="101">
        <f t="shared" si="5"/>
        <v>1</v>
      </c>
      <c r="B167" s="3">
        <f>EDATE($B$3,Site!$I$34*(ROW(Tab_Compteur_2[[#This Row],[Début de période]])-3))</f>
        <v>0</v>
      </c>
      <c r="C167" s="184"/>
      <c r="D167" s="105"/>
      <c r="E167">
        <f t="shared" si="4"/>
        <v>0</v>
      </c>
      <c r="F167" t="str">
        <f>IFERROR(Tab_Compteur_2[[#This Row],[Quantité ]]/Tab_Compteur_2[[#This Row],[Delta Jour]],"")</f>
        <v/>
      </c>
      <c r="G167" t="str">
        <f>IFERROR(Tab_Compteur_2[[#This Row],[Montant TTC]]/Tab_Compteur_2[[#This Row],[Delta Jour]],"")</f>
        <v/>
      </c>
      <c r="H167" s="86"/>
      <c r="I167" s="86"/>
      <c r="J167" s="86"/>
      <c r="K167" s="86"/>
      <c r="L167" s="86"/>
    </row>
    <row r="168" spans="1:12" x14ac:dyDescent="0.25">
      <c r="A168" s="101">
        <f t="shared" si="5"/>
        <v>1</v>
      </c>
      <c r="B168" s="3">
        <f>EDATE($B$3,Site!$I$34*(ROW(Tab_Compteur_2[[#This Row],[Début de période]])-3))</f>
        <v>0</v>
      </c>
      <c r="C168" s="184"/>
      <c r="D168" s="105"/>
      <c r="E168">
        <f t="shared" si="4"/>
        <v>0</v>
      </c>
      <c r="F168" t="str">
        <f>IFERROR(Tab_Compteur_2[[#This Row],[Quantité ]]/Tab_Compteur_2[[#This Row],[Delta Jour]],"")</f>
        <v/>
      </c>
      <c r="G168" t="str">
        <f>IFERROR(Tab_Compteur_2[[#This Row],[Montant TTC]]/Tab_Compteur_2[[#This Row],[Delta Jour]],"")</f>
        <v/>
      </c>
      <c r="H168" s="86"/>
      <c r="I168" s="86"/>
      <c r="J168" s="86"/>
      <c r="K168" s="86"/>
      <c r="L168" s="86"/>
    </row>
    <row r="169" spans="1:12" x14ac:dyDescent="0.25">
      <c r="A169" s="101">
        <f t="shared" si="5"/>
        <v>1</v>
      </c>
      <c r="B169" s="3">
        <f>EDATE($B$3,Site!$I$34*(ROW(Tab_Compteur_2[[#This Row],[Début de période]])-3))</f>
        <v>0</v>
      </c>
      <c r="C169" s="184"/>
      <c r="D169" s="105"/>
      <c r="E169">
        <f t="shared" si="4"/>
        <v>0</v>
      </c>
      <c r="F169" t="str">
        <f>IFERROR(Tab_Compteur_2[[#This Row],[Quantité ]]/Tab_Compteur_2[[#This Row],[Delta Jour]],"")</f>
        <v/>
      </c>
      <c r="G169" t="str">
        <f>IFERROR(Tab_Compteur_2[[#This Row],[Montant TTC]]/Tab_Compteur_2[[#This Row],[Delta Jour]],"")</f>
        <v/>
      </c>
      <c r="H169" s="86"/>
      <c r="I169" s="86"/>
      <c r="J169" s="86"/>
      <c r="K169" s="86"/>
      <c r="L169" s="86"/>
    </row>
    <row r="170" spans="1:12" x14ac:dyDescent="0.25">
      <c r="A170" s="101">
        <f t="shared" si="5"/>
        <v>1</v>
      </c>
      <c r="B170" s="3">
        <f>EDATE($B$3,Site!$I$34*(ROW(Tab_Compteur_2[[#This Row],[Début de période]])-3))</f>
        <v>0</v>
      </c>
      <c r="C170" s="184"/>
      <c r="D170" s="105"/>
      <c r="E170">
        <f t="shared" si="4"/>
        <v>0</v>
      </c>
      <c r="F170" t="str">
        <f>IFERROR(Tab_Compteur_2[[#This Row],[Quantité ]]/Tab_Compteur_2[[#This Row],[Delta Jour]],"")</f>
        <v/>
      </c>
      <c r="G170" t="str">
        <f>IFERROR(Tab_Compteur_2[[#This Row],[Montant TTC]]/Tab_Compteur_2[[#This Row],[Delta Jour]],"")</f>
        <v/>
      </c>
      <c r="H170" s="86"/>
      <c r="I170" s="86"/>
      <c r="J170" s="86"/>
      <c r="K170" s="86"/>
      <c r="L170" s="86"/>
    </row>
    <row r="171" spans="1:12" x14ac:dyDescent="0.25">
      <c r="A171" s="101">
        <f t="shared" si="5"/>
        <v>1</v>
      </c>
      <c r="B171" s="3">
        <f>EDATE($B$3,Site!$I$34*(ROW(Tab_Compteur_2[[#This Row],[Début de période]])-3))</f>
        <v>0</v>
      </c>
      <c r="C171" s="184"/>
      <c r="D171" s="105"/>
      <c r="E171">
        <f t="shared" si="4"/>
        <v>0</v>
      </c>
      <c r="F171" t="str">
        <f>IFERROR(Tab_Compteur_2[[#This Row],[Quantité ]]/Tab_Compteur_2[[#This Row],[Delta Jour]],"")</f>
        <v/>
      </c>
      <c r="G171" t="str">
        <f>IFERROR(Tab_Compteur_2[[#This Row],[Montant TTC]]/Tab_Compteur_2[[#This Row],[Delta Jour]],"")</f>
        <v/>
      </c>
      <c r="H171" s="86"/>
      <c r="I171" s="86"/>
      <c r="J171" s="86"/>
      <c r="K171" s="86"/>
      <c r="L171" s="86"/>
    </row>
    <row r="172" spans="1:12" x14ac:dyDescent="0.25">
      <c r="A172" s="101">
        <f t="shared" si="5"/>
        <v>1</v>
      </c>
      <c r="B172" s="3">
        <f>EDATE($B$3,Site!$I$34*(ROW(Tab_Compteur_2[[#This Row],[Début de période]])-3))</f>
        <v>0</v>
      </c>
      <c r="C172" s="184"/>
      <c r="D172" s="105"/>
      <c r="E172">
        <f t="shared" si="4"/>
        <v>0</v>
      </c>
      <c r="F172" t="str">
        <f>IFERROR(Tab_Compteur_2[[#This Row],[Quantité ]]/Tab_Compteur_2[[#This Row],[Delta Jour]],"")</f>
        <v/>
      </c>
      <c r="G172" t="str">
        <f>IFERROR(Tab_Compteur_2[[#This Row],[Montant TTC]]/Tab_Compteur_2[[#This Row],[Delta Jour]],"")</f>
        <v/>
      </c>
      <c r="H172" s="86"/>
      <c r="I172" s="86"/>
      <c r="J172" s="86"/>
      <c r="K172" s="86"/>
      <c r="L172" s="86"/>
    </row>
    <row r="173" spans="1:12" x14ac:dyDescent="0.25">
      <c r="A173" s="101">
        <f t="shared" si="5"/>
        <v>1</v>
      </c>
      <c r="B173" s="3">
        <f>EDATE($B$3,Site!$I$34*(ROW(Tab_Compteur_2[[#This Row],[Début de période]])-3))</f>
        <v>0</v>
      </c>
      <c r="C173" s="184"/>
      <c r="D173" s="105"/>
      <c r="E173">
        <f t="shared" si="4"/>
        <v>0</v>
      </c>
      <c r="F173" t="str">
        <f>IFERROR(Tab_Compteur_2[[#This Row],[Quantité ]]/Tab_Compteur_2[[#This Row],[Delta Jour]],"")</f>
        <v/>
      </c>
      <c r="G173" t="str">
        <f>IFERROR(Tab_Compteur_2[[#This Row],[Montant TTC]]/Tab_Compteur_2[[#This Row],[Delta Jour]],"")</f>
        <v/>
      </c>
      <c r="H173" s="86"/>
      <c r="I173" s="86"/>
      <c r="J173" s="86"/>
      <c r="K173" s="86"/>
      <c r="L173" s="86"/>
    </row>
    <row r="174" spans="1:12" x14ac:dyDescent="0.25">
      <c r="A174" s="101">
        <f t="shared" si="5"/>
        <v>1</v>
      </c>
      <c r="B174" s="3">
        <f>EDATE($B$3,Site!$I$34*(ROW(Tab_Compteur_2[[#This Row],[Début de période]])-3))</f>
        <v>0</v>
      </c>
      <c r="C174" s="184"/>
      <c r="D174" s="105"/>
      <c r="E174">
        <f t="shared" si="4"/>
        <v>0</v>
      </c>
      <c r="F174" t="str">
        <f>IFERROR(Tab_Compteur_2[[#This Row],[Quantité ]]/Tab_Compteur_2[[#This Row],[Delta Jour]],"")</f>
        <v/>
      </c>
      <c r="G174" t="str">
        <f>IFERROR(Tab_Compteur_2[[#This Row],[Montant TTC]]/Tab_Compteur_2[[#This Row],[Delta Jour]],"")</f>
        <v/>
      </c>
      <c r="H174" s="86"/>
      <c r="I174" s="86"/>
      <c r="J174" s="86"/>
      <c r="K174" s="86"/>
      <c r="L174" s="86"/>
    </row>
    <row r="175" spans="1:12" x14ac:dyDescent="0.25">
      <c r="A175" s="101">
        <f t="shared" si="5"/>
        <v>1</v>
      </c>
      <c r="B175" s="3">
        <f>EDATE($B$3,Site!$I$34*(ROW(Tab_Compteur_2[[#This Row],[Début de période]])-3))</f>
        <v>0</v>
      </c>
      <c r="C175" s="184"/>
      <c r="D175" s="105"/>
      <c r="E175">
        <f t="shared" si="4"/>
        <v>0</v>
      </c>
      <c r="F175" t="str">
        <f>IFERROR(Tab_Compteur_2[[#This Row],[Quantité ]]/Tab_Compteur_2[[#This Row],[Delta Jour]],"")</f>
        <v/>
      </c>
      <c r="G175" t="str">
        <f>IFERROR(Tab_Compteur_2[[#This Row],[Montant TTC]]/Tab_Compteur_2[[#This Row],[Delta Jour]],"")</f>
        <v/>
      </c>
      <c r="H175" s="86"/>
      <c r="I175" s="86"/>
      <c r="J175" s="86"/>
      <c r="K175" s="86"/>
      <c r="L175" s="86"/>
    </row>
    <row r="176" spans="1:12" x14ac:dyDescent="0.25">
      <c r="A176" s="101">
        <f t="shared" si="5"/>
        <v>1</v>
      </c>
      <c r="B176" s="3">
        <f>EDATE($B$3,Site!$I$34*(ROW(Tab_Compteur_2[[#This Row],[Début de période]])-3))</f>
        <v>0</v>
      </c>
      <c r="C176" s="184"/>
      <c r="D176" s="105"/>
      <c r="E176">
        <f t="shared" si="4"/>
        <v>0</v>
      </c>
      <c r="F176" t="str">
        <f>IFERROR(Tab_Compteur_2[[#This Row],[Quantité ]]/Tab_Compteur_2[[#This Row],[Delta Jour]],"")</f>
        <v/>
      </c>
      <c r="G176" t="str">
        <f>IFERROR(Tab_Compteur_2[[#This Row],[Montant TTC]]/Tab_Compteur_2[[#This Row],[Delta Jour]],"")</f>
        <v/>
      </c>
      <c r="H176" s="86"/>
      <c r="I176" s="86"/>
      <c r="J176" s="86"/>
      <c r="K176" s="86"/>
      <c r="L176" s="86"/>
    </row>
    <row r="177" spans="1:12" x14ac:dyDescent="0.25">
      <c r="A177" s="101">
        <f t="shared" si="5"/>
        <v>1</v>
      </c>
      <c r="B177" s="3">
        <f>EDATE($B$3,Site!$I$34*(ROW(Tab_Compteur_2[[#This Row],[Début de période]])-3))</f>
        <v>0</v>
      </c>
      <c r="C177" s="184"/>
      <c r="D177" s="105"/>
      <c r="E177">
        <f t="shared" si="4"/>
        <v>0</v>
      </c>
      <c r="F177" t="str">
        <f>IFERROR(Tab_Compteur_2[[#This Row],[Quantité ]]/Tab_Compteur_2[[#This Row],[Delta Jour]],"")</f>
        <v/>
      </c>
      <c r="G177" t="str">
        <f>IFERROR(Tab_Compteur_2[[#This Row],[Montant TTC]]/Tab_Compteur_2[[#This Row],[Delta Jour]],"")</f>
        <v/>
      </c>
      <c r="H177" s="86"/>
      <c r="I177" s="86"/>
      <c r="J177" s="86"/>
      <c r="K177" s="86"/>
      <c r="L177" s="86"/>
    </row>
    <row r="178" spans="1:12" x14ac:dyDescent="0.25">
      <c r="A178" s="101">
        <f t="shared" si="5"/>
        <v>1</v>
      </c>
      <c r="B178" s="3">
        <f>EDATE($B$3,Site!$I$34*(ROW(Tab_Compteur_2[[#This Row],[Début de période]])-3))</f>
        <v>0</v>
      </c>
      <c r="C178" s="184"/>
      <c r="D178" s="105"/>
      <c r="E178">
        <f t="shared" si="4"/>
        <v>0</v>
      </c>
      <c r="F178" t="str">
        <f>IFERROR(Tab_Compteur_2[[#This Row],[Quantité ]]/Tab_Compteur_2[[#This Row],[Delta Jour]],"")</f>
        <v/>
      </c>
      <c r="G178" t="str">
        <f>IFERROR(Tab_Compteur_2[[#This Row],[Montant TTC]]/Tab_Compteur_2[[#This Row],[Delta Jour]],"")</f>
        <v/>
      </c>
      <c r="H178" s="86"/>
      <c r="I178" s="86"/>
      <c r="J178" s="86"/>
      <c r="K178" s="86"/>
      <c r="L178" s="86"/>
    </row>
    <row r="179" spans="1:12" x14ac:dyDescent="0.25">
      <c r="A179" s="101">
        <f t="shared" si="5"/>
        <v>1</v>
      </c>
      <c r="B179" s="3">
        <f>EDATE($B$3,Site!$I$34*(ROW(Tab_Compteur_2[[#This Row],[Début de période]])-3))</f>
        <v>0</v>
      </c>
      <c r="C179" s="184"/>
      <c r="D179" s="105"/>
      <c r="E179">
        <f t="shared" si="4"/>
        <v>0</v>
      </c>
      <c r="F179" t="str">
        <f>IFERROR(Tab_Compteur_2[[#This Row],[Quantité ]]/Tab_Compteur_2[[#This Row],[Delta Jour]],"")</f>
        <v/>
      </c>
      <c r="G179" t="str">
        <f>IFERROR(Tab_Compteur_2[[#This Row],[Montant TTC]]/Tab_Compteur_2[[#This Row],[Delta Jour]],"")</f>
        <v/>
      </c>
      <c r="H179" s="86"/>
      <c r="I179" s="86"/>
      <c r="J179" s="86"/>
      <c r="K179" s="86"/>
      <c r="L179" s="86"/>
    </row>
    <row r="180" spans="1:12" x14ac:dyDescent="0.25">
      <c r="A180" s="101">
        <f t="shared" si="5"/>
        <v>1</v>
      </c>
      <c r="B180" s="3">
        <f>EDATE($B$3,Site!$I$34*(ROW(Tab_Compteur_2[[#This Row],[Début de période]])-3))</f>
        <v>0</v>
      </c>
      <c r="C180" s="184"/>
      <c r="D180" s="105"/>
      <c r="E180">
        <f t="shared" si="4"/>
        <v>0</v>
      </c>
      <c r="F180" t="str">
        <f>IFERROR(Tab_Compteur_2[[#This Row],[Quantité ]]/Tab_Compteur_2[[#This Row],[Delta Jour]],"")</f>
        <v/>
      </c>
      <c r="G180" t="str">
        <f>IFERROR(Tab_Compteur_2[[#This Row],[Montant TTC]]/Tab_Compteur_2[[#This Row],[Delta Jour]],"")</f>
        <v/>
      </c>
      <c r="H180" s="86"/>
      <c r="I180" s="86"/>
      <c r="J180" s="86"/>
      <c r="K180" s="86"/>
      <c r="L180" s="86"/>
    </row>
    <row r="181" spans="1:12" x14ac:dyDescent="0.25">
      <c r="A181" s="101">
        <f t="shared" si="5"/>
        <v>1</v>
      </c>
      <c r="B181" s="3">
        <f>EDATE($B$3,Site!$I$34*(ROW(Tab_Compteur_2[[#This Row],[Début de période]])-3))</f>
        <v>0</v>
      </c>
      <c r="C181" s="184"/>
      <c r="D181" s="105"/>
      <c r="E181">
        <f t="shared" si="4"/>
        <v>0</v>
      </c>
      <c r="F181" t="str">
        <f>IFERROR(Tab_Compteur_2[[#This Row],[Quantité ]]/Tab_Compteur_2[[#This Row],[Delta Jour]],"")</f>
        <v/>
      </c>
      <c r="G181" t="str">
        <f>IFERROR(Tab_Compteur_2[[#This Row],[Montant TTC]]/Tab_Compteur_2[[#This Row],[Delta Jour]],"")</f>
        <v/>
      </c>
      <c r="H181" s="86"/>
      <c r="I181" s="86"/>
      <c r="J181" s="86"/>
      <c r="K181" s="86"/>
      <c r="L181" s="86"/>
    </row>
    <row r="182" spans="1:12" x14ac:dyDescent="0.25">
      <c r="A182" s="101">
        <f t="shared" si="5"/>
        <v>1</v>
      </c>
      <c r="B182" s="3">
        <f>EDATE($B$3,Site!$I$34*(ROW(Tab_Compteur_2[[#This Row],[Début de période]])-3))</f>
        <v>0</v>
      </c>
      <c r="C182" s="184"/>
      <c r="D182" s="105"/>
      <c r="E182">
        <f t="shared" si="4"/>
        <v>0</v>
      </c>
      <c r="F182" t="str">
        <f>IFERROR(Tab_Compteur_2[[#This Row],[Quantité ]]/Tab_Compteur_2[[#This Row],[Delta Jour]],"")</f>
        <v/>
      </c>
      <c r="G182" t="str">
        <f>IFERROR(Tab_Compteur_2[[#This Row],[Montant TTC]]/Tab_Compteur_2[[#This Row],[Delta Jour]],"")</f>
        <v/>
      </c>
      <c r="H182" s="86"/>
      <c r="I182" s="86"/>
      <c r="J182" s="86"/>
      <c r="K182" s="86"/>
      <c r="L182" s="86"/>
    </row>
    <row r="183" spans="1:12" x14ac:dyDescent="0.25">
      <c r="A183" s="101">
        <f t="shared" si="5"/>
        <v>1</v>
      </c>
      <c r="B183" s="3">
        <f>EDATE($B$3,Site!$I$34*(ROW(Tab_Compteur_2[[#This Row],[Début de période]])-3))</f>
        <v>0</v>
      </c>
      <c r="C183" s="184"/>
      <c r="D183" s="105"/>
      <c r="E183">
        <f t="shared" si="4"/>
        <v>0</v>
      </c>
      <c r="F183" t="str">
        <f>IFERROR(Tab_Compteur_2[[#This Row],[Quantité ]]/Tab_Compteur_2[[#This Row],[Delta Jour]],"")</f>
        <v/>
      </c>
      <c r="G183" t="str">
        <f>IFERROR(Tab_Compteur_2[[#This Row],[Montant TTC]]/Tab_Compteur_2[[#This Row],[Delta Jour]],"")</f>
        <v/>
      </c>
      <c r="H183" s="86"/>
      <c r="I183" s="86"/>
      <c r="J183" s="86"/>
      <c r="K183" s="86"/>
      <c r="L183" s="86"/>
    </row>
    <row r="184" spans="1:12" x14ac:dyDescent="0.25">
      <c r="A184" s="101">
        <f t="shared" si="5"/>
        <v>1</v>
      </c>
      <c r="B184" s="3">
        <f>EDATE($B$3,Site!$I$34*(ROW(Tab_Compteur_2[[#This Row],[Début de période]])-3))</f>
        <v>0</v>
      </c>
      <c r="C184" s="184"/>
      <c r="D184" s="105"/>
      <c r="E184">
        <f t="shared" si="4"/>
        <v>0</v>
      </c>
      <c r="F184" t="str">
        <f>IFERROR(Tab_Compteur_2[[#This Row],[Quantité ]]/Tab_Compteur_2[[#This Row],[Delta Jour]],"")</f>
        <v/>
      </c>
      <c r="G184" t="str">
        <f>IFERROR(Tab_Compteur_2[[#This Row],[Montant TTC]]/Tab_Compteur_2[[#This Row],[Delta Jour]],"")</f>
        <v/>
      </c>
      <c r="H184" s="86"/>
      <c r="I184" s="86"/>
      <c r="J184" s="86"/>
      <c r="K184" s="86"/>
      <c r="L184" s="86"/>
    </row>
    <row r="185" spans="1:12" x14ac:dyDescent="0.25">
      <c r="A185" s="101">
        <f t="shared" si="5"/>
        <v>1</v>
      </c>
      <c r="B185" s="3">
        <f>EDATE($B$3,Site!$I$34*(ROW(Tab_Compteur_2[[#This Row],[Début de période]])-3))</f>
        <v>0</v>
      </c>
      <c r="C185" s="184"/>
      <c r="D185" s="105"/>
      <c r="E185">
        <f t="shared" si="4"/>
        <v>0</v>
      </c>
      <c r="F185" t="str">
        <f>IFERROR(Tab_Compteur_2[[#This Row],[Quantité ]]/Tab_Compteur_2[[#This Row],[Delta Jour]],"")</f>
        <v/>
      </c>
      <c r="G185" t="str">
        <f>IFERROR(Tab_Compteur_2[[#This Row],[Montant TTC]]/Tab_Compteur_2[[#This Row],[Delta Jour]],"")</f>
        <v/>
      </c>
      <c r="H185" s="86"/>
      <c r="I185" s="86"/>
      <c r="J185" s="86"/>
      <c r="K185" s="86"/>
      <c r="L185" s="86"/>
    </row>
    <row r="186" spans="1:12" x14ac:dyDescent="0.25">
      <c r="A186" s="101">
        <f t="shared" si="5"/>
        <v>1</v>
      </c>
      <c r="B186" s="3">
        <f>EDATE($B$3,Site!$I$34*(ROW(Tab_Compteur_2[[#This Row],[Début de période]])-3))</f>
        <v>0</v>
      </c>
      <c r="C186" s="184"/>
      <c r="D186" s="105"/>
      <c r="E186">
        <f t="shared" si="4"/>
        <v>0</v>
      </c>
      <c r="F186" t="str">
        <f>IFERROR(Tab_Compteur_2[[#This Row],[Quantité ]]/Tab_Compteur_2[[#This Row],[Delta Jour]],"")</f>
        <v/>
      </c>
      <c r="G186" t="str">
        <f>IFERROR(Tab_Compteur_2[[#This Row],[Montant TTC]]/Tab_Compteur_2[[#This Row],[Delta Jour]],"")</f>
        <v/>
      </c>
      <c r="H186" s="86"/>
      <c r="I186" s="86"/>
      <c r="J186" s="86"/>
      <c r="K186" s="86"/>
      <c r="L186" s="86"/>
    </row>
    <row r="187" spans="1:12" x14ac:dyDescent="0.25">
      <c r="A187" s="101">
        <f t="shared" si="5"/>
        <v>1</v>
      </c>
      <c r="B187" s="3">
        <f>EDATE($B$3,Site!$I$34*(ROW(Tab_Compteur_2[[#This Row],[Début de période]])-3))</f>
        <v>0</v>
      </c>
      <c r="C187" s="184"/>
      <c r="D187" s="105"/>
      <c r="E187">
        <f t="shared" si="4"/>
        <v>0</v>
      </c>
      <c r="F187" t="str">
        <f>IFERROR(Tab_Compteur_2[[#This Row],[Quantité ]]/Tab_Compteur_2[[#This Row],[Delta Jour]],"")</f>
        <v/>
      </c>
      <c r="G187" t="str">
        <f>IFERROR(Tab_Compteur_2[[#This Row],[Montant TTC]]/Tab_Compteur_2[[#This Row],[Delta Jour]],"")</f>
        <v/>
      </c>
      <c r="H187" s="86"/>
      <c r="I187" s="86"/>
      <c r="J187" s="86"/>
      <c r="K187" s="86"/>
      <c r="L187" s="86"/>
    </row>
    <row r="188" spans="1:12" x14ac:dyDescent="0.25">
      <c r="A188" s="101">
        <f t="shared" si="5"/>
        <v>1</v>
      </c>
      <c r="B188" s="3">
        <f>EDATE($B$3,Site!$I$34*(ROW(Tab_Compteur_2[[#This Row],[Début de période]])-3))</f>
        <v>0</v>
      </c>
      <c r="C188" s="184"/>
      <c r="D188" s="105"/>
      <c r="E188">
        <f t="shared" si="4"/>
        <v>0</v>
      </c>
      <c r="F188" t="str">
        <f>IFERROR(Tab_Compteur_2[[#This Row],[Quantité ]]/Tab_Compteur_2[[#This Row],[Delta Jour]],"")</f>
        <v/>
      </c>
      <c r="G188" t="str">
        <f>IFERROR(Tab_Compteur_2[[#This Row],[Montant TTC]]/Tab_Compteur_2[[#This Row],[Delta Jour]],"")</f>
        <v/>
      </c>
      <c r="H188" s="86"/>
      <c r="I188" s="86"/>
      <c r="J188" s="86"/>
      <c r="K188" s="86"/>
      <c r="L188" s="86"/>
    </row>
    <row r="189" spans="1:12" x14ac:dyDescent="0.25">
      <c r="A189" s="101">
        <f t="shared" si="5"/>
        <v>1</v>
      </c>
      <c r="B189" s="3">
        <f>EDATE($B$3,Site!$I$34*(ROW(Tab_Compteur_2[[#This Row],[Début de période]])-3))</f>
        <v>0</v>
      </c>
      <c r="C189" s="184"/>
      <c r="D189" s="105"/>
      <c r="E189">
        <f t="shared" si="4"/>
        <v>0</v>
      </c>
      <c r="F189" t="str">
        <f>IFERROR(Tab_Compteur_2[[#This Row],[Quantité ]]/Tab_Compteur_2[[#This Row],[Delta Jour]],"")</f>
        <v/>
      </c>
      <c r="G189" t="str">
        <f>IFERROR(Tab_Compteur_2[[#This Row],[Montant TTC]]/Tab_Compteur_2[[#This Row],[Delta Jour]],"")</f>
        <v/>
      </c>
      <c r="H189" s="86"/>
      <c r="I189" s="86"/>
      <c r="J189" s="86"/>
      <c r="K189" s="86"/>
      <c r="L189" s="86"/>
    </row>
    <row r="190" spans="1:12" x14ac:dyDescent="0.25">
      <c r="A190" s="101">
        <f t="shared" si="5"/>
        <v>1</v>
      </c>
      <c r="B190" s="3">
        <f>EDATE($B$3,Site!$I$34*(ROW(Tab_Compteur_2[[#This Row],[Début de période]])-3))</f>
        <v>0</v>
      </c>
      <c r="C190" s="184"/>
      <c r="D190" s="105"/>
      <c r="E190">
        <f t="shared" si="4"/>
        <v>0</v>
      </c>
      <c r="F190" t="str">
        <f>IFERROR(Tab_Compteur_2[[#This Row],[Quantité ]]/Tab_Compteur_2[[#This Row],[Delta Jour]],"")</f>
        <v/>
      </c>
      <c r="G190" t="str">
        <f>IFERROR(Tab_Compteur_2[[#This Row],[Montant TTC]]/Tab_Compteur_2[[#This Row],[Delta Jour]],"")</f>
        <v/>
      </c>
      <c r="H190" s="86"/>
      <c r="I190" s="86"/>
      <c r="J190" s="86"/>
      <c r="K190" s="86"/>
      <c r="L190" s="86"/>
    </row>
    <row r="191" spans="1:12" x14ac:dyDescent="0.25">
      <c r="A191" s="101">
        <f t="shared" si="5"/>
        <v>1</v>
      </c>
      <c r="B191" s="3">
        <f>EDATE($B$3,Site!$I$34*(ROW(Tab_Compteur_2[[#This Row],[Début de période]])-3))</f>
        <v>0</v>
      </c>
      <c r="C191" s="184"/>
      <c r="D191" s="105"/>
      <c r="E191">
        <f t="shared" si="4"/>
        <v>0</v>
      </c>
      <c r="F191" t="str">
        <f>IFERROR(Tab_Compteur_2[[#This Row],[Quantité ]]/Tab_Compteur_2[[#This Row],[Delta Jour]],"")</f>
        <v/>
      </c>
      <c r="G191" t="str">
        <f>IFERROR(Tab_Compteur_2[[#This Row],[Montant TTC]]/Tab_Compteur_2[[#This Row],[Delta Jour]],"")</f>
        <v/>
      </c>
      <c r="H191" s="86"/>
      <c r="I191" s="86"/>
      <c r="J191" s="86"/>
      <c r="K191" s="86"/>
      <c r="L191" s="86"/>
    </row>
    <row r="192" spans="1:12" x14ac:dyDescent="0.25">
      <c r="A192" s="101">
        <f t="shared" si="5"/>
        <v>1</v>
      </c>
      <c r="B192" s="3">
        <f>EDATE($B$3,Site!$I$34*(ROW(Tab_Compteur_2[[#This Row],[Début de période]])-3))</f>
        <v>0</v>
      </c>
      <c r="C192" s="184"/>
      <c r="D192" s="105"/>
      <c r="E192">
        <f t="shared" si="4"/>
        <v>0</v>
      </c>
      <c r="F192" t="str">
        <f>IFERROR(Tab_Compteur_2[[#This Row],[Quantité ]]/Tab_Compteur_2[[#This Row],[Delta Jour]],"")</f>
        <v/>
      </c>
      <c r="G192" t="str">
        <f>IFERROR(Tab_Compteur_2[[#This Row],[Montant TTC]]/Tab_Compteur_2[[#This Row],[Delta Jour]],"")</f>
        <v/>
      </c>
      <c r="H192" s="86"/>
      <c r="I192" s="86"/>
      <c r="J192" s="86"/>
      <c r="K192" s="86"/>
      <c r="L192" s="86"/>
    </row>
    <row r="193" spans="1:12" x14ac:dyDescent="0.25">
      <c r="A193" s="101">
        <f t="shared" si="5"/>
        <v>1</v>
      </c>
      <c r="B193" s="3">
        <f>EDATE($B$3,Site!$I$34*(ROW(Tab_Compteur_2[[#This Row],[Début de période]])-3))</f>
        <v>0</v>
      </c>
      <c r="C193" s="184"/>
      <c r="D193" s="105"/>
      <c r="E193">
        <f t="shared" si="4"/>
        <v>0</v>
      </c>
      <c r="F193" t="str">
        <f>IFERROR(Tab_Compteur_2[[#This Row],[Quantité ]]/Tab_Compteur_2[[#This Row],[Delta Jour]],"")</f>
        <v/>
      </c>
      <c r="G193" t="str">
        <f>IFERROR(Tab_Compteur_2[[#This Row],[Montant TTC]]/Tab_Compteur_2[[#This Row],[Delta Jour]],"")</f>
        <v/>
      </c>
      <c r="H193" s="86"/>
      <c r="I193" s="86"/>
      <c r="J193" s="86"/>
      <c r="K193" s="86"/>
      <c r="L193" s="86"/>
    </row>
    <row r="194" spans="1:12" x14ac:dyDescent="0.25">
      <c r="A194" s="101">
        <f t="shared" si="5"/>
        <v>1</v>
      </c>
      <c r="B194" s="3">
        <f>EDATE($B$3,Site!$I$34*(ROW(Tab_Compteur_2[[#This Row],[Début de période]])-3))</f>
        <v>0</v>
      </c>
      <c r="C194" s="184"/>
      <c r="D194" s="105"/>
      <c r="E194">
        <f t="shared" si="4"/>
        <v>0</v>
      </c>
      <c r="F194" t="str">
        <f>IFERROR(Tab_Compteur_2[[#This Row],[Quantité ]]/Tab_Compteur_2[[#This Row],[Delta Jour]],"")</f>
        <v/>
      </c>
      <c r="G194" t="str">
        <f>IFERROR(Tab_Compteur_2[[#This Row],[Montant TTC]]/Tab_Compteur_2[[#This Row],[Delta Jour]],"")</f>
        <v/>
      </c>
      <c r="H194" s="86"/>
      <c r="I194" s="86"/>
      <c r="J194" s="86"/>
      <c r="K194" s="86"/>
      <c r="L194" s="86"/>
    </row>
    <row r="195" spans="1:12" x14ac:dyDescent="0.25">
      <c r="A195" s="101">
        <f t="shared" si="5"/>
        <v>1</v>
      </c>
      <c r="B195" s="3">
        <f>EDATE($B$3,Site!$I$34*(ROW(Tab_Compteur_2[[#This Row],[Début de période]])-3))</f>
        <v>0</v>
      </c>
      <c r="C195" s="184"/>
      <c r="D195" s="105"/>
      <c r="E195">
        <f t="shared" si="4"/>
        <v>0</v>
      </c>
      <c r="F195" t="str">
        <f>IFERROR(Tab_Compteur_2[[#This Row],[Quantité ]]/Tab_Compteur_2[[#This Row],[Delta Jour]],"")</f>
        <v/>
      </c>
      <c r="G195" t="str">
        <f>IFERROR(Tab_Compteur_2[[#This Row],[Montant TTC]]/Tab_Compteur_2[[#This Row],[Delta Jour]],"")</f>
        <v/>
      </c>
      <c r="H195" s="86"/>
      <c r="I195" s="86"/>
      <c r="J195" s="86"/>
      <c r="K195" s="86"/>
      <c r="L195" s="86"/>
    </row>
    <row r="196" spans="1:12" x14ac:dyDescent="0.25">
      <c r="A196" s="101">
        <f t="shared" si="5"/>
        <v>1</v>
      </c>
      <c r="B196" s="3">
        <f>EDATE($B$3,Site!$I$34*(ROW(Tab_Compteur_2[[#This Row],[Début de période]])-3))</f>
        <v>0</v>
      </c>
      <c r="C196" s="184"/>
      <c r="D196" s="105"/>
      <c r="E196">
        <f t="shared" ref="E196:E243" si="7">IFERROR(B196-A196+1,"")</f>
        <v>0</v>
      </c>
      <c r="F196" t="str">
        <f>IFERROR(Tab_Compteur_2[[#This Row],[Quantité ]]/Tab_Compteur_2[[#This Row],[Delta Jour]],"")</f>
        <v/>
      </c>
      <c r="G196" t="str">
        <f>IFERROR(Tab_Compteur_2[[#This Row],[Montant TTC]]/Tab_Compteur_2[[#This Row],[Delta Jour]],"")</f>
        <v/>
      </c>
      <c r="H196" s="86"/>
      <c r="I196" s="86"/>
      <c r="J196" s="86"/>
      <c r="K196" s="86"/>
      <c r="L196" s="86"/>
    </row>
    <row r="197" spans="1:12" x14ac:dyDescent="0.25">
      <c r="A197" s="101">
        <f t="shared" ref="A197:A243" si="8">B196+1</f>
        <v>1</v>
      </c>
      <c r="B197" s="3">
        <f>EDATE($B$3,Site!$I$34*(ROW(Tab_Compteur_2[[#This Row],[Début de période]])-3))</f>
        <v>0</v>
      </c>
      <c r="C197" s="184"/>
      <c r="D197" s="105"/>
      <c r="E197">
        <f t="shared" si="7"/>
        <v>0</v>
      </c>
      <c r="F197" t="str">
        <f>IFERROR(Tab_Compteur_2[[#This Row],[Quantité ]]/Tab_Compteur_2[[#This Row],[Delta Jour]],"")</f>
        <v/>
      </c>
      <c r="G197" t="str">
        <f>IFERROR(Tab_Compteur_2[[#This Row],[Montant TTC]]/Tab_Compteur_2[[#This Row],[Delta Jour]],"")</f>
        <v/>
      </c>
      <c r="H197" s="86"/>
      <c r="I197" s="86"/>
      <c r="J197" s="86"/>
      <c r="K197" s="86"/>
      <c r="L197" s="86"/>
    </row>
    <row r="198" spans="1:12" x14ac:dyDescent="0.25">
      <c r="A198" s="101">
        <f t="shared" si="8"/>
        <v>1</v>
      </c>
      <c r="B198" s="3">
        <f>EDATE($B$3,Site!$I$34*(ROW(Tab_Compteur_2[[#This Row],[Début de période]])-3))</f>
        <v>0</v>
      </c>
      <c r="C198" s="184"/>
      <c r="D198" s="105"/>
      <c r="E198">
        <f t="shared" si="7"/>
        <v>0</v>
      </c>
      <c r="F198" t="str">
        <f>IFERROR(Tab_Compteur_2[[#This Row],[Quantité ]]/Tab_Compteur_2[[#This Row],[Delta Jour]],"")</f>
        <v/>
      </c>
      <c r="G198" t="str">
        <f>IFERROR(Tab_Compteur_2[[#This Row],[Montant TTC]]/Tab_Compteur_2[[#This Row],[Delta Jour]],"")</f>
        <v/>
      </c>
      <c r="H198" s="86"/>
      <c r="I198" s="86"/>
      <c r="J198" s="86"/>
      <c r="K198" s="86"/>
      <c r="L198" s="86"/>
    </row>
    <row r="199" spans="1:12" x14ac:dyDescent="0.25">
      <c r="A199" s="101">
        <f t="shared" si="8"/>
        <v>1</v>
      </c>
      <c r="B199" s="3">
        <f>EDATE($B$3,Site!$I$34*(ROW(Tab_Compteur_2[[#This Row],[Début de période]])-3))</f>
        <v>0</v>
      </c>
      <c r="C199" s="184"/>
      <c r="D199" s="105"/>
      <c r="E199">
        <f t="shared" si="7"/>
        <v>0</v>
      </c>
      <c r="F199" t="str">
        <f>IFERROR(Tab_Compteur_2[[#This Row],[Quantité ]]/Tab_Compteur_2[[#This Row],[Delta Jour]],"")</f>
        <v/>
      </c>
      <c r="G199" t="str">
        <f>IFERROR(Tab_Compteur_2[[#This Row],[Montant TTC]]/Tab_Compteur_2[[#This Row],[Delta Jour]],"")</f>
        <v/>
      </c>
      <c r="H199" s="86"/>
      <c r="I199" s="86"/>
      <c r="J199" s="86"/>
      <c r="K199" s="86"/>
      <c r="L199" s="86"/>
    </row>
    <row r="200" spans="1:12" x14ac:dyDescent="0.25">
      <c r="A200" s="101">
        <f t="shared" si="8"/>
        <v>1</v>
      </c>
      <c r="B200" s="3">
        <f>EDATE($B$3,Site!$I$34*(ROW(Tab_Compteur_2[[#This Row],[Début de période]])-3))</f>
        <v>0</v>
      </c>
      <c r="C200" s="184"/>
      <c r="D200" s="105"/>
      <c r="E200">
        <f t="shared" si="7"/>
        <v>0</v>
      </c>
      <c r="F200" t="str">
        <f>IFERROR(Tab_Compteur_2[[#This Row],[Quantité ]]/Tab_Compteur_2[[#This Row],[Delta Jour]],"")</f>
        <v/>
      </c>
      <c r="G200" t="str">
        <f>IFERROR(Tab_Compteur_2[[#This Row],[Montant TTC]]/Tab_Compteur_2[[#This Row],[Delta Jour]],"")</f>
        <v/>
      </c>
      <c r="H200" s="86"/>
      <c r="I200" s="86"/>
      <c r="J200" s="86"/>
      <c r="K200" s="86"/>
      <c r="L200" s="86"/>
    </row>
    <row r="201" spans="1:12" x14ac:dyDescent="0.25">
      <c r="A201" s="101">
        <f t="shared" si="8"/>
        <v>1</v>
      </c>
      <c r="B201" s="3">
        <f>EDATE($B$3,Site!$I$34*(ROW(Tab_Compteur_2[[#This Row],[Début de période]])-3))</f>
        <v>0</v>
      </c>
      <c r="C201" s="184"/>
      <c r="D201" s="105"/>
      <c r="E201">
        <f t="shared" si="7"/>
        <v>0</v>
      </c>
      <c r="F201" t="str">
        <f>IFERROR(Tab_Compteur_2[[#This Row],[Quantité ]]/Tab_Compteur_2[[#This Row],[Delta Jour]],"")</f>
        <v/>
      </c>
      <c r="G201" t="str">
        <f>IFERROR(Tab_Compteur_2[[#This Row],[Montant TTC]]/Tab_Compteur_2[[#This Row],[Delta Jour]],"")</f>
        <v/>
      </c>
      <c r="H201" s="86"/>
      <c r="I201" s="86"/>
      <c r="J201" s="86"/>
      <c r="K201" s="86"/>
      <c r="L201" s="86"/>
    </row>
    <row r="202" spans="1:12" x14ac:dyDescent="0.25">
      <c r="A202" s="101">
        <f t="shared" si="8"/>
        <v>1</v>
      </c>
      <c r="B202" s="3">
        <f>EDATE($B$3,Site!$I$34*(ROW(Tab_Compteur_2[[#This Row],[Début de période]])-3))</f>
        <v>0</v>
      </c>
      <c r="C202" s="184"/>
      <c r="D202" s="105"/>
      <c r="E202">
        <f t="shared" si="7"/>
        <v>0</v>
      </c>
      <c r="F202" t="str">
        <f>IFERROR(Tab_Compteur_2[[#This Row],[Quantité ]]/Tab_Compteur_2[[#This Row],[Delta Jour]],"")</f>
        <v/>
      </c>
      <c r="G202" t="str">
        <f>IFERROR(Tab_Compteur_2[[#This Row],[Montant TTC]]/Tab_Compteur_2[[#This Row],[Delta Jour]],"")</f>
        <v/>
      </c>
      <c r="H202" s="86"/>
      <c r="I202" s="86"/>
      <c r="J202" s="86"/>
      <c r="K202" s="86"/>
      <c r="L202" s="86"/>
    </row>
    <row r="203" spans="1:12" x14ac:dyDescent="0.25">
      <c r="A203" s="101">
        <f t="shared" si="8"/>
        <v>1</v>
      </c>
      <c r="B203" s="3">
        <f>EDATE($B$3,Site!$I$34*(ROW(Tab_Compteur_2[[#This Row],[Début de période]])-3))</f>
        <v>0</v>
      </c>
      <c r="C203" s="184"/>
      <c r="D203" s="105"/>
      <c r="E203">
        <f t="shared" si="7"/>
        <v>0</v>
      </c>
      <c r="F203" t="str">
        <f>IFERROR(Tab_Compteur_2[[#This Row],[Quantité ]]/Tab_Compteur_2[[#This Row],[Delta Jour]],"")</f>
        <v/>
      </c>
      <c r="G203" t="str">
        <f>IFERROR(Tab_Compteur_2[[#This Row],[Montant TTC]]/Tab_Compteur_2[[#This Row],[Delta Jour]],"")</f>
        <v/>
      </c>
      <c r="H203" s="86"/>
      <c r="I203" s="86"/>
      <c r="J203" s="86"/>
      <c r="K203" s="86"/>
      <c r="L203" s="86"/>
    </row>
    <row r="204" spans="1:12" x14ac:dyDescent="0.25">
      <c r="A204" s="101">
        <f t="shared" si="8"/>
        <v>1</v>
      </c>
      <c r="B204" s="3">
        <f>EDATE($B$3,Site!$I$34*(ROW(Tab_Compteur_2[[#This Row],[Début de période]])-3))</f>
        <v>0</v>
      </c>
      <c r="C204" s="184"/>
      <c r="D204" s="105"/>
      <c r="E204">
        <f t="shared" si="7"/>
        <v>0</v>
      </c>
      <c r="F204" t="str">
        <f>IFERROR(Tab_Compteur_2[[#This Row],[Quantité ]]/Tab_Compteur_2[[#This Row],[Delta Jour]],"")</f>
        <v/>
      </c>
      <c r="G204" t="str">
        <f>IFERROR(Tab_Compteur_2[[#This Row],[Montant TTC]]/Tab_Compteur_2[[#This Row],[Delta Jour]],"")</f>
        <v/>
      </c>
      <c r="H204" s="86"/>
      <c r="I204" s="86"/>
      <c r="J204" s="86"/>
      <c r="K204" s="86"/>
      <c r="L204" s="86"/>
    </row>
    <row r="205" spans="1:12" x14ac:dyDescent="0.25">
      <c r="A205" s="101">
        <f t="shared" si="8"/>
        <v>1</v>
      </c>
      <c r="B205" s="3">
        <f>EDATE($B$3,Site!$I$34*(ROW(Tab_Compteur_2[[#This Row],[Début de période]])-3))</f>
        <v>0</v>
      </c>
      <c r="C205" s="184"/>
      <c r="D205" s="105"/>
      <c r="E205">
        <f t="shared" si="7"/>
        <v>0</v>
      </c>
      <c r="F205" t="str">
        <f>IFERROR(Tab_Compteur_2[[#This Row],[Quantité ]]/Tab_Compteur_2[[#This Row],[Delta Jour]],"")</f>
        <v/>
      </c>
      <c r="G205" t="str">
        <f>IFERROR(Tab_Compteur_2[[#This Row],[Montant TTC]]/Tab_Compteur_2[[#This Row],[Delta Jour]],"")</f>
        <v/>
      </c>
      <c r="H205" s="86"/>
      <c r="I205" s="86"/>
      <c r="J205" s="86"/>
      <c r="K205" s="86"/>
      <c r="L205" s="86"/>
    </row>
    <row r="206" spans="1:12" x14ac:dyDescent="0.25">
      <c r="A206" s="101">
        <f t="shared" si="8"/>
        <v>1</v>
      </c>
      <c r="B206" s="3">
        <f>EDATE($B$3,Site!$I$34*(ROW(Tab_Compteur_2[[#This Row],[Début de période]])-3))</f>
        <v>0</v>
      </c>
      <c r="C206" s="184"/>
      <c r="D206" s="105"/>
      <c r="E206">
        <f t="shared" si="7"/>
        <v>0</v>
      </c>
      <c r="F206" t="str">
        <f>IFERROR(Tab_Compteur_2[[#This Row],[Quantité ]]/Tab_Compteur_2[[#This Row],[Delta Jour]],"")</f>
        <v/>
      </c>
      <c r="G206" t="str">
        <f>IFERROR(Tab_Compteur_2[[#This Row],[Montant TTC]]/Tab_Compteur_2[[#This Row],[Delta Jour]],"")</f>
        <v/>
      </c>
      <c r="H206" s="86"/>
      <c r="I206" s="86"/>
      <c r="J206" s="86"/>
      <c r="K206" s="86"/>
      <c r="L206" s="86"/>
    </row>
    <row r="207" spans="1:12" x14ac:dyDescent="0.25">
      <c r="A207" s="101">
        <f t="shared" si="8"/>
        <v>1</v>
      </c>
      <c r="B207" s="3">
        <f>EDATE($B$3,Site!$I$34*(ROW(Tab_Compteur_2[[#This Row],[Début de période]])-3))</f>
        <v>0</v>
      </c>
      <c r="C207" s="184"/>
      <c r="D207" s="105"/>
      <c r="E207">
        <f t="shared" si="7"/>
        <v>0</v>
      </c>
      <c r="F207" t="str">
        <f>IFERROR(Tab_Compteur_2[[#This Row],[Quantité ]]/Tab_Compteur_2[[#This Row],[Delta Jour]],"")</f>
        <v/>
      </c>
      <c r="G207" t="str">
        <f>IFERROR(Tab_Compteur_2[[#This Row],[Montant TTC]]/Tab_Compteur_2[[#This Row],[Delta Jour]],"")</f>
        <v/>
      </c>
      <c r="H207" s="86"/>
      <c r="I207" s="86"/>
      <c r="J207" s="86"/>
      <c r="K207" s="86"/>
      <c r="L207" s="86"/>
    </row>
    <row r="208" spans="1:12" x14ac:dyDescent="0.25">
      <c r="A208" s="101">
        <f t="shared" si="8"/>
        <v>1</v>
      </c>
      <c r="B208" s="3">
        <f>EDATE($B$3,Site!$I$34*(ROW(Tab_Compteur_2[[#This Row],[Début de période]])-3))</f>
        <v>0</v>
      </c>
      <c r="C208" s="184"/>
      <c r="D208" s="105"/>
      <c r="E208">
        <f t="shared" si="7"/>
        <v>0</v>
      </c>
      <c r="F208" t="str">
        <f>IFERROR(Tab_Compteur_2[[#This Row],[Quantité ]]/Tab_Compteur_2[[#This Row],[Delta Jour]],"")</f>
        <v/>
      </c>
      <c r="G208" t="str">
        <f>IFERROR(Tab_Compteur_2[[#This Row],[Montant TTC]]/Tab_Compteur_2[[#This Row],[Delta Jour]],"")</f>
        <v/>
      </c>
      <c r="H208" s="86"/>
      <c r="I208" s="86"/>
      <c r="J208" s="86"/>
      <c r="K208" s="86"/>
      <c r="L208" s="86"/>
    </row>
    <row r="209" spans="1:12" x14ac:dyDescent="0.25">
      <c r="A209" s="101">
        <f t="shared" si="8"/>
        <v>1</v>
      </c>
      <c r="B209" s="3">
        <f>EDATE($B$3,Site!$I$34*(ROW(Tab_Compteur_2[[#This Row],[Début de période]])-3))</f>
        <v>0</v>
      </c>
      <c r="C209" s="184"/>
      <c r="D209" s="105"/>
      <c r="E209">
        <f t="shared" si="7"/>
        <v>0</v>
      </c>
      <c r="F209" t="str">
        <f>IFERROR(Tab_Compteur_2[[#This Row],[Quantité ]]/Tab_Compteur_2[[#This Row],[Delta Jour]],"")</f>
        <v/>
      </c>
      <c r="G209" t="str">
        <f>IFERROR(Tab_Compteur_2[[#This Row],[Montant TTC]]/Tab_Compteur_2[[#This Row],[Delta Jour]],"")</f>
        <v/>
      </c>
      <c r="H209" s="86"/>
      <c r="I209" s="86"/>
      <c r="J209" s="86"/>
      <c r="K209" s="86"/>
      <c r="L209" s="86"/>
    </row>
    <row r="210" spans="1:12" x14ac:dyDescent="0.25">
      <c r="A210" s="101">
        <f t="shared" si="8"/>
        <v>1</v>
      </c>
      <c r="B210" s="3">
        <f>EDATE($B$3,Site!$I$34*(ROW(Tab_Compteur_2[[#This Row],[Début de période]])-3))</f>
        <v>0</v>
      </c>
      <c r="C210" s="184"/>
      <c r="D210" s="105"/>
      <c r="E210">
        <f t="shared" si="7"/>
        <v>0</v>
      </c>
      <c r="F210" t="str">
        <f>IFERROR(Tab_Compteur_2[[#This Row],[Quantité ]]/Tab_Compteur_2[[#This Row],[Delta Jour]],"")</f>
        <v/>
      </c>
      <c r="G210" t="str">
        <f>IFERROR(Tab_Compteur_2[[#This Row],[Montant TTC]]/Tab_Compteur_2[[#This Row],[Delta Jour]],"")</f>
        <v/>
      </c>
      <c r="H210" s="86"/>
      <c r="I210" s="86"/>
      <c r="J210" s="86"/>
      <c r="K210" s="86"/>
      <c r="L210" s="86"/>
    </row>
    <row r="211" spans="1:12" x14ac:dyDescent="0.25">
      <c r="A211" s="101">
        <f t="shared" si="8"/>
        <v>1</v>
      </c>
      <c r="B211" s="3">
        <f>EDATE($B$3,Site!$I$34*(ROW(Tab_Compteur_2[[#This Row],[Début de période]])-3))</f>
        <v>0</v>
      </c>
      <c r="C211" s="184"/>
      <c r="D211" s="105"/>
      <c r="E211">
        <f t="shared" si="7"/>
        <v>0</v>
      </c>
      <c r="F211" t="str">
        <f>IFERROR(Tab_Compteur_2[[#This Row],[Quantité ]]/Tab_Compteur_2[[#This Row],[Delta Jour]],"")</f>
        <v/>
      </c>
      <c r="G211" t="str">
        <f>IFERROR(Tab_Compteur_2[[#This Row],[Montant TTC]]/Tab_Compteur_2[[#This Row],[Delta Jour]],"")</f>
        <v/>
      </c>
      <c r="H211" s="86"/>
      <c r="I211" s="86"/>
      <c r="J211" s="86"/>
      <c r="K211" s="86"/>
      <c r="L211" s="86"/>
    </row>
    <row r="212" spans="1:12" x14ac:dyDescent="0.25">
      <c r="A212" s="101">
        <f t="shared" si="8"/>
        <v>1</v>
      </c>
      <c r="B212" s="3">
        <f>EDATE($B$3,Site!$I$34*(ROW(Tab_Compteur_2[[#This Row],[Début de période]])-3))</f>
        <v>0</v>
      </c>
      <c r="C212" s="184"/>
      <c r="D212" s="105"/>
      <c r="E212">
        <f t="shared" si="7"/>
        <v>0</v>
      </c>
      <c r="F212" t="str">
        <f>IFERROR(Tab_Compteur_2[[#This Row],[Quantité ]]/Tab_Compteur_2[[#This Row],[Delta Jour]],"")</f>
        <v/>
      </c>
      <c r="G212" t="str">
        <f>IFERROR(Tab_Compteur_2[[#This Row],[Montant TTC]]/Tab_Compteur_2[[#This Row],[Delta Jour]],"")</f>
        <v/>
      </c>
      <c r="H212" s="86"/>
      <c r="I212" s="86"/>
      <c r="J212" s="86"/>
      <c r="K212" s="86"/>
      <c r="L212" s="86"/>
    </row>
    <row r="213" spans="1:12" x14ac:dyDescent="0.25">
      <c r="A213" s="101">
        <f t="shared" si="8"/>
        <v>1</v>
      </c>
      <c r="B213" s="3">
        <f>EDATE($B$3,Site!$I$34*(ROW(Tab_Compteur_2[[#This Row],[Début de période]])-3))</f>
        <v>0</v>
      </c>
      <c r="C213" s="184"/>
      <c r="D213" s="105"/>
      <c r="E213">
        <f t="shared" si="7"/>
        <v>0</v>
      </c>
      <c r="F213" t="str">
        <f>IFERROR(Tab_Compteur_2[[#This Row],[Quantité ]]/Tab_Compteur_2[[#This Row],[Delta Jour]],"")</f>
        <v/>
      </c>
      <c r="G213" t="str">
        <f>IFERROR(Tab_Compteur_2[[#This Row],[Montant TTC]]/Tab_Compteur_2[[#This Row],[Delta Jour]],"")</f>
        <v/>
      </c>
      <c r="H213" s="86"/>
      <c r="I213" s="86"/>
      <c r="J213" s="86"/>
      <c r="K213" s="86"/>
      <c r="L213" s="86"/>
    </row>
    <row r="214" spans="1:12" x14ac:dyDescent="0.25">
      <c r="A214" s="101">
        <f t="shared" si="8"/>
        <v>1</v>
      </c>
      <c r="B214" s="3">
        <f>EDATE($B$3,Site!$I$34*(ROW(Tab_Compteur_2[[#This Row],[Début de période]])-3))</f>
        <v>0</v>
      </c>
      <c r="C214" s="184"/>
      <c r="D214" s="105"/>
      <c r="E214">
        <f t="shared" si="7"/>
        <v>0</v>
      </c>
      <c r="F214" t="str">
        <f>IFERROR(Tab_Compteur_2[[#This Row],[Quantité ]]/Tab_Compteur_2[[#This Row],[Delta Jour]],"")</f>
        <v/>
      </c>
      <c r="G214" t="str">
        <f>IFERROR(Tab_Compteur_2[[#This Row],[Montant TTC]]/Tab_Compteur_2[[#This Row],[Delta Jour]],"")</f>
        <v/>
      </c>
      <c r="H214" s="86"/>
      <c r="I214" s="86"/>
      <c r="J214" s="86"/>
      <c r="K214" s="86"/>
      <c r="L214" s="86"/>
    </row>
    <row r="215" spans="1:12" x14ac:dyDescent="0.25">
      <c r="A215" s="101">
        <f t="shared" si="8"/>
        <v>1</v>
      </c>
      <c r="B215" s="3">
        <f>EDATE($B$3,Site!$I$34*(ROW(Tab_Compteur_2[[#This Row],[Début de période]])-3))</f>
        <v>0</v>
      </c>
      <c r="C215" s="184"/>
      <c r="D215" s="105"/>
      <c r="E215">
        <f t="shared" si="7"/>
        <v>0</v>
      </c>
      <c r="F215" t="str">
        <f>IFERROR(Tab_Compteur_2[[#This Row],[Quantité ]]/Tab_Compteur_2[[#This Row],[Delta Jour]],"")</f>
        <v/>
      </c>
      <c r="G215" t="str">
        <f>IFERROR(Tab_Compteur_2[[#This Row],[Montant TTC]]/Tab_Compteur_2[[#This Row],[Delta Jour]],"")</f>
        <v/>
      </c>
      <c r="H215" s="86"/>
      <c r="I215" s="86"/>
      <c r="J215" s="86"/>
      <c r="K215" s="86"/>
      <c r="L215" s="86"/>
    </row>
    <row r="216" spans="1:12" x14ac:dyDescent="0.25">
      <c r="A216" s="101">
        <f t="shared" si="8"/>
        <v>1</v>
      </c>
      <c r="B216" s="3">
        <f>EDATE($B$3,Site!$I$34*(ROW(Tab_Compteur_2[[#This Row],[Début de période]])-3))</f>
        <v>0</v>
      </c>
      <c r="C216" s="184"/>
      <c r="D216" s="105"/>
      <c r="E216">
        <f t="shared" si="7"/>
        <v>0</v>
      </c>
      <c r="F216" t="str">
        <f>IFERROR(Tab_Compteur_2[[#This Row],[Quantité ]]/Tab_Compteur_2[[#This Row],[Delta Jour]],"")</f>
        <v/>
      </c>
      <c r="G216" t="str">
        <f>IFERROR(Tab_Compteur_2[[#This Row],[Montant TTC]]/Tab_Compteur_2[[#This Row],[Delta Jour]],"")</f>
        <v/>
      </c>
      <c r="H216" s="86"/>
      <c r="I216" s="86"/>
      <c r="J216" s="86"/>
      <c r="K216" s="86"/>
      <c r="L216" s="86"/>
    </row>
    <row r="217" spans="1:12" x14ac:dyDescent="0.25">
      <c r="A217" s="101">
        <f t="shared" si="8"/>
        <v>1</v>
      </c>
      <c r="B217" s="3">
        <f>EDATE($B$3,Site!$I$34*(ROW(Tab_Compteur_2[[#This Row],[Début de période]])-3))</f>
        <v>0</v>
      </c>
      <c r="C217" s="184"/>
      <c r="D217" s="105"/>
      <c r="E217">
        <f t="shared" si="7"/>
        <v>0</v>
      </c>
      <c r="F217" t="str">
        <f>IFERROR(Tab_Compteur_2[[#This Row],[Quantité ]]/Tab_Compteur_2[[#This Row],[Delta Jour]],"")</f>
        <v/>
      </c>
      <c r="G217" t="str">
        <f>IFERROR(Tab_Compteur_2[[#This Row],[Montant TTC]]/Tab_Compteur_2[[#This Row],[Delta Jour]],"")</f>
        <v/>
      </c>
      <c r="H217" s="86"/>
      <c r="I217" s="86"/>
      <c r="J217" s="86"/>
      <c r="K217" s="86"/>
      <c r="L217" s="86"/>
    </row>
    <row r="218" spans="1:12" x14ac:dyDescent="0.25">
      <c r="A218" s="101">
        <f t="shared" si="8"/>
        <v>1</v>
      </c>
      <c r="B218" s="3">
        <f>EDATE($B$3,Site!$I$34*(ROW(Tab_Compteur_2[[#This Row],[Début de période]])-3))</f>
        <v>0</v>
      </c>
      <c r="C218" s="184"/>
      <c r="D218" s="105"/>
      <c r="E218">
        <f t="shared" si="7"/>
        <v>0</v>
      </c>
      <c r="F218" t="str">
        <f>IFERROR(Tab_Compteur_2[[#This Row],[Quantité ]]/Tab_Compteur_2[[#This Row],[Delta Jour]],"")</f>
        <v/>
      </c>
      <c r="G218" t="str">
        <f>IFERROR(Tab_Compteur_2[[#This Row],[Montant TTC]]/Tab_Compteur_2[[#This Row],[Delta Jour]],"")</f>
        <v/>
      </c>
      <c r="H218" s="86"/>
      <c r="I218" s="86"/>
      <c r="J218" s="86"/>
      <c r="K218" s="86"/>
      <c r="L218" s="86"/>
    </row>
    <row r="219" spans="1:12" x14ac:dyDescent="0.25">
      <c r="A219" s="101">
        <f t="shared" si="8"/>
        <v>1</v>
      </c>
      <c r="B219" s="3">
        <f>EDATE($B$3,Site!$I$34*(ROW(Tab_Compteur_2[[#This Row],[Début de période]])-3))</f>
        <v>0</v>
      </c>
      <c r="C219" s="184"/>
      <c r="D219" s="105"/>
      <c r="E219">
        <f t="shared" si="7"/>
        <v>0</v>
      </c>
      <c r="F219" t="str">
        <f>IFERROR(Tab_Compteur_2[[#This Row],[Quantité ]]/Tab_Compteur_2[[#This Row],[Delta Jour]],"")</f>
        <v/>
      </c>
      <c r="G219" t="str">
        <f>IFERROR(Tab_Compteur_2[[#This Row],[Montant TTC]]/Tab_Compteur_2[[#This Row],[Delta Jour]],"")</f>
        <v/>
      </c>
      <c r="H219" s="86"/>
      <c r="I219" s="86"/>
      <c r="J219" s="86"/>
      <c r="K219" s="86"/>
      <c r="L219" s="86"/>
    </row>
    <row r="220" spans="1:12" x14ac:dyDescent="0.25">
      <c r="A220" s="101">
        <f t="shared" si="8"/>
        <v>1</v>
      </c>
      <c r="B220" s="3">
        <f>EDATE($B$3,Site!$I$34*(ROW(Tab_Compteur_2[[#This Row],[Début de période]])-3))</f>
        <v>0</v>
      </c>
      <c r="C220" s="184"/>
      <c r="D220" s="105"/>
      <c r="E220">
        <f t="shared" si="7"/>
        <v>0</v>
      </c>
      <c r="F220" t="str">
        <f>IFERROR(Tab_Compteur_2[[#This Row],[Quantité ]]/Tab_Compteur_2[[#This Row],[Delta Jour]],"")</f>
        <v/>
      </c>
      <c r="G220" t="str">
        <f>IFERROR(Tab_Compteur_2[[#This Row],[Montant TTC]]/Tab_Compteur_2[[#This Row],[Delta Jour]],"")</f>
        <v/>
      </c>
      <c r="H220" s="86"/>
      <c r="I220" s="86"/>
      <c r="J220" s="86"/>
      <c r="K220" s="86"/>
      <c r="L220" s="86"/>
    </row>
    <row r="221" spans="1:12" x14ac:dyDescent="0.25">
      <c r="A221" s="101">
        <f t="shared" si="8"/>
        <v>1</v>
      </c>
      <c r="B221" s="3">
        <f>EDATE($B$3,Site!$I$34*(ROW(Tab_Compteur_2[[#This Row],[Début de période]])-3))</f>
        <v>0</v>
      </c>
      <c r="C221" s="184"/>
      <c r="D221" s="105"/>
      <c r="E221">
        <f t="shared" si="7"/>
        <v>0</v>
      </c>
      <c r="F221" t="str">
        <f>IFERROR(Tab_Compteur_2[[#This Row],[Quantité ]]/Tab_Compteur_2[[#This Row],[Delta Jour]],"")</f>
        <v/>
      </c>
      <c r="G221" t="str">
        <f>IFERROR(Tab_Compteur_2[[#This Row],[Montant TTC]]/Tab_Compteur_2[[#This Row],[Delta Jour]],"")</f>
        <v/>
      </c>
      <c r="H221" s="86"/>
      <c r="I221" s="86"/>
      <c r="J221" s="86"/>
      <c r="K221" s="86"/>
      <c r="L221" s="86"/>
    </row>
    <row r="222" spans="1:12" x14ac:dyDescent="0.25">
      <c r="A222" s="101">
        <f t="shared" si="8"/>
        <v>1</v>
      </c>
      <c r="B222" s="3">
        <f>EDATE($B$3,Site!$I$34*(ROW(Tab_Compteur_2[[#This Row],[Début de période]])-3))</f>
        <v>0</v>
      </c>
      <c r="C222" s="184"/>
      <c r="D222" s="105"/>
      <c r="E222">
        <f t="shared" si="7"/>
        <v>0</v>
      </c>
      <c r="F222" t="str">
        <f>IFERROR(Tab_Compteur_2[[#This Row],[Quantité ]]/Tab_Compteur_2[[#This Row],[Delta Jour]],"")</f>
        <v/>
      </c>
      <c r="G222" t="str">
        <f>IFERROR(Tab_Compteur_2[[#This Row],[Montant TTC]]/Tab_Compteur_2[[#This Row],[Delta Jour]],"")</f>
        <v/>
      </c>
      <c r="H222" s="86"/>
      <c r="I222" s="86"/>
      <c r="J222" s="86"/>
      <c r="K222" s="86"/>
      <c r="L222" s="86"/>
    </row>
    <row r="223" spans="1:12" x14ac:dyDescent="0.25">
      <c r="A223" s="101">
        <f t="shared" si="8"/>
        <v>1</v>
      </c>
      <c r="B223" s="3">
        <f>EDATE($B$3,Site!$I$34*(ROW(Tab_Compteur_2[[#This Row],[Début de période]])-3))</f>
        <v>0</v>
      </c>
      <c r="C223" s="184"/>
      <c r="D223" s="105"/>
      <c r="E223">
        <f t="shared" si="7"/>
        <v>0</v>
      </c>
      <c r="F223" t="str">
        <f>IFERROR(Tab_Compteur_2[[#This Row],[Quantité ]]/Tab_Compteur_2[[#This Row],[Delta Jour]],"")</f>
        <v/>
      </c>
      <c r="G223" t="str">
        <f>IFERROR(Tab_Compteur_2[[#This Row],[Montant TTC]]/Tab_Compteur_2[[#This Row],[Delta Jour]],"")</f>
        <v/>
      </c>
      <c r="H223" s="86"/>
      <c r="I223" s="86"/>
      <c r="J223" s="86"/>
      <c r="K223" s="86"/>
      <c r="L223" s="86"/>
    </row>
    <row r="224" spans="1:12" x14ac:dyDescent="0.25">
      <c r="A224" s="101">
        <f t="shared" si="8"/>
        <v>1</v>
      </c>
      <c r="B224" s="3">
        <f>EDATE($B$3,Site!$I$34*(ROW(Tab_Compteur_2[[#This Row],[Début de période]])-3))</f>
        <v>0</v>
      </c>
      <c r="C224" s="184"/>
      <c r="D224" s="105"/>
      <c r="E224">
        <f t="shared" si="7"/>
        <v>0</v>
      </c>
      <c r="F224" t="str">
        <f>IFERROR(Tab_Compteur_2[[#This Row],[Quantité ]]/Tab_Compteur_2[[#This Row],[Delta Jour]],"")</f>
        <v/>
      </c>
      <c r="G224" t="str">
        <f>IFERROR(Tab_Compteur_2[[#This Row],[Montant TTC]]/Tab_Compteur_2[[#This Row],[Delta Jour]],"")</f>
        <v/>
      </c>
      <c r="H224" s="86"/>
      <c r="I224" s="86"/>
      <c r="J224" s="86"/>
      <c r="K224" s="86"/>
      <c r="L224" s="86"/>
    </row>
    <row r="225" spans="1:12" x14ac:dyDescent="0.25">
      <c r="A225" s="101">
        <f t="shared" si="8"/>
        <v>1</v>
      </c>
      <c r="B225" s="3">
        <f>EDATE($B$3,Site!$I$34*(ROW(Tab_Compteur_2[[#This Row],[Début de période]])-3))</f>
        <v>0</v>
      </c>
      <c r="C225" s="184"/>
      <c r="D225" s="105"/>
      <c r="E225">
        <f t="shared" si="7"/>
        <v>0</v>
      </c>
      <c r="F225" t="str">
        <f>IFERROR(Tab_Compteur_2[[#This Row],[Quantité ]]/Tab_Compteur_2[[#This Row],[Delta Jour]],"")</f>
        <v/>
      </c>
      <c r="G225" t="str">
        <f>IFERROR(Tab_Compteur_2[[#This Row],[Montant TTC]]/Tab_Compteur_2[[#This Row],[Delta Jour]],"")</f>
        <v/>
      </c>
      <c r="H225" s="86"/>
      <c r="I225" s="86"/>
      <c r="J225" s="86"/>
      <c r="K225" s="86"/>
      <c r="L225" s="86"/>
    </row>
    <row r="226" spans="1:12" x14ac:dyDescent="0.25">
      <c r="A226" s="101">
        <f t="shared" si="8"/>
        <v>1</v>
      </c>
      <c r="B226" s="3">
        <f>EDATE($B$3,Site!$I$34*(ROW(Tab_Compteur_2[[#This Row],[Début de période]])-3))</f>
        <v>0</v>
      </c>
      <c r="C226" s="184"/>
      <c r="D226" s="105"/>
      <c r="E226">
        <f t="shared" si="7"/>
        <v>0</v>
      </c>
      <c r="F226" t="str">
        <f>IFERROR(Tab_Compteur_2[[#This Row],[Quantité ]]/Tab_Compteur_2[[#This Row],[Delta Jour]],"")</f>
        <v/>
      </c>
      <c r="G226" t="str">
        <f>IFERROR(Tab_Compteur_2[[#This Row],[Montant TTC]]/Tab_Compteur_2[[#This Row],[Delta Jour]],"")</f>
        <v/>
      </c>
      <c r="H226" s="86"/>
      <c r="I226" s="86"/>
      <c r="J226" s="86"/>
      <c r="K226" s="86"/>
      <c r="L226" s="86"/>
    </row>
    <row r="227" spans="1:12" x14ac:dyDescent="0.25">
      <c r="A227" s="101">
        <f t="shared" si="8"/>
        <v>1</v>
      </c>
      <c r="B227" s="3">
        <f>EDATE($B$3,Site!$I$34*(ROW(Tab_Compteur_2[[#This Row],[Début de période]])-3))</f>
        <v>0</v>
      </c>
      <c r="C227" s="184"/>
      <c r="D227" s="105"/>
      <c r="E227">
        <f t="shared" si="7"/>
        <v>0</v>
      </c>
      <c r="F227" t="str">
        <f>IFERROR(Tab_Compteur_2[[#This Row],[Quantité ]]/Tab_Compteur_2[[#This Row],[Delta Jour]],"")</f>
        <v/>
      </c>
      <c r="G227" t="str">
        <f>IFERROR(Tab_Compteur_2[[#This Row],[Montant TTC]]/Tab_Compteur_2[[#This Row],[Delta Jour]],"")</f>
        <v/>
      </c>
      <c r="H227" s="86"/>
      <c r="I227" s="86"/>
      <c r="J227" s="86"/>
      <c r="K227" s="86"/>
      <c r="L227" s="86"/>
    </row>
    <row r="228" spans="1:12" x14ac:dyDescent="0.25">
      <c r="A228" s="101">
        <f t="shared" si="8"/>
        <v>1</v>
      </c>
      <c r="B228" s="3">
        <f>EDATE($B$3,Site!$I$34*(ROW(Tab_Compteur_2[[#This Row],[Début de période]])-3))</f>
        <v>0</v>
      </c>
      <c r="C228" s="184"/>
      <c r="D228" s="105"/>
      <c r="E228">
        <f t="shared" si="7"/>
        <v>0</v>
      </c>
      <c r="F228" t="str">
        <f>IFERROR(Tab_Compteur_2[[#This Row],[Quantité ]]/Tab_Compteur_2[[#This Row],[Delta Jour]],"")</f>
        <v/>
      </c>
      <c r="G228" t="str">
        <f>IFERROR(Tab_Compteur_2[[#This Row],[Montant TTC]]/Tab_Compteur_2[[#This Row],[Delta Jour]],"")</f>
        <v/>
      </c>
      <c r="H228" s="86"/>
      <c r="I228" s="86"/>
      <c r="J228" s="86"/>
      <c r="K228" s="86"/>
      <c r="L228" s="86"/>
    </row>
    <row r="229" spans="1:12" x14ac:dyDescent="0.25">
      <c r="A229" s="101">
        <f t="shared" si="8"/>
        <v>1</v>
      </c>
      <c r="B229" s="3">
        <f>EDATE($B$3,Site!$I$34*(ROW(Tab_Compteur_2[[#This Row],[Début de période]])-3))</f>
        <v>0</v>
      </c>
      <c r="C229" s="184"/>
      <c r="D229" s="105"/>
      <c r="E229">
        <f t="shared" si="7"/>
        <v>0</v>
      </c>
      <c r="F229" t="str">
        <f>IFERROR(Tab_Compteur_2[[#This Row],[Quantité ]]/Tab_Compteur_2[[#This Row],[Delta Jour]],"")</f>
        <v/>
      </c>
      <c r="G229" t="str">
        <f>IFERROR(Tab_Compteur_2[[#This Row],[Montant TTC]]/Tab_Compteur_2[[#This Row],[Delta Jour]],"")</f>
        <v/>
      </c>
      <c r="H229" s="86"/>
      <c r="I229" s="86"/>
      <c r="J229" s="86"/>
      <c r="K229" s="86"/>
      <c r="L229" s="86"/>
    </row>
    <row r="230" spans="1:12" x14ac:dyDescent="0.25">
      <c r="A230" s="101">
        <f t="shared" si="8"/>
        <v>1</v>
      </c>
      <c r="B230" s="3">
        <f>EDATE($B$3,Site!$I$34*(ROW(Tab_Compteur_2[[#This Row],[Début de période]])-3))</f>
        <v>0</v>
      </c>
      <c r="C230" s="184"/>
      <c r="D230" s="105"/>
      <c r="E230">
        <f t="shared" si="7"/>
        <v>0</v>
      </c>
      <c r="F230" t="str">
        <f>IFERROR(Tab_Compteur_2[[#This Row],[Quantité ]]/Tab_Compteur_2[[#This Row],[Delta Jour]],"")</f>
        <v/>
      </c>
      <c r="G230" t="str">
        <f>IFERROR(Tab_Compteur_2[[#This Row],[Montant TTC]]/Tab_Compteur_2[[#This Row],[Delta Jour]],"")</f>
        <v/>
      </c>
      <c r="H230" s="86"/>
      <c r="I230" s="86"/>
      <c r="J230" s="86"/>
      <c r="K230" s="86"/>
      <c r="L230" s="86"/>
    </row>
    <row r="231" spans="1:12" x14ac:dyDescent="0.25">
      <c r="A231" s="101">
        <f t="shared" si="8"/>
        <v>1</v>
      </c>
      <c r="B231" s="3">
        <f>EDATE($B$3,Site!$I$34*(ROW(Tab_Compteur_2[[#This Row],[Début de période]])-3))</f>
        <v>0</v>
      </c>
      <c r="C231" s="184"/>
      <c r="D231" s="105"/>
      <c r="E231">
        <f t="shared" si="7"/>
        <v>0</v>
      </c>
      <c r="F231" t="str">
        <f>IFERROR(Tab_Compteur_2[[#This Row],[Quantité ]]/Tab_Compteur_2[[#This Row],[Delta Jour]],"")</f>
        <v/>
      </c>
      <c r="G231" t="str">
        <f>IFERROR(Tab_Compteur_2[[#This Row],[Montant TTC]]/Tab_Compteur_2[[#This Row],[Delta Jour]],"")</f>
        <v/>
      </c>
      <c r="H231" s="86"/>
      <c r="I231" s="86"/>
      <c r="J231" s="86"/>
      <c r="K231" s="86"/>
      <c r="L231" s="86"/>
    </row>
    <row r="232" spans="1:12" x14ac:dyDescent="0.25">
      <c r="A232" s="101">
        <f t="shared" si="8"/>
        <v>1</v>
      </c>
      <c r="B232" s="3">
        <f>EDATE($B$3,Site!$I$34*(ROW(Tab_Compteur_2[[#This Row],[Début de période]])-3))</f>
        <v>0</v>
      </c>
      <c r="C232" s="184"/>
      <c r="D232" s="105"/>
      <c r="E232">
        <f t="shared" si="7"/>
        <v>0</v>
      </c>
      <c r="F232" t="str">
        <f>IFERROR(Tab_Compteur_2[[#This Row],[Quantité ]]/Tab_Compteur_2[[#This Row],[Delta Jour]],"")</f>
        <v/>
      </c>
      <c r="G232" t="str">
        <f>IFERROR(Tab_Compteur_2[[#This Row],[Montant TTC]]/Tab_Compteur_2[[#This Row],[Delta Jour]],"")</f>
        <v/>
      </c>
      <c r="H232" s="86"/>
      <c r="I232" s="86"/>
      <c r="J232" s="86"/>
      <c r="K232" s="86"/>
      <c r="L232" s="86"/>
    </row>
    <row r="233" spans="1:12" x14ac:dyDescent="0.25">
      <c r="A233" s="101">
        <f t="shared" si="8"/>
        <v>1</v>
      </c>
      <c r="B233" s="3">
        <f>EDATE($B$3,Site!$I$34*(ROW(Tab_Compteur_2[[#This Row],[Début de période]])-3))</f>
        <v>0</v>
      </c>
      <c r="C233" s="184"/>
      <c r="D233" s="105"/>
      <c r="E233">
        <f t="shared" si="7"/>
        <v>0</v>
      </c>
      <c r="F233" t="str">
        <f>IFERROR(Tab_Compteur_2[[#This Row],[Quantité ]]/Tab_Compteur_2[[#This Row],[Delta Jour]],"")</f>
        <v/>
      </c>
      <c r="G233" t="str">
        <f>IFERROR(Tab_Compteur_2[[#This Row],[Montant TTC]]/Tab_Compteur_2[[#This Row],[Delta Jour]],"")</f>
        <v/>
      </c>
      <c r="H233" s="86"/>
      <c r="I233" s="86"/>
      <c r="J233" s="86"/>
      <c r="K233" s="86"/>
      <c r="L233" s="86"/>
    </row>
    <row r="234" spans="1:12" x14ac:dyDescent="0.25">
      <c r="A234" s="101">
        <f t="shared" si="8"/>
        <v>1</v>
      </c>
      <c r="B234" s="3">
        <f>EDATE($B$3,Site!$I$34*(ROW(Tab_Compteur_2[[#This Row],[Début de période]])-3))</f>
        <v>0</v>
      </c>
      <c r="C234" s="184"/>
      <c r="D234" s="105"/>
      <c r="E234">
        <f t="shared" si="7"/>
        <v>0</v>
      </c>
      <c r="F234" t="str">
        <f>IFERROR(Tab_Compteur_2[[#This Row],[Quantité ]]/Tab_Compteur_2[[#This Row],[Delta Jour]],"")</f>
        <v/>
      </c>
      <c r="G234" t="str">
        <f>IFERROR(Tab_Compteur_2[[#This Row],[Montant TTC]]/Tab_Compteur_2[[#This Row],[Delta Jour]],"")</f>
        <v/>
      </c>
      <c r="H234" s="86"/>
      <c r="I234" s="86"/>
      <c r="J234" s="86"/>
      <c r="K234" s="86"/>
      <c r="L234" s="86"/>
    </row>
    <row r="235" spans="1:12" x14ac:dyDescent="0.25">
      <c r="A235" s="101">
        <f t="shared" si="8"/>
        <v>1</v>
      </c>
      <c r="B235" s="3">
        <f>EDATE($B$3,Site!$I$34*(ROW(Tab_Compteur_2[[#This Row],[Début de période]])-3))</f>
        <v>0</v>
      </c>
      <c r="C235" s="184"/>
      <c r="D235" s="105"/>
      <c r="E235">
        <f t="shared" si="7"/>
        <v>0</v>
      </c>
      <c r="F235" t="str">
        <f>IFERROR(Tab_Compteur_2[[#This Row],[Quantité ]]/Tab_Compteur_2[[#This Row],[Delta Jour]],"")</f>
        <v/>
      </c>
      <c r="G235" t="str">
        <f>IFERROR(Tab_Compteur_2[[#This Row],[Montant TTC]]/Tab_Compteur_2[[#This Row],[Delta Jour]],"")</f>
        <v/>
      </c>
      <c r="H235" s="86"/>
      <c r="I235" s="86"/>
      <c r="J235" s="86"/>
      <c r="K235" s="86"/>
      <c r="L235" s="86"/>
    </row>
    <row r="236" spans="1:12" x14ac:dyDescent="0.25">
      <c r="A236" s="101">
        <f t="shared" si="8"/>
        <v>1</v>
      </c>
      <c r="B236" s="3">
        <f>EDATE($B$3,Site!$I$34*(ROW(Tab_Compteur_2[[#This Row],[Début de période]])-3))</f>
        <v>0</v>
      </c>
      <c r="C236" s="184"/>
      <c r="D236" s="105"/>
      <c r="E236">
        <f t="shared" si="7"/>
        <v>0</v>
      </c>
      <c r="F236" t="str">
        <f>IFERROR(Tab_Compteur_2[[#This Row],[Quantité ]]/Tab_Compteur_2[[#This Row],[Delta Jour]],"")</f>
        <v/>
      </c>
      <c r="G236" t="str">
        <f>IFERROR(Tab_Compteur_2[[#This Row],[Montant TTC]]/Tab_Compteur_2[[#This Row],[Delta Jour]],"")</f>
        <v/>
      </c>
      <c r="H236" s="86"/>
      <c r="I236" s="86"/>
      <c r="J236" s="86"/>
      <c r="K236" s="86"/>
      <c r="L236" s="86"/>
    </row>
    <row r="237" spans="1:12" x14ac:dyDescent="0.25">
      <c r="A237" s="101">
        <f t="shared" si="8"/>
        <v>1</v>
      </c>
      <c r="B237" s="3">
        <f>EDATE($B$3,Site!$I$34*(ROW(Tab_Compteur_2[[#This Row],[Début de période]])-3))</f>
        <v>0</v>
      </c>
      <c r="C237" s="184"/>
      <c r="D237" s="105"/>
      <c r="E237">
        <f t="shared" si="7"/>
        <v>0</v>
      </c>
      <c r="F237" t="str">
        <f>IFERROR(Tab_Compteur_2[[#This Row],[Quantité ]]/Tab_Compteur_2[[#This Row],[Delta Jour]],"")</f>
        <v/>
      </c>
      <c r="G237" t="str">
        <f>IFERROR(Tab_Compteur_2[[#This Row],[Montant TTC]]/Tab_Compteur_2[[#This Row],[Delta Jour]],"")</f>
        <v/>
      </c>
      <c r="H237" s="86"/>
      <c r="I237" s="86"/>
      <c r="J237" s="86"/>
      <c r="K237" s="86"/>
      <c r="L237" s="86"/>
    </row>
    <row r="238" spans="1:12" x14ac:dyDescent="0.25">
      <c r="A238" s="101">
        <f t="shared" si="8"/>
        <v>1</v>
      </c>
      <c r="B238" s="3">
        <f>EDATE($B$3,Site!$I$34*(ROW(Tab_Compteur_2[[#This Row],[Début de période]])-3))</f>
        <v>0</v>
      </c>
      <c r="C238" s="184"/>
      <c r="D238" s="105"/>
      <c r="E238">
        <f t="shared" si="7"/>
        <v>0</v>
      </c>
      <c r="F238" t="str">
        <f>IFERROR(Tab_Compteur_2[[#This Row],[Quantité ]]/Tab_Compteur_2[[#This Row],[Delta Jour]],"")</f>
        <v/>
      </c>
      <c r="G238" t="str">
        <f>IFERROR(Tab_Compteur_2[[#This Row],[Montant TTC]]/Tab_Compteur_2[[#This Row],[Delta Jour]],"")</f>
        <v/>
      </c>
      <c r="H238" s="86"/>
      <c r="I238" s="86"/>
      <c r="J238" s="86"/>
      <c r="K238" s="86"/>
      <c r="L238" s="86"/>
    </row>
    <row r="239" spans="1:12" x14ac:dyDescent="0.25">
      <c r="A239" s="101">
        <f t="shared" si="8"/>
        <v>1</v>
      </c>
      <c r="B239" s="3">
        <f>EDATE($B$3,Site!$I$34*(ROW(Tab_Compteur_2[[#This Row],[Début de période]])-3))</f>
        <v>0</v>
      </c>
      <c r="C239" s="184"/>
      <c r="D239" s="105"/>
      <c r="E239">
        <f t="shared" si="7"/>
        <v>0</v>
      </c>
      <c r="F239" t="str">
        <f>IFERROR(Tab_Compteur_2[[#This Row],[Quantité ]]/Tab_Compteur_2[[#This Row],[Delta Jour]],"")</f>
        <v/>
      </c>
      <c r="G239" t="str">
        <f>IFERROR(Tab_Compteur_2[[#This Row],[Montant TTC]]/Tab_Compteur_2[[#This Row],[Delta Jour]],"")</f>
        <v/>
      </c>
      <c r="H239" s="86"/>
      <c r="I239" s="86"/>
      <c r="J239" s="86"/>
      <c r="K239" s="86"/>
      <c r="L239" s="86"/>
    </row>
    <row r="240" spans="1:12" x14ac:dyDescent="0.25">
      <c r="A240" s="101">
        <f t="shared" si="8"/>
        <v>1</v>
      </c>
      <c r="B240" s="3">
        <f>EDATE($B$3,Site!$I$34*(ROW(Tab_Compteur_2[[#This Row],[Début de période]])-3))</f>
        <v>0</v>
      </c>
      <c r="C240" s="184"/>
      <c r="D240" s="105"/>
      <c r="E240">
        <f t="shared" si="7"/>
        <v>0</v>
      </c>
      <c r="F240" t="str">
        <f>IFERROR(Tab_Compteur_2[[#This Row],[Quantité ]]/Tab_Compteur_2[[#This Row],[Delta Jour]],"")</f>
        <v/>
      </c>
      <c r="G240" t="str">
        <f>IFERROR(Tab_Compteur_2[[#This Row],[Montant TTC]]/Tab_Compteur_2[[#This Row],[Delta Jour]],"")</f>
        <v/>
      </c>
      <c r="H240" s="86"/>
      <c r="I240" s="86"/>
      <c r="J240" s="86"/>
      <c r="K240" s="86"/>
      <c r="L240" s="86"/>
    </row>
    <row r="241" spans="1:12" x14ac:dyDescent="0.25">
      <c r="A241" s="101">
        <f t="shared" si="8"/>
        <v>1</v>
      </c>
      <c r="B241" s="3">
        <f>EDATE($B$3,Site!$I$34*(ROW(Tab_Compteur_2[[#This Row],[Début de période]])-3))</f>
        <v>0</v>
      </c>
      <c r="C241" s="184"/>
      <c r="D241" s="105"/>
      <c r="E241">
        <f t="shared" si="7"/>
        <v>0</v>
      </c>
      <c r="F241" t="str">
        <f>IFERROR(Tab_Compteur_2[[#This Row],[Quantité ]]/Tab_Compteur_2[[#This Row],[Delta Jour]],"")</f>
        <v/>
      </c>
      <c r="G241" t="str">
        <f>IFERROR(Tab_Compteur_2[[#This Row],[Montant TTC]]/Tab_Compteur_2[[#This Row],[Delta Jour]],"")</f>
        <v/>
      </c>
      <c r="H241" s="86"/>
      <c r="I241" s="86"/>
      <c r="J241" s="86"/>
      <c r="K241" s="86"/>
      <c r="L241" s="86"/>
    </row>
    <row r="242" spans="1:12" ht="13.5" customHeight="1" x14ac:dyDescent="0.25">
      <c r="A242" s="101">
        <f t="shared" si="8"/>
        <v>1</v>
      </c>
      <c r="B242" s="3">
        <f>EDATE($B$3,Site!$I$34*(ROW(Tab_Compteur_2[[#This Row],[Début de période]])-3))</f>
        <v>0</v>
      </c>
      <c r="C242" s="184"/>
      <c r="D242" s="105"/>
      <c r="E242">
        <f t="shared" si="7"/>
        <v>0</v>
      </c>
      <c r="F242" t="str">
        <f>IFERROR(Tab_Compteur_2[[#This Row],[Quantité ]]/Tab_Compteur_2[[#This Row],[Delta Jour]],"")</f>
        <v/>
      </c>
      <c r="G242" t="str">
        <f>IFERROR(Tab_Compteur_2[[#This Row],[Montant TTC]]/Tab_Compteur_2[[#This Row],[Delta Jour]],"")</f>
        <v/>
      </c>
      <c r="H242" s="86"/>
      <c r="I242" s="86"/>
      <c r="J242" s="86"/>
      <c r="K242" s="86"/>
      <c r="L242" s="86"/>
    </row>
    <row r="243" spans="1:12" x14ac:dyDescent="0.25">
      <c r="A243" s="101">
        <f t="shared" si="8"/>
        <v>1</v>
      </c>
      <c r="B243" s="3">
        <f>EDATE($B$3,Site!$I$34*(ROW(Tab_Compteur_2[[#This Row],[Début de période]])-3))</f>
        <v>0</v>
      </c>
      <c r="C243" s="184"/>
      <c r="D243" s="105"/>
      <c r="E243">
        <f t="shared" si="7"/>
        <v>0</v>
      </c>
      <c r="F243" t="str">
        <f>IFERROR(Tab_Compteur_2[[#This Row],[Quantité ]]/Tab_Compteur_2[[#This Row],[Delta Jour]],"")</f>
        <v/>
      </c>
      <c r="G243" t="str">
        <f>IFERROR(Tab_Compteur_2[[#This Row],[Montant TTC]]/Tab_Compteur_2[[#This Row],[Delta Jour]],"")</f>
        <v/>
      </c>
      <c r="H243" s="86"/>
      <c r="I243" s="86"/>
      <c r="J243" s="86"/>
      <c r="K243" s="86"/>
      <c r="L243" s="86"/>
    </row>
    <row r="244" spans="1:12" x14ac:dyDescent="0.25">
      <c r="D244" s="105"/>
    </row>
    <row r="245" spans="1:12" x14ac:dyDescent="0.25">
      <c r="D245" s="105"/>
    </row>
  </sheetData>
  <sheetProtection sheet="1" objects="1" scenarios="1"/>
  <protectedRanges>
    <protectedRange sqref="C3:D14" name="Données_compteur2_1_2_1_1"/>
    <protectedRange sqref="C15:C46 D15:D142" name="Données_compteur2_1_2"/>
    <protectedRange sqref="C47:C142" name="Données_compteur2_3"/>
    <protectedRange sqref="D143:D146" name="Données_compteur2_1_1"/>
    <protectedRange sqref="C143:C146" name="Données_compteur2_2"/>
    <protectedRange sqref="D147:D170" name="Données_compteur2_1_2_1"/>
    <protectedRange sqref="C147:C170" name="Données_compteur2_3_1"/>
    <protectedRange sqref="A5:A46 B5:B243 A3:B4 D171:D243" name="Données_compteur2_1"/>
    <protectedRange sqref="A47:A243 C171:C243 H1:L1048576" name="Données_compteur2"/>
  </protectedRanges>
  <mergeCells count="1">
    <mergeCell ref="H9:L20"/>
  </mergeCells>
  <pageMargins left="0.7" right="0.7" top="0.75" bottom="0.75" header="0.3" footer="0.3"/>
  <pageSetup paperSize="9"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workbookViewId="0">
      <selection activeCell="C3" sqref="C3:D158"/>
    </sheetView>
  </sheetViews>
  <sheetFormatPr baseColWidth="10" defaultColWidth="0" defaultRowHeight="15" zeroHeight="1" x14ac:dyDescent="0.25"/>
  <cols>
    <col min="1" max="1" width="14.28515625" customWidth="1"/>
    <col min="2" max="3" width="13.7109375" customWidth="1"/>
    <col min="4" max="4" width="13.42578125" customWidth="1"/>
    <col min="5" max="7" width="11.42578125" hidden="1" customWidth="1"/>
    <col min="8" max="12" width="11.42578125" customWidth="1"/>
    <col min="13" max="16384" width="11.42578125" hidden="1"/>
  </cols>
  <sheetData>
    <row r="1" spans="1:12" x14ac:dyDescent="0.25">
      <c r="A1" s="31" t="s">
        <v>119</v>
      </c>
      <c r="B1" s="1" t="s">
        <v>28</v>
      </c>
      <c r="C1" s="1" t="s">
        <v>30</v>
      </c>
      <c r="D1" s="2" t="s">
        <v>29</v>
      </c>
      <c r="E1" s="32" t="s">
        <v>0</v>
      </c>
      <c r="F1" s="33" t="s">
        <v>31</v>
      </c>
      <c r="G1" s="34" t="s">
        <v>32</v>
      </c>
      <c r="H1" s="42"/>
      <c r="I1" s="42"/>
      <c r="J1" s="42"/>
      <c r="K1" s="42"/>
      <c r="L1" s="42"/>
    </row>
    <row r="2" spans="1:12" hidden="1" x14ac:dyDescent="0.25">
      <c r="B2" s="27">
        <f>A3-1</f>
        <v>0</v>
      </c>
      <c r="C2" s="28"/>
      <c r="D2" s="29"/>
      <c r="E2">
        <f t="shared" ref="E2:E65" si="0">IFERROR(B2-A2+1,"")</f>
        <v>1</v>
      </c>
      <c r="H2" s="42"/>
      <c r="I2" s="42"/>
      <c r="J2" s="42"/>
      <c r="K2" s="42"/>
      <c r="L2" s="42"/>
    </row>
    <row r="3" spans="1:12" x14ac:dyDescent="0.25">
      <c r="A3" s="3">
        <f>EDATE(B3,-Site!I35)+1</f>
        <v>1</v>
      </c>
      <c r="B3" s="3">
        <f>Site!H35</f>
        <v>0</v>
      </c>
      <c r="C3" s="290"/>
      <c r="D3" s="293"/>
      <c r="E3">
        <f t="shared" si="0"/>
        <v>0</v>
      </c>
      <c r="F3" t="str">
        <f>IFERROR(Tab_Compteur_3[[#This Row],[Quantité]]/Tab_Compteur_3[[#This Row],[Delta Jour]],"")</f>
        <v/>
      </c>
      <c r="G3" t="str">
        <f>IFERROR(Tab_Compteur_3[[#This Row],[Montant TTC]]/Tab_Compteur_3[[#This Row],[Delta Jour]],"")</f>
        <v/>
      </c>
      <c r="H3" s="42"/>
      <c r="I3" s="42"/>
      <c r="J3" s="42"/>
      <c r="K3" s="42"/>
      <c r="L3" s="42"/>
    </row>
    <row r="4" spans="1:12" x14ac:dyDescent="0.25">
      <c r="A4" s="61">
        <f>B3+1</f>
        <v>1</v>
      </c>
      <c r="B4" s="61">
        <f>EDATE($B$3,Site!$I$35*(ROW(Tab_Compteur_3[[#This Row],[Début de période]])-3))</f>
        <v>0</v>
      </c>
      <c r="C4" s="290"/>
      <c r="D4" s="293"/>
      <c r="E4">
        <f t="shared" si="0"/>
        <v>0</v>
      </c>
      <c r="F4" t="str">
        <f>IFERROR(Tab_Compteur_3[[#This Row],[Quantité]]/Tab_Compteur_3[[#This Row],[Delta Jour]],"")</f>
        <v/>
      </c>
      <c r="G4" t="str">
        <f>IFERROR(Tab_Compteur_3[[#This Row],[Montant TTC]]/Tab_Compteur_3[[#This Row],[Delta Jour]],"")</f>
        <v/>
      </c>
      <c r="H4" s="42"/>
      <c r="I4" s="42"/>
      <c r="J4" s="42"/>
      <c r="K4" s="42"/>
      <c r="L4" s="42"/>
    </row>
    <row r="5" spans="1:12" x14ac:dyDescent="0.25">
      <c r="A5" s="61">
        <f t="shared" ref="A5:A68" si="1">B4+1</f>
        <v>1</v>
      </c>
      <c r="B5" s="61">
        <f>EDATE($B$3,Site!$I$35*(ROW(Tab_Compteur_3[[#This Row],[Début de période]])-3))</f>
        <v>0</v>
      </c>
      <c r="C5" s="290"/>
      <c r="D5" s="293"/>
      <c r="E5">
        <f t="shared" si="0"/>
        <v>0</v>
      </c>
      <c r="F5" t="str">
        <f>IFERROR(Tab_Compteur_3[[#This Row],[Quantité]]/Tab_Compteur_3[[#This Row],[Delta Jour]],"")</f>
        <v/>
      </c>
      <c r="G5" t="str">
        <f>IFERROR(Tab_Compteur_3[[#This Row],[Montant TTC]]/Tab_Compteur_3[[#This Row],[Delta Jour]],"")</f>
        <v/>
      </c>
      <c r="H5" s="42"/>
      <c r="I5" s="42"/>
      <c r="J5" s="42"/>
      <c r="K5" s="42"/>
      <c r="L5" s="42"/>
    </row>
    <row r="6" spans="1:12" x14ac:dyDescent="0.25">
      <c r="A6" s="61">
        <f t="shared" si="1"/>
        <v>1</v>
      </c>
      <c r="B6" s="61">
        <f>EDATE($B$3,Site!$I$35*(ROW(Tab_Compteur_3[[#This Row],[Début de période]])-3))</f>
        <v>0</v>
      </c>
      <c r="C6" s="290"/>
      <c r="D6" s="293"/>
      <c r="E6">
        <f t="shared" si="0"/>
        <v>0</v>
      </c>
      <c r="F6" t="str">
        <f>IFERROR(Tab_Compteur_3[[#This Row],[Quantité]]/Tab_Compteur_3[[#This Row],[Delta Jour]],"")</f>
        <v/>
      </c>
      <c r="G6" t="str">
        <f>IFERROR(Tab_Compteur_3[[#This Row],[Montant TTC]]/Tab_Compteur_3[[#This Row],[Delta Jour]],"")</f>
        <v/>
      </c>
      <c r="H6" s="42"/>
      <c r="I6" s="42"/>
      <c r="J6" s="42"/>
      <c r="K6" s="42"/>
      <c r="L6" s="42"/>
    </row>
    <row r="7" spans="1:12" x14ac:dyDescent="0.25">
      <c r="A7" s="61">
        <f t="shared" si="1"/>
        <v>1</v>
      </c>
      <c r="B7" s="61">
        <f>EDATE($B$3,Site!$I$35*(ROW(Tab_Compteur_3[[#This Row],[Début de période]])-3))</f>
        <v>0</v>
      </c>
      <c r="C7" s="290"/>
      <c r="D7" s="293"/>
      <c r="E7">
        <f t="shared" si="0"/>
        <v>0</v>
      </c>
      <c r="F7" t="str">
        <f>IFERROR(Tab_Compteur_3[[#This Row],[Quantité]]/Tab_Compteur_3[[#This Row],[Delta Jour]],"")</f>
        <v/>
      </c>
      <c r="G7" t="str">
        <f>IFERROR(Tab_Compteur_3[[#This Row],[Montant TTC]]/Tab_Compteur_3[[#This Row],[Delta Jour]],"")</f>
        <v/>
      </c>
      <c r="H7" s="356" t="str">
        <f>Compteur_1!H9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I7" s="357"/>
      <c r="J7" s="357"/>
      <c r="K7" s="357"/>
      <c r="L7" s="357"/>
    </row>
    <row r="8" spans="1:12" x14ac:dyDescent="0.25">
      <c r="A8" s="61">
        <f t="shared" si="1"/>
        <v>1</v>
      </c>
      <c r="B8" s="61">
        <f>EDATE($B$3,Site!$I$35*(ROW(Tab_Compteur_3[[#This Row],[Début de période]])-3))</f>
        <v>0</v>
      </c>
      <c r="C8" s="290"/>
      <c r="D8" s="293"/>
      <c r="E8">
        <f t="shared" si="0"/>
        <v>0</v>
      </c>
      <c r="F8" t="str">
        <f>IFERROR(Tab_Compteur_3[[#This Row],[Quantité]]/Tab_Compteur_3[[#This Row],[Delta Jour]],"")</f>
        <v/>
      </c>
      <c r="G8" t="str">
        <f>IFERROR(Tab_Compteur_3[[#This Row],[Montant TTC]]/Tab_Compteur_3[[#This Row],[Delta Jour]],"")</f>
        <v/>
      </c>
      <c r="H8" s="357"/>
      <c r="I8" s="357"/>
      <c r="J8" s="357"/>
      <c r="K8" s="357"/>
      <c r="L8" s="357"/>
    </row>
    <row r="9" spans="1:12" x14ac:dyDescent="0.25">
      <c r="A9" s="61">
        <f t="shared" si="1"/>
        <v>1</v>
      </c>
      <c r="B9" s="61">
        <f>EDATE($B$3,Site!$I$35*(ROW(Tab_Compteur_3[[#This Row],[Début de période]])-3))</f>
        <v>0</v>
      </c>
      <c r="C9" s="290"/>
      <c r="D9" s="293"/>
      <c r="E9">
        <f t="shared" si="0"/>
        <v>0</v>
      </c>
      <c r="F9" t="str">
        <f>IFERROR(Tab_Compteur_3[[#This Row],[Quantité]]/Tab_Compteur_3[[#This Row],[Delta Jour]],"")</f>
        <v/>
      </c>
      <c r="G9" t="str">
        <f>IFERROR(Tab_Compteur_3[[#This Row],[Montant TTC]]/Tab_Compteur_3[[#This Row],[Delta Jour]],"")</f>
        <v/>
      </c>
      <c r="H9" s="357"/>
      <c r="I9" s="357"/>
      <c r="J9" s="357"/>
      <c r="K9" s="357"/>
      <c r="L9" s="357"/>
    </row>
    <row r="10" spans="1:12" x14ac:dyDescent="0.25">
      <c r="A10" s="61">
        <f t="shared" si="1"/>
        <v>1</v>
      </c>
      <c r="B10" s="61">
        <f>EDATE($B$3,Site!$I$35*(ROW(Tab_Compteur_3[[#This Row],[Début de période]])-3))</f>
        <v>0</v>
      </c>
      <c r="C10" s="290"/>
      <c r="D10" s="293"/>
      <c r="E10">
        <f t="shared" si="0"/>
        <v>0</v>
      </c>
      <c r="F10" t="str">
        <f>IFERROR(Tab_Compteur_3[[#This Row],[Quantité]]/Tab_Compteur_3[[#This Row],[Delta Jour]],"")</f>
        <v/>
      </c>
      <c r="G10" t="str">
        <f>IFERROR(Tab_Compteur_3[[#This Row],[Montant TTC]]/Tab_Compteur_3[[#This Row],[Delta Jour]],"")</f>
        <v/>
      </c>
      <c r="H10" s="357"/>
      <c r="I10" s="357"/>
      <c r="J10" s="357"/>
      <c r="K10" s="357"/>
      <c r="L10" s="357"/>
    </row>
    <row r="11" spans="1:12" x14ac:dyDescent="0.25">
      <c r="A11" s="61">
        <f t="shared" si="1"/>
        <v>1</v>
      </c>
      <c r="B11" s="61">
        <f>EDATE($B$3,Site!$I$35*(ROW(Tab_Compteur_3[[#This Row],[Début de période]])-3))</f>
        <v>0</v>
      </c>
      <c r="C11" s="290"/>
      <c r="D11" s="293"/>
      <c r="E11">
        <f t="shared" si="0"/>
        <v>0</v>
      </c>
      <c r="F11" t="str">
        <f>IFERROR(Tab_Compteur_3[[#This Row],[Quantité]]/Tab_Compteur_3[[#This Row],[Delta Jour]],"")</f>
        <v/>
      </c>
      <c r="G11" t="str">
        <f>IFERROR(Tab_Compteur_3[[#This Row],[Montant TTC]]/Tab_Compteur_3[[#This Row],[Delta Jour]],"")</f>
        <v/>
      </c>
      <c r="H11" s="357"/>
      <c r="I11" s="357"/>
      <c r="J11" s="357"/>
      <c r="K11" s="357"/>
      <c r="L11" s="357"/>
    </row>
    <row r="12" spans="1:12" x14ac:dyDescent="0.25">
      <c r="A12" s="61">
        <f t="shared" si="1"/>
        <v>1</v>
      </c>
      <c r="B12" s="61">
        <f>EDATE($B$3,Site!$I$35*(ROW(Tab_Compteur_3[[#This Row],[Début de période]])-3))</f>
        <v>0</v>
      </c>
      <c r="C12" s="243"/>
      <c r="D12" s="293"/>
      <c r="E12">
        <f t="shared" si="0"/>
        <v>0</v>
      </c>
      <c r="F12" t="str">
        <f>IFERROR(Tab_Compteur_3[[#This Row],[Quantité]]/Tab_Compteur_3[[#This Row],[Delta Jour]],"")</f>
        <v/>
      </c>
      <c r="G12" t="str">
        <f>IFERROR(Tab_Compteur_3[[#This Row],[Montant TTC]]/Tab_Compteur_3[[#This Row],[Delta Jour]],"")</f>
        <v/>
      </c>
      <c r="H12" s="357"/>
      <c r="I12" s="357"/>
      <c r="J12" s="357"/>
      <c r="K12" s="357"/>
      <c r="L12" s="357"/>
    </row>
    <row r="13" spans="1:12" x14ac:dyDescent="0.25">
      <c r="A13" s="61">
        <f t="shared" si="1"/>
        <v>1</v>
      </c>
      <c r="B13" s="61">
        <f>EDATE($B$3,Site!$I$35*(ROW(Tab_Compteur_3[[#This Row],[Début de période]])-3))</f>
        <v>0</v>
      </c>
      <c r="C13" s="243"/>
      <c r="D13" s="293"/>
      <c r="E13">
        <f t="shared" si="0"/>
        <v>0</v>
      </c>
      <c r="F13" t="str">
        <f>IFERROR(Tab_Compteur_3[[#This Row],[Quantité]]/Tab_Compteur_3[[#This Row],[Delta Jour]],"")</f>
        <v/>
      </c>
      <c r="G13" t="str">
        <f>IFERROR(Tab_Compteur_3[[#This Row],[Montant TTC]]/Tab_Compteur_3[[#This Row],[Delta Jour]],"")</f>
        <v/>
      </c>
      <c r="H13" s="357"/>
      <c r="I13" s="357"/>
      <c r="J13" s="357"/>
      <c r="K13" s="357"/>
      <c r="L13" s="357"/>
    </row>
    <row r="14" spans="1:12" x14ac:dyDescent="0.25">
      <c r="A14" s="61">
        <f t="shared" si="1"/>
        <v>1</v>
      </c>
      <c r="B14" s="61">
        <f>EDATE($B$3,Site!$I$35*(ROW(Tab_Compteur_3[[#This Row],[Début de période]])-3))</f>
        <v>0</v>
      </c>
      <c r="C14" s="243"/>
      <c r="D14" s="293"/>
      <c r="E14">
        <f t="shared" si="0"/>
        <v>0</v>
      </c>
      <c r="F14" t="str">
        <f>IFERROR(Tab_Compteur_3[[#This Row],[Quantité]]/Tab_Compteur_3[[#This Row],[Delta Jour]],"")</f>
        <v/>
      </c>
      <c r="G14" t="str">
        <f>IFERROR(Tab_Compteur_3[[#This Row],[Montant TTC]]/Tab_Compteur_3[[#This Row],[Delta Jour]],"")</f>
        <v/>
      </c>
      <c r="H14" s="357"/>
      <c r="I14" s="357"/>
      <c r="J14" s="357"/>
      <c r="K14" s="357"/>
      <c r="L14" s="357"/>
    </row>
    <row r="15" spans="1:12" x14ac:dyDescent="0.25">
      <c r="A15" s="61">
        <f t="shared" si="1"/>
        <v>1</v>
      </c>
      <c r="B15" s="61">
        <f>EDATE($B$3,Site!$I$35*(ROW(Tab_Compteur_3[[#This Row],[Début de période]])-3))</f>
        <v>0</v>
      </c>
      <c r="C15" s="243"/>
      <c r="D15" s="293"/>
      <c r="E15">
        <f t="shared" si="0"/>
        <v>0</v>
      </c>
      <c r="F15" t="str">
        <f>IFERROR(Tab_Compteur_3[[#This Row],[Quantité]]/Tab_Compteur_3[[#This Row],[Delta Jour]],"")</f>
        <v/>
      </c>
      <c r="G15" t="str">
        <f>IFERROR(Tab_Compteur_3[[#This Row],[Montant TTC]]/Tab_Compteur_3[[#This Row],[Delta Jour]],"")</f>
        <v/>
      </c>
      <c r="H15" s="357"/>
      <c r="I15" s="357"/>
      <c r="J15" s="357"/>
      <c r="K15" s="357"/>
      <c r="L15" s="357"/>
    </row>
    <row r="16" spans="1:12" x14ac:dyDescent="0.25">
      <c r="A16" s="61">
        <f t="shared" si="1"/>
        <v>1</v>
      </c>
      <c r="B16" s="61">
        <f>EDATE($B$3,Site!$I$35*(ROW(Tab_Compteur_3[[#This Row],[Début de période]])-3))</f>
        <v>0</v>
      </c>
      <c r="C16" s="243"/>
      <c r="D16" s="293"/>
      <c r="E16">
        <f t="shared" si="0"/>
        <v>0</v>
      </c>
      <c r="F16" t="str">
        <f>IFERROR(Tab_Compteur_3[[#This Row],[Quantité]]/Tab_Compteur_3[[#This Row],[Delta Jour]],"")</f>
        <v/>
      </c>
      <c r="G16" t="str">
        <f>IFERROR(Tab_Compteur_3[[#This Row],[Montant TTC]]/Tab_Compteur_3[[#This Row],[Delta Jour]],"")</f>
        <v/>
      </c>
      <c r="H16" s="357"/>
      <c r="I16" s="357"/>
      <c r="J16" s="357"/>
      <c r="K16" s="357"/>
      <c r="L16" s="357"/>
    </row>
    <row r="17" spans="1:12" x14ac:dyDescent="0.25">
      <c r="A17" s="61">
        <f t="shared" si="1"/>
        <v>1</v>
      </c>
      <c r="B17" s="61">
        <f>EDATE($B$3,Site!$I$35*(ROW(Tab_Compteur_3[[#This Row],[Début de période]])-3))</f>
        <v>0</v>
      </c>
      <c r="C17" s="243"/>
      <c r="D17" s="293"/>
      <c r="E17">
        <f t="shared" si="0"/>
        <v>0</v>
      </c>
      <c r="F17" t="str">
        <f>IFERROR(Tab_Compteur_3[[#This Row],[Quantité]]/Tab_Compteur_3[[#This Row],[Delta Jour]],"")</f>
        <v/>
      </c>
      <c r="G17" t="str">
        <f>IFERROR(Tab_Compteur_3[[#This Row],[Montant TTC]]/Tab_Compteur_3[[#This Row],[Delta Jour]],"")</f>
        <v/>
      </c>
      <c r="H17" s="357"/>
      <c r="I17" s="357"/>
      <c r="J17" s="357"/>
      <c r="K17" s="357"/>
      <c r="L17" s="357"/>
    </row>
    <row r="18" spans="1:12" x14ac:dyDescent="0.25">
      <c r="A18" s="61">
        <f t="shared" si="1"/>
        <v>1</v>
      </c>
      <c r="B18" s="61">
        <f>EDATE($B$3,Site!$I$35*(ROW(Tab_Compteur_3[[#This Row],[Début de période]])-3))</f>
        <v>0</v>
      </c>
      <c r="C18" s="243"/>
      <c r="D18" s="293"/>
      <c r="E18">
        <f t="shared" si="0"/>
        <v>0</v>
      </c>
      <c r="F18" t="str">
        <f>IFERROR(Tab_Compteur_3[[#This Row],[Quantité]]/Tab_Compteur_3[[#This Row],[Delta Jour]],"")</f>
        <v/>
      </c>
      <c r="G18" t="str">
        <f>IFERROR(Tab_Compteur_3[[#This Row],[Montant TTC]]/Tab_Compteur_3[[#This Row],[Delta Jour]],"")</f>
        <v/>
      </c>
      <c r="H18" s="357"/>
      <c r="I18" s="357"/>
      <c r="J18" s="357"/>
      <c r="K18" s="357"/>
      <c r="L18" s="357"/>
    </row>
    <row r="19" spans="1:12" x14ac:dyDescent="0.25">
      <c r="A19" s="61">
        <f t="shared" si="1"/>
        <v>1</v>
      </c>
      <c r="B19" s="61">
        <f>EDATE($B$3,Site!$I$35*(ROW(Tab_Compteur_3[[#This Row],[Début de période]])-3))</f>
        <v>0</v>
      </c>
      <c r="C19" s="243"/>
      <c r="D19" s="293"/>
      <c r="E19">
        <f t="shared" si="0"/>
        <v>0</v>
      </c>
      <c r="F19" t="str">
        <f>IFERROR(Tab_Compteur_3[[#This Row],[Quantité]]/Tab_Compteur_3[[#This Row],[Delta Jour]],"")</f>
        <v/>
      </c>
      <c r="G19" t="str">
        <f>IFERROR(Tab_Compteur_3[[#This Row],[Montant TTC]]/Tab_Compteur_3[[#This Row],[Delta Jour]],"")</f>
        <v/>
      </c>
      <c r="H19" s="42"/>
      <c r="I19" s="42"/>
      <c r="J19" s="42"/>
      <c r="K19" s="42"/>
      <c r="L19" s="42"/>
    </row>
    <row r="20" spans="1:12" x14ac:dyDescent="0.25">
      <c r="A20" s="61">
        <f t="shared" si="1"/>
        <v>1</v>
      </c>
      <c r="B20" s="61">
        <f>EDATE($B$3,Site!$I$35*(ROW(Tab_Compteur_3[[#This Row],[Début de période]])-3))</f>
        <v>0</v>
      </c>
      <c r="C20" s="243"/>
      <c r="D20" s="293"/>
      <c r="E20">
        <f t="shared" si="0"/>
        <v>0</v>
      </c>
      <c r="F20" t="str">
        <f>IFERROR(Tab_Compteur_3[[#This Row],[Quantité]]/Tab_Compteur_3[[#This Row],[Delta Jour]],"")</f>
        <v/>
      </c>
      <c r="G20" t="str">
        <f>IFERROR(Tab_Compteur_3[[#This Row],[Montant TTC]]/Tab_Compteur_3[[#This Row],[Delta Jour]],"")</f>
        <v/>
      </c>
      <c r="H20" s="42"/>
      <c r="I20" s="42"/>
      <c r="J20" s="42"/>
      <c r="K20" s="42"/>
      <c r="L20" s="42"/>
    </row>
    <row r="21" spans="1:12" x14ac:dyDescent="0.25">
      <c r="A21" s="61">
        <f t="shared" si="1"/>
        <v>1</v>
      </c>
      <c r="B21" s="61">
        <f>EDATE($B$3,Site!$I$35*(ROW(Tab_Compteur_3[[#This Row],[Début de période]])-3))</f>
        <v>0</v>
      </c>
      <c r="C21" s="243"/>
      <c r="D21" s="293"/>
      <c r="E21">
        <f t="shared" si="0"/>
        <v>0</v>
      </c>
      <c r="F21" t="str">
        <f>IFERROR(Tab_Compteur_3[[#This Row],[Quantité]]/Tab_Compteur_3[[#This Row],[Delta Jour]],"")</f>
        <v/>
      </c>
      <c r="G21" t="str">
        <f>IFERROR(Tab_Compteur_3[[#This Row],[Montant TTC]]/Tab_Compteur_3[[#This Row],[Delta Jour]],"")</f>
        <v/>
      </c>
      <c r="H21" s="42"/>
      <c r="I21" s="42"/>
      <c r="J21" s="42"/>
      <c r="K21" s="42"/>
      <c r="L21" s="42"/>
    </row>
    <row r="22" spans="1:12" x14ac:dyDescent="0.25">
      <c r="A22" s="61">
        <f t="shared" si="1"/>
        <v>1</v>
      </c>
      <c r="B22" s="61">
        <f>EDATE($B$3,Site!$I$35*(ROW(Tab_Compteur_3[[#This Row],[Début de période]])-3))</f>
        <v>0</v>
      </c>
      <c r="C22" s="243"/>
      <c r="D22" s="293"/>
      <c r="E22">
        <f t="shared" si="0"/>
        <v>0</v>
      </c>
      <c r="F22" t="str">
        <f>IFERROR(Tab_Compteur_3[[#This Row],[Quantité]]/Tab_Compteur_3[[#This Row],[Delta Jour]],"")</f>
        <v/>
      </c>
      <c r="G22" t="str">
        <f>IFERROR(Tab_Compteur_3[[#This Row],[Montant TTC]]/Tab_Compteur_3[[#This Row],[Delta Jour]],"")</f>
        <v/>
      </c>
      <c r="H22" s="42"/>
      <c r="I22" s="42"/>
      <c r="J22" s="42"/>
      <c r="K22" s="42"/>
      <c r="L22" s="42"/>
    </row>
    <row r="23" spans="1:12" x14ac:dyDescent="0.25">
      <c r="A23" s="61">
        <f t="shared" si="1"/>
        <v>1</v>
      </c>
      <c r="B23" s="61">
        <f>EDATE($B$3,Site!$I$35*(ROW(Tab_Compteur_3[[#This Row],[Début de période]])-3))</f>
        <v>0</v>
      </c>
      <c r="C23" s="243"/>
      <c r="D23" s="293"/>
      <c r="E23">
        <f t="shared" si="0"/>
        <v>0</v>
      </c>
      <c r="F23" t="str">
        <f>IFERROR(Tab_Compteur_3[[#This Row],[Quantité]]/Tab_Compteur_3[[#This Row],[Delta Jour]],"")</f>
        <v/>
      </c>
      <c r="G23" t="str">
        <f>IFERROR(Tab_Compteur_3[[#This Row],[Montant TTC]]/Tab_Compteur_3[[#This Row],[Delta Jour]],"")</f>
        <v/>
      </c>
      <c r="H23" s="42"/>
      <c r="I23" s="42"/>
      <c r="J23" s="42"/>
      <c r="K23" s="42"/>
      <c r="L23" s="42"/>
    </row>
    <row r="24" spans="1:12" x14ac:dyDescent="0.25">
      <c r="A24" s="61">
        <f t="shared" si="1"/>
        <v>1</v>
      </c>
      <c r="B24" s="61">
        <f>EDATE($B$3,Site!$I$35*(ROW(Tab_Compteur_3[[#This Row],[Début de période]])-3))</f>
        <v>0</v>
      </c>
      <c r="C24" s="243"/>
      <c r="D24" s="293"/>
      <c r="E24">
        <f t="shared" si="0"/>
        <v>0</v>
      </c>
      <c r="F24" t="str">
        <f>IFERROR(Tab_Compteur_3[[#This Row],[Quantité]]/Tab_Compteur_3[[#This Row],[Delta Jour]],"")</f>
        <v/>
      </c>
      <c r="G24" t="str">
        <f>IFERROR(Tab_Compteur_3[[#This Row],[Montant TTC]]/Tab_Compteur_3[[#This Row],[Delta Jour]],"")</f>
        <v/>
      </c>
      <c r="H24" s="42"/>
      <c r="I24" s="42"/>
      <c r="J24" s="42"/>
      <c r="K24" s="42"/>
      <c r="L24" s="42"/>
    </row>
    <row r="25" spans="1:12" x14ac:dyDescent="0.25">
      <c r="A25" s="61">
        <f t="shared" si="1"/>
        <v>1</v>
      </c>
      <c r="B25" s="61">
        <f>EDATE($B$3,Site!$I$35*(ROW(Tab_Compteur_3[[#This Row],[Début de période]])-3))</f>
        <v>0</v>
      </c>
      <c r="C25" s="243"/>
      <c r="D25" s="293"/>
      <c r="E25">
        <f t="shared" si="0"/>
        <v>0</v>
      </c>
      <c r="F25" t="str">
        <f>IFERROR(Tab_Compteur_3[[#This Row],[Quantité]]/Tab_Compteur_3[[#This Row],[Delta Jour]],"")</f>
        <v/>
      </c>
      <c r="G25" t="str">
        <f>IFERROR(Tab_Compteur_3[[#This Row],[Montant TTC]]/Tab_Compteur_3[[#This Row],[Delta Jour]],"")</f>
        <v/>
      </c>
      <c r="H25" s="42"/>
      <c r="I25" s="42"/>
      <c r="J25" s="42"/>
      <c r="K25" s="42"/>
      <c r="L25" s="42"/>
    </row>
    <row r="26" spans="1:12" x14ac:dyDescent="0.25">
      <c r="A26" s="61">
        <f t="shared" si="1"/>
        <v>1</v>
      </c>
      <c r="B26" s="61">
        <f>EDATE($B$3,Site!$I$35*(ROW(Tab_Compteur_3[[#This Row],[Début de période]])-3))</f>
        <v>0</v>
      </c>
      <c r="C26" s="243"/>
      <c r="D26" s="293"/>
      <c r="E26">
        <f t="shared" si="0"/>
        <v>0</v>
      </c>
      <c r="F26" t="str">
        <f>IFERROR(Tab_Compteur_3[[#This Row],[Quantité]]/Tab_Compteur_3[[#This Row],[Delta Jour]],"")</f>
        <v/>
      </c>
      <c r="G26" t="str">
        <f>IFERROR(Tab_Compteur_3[[#This Row],[Montant TTC]]/Tab_Compteur_3[[#This Row],[Delta Jour]],"")</f>
        <v/>
      </c>
      <c r="H26" s="42"/>
      <c r="I26" s="42"/>
      <c r="J26" s="42"/>
      <c r="K26" s="42"/>
      <c r="L26" s="42"/>
    </row>
    <row r="27" spans="1:12" x14ac:dyDescent="0.25">
      <c r="A27" s="61">
        <f t="shared" si="1"/>
        <v>1</v>
      </c>
      <c r="B27" s="61">
        <f>EDATE($B$3,Site!$I$35*(ROW(Tab_Compteur_3[[#This Row],[Début de période]])-3))</f>
        <v>0</v>
      </c>
      <c r="C27" s="185"/>
      <c r="D27" s="293"/>
      <c r="E27">
        <f t="shared" si="0"/>
        <v>0</v>
      </c>
      <c r="F27" t="str">
        <f>IFERROR(Tab_Compteur_3[[#This Row],[Quantité]]/Tab_Compteur_3[[#This Row],[Delta Jour]],"")</f>
        <v/>
      </c>
      <c r="G27" t="str">
        <f>IFERROR(Tab_Compteur_3[[#This Row],[Montant TTC]]/Tab_Compteur_3[[#This Row],[Delta Jour]],"")</f>
        <v/>
      </c>
      <c r="H27" s="42"/>
      <c r="I27" s="42"/>
      <c r="J27" s="42"/>
      <c r="K27" s="42"/>
      <c r="L27" s="42"/>
    </row>
    <row r="28" spans="1:12" x14ac:dyDescent="0.25">
      <c r="A28" s="61">
        <f t="shared" si="1"/>
        <v>1</v>
      </c>
      <c r="B28" s="61">
        <f>EDATE($B$3,Site!$I$35*(ROW(Tab_Compteur_3[[#This Row],[Début de période]])-3))</f>
        <v>0</v>
      </c>
      <c r="C28" s="185"/>
      <c r="D28" s="293"/>
      <c r="E28">
        <f t="shared" si="0"/>
        <v>0</v>
      </c>
      <c r="F28" t="str">
        <f>IFERROR(Tab_Compteur_3[[#This Row],[Quantité]]/Tab_Compteur_3[[#This Row],[Delta Jour]],"")</f>
        <v/>
      </c>
      <c r="G28" t="str">
        <f>IFERROR(Tab_Compteur_3[[#This Row],[Montant TTC]]/Tab_Compteur_3[[#This Row],[Delta Jour]],"")</f>
        <v/>
      </c>
      <c r="H28" s="42"/>
      <c r="I28" s="42"/>
      <c r="J28" s="42"/>
      <c r="K28" s="42"/>
      <c r="L28" s="42"/>
    </row>
    <row r="29" spans="1:12" x14ac:dyDescent="0.25">
      <c r="A29" s="61">
        <f t="shared" si="1"/>
        <v>1</v>
      </c>
      <c r="B29" s="61">
        <f>EDATE($B$3,Site!$I$35*(ROW(Tab_Compteur_3[[#This Row],[Début de période]])-3))</f>
        <v>0</v>
      </c>
      <c r="C29" s="187"/>
      <c r="D29" s="294"/>
      <c r="E29">
        <f t="shared" si="0"/>
        <v>0</v>
      </c>
      <c r="F29" t="str">
        <f>IFERROR(Tab_Compteur_3[[#This Row],[Quantité]]/Tab_Compteur_3[[#This Row],[Delta Jour]],"")</f>
        <v/>
      </c>
      <c r="G29" t="str">
        <f>IFERROR(Tab_Compteur_3[[#This Row],[Montant TTC]]/Tab_Compteur_3[[#This Row],[Delta Jour]],"")</f>
        <v/>
      </c>
      <c r="H29" s="42"/>
      <c r="I29" s="42"/>
      <c r="J29" s="42"/>
      <c r="K29" s="42"/>
      <c r="L29" s="42"/>
    </row>
    <row r="30" spans="1:12" x14ac:dyDescent="0.25">
      <c r="A30" s="61">
        <f t="shared" si="1"/>
        <v>1</v>
      </c>
      <c r="B30" s="61">
        <f>EDATE($B$3,Site!$I$35*(ROW(Tab_Compteur_3[[#This Row],[Début de période]])-3))</f>
        <v>0</v>
      </c>
      <c r="C30" s="187"/>
      <c r="D30" s="294"/>
      <c r="E30">
        <f t="shared" si="0"/>
        <v>0</v>
      </c>
      <c r="F30" t="str">
        <f>IFERROR(Tab_Compteur_3[[#This Row],[Quantité]]/Tab_Compteur_3[[#This Row],[Delta Jour]],"")</f>
        <v/>
      </c>
      <c r="G30" t="str">
        <f>IFERROR(Tab_Compteur_3[[#This Row],[Montant TTC]]/Tab_Compteur_3[[#This Row],[Delta Jour]],"")</f>
        <v/>
      </c>
      <c r="H30" s="42"/>
      <c r="I30" s="42"/>
      <c r="J30" s="42"/>
      <c r="K30" s="42"/>
      <c r="L30" s="42"/>
    </row>
    <row r="31" spans="1:12" x14ac:dyDescent="0.25">
      <c r="A31" s="61">
        <f t="shared" si="1"/>
        <v>1</v>
      </c>
      <c r="B31" s="61">
        <f>EDATE($B$3,Site!$I$35*(ROW(Tab_Compteur_3[[#This Row],[Début de période]])-3))</f>
        <v>0</v>
      </c>
      <c r="C31" s="187"/>
      <c r="D31" s="294"/>
      <c r="E31">
        <f t="shared" si="0"/>
        <v>0</v>
      </c>
      <c r="F31" t="str">
        <f>IFERROR(Tab_Compteur_3[[#This Row],[Quantité]]/Tab_Compteur_3[[#This Row],[Delta Jour]],"")</f>
        <v/>
      </c>
      <c r="G31" t="str">
        <f>IFERROR(Tab_Compteur_3[[#This Row],[Montant TTC]]/Tab_Compteur_3[[#This Row],[Delta Jour]],"")</f>
        <v/>
      </c>
      <c r="H31" s="42"/>
      <c r="I31" s="42"/>
      <c r="J31" s="42"/>
      <c r="K31" s="42"/>
      <c r="L31" s="42"/>
    </row>
    <row r="32" spans="1:12" x14ac:dyDescent="0.25">
      <c r="A32" s="61">
        <f t="shared" si="1"/>
        <v>1</v>
      </c>
      <c r="B32" s="61">
        <f>EDATE($B$3,Site!$I$35*(ROW(Tab_Compteur_3[[#This Row],[Début de période]])-3))</f>
        <v>0</v>
      </c>
      <c r="C32" s="187"/>
      <c r="D32" s="294"/>
      <c r="E32">
        <f t="shared" si="0"/>
        <v>0</v>
      </c>
      <c r="F32" t="str">
        <f>IFERROR(Tab_Compteur_3[[#This Row],[Quantité]]/Tab_Compteur_3[[#This Row],[Delta Jour]],"")</f>
        <v/>
      </c>
      <c r="G32" t="str">
        <f>IFERROR(Tab_Compteur_3[[#This Row],[Montant TTC]]/Tab_Compteur_3[[#This Row],[Delta Jour]],"")</f>
        <v/>
      </c>
      <c r="H32" s="42"/>
      <c r="I32" s="42"/>
      <c r="J32" s="42"/>
      <c r="K32" s="42"/>
      <c r="L32" s="42"/>
    </row>
    <row r="33" spans="1:12" x14ac:dyDescent="0.25">
      <c r="A33" s="61">
        <f t="shared" si="1"/>
        <v>1</v>
      </c>
      <c r="B33" s="61">
        <f>EDATE($B$3,Site!$I$35*(ROW(Tab_Compteur_3[[#This Row],[Début de période]])-3))</f>
        <v>0</v>
      </c>
      <c r="C33" s="187"/>
      <c r="D33" s="294"/>
      <c r="E33">
        <f t="shared" si="0"/>
        <v>0</v>
      </c>
      <c r="F33" t="str">
        <f>IFERROR(Tab_Compteur_3[[#This Row],[Quantité]]/Tab_Compteur_3[[#This Row],[Delta Jour]],"")</f>
        <v/>
      </c>
      <c r="G33" t="str">
        <f>IFERROR(Tab_Compteur_3[[#This Row],[Montant TTC]]/Tab_Compteur_3[[#This Row],[Delta Jour]],"")</f>
        <v/>
      </c>
      <c r="H33" s="42"/>
      <c r="I33" s="42"/>
      <c r="J33" s="42"/>
      <c r="K33" s="42"/>
      <c r="L33" s="42"/>
    </row>
    <row r="34" spans="1:12" x14ac:dyDescent="0.25">
      <c r="A34" s="61">
        <f t="shared" si="1"/>
        <v>1</v>
      </c>
      <c r="B34" s="61">
        <f>EDATE($B$3,Site!$I$35*(ROW(Tab_Compteur_3[[#This Row],[Début de période]])-3))</f>
        <v>0</v>
      </c>
      <c r="C34" s="187"/>
      <c r="D34" s="294"/>
      <c r="E34">
        <f t="shared" si="0"/>
        <v>0</v>
      </c>
      <c r="F34" t="str">
        <f>IFERROR(Tab_Compteur_3[[#This Row],[Quantité]]/Tab_Compteur_3[[#This Row],[Delta Jour]],"")</f>
        <v/>
      </c>
      <c r="G34" t="str">
        <f>IFERROR(Tab_Compteur_3[[#This Row],[Montant TTC]]/Tab_Compteur_3[[#This Row],[Delta Jour]],"")</f>
        <v/>
      </c>
      <c r="H34" s="42"/>
      <c r="I34" s="42"/>
      <c r="J34" s="42"/>
      <c r="K34" s="42"/>
      <c r="L34" s="42"/>
    </row>
    <row r="35" spans="1:12" x14ac:dyDescent="0.25">
      <c r="A35" s="61">
        <f t="shared" si="1"/>
        <v>1</v>
      </c>
      <c r="B35" s="61">
        <f>EDATE($B$3,Site!$I$35*(ROW(Tab_Compteur_3[[#This Row],[Début de période]])-3))</f>
        <v>0</v>
      </c>
      <c r="C35" s="187"/>
      <c r="D35" s="294"/>
      <c r="E35">
        <f t="shared" si="0"/>
        <v>0</v>
      </c>
      <c r="F35" t="str">
        <f>IFERROR(Tab_Compteur_3[[#This Row],[Quantité]]/Tab_Compteur_3[[#This Row],[Delta Jour]],"")</f>
        <v/>
      </c>
      <c r="G35" t="str">
        <f>IFERROR(Tab_Compteur_3[[#This Row],[Montant TTC]]/Tab_Compteur_3[[#This Row],[Delta Jour]],"")</f>
        <v/>
      </c>
      <c r="H35" s="42"/>
      <c r="I35" s="42"/>
      <c r="J35" s="42"/>
      <c r="K35" s="42"/>
      <c r="L35" s="42"/>
    </row>
    <row r="36" spans="1:12" x14ac:dyDescent="0.25">
      <c r="A36" s="61">
        <f t="shared" si="1"/>
        <v>1</v>
      </c>
      <c r="B36" s="61">
        <f>EDATE($B$3,Site!$I$35*(ROW(Tab_Compteur_3[[#This Row],[Début de période]])-3))</f>
        <v>0</v>
      </c>
      <c r="C36" s="187"/>
      <c r="D36" s="294"/>
      <c r="E36">
        <f t="shared" si="0"/>
        <v>0</v>
      </c>
      <c r="F36" t="str">
        <f>IFERROR(Tab_Compteur_3[[#This Row],[Quantité]]/Tab_Compteur_3[[#This Row],[Delta Jour]],"")</f>
        <v/>
      </c>
      <c r="G36" t="str">
        <f>IFERROR(Tab_Compteur_3[[#This Row],[Montant TTC]]/Tab_Compteur_3[[#This Row],[Delta Jour]],"")</f>
        <v/>
      </c>
      <c r="H36" s="42"/>
      <c r="I36" s="42"/>
      <c r="J36" s="42"/>
      <c r="K36" s="42"/>
      <c r="L36" s="42"/>
    </row>
    <row r="37" spans="1:12" x14ac:dyDescent="0.25">
      <c r="A37" s="61">
        <f t="shared" si="1"/>
        <v>1</v>
      </c>
      <c r="B37" s="61">
        <f>EDATE($B$3,Site!$I$35*(ROW(Tab_Compteur_3[[#This Row],[Début de période]])-3))</f>
        <v>0</v>
      </c>
      <c r="C37" s="187"/>
      <c r="D37" s="294"/>
      <c r="E37">
        <f t="shared" si="0"/>
        <v>0</v>
      </c>
      <c r="F37" t="str">
        <f>IFERROR(Tab_Compteur_3[[#This Row],[Quantité]]/Tab_Compteur_3[[#This Row],[Delta Jour]],"")</f>
        <v/>
      </c>
      <c r="G37" t="str">
        <f>IFERROR(Tab_Compteur_3[[#This Row],[Montant TTC]]/Tab_Compteur_3[[#This Row],[Delta Jour]],"")</f>
        <v/>
      </c>
      <c r="H37" s="42"/>
      <c r="I37" s="42"/>
      <c r="J37" s="42"/>
      <c r="K37" s="42"/>
      <c r="L37" s="42"/>
    </row>
    <row r="38" spans="1:12" x14ac:dyDescent="0.25">
      <c r="A38" s="61">
        <f t="shared" si="1"/>
        <v>1</v>
      </c>
      <c r="B38" s="61">
        <f>EDATE($B$3,Site!$I$35*(ROW(Tab_Compteur_3[[#This Row],[Début de période]])-3))</f>
        <v>0</v>
      </c>
      <c r="C38" s="187"/>
      <c r="D38" s="294"/>
      <c r="E38">
        <f t="shared" si="0"/>
        <v>0</v>
      </c>
      <c r="F38" t="str">
        <f>IFERROR(Tab_Compteur_3[[#This Row],[Quantité]]/Tab_Compteur_3[[#This Row],[Delta Jour]],"")</f>
        <v/>
      </c>
      <c r="G38" t="str">
        <f>IFERROR(Tab_Compteur_3[[#This Row],[Montant TTC]]/Tab_Compteur_3[[#This Row],[Delta Jour]],"")</f>
        <v/>
      </c>
      <c r="H38" s="42"/>
      <c r="I38" s="42"/>
      <c r="J38" s="42"/>
      <c r="K38" s="42"/>
      <c r="L38" s="42"/>
    </row>
    <row r="39" spans="1:12" x14ac:dyDescent="0.25">
      <c r="A39" s="61">
        <f t="shared" si="1"/>
        <v>1</v>
      </c>
      <c r="B39" s="61">
        <f>EDATE($B$3,Site!$I$35*(ROW(Tab_Compteur_3[[#This Row],[Début de période]])-3))</f>
        <v>0</v>
      </c>
      <c r="C39" s="187"/>
      <c r="D39" s="294"/>
      <c r="E39">
        <f t="shared" si="0"/>
        <v>0</v>
      </c>
      <c r="F39" t="str">
        <f>IFERROR(Tab_Compteur_3[[#This Row],[Quantité]]/Tab_Compteur_3[[#This Row],[Delta Jour]],"")</f>
        <v/>
      </c>
      <c r="G39" t="str">
        <f>IFERROR(Tab_Compteur_3[[#This Row],[Montant TTC]]/Tab_Compteur_3[[#This Row],[Delta Jour]],"")</f>
        <v/>
      </c>
      <c r="H39" s="42"/>
      <c r="I39" s="42"/>
      <c r="J39" s="42"/>
      <c r="K39" s="42"/>
      <c r="L39" s="42"/>
    </row>
    <row r="40" spans="1:12" x14ac:dyDescent="0.25">
      <c r="A40" s="61">
        <f t="shared" si="1"/>
        <v>1</v>
      </c>
      <c r="B40" s="61">
        <f>EDATE($B$3,Site!$I$35*(ROW(Tab_Compteur_3[[#This Row],[Début de période]])-3))</f>
        <v>0</v>
      </c>
      <c r="C40" s="187"/>
      <c r="D40" s="294"/>
      <c r="E40">
        <f t="shared" si="0"/>
        <v>0</v>
      </c>
      <c r="F40" t="str">
        <f>IFERROR(Tab_Compteur_3[[#This Row],[Quantité]]/Tab_Compteur_3[[#This Row],[Delta Jour]],"")</f>
        <v/>
      </c>
      <c r="G40" t="str">
        <f>IFERROR(Tab_Compteur_3[[#This Row],[Montant TTC]]/Tab_Compteur_3[[#This Row],[Delta Jour]],"")</f>
        <v/>
      </c>
      <c r="H40" s="42"/>
      <c r="I40" s="42"/>
      <c r="J40" s="42"/>
      <c r="K40" s="42"/>
      <c r="L40" s="42"/>
    </row>
    <row r="41" spans="1:12" x14ac:dyDescent="0.25">
      <c r="A41" s="61">
        <f t="shared" si="1"/>
        <v>1</v>
      </c>
      <c r="B41" s="61">
        <f>EDATE($B$3,Site!$I$35*(ROW(Tab_Compteur_3[[#This Row],[Début de période]])-3))</f>
        <v>0</v>
      </c>
      <c r="C41" s="187"/>
      <c r="D41" s="294"/>
      <c r="E41">
        <f t="shared" si="0"/>
        <v>0</v>
      </c>
      <c r="F41" t="str">
        <f>IFERROR(Tab_Compteur_3[[#This Row],[Quantité]]/Tab_Compteur_3[[#This Row],[Delta Jour]],"")</f>
        <v/>
      </c>
      <c r="G41" t="str">
        <f>IFERROR(Tab_Compteur_3[[#This Row],[Montant TTC]]/Tab_Compteur_3[[#This Row],[Delta Jour]],"")</f>
        <v/>
      </c>
      <c r="H41" s="42"/>
      <c r="I41" s="42"/>
      <c r="J41" s="42"/>
      <c r="K41" s="42"/>
      <c r="L41" s="42"/>
    </row>
    <row r="42" spans="1:12" x14ac:dyDescent="0.25">
      <c r="A42" s="61">
        <f t="shared" si="1"/>
        <v>1</v>
      </c>
      <c r="B42" s="61">
        <f>EDATE($B$3,Site!$I$35*(ROW(Tab_Compteur_3[[#This Row],[Début de période]])-3))</f>
        <v>0</v>
      </c>
      <c r="C42" s="187"/>
      <c r="D42" s="294"/>
      <c r="E42">
        <f t="shared" si="0"/>
        <v>0</v>
      </c>
      <c r="F42" t="str">
        <f>IFERROR(Tab_Compteur_3[[#This Row],[Quantité]]/Tab_Compteur_3[[#This Row],[Delta Jour]],"")</f>
        <v/>
      </c>
      <c r="G42" t="str">
        <f>IFERROR(Tab_Compteur_3[[#This Row],[Montant TTC]]/Tab_Compteur_3[[#This Row],[Delta Jour]],"")</f>
        <v/>
      </c>
      <c r="H42" s="42"/>
      <c r="I42" s="42"/>
      <c r="J42" s="42"/>
      <c r="K42" s="42"/>
      <c r="L42" s="42"/>
    </row>
    <row r="43" spans="1:12" x14ac:dyDescent="0.25">
      <c r="A43" s="61">
        <f t="shared" si="1"/>
        <v>1</v>
      </c>
      <c r="B43" s="61">
        <f>EDATE($B$3,Site!$I$35*(ROW(Tab_Compteur_3[[#This Row],[Début de période]])-3))</f>
        <v>0</v>
      </c>
      <c r="C43" s="187"/>
      <c r="D43" s="294"/>
      <c r="E43">
        <f t="shared" si="0"/>
        <v>0</v>
      </c>
      <c r="F43" t="str">
        <f>IFERROR(Tab_Compteur_3[[#This Row],[Quantité]]/Tab_Compteur_3[[#This Row],[Delta Jour]],"")</f>
        <v/>
      </c>
      <c r="G43" t="str">
        <f>IFERROR(Tab_Compteur_3[[#This Row],[Montant TTC]]/Tab_Compteur_3[[#This Row],[Delta Jour]],"")</f>
        <v/>
      </c>
      <c r="H43" s="42"/>
      <c r="I43" s="42"/>
      <c r="J43" s="42"/>
      <c r="K43" s="42"/>
      <c r="L43" s="42"/>
    </row>
    <row r="44" spans="1:12" x14ac:dyDescent="0.25">
      <c r="A44" s="61">
        <f t="shared" si="1"/>
        <v>1</v>
      </c>
      <c r="B44" s="61">
        <f>EDATE($B$3,Site!$I$35*(ROW(Tab_Compteur_3[[#This Row],[Début de période]])-3))</f>
        <v>0</v>
      </c>
      <c r="C44" s="187"/>
      <c r="D44" s="294"/>
      <c r="E44">
        <f t="shared" si="0"/>
        <v>0</v>
      </c>
      <c r="F44" t="str">
        <f>IFERROR(Tab_Compteur_3[[#This Row],[Quantité]]/Tab_Compteur_3[[#This Row],[Delta Jour]],"")</f>
        <v/>
      </c>
      <c r="G44" t="str">
        <f>IFERROR(Tab_Compteur_3[[#This Row],[Montant TTC]]/Tab_Compteur_3[[#This Row],[Delta Jour]],"")</f>
        <v/>
      </c>
      <c r="H44" s="42"/>
      <c r="I44" s="42"/>
      <c r="J44" s="42"/>
      <c r="K44" s="42"/>
      <c r="L44" s="42"/>
    </row>
    <row r="45" spans="1:12" x14ac:dyDescent="0.25">
      <c r="A45" s="61">
        <f t="shared" si="1"/>
        <v>1</v>
      </c>
      <c r="B45" s="61">
        <f>EDATE($B$3,Site!$I$35*(ROW(Tab_Compteur_3[[#This Row],[Début de période]])-3))</f>
        <v>0</v>
      </c>
      <c r="C45" s="187"/>
      <c r="D45" s="294"/>
      <c r="E45">
        <f t="shared" si="0"/>
        <v>0</v>
      </c>
      <c r="F45" t="str">
        <f>IFERROR(Tab_Compteur_3[[#This Row],[Quantité]]/Tab_Compteur_3[[#This Row],[Delta Jour]],"")</f>
        <v/>
      </c>
      <c r="G45" t="str">
        <f>IFERROR(Tab_Compteur_3[[#This Row],[Montant TTC]]/Tab_Compteur_3[[#This Row],[Delta Jour]],"")</f>
        <v/>
      </c>
      <c r="H45" s="42"/>
      <c r="I45" s="42"/>
      <c r="J45" s="42"/>
      <c r="K45" s="42"/>
      <c r="L45" s="42"/>
    </row>
    <row r="46" spans="1:12" x14ac:dyDescent="0.25">
      <c r="A46" s="61">
        <f t="shared" si="1"/>
        <v>1</v>
      </c>
      <c r="B46" s="61">
        <f>EDATE($B$3,Site!$I$35*(ROW(Tab_Compteur_3[[#This Row],[Début de période]])-3))</f>
        <v>0</v>
      </c>
      <c r="C46" s="187"/>
      <c r="D46" s="294"/>
      <c r="E46">
        <f t="shared" si="0"/>
        <v>0</v>
      </c>
      <c r="F46" t="str">
        <f>IFERROR(Tab_Compteur_3[[#This Row],[Quantité]]/Tab_Compteur_3[[#This Row],[Delta Jour]],"")</f>
        <v/>
      </c>
      <c r="G46" t="str">
        <f>IFERROR(Tab_Compteur_3[[#This Row],[Montant TTC]]/Tab_Compteur_3[[#This Row],[Delta Jour]],"")</f>
        <v/>
      </c>
      <c r="H46" s="42"/>
      <c r="I46" s="42"/>
      <c r="J46" s="42"/>
      <c r="K46" s="42"/>
      <c r="L46" s="42"/>
    </row>
    <row r="47" spans="1:12" x14ac:dyDescent="0.25">
      <c r="A47" s="61">
        <f t="shared" si="1"/>
        <v>1</v>
      </c>
      <c r="B47" s="61">
        <f>EDATE($B$3,Site!$I$35*(ROW(Tab_Compteur_3[[#This Row],[Début de période]])-3))</f>
        <v>0</v>
      </c>
      <c r="C47" s="187"/>
      <c r="D47" s="294"/>
      <c r="E47">
        <f t="shared" si="0"/>
        <v>0</v>
      </c>
      <c r="F47" t="str">
        <f>IFERROR(Tab_Compteur_3[[#This Row],[Quantité]]/Tab_Compteur_3[[#This Row],[Delta Jour]],"")</f>
        <v/>
      </c>
      <c r="G47" t="str">
        <f>IFERROR(Tab_Compteur_3[[#This Row],[Montant TTC]]/Tab_Compteur_3[[#This Row],[Delta Jour]],"")</f>
        <v/>
      </c>
      <c r="H47" s="42"/>
      <c r="I47" s="42"/>
      <c r="J47" s="42"/>
      <c r="K47" s="42"/>
      <c r="L47" s="42"/>
    </row>
    <row r="48" spans="1:12" x14ac:dyDescent="0.25">
      <c r="A48" s="61">
        <f t="shared" si="1"/>
        <v>1</v>
      </c>
      <c r="B48" s="61">
        <f>EDATE($B$3,Site!$I$35*(ROW(Tab_Compteur_3[[#This Row],[Début de période]])-3))</f>
        <v>0</v>
      </c>
      <c r="C48" s="187"/>
      <c r="D48" s="294"/>
      <c r="E48">
        <f t="shared" si="0"/>
        <v>0</v>
      </c>
      <c r="F48" t="str">
        <f>IFERROR(Tab_Compteur_3[[#This Row],[Quantité]]/Tab_Compteur_3[[#This Row],[Delta Jour]],"")</f>
        <v/>
      </c>
      <c r="G48" t="str">
        <f>IFERROR(Tab_Compteur_3[[#This Row],[Montant TTC]]/Tab_Compteur_3[[#This Row],[Delta Jour]],"")</f>
        <v/>
      </c>
      <c r="H48" s="42"/>
      <c r="I48" s="42"/>
      <c r="J48" s="42"/>
      <c r="K48" s="42"/>
      <c r="L48" s="42"/>
    </row>
    <row r="49" spans="1:12" x14ac:dyDescent="0.25">
      <c r="A49" s="61">
        <f t="shared" si="1"/>
        <v>1</v>
      </c>
      <c r="B49" s="61">
        <f>EDATE($B$3,Site!$I$35*(ROW(Tab_Compteur_3[[#This Row],[Début de période]])-3))</f>
        <v>0</v>
      </c>
      <c r="C49" s="187"/>
      <c r="D49" s="294"/>
      <c r="E49">
        <f t="shared" si="0"/>
        <v>0</v>
      </c>
      <c r="F49" t="str">
        <f>IFERROR(Tab_Compteur_3[[#This Row],[Quantité]]/Tab_Compteur_3[[#This Row],[Delta Jour]],"")</f>
        <v/>
      </c>
      <c r="G49" t="str">
        <f>IFERROR(Tab_Compteur_3[[#This Row],[Montant TTC]]/Tab_Compteur_3[[#This Row],[Delta Jour]],"")</f>
        <v/>
      </c>
      <c r="H49" s="42"/>
      <c r="I49" s="42"/>
      <c r="J49" s="42"/>
      <c r="K49" s="42"/>
      <c r="L49" s="42"/>
    </row>
    <row r="50" spans="1:12" x14ac:dyDescent="0.25">
      <c r="A50" s="61">
        <f t="shared" si="1"/>
        <v>1</v>
      </c>
      <c r="B50" s="61">
        <f>EDATE($B$3,Site!$I$35*(ROW(Tab_Compteur_3[[#This Row],[Début de période]])-3))</f>
        <v>0</v>
      </c>
      <c r="C50" s="187"/>
      <c r="D50" s="294"/>
      <c r="E50">
        <f t="shared" si="0"/>
        <v>0</v>
      </c>
      <c r="F50" t="str">
        <f>IFERROR(Tab_Compteur_3[[#This Row],[Quantité]]/Tab_Compteur_3[[#This Row],[Delta Jour]],"")</f>
        <v/>
      </c>
      <c r="G50" t="str">
        <f>IFERROR(Tab_Compteur_3[[#This Row],[Montant TTC]]/Tab_Compteur_3[[#This Row],[Delta Jour]],"")</f>
        <v/>
      </c>
      <c r="H50" s="42"/>
      <c r="I50" s="42"/>
      <c r="J50" s="42"/>
      <c r="K50" s="42"/>
      <c r="L50" s="42"/>
    </row>
    <row r="51" spans="1:12" x14ac:dyDescent="0.25">
      <c r="A51" s="61">
        <f t="shared" si="1"/>
        <v>1</v>
      </c>
      <c r="B51" s="61">
        <f>EDATE($B$3,Site!$I$35*(ROW(Tab_Compteur_3[[#This Row],[Début de période]])-3))</f>
        <v>0</v>
      </c>
      <c r="C51" s="187"/>
      <c r="D51" s="294"/>
      <c r="E51">
        <f t="shared" si="0"/>
        <v>0</v>
      </c>
      <c r="F51" t="str">
        <f>IFERROR(Tab_Compteur_3[[#This Row],[Quantité]]/Tab_Compteur_3[[#This Row],[Delta Jour]],"")</f>
        <v/>
      </c>
      <c r="G51" t="str">
        <f>IFERROR(Tab_Compteur_3[[#This Row],[Montant TTC]]/Tab_Compteur_3[[#This Row],[Delta Jour]],"")</f>
        <v/>
      </c>
      <c r="H51" s="42"/>
      <c r="I51" s="42"/>
      <c r="J51" s="42"/>
      <c r="K51" s="42"/>
      <c r="L51" s="42"/>
    </row>
    <row r="52" spans="1:12" x14ac:dyDescent="0.25">
      <c r="A52" s="61">
        <f t="shared" si="1"/>
        <v>1</v>
      </c>
      <c r="B52" s="61">
        <f>EDATE($B$3,Site!$I$35*(ROW(Tab_Compteur_3[[#This Row],[Début de période]])-3))</f>
        <v>0</v>
      </c>
      <c r="C52" s="187"/>
      <c r="D52" s="294"/>
      <c r="E52">
        <f t="shared" si="0"/>
        <v>0</v>
      </c>
      <c r="F52" t="str">
        <f>IFERROR(Tab_Compteur_3[[#This Row],[Quantité]]/Tab_Compteur_3[[#This Row],[Delta Jour]],"")</f>
        <v/>
      </c>
      <c r="G52" t="str">
        <f>IFERROR(Tab_Compteur_3[[#This Row],[Montant TTC]]/Tab_Compteur_3[[#This Row],[Delta Jour]],"")</f>
        <v/>
      </c>
      <c r="H52" s="42"/>
      <c r="I52" s="42"/>
      <c r="J52" s="42"/>
      <c r="K52" s="42"/>
      <c r="L52" s="42"/>
    </row>
    <row r="53" spans="1:12" x14ac:dyDescent="0.25">
      <c r="A53" s="61">
        <f t="shared" si="1"/>
        <v>1</v>
      </c>
      <c r="B53" s="61">
        <f>EDATE($B$3,Site!$I$35*(ROW(Tab_Compteur_3[[#This Row],[Début de période]])-3))</f>
        <v>0</v>
      </c>
      <c r="C53" s="187"/>
      <c r="D53" s="294"/>
      <c r="E53">
        <f t="shared" si="0"/>
        <v>0</v>
      </c>
      <c r="F53" t="str">
        <f>IFERROR(Tab_Compteur_3[[#This Row],[Quantité]]/Tab_Compteur_3[[#This Row],[Delta Jour]],"")</f>
        <v/>
      </c>
      <c r="G53" t="str">
        <f>IFERROR(Tab_Compteur_3[[#This Row],[Montant TTC]]/Tab_Compteur_3[[#This Row],[Delta Jour]],"")</f>
        <v/>
      </c>
      <c r="H53" s="42"/>
      <c r="I53" s="42"/>
      <c r="J53" s="42"/>
      <c r="K53" s="42"/>
      <c r="L53" s="42"/>
    </row>
    <row r="54" spans="1:12" x14ac:dyDescent="0.25">
      <c r="A54" s="61">
        <f t="shared" si="1"/>
        <v>1</v>
      </c>
      <c r="B54" s="61">
        <f>EDATE($B$3,Site!$I$35*(ROW(Tab_Compteur_3[[#This Row],[Début de période]])-3))</f>
        <v>0</v>
      </c>
      <c r="C54" s="187"/>
      <c r="D54" s="294"/>
      <c r="E54">
        <f t="shared" si="0"/>
        <v>0</v>
      </c>
      <c r="F54" t="str">
        <f>IFERROR(Tab_Compteur_3[[#This Row],[Quantité]]/Tab_Compteur_3[[#This Row],[Delta Jour]],"")</f>
        <v/>
      </c>
      <c r="G54" t="str">
        <f>IFERROR(Tab_Compteur_3[[#This Row],[Montant TTC]]/Tab_Compteur_3[[#This Row],[Delta Jour]],"")</f>
        <v/>
      </c>
      <c r="H54" s="42"/>
      <c r="I54" s="42"/>
      <c r="J54" s="42"/>
      <c r="K54" s="42"/>
      <c r="L54" s="42"/>
    </row>
    <row r="55" spans="1:12" x14ac:dyDescent="0.25">
      <c r="A55" s="61">
        <f t="shared" si="1"/>
        <v>1</v>
      </c>
      <c r="B55" s="61">
        <f>EDATE($B$3,Site!$I$35*(ROW(Tab_Compteur_3[[#This Row],[Début de période]])-3))</f>
        <v>0</v>
      </c>
      <c r="C55" s="187"/>
      <c r="D55" s="294"/>
      <c r="E55">
        <f t="shared" si="0"/>
        <v>0</v>
      </c>
      <c r="F55" t="str">
        <f>IFERROR(Tab_Compteur_3[[#This Row],[Quantité]]/Tab_Compteur_3[[#This Row],[Delta Jour]],"")</f>
        <v/>
      </c>
      <c r="G55" t="str">
        <f>IFERROR(Tab_Compteur_3[[#This Row],[Montant TTC]]/Tab_Compteur_3[[#This Row],[Delta Jour]],"")</f>
        <v/>
      </c>
      <c r="H55" s="42"/>
      <c r="I55" s="42"/>
      <c r="J55" s="42"/>
      <c r="K55" s="42"/>
      <c r="L55" s="42"/>
    </row>
    <row r="56" spans="1:12" x14ac:dyDescent="0.25">
      <c r="A56" s="61">
        <f t="shared" si="1"/>
        <v>1</v>
      </c>
      <c r="B56" s="61">
        <f>EDATE($B$3,Site!$I$35*(ROW(Tab_Compteur_3[[#This Row],[Début de période]])-3))</f>
        <v>0</v>
      </c>
      <c r="C56" s="187"/>
      <c r="D56" s="294"/>
      <c r="E56">
        <f t="shared" si="0"/>
        <v>0</v>
      </c>
      <c r="F56" t="str">
        <f>IFERROR(Tab_Compteur_3[[#This Row],[Quantité]]/Tab_Compteur_3[[#This Row],[Delta Jour]],"")</f>
        <v/>
      </c>
      <c r="G56" t="str">
        <f>IFERROR(Tab_Compteur_3[[#This Row],[Montant TTC]]/Tab_Compteur_3[[#This Row],[Delta Jour]],"")</f>
        <v/>
      </c>
      <c r="H56" s="42"/>
      <c r="I56" s="42"/>
      <c r="J56" s="42"/>
      <c r="K56" s="42"/>
      <c r="L56" s="42"/>
    </row>
    <row r="57" spans="1:12" x14ac:dyDescent="0.25">
      <c r="A57" s="61">
        <f t="shared" si="1"/>
        <v>1</v>
      </c>
      <c r="B57" s="61">
        <f>EDATE($B$3,Site!$I$35*(ROW(Tab_Compteur_3[[#This Row],[Début de période]])-3))</f>
        <v>0</v>
      </c>
      <c r="C57" s="187"/>
      <c r="D57" s="294"/>
      <c r="E57">
        <f t="shared" si="0"/>
        <v>0</v>
      </c>
      <c r="F57" t="str">
        <f>IFERROR(Tab_Compteur_3[[#This Row],[Quantité]]/Tab_Compteur_3[[#This Row],[Delta Jour]],"")</f>
        <v/>
      </c>
      <c r="G57" t="str">
        <f>IFERROR(Tab_Compteur_3[[#This Row],[Montant TTC]]/Tab_Compteur_3[[#This Row],[Delta Jour]],"")</f>
        <v/>
      </c>
      <c r="H57" s="42"/>
      <c r="I57" s="42"/>
      <c r="J57" s="42"/>
      <c r="K57" s="42"/>
      <c r="L57" s="42"/>
    </row>
    <row r="58" spans="1:12" x14ac:dyDescent="0.25">
      <c r="A58" s="61">
        <f t="shared" si="1"/>
        <v>1</v>
      </c>
      <c r="B58" s="61">
        <f>EDATE($B$3,Site!$I$35*(ROW(Tab_Compteur_3[[#This Row],[Début de période]])-3))</f>
        <v>0</v>
      </c>
      <c r="C58" s="187"/>
      <c r="D58" s="294"/>
      <c r="E58">
        <f t="shared" si="0"/>
        <v>0</v>
      </c>
      <c r="F58" t="str">
        <f>IFERROR(Tab_Compteur_3[[#This Row],[Quantité]]/Tab_Compteur_3[[#This Row],[Delta Jour]],"")</f>
        <v/>
      </c>
      <c r="G58" t="str">
        <f>IFERROR(Tab_Compteur_3[[#This Row],[Montant TTC]]/Tab_Compteur_3[[#This Row],[Delta Jour]],"")</f>
        <v/>
      </c>
      <c r="H58" s="42"/>
      <c r="I58" s="42"/>
      <c r="J58" s="42"/>
      <c r="K58" s="42"/>
      <c r="L58" s="42"/>
    </row>
    <row r="59" spans="1:12" x14ac:dyDescent="0.25">
      <c r="A59" s="61">
        <f t="shared" si="1"/>
        <v>1</v>
      </c>
      <c r="B59" s="61">
        <f>EDATE($B$3,Site!$I$35*(ROW(Tab_Compteur_3[[#This Row],[Début de période]])-3))</f>
        <v>0</v>
      </c>
      <c r="C59" s="187"/>
      <c r="D59" s="294"/>
      <c r="E59">
        <f t="shared" si="0"/>
        <v>0</v>
      </c>
      <c r="F59" t="str">
        <f>IFERROR(Tab_Compteur_3[[#This Row],[Quantité]]/Tab_Compteur_3[[#This Row],[Delta Jour]],"")</f>
        <v/>
      </c>
      <c r="G59" t="str">
        <f>IFERROR(Tab_Compteur_3[[#This Row],[Montant TTC]]/Tab_Compteur_3[[#This Row],[Delta Jour]],"")</f>
        <v/>
      </c>
      <c r="H59" s="42"/>
      <c r="I59" s="42"/>
      <c r="J59" s="42"/>
      <c r="K59" s="42"/>
      <c r="L59" s="42"/>
    </row>
    <row r="60" spans="1:12" x14ac:dyDescent="0.25">
      <c r="A60" s="61">
        <f t="shared" si="1"/>
        <v>1</v>
      </c>
      <c r="B60" s="61">
        <f>EDATE($B$3,Site!$I$35*(ROW(Tab_Compteur_3[[#This Row],[Début de période]])-3))</f>
        <v>0</v>
      </c>
      <c r="C60" s="187"/>
      <c r="D60" s="294"/>
      <c r="E60">
        <f t="shared" si="0"/>
        <v>0</v>
      </c>
      <c r="F60" t="str">
        <f>IFERROR(Tab_Compteur_3[[#This Row],[Quantité]]/Tab_Compteur_3[[#This Row],[Delta Jour]],"")</f>
        <v/>
      </c>
      <c r="G60" t="str">
        <f>IFERROR(Tab_Compteur_3[[#This Row],[Montant TTC]]/Tab_Compteur_3[[#This Row],[Delta Jour]],"")</f>
        <v/>
      </c>
      <c r="H60" s="42"/>
      <c r="I60" s="42"/>
      <c r="J60" s="42"/>
      <c r="K60" s="42"/>
      <c r="L60" s="42"/>
    </row>
    <row r="61" spans="1:12" x14ac:dyDescent="0.25">
      <c r="A61" s="61">
        <f t="shared" si="1"/>
        <v>1</v>
      </c>
      <c r="B61" s="61">
        <f>EDATE($B$3,Site!$I$35*(ROW(Tab_Compteur_3[[#This Row],[Début de période]])-3))</f>
        <v>0</v>
      </c>
      <c r="C61" s="187"/>
      <c r="D61" s="294"/>
      <c r="E61">
        <f t="shared" si="0"/>
        <v>0</v>
      </c>
      <c r="F61" t="str">
        <f>IFERROR(Tab_Compteur_3[[#This Row],[Quantité]]/Tab_Compteur_3[[#This Row],[Delta Jour]],"")</f>
        <v/>
      </c>
      <c r="G61" t="str">
        <f>IFERROR(Tab_Compteur_3[[#This Row],[Montant TTC]]/Tab_Compteur_3[[#This Row],[Delta Jour]],"")</f>
        <v/>
      </c>
      <c r="H61" s="42"/>
      <c r="I61" s="42"/>
      <c r="J61" s="42"/>
      <c r="K61" s="42"/>
      <c r="L61" s="42"/>
    </row>
    <row r="62" spans="1:12" x14ac:dyDescent="0.25">
      <c r="A62" s="61">
        <f t="shared" si="1"/>
        <v>1</v>
      </c>
      <c r="B62" s="61">
        <f>EDATE($B$3,Site!$I$35*(ROW(Tab_Compteur_3[[#This Row],[Début de période]])-3))</f>
        <v>0</v>
      </c>
      <c r="C62" s="187"/>
      <c r="D62" s="294"/>
      <c r="E62">
        <f t="shared" si="0"/>
        <v>0</v>
      </c>
      <c r="F62" t="str">
        <f>IFERROR(Tab_Compteur_3[[#This Row],[Quantité]]/Tab_Compteur_3[[#This Row],[Delta Jour]],"")</f>
        <v/>
      </c>
      <c r="G62" t="str">
        <f>IFERROR(Tab_Compteur_3[[#This Row],[Montant TTC]]/Tab_Compteur_3[[#This Row],[Delta Jour]],"")</f>
        <v/>
      </c>
      <c r="H62" s="42"/>
      <c r="I62" s="42"/>
      <c r="J62" s="42"/>
      <c r="K62" s="42"/>
      <c r="L62" s="42"/>
    </row>
    <row r="63" spans="1:12" x14ac:dyDescent="0.25">
      <c r="A63" s="61">
        <f t="shared" si="1"/>
        <v>1</v>
      </c>
      <c r="B63" s="61">
        <f>EDATE($B$3,Site!$I$35*(ROW(Tab_Compteur_3[[#This Row],[Début de période]])-3))</f>
        <v>0</v>
      </c>
      <c r="C63" s="187"/>
      <c r="D63" s="294"/>
      <c r="E63">
        <f t="shared" si="0"/>
        <v>0</v>
      </c>
      <c r="F63" t="str">
        <f>IFERROR(Tab_Compteur_3[[#This Row],[Quantité]]/Tab_Compteur_3[[#This Row],[Delta Jour]],"")</f>
        <v/>
      </c>
      <c r="G63" t="str">
        <f>IFERROR(Tab_Compteur_3[[#This Row],[Montant TTC]]/Tab_Compteur_3[[#This Row],[Delta Jour]],"")</f>
        <v/>
      </c>
      <c r="H63" s="42"/>
      <c r="I63" s="42"/>
      <c r="J63" s="42"/>
      <c r="K63" s="42"/>
      <c r="L63" s="42"/>
    </row>
    <row r="64" spans="1:12" x14ac:dyDescent="0.25">
      <c r="A64" s="61">
        <f t="shared" si="1"/>
        <v>1</v>
      </c>
      <c r="B64" s="61">
        <f>EDATE($B$3,Site!$I$35*(ROW(Tab_Compteur_3[[#This Row],[Début de période]])-3))</f>
        <v>0</v>
      </c>
      <c r="C64" s="187"/>
      <c r="D64" s="294"/>
      <c r="E64">
        <f t="shared" si="0"/>
        <v>0</v>
      </c>
      <c r="F64" t="str">
        <f>IFERROR(Tab_Compteur_3[[#This Row],[Quantité]]/Tab_Compteur_3[[#This Row],[Delta Jour]],"")</f>
        <v/>
      </c>
      <c r="G64" t="str">
        <f>IFERROR(Tab_Compteur_3[[#This Row],[Montant TTC]]/Tab_Compteur_3[[#This Row],[Delta Jour]],"")</f>
        <v/>
      </c>
      <c r="H64" s="42"/>
      <c r="I64" s="42"/>
      <c r="J64" s="42"/>
      <c r="K64" s="42"/>
      <c r="L64" s="42"/>
    </row>
    <row r="65" spans="1:12" x14ac:dyDescent="0.25">
      <c r="A65" s="61">
        <f t="shared" si="1"/>
        <v>1</v>
      </c>
      <c r="B65" s="61">
        <f>EDATE($B$3,Site!$I$35*(ROW(Tab_Compteur_3[[#This Row],[Début de période]])-3))</f>
        <v>0</v>
      </c>
      <c r="C65" s="187"/>
      <c r="D65" s="294"/>
      <c r="E65">
        <f t="shared" si="0"/>
        <v>0</v>
      </c>
      <c r="F65" t="str">
        <f>IFERROR(Tab_Compteur_3[[#This Row],[Quantité]]/Tab_Compteur_3[[#This Row],[Delta Jour]],"")</f>
        <v/>
      </c>
      <c r="G65" t="str">
        <f>IFERROR(Tab_Compteur_3[[#This Row],[Montant TTC]]/Tab_Compteur_3[[#This Row],[Delta Jour]],"")</f>
        <v/>
      </c>
      <c r="H65" s="42"/>
      <c r="I65" s="42"/>
      <c r="J65" s="42"/>
      <c r="K65" s="42"/>
      <c r="L65" s="42"/>
    </row>
    <row r="66" spans="1:12" x14ac:dyDescent="0.25">
      <c r="A66" s="61">
        <f t="shared" si="1"/>
        <v>1</v>
      </c>
      <c r="B66" s="61">
        <f>EDATE($B$3,Site!$I$35*(ROW(Tab_Compteur_3[[#This Row],[Début de période]])-3))</f>
        <v>0</v>
      </c>
      <c r="C66" s="187"/>
      <c r="D66" s="294"/>
      <c r="E66">
        <f t="shared" ref="E66:E129" si="2">IFERROR(B66-A66+1,"")</f>
        <v>0</v>
      </c>
      <c r="F66" t="str">
        <f>IFERROR(Tab_Compteur_3[[#This Row],[Quantité]]/Tab_Compteur_3[[#This Row],[Delta Jour]],"")</f>
        <v/>
      </c>
      <c r="G66" t="str">
        <f>IFERROR(Tab_Compteur_3[[#This Row],[Montant TTC]]/Tab_Compteur_3[[#This Row],[Delta Jour]],"")</f>
        <v/>
      </c>
      <c r="H66" s="42"/>
      <c r="I66" s="42"/>
      <c r="J66" s="42"/>
      <c r="K66" s="42"/>
      <c r="L66" s="42"/>
    </row>
    <row r="67" spans="1:12" x14ac:dyDescent="0.25">
      <c r="A67" s="61">
        <f t="shared" si="1"/>
        <v>1</v>
      </c>
      <c r="B67" s="61">
        <f>EDATE($B$3,Site!$I$35*(ROW(Tab_Compteur_3[[#This Row],[Début de période]])-3))</f>
        <v>0</v>
      </c>
      <c r="C67" s="187"/>
      <c r="D67" s="294"/>
      <c r="E67">
        <f t="shared" si="2"/>
        <v>0</v>
      </c>
      <c r="F67" t="str">
        <f>IFERROR(Tab_Compteur_3[[#This Row],[Quantité]]/Tab_Compteur_3[[#This Row],[Delta Jour]],"")</f>
        <v/>
      </c>
      <c r="G67" t="str">
        <f>IFERROR(Tab_Compteur_3[[#This Row],[Montant TTC]]/Tab_Compteur_3[[#This Row],[Delta Jour]],"")</f>
        <v/>
      </c>
      <c r="H67" s="42"/>
      <c r="I67" s="42"/>
      <c r="J67" s="42"/>
      <c r="K67" s="42"/>
      <c r="L67" s="42"/>
    </row>
    <row r="68" spans="1:12" x14ac:dyDescent="0.25">
      <c r="A68" s="61">
        <f t="shared" si="1"/>
        <v>1</v>
      </c>
      <c r="B68" s="61">
        <f>EDATE($B$3,Site!$I$35*(ROW(Tab_Compteur_3[[#This Row],[Début de période]])-3))</f>
        <v>0</v>
      </c>
      <c r="C68" s="187"/>
      <c r="D68" s="294"/>
      <c r="E68">
        <f t="shared" si="2"/>
        <v>0</v>
      </c>
      <c r="F68" t="str">
        <f>IFERROR(Tab_Compteur_3[[#This Row],[Quantité]]/Tab_Compteur_3[[#This Row],[Delta Jour]],"")</f>
        <v/>
      </c>
      <c r="G68" t="str">
        <f>IFERROR(Tab_Compteur_3[[#This Row],[Montant TTC]]/Tab_Compteur_3[[#This Row],[Delta Jour]],"")</f>
        <v/>
      </c>
      <c r="H68" s="42"/>
      <c r="I68" s="42"/>
      <c r="J68" s="42"/>
      <c r="K68" s="42"/>
      <c r="L68" s="42"/>
    </row>
    <row r="69" spans="1:12" x14ac:dyDescent="0.25">
      <c r="A69" s="61">
        <f t="shared" ref="A69:A132" si="3">B68+1</f>
        <v>1</v>
      </c>
      <c r="B69" s="61">
        <f>EDATE($B$3,Site!$I$35*(ROW(Tab_Compteur_3[[#This Row],[Début de période]])-3))</f>
        <v>0</v>
      </c>
      <c r="C69" s="187"/>
      <c r="D69" s="294"/>
      <c r="E69">
        <f t="shared" si="2"/>
        <v>0</v>
      </c>
      <c r="F69" t="str">
        <f>IFERROR(Tab_Compteur_3[[#This Row],[Quantité]]/Tab_Compteur_3[[#This Row],[Delta Jour]],"")</f>
        <v/>
      </c>
      <c r="G69" t="str">
        <f>IFERROR(Tab_Compteur_3[[#This Row],[Montant TTC]]/Tab_Compteur_3[[#This Row],[Delta Jour]],"")</f>
        <v/>
      </c>
      <c r="H69" s="42"/>
      <c r="I69" s="42"/>
      <c r="J69" s="42"/>
      <c r="K69" s="42"/>
      <c r="L69" s="42"/>
    </row>
    <row r="70" spans="1:12" x14ac:dyDescent="0.25">
      <c r="A70" s="61">
        <f t="shared" si="3"/>
        <v>1</v>
      </c>
      <c r="B70" s="61">
        <f>EDATE($B$3,Site!$I$35*(ROW(Tab_Compteur_3[[#This Row],[Début de période]])-3))</f>
        <v>0</v>
      </c>
      <c r="C70" s="187"/>
      <c r="D70" s="294"/>
      <c r="E70">
        <f t="shared" si="2"/>
        <v>0</v>
      </c>
      <c r="F70" t="str">
        <f>IFERROR(Tab_Compteur_3[[#This Row],[Quantité]]/Tab_Compteur_3[[#This Row],[Delta Jour]],"")</f>
        <v/>
      </c>
      <c r="G70" t="str">
        <f>IFERROR(Tab_Compteur_3[[#This Row],[Montant TTC]]/Tab_Compteur_3[[#This Row],[Delta Jour]],"")</f>
        <v/>
      </c>
      <c r="H70" s="42"/>
      <c r="I70" s="42"/>
      <c r="J70" s="42"/>
      <c r="K70" s="42"/>
      <c r="L70" s="42"/>
    </row>
    <row r="71" spans="1:12" x14ac:dyDescent="0.25">
      <c r="A71" s="61">
        <f t="shared" si="3"/>
        <v>1</v>
      </c>
      <c r="B71" s="61">
        <f>EDATE($B$3,Site!$I$35*(ROW(Tab_Compteur_3[[#This Row],[Début de période]])-3))</f>
        <v>0</v>
      </c>
      <c r="C71" s="187"/>
      <c r="D71" s="294"/>
      <c r="E71">
        <f t="shared" si="2"/>
        <v>0</v>
      </c>
      <c r="F71" t="str">
        <f>IFERROR(Tab_Compteur_3[[#This Row],[Quantité]]/Tab_Compteur_3[[#This Row],[Delta Jour]],"")</f>
        <v/>
      </c>
      <c r="G71" t="str">
        <f>IFERROR(Tab_Compteur_3[[#This Row],[Montant TTC]]/Tab_Compteur_3[[#This Row],[Delta Jour]],"")</f>
        <v/>
      </c>
      <c r="H71" s="42"/>
      <c r="I71" s="42"/>
      <c r="J71" s="42"/>
      <c r="K71" s="42"/>
      <c r="L71" s="42"/>
    </row>
    <row r="72" spans="1:12" x14ac:dyDescent="0.25">
      <c r="A72" s="61">
        <f t="shared" si="3"/>
        <v>1</v>
      </c>
      <c r="B72" s="61">
        <f>EDATE($B$3,Site!$I$35*(ROW(Tab_Compteur_3[[#This Row],[Début de période]])-3))</f>
        <v>0</v>
      </c>
      <c r="C72" s="187"/>
      <c r="D72" s="294"/>
      <c r="E72">
        <f t="shared" si="2"/>
        <v>0</v>
      </c>
      <c r="F72" t="str">
        <f>IFERROR(Tab_Compteur_3[[#This Row],[Quantité]]/Tab_Compteur_3[[#This Row],[Delta Jour]],"")</f>
        <v/>
      </c>
      <c r="G72" t="str">
        <f>IFERROR(Tab_Compteur_3[[#This Row],[Montant TTC]]/Tab_Compteur_3[[#This Row],[Delta Jour]],"")</f>
        <v/>
      </c>
      <c r="H72" s="42"/>
      <c r="I72" s="42"/>
      <c r="J72" s="42"/>
      <c r="K72" s="42"/>
      <c r="L72" s="42"/>
    </row>
    <row r="73" spans="1:12" x14ac:dyDescent="0.25">
      <c r="A73" s="61">
        <f t="shared" si="3"/>
        <v>1</v>
      </c>
      <c r="B73" s="61">
        <f>EDATE($B$3,Site!$I$35*(ROW(Tab_Compteur_3[[#This Row],[Début de période]])-3))</f>
        <v>0</v>
      </c>
      <c r="C73" s="187"/>
      <c r="D73" s="294"/>
      <c r="E73">
        <f t="shared" si="2"/>
        <v>0</v>
      </c>
      <c r="F73" t="str">
        <f>IFERROR(Tab_Compteur_3[[#This Row],[Quantité]]/Tab_Compteur_3[[#This Row],[Delta Jour]],"")</f>
        <v/>
      </c>
      <c r="G73" t="str">
        <f>IFERROR(Tab_Compteur_3[[#This Row],[Montant TTC]]/Tab_Compteur_3[[#This Row],[Delta Jour]],"")</f>
        <v/>
      </c>
      <c r="H73" s="42"/>
      <c r="I73" s="42"/>
      <c r="J73" s="42"/>
      <c r="K73" s="42"/>
      <c r="L73" s="42"/>
    </row>
    <row r="74" spans="1:12" x14ac:dyDescent="0.25">
      <c r="A74" s="61">
        <f t="shared" si="3"/>
        <v>1</v>
      </c>
      <c r="B74" s="61">
        <f>EDATE($B$3,Site!$I$35*(ROW(Tab_Compteur_3[[#This Row],[Début de période]])-3))</f>
        <v>0</v>
      </c>
      <c r="C74" s="187"/>
      <c r="D74" s="294"/>
      <c r="E74">
        <f t="shared" si="2"/>
        <v>0</v>
      </c>
      <c r="F74" t="str">
        <f>IFERROR(Tab_Compteur_3[[#This Row],[Quantité]]/Tab_Compteur_3[[#This Row],[Delta Jour]],"")</f>
        <v/>
      </c>
      <c r="G74" t="str">
        <f>IFERROR(Tab_Compteur_3[[#This Row],[Montant TTC]]/Tab_Compteur_3[[#This Row],[Delta Jour]],"")</f>
        <v/>
      </c>
      <c r="H74" s="42"/>
      <c r="I74" s="42"/>
      <c r="J74" s="42"/>
      <c r="K74" s="42"/>
      <c r="L74" s="42"/>
    </row>
    <row r="75" spans="1:12" x14ac:dyDescent="0.25">
      <c r="A75" s="61">
        <f t="shared" si="3"/>
        <v>1</v>
      </c>
      <c r="B75" s="61">
        <f>EDATE($B$3,Site!$I$35*(ROW(Tab_Compteur_3[[#This Row],[Début de période]])-3))</f>
        <v>0</v>
      </c>
      <c r="C75" s="187"/>
      <c r="D75" s="294"/>
      <c r="E75">
        <f t="shared" si="2"/>
        <v>0</v>
      </c>
      <c r="F75" t="str">
        <f>IFERROR(Tab_Compteur_3[[#This Row],[Quantité]]/Tab_Compteur_3[[#This Row],[Delta Jour]],"")</f>
        <v/>
      </c>
      <c r="G75" t="str">
        <f>IFERROR(Tab_Compteur_3[[#This Row],[Montant TTC]]/Tab_Compteur_3[[#This Row],[Delta Jour]],"")</f>
        <v/>
      </c>
      <c r="H75" s="42"/>
      <c r="I75" s="42"/>
      <c r="J75" s="42"/>
      <c r="K75" s="42"/>
      <c r="L75" s="42"/>
    </row>
    <row r="76" spans="1:12" x14ac:dyDescent="0.25">
      <c r="A76" s="61">
        <f t="shared" si="3"/>
        <v>1</v>
      </c>
      <c r="B76" s="61">
        <f>EDATE($B$3,Site!$I$35*(ROW(Tab_Compteur_3[[#This Row],[Début de période]])-3))</f>
        <v>0</v>
      </c>
      <c r="C76" s="187"/>
      <c r="D76" s="294"/>
      <c r="E76">
        <f t="shared" si="2"/>
        <v>0</v>
      </c>
      <c r="F76" t="str">
        <f>IFERROR(Tab_Compteur_3[[#This Row],[Quantité]]/Tab_Compteur_3[[#This Row],[Delta Jour]],"")</f>
        <v/>
      </c>
      <c r="G76" t="str">
        <f>IFERROR(Tab_Compteur_3[[#This Row],[Montant TTC]]/Tab_Compteur_3[[#This Row],[Delta Jour]],"")</f>
        <v/>
      </c>
      <c r="H76" s="42"/>
      <c r="I76" s="42"/>
      <c r="J76" s="42"/>
      <c r="K76" s="42"/>
      <c r="L76" s="42"/>
    </row>
    <row r="77" spans="1:12" x14ac:dyDescent="0.25">
      <c r="A77" s="61">
        <f t="shared" si="3"/>
        <v>1</v>
      </c>
      <c r="B77" s="61">
        <f>EDATE($B$3,Site!$I$35*(ROW(Tab_Compteur_3[[#This Row],[Début de période]])-3))</f>
        <v>0</v>
      </c>
      <c r="C77" s="187"/>
      <c r="D77" s="294"/>
      <c r="E77">
        <f t="shared" si="2"/>
        <v>0</v>
      </c>
      <c r="F77" t="str">
        <f>IFERROR(Tab_Compteur_3[[#This Row],[Quantité]]/Tab_Compteur_3[[#This Row],[Delta Jour]],"")</f>
        <v/>
      </c>
      <c r="G77" t="str">
        <f>IFERROR(Tab_Compteur_3[[#This Row],[Montant TTC]]/Tab_Compteur_3[[#This Row],[Delta Jour]],"")</f>
        <v/>
      </c>
      <c r="H77" s="42"/>
      <c r="I77" s="42"/>
      <c r="J77" s="42"/>
      <c r="K77" s="42"/>
      <c r="L77" s="42"/>
    </row>
    <row r="78" spans="1:12" x14ac:dyDescent="0.25">
      <c r="A78" s="61">
        <f t="shared" si="3"/>
        <v>1</v>
      </c>
      <c r="B78" s="61">
        <f>EDATE($B$3,Site!$I$35*(ROW(Tab_Compteur_3[[#This Row],[Début de période]])-3))</f>
        <v>0</v>
      </c>
      <c r="C78" s="187"/>
      <c r="D78" s="294"/>
      <c r="E78">
        <f t="shared" si="2"/>
        <v>0</v>
      </c>
      <c r="F78" t="str">
        <f>IFERROR(Tab_Compteur_3[[#This Row],[Quantité]]/Tab_Compteur_3[[#This Row],[Delta Jour]],"")</f>
        <v/>
      </c>
      <c r="G78" t="str">
        <f>IFERROR(Tab_Compteur_3[[#This Row],[Montant TTC]]/Tab_Compteur_3[[#This Row],[Delta Jour]],"")</f>
        <v/>
      </c>
      <c r="H78" s="42"/>
      <c r="I78" s="42"/>
      <c r="J78" s="42"/>
      <c r="K78" s="42"/>
      <c r="L78" s="42"/>
    </row>
    <row r="79" spans="1:12" x14ac:dyDescent="0.25">
      <c r="A79" s="61">
        <f t="shared" si="3"/>
        <v>1</v>
      </c>
      <c r="B79" s="61">
        <f>EDATE($B$3,Site!$I$35*(ROW(Tab_Compteur_3[[#This Row],[Début de période]])-3))</f>
        <v>0</v>
      </c>
      <c r="C79" s="187"/>
      <c r="D79" s="294"/>
      <c r="E79">
        <f t="shared" si="2"/>
        <v>0</v>
      </c>
      <c r="F79" t="str">
        <f>IFERROR(Tab_Compteur_3[[#This Row],[Quantité]]/Tab_Compteur_3[[#This Row],[Delta Jour]],"")</f>
        <v/>
      </c>
      <c r="G79" t="str">
        <f>IFERROR(Tab_Compteur_3[[#This Row],[Montant TTC]]/Tab_Compteur_3[[#This Row],[Delta Jour]],"")</f>
        <v/>
      </c>
      <c r="H79" s="42"/>
      <c r="I79" s="42"/>
      <c r="J79" s="42"/>
      <c r="K79" s="42"/>
      <c r="L79" s="42"/>
    </row>
    <row r="80" spans="1:12" x14ac:dyDescent="0.25">
      <c r="A80" s="61">
        <f t="shared" si="3"/>
        <v>1</v>
      </c>
      <c r="B80" s="61">
        <f>EDATE($B$3,Site!$I$35*(ROW(Tab_Compteur_3[[#This Row],[Début de période]])-3))</f>
        <v>0</v>
      </c>
      <c r="C80" s="187"/>
      <c r="D80" s="294"/>
      <c r="E80">
        <f t="shared" si="2"/>
        <v>0</v>
      </c>
      <c r="F80" t="str">
        <f>IFERROR(Tab_Compteur_3[[#This Row],[Quantité]]/Tab_Compteur_3[[#This Row],[Delta Jour]],"")</f>
        <v/>
      </c>
      <c r="G80" t="str">
        <f>IFERROR(Tab_Compteur_3[[#This Row],[Montant TTC]]/Tab_Compteur_3[[#This Row],[Delta Jour]],"")</f>
        <v/>
      </c>
      <c r="H80" s="42"/>
      <c r="I80" s="42"/>
      <c r="J80" s="42"/>
      <c r="K80" s="42"/>
      <c r="L80" s="42"/>
    </row>
    <row r="81" spans="1:12" x14ac:dyDescent="0.25">
      <c r="A81" s="61">
        <f t="shared" si="3"/>
        <v>1</v>
      </c>
      <c r="B81" s="61">
        <f>EDATE($B$3,Site!$I$35*(ROW(Tab_Compteur_3[[#This Row],[Début de période]])-3))</f>
        <v>0</v>
      </c>
      <c r="C81" s="187"/>
      <c r="D81" s="294"/>
      <c r="E81">
        <f t="shared" si="2"/>
        <v>0</v>
      </c>
      <c r="F81" t="str">
        <f>IFERROR(Tab_Compteur_3[[#This Row],[Quantité]]/Tab_Compteur_3[[#This Row],[Delta Jour]],"")</f>
        <v/>
      </c>
      <c r="G81" t="str">
        <f>IFERROR(Tab_Compteur_3[[#This Row],[Montant TTC]]/Tab_Compteur_3[[#This Row],[Delta Jour]],"")</f>
        <v/>
      </c>
      <c r="H81" s="42"/>
      <c r="I81" s="42"/>
      <c r="J81" s="42"/>
      <c r="K81" s="42"/>
      <c r="L81" s="42"/>
    </row>
    <row r="82" spans="1:12" x14ac:dyDescent="0.25">
      <c r="A82" s="61">
        <f t="shared" si="3"/>
        <v>1</v>
      </c>
      <c r="B82" s="61">
        <f>EDATE($B$3,Site!$I$35*(ROW(Tab_Compteur_3[[#This Row],[Début de période]])-3))</f>
        <v>0</v>
      </c>
      <c r="C82" s="187"/>
      <c r="D82" s="294"/>
      <c r="E82">
        <f t="shared" si="2"/>
        <v>0</v>
      </c>
      <c r="F82" t="str">
        <f>IFERROR(Tab_Compteur_3[[#This Row],[Quantité]]/Tab_Compteur_3[[#This Row],[Delta Jour]],"")</f>
        <v/>
      </c>
      <c r="G82" t="str">
        <f>IFERROR(Tab_Compteur_3[[#This Row],[Montant TTC]]/Tab_Compteur_3[[#This Row],[Delta Jour]],"")</f>
        <v/>
      </c>
      <c r="H82" s="42"/>
      <c r="I82" s="42"/>
      <c r="J82" s="42"/>
      <c r="K82" s="42"/>
      <c r="L82" s="42"/>
    </row>
    <row r="83" spans="1:12" x14ac:dyDescent="0.25">
      <c r="A83" s="61">
        <f t="shared" si="3"/>
        <v>1</v>
      </c>
      <c r="B83" s="61">
        <f>EDATE($B$3,Site!$I$35*(ROW(Tab_Compteur_3[[#This Row],[Début de période]])-3))</f>
        <v>0</v>
      </c>
      <c r="C83" s="187"/>
      <c r="D83" s="294"/>
      <c r="E83">
        <f t="shared" si="2"/>
        <v>0</v>
      </c>
      <c r="F83" t="str">
        <f>IFERROR(Tab_Compteur_3[[#This Row],[Quantité]]/Tab_Compteur_3[[#This Row],[Delta Jour]],"")</f>
        <v/>
      </c>
      <c r="G83" t="str">
        <f>IFERROR(Tab_Compteur_3[[#This Row],[Montant TTC]]/Tab_Compteur_3[[#This Row],[Delta Jour]],"")</f>
        <v/>
      </c>
      <c r="H83" s="42"/>
      <c r="I83" s="42"/>
      <c r="J83" s="42"/>
      <c r="K83" s="42"/>
      <c r="L83" s="42"/>
    </row>
    <row r="84" spans="1:12" x14ac:dyDescent="0.25">
      <c r="A84" s="61">
        <f t="shared" si="3"/>
        <v>1</v>
      </c>
      <c r="B84" s="61">
        <f>EDATE($B$3,Site!$I$35*(ROW(Tab_Compteur_3[[#This Row],[Début de période]])-3))</f>
        <v>0</v>
      </c>
      <c r="C84" s="187"/>
      <c r="D84" s="294"/>
      <c r="E84">
        <f t="shared" si="2"/>
        <v>0</v>
      </c>
      <c r="F84" t="str">
        <f>IFERROR(Tab_Compteur_3[[#This Row],[Quantité]]/Tab_Compteur_3[[#This Row],[Delta Jour]],"")</f>
        <v/>
      </c>
      <c r="G84" t="str">
        <f>IFERROR(Tab_Compteur_3[[#This Row],[Montant TTC]]/Tab_Compteur_3[[#This Row],[Delta Jour]],"")</f>
        <v/>
      </c>
      <c r="H84" s="42"/>
      <c r="I84" s="42"/>
      <c r="J84" s="42"/>
      <c r="K84" s="42"/>
      <c r="L84" s="42"/>
    </row>
    <row r="85" spans="1:12" x14ac:dyDescent="0.25">
      <c r="A85" s="61">
        <f t="shared" si="3"/>
        <v>1</v>
      </c>
      <c r="B85" s="61">
        <f>EDATE($B$3,Site!$I$35*(ROW(Tab_Compteur_3[[#This Row],[Début de période]])-3))</f>
        <v>0</v>
      </c>
      <c r="C85" s="187"/>
      <c r="D85" s="294"/>
      <c r="E85">
        <f t="shared" si="2"/>
        <v>0</v>
      </c>
      <c r="F85" t="str">
        <f>IFERROR(Tab_Compteur_3[[#This Row],[Quantité]]/Tab_Compteur_3[[#This Row],[Delta Jour]],"")</f>
        <v/>
      </c>
      <c r="G85" t="str">
        <f>IFERROR(Tab_Compteur_3[[#This Row],[Montant TTC]]/Tab_Compteur_3[[#This Row],[Delta Jour]],"")</f>
        <v/>
      </c>
      <c r="H85" s="42"/>
      <c r="I85" s="42"/>
      <c r="J85" s="42"/>
      <c r="K85" s="42"/>
      <c r="L85" s="42"/>
    </row>
    <row r="86" spans="1:12" x14ac:dyDescent="0.25">
      <c r="A86" s="61">
        <f t="shared" si="3"/>
        <v>1</v>
      </c>
      <c r="B86" s="61">
        <f>EDATE($B$3,Site!$I$35*(ROW(Tab_Compteur_3[[#This Row],[Début de période]])-3))</f>
        <v>0</v>
      </c>
      <c r="C86" s="187"/>
      <c r="D86" s="294"/>
      <c r="E86">
        <f t="shared" si="2"/>
        <v>0</v>
      </c>
      <c r="F86" t="str">
        <f>IFERROR(Tab_Compteur_3[[#This Row],[Quantité]]/Tab_Compteur_3[[#This Row],[Delta Jour]],"")</f>
        <v/>
      </c>
      <c r="G86" t="str">
        <f>IFERROR(Tab_Compteur_3[[#This Row],[Montant TTC]]/Tab_Compteur_3[[#This Row],[Delta Jour]],"")</f>
        <v/>
      </c>
      <c r="H86" s="42"/>
      <c r="I86" s="42"/>
      <c r="J86" s="42"/>
      <c r="K86" s="42"/>
      <c r="L86" s="42"/>
    </row>
    <row r="87" spans="1:12" x14ac:dyDescent="0.25">
      <c r="A87" s="61">
        <f t="shared" si="3"/>
        <v>1</v>
      </c>
      <c r="B87" s="61">
        <f>EDATE($B$3,Site!$I$35*(ROW(Tab_Compteur_3[[#This Row],[Début de période]])-3))</f>
        <v>0</v>
      </c>
      <c r="C87" s="187"/>
      <c r="D87" s="294"/>
      <c r="E87">
        <f t="shared" si="2"/>
        <v>0</v>
      </c>
      <c r="F87" t="str">
        <f>IFERROR(Tab_Compteur_3[[#This Row],[Quantité]]/Tab_Compteur_3[[#This Row],[Delta Jour]],"")</f>
        <v/>
      </c>
      <c r="G87" t="str">
        <f>IFERROR(Tab_Compteur_3[[#This Row],[Montant TTC]]/Tab_Compteur_3[[#This Row],[Delta Jour]],"")</f>
        <v/>
      </c>
      <c r="H87" s="42"/>
      <c r="I87" s="42"/>
      <c r="J87" s="42"/>
      <c r="K87" s="42"/>
      <c r="L87" s="42"/>
    </row>
    <row r="88" spans="1:12" x14ac:dyDescent="0.25">
      <c r="A88" s="61">
        <f t="shared" si="3"/>
        <v>1</v>
      </c>
      <c r="B88" s="61">
        <f>EDATE($B$3,Site!$I$35*(ROW(Tab_Compteur_3[[#This Row],[Début de période]])-3))</f>
        <v>0</v>
      </c>
      <c r="C88" s="187"/>
      <c r="D88" s="294"/>
      <c r="E88">
        <f t="shared" si="2"/>
        <v>0</v>
      </c>
      <c r="F88" t="str">
        <f>IFERROR(Tab_Compteur_3[[#This Row],[Quantité]]/Tab_Compteur_3[[#This Row],[Delta Jour]],"")</f>
        <v/>
      </c>
      <c r="G88" t="str">
        <f>IFERROR(Tab_Compteur_3[[#This Row],[Montant TTC]]/Tab_Compteur_3[[#This Row],[Delta Jour]],"")</f>
        <v/>
      </c>
      <c r="H88" s="42"/>
      <c r="I88" s="42"/>
      <c r="J88" s="42"/>
      <c r="K88" s="42"/>
      <c r="L88" s="42"/>
    </row>
    <row r="89" spans="1:12" x14ac:dyDescent="0.25">
      <c r="A89" s="61">
        <f t="shared" si="3"/>
        <v>1</v>
      </c>
      <c r="B89" s="61">
        <f>EDATE($B$3,Site!$I$35*(ROW(Tab_Compteur_3[[#This Row],[Début de période]])-3))</f>
        <v>0</v>
      </c>
      <c r="C89" s="187"/>
      <c r="D89" s="294"/>
      <c r="E89">
        <f t="shared" si="2"/>
        <v>0</v>
      </c>
      <c r="F89" t="str">
        <f>IFERROR(Tab_Compteur_3[[#This Row],[Quantité]]/Tab_Compteur_3[[#This Row],[Delta Jour]],"")</f>
        <v/>
      </c>
      <c r="G89" t="str">
        <f>IFERROR(Tab_Compteur_3[[#This Row],[Montant TTC]]/Tab_Compteur_3[[#This Row],[Delta Jour]],"")</f>
        <v/>
      </c>
      <c r="H89" s="42"/>
      <c r="I89" s="42"/>
      <c r="J89" s="42"/>
      <c r="K89" s="42"/>
      <c r="L89" s="42"/>
    </row>
    <row r="90" spans="1:12" x14ac:dyDescent="0.25">
      <c r="A90" s="61">
        <f t="shared" si="3"/>
        <v>1</v>
      </c>
      <c r="B90" s="61">
        <f>EDATE($B$3,Site!$I$35*(ROW(Tab_Compteur_3[[#This Row],[Début de période]])-3))</f>
        <v>0</v>
      </c>
      <c r="C90" s="187"/>
      <c r="D90" s="294"/>
      <c r="E90">
        <f t="shared" si="2"/>
        <v>0</v>
      </c>
      <c r="F90" t="str">
        <f>IFERROR(Tab_Compteur_3[[#This Row],[Quantité]]/Tab_Compteur_3[[#This Row],[Delta Jour]],"")</f>
        <v/>
      </c>
      <c r="G90" t="str">
        <f>IFERROR(Tab_Compteur_3[[#This Row],[Montant TTC]]/Tab_Compteur_3[[#This Row],[Delta Jour]],"")</f>
        <v/>
      </c>
      <c r="H90" s="42"/>
      <c r="I90" s="42"/>
      <c r="J90" s="42"/>
      <c r="K90" s="42"/>
      <c r="L90" s="42"/>
    </row>
    <row r="91" spans="1:12" x14ac:dyDescent="0.25">
      <c r="A91" s="61">
        <f t="shared" si="3"/>
        <v>1</v>
      </c>
      <c r="B91" s="61">
        <f>EDATE($B$3,Site!$I$35*(ROW(Tab_Compteur_3[[#This Row],[Début de période]])-3))</f>
        <v>0</v>
      </c>
      <c r="C91" s="187"/>
      <c r="D91" s="294"/>
      <c r="E91">
        <f t="shared" si="2"/>
        <v>0</v>
      </c>
      <c r="F91" t="str">
        <f>IFERROR(Tab_Compteur_3[[#This Row],[Quantité]]/Tab_Compteur_3[[#This Row],[Delta Jour]],"")</f>
        <v/>
      </c>
      <c r="G91" t="str">
        <f>IFERROR(Tab_Compteur_3[[#This Row],[Montant TTC]]/Tab_Compteur_3[[#This Row],[Delta Jour]],"")</f>
        <v/>
      </c>
      <c r="H91" s="42"/>
      <c r="I91" s="42"/>
      <c r="J91" s="42"/>
      <c r="K91" s="42"/>
      <c r="L91" s="42"/>
    </row>
    <row r="92" spans="1:12" x14ac:dyDescent="0.25">
      <c r="A92" s="61">
        <f t="shared" si="3"/>
        <v>1</v>
      </c>
      <c r="B92" s="61">
        <f>EDATE($B$3,Site!$I$35*(ROW(Tab_Compteur_3[[#This Row],[Début de période]])-3))</f>
        <v>0</v>
      </c>
      <c r="C92" s="187"/>
      <c r="D92" s="294"/>
      <c r="E92">
        <f t="shared" si="2"/>
        <v>0</v>
      </c>
      <c r="F92" t="str">
        <f>IFERROR(Tab_Compteur_3[[#This Row],[Quantité]]/Tab_Compteur_3[[#This Row],[Delta Jour]],"")</f>
        <v/>
      </c>
      <c r="G92" t="str">
        <f>IFERROR(Tab_Compteur_3[[#This Row],[Montant TTC]]/Tab_Compteur_3[[#This Row],[Delta Jour]],"")</f>
        <v/>
      </c>
      <c r="H92" s="42"/>
      <c r="I92" s="42"/>
      <c r="J92" s="42"/>
      <c r="K92" s="42"/>
      <c r="L92" s="42"/>
    </row>
    <row r="93" spans="1:12" x14ac:dyDescent="0.25">
      <c r="A93" s="61">
        <f t="shared" si="3"/>
        <v>1</v>
      </c>
      <c r="B93" s="61">
        <f>EDATE($B$3,Site!$I$35*(ROW(Tab_Compteur_3[[#This Row],[Début de période]])-3))</f>
        <v>0</v>
      </c>
      <c r="C93" s="187"/>
      <c r="D93" s="294"/>
      <c r="E93">
        <f t="shared" si="2"/>
        <v>0</v>
      </c>
      <c r="F93" t="str">
        <f>IFERROR(Tab_Compteur_3[[#This Row],[Quantité]]/Tab_Compteur_3[[#This Row],[Delta Jour]],"")</f>
        <v/>
      </c>
      <c r="G93" t="str">
        <f>IFERROR(Tab_Compteur_3[[#This Row],[Montant TTC]]/Tab_Compteur_3[[#This Row],[Delta Jour]],"")</f>
        <v/>
      </c>
      <c r="H93" s="42"/>
      <c r="I93" s="42"/>
      <c r="J93" s="42"/>
      <c r="K93" s="42"/>
      <c r="L93" s="42"/>
    </row>
    <row r="94" spans="1:12" x14ac:dyDescent="0.25">
      <c r="A94" s="61">
        <f t="shared" si="3"/>
        <v>1</v>
      </c>
      <c r="B94" s="61">
        <f>EDATE($B$3,Site!$I$35*(ROW(Tab_Compteur_3[[#This Row],[Début de période]])-3))</f>
        <v>0</v>
      </c>
      <c r="C94" s="187"/>
      <c r="D94" s="294"/>
      <c r="E94">
        <f t="shared" si="2"/>
        <v>0</v>
      </c>
      <c r="F94" t="str">
        <f>IFERROR(Tab_Compteur_3[[#This Row],[Quantité]]/Tab_Compteur_3[[#This Row],[Delta Jour]],"")</f>
        <v/>
      </c>
      <c r="G94" t="str">
        <f>IFERROR(Tab_Compteur_3[[#This Row],[Montant TTC]]/Tab_Compteur_3[[#This Row],[Delta Jour]],"")</f>
        <v/>
      </c>
      <c r="H94" s="42"/>
      <c r="I94" s="42"/>
      <c r="J94" s="42"/>
      <c r="K94" s="42"/>
      <c r="L94" s="42"/>
    </row>
    <row r="95" spans="1:12" x14ac:dyDescent="0.25">
      <c r="A95" s="61">
        <f t="shared" si="3"/>
        <v>1</v>
      </c>
      <c r="B95" s="61">
        <f>EDATE($B$3,Site!$I$35*(ROW(Tab_Compteur_3[[#This Row],[Début de période]])-3))</f>
        <v>0</v>
      </c>
      <c r="C95" s="187"/>
      <c r="D95" s="294"/>
      <c r="E95">
        <f t="shared" si="2"/>
        <v>0</v>
      </c>
      <c r="F95" t="str">
        <f>IFERROR(Tab_Compteur_3[[#This Row],[Quantité]]/Tab_Compteur_3[[#This Row],[Delta Jour]],"")</f>
        <v/>
      </c>
      <c r="G95" t="str">
        <f>IFERROR(Tab_Compteur_3[[#This Row],[Montant TTC]]/Tab_Compteur_3[[#This Row],[Delta Jour]],"")</f>
        <v/>
      </c>
      <c r="H95" s="42"/>
      <c r="I95" s="42"/>
      <c r="J95" s="42"/>
      <c r="K95" s="42"/>
      <c r="L95" s="42"/>
    </row>
    <row r="96" spans="1:12" x14ac:dyDescent="0.25">
      <c r="A96" s="61">
        <f t="shared" si="3"/>
        <v>1</v>
      </c>
      <c r="B96" s="61">
        <f>EDATE($B$3,Site!$I$35*(ROW(Tab_Compteur_3[[#This Row],[Début de période]])-3))</f>
        <v>0</v>
      </c>
      <c r="C96" s="187"/>
      <c r="D96" s="294"/>
      <c r="E96">
        <f t="shared" si="2"/>
        <v>0</v>
      </c>
      <c r="F96" t="str">
        <f>IFERROR(Tab_Compteur_3[[#This Row],[Quantité]]/Tab_Compteur_3[[#This Row],[Delta Jour]],"")</f>
        <v/>
      </c>
      <c r="G96" t="str">
        <f>IFERROR(Tab_Compteur_3[[#This Row],[Montant TTC]]/Tab_Compteur_3[[#This Row],[Delta Jour]],"")</f>
        <v/>
      </c>
      <c r="H96" s="42"/>
      <c r="I96" s="42"/>
      <c r="J96" s="42"/>
      <c r="K96" s="42"/>
      <c r="L96" s="42"/>
    </row>
    <row r="97" spans="1:12" x14ac:dyDescent="0.25">
      <c r="A97" s="61">
        <f t="shared" si="3"/>
        <v>1</v>
      </c>
      <c r="B97" s="61">
        <f>EDATE($B$3,Site!$I$35*(ROW(Tab_Compteur_3[[#This Row],[Début de période]])-3))</f>
        <v>0</v>
      </c>
      <c r="C97" s="187"/>
      <c r="D97" s="294"/>
      <c r="E97">
        <f t="shared" si="2"/>
        <v>0</v>
      </c>
      <c r="F97" t="str">
        <f>IFERROR(Tab_Compteur_3[[#This Row],[Quantité]]/Tab_Compteur_3[[#This Row],[Delta Jour]],"")</f>
        <v/>
      </c>
      <c r="G97" t="str">
        <f>IFERROR(Tab_Compteur_3[[#This Row],[Montant TTC]]/Tab_Compteur_3[[#This Row],[Delta Jour]],"")</f>
        <v/>
      </c>
      <c r="H97" s="42"/>
      <c r="I97" s="42"/>
      <c r="J97" s="42"/>
      <c r="K97" s="42"/>
      <c r="L97" s="42"/>
    </row>
    <row r="98" spans="1:12" x14ac:dyDescent="0.25">
      <c r="A98" s="61">
        <f t="shared" si="3"/>
        <v>1</v>
      </c>
      <c r="B98" s="61">
        <f>EDATE($B$3,Site!$I$35*(ROW(Tab_Compteur_3[[#This Row],[Début de période]])-3))</f>
        <v>0</v>
      </c>
      <c r="C98" s="187"/>
      <c r="D98" s="294"/>
      <c r="E98">
        <f t="shared" si="2"/>
        <v>0</v>
      </c>
      <c r="F98" t="str">
        <f>IFERROR(Tab_Compteur_3[[#This Row],[Quantité]]/Tab_Compteur_3[[#This Row],[Delta Jour]],"")</f>
        <v/>
      </c>
      <c r="G98" t="str">
        <f>IFERROR(Tab_Compteur_3[[#This Row],[Montant TTC]]/Tab_Compteur_3[[#This Row],[Delta Jour]],"")</f>
        <v/>
      </c>
      <c r="H98" s="42"/>
      <c r="I98" s="42"/>
      <c r="J98" s="42"/>
      <c r="K98" s="42"/>
      <c r="L98" s="42"/>
    </row>
    <row r="99" spans="1:12" x14ac:dyDescent="0.25">
      <c r="A99" s="61">
        <f t="shared" si="3"/>
        <v>1</v>
      </c>
      <c r="B99" s="61">
        <f>EDATE($B$3,Site!$I$35*(ROW(Tab_Compteur_3[[#This Row],[Début de période]])-3))</f>
        <v>0</v>
      </c>
      <c r="C99" s="187"/>
      <c r="D99" s="294"/>
      <c r="E99">
        <f t="shared" si="2"/>
        <v>0</v>
      </c>
      <c r="F99" t="str">
        <f>IFERROR(Tab_Compteur_3[[#This Row],[Quantité]]/Tab_Compteur_3[[#This Row],[Delta Jour]],"")</f>
        <v/>
      </c>
      <c r="G99" t="str">
        <f>IFERROR(Tab_Compteur_3[[#This Row],[Montant TTC]]/Tab_Compteur_3[[#This Row],[Delta Jour]],"")</f>
        <v/>
      </c>
      <c r="H99" s="42"/>
      <c r="I99" s="42"/>
      <c r="J99" s="42"/>
      <c r="K99" s="42"/>
      <c r="L99" s="42"/>
    </row>
    <row r="100" spans="1:12" x14ac:dyDescent="0.25">
      <c r="A100" s="61">
        <f t="shared" si="3"/>
        <v>1</v>
      </c>
      <c r="B100" s="61">
        <f>EDATE($B$3,Site!$I$35*(ROW(Tab_Compteur_3[[#This Row],[Début de période]])-3))</f>
        <v>0</v>
      </c>
      <c r="C100" s="187"/>
      <c r="D100" s="294"/>
      <c r="E100">
        <f t="shared" si="2"/>
        <v>0</v>
      </c>
      <c r="F100" t="str">
        <f>IFERROR(Tab_Compteur_3[[#This Row],[Quantité]]/Tab_Compteur_3[[#This Row],[Delta Jour]],"")</f>
        <v/>
      </c>
      <c r="G100" t="str">
        <f>IFERROR(Tab_Compteur_3[[#This Row],[Montant TTC]]/Tab_Compteur_3[[#This Row],[Delta Jour]],"")</f>
        <v/>
      </c>
      <c r="H100" s="42"/>
      <c r="I100" s="42"/>
      <c r="J100" s="42"/>
      <c r="K100" s="42"/>
      <c r="L100" s="42"/>
    </row>
    <row r="101" spans="1:12" x14ac:dyDescent="0.25">
      <c r="A101" s="61">
        <f t="shared" si="3"/>
        <v>1</v>
      </c>
      <c r="B101" s="61">
        <f>EDATE($B$3,Site!$I$35*(ROW(Tab_Compteur_3[[#This Row],[Début de période]])-3))</f>
        <v>0</v>
      </c>
      <c r="C101" s="187"/>
      <c r="D101" s="294"/>
      <c r="E101">
        <f t="shared" si="2"/>
        <v>0</v>
      </c>
      <c r="F101" t="str">
        <f>IFERROR(Tab_Compteur_3[[#This Row],[Quantité]]/Tab_Compteur_3[[#This Row],[Delta Jour]],"")</f>
        <v/>
      </c>
      <c r="G101" t="str">
        <f>IFERROR(Tab_Compteur_3[[#This Row],[Montant TTC]]/Tab_Compteur_3[[#This Row],[Delta Jour]],"")</f>
        <v/>
      </c>
      <c r="H101" s="42"/>
      <c r="I101" s="42"/>
      <c r="J101" s="42"/>
      <c r="K101" s="42"/>
      <c r="L101" s="42"/>
    </row>
    <row r="102" spans="1:12" x14ac:dyDescent="0.25">
      <c r="A102" s="61">
        <f t="shared" si="3"/>
        <v>1</v>
      </c>
      <c r="B102" s="61">
        <f>EDATE($B$3,Site!$I$35*(ROW(Tab_Compteur_3[[#This Row],[Début de période]])-3))</f>
        <v>0</v>
      </c>
      <c r="C102" s="187"/>
      <c r="D102" s="294"/>
      <c r="E102">
        <f t="shared" si="2"/>
        <v>0</v>
      </c>
      <c r="F102" t="str">
        <f>IFERROR(Tab_Compteur_3[[#This Row],[Quantité]]/Tab_Compteur_3[[#This Row],[Delta Jour]],"")</f>
        <v/>
      </c>
      <c r="G102" t="str">
        <f>IFERROR(Tab_Compteur_3[[#This Row],[Montant TTC]]/Tab_Compteur_3[[#This Row],[Delta Jour]],"")</f>
        <v/>
      </c>
      <c r="H102" s="42"/>
      <c r="I102" s="42"/>
      <c r="J102" s="42"/>
      <c r="K102" s="42"/>
      <c r="L102" s="42"/>
    </row>
    <row r="103" spans="1:12" x14ac:dyDescent="0.25">
      <c r="A103" s="61">
        <f t="shared" si="3"/>
        <v>1</v>
      </c>
      <c r="B103" s="61">
        <f>EDATE($B$3,Site!$I$35*(ROW(Tab_Compteur_3[[#This Row],[Début de période]])-3))</f>
        <v>0</v>
      </c>
      <c r="C103" s="187"/>
      <c r="D103" s="294"/>
      <c r="E103">
        <f t="shared" si="2"/>
        <v>0</v>
      </c>
      <c r="F103" t="str">
        <f>IFERROR(Tab_Compteur_3[[#This Row],[Quantité]]/Tab_Compteur_3[[#This Row],[Delta Jour]],"")</f>
        <v/>
      </c>
      <c r="G103" t="str">
        <f>IFERROR(Tab_Compteur_3[[#This Row],[Montant TTC]]/Tab_Compteur_3[[#This Row],[Delta Jour]],"")</f>
        <v/>
      </c>
      <c r="H103" s="42"/>
      <c r="I103" s="42"/>
      <c r="J103" s="42"/>
      <c r="K103" s="42"/>
      <c r="L103" s="42"/>
    </row>
    <row r="104" spans="1:12" x14ac:dyDescent="0.25">
      <c r="A104" s="61">
        <f t="shared" si="3"/>
        <v>1</v>
      </c>
      <c r="B104" s="61">
        <f>EDATE($B$3,Site!$I$35*(ROW(Tab_Compteur_3[[#This Row],[Début de période]])-3))</f>
        <v>0</v>
      </c>
      <c r="C104" s="187"/>
      <c r="D104" s="294"/>
      <c r="E104">
        <f t="shared" si="2"/>
        <v>0</v>
      </c>
      <c r="F104" t="str">
        <f>IFERROR(Tab_Compteur_3[[#This Row],[Quantité]]/Tab_Compteur_3[[#This Row],[Delta Jour]],"")</f>
        <v/>
      </c>
      <c r="G104" t="str">
        <f>IFERROR(Tab_Compteur_3[[#This Row],[Montant TTC]]/Tab_Compteur_3[[#This Row],[Delta Jour]],"")</f>
        <v/>
      </c>
      <c r="H104" s="42"/>
      <c r="I104" s="42"/>
      <c r="J104" s="42"/>
      <c r="K104" s="42"/>
      <c r="L104" s="42"/>
    </row>
    <row r="105" spans="1:12" x14ac:dyDescent="0.25">
      <c r="A105" s="61">
        <f t="shared" si="3"/>
        <v>1</v>
      </c>
      <c r="B105" s="61">
        <f>EDATE($B$3,Site!$I$35*(ROW(Tab_Compteur_3[[#This Row],[Début de période]])-3))</f>
        <v>0</v>
      </c>
      <c r="C105" s="187"/>
      <c r="D105" s="294"/>
      <c r="E105">
        <f t="shared" si="2"/>
        <v>0</v>
      </c>
      <c r="F105" t="str">
        <f>IFERROR(Tab_Compteur_3[[#This Row],[Quantité]]/Tab_Compteur_3[[#This Row],[Delta Jour]],"")</f>
        <v/>
      </c>
      <c r="G105" t="str">
        <f>IFERROR(Tab_Compteur_3[[#This Row],[Montant TTC]]/Tab_Compteur_3[[#This Row],[Delta Jour]],"")</f>
        <v/>
      </c>
      <c r="H105" s="42"/>
      <c r="I105" s="42"/>
      <c r="J105" s="42"/>
      <c r="K105" s="42"/>
      <c r="L105" s="42"/>
    </row>
    <row r="106" spans="1:12" x14ac:dyDescent="0.25">
      <c r="A106" s="61">
        <f t="shared" si="3"/>
        <v>1</v>
      </c>
      <c r="B106" s="61">
        <f>EDATE($B$3,Site!$I$35*(ROW(Tab_Compteur_3[[#This Row],[Début de période]])-3))</f>
        <v>0</v>
      </c>
      <c r="C106" s="187"/>
      <c r="D106" s="294"/>
      <c r="E106">
        <f t="shared" si="2"/>
        <v>0</v>
      </c>
      <c r="F106" t="str">
        <f>IFERROR(Tab_Compteur_3[[#This Row],[Quantité]]/Tab_Compteur_3[[#This Row],[Delta Jour]],"")</f>
        <v/>
      </c>
      <c r="G106" t="str">
        <f>IFERROR(Tab_Compteur_3[[#This Row],[Montant TTC]]/Tab_Compteur_3[[#This Row],[Delta Jour]],"")</f>
        <v/>
      </c>
      <c r="H106" s="42"/>
      <c r="I106" s="42"/>
      <c r="J106" s="42"/>
      <c r="K106" s="42"/>
      <c r="L106" s="42"/>
    </row>
    <row r="107" spans="1:12" x14ac:dyDescent="0.25">
      <c r="A107" s="61">
        <f t="shared" si="3"/>
        <v>1</v>
      </c>
      <c r="B107" s="61">
        <f>EDATE($B$3,Site!$I$35*(ROW(Tab_Compteur_3[[#This Row],[Début de période]])-3))</f>
        <v>0</v>
      </c>
      <c r="C107" s="187"/>
      <c r="D107" s="294"/>
      <c r="E107">
        <f t="shared" si="2"/>
        <v>0</v>
      </c>
      <c r="F107" t="str">
        <f>IFERROR(Tab_Compteur_3[[#This Row],[Quantité]]/Tab_Compteur_3[[#This Row],[Delta Jour]],"")</f>
        <v/>
      </c>
      <c r="G107" t="str">
        <f>IFERROR(Tab_Compteur_3[[#This Row],[Montant TTC]]/Tab_Compteur_3[[#This Row],[Delta Jour]],"")</f>
        <v/>
      </c>
      <c r="H107" s="42"/>
      <c r="I107" s="42"/>
      <c r="J107" s="42"/>
      <c r="K107" s="42"/>
      <c r="L107" s="42"/>
    </row>
    <row r="108" spans="1:12" x14ac:dyDescent="0.25">
      <c r="A108" s="61">
        <f t="shared" si="3"/>
        <v>1</v>
      </c>
      <c r="B108" s="61">
        <f>EDATE($B$3,Site!$I$35*(ROW(Tab_Compteur_3[[#This Row],[Début de période]])-3))</f>
        <v>0</v>
      </c>
      <c r="C108" s="187"/>
      <c r="D108" s="294"/>
      <c r="E108">
        <f t="shared" si="2"/>
        <v>0</v>
      </c>
      <c r="F108" t="str">
        <f>IFERROR(Tab_Compteur_3[[#This Row],[Quantité]]/Tab_Compteur_3[[#This Row],[Delta Jour]],"")</f>
        <v/>
      </c>
      <c r="G108" t="str">
        <f>IFERROR(Tab_Compteur_3[[#This Row],[Montant TTC]]/Tab_Compteur_3[[#This Row],[Delta Jour]],"")</f>
        <v/>
      </c>
      <c r="H108" s="42"/>
      <c r="I108" s="42"/>
      <c r="J108" s="42"/>
      <c r="K108" s="42"/>
      <c r="L108" s="42"/>
    </row>
    <row r="109" spans="1:12" x14ac:dyDescent="0.25">
      <c r="A109" s="61">
        <f t="shared" si="3"/>
        <v>1</v>
      </c>
      <c r="B109" s="61">
        <f>EDATE($B$3,Site!$I$35*(ROW(Tab_Compteur_3[[#This Row],[Début de période]])-3))</f>
        <v>0</v>
      </c>
      <c r="C109" s="187"/>
      <c r="D109" s="294"/>
      <c r="E109">
        <f t="shared" si="2"/>
        <v>0</v>
      </c>
      <c r="F109" t="str">
        <f>IFERROR(Tab_Compteur_3[[#This Row],[Quantité]]/Tab_Compteur_3[[#This Row],[Delta Jour]],"")</f>
        <v/>
      </c>
      <c r="G109" t="str">
        <f>IFERROR(Tab_Compteur_3[[#This Row],[Montant TTC]]/Tab_Compteur_3[[#This Row],[Delta Jour]],"")</f>
        <v/>
      </c>
      <c r="H109" s="42"/>
      <c r="I109" s="42"/>
      <c r="J109" s="42"/>
      <c r="K109" s="42"/>
      <c r="L109" s="42"/>
    </row>
    <row r="110" spans="1:12" x14ac:dyDescent="0.25">
      <c r="A110" s="61">
        <f t="shared" si="3"/>
        <v>1</v>
      </c>
      <c r="B110" s="61">
        <f>EDATE($B$3,Site!$I$35*(ROW(Tab_Compteur_3[[#This Row],[Début de période]])-3))</f>
        <v>0</v>
      </c>
      <c r="C110" s="187"/>
      <c r="D110" s="294"/>
      <c r="E110">
        <f t="shared" si="2"/>
        <v>0</v>
      </c>
      <c r="F110" t="str">
        <f>IFERROR(Tab_Compteur_3[[#This Row],[Quantité]]/Tab_Compteur_3[[#This Row],[Delta Jour]],"")</f>
        <v/>
      </c>
      <c r="G110" t="str">
        <f>IFERROR(Tab_Compteur_3[[#This Row],[Montant TTC]]/Tab_Compteur_3[[#This Row],[Delta Jour]],"")</f>
        <v/>
      </c>
      <c r="H110" s="42"/>
      <c r="I110" s="42"/>
      <c r="J110" s="42"/>
      <c r="K110" s="42"/>
      <c r="L110" s="42"/>
    </row>
    <row r="111" spans="1:12" x14ac:dyDescent="0.25">
      <c r="A111" s="61">
        <f t="shared" si="3"/>
        <v>1</v>
      </c>
      <c r="B111" s="61">
        <f>EDATE($B$3,Site!$I$35*(ROW(Tab_Compteur_3[[#This Row],[Début de période]])-3))</f>
        <v>0</v>
      </c>
      <c r="C111" s="187"/>
      <c r="D111" s="294"/>
      <c r="E111">
        <f t="shared" si="2"/>
        <v>0</v>
      </c>
      <c r="F111" t="str">
        <f>IFERROR(Tab_Compteur_3[[#This Row],[Quantité]]/Tab_Compteur_3[[#This Row],[Delta Jour]],"")</f>
        <v/>
      </c>
      <c r="G111" t="str">
        <f>IFERROR(Tab_Compteur_3[[#This Row],[Montant TTC]]/Tab_Compteur_3[[#This Row],[Delta Jour]],"")</f>
        <v/>
      </c>
      <c r="H111" s="42"/>
      <c r="I111" s="42"/>
      <c r="J111" s="42"/>
      <c r="K111" s="42"/>
      <c r="L111" s="42"/>
    </row>
    <row r="112" spans="1:12" x14ac:dyDescent="0.25">
      <c r="A112" s="61">
        <f t="shared" si="3"/>
        <v>1</v>
      </c>
      <c r="B112" s="61">
        <f>EDATE($B$3,Site!$I$35*(ROW(Tab_Compteur_3[[#This Row],[Début de période]])-3))</f>
        <v>0</v>
      </c>
      <c r="C112" s="187"/>
      <c r="D112" s="294"/>
      <c r="E112">
        <f t="shared" si="2"/>
        <v>0</v>
      </c>
      <c r="F112" t="str">
        <f>IFERROR(Tab_Compteur_3[[#This Row],[Quantité]]/Tab_Compteur_3[[#This Row],[Delta Jour]],"")</f>
        <v/>
      </c>
      <c r="G112" t="str">
        <f>IFERROR(Tab_Compteur_3[[#This Row],[Montant TTC]]/Tab_Compteur_3[[#This Row],[Delta Jour]],"")</f>
        <v/>
      </c>
      <c r="H112" s="42"/>
      <c r="I112" s="42"/>
      <c r="J112" s="42"/>
      <c r="K112" s="42"/>
      <c r="L112" s="42"/>
    </row>
    <row r="113" spans="1:12" x14ac:dyDescent="0.25">
      <c r="A113" s="61">
        <f t="shared" si="3"/>
        <v>1</v>
      </c>
      <c r="B113" s="61">
        <f>EDATE($B$3,Site!$I$35*(ROW(Tab_Compteur_3[[#This Row],[Début de période]])-3))</f>
        <v>0</v>
      </c>
      <c r="C113" s="187"/>
      <c r="D113" s="294"/>
      <c r="E113">
        <f t="shared" si="2"/>
        <v>0</v>
      </c>
      <c r="F113" t="str">
        <f>IFERROR(Tab_Compteur_3[[#This Row],[Quantité]]/Tab_Compteur_3[[#This Row],[Delta Jour]],"")</f>
        <v/>
      </c>
      <c r="G113" t="str">
        <f>IFERROR(Tab_Compteur_3[[#This Row],[Montant TTC]]/Tab_Compteur_3[[#This Row],[Delta Jour]],"")</f>
        <v/>
      </c>
      <c r="H113" s="42"/>
      <c r="I113" s="42"/>
      <c r="J113" s="42"/>
      <c r="K113" s="42"/>
      <c r="L113" s="42"/>
    </row>
    <row r="114" spans="1:12" x14ac:dyDescent="0.25">
      <c r="A114" s="61">
        <f t="shared" si="3"/>
        <v>1</v>
      </c>
      <c r="B114" s="61">
        <f>EDATE($B$3,Site!$I$35*(ROW(Tab_Compteur_3[[#This Row],[Début de période]])-3))</f>
        <v>0</v>
      </c>
      <c r="C114" s="187"/>
      <c r="D114" s="294"/>
      <c r="E114">
        <f t="shared" si="2"/>
        <v>0</v>
      </c>
      <c r="F114" t="str">
        <f>IFERROR(Tab_Compteur_3[[#This Row],[Quantité]]/Tab_Compteur_3[[#This Row],[Delta Jour]],"")</f>
        <v/>
      </c>
      <c r="G114" t="str">
        <f>IFERROR(Tab_Compteur_3[[#This Row],[Montant TTC]]/Tab_Compteur_3[[#This Row],[Delta Jour]],"")</f>
        <v/>
      </c>
      <c r="H114" s="42"/>
      <c r="I114" s="42"/>
      <c r="J114" s="42"/>
      <c r="K114" s="42"/>
      <c r="L114" s="42"/>
    </row>
    <row r="115" spans="1:12" x14ac:dyDescent="0.25">
      <c r="A115" s="61">
        <f t="shared" si="3"/>
        <v>1</v>
      </c>
      <c r="B115" s="61">
        <f>EDATE($B$3,Site!$I$35*(ROW(Tab_Compteur_3[[#This Row],[Début de période]])-3))</f>
        <v>0</v>
      </c>
      <c r="C115" s="187"/>
      <c r="D115" s="294"/>
      <c r="E115">
        <f t="shared" si="2"/>
        <v>0</v>
      </c>
      <c r="F115" t="str">
        <f>IFERROR(Tab_Compteur_3[[#This Row],[Quantité]]/Tab_Compteur_3[[#This Row],[Delta Jour]],"")</f>
        <v/>
      </c>
      <c r="G115" t="str">
        <f>IFERROR(Tab_Compteur_3[[#This Row],[Montant TTC]]/Tab_Compteur_3[[#This Row],[Delta Jour]],"")</f>
        <v/>
      </c>
      <c r="H115" s="42"/>
      <c r="I115" s="42"/>
      <c r="J115" s="42"/>
      <c r="K115" s="42"/>
      <c r="L115" s="42"/>
    </row>
    <row r="116" spans="1:12" x14ac:dyDescent="0.25">
      <c r="A116" s="61">
        <f t="shared" si="3"/>
        <v>1</v>
      </c>
      <c r="B116" s="61">
        <f>EDATE($B$3,Site!$I$35*(ROW(Tab_Compteur_3[[#This Row],[Début de période]])-3))</f>
        <v>0</v>
      </c>
      <c r="C116" s="187"/>
      <c r="D116" s="294"/>
      <c r="E116">
        <f t="shared" si="2"/>
        <v>0</v>
      </c>
      <c r="F116" t="str">
        <f>IFERROR(Tab_Compteur_3[[#This Row],[Quantité]]/Tab_Compteur_3[[#This Row],[Delta Jour]],"")</f>
        <v/>
      </c>
      <c r="G116" t="str">
        <f>IFERROR(Tab_Compteur_3[[#This Row],[Montant TTC]]/Tab_Compteur_3[[#This Row],[Delta Jour]],"")</f>
        <v/>
      </c>
      <c r="H116" s="42"/>
      <c r="I116" s="42"/>
      <c r="J116" s="42"/>
      <c r="K116" s="42"/>
      <c r="L116" s="42"/>
    </row>
    <row r="117" spans="1:12" x14ac:dyDescent="0.25">
      <c r="A117" s="61">
        <f t="shared" si="3"/>
        <v>1</v>
      </c>
      <c r="B117" s="61">
        <f>EDATE($B$3,Site!$I$35*(ROW(Tab_Compteur_3[[#This Row],[Début de période]])-3))</f>
        <v>0</v>
      </c>
      <c r="C117" s="187"/>
      <c r="D117" s="294"/>
      <c r="E117">
        <f t="shared" si="2"/>
        <v>0</v>
      </c>
      <c r="F117" t="str">
        <f>IFERROR(Tab_Compteur_3[[#This Row],[Quantité]]/Tab_Compteur_3[[#This Row],[Delta Jour]],"")</f>
        <v/>
      </c>
      <c r="G117" t="str">
        <f>IFERROR(Tab_Compteur_3[[#This Row],[Montant TTC]]/Tab_Compteur_3[[#This Row],[Delta Jour]],"")</f>
        <v/>
      </c>
      <c r="H117" s="42"/>
      <c r="I117" s="42"/>
      <c r="J117" s="42"/>
      <c r="K117" s="42"/>
      <c r="L117" s="42"/>
    </row>
    <row r="118" spans="1:12" x14ac:dyDescent="0.25">
      <c r="A118" s="61">
        <f t="shared" si="3"/>
        <v>1</v>
      </c>
      <c r="B118" s="61">
        <f>EDATE($B$3,Site!$I$35*(ROW(Tab_Compteur_3[[#This Row],[Début de période]])-3))</f>
        <v>0</v>
      </c>
      <c r="C118" s="187"/>
      <c r="D118" s="294"/>
      <c r="E118">
        <f t="shared" si="2"/>
        <v>0</v>
      </c>
      <c r="F118" t="str">
        <f>IFERROR(Tab_Compteur_3[[#This Row],[Quantité]]/Tab_Compteur_3[[#This Row],[Delta Jour]],"")</f>
        <v/>
      </c>
      <c r="G118" t="str">
        <f>IFERROR(Tab_Compteur_3[[#This Row],[Montant TTC]]/Tab_Compteur_3[[#This Row],[Delta Jour]],"")</f>
        <v/>
      </c>
      <c r="H118" s="42"/>
      <c r="I118" s="42"/>
      <c r="J118" s="42"/>
      <c r="K118" s="42"/>
      <c r="L118" s="42"/>
    </row>
    <row r="119" spans="1:12" x14ac:dyDescent="0.25">
      <c r="A119" s="61">
        <f t="shared" si="3"/>
        <v>1</v>
      </c>
      <c r="B119" s="61">
        <f>EDATE($B$3,Site!$I$35*(ROW(Tab_Compteur_3[[#This Row],[Début de période]])-3))</f>
        <v>0</v>
      </c>
      <c r="C119" s="187"/>
      <c r="D119" s="294"/>
      <c r="E119">
        <f t="shared" si="2"/>
        <v>0</v>
      </c>
      <c r="F119" t="str">
        <f>IFERROR(Tab_Compteur_3[[#This Row],[Quantité]]/Tab_Compteur_3[[#This Row],[Delta Jour]],"")</f>
        <v/>
      </c>
      <c r="G119" t="str">
        <f>IFERROR(Tab_Compteur_3[[#This Row],[Montant TTC]]/Tab_Compteur_3[[#This Row],[Delta Jour]],"")</f>
        <v/>
      </c>
      <c r="H119" s="42"/>
      <c r="I119" s="42"/>
      <c r="J119" s="42"/>
      <c r="K119" s="42"/>
      <c r="L119" s="42"/>
    </row>
    <row r="120" spans="1:12" x14ac:dyDescent="0.25">
      <c r="A120" s="61">
        <f t="shared" si="3"/>
        <v>1</v>
      </c>
      <c r="B120" s="61">
        <f>EDATE($B$3,Site!$I$35*(ROW(Tab_Compteur_3[[#This Row],[Début de période]])-3))</f>
        <v>0</v>
      </c>
      <c r="C120" s="187"/>
      <c r="D120" s="294"/>
      <c r="E120">
        <f t="shared" si="2"/>
        <v>0</v>
      </c>
      <c r="F120" t="str">
        <f>IFERROR(Tab_Compteur_3[[#This Row],[Quantité]]/Tab_Compteur_3[[#This Row],[Delta Jour]],"")</f>
        <v/>
      </c>
      <c r="G120" t="str">
        <f>IFERROR(Tab_Compteur_3[[#This Row],[Montant TTC]]/Tab_Compteur_3[[#This Row],[Delta Jour]],"")</f>
        <v/>
      </c>
      <c r="H120" s="42"/>
      <c r="I120" s="42"/>
      <c r="J120" s="42"/>
      <c r="K120" s="42"/>
      <c r="L120" s="42"/>
    </row>
    <row r="121" spans="1:12" x14ac:dyDescent="0.25">
      <c r="A121" s="61">
        <f t="shared" si="3"/>
        <v>1</v>
      </c>
      <c r="B121" s="61">
        <f>EDATE($B$3,Site!$I$35*(ROW(Tab_Compteur_3[[#This Row],[Début de période]])-3))</f>
        <v>0</v>
      </c>
      <c r="C121" s="187"/>
      <c r="D121" s="294"/>
      <c r="E121">
        <f t="shared" si="2"/>
        <v>0</v>
      </c>
      <c r="F121" t="str">
        <f>IFERROR(Tab_Compteur_3[[#This Row],[Quantité]]/Tab_Compteur_3[[#This Row],[Delta Jour]],"")</f>
        <v/>
      </c>
      <c r="G121" t="str">
        <f>IFERROR(Tab_Compteur_3[[#This Row],[Montant TTC]]/Tab_Compteur_3[[#This Row],[Delta Jour]],"")</f>
        <v/>
      </c>
      <c r="H121" s="42"/>
      <c r="I121" s="42"/>
      <c r="J121" s="42"/>
      <c r="K121" s="42"/>
      <c r="L121" s="42"/>
    </row>
    <row r="122" spans="1:12" x14ac:dyDescent="0.25">
      <c r="A122" s="61">
        <f t="shared" si="3"/>
        <v>1</v>
      </c>
      <c r="B122" s="61">
        <f>EDATE($B$3,Site!$I$35*(ROW(Tab_Compteur_3[[#This Row],[Début de période]])-3))</f>
        <v>0</v>
      </c>
      <c r="C122" s="187"/>
      <c r="D122" s="294"/>
      <c r="E122">
        <f t="shared" si="2"/>
        <v>0</v>
      </c>
      <c r="F122" t="str">
        <f>IFERROR(Tab_Compteur_3[[#This Row],[Quantité]]/Tab_Compteur_3[[#This Row],[Delta Jour]],"")</f>
        <v/>
      </c>
      <c r="G122" t="str">
        <f>IFERROR(Tab_Compteur_3[[#This Row],[Montant TTC]]/Tab_Compteur_3[[#This Row],[Delta Jour]],"")</f>
        <v/>
      </c>
      <c r="H122" s="42"/>
      <c r="I122" s="42"/>
      <c r="J122" s="42"/>
      <c r="K122" s="42"/>
      <c r="L122" s="42"/>
    </row>
    <row r="123" spans="1:12" x14ac:dyDescent="0.25">
      <c r="A123" s="61">
        <f t="shared" si="3"/>
        <v>1</v>
      </c>
      <c r="B123" s="61">
        <f>EDATE($B$3,Site!$I$35*(ROW(Tab_Compteur_3[[#This Row],[Début de période]])-3))</f>
        <v>0</v>
      </c>
      <c r="C123" s="187"/>
      <c r="D123" s="294"/>
      <c r="E123">
        <f t="shared" si="2"/>
        <v>0</v>
      </c>
      <c r="F123" t="str">
        <f>IFERROR(Tab_Compteur_3[[#This Row],[Quantité]]/Tab_Compteur_3[[#This Row],[Delta Jour]],"")</f>
        <v/>
      </c>
      <c r="G123" t="str">
        <f>IFERROR(Tab_Compteur_3[[#This Row],[Montant TTC]]/Tab_Compteur_3[[#This Row],[Delta Jour]],"")</f>
        <v/>
      </c>
      <c r="H123" s="42"/>
      <c r="I123" s="42"/>
      <c r="J123" s="42"/>
      <c r="K123" s="42"/>
      <c r="L123" s="42"/>
    </row>
    <row r="124" spans="1:12" x14ac:dyDescent="0.25">
      <c r="A124" s="61">
        <f t="shared" si="3"/>
        <v>1</v>
      </c>
      <c r="B124" s="61">
        <f>EDATE($B$3,Site!$I$35*(ROW(Tab_Compteur_3[[#This Row],[Début de période]])-3))</f>
        <v>0</v>
      </c>
      <c r="C124" s="187"/>
      <c r="D124" s="294"/>
      <c r="E124">
        <f t="shared" si="2"/>
        <v>0</v>
      </c>
      <c r="F124" t="str">
        <f>IFERROR(Tab_Compteur_3[[#This Row],[Quantité]]/Tab_Compteur_3[[#This Row],[Delta Jour]],"")</f>
        <v/>
      </c>
      <c r="G124" t="str">
        <f>IFERROR(Tab_Compteur_3[[#This Row],[Montant TTC]]/Tab_Compteur_3[[#This Row],[Delta Jour]],"")</f>
        <v/>
      </c>
      <c r="H124" s="42"/>
      <c r="I124" s="42"/>
      <c r="J124" s="42"/>
      <c r="K124" s="42"/>
      <c r="L124" s="42"/>
    </row>
    <row r="125" spans="1:12" x14ac:dyDescent="0.25">
      <c r="A125" s="61">
        <f t="shared" si="3"/>
        <v>1</v>
      </c>
      <c r="B125" s="61">
        <f>EDATE($B$3,Site!$I$35*(ROW(Tab_Compteur_3[[#This Row],[Début de période]])-3))</f>
        <v>0</v>
      </c>
      <c r="C125" s="187"/>
      <c r="D125" s="294"/>
      <c r="E125">
        <f t="shared" si="2"/>
        <v>0</v>
      </c>
      <c r="F125" t="str">
        <f>IFERROR(Tab_Compteur_3[[#This Row],[Quantité]]/Tab_Compteur_3[[#This Row],[Delta Jour]],"")</f>
        <v/>
      </c>
      <c r="G125" t="str">
        <f>IFERROR(Tab_Compteur_3[[#This Row],[Montant TTC]]/Tab_Compteur_3[[#This Row],[Delta Jour]],"")</f>
        <v/>
      </c>
      <c r="H125" s="42"/>
      <c r="I125" s="42"/>
      <c r="J125" s="42"/>
      <c r="K125" s="42"/>
      <c r="L125" s="42"/>
    </row>
    <row r="126" spans="1:12" x14ac:dyDescent="0.25">
      <c r="A126" s="61">
        <f t="shared" si="3"/>
        <v>1</v>
      </c>
      <c r="B126" s="61">
        <f>EDATE($B$3,Site!$I$35*(ROW(Tab_Compteur_3[[#This Row],[Début de période]])-3))</f>
        <v>0</v>
      </c>
      <c r="C126" s="187"/>
      <c r="D126" s="294"/>
      <c r="E126">
        <f t="shared" si="2"/>
        <v>0</v>
      </c>
      <c r="F126" t="str">
        <f>IFERROR(Tab_Compteur_3[[#This Row],[Quantité]]/Tab_Compteur_3[[#This Row],[Delta Jour]],"")</f>
        <v/>
      </c>
      <c r="G126" t="str">
        <f>IFERROR(Tab_Compteur_3[[#This Row],[Montant TTC]]/Tab_Compteur_3[[#This Row],[Delta Jour]],"")</f>
        <v/>
      </c>
      <c r="H126" s="42"/>
      <c r="I126" s="42"/>
      <c r="J126" s="42"/>
      <c r="K126" s="42"/>
      <c r="L126" s="42"/>
    </row>
    <row r="127" spans="1:12" x14ac:dyDescent="0.25">
      <c r="A127" s="61">
        <f t="shared" si="3"/>
        <v>1</v>
      </c>
      <c r="B127" s="61">
        <f>EDATE($B$3,Site!$I$35*(ROW(Tab_Compteur_3[[#This Row],[Début de période]])-3))</f>
        <v>0</v>
      </c>
      <c r="C127" s="187"/>
      <c r="D127" s="294"/>
      <c r="E127">
        <f t="shared" si="2"/>
        <v>0</v>
      </c>
      <c r="F127" t="str">
        <f>IFERROR(Tab_Compteur_3[[#This Row],[Quantité]]/Tab_Compteur_3[[#This Row],[Delta Jour]],"")</f>
        <v/>
      </c>
      <c r="G127" t="str">
        <f>IFERROR(Tab_Compteur_3[[#This Row],[Montant TTC]]/Tab_Compteur_3[[#This Row],[Delta Jour]],"")</f>
        <v/>
      </c>
      <c r="H127" s="42"/>
      <c r="I127" s="42"/>
      <c r="J127" s="42"/>
      <c r="K127" s="42"/>
      <c r="L127" s="42"/>
    </row>
    <row r="128" spans="1:12" x14ac:dyDescent="0.25">
      <c r="A128" s="61">
        <f t="shared" si="3"/>
        <v>1</v>
      </c>
      <c r="B128" s="61">
        <f>EDATE($B$3,Site!$I$35*(ROW(Tab_Compteur_3[[#This Row],[Début de période]])-3))</f>
        <v>0</v>
      </c>
      <c r="C128" s="187"/>
      <c r="D128" s="294"/>
      <c r="E128">
        <f t="shared" si="2"/>
        <v>0</v>
      </c>
      <c r="F128" t="str">
        <f>IFERROR(Tab_Compteur_3[[#This Row],[Quantité]]/Tab_Compteur_3[[#This Row],[Delta Jour]],"")</f>
        <v/>
      </c>
      <c r="G128" t="str">
        <f>IFERROR(Tab_Compteur_3[[#This Row],[Montant TTC]]/Tab_Compteur_3[[#This Row],[Delta Jour]],"")</f>
        <v/>
      </c>
      <c r="H128" s="42"/>
      <c r="I128" s="42"/>
      <c r="J128" s="42"/>
      <c r="K128" s="42"/>
      <c r="L128" s="42"/>
    </row>
    <row r="129" spans="1:12" x14ac:dyDescent="0.25">
      <c r="A129" s="61">
        <f t="shared" si="3"/>
        <v>1</v>
      </c>
      <c r="B129" s="61">
        <f>EDATE($B$3,Site!$I$35*(ROW(Tab_Compteur_3[[#This Row],[Début de période]])-3))</f>
        <v>0</v>
      </c>
      <c r="C129" s="187"/>
      <c r="D129" s="294"/>
      <c r="E129">
        <f t="shared" si="2"/>
        <v>0</v>
      </c>
      <c r="F129" t="str">
        <f>IFERROR(Tab_Compteur_3[[#This Row],[Quantité]]/Tab_Compteur_3[[#This Row],[Delta Jour]],"")</f>
        <v/>
      </c>
      <c r="G129" t="str">
        <f>IFERROR(Tab_Compteur_3[[#This Row],[Montant TTC]]/Tab_Compteur_3[[#This Row],[Delta Jour]],"")</f>
        <v/>
      </c>
      <c r="H129" s="42"/>
      <c r="I129" s="42"/>
      <c r="J129" s="42"/>
      <c r="K129" s="42"/>
      <c r="L129" s="42"/>
    </row>
    <row r="130" spans="1:12" x14ac:dyDescent="0.25">
      <c r="A130" s="61">
        <f t="shared" si="3"/>
        <v>1</v>
      </c>
      <c r="B130" s="61">
        <f>EDATE($B$3,Site!$I$35*(ROW(Tab_Compteur_3[[#This Row],[Début de période]])-3))</f>
        <v>0</v>
      </c>
      <c r="C130" s="187"/>
      <c r="D130" s="294"/>
      <c r="E130">
        <f t="shared" ref="E130:E193" si="4">IFERROR(B130-A130+1,"")</f>
        <v>0</v>
      </c>
      <c r="F130" t="str">
        <f>IFERROR(Tab_Compteur_3[[#This Row],[Quantité]]/Tab_Compteur_3[[#This Row],[Delta Jour]],"")</f>
        <v/>
      </c>
      <c r="G130" t="str">
        <f>IFERROR(Tab_Compteur_3[[#This Row],[Montant TTC]]/Tab_Compteur_3[[#This Row],[Delta Jour]],"")</f>
        <v/>
      </c>
      <c r="H130" s="42"/>
      <c r="I130" s="42"/>
      <c r="J130" s="42"/>
      <c r="K130" s="42"/>
      <c r="L130" s="42"/>
    </row>
    <row r="131" spans="1:12" x14ac:dyDescent="0.25">
      <c r="A131" s="61">
        <f t="shared" si="3"/>
        <v>1</v>
      </c>
      <c r="B131" s="61">
        <f>EDATE($B$3,Site!$I$35*(ROW(Tab_Compteur_3[[#This Row],[Début de période]])-3))</f>
        <v>0</v>
      </c>
      <c r="C131" s="187"/>
      <c r="D131" s="294"/>
      <c r="E131">
        <f t="shared" si="4"/>
        <v>0</v>
      </c>
      <c r="F131" t="str">
        <f>IFERROR(Tab_Compteur_3[[#This Row],[Quantité]]/Tab_Compteur_3[[#This Row],[Delta Jour]],"")</f>
        <v/>
      </c>
      <c r="G131" t="str">
        <f>IFERROR(Tab_Compteur_3[[#This Row],[Montant TTC]]/Tab_Compteur_3[[#This Row],[Delta Jour]],"")</f>
        <v/>
      </c>
      <c r="H131" s="42"/>
      <c r="I131" s="42"/>
      <c r="J131" s="42"/>
      <c r="K131" s="42"/>
      <c r="L131" s="42"/>
    </row>
    <row r="132" spans="1:12" x14ac:dyDescent="0.25">
      <c r="A132" s="61">
        <f t="shared" si="3"/>
        <v>1</v>
      </c>
      <c r="B132" s="61">
        <f>EDATE($B$3,Site!$I$35*(ROW(Tab_Compteur_3[[#This Row],[Début de période]])-3))</f>
        <v>0</v>
      </c>
      <c r="C132" s="187"/>
      <c r="D132" s="294"/>
      <c r="E132">
        <f t="shared" si="4"/>
        <v>0</v>
      </c>
      <c r="F132" t="str">
        <f>IFERROR(Tab_Compteur_3[[#This Row],[Quantité]]/Tab_Compteur_3[[#This Row],[Delta Jour]],"")</f>
        <v/>
      </c>
      <c r="G132" t="str">
        <f>IFERROR(Tab_Compteur_3[[#This Row],[Montant TTC]]/Tab_Compteur_3[[#This Row],[Delta Jour]],"")</f>
        <v/>
      </c>
      <c r="H132" s="42"/>
      <c r="I132" s="42"/>
      <c r="J132" s="42"/>
      <c r="K132" s="42"/>
      <c r="L132" s="42"/>
    </row>
    <row r="133" spans="1:12" x14ac:dyDescent="0.25">
      <c r="A133" s="61">
        <f t="shared" ref="A133:A196" si="5">B132+1</f>
        <v>1</v>
      </c>
      <c r="B133" s="61">
        <f>EDATE($B$3,Site!$I$35*(ROW(Tab_Compteur_3[[#This Row],[Début de période]])-3))</f>
        <v>0</v>
      </c>
      <c r="C133" s="187"/>
      <c r="D133" s="294"/>
      <c r="E133">
        <f t="shared" si="4"/>
        <v>0</v>
      </c>
      <c r="F133" t="str">
        <f>IFERROR(Tab_Compteur_3[[#This Row],[Quantité]]/Tab_Compteur_3[[#This Row],[Delta Jour]],"")</f>
        <v/>
      </c>
      <c r="G133" t="str">
        <f>IFERROR(Tab_Compteur_3[[#This Row],[Montant TTC]]/Tab_Compteur_3[[#This Row],[Delta Jour]],"")</f>
        <v/>
      </c>
      <c r="H133" s="42"/>
      <c r="I133" s="42"/>
      <c r="J133" s="42"/>
      <c r="K133" s="42"/>
      <c r="L133" s="42"/>
    </row>
    <row r="134" spans="1:12" x14ac:dyDescent="0.25">
      <c r="A134" s="61">
        <f t="shared" si="5"/>
        <v>1</v>
      </c>
      <c r="B134" s="61">
        <f>EDATE($B$3,Site!$I$35*(ROW(Tab_Compteur_3[[#This Row],[Début de période]])-3))</f>
        <v>0</v>
      </c>
      <c r="C134" s="187"/>
      <c r="D134" s="294"/>
      <c r="E134">
        <f t="shared" si="4"/>
        <v>0</v>
      </c>
      <c r="F134" t="str">
        <f>IFERROR(Tab_Compteur_3[[#This Row],[Quantité]]/Tab_Compteur_3[[#This Row],[Delta Jour]],"")</f>
        <v/>
      </c>
      <c r="G134" t="str">
        <f>IFERROR(Tab_Compteur_3[[#This Row],[Montant TTC]]/Tab_Compteur_3[[#This Row],[Delta Jour]],"")</f>
        <v/>
      </c>
      <c r="H134" s="42"/>
      <c r="I134" s="42"/>
      <c r="J134" s="42"/>
      <c r="K134" s="42"/>
      <c r="L134" s="42"/>
    </row>
    <row r="135" spans="1:12" x14ac:dyDescent="0.25">
      <c r="A135" s="61">
        <f t="shared" si="5"/>
        <v>1</v>
      </c>
      <c r="B135" s="61">
        <f>EDATE($B$3,Site!$I$35*(ROW(Tab_Compteur_3[[#This Row],[Début de période]])-3))</f>
        <v>0</v>
      </c>
      <c r="C135" s="187"/>
      <c r="D135" s="294"/>
      <c r="E135">
        <f t="shared" si="4"/>
        <v>0</v>
      </c>
      <c r="F135" t="str">
        <f>IFERROR(Tab_Compteur_3[[#This Row],[Quantité]]/Tab_Compteur_3[[#This Row],[Delta Jour]],"")</f>
        <v/>
      </c>
      <c r="G135" t="str">
        <f>IFERROR(Tab_Compteur_3[[#This Row],[Montant TTC]]/Tab_Compteur_3[[#This Row],[Delta Jour]],"")</f>
        <v/>
      </c>
      <c r="H135" s="42"/>
      <c r="I135" s="42"/>
      <c r="J135" s="42"/>
      <c r="K135" s="42"/>
      <c r="L135" s="42"/>
    </row>
    <row r="136" spans="1:12" x14ac:dyDescent="0.25">
      <c r="A136" s="61">
        <f t="shared" si="5"/>
        <v>1</v>
      </c>
      <c r="B136" s="61">
        <f>EDATE($B$3,Site!$I$35*(ROW(Tab_Compteur_3[[#This Row],[Début de période]])-3))</f>
        <v>0</v>
      </c>
      <c r="C136" s="187"/>
      <c r="D136" s="294"/>
      <c r="E136">
        <f t="shared" si="4"/>
        <v>0</v>
      </c>
      <c r="F136" t="str">
        <f>IFERROR(Tab_Compteur_3[[#This Row],[Quantité]]/Tab_Compteur_3[[#This Row],[Delta Jour]],"")</f>
        <v/>
      </c>
      <c r="G136" t="str">
        <f>IFERROR(Tab_Compteur_3[[#This Row],[Montant TTC]]/Tab_Compteur_3[[#This Row],[Delta Jour]],"")</f>
        <v/>
      </c>
      <c r="H136" s="42"/>
      <c r="I136" s="42"/>
      <c r="J136" s="42"/>
      <c r="K136" s="42"/>
      <c r="L136" s="42"/>
    </row>
    <row r="137" spans="1:12" x14ac:dyDescent="0.25">
      <c r="A137" s="61">
        <f t="shared" si="5"/>
        <v>1</v>
      </c>
      <c r="B137" s="61">
        <f>EDATE($B$3,Site!$I$35*(ROW(Tab_Compteur_3[[#This Row],[Début de période]])-3))</f>
        <v>0</v>
      </c>
      <c r="C137" s="187"/>
      <c r="D137" s="294"/>
      <c r="E137">
        <f t="shared" si="4"/>
        <v>0</v>
      </c>
      <c r="F137" t="str">
        <f>IFERROR(Tab_Compteur_3[[#This Row],[Quantité]]/Tab_Compteur_3[[#This Row],[Delta Jour]],"")</f>
        <v/>
      </c>
      <c r="G137" t="str">
        <f>IFERROR(Tab_Compteur_3[[#This Row],[Montant TTC]]/Tab_Compteur_3[[#This Row],[Delta Jour]],"")</f>
        <v/>
      </c>
      <c r="H137" s="42"/>
      <c r="I137" s="42"/>
      <c r="J137" s="42"/>
      <c r="K137" s="42"/>
      <c r="L137" s="42"/>
    </row>
    <row r="138" spans="1:12" x14ac:dyDescent="0.25">
      <c r="A138" s="61">
        <f t="shared" si="5"/>
        <v>1</v>
      </c>
      <c r="B138" s="61">
        <f>EDATE($B$3,Site!$I$35*(ROW(Tab_Compteur_3[[#This Row],[Début de période]])-3))</f>
        <v>0</v>
      </c>
      <c r="C138" s="187"/>
      <c r="D138" s="294"/>
      <c r="E138">
        <f t="shared" si="4"/>
        <v>0</v>
      </c>
      <c r="F138" t="str">
        <f>IFERROR(Tab_Compteur_3[[#This Row],[Quantité]]/Tab_Compteur_3[[#This Row],[Delta Jour]],"")</f>
        <v/>
      </c>
      <c r="G138" t="str">
        <f>IFERROR(Tab_Compteur_3[[#This Row],[Montant TTC]]/Tab_Compteur_3[[#This Row],[Delta Jour]],"")</f>
        <v/>
      </c>
      <c r="H138" s="42"/>
      <c r="I138" s="42"/>
      <c r="J138" s="42"/>
      <c r="K138" s="42"/>
      <c r="L138" s="42"/>
    </row>
    <row r="139" spans="1:12" x14ac:dyDescent="0.25">
      <c r="A139" s="61">
        <f t="shared" si="5"/>
        <v>1</v>
      </c>
      <c r="B139" s="61">
        <f>EDATE($B$3,Site!$I$35*(ROW(Tab_Compteur_3[[#This Row],[Début de période]])-3))</f>
        <v>0</v>
      </c>
      <c r="C139" s="187"/>
      <c r="D139" s="294"/>
      <c r="E139">
        <f t="shared" si="4"/>
        <v>0</v>
      </c>
      <c r="F139" t="str">
        <f>IFERROR(Tab_Compteur_3[[#This Row],[Quantité]]/Tab_Compteur_3[[#This Row],[Delta Jour]],"")</f>
        <v/>
      </c>
      <c r="G139" t="str">
        <f>IFERROR(Tab_Compteur_3[[#This Row],[Montant TTC]]/Tab_Compteur_3[[#This Row],[Delta Jour]],"")</f>
        <v/>
      </c>
      <c r="H139" s="42"/>
      <c r="I139" s="42"/>
      <c r="J139" s="42"/>
      <c r="K139" s="42"/>
      <c r="L139" s="42"/>
    </row>
    <row r="140" spans="1:12" x14ac:dyDescent="0.25">
      <c r="A140" s="61">
        <f t="shared" si="5"/>
        <v>1</v>
      </c>
      <c r="B140" s="61">
        <f>EDATE($B$3,Site!$I$35*(ROW(Tab_Compteur_3[[#This Row],[Début de période]])-3))</f>
        <v>0</v>
      </c>
      <c r="C140" s="187"/>
      <c r="D140" s="294"/>
      <c r="E140">
        <f t="shared" si="4"/>
        <v>0</v>
      </c>
      <c r="F140" t="str">
        <f>IFERROR(Tab_Compteur_3[[#This Row],[Quantité]]/Tab_Compteur_3[[#This Row],[Delta Jour]],"")</f>
        <v/>
      </c>
      <c r="G140" t="str">
        <f>IFERROR(Tab_Compteur_3[[#This Row],[Montant TTC]]/Tab_Compteur_3[[#This Row],[Delta Jour]],"")</f>
        <v/>
      </c>
      <c r="H140" s="42"/>
      <c r="I140" s="42"/>
      <c r="J140" s="42"/>
      <c r="K140" s="42"/>
      <c r="L140" s="42"/>
    </row>
    <row r="141" spans="1:12" x14ac:dyDescent="0.25">
      <c r="A141" s="61">
        <f t="shared" si="5"/>
        <v>1</v>
      </c>
      <c r="B141" s="61">
        <f>EDATE($B$3,Site!$I$35*(ROW(Tab_Compteur_3[[#This Row],[Début de période]])-3))</f>
        <v>0</v>
      </c>
      <c r="C141" s="187"/>
      <c r="D141" s="294"/>
      <c r="E141">
        <f t="shared" si="4"/>
        <v>0</v>
      </c>
      <c r="F141" t="str">
        <f>IFERROR(Tab_Compteur_3[[#This Row],[Quantité]]/Tab_Compteur_3[[#This Row],[Delta Jour]],"")</f>
        <v/>
      </c>
      <c r="G141" t="str">
        <f>IFERROR(Tab_Compteur_3[[#This Row],[Montant TTC]]/Tab_Compteur_3[[#This Row],[Delta Jour]],"")</f>
        <v/>
      </c>
      <c r="H141" s="42"/>
      <c r="I141" s="42"/>
      <c r="J141" s="42"/>
      <c r="K141" s="42"/>
      <c r="L141" s="42"/>
    </row>
    <row r="142" spans="1:12" x14ac:dyDescent="0.25">
      <c r="A142" s="61">
        <f t="shared" si="5"/>
        <v>1</v>
      </c>
      <c r="B142" s="61">
        <f>EDATE($B$3,Site!$I$35*(ROW(Tab_Compteur_3[[#This Row],[Début de période]])-3))</f>
        <v>0</v>
      </c>
      <c r="C142" s="187"/>
      <c r="D142" s="294"/>
      <c r="E142">
        <f t="shared" si="4"/>
        <v>0</v>
      </c>
      <c r="F142" t="str">
        <f>IFERROR(Tab_Compteur_3[[#This Row],[Quantité]]/Tab_Compteur_3[[#This Row],[Delta Jour]],"")</f>
        <v/>
      </c>
      <c r="G142" t="str">
        <f>IFERROR(Tab_Compteur_3[[#This Row],[Montant TTC]]/Tab_Compteur_3[[#This Row],[Delta Jour]],"")</f>
        <v/>
      </c>
      <c r="H142" s="42"/>
      <c r="I142" s="42"/>
      <c r="J142" s="42"/>
      <c r="K142" s="42"/>
      <c r="L142" s="42"/>
    </row>
    <row r="143" spans="1:12" x14ac:dyDescent="0.25">
      <c r="A143" s="61">
        <f t="shared" si="5"/>
        <v>1</v>
      </c>
      <c r="B143" s="61">
        <f>EDATE($B$3,Site!$I$35*(ROW(Tab_Compteur_3[[#This Row],[Début de période]])-3))</f>
        <v>0</v>
      </c>
      <c r="C143" s="187"/>
      <c r="D143" s="294"/>
      <c r="E143">
        <f t="shared" si="4"/>
        <v>0</v>
      </c>
      <c r="F143" t="str">
        <f>IFERROR(Tab_Compteur_3[[#This Row],[Quantité]]/Tab_Compteur_3[[#This Row],[Delta Jour]],"")</f>
        <v/>
      </c>
      <c r="G143" t="str">
        <f>IFERROR(Tab_Compteur_3[[#This Row],[Montant TTC]]/Tab_Compteur_3[[#This Row],[Delta Jour]],"")</f>
        <v/>
      </c>
      <c r="H143" s="42"/>
      <c r="I143" s="42"/>
      <c r="J143" s="42"/>
      <c r="K143" s="42"/>
      <c r="L143" s="42"/>
    </row>
    <row r="144" spans="1:12" x14ac:dyDescent="0.25">
      <c r="A144" s="61">
        <f t="shared" si="5"/>
        <v>1</v>
      </c>
      <c r="B144" s="61">
        <f>EDATE($B$3,Site!$I$35*(ROW(Tab_Compteur_3[[#This Row],[Début de période]])-3))</f>
        <v>0</v>
      </c>
      <c r="C144" s="187"/>
      <c r="D144" s="294"/>
      <c r="E144">
        <f t="shared" si="4"/>
        <v>0</v>
      </c>
      <c r="F144" t="str">
        <f>IFERROR(Tab_Compteur_3[[#This Row],[Quantité]]/Tab_Compteur_3[[#This Row],[Delta Jour]],"")</f>
        <v/>
      </c>
      <c r="G144" t="str">
        <f>IFERROR(Tab_Compteur_3[[#This Row],[Montant TTC]]/Tab_Compteur_3[[#This Row],[Delta Jour]],"")</f>
        <v/>
      </c>
      <c r="H144" s="42"/>
      <c r="I144" s="42"/>
      <c r="J144" s="42"/>
      <c r="K144" s="42"/>
      <c r="L144" s="42"/>
    </row>
    <row r="145" spans="1:12" x14ac:dyDescent="0.25">
      <c r="A145" s="61">
        <f t="shared" si="5"/>
        <v>1</v>
      </c>
      <c r="B145" s="61">
        <f>EDATE($B$3,Site!$I$35*(ROW(Tab_Compteur_3[[#This Row],[Début de période]])-3))</f>
        <v>0</v>
      </c>
      <c r="C145" s="187"/>
      <c r="D145" s="294"/>
      <c r="E145">
        <f t="shared" si="4"/>
        <v>0</v>
      </c>
      <c r="F145" t="str">
        <f>IFERROR(Tab_Compteur_3[[#This Row],[Quantité]]/Tab_Compteur_3[[#This Row],[Delta Jour]],"")</f>
        <v/>
      </c>
      <c r="G145" t="str">
        <f>IFERROR(Tab_Compteur_3[[#This Row],[Montant TTC]]/Tab_Compteur_3[[#This Row],[Delta Jour]],"")</f>
        <v/>
      </c>
      <c r="H145" s="42"/>
      <c r="I145" s="42"/>
      <c r="J145" s="42"/>
      <c r="K145" s="42"/>
      <c r="L145" s="42"/>
    </row>
    <row r="146" spans="1:12" x14ac:dyDescent="0.25">
      <c r="A146" s="61">
        <f t="shared" si="5"/>
        <v>1</v>
      </c>
      <c r="B146" s="61">
        <f>EDATE($B$3,Site!$I$35*(ROW(Tab_Compteur_3[[#This Row],[Début de période]])-3))</f>
        <v>0</v>
      </c>
      <c r="C146" s="187"/>
      <c r="D146" s="294"/>
      <c r="E146">
        <f t="shared" si="4"/>
        <v>0</v>
      </c>
      <c r="F146" t="str">
        <f>IFERROR(Tab_Compteur_3[[#This Row],[Quantité]]/Tab_Compteur_3[[#This Row],[Delta Jour]],"")</f>
        <v/>
      </c>
      <c r="G146" t="str">
        <f>IFERROR(Tab_Compteur_3[[#This Row],[Montant TTC]]/Tab_Compteur_3[[#This Row],[Delta Jour]],"")</f>
        <v/>
      </c>
      <c r="H146" s="42"/>
      <c r="I146" s="42"/>
      <c r="J146" s="42"/>
      <c r="K146" s="42"/>
      <c r="L146" s="42"/>
    </row>
    <row r="147" spans="1:12" x14ac:dyDescent="0.25">
      <c r="A147" s="61">
        <f t="shared" si="5"/>
        <v>1</v>
      </c>
      <c r="B147" s="61">
        <f>EDATE($B$3,Site!$I$35*(ROW(Tab_Compteur_3[[#This Row],[Début de période]])-3))</f>
        <v>0</v>
      </c>
      <c r="C147" s="185"/>
      <c r="D147" s="294"/>
      <c r="E147">
        <f t="shared" si="4"/>
        <v>0</v>
      </c>
      <c r="F147" t="str">
        <f>IFERROR(Tab_Compteur_3[[#This Row],[Quantité]]/Tab_Compteur_3[[#This Row],[Delta Jour]],"")</f>
        <v/>
      </c>
      <c r="G147" t="str">
        <f>IFERROR(Tab_Compteur_3[[#This Row],[Montant TTC]]/Tab_Compteur_3[[#This Row],[Delta Jour]],"")</f>
        <v/>
      </c>
      <c r="H147" s="42"/>
      <c r="I147" s="42"/>
      <c r="J147" s="42"/>
      <c r="K147" s="42"/>
      <c r="L147" s="42"/>
    </row>
    <row r="148" spans="1:12" x14ac:dyDescent="0.25">
      <c r="A148" s="61">
        <f t="shared" si="5"/>
        <v>1</v>
      </c>
      <c r="B148" s="61">
        <f>EDATE($B$3,Site!$I$35*(ROW(Tab_Compteur_3[[#This Row],[Début de période]])-3))</f>
        <v>0</v>
      </c>
      <c r="C148" s="185"/>
      <c r="D148" s="294"/>
      <c r="E148">
        <f t="shared" si="4"/>
        <v>0</v>
      </c>
      <c r="F148" t="str">
        <f>IFERROR(Tab_Compteur_3[[#This Row],[Quantité]]/Tab_Compteur_3[[#This Row],[Delta Jour]],"")</f>
        <v/>
      </c>
      <c r="G148" t="str">
        <f>IFERROR(Tab_Compteur_3[[#This Row],[Montant TTC]]/Tab_Compteur_3[[#This Row],[Delta Jour]],"")</f>
        <v/>
      </c>
      <c r="H148" s="42"/>
      <c r="I148" s="42"/>
      <c r="J148" s="42"/>
      <c r="K148" s="42"/>
      <c r="L148" s="42"/>
    </row>
    <row r="149" spans="1:12" x14ac:dyDescent="0.25">
      <c r="A149" s="61">
        <f t="shared" si="5"/>
        <v>1</v>
      </c>
      <c r="B149" s="61">
        <f>EDATE($B$3,Site!$I$35*(ROW(Tab_Compteur_3[[#This Row],[Début de période]])-3))</f>
        <v>0</v>
      </c>
      <c r="C149" s="185"/>
      <c r="D149" s="294"/>
      <c r="E149">
        <f t="shared" si="4"/>
        <v>0</v>
      </c>
      <c r="F149" t="str">
        <f>IFERROR(Tab_Compteur_3[[#This Row],[Quantité]]/Tab_Compteur_3[[#This Row],[Delta Jour]],"")</f>
        <v/>
      </c>
      <c r="G149" t="str">
        <f>IFERROR(Tab_Compteur_3[[#This Row],[Montant TTC]]/Tab_Compteur_3[[#This Row],[Delta Jour]],"")</f>
        <v/>
      </c>
      <c r="H149" s="42"/>
      <c r="I149" s="42"/>
      <c r="J149" s="42"/>
      <c r="K149" s="42"/>
      <c r="L149" s="42"/>
    </row>
    <row r="150" spans="1:12" x14ac:dyDescent="0.25">
      <c r="A150" s="61">
        <f t="shared" si="5"/>
        <v>1</v>
      </c>
      <c r="B150" s="61">
        <f>EDATE($B$3,Site!$I$35*(ROW(Tab_Compteur_3[[#This Row],[Début de période]])-3))</f>
        <v>0</v>
      </c>
      <c r="C150" s="185"/>
      <c r="D150" s="294"/>
      <c r="E150">
        <f t="shared" si="4"/>
        <v>0</v>
      </c>
      <c r="F150" t="str">
        <f>IFERROR(Tab_Compteur_3[[#This Row],[Quantité]]/Tab_Compteur_3[[#This Row],[Delta Jour]],"")</f>
        <v/>
      </c>
      <c r="G150" t="str">
        <f>IFERROR(Tab_Compteur_3[[#This Row],[Montant TTC]]/Tab_Compteur_3[[#This Row],[Delta Jour]],"")</f>
        <v/>
      </c>
      <c r="H150" s="42"/>
      <c r="I150" s="42"/>
      <c r="J150" s="42"/>
      <c r="K150" s="42"/>
      <c r="L150" s="42"/>
    </row>
    <row r="151" spans="1:12" x14ac:dyDescent="0.25">
      <c r="A151" s="61">
        <f t="shared" si="5"/>
        <v>1</v>
      </c>
      <c r="B151" s="61">
        <f>EDATE($B$3,Site!$I$35*(ROW(Tab_Compteur_3[[#This Row],[Début de période]])-3))</f>
        <v>0</v>
      </c>
      <c r="C151" s="185"/>
      <c r="D151" s="294"/>
      <c r="E151">
        <f t="shared" si="4"/>
        <v>0</v>
      </c>
      <c r="F151" t="str">
        <f>IFERROR(Tab_Compteur_3[[#This Row],[Quantité]]/Tab_Compteur_3[[#This Row],[Delta Jour]],"")</f>
        <v/>
      </c>
      <c r="G151" t="str">
        <f>IFERROR(Tab_Compteur_3[[#This Row],[Montant TTC]]/Tab_Compteur_3[[#This Row],[Delta Jour]],"")</f>
        <v/>
      </c>
      <c r="H151" s="42"/>
      <c r="I151" s="42"/>
      <c r="J151" s="42"/>
      <c r="K151" s="42"/>
      <c r="L151" s="42"/>
    </row>
    <row r="152" spans="1:12" x14ac:dyDescent="0.25">
      <c r="A152" s="61">
        <f t="shared" si="5"/>
        <v>1</v>
      </c>
      <c r="B152" s="61">
        <f>EDATE($B$3,Site!$I$35*(ROW(Tab_Compteur_3[[#This Row],[Début de période]])-3))</f>
        <v>0</v>
      </c>
      <c r="C152" s="185"/>
      <c r="D152" s="294"/>
      <c r="E152">
        <f t="shared" si="4"/>
        <v>0</v>
      </c>
      <c r="F152" t="str">
        <f>IFERROR(Tab_Compteur_3[[#This Row],[Quantité]]/Tab_Compteur_3[[#This Row],[Delta Jour]],"")</f>
        <v/>
      </c>
      <c r="G152" t="str">
        <f>IFERROR(Tab_Compteur_3[[#This Row],[Montant TTC]]/Tab_Compteur_3[[#This Row],[Delta Jour]],"")</f>
        <v/>
      </c>
      <c r="H152" s="42"/>
      <c r="I152" s="42"/>
      <c r="J152" s="42"/>
      <c r="K152" s="42"/>
      <c r="L152" s="42"/>
    </row>
    <row r="153" spans="1:12" x14ac:dyDescent="0.25">
      <c r="A153" s="61">
        <f t="shared" si="5"/>
        <v>1</v>
      </c>
      <c r="B153" s="61">
        <f>EDATE($B$3,Site!$I$35*(ROW(Tab_Compteur_3[[#This Row],[Début de période]])-3))</f>
        <v>0</v>
      </c>
      <c r="C153" s="185"/>
      <c r="D153" s="294"/>
      <c r="E153">
        <f t="shared" si="4"/>
        <v>0</v>
      </c>
      <c r="F153" t="str">
        <f>IFERROR(Tab_Compteur_3[[#This Row],[Quantité]]/Tab_Compteur_3[[#This Row],[Delta Jour]],"")</f>
        <v/>
      </c>
      <c r="G153" t="str">
        <f>IFERROR(Tab_Compteur_3[[#This Row],[Montant TTC]]/Tab_Compteur_3[[#This Row],[Delta Jour]],"")</f>
        <v/>
      </c>
      <c r="H153" s="42"/>
      <c r="I153" s="42"/>
      <c r="J153" s="42"/>
      <c r="K153" s="42"/>
      <c r="L153" s="42"/>
    </row>
    <row r="154" spans="1:12" x14ac:dyDescent="0.25">
      <c r="A154" s="61">
        <f t="shared" si="5"/>
        <v>1</v>
      </c>
      <c r="B154" s="61">
        <f>EDATE($B$3,Site!$I$35*(ROW(Tab_Compteur_3[[#This Row],[Début de période]])-3))</f>
        <v>0</v>
      </c>
      <c r="C154" s="185"/>
      <c r="D154" s="294"/>
      <c r="E154">
        <f t="shared" si="4"/>
        <v>0</v>
      </c>
      <c r="F154" t="str">
        <f>IFERROR(Tab_Compteur_3[[#This Row],[Quantité]]/Tab_Compteur_3[[#This Row],[Delta Jour]],"")</f>
        <v/>
      </c>
      <c r="G154" t="str">
        <f>IFERROR(Tab_Compteur_3[[#This Row],[Montant TTC]]/Tab_Compteur_3[[#This Row],[Delta Jour]],"")</f>
        <v/>
      </c>
      <c r="H154" s="42"/>
      <c r="I154" s="42"/>
      <c r="J154" s="42"/>
      <c r="K154" s="42"/>
      <c r="L154" s="42"/>
    </row>
    <row r="155" spans="1:12" x14ac:dyDescent="0.25">
      <c r="A155" s="61">
        <f t="shared" si="5"/>
        <v>1</v>
      </c>
      <c r="B155" s="61">
        <f>EDATE($B$3,Site!$I$35*(ROW(Tab_Compteur_3[[#This Row],[Début de période]])-3))</f>
        <v>0</v>
      </c>
      <c r="C155" s="185"/>
      <c r="D155" s="294"/>
      <c r="E155">
        <f t="shared" si="4"/>
        <v>0</v>
      </c>
      <c r="F155" t="str">
        <f>IFERROR(Tab_Compteur_3[[#This Row],[Quantité]]/Tab_Compteur_3[[#This Row],[Delta Jour]],"")</f>
        <v/>
      </c>
      <c r="G155" t="str">
        <f>IFERROR(Tab_Compteur_3[[#This Row],[Montant TTC]]/Tab_Compteur_3[[#This Row],[Delta Jour]],"")</f>
        <v/>
      </c>
      <c r="H155" s="42"/>
      <c r="I155" s="42"/>
      <c r="J155" s="42"/>
      <c r="K155" s="42"/>
      <c r="L155" s="42"/>
    </row>
    <row r="156" spans="1:12" x14ac:dyDescent="0.25">
      <c r="A156" s="61">
        <f t="shared" si="5"/>
        <v>1</v>
      </c>
      <c r="B156" s="61">
        <f>EDATE($B$3,Site!$I$35*(ROW(Tab_Compteur_3[[#This Row],[Début de période]])-3))</f>
        <v>0</v>
      </c>
      <c r="C156" s="185"/>
      <c r="D156" s="294"/>
      <c r="E156">
        <f t="shared" si="4"/>
        <v>0</v>
      </c>
      <c r="F156" t="str">
        <f>IFERROR(Tab_Compteur_3[[#This Row],[Quantité]]/Tab_Compteur_3[[#This Row],[Delta Jour]],"")</f>
        <v/>
      </c>
      <c r="G156" t="str">
        <f>IFERROR(Tab_Compteur_3[[#This Row],[Montant TTC]]/Tab_Compteur_3[[#This Row],[Delta Jour]],"")</f>
        <v/>
      </c>
      <c r="H156" s="42"/>
      <c r="I156" s="42"/>
      <c r="J156" s="42"/>
      <c r="K156" s="42"/>
      <c r="L156" s="42"/>
    </row>
    <row r="157" spans="1:12" x14ac:dyDescent="0.25">
      <c r="A157" s="61">
        <f t="shared" si="5"/>
        <v>1</v>
      </c>
      <c r="B157" s="61">
        <f>EDATE($B$3,Site!$I$35*(ROW(Tab_Compteur_3[[#This Row],[Début de période]])-3))</f>
        <v>0</v>
      </c>
      <c r="C157" s="185"/>
      <c r="D157" s="294"/>
      <c r="E157">
        <f t="shared" si="4"/>
        <v>0</v>
      </c>
      <c r="F157" t="str">
        <f>IFERROR(Tab_Compteur_3[[#This Row],[Quantité]]/Tab_Compteur_3[[#This Row],[Delta Jour]],"")</f>
        <v/>
      </c>
      <c r="G157" t="str">
        <f>IFERROR(Tab_Compteur_3[[#This Row],[Montant TTC]]/Tab_Compteur_3[[#This Row],[Delta Jour]],"")</f>
        <v/>
      </c>
      <c r="H157" s="42"/>
      <c r="I157" s="42"/>
      <c r="J157" s="42"/>
      <c r="K157" s="42"/>
      <c r="L157" s="42"/>
    </row>
    <row r="158" spans="1:12" x14ac:dyDescent="0.25">
      <c r="A158" s="61">
        <f t="shared" si="5"/>
        <v>1</v>
      </c>
      <c r="B158" s="61">
        <f>EDATE($B$3,Site!$I$35*(ROW(Tab_Compteur_3[[#This Row],[Début de période]])-3))</f>
        <v>0</v>
      </c>
      <c r="C158" s="185"/>
      <c r="D158" s="294"/>
      <c r="E158">
        <f t="shared" si="4"/>
        <v>0</v>
      </c>
      <c r="F158" t="str">
        <f>IFERROR(Tab_Compteur_3[[#This Row],[Quantité]]/Tab_Compteur_3[[#This Row],[Delta Jour]],"")</f>
        <v/>
      </c>
      <c r="G158" t="str">
        <f>IFERROR(Tab_Compteur_3[[#This Row],[Montant TTC]]/Tab_Compteur_3[[#This Row],[Delta Jour]],"")</f>
        <v/>
      </c>
      <c r="H158" s="42"/>
      <c r="I158" s="42"/>
      <c r="J158" s="42"/>
      <c r="K158" s="42"/>
      <c r="L158" s="42"/>
    </row>
    <row r="159" spans="1:12" x14ac:dyDescent="0.25">
      <c r="A159" s="61">
        <f t="shared" si="5"/>
        <v>1</v>
      </c>
      <c r="B159" s="61">
        <f>EDATE($B$3,Site!$I$35*(ROW(Tab_Compteur_3[[#This Row],[Début de période]])-3))</f>
        <v>0</v>
      </c>
      <c r="C159" s="166"/>
      <c r="D159" s="165"/>
      <c r="E159">
        <f t="shared" si="4"/>
        <v>0</v>
      </c>
      <c r="F159" t="str">
        <f>IFERROR(Tab_Compteur_3[[#This Row],[Quantité]]/Tab_Compteur_3[[#This Row],[Delta Jour]],"")</f>
        <v/>
      </c>
      <c r="G159" t="str">
        <f>IFERROR(Tab_Compteur_3[[#This Row],[Montant TTC]]/Tab_Compteur_3[[#This Row],[Delta Jour]],"")</f>
        <v/>
      </c>
      <c r="H159" s="42"/>
      <c r="I159" s="42"/>
      <c r="J159" s="42"/>
      <c r="K159" s="42"/>
      <c r="L159" s="42"/>
    </row>
    <row r="160" spans="1:12" x14ac:dyDescent="0.25">
      <c r="A160" s="61">
        <f t="shared" si="5"/>
        <v>1</v>
      </c>
      <c r="B160" s="61">
        <f>EDATE($B$3,Site!$I$35*(ROW(Tab_Compteur_3[[#This Row],[Début de période]])-3))</f>
        <v>0</v>
      </c>
      <c r="C160" s="166"/>
      <c r="D160" s="165"/>
      <c r="E160">
        <f t="shared" si="4"/>
        <v>0</v>
      </c>
      <c r="F160" t="str">
        <f>IFERROR(Tab_Compteur_3[[#This Row],[Quantité]]/Tab_Compteur_3[[#This Row],[Delta Jour]],"")</f>
        <v/>
      </c>
      <c r="G160" t="str">
        <f>IFERROR(Tab_Compteur_3[[#This Row],[Montant TTC]]/Tab_Compteur_3[[#This Row],[Delta Jour]],"")</f>
        <v/>
      </c>
      <c r="H160" s="42"/>
      <c r="I160" s="42"/>
      <c r="J160" s="42"/>
      <c r="K160" s="42"/>
      <c r="L160" s="42"/>
    </row>
    <row r="161" spans="1:12" x14ac:dyDescent="0.25">
      <c r="A161" s="61">
        <f t="shared" si="5"/>
        <v>1</v>
      </c>
      <c r="B161" s="61">
        <f>EDATE($B$3,Site!$I$35*(ROW(Tab_Compteur_3[[#This Row],[Début de période]])-3))</f>
        <v>0</v>
      </c>
      <c r="C161" s="166"/>
      <c r="D161" s="165"/>
      <c r="E161">
        <f t="shared" si="4"/>
        <v>0</v>
      </c>
      <c r="F161" t="str">
        <f>IFERROR(Tab_Compteur_3[[#This Row],[Quantité]]/Tab_Compteur_3[[#This Row],[Delta Jour]],"")</f>
        <v/>
      </c>
      <c r="G161" t="str">
        <f>IFERROR(Tab_Compteur_3[[#This Row],[Montant TTC]]/Tab_Compteur_3[[#This Row],[Delta Jour]],"")</f>
        <v/>
      </c>
      <c r="H161" s="42"/>
      <c r="I161" s="42"/>
      <c r="J161" s="42"/>
      <c r="K161" s="42"/>
      <c r="L161" s="42"/>
    </row>
    <row r="162" spans="1:12" x14ac:dyDescent="0.25">
      <c r="A162" s="61">
        <f t="shared" si="5"/>
        <v>1</v>
      </c>
      <c r="B162" s="61">
        <f>EDATE($B$3,Site!$I$35*(ROW(Tab_Compteur_3[[#This Row],[Début de période]])-3))</f>
        <v>0</v>
      </c>
      <c r="C162" s="166"/>
      <c r="D162" s="165"/>
      <c r="E162">
        <f t="shared" si="4"/>
        <v>0</v>
      </c>
      <c r="F162" t="str">
        <f>IFERROR(Tab_Compteur_3[[#This Row],[Quantité]]/Tab_Compteur_3[[#This Row],[Delta Jour]],"")</f>
        <v/>
      </c>
      <c r="G162" t="str">
        <f>IFERROR(Tab_Compteur_3[[#This Row],[Montant TTC]]/Tab_Compteur_3[[#This Row],[Delta Jour]],"")</f>
        <v/>
      </c>
      <c r="H162" s="42"/>
      <c r="I162" s="42"/>
      <c r="J162" s="42"/>
      <c r="K162" s="42"/>
      <c r="L162" s="42"/>
    </row>
    <row r="163" spans="1:12" x14ac:dyDescent="0.25">
      <c r="A163" s="61">
        <f t="shared" si="5"/>
        <v>1</v>
      </c>
      <c r="B163" s="61">
        <f>EDATE($B$3,Site!$I$35*(ROW(Tab_Compteur_3[[#This Row],[Début de période]])-3))</f>
        <v>0</v>
      </c>
      <c r="C163" s="166"/>
      <c r="D163" s="165"/>
      <c r="E163">
        <f t="shared" si="4"/>
        <v>0</v>
      </c>
      <c r="F163" t="str">
        <f>IFERROR(Tab_Compteur_3[[#This Row],[Quantité]]/Tab_Compteur_3[[#This Row],[Delta Jour]],"")</f>
        <v/>
      </c>
      <c r="G163" t="str">
        <f>IFERROR(Tab_Compteur_3[[#This Row],[Montant TTC]]/Tab_Compteur_3[[#This Row],[Delta Jour]],"")</f>
        <v/>
      </c>
      <c r="H163" s="42"/>
      <c r="I163" s="42"/>
      <c r="J163" s="42"/>
      <c r="K163" s="42"/>
      <c r="L163" s="42"/>
    </row>
    <row r="164" spans="1:12" x14ac:dyDescent="0.25">
      <c r="A164" s="61">
        <f t="shared" si="5"/>
        <v>1</v>
      </c>
      <c r="B164" s="61">
        <f>EDATE($B$3,Site!$I$35*(ROW(Tab_Compteur_3[[#This Row],[Début de période]])-3))</f>
        <v>0</v>
      </c>
      <c r="C164" s="166"/>
      <c r="D164" s="165"/>
      <c r="E164">
        <f t="shared" si="4"/>
        <v>0</v>
      </c>
      <c r="F164" t="str">
        <f>IFERROR(Tab_Compteur_3[[#This Row],[Quantité]]/Tab_Compteur_3[[#This Row],[Delta Jour]],"")</f>
        <v/>
      </c>
      <c r="G164" t="str">
        <f>IFERROR(Tab_Compteur_3[[#This Row],[Montant TTC]]/Tab_Compteur_3[[#This Row],[Delta Jour]],"")</f>
        <v/>
      </c>
      <c r="H164" s="42"/>
      <c r="I164" s="42"/>
      <c r="J164" s="42"/>
      <c r="K164" s="42"/>
      <c r="L164" s="42"/>
    </row>
    <row r="165" spans="1:12" x14ac:dyDescent="0.25">
      <c r="A165" s="61">
        <f t="shared" si="5"/>
        <v>1</v>
      </c>
      <c r="B165" s="61">
        <f>EDATE($B$3,Site!$I$35*(ROW(Tab_Compteur_3[[#This Row],[Début de période]])-3))</f>
        <v>0</v>
      </c>
      <c r="C165" s="166"/>
      <c r="D165" s="165"/>
      <c r="E165">
        <f t="shared" si="4"/>
        <v>0</v>
      </c>
      <c r="F165" t="str">
        <f>IFERROR(Tab_Compteur_3[[#This Row],[Quantité]]/Tab_Compteur_3[[#This Row],[Delta Jour]],"")</f>
        <v/>
      </c>
      <c r="G165" t="str">
        <f>IFERROR(Tab_Compteur_3[[#This Row],[Montant TTC]]/Tab_Compteur_3[[#This Row],[Delta Jour]],"")</f>
        <v/>
      </c>
      <c r="H165" s="42"/>
      <c r="I165" s="42"/>
      <c r="J165" s="42"/>
      <c r="K165" s="42"/>
      <c r="L165" s="42"/>
    </row>
    <row r="166" spans="1:12" x14ac:dyDescent="0.25">
      <c r="A166" s="61">
        <f t="shared" si="5"/>
        <v>1</v>
      </c>
      <c r="B166" s="61">
        <f>EDATE($B$3,Site!$I$35*(ROW(Tab_Compteur_3[[#This Row],[Début de période]])-3))</f>
        <v>0</v>
      </c>
      <c r="C166" s="166"/>
      <c r="D166" s="165"/>
      <c r="E166">
        <f t="shared" si="4"/>
        <v>0</v>
      </c>
      <c r="F166" t="str">
        <f>IFERROR(Tab_Compteur_3[[#This Row],[Quantité]]/Tab_Compteur_3[[#This Row],[Delta Jour]],"")</f>
        <v/>
      </c>
      <c r="G166" t="str">
        <f>IFERROR(Tab_Compteur_3[[#This Row],[Montant TTC]]/Tab_Compteur_3[[#This Row],[Delta Jour]],"")</f>
        <v/>
      </c>
      <c r="H166" s="42"/>
      <c r="I166" s="42"/>
      <c r="J166" s="42"/>
      <c r="K166" s="42"/>
      <c r="L166" s="42"/>
    </row>
    <row r="167" spans="1:12" x14ac:dyDescent="0.25">
      <c r="A167" s="61">
        <f t="shared" si="5"/>
        <v>1</v>
      </c>
      <c r="B167" s="61">
        <f>EDATE($B$3,Site!$I$35*(ROW(Tab_Compteur_3[[#This Row],[Début de période]])-3))</f>
        <v>0</v>
      </c>
      <c r="C167" s="166"/>
      <c r="D167" s="165"/>
      <c r="E167">
        <f t="shared" si="4"/>
        <v>0</v>
      </c>
      <c r="F167" t="str">
        <f>IFERROR(Tab_Compteur_3[[#This Row],[Quantité]]/Tab_Compteur_3[[#This Row],[Delta Jour]],"")</f>
        <v/>
      </c>
      <c r="G167" t="str">
        <f>IFERROR(Tab_Compteur_3[[#This Row],[Montant TTC]]/Tab_Compteur_3[[#This Row],[Delta Jour]],"")</f>
        <v/>
      </c>
      <c r="H167" s="42"/>
      <c r="I167" s="42"/>
      <c r="J167" s="42"/>
      <c r="K167" s="42"/>
      <c r="L167" s="42"/>
    </row>
    <row r="168" spans="1:12" x14ac:dyDescent="0.25">
      <c r="A168" s="61">
        <f t="shared" si="5"/>
        <v>1</v>
      </c>
      <c r="B168" s="61">
        <f>EDATE($B$3,Site!$I$35*(ROW(Tab_Compteur_3[[#This Row],[Début de période]])-3))</f>
        <v>0</v>
      </c>
      <c r="C168" s="166"/>
      <c r="D168" s="165"/>
      <c r="E168">
        <f t="shared" si="4"/>
        <v>0</v>
      </c>
      <c r="F168" t="str">
        <f>IFERROR(Tab_Compteur_3[[#This Row],[Quantité]]/Tab_Compteur_3[[#This Row],[Delta Jour]],"")</f>
        <v/>
      </c>
      <c r="G168" t="str">
        <f>IFERROR(Tab_Compteur_3[[#This Row],[Montant TTC]]/Tab_Compteur_3[[#This Row],[Delta Jour]],"")</f>
        <v/>
      </c>
      <c r="H168" s="42"/>
      <c r="I168" s="42"/>
      <c r="J168" s="42"/>
      <c r="K168" s="42"/>
      <c r="L168" s="42"/>
    </row>
    <row r="169" spans="1:12" x14ac:dyDescent="0.25">
      <c r="A169" s="61">
        <f t="shared" si="5"/>
        <v>1</v>
      </c>
      <c r="B169" s="61">
        <f>EDATE($B$3,Site!$I$35*(ROW(Tab_Compteur_3[[#This Row],[Début de période]])-3))</f>
        <v>0</v>
      </c>
      <c r="C169" s="166"/>
      <c r="D169" s="165"/>
      <c r="E169">
        <f t="shared" si="4"/>
        <v>0</v>
      </c>
      <c r="F169" t="str">
        <f>IFERROR(Tab_Compteur_3[[#This Row],[Quantité]]/Tab_Compteur_3[[#This Row],[Delta Jour]],"")</f>
        <v/>
      </c>
      <c r="G169" t="str">
        <f>IFERROR(Tab_Compteur_3[[#This Row],[Montant TTC]]/Tab_Compteur_3[[#This Row],[Delta Jour]],"")</f>
        <v/>
      </c>
      <c r="H169" s="42"/>
      <c r="I169" s="42"/>
      <c r="J169" s="42"/>
      <c r="K169" s="42"/>
      <c r="L169" s="42"/>
    </row>
    <row r="170" spans="1:12" x14ac:dyDescent="0.25">
      <c r="A170" s="61">
        <f t="shared" si="5"/>
        <v>1</v>
      </c>
      <c r="B170" s="61">
        <f>EDATE($B$3,Site!$I$35*(ROW(Tab_Compteur_3[[#This Row],[Début de période]])-3))</f>
        <v>0</v>
      </c>
      <c r="C170" s="166"/>
      <c r="D170" s="165"/>
      <c r="E170">
        <f t="shared" si="4"/>
        <v>0</v>
      </c>
      <c r="F170" t="str">
        <f>IFERROR(Tab_Compteur_3[[#This Row],[Quantité]]/Tab_Compteur_3[[#This Row],[Delta Jour]],"")</f>
        <v/>
      </c>
      <c r="G170" t="str">
        <f>IFERROR(Tab_Compteur_3[[#This Row],[Montant TTC]]/Tab_Compteur_3[[#This Row],[Delta Jour]],"")</f>
        <v/>
      </c>
      <c r="H170" s="42"/>
      <c r="I170" s="42"/>
      <c r="J170" s="42"/>
      <c r="K170" s="42"/>
      <c r="L170" s="42"/>
    </row>
    <row r="171" spans="1:12" x14ac:dyDescent="0.25">
      <c r="A171" s="61">
        <f t="shared" si="5"/>
        <v>1</v>
      </c>
      <c r="B171" s="61">
        <f>EDATE($B$3,Site!$I$35*(ROW(Tab_Compteur_3[[#This Row],[Début de période]])-3))</f>
        <v>0</v>
      </c>
      <c r="C171" s="166"/>
      <c r="D171" s="165"/>
      <c r="E171">
        <f t="shared" si="4"/>
        <v>0</v>
      </c>
      <c r="F171" t="str">
        <f>IFERROR(Tab_Compteur_3[[#This Row],[Quantité]]/Tab_Compteur_3[[#This Row],[Delta Jour]],"")</f>
        <v/>
      </c>
      <c r="G171" t="str">
        <f>IFERROR(Tab_Compteur_3[[#This Row],[Montant TTC]]/Tab_Compteur_3[[#This Row],[Delta Jour]],"")</f>
        <v/>
      </c>
      <c r="H171" s="42"/>
      <c r="I171" s="42"/>
      <c r="J171" s="42"/>
      <c r="K171" s="42"/>
      <c r="L171" s="42"/>
    </row>
    <row r="172" spans="1:12" x14ac:dyDescent="0.25">
      <c r="A172" s="61">
        <f t="shared" si="5"/>
        <v>1</v>
      </c>
      <c r="B172" s="61">
        <f>EDATE($B$3,Site!$I$35*(ROW(Tab_Compteur_3[[#This Row],[Début de période]])-3))</f>
        <v>0</v>
      </c>
      <c r="C172" s="166"/>
      <c r="D172" s="165"/>
      <c r="E172">
        <f t="shared" si="4"/>
        <v>0</v>
      </c>
      <c r="F172" t="str">
        <f>IFERROR(Tab_Compteur_3[[#This Row],[Quantité]]/Tab_Compteur_3[[#This Row],[Delta Jour]],"")</f>
        <v/>
      </c>
      <c r="G172" t="str">
        <f>IFERROR(Tab_Compteur_3[[#This Row],[Montant TTC]]/Tab_Compteur_3[[#This Row],[Delta Jour]],"")</f>
        <v/>
      </c>
      <c r="H172" s="42"/>
      <c r="I172" s="42"/>
      <c r="J172" s="42"/>
      <c r="K172" s="42"/>
      <c r="L172" s="42"/>
    </row>
    <row r="173" spans="1:12" x14ac:dyDescent="0.25">
      <c r="A173" s="61">
        <f t="shared" si="5"/>
        <v>1</v>
      </c>
      <c r="B173" s="61">
        <f>EDATE($B$3,Site!$I$35*(ROW(Tab_Compteur_3[[#This Row],[Début de période]])-3))</f>
        <v>0</v>
      </c>
      <c r="C173" s="166"/>
      <c r="D173" s="165"/>
      <c r="E173">
        <f t="shared" si="4"/>
        <v>0</v>
      </c>
      <c r="F173" t="str">
        <f>IFERROR(Tab_Compteur_3[[#This Row],[Quantité]]/Tab_Compteur_3[[#This Row],[Delta Jour]],"")</f>
        <v/>
      </c>
      <c r="G173" t="str">
        <f>IFERROR(Tab_Compteur_3[[#This Row],[Montant TTC]]/Tab_Compteur_3[[#This Row],[Delta Jour]],"")</f>
        <v/>
      </c>
      <c r="H173" s="42"/>
      <c r="I173" s="42"/>
      <c r="J173" s="42"/>
      <c r="K173" s="42"/>
      <c r="L173" s="42"/>
    </row>
    <row r="174" spans="1:12" x14ac:dyDescent="0.25">
      <c r="A174" s="61">
        <f t="shared" si="5"/>
        <v>1</v>
      </c>
      <c r="B174" s="61">
        <f>EDATE($B$3,Site!$I$35*(ROW(Tab_Compteur_3[[#This Row],[Début de période]])-3))</f>
        <v>0</v>
      </c>
      <c r="C174" s="166"/>
      <c r="D174" s="165"/>
      <c r="E174">
        <f t="shared" si="4"/>
        <v>0</v>
      </c>
      <c r="F174" t="str">
        <f>IFERROR(Tab_Compteur_3[[#This Row],[Quantité]]/Tab_Compteur_3[[#This Row],[Delta Jour]],"")</f>
        <v/>
      </c>
      <c r="G174" t="str">
        <f>IFERROR(Tab_Compteur_3[[#This Row],[Montant TTC]]/Tab_Compteur_3[[#This Row],[Delta Jour]],"")</f>
        <v/>
      </c>
      <c r="H174" s="42"/>
      <c r="I174" s="42"/>
      <c r="J174" s="42"/>
      <c r="K174" s="42"/>
      <c r="L174" s="42"/>
    </row>
    <row r="175" spans="1:12" x14ac:dyDescent="0.25">
      <c r="A175" s="61">
        <f t="shared" si="5"/>
        <v>1</v>
      </c>
      <c r="B175" s="61">
        <f>EDATE($B$3,Site!$I$35*(ROW(Tab_Compteur_3[[#This Row],[Début de période]])-3))</f>
        <v>0</v>
      </c>
      <c r="C175" s="166"/>
      <c r="D175" s="165"/>
      <c r="E175">
        <f t="shared" si="4"/>
        <v>0</v>
      </c>
      <c r="F175" t="str">
        <f>IFERROR(Tab_Compteur_3[[#This Row],[Quantité]]/Tab_Compteur_3[[#This Row],[Delta Jour]],"")</f>
        <v/>
      </c>
      <c r="G175" t="str">
        <f>IFERROR(Tab_Compteur_3[[#This Row],[Montant TTC]]/Tab_Compteur_3[[#This Row],[Delta Jour]],"")</f>
        <v/>
      </c>
      <c r="H175" s="42"/>
      <c r="I175" s="42"/>
      <c r="J175" s="42"/>
      <c r="K175" s="42"/>
      <c r="L175" s="42"/>
    </row>
    <row r="176" spans="1:12" x14ac:dyDescent="0.25">
      <c r="A176" s="61">
        <f t="shared" si="5"/>
        <v>1</v>
      </c>
      <c r="B176" s="61">
        <f>EDATE($B$3,Site!$I$35*(ROW(Tab_Compteur_3[[#This Row],[Début de période]])-3))</f>
        <v>0</v>
      </c>
      <c r="C176" s="166"/>
      <c r="D176" s="165"/>
      <c r="E176">
        <f t="shared" si="4"/>
        <v>0</v>
      </c>
      <c r="F176" t="str">
        <f>IFERROR(Tab_Compteur_3[[#This Row],[Quantité]]/Tab_Compteur_3[[#This Row],[Delta Jour]],"")</f>
        <v/>
      </c>
      <c r="G176" t="str">
        <f>IFERROR(Tab_Compteur_3[[#This Row],[Montant TTC]]/Tab_Compteur_3[[#This Row],[Delta Jour]],"")</f>
        <v/>
      </c>
      <c r="H176" s="42"/>
      <c r="I176" s="42"/>
      <c r="J176" s="42"/>
      <c r="K176" s="42"/>
      <c r="L176" s="42"/>
    </row>
    <row r="177" spans="1:12" x14ac:dyDescent="0.25">
      <c r="A177" s="61">
        <f t="shared" si="5"/>
        <v>1</v>
      </c>
      <c r="B177" s="61">
        <f>EDATE($B$3,Site!$I$35*(ROW(Tab_Compteur_3[[#This Row],[Début de période]])-3))</f>
        <v>0</v>
      </c>
      <c r="C177" s="166"/>
      <c r="D177" s="165"/>
      <c r="E177">
        <f t="shared" si="4"/>
        <v>0</v>
      </c>
      <c r="F177" t="str">
        <f>IFERROR(Tab_Compteur_3[[#This Row],[Quantité]]/Tab_Compteur_3[[#This Row],[Delta Jour]],"")</f>
        <v/>
      </c>
      <c r="G177" t="str">
        <f>IFERROR(Tab_Compteur_3[[#This Row],[Montant TTC]]/Tab_Compteur_3[[#This Row],[Delta Jour]],"")</f>
        <v/>
      </c>
      <c r="H177" s="42"/>
      <c r="I177" s="42"/>
      <c r="J177" s="42"/>
      <c r="K177" s="42"/>
      <c r="L177" s="42"/>
    </row>
    <row r="178" spans="1:12" x14ac:dyDescent="0.25">
      <c r="A178" s="61">
        <f t="shared" si="5"/>
        <v>1</v>
      </c>
      <c r="B178" s="61">
        <f>EDATE($B$3,Site!$I$35*(ROW(Tab_Compteur_3[[#This Row],[Début de période]])-3))</f>
        <v>0</v>
      </c>
      <c r="C178" s="166"/>
      <c r="D178" s="165"/>
      <c r="E178">
        <f t="shared" si="4"/>
        <v>0</v>
      </c>
      <c r="F178" t="str">
        <f>IFERROR(Tab_Compteur_3[[#This Row],[Quantité]]/Tab_Compteur_3[[#This Row],[Delta Jour]],"")</f>
        <v/>
      </c>
      <c r="G178" t="str">
        <f>IFERROR(Tab_Compteur_3[[#This Row],[Montant TTC]]/Tab_Compteur_3[[#This Row],[Delta Jour]],"")</f>
        <v/>
      </c>
      <c r="H178" s="42"/>
      <c r="I178" s="42"/>
      <c r="J178" s="42"/>
      <c r="K178" s="42"/>
      <c r="L178" s="42"/>
    </row>
    <row r="179" spans="1:12" x14ac:dyDescent="0.25">
      <c r="A179" s="61">
        <f t="shared" si="5"/>
        <v>1</v>
      </c>
      <c r="B179" s="61">
        <f>EDATE($B$3,Site!$I$35*(ROW(Tab_Compteur_3[[#This Row],[Début de période]])-3))</f>
        <v>0</v>
      </c>
      <c r="C179" s="166"/>
      <c r="D179" s="165"/>
      <c r="E179">
        <f t="shared" si="4"/>
        <v>0</v>
      </c>
      <c r="F179" t="str">
        <f>IFERROR(Tab_Compteur_3[[#This Row],[Quantité]]/Tab_Compteur_3[[#This Row],[Delta Jour]],"")</f>
        <v/>
      </c>
      <c r="G179" t="str">
        <f>IFERROR(Tab_Compteur_3[[#This Row],[Montant TTC]]/Tab_Compteur_3[[#This Row],[Delta Jour]],"")</f>
        <v/>
      </c>
      <c r="H179" s="42"/>
      <c r="I179" s="42"/>
      <c r="J179" s="42"/>
      <c r="K179" s="42"/>
      <c r="L179" s="42"/>
    </row>
    <row r="180" spans="1:12" x14ac:dyDescent="0.25">
      <c r="A180" s="61">
        <f t="shared" si="5"/>
        <v>1</v>
      </c>
      <c r="B180" s="61">
        <f>EDATE($B$3,Site!$I$35*(ROW(Tab_Compteur_3[[#This Row],[Début de période]])-3))</f>
        <v>0</v>
      </c>
      <c r="C180" s="166"/>
      <c r="D180" s="165"/>
      <c r="E180">
        <f t="shared" si="4"/>
        <v>0</v>
      </c>
      <c r="F180" t="str">
        <f>IFERROR(Tab_Compteur_3[[#This Row],[Quantité]]/Tab_Compteur_3[[#This Row],[Delta Jour]],"")</f>
        <v/>
      </c>
      <c r="G180" t="str">
        <f>IFERROR(Tab_Compteur_3[[#This Row],[Montant TTC]]/Tab_Compteur_3[[#This Row],[Delta Jour]],"")</f>
        <v/>
      </c>
      <c r="H180" s="42"/>
      <c r="I180" s="42"/>
      <c r="J180" s="42"/>
      <c r="K180" s="42"/>
      <c r="L180" s="42"/>
    </row>
    <row r="181" spans="1:12" x14ac:dyDescent="0.25">
      <c r="A181" s="61">
        <f t="shared" si="5"/>
        <v>1</v>
      </c>
      <c r="B181" s="61">
        <f>EDATE($B$3,Site!$I$35*(ROW(Tab_Compteur_3[[#This Row],[Début de période]])-3))</f>
        <v>0</v>
      </c>
      <c r="C181" s="166"/>
      <c r="D181" s="165"/>
      <c r="E181">
        <f t="shared" si="4"/>
        <v>0</v>
      </c>
      <c r="F181" t="str">
        <f>IFERROR(Tab_Compteur_3[[#This Row],[Quantité]]/Tab_Compteur_3[[#This Row],[Delta Jour]],"")</f>
        <v/>
      </c>
      <c r="G181" t="str">
        <f>IFERROR(Tab_Compteur_3[[#This Row],[Montant TTC]]/Tab_Compteur_3[[#This Row],[Delta Jour]],"")</f>
        <v/>
      </c>
      <c r="H181" s="42"/>
      <c r="I181" s="42"/>
      <c r="J181" s="42"/>
      <c r="K181" s="42"/>
      <c r="L181" s="42"/>
    </row>
    <row r="182" spans="1:12" x14ac:dyDescent="0.25">
      <c r="A182" s="61">
        <f t="shared" si="5"/>
        <v>1</v>
      </c>
      <c r="B182" s="61">
        <f>EDATE($B$3,Site!$I$35*(ROW(Tab_Compteur_3[[#This Row],[Début de période]])-3))</f>
        <v>0</v>
      </c>
      <c r="C182" s="166"/>
      <c r="D182" s="165"/>
      <c r="E182">
        <f t="shared" si="4"/>
        <v>0</v>
      </c>
      <c r="F182" t="str">
        <f>IFERROR(Tab_Compteur_3[[#This Row],[Quantité]]/Tab_Compteur_3[[#This Row],[Delta Jour]],"")</f>
        <v/>
      </c>
      <c r="G182" t="str">
        <f>IFERROR(Tab_Compteur_3[[#This Row],[Montant TTC]]/Tab_Compteur_3[[#This Row],[Delta Jour]],"")</f>
        <v/>
      </c>
      <c r="H182" s="42"/>
      <c r="I182" s="42"/>
      <c r="J182" s="42"/>
      <c r="K182" s="42"/>
      <c r="L182" s="42"/>
    </row>
    <row r="183" spans="1:12" x14ac:dyDescent="0.25">
      <c r="A183" s="61">
        <f t="shared" si="5"/>
        <v>1</v>
      </c>
      <c r="B183" s="61">
        <f>EDATE($B$3,Site!$I$35*(ROW(Tab_Compteur_3[[#This Row],[Début de période]])-3))</f>
        <v>0</v>
      </c>
      <c r="C183" s="166"/>
      <c r="D183" s="165"/>
      <c r="E183">
        <f t="shared" si="4"/>
        <v>0</v>
      </c>
      <c r="F183" t="str">
        <f>IFERROR(Tab_Compteur_3[[#This Row],[Quantité]]/Tab_Compteur_3[[#This Row],[Delta Jour]],"")</f>
        <v/>
      </c>
      <c r="G183" t="str">
        <f>IFERROR(Tab_Compteur_3[[#This Row],[Montant TTC]]/Tab_Compteur_3[[#This Row],[Delta Jour]],"")</f>
        <v/>
      </c>
      <c r="H183" s="42"/>
      <c r="I183" s="42"/>
      <c r="J183" s="42"/>
      <c r="K183" s="42"/>
      <c r="L183" s="42"/>
    </row>
    <row r="184" spans="1:12" x14ac:dyDescent="0.25">
      <c r="A184" s="61">
        <f t="shared" si="5"/>
        <v>1</v>
      </c>
      <c r="B184" s="61">
        <f>EDATE($B$3,Site!$I$35*(ROW(Tab_Compteur_3[[#This Row],[Début de période]])-3))</f>
        <v>0</v>
      </c>
      <c r="C184" s="166"/>
      <c r="D184" s="165"/>
      <c r="E184">
        <f t="shared" si="4"/>
        <v>0</v>
      </c>
      <c r="F184" t="str">
        <f>IFERROR(Tab_Compteur_3[[#This Row],[Quantité]]/Tab_Compteur_3[[#This Row],[Delta Jour]],"")</f>
        <v/>
      </c>
      <c r="G184" t="str">
        <f>IFERROR(Tab_Compteur_3[[#This Row],[Montant TTC]]/Tab_Compteur_3[[#This Row],[Delta Jour]],"")</f>
        <v/>
      </c>
      <c r="H184" s="42"/>
      <c r="I184" s="42"/>
      <c r="J184" s="42"/>
      <c r="K184" s="42"/>
      <c r="L184" s="42"/>
    </row>
    <row r="185" spans="1:12" x14ac:dyDescent="0.25">
      <c r="A185" s="61">
        <f t="shared" si="5"/>
        <v>1</v>
      </c>
      <c r="B185" s="61">
        <f>EDATE($B$3,Site!$I$35*(ROW(Tab_Compteur_3[[#This Row],[Début de période]])-3))</f>
        <v>0</v>
      </c>
      <c r="C185" s="166"/>
      <c r="D185" s="165"/>
      <c r="E185">
        <f t="shared" si="4"/>
        <v>0</v>
      </c>
      <c r="F185" t="str">
        <f>IFERROR(Tab_Compteur_3[[#This Row],[Quantité]]/Tab_Compteur_3[[#This Row],[Delta Jour]],"")</f>
        <v/>
      </c>
      <c r="G185" t="str">
        <f>IFERROR(Tab_Compteur_3[[#This Row],[Montant TTC]]/Tab_Compteur_3[[#This Row],[Delta Jour]],"")</f>
        <v/>
      </c>
      <c r="H185" s="42"/>
      <c r="I185" s="42"/>
      <c r="J185" s="42"/>
      <c r="K185" s="42"/>
      <c r="L185" s="42"/>
    </row>
    <row r="186" spans="1:12" x14ac:dyDescent="0.25">
      <c r="A186" s="61">
        <f t="shared" si="5"/>
        <v>1</v>
      </c>
      <c r="B186" s="61">
        <f>EDATE($B$3,Site!$I$35*(ROW(Tab_Compteur_3[[#This Row],[Début de période]])-3))</f>
        <v>0</v>
      </c>
      <c r="C186" s="166"/>
      <c r="D186" s="165"/>
      <c r="E186">
        <f t="shared" si="4"/>
        <v>0</v>
      </c>
      <c r="F186" t="str">
        <f>IFERROR(Tab_Compteur_3[[#This Row],[Quantité]]/Tab_Compteur_3[[#This Row],[Delta Jour]],"")</f>
        <v/>
      </c>
      <c r="G186" t="str">
        <f>IFERROR(Tab_Compteur_3[[#This Row],[Montant TTC]]/Tab_Compteur_3[[#This Row],[Delta Jour]],"")</f>
        <v/>
      </c>
      <c r="H186" s="42"/>
      <c r="I186" s="42"/>
      <c r="J186" s="42"/>
      <c r="K186" s="42"/>
      <c r="L186" s="42"/>
    </row>
    <row r="187" spans="1:12" x14ac:dyDescent="0.25">
      <c r="A187" s="61">
        <f t="shared" si="5"/>
        <v>1</v>
      </c>
      <c r="B187" s="61">
        <f>EDATE($B$3,Site!$I$35*(ROW(Tab_Compteur_3[[#This Row],[Début de période]])-3))</f>
        <v>0</v>
      </c>
      <c r="C187" s="166"/>
      <c r="D187" s="165"/>
      <c r="E187">
        <f t="shared" si="4"/>
        <v>0</v>
      </c>
      <c r="F187" t="str">
        <f>IFERROR(Tab_Compteur_3[[#This Row],[Quantité]]/Tab_Compteur_3[[#This Row],[Delta Jour]],"")</f>
        <v/>
      </c>
      <c r="G187" t="str">
        <f>IFERROR(Tab_Compteur_3[[#This Row],[Montant TTC]]/Tab_Compteur_3[[#This Row],[Delta Jour]],"")</f>
        <v/>
      </c>
      <c r="H187" s="42"/>
      <c r="I187" s="42"/>
      <c r="J187" s="42"/>
      <c r="K187" s="42"/>
      <c r="L187" s="42"/>
    </row>
    <row r="188" spans="1:12" x14ac:dyDescent="0.25">
      <c r="A188" s="61">
        <f t="shared" si="5"/>
        <v>1</v>
      </c>
      <c r="B188" s="61">
        <f>EDATE($B$3,Site!$I$35*(ROW(Tab_Compteur_3[[#This Row],[Début de période]])-3))</f>
        <v>0</v>
      </c>
      <c r="C188" s="166"/>
      <c r="D188" s="165"/>
      <c r="E188">
        <f t="shared" si="4"/>
        <v>0</v>
      </c>
      <c r="F188" t="str">
        <f>IFERROR(Tab_Compteur_3[[#This Row],[Quantité]]/Tab_Compteur_3[[#This Row],[Delta Jour]],"")</f>
        <v/>
      </c>
      <c r="G188" t="str">
        <f>IFERROR(Tab_Compteur_3[[#This Row],[Montant TTC]]/Tab_Compteur_3[[#This Row],[Delta Jour]],"")</f>
        <v/>
      </c>
      <c r="H188" s="42"/>
      <c r="I188" s="42"/>
      <c r="J188" s="42"/>
      <c r="K188" s="42"/>
      <c r="L188" s="42"/>
    </row>
    <row r="189" spans="1:12" x14ac:dyDescent="0.25">
      <c r="A189" s="61">
        <f t="shared" si="5"/>
        <v>1</v>
      </c>
      <c r="B189" s="61">
        <f>EDATE($B$3,Site!$I$35*(ROW(Tab_Compteur_3[[#This Row],[Début de période]])-3))</f>
        <v>0</v>
      </c>
      <c r="C189" s="166"/>
      <c r="D189" s="165"/>
      <c r="E189">
        <f t="shared" si="4"/>
        <v>0</v>
      </c>
      <c r="F189" t="str">
        <f>IFERROR(Tab_Compteur_3[[#This Row],[Quantité]]/Tab_Compteur_3[[#This Row],[Delta Jour]],"")</f>
        <v/>
      </c>
      <c r="G189" t="str">
        <f>IFERROR(Tab_Compteur_3[[#This Row],[Montant TTC]]/Tab_Compteur_3[[#This Row],[Delta Jour]],"")</f>
        <v/>
      </c>
      <c r="H189" s="42"/>
      <c r="I189" s="42"/>
      <c r="J189" s="42"/>
      <c r="K189" s="42"/>
      <c r="L189" s="42"/>
    </row>
    <row r="190" spans="1:12" x14ac:dyDescent="0.25">
      <c r="A190" s="61">
        <f t="shared" si="5"/>
        <v>1</v>
      </c>
      <c r="B190" s="61">
        <f>EDATE($B$3,Site!$I$35*(ROW(Tab_Compteur_3[[#This Row],[Début de période]])-3))</f>
        <v>0</v>
      </c>
      <c r="C190" s="166"/>
      <c r="D190" s="165"/>
      <c r="E190">
        <f t="shared" si="4"/>
        <v>0</v>
      </c>
      <c r="F190" t="str">
        <f>IFERROR(Tab_Compteur_3[[#This Row],[Quantité]]/Tab_Compteur_3[[#This Row],[Delta Jour]],"")</f>
        <v/>
      </c>
      <c r="G190" t="str">
        <f>IFERROR(Tab_Compteur_3[[#This Row],[Montant TTC]]/Tab_Compteur_3[[#This Row],[Delta Jour]],"")</f>
        <v/>
      </c>
      <c r="H190" s="42"/>
      <c r="I190" s="42"/>
      <c r="J190" s="42"/>
      <c r="K190" s="42"/>
      <c r="L190" s="42"/>
    </row>
    <row r="191" spans="1:12" x14ac:dyDescent="0.25">
      <c r="A191" s="61">
        <f t="shared" si="5"/>
        <v>1</v>
      </c>
      <c r="B191" s="61">
        <f>EDATE($B$3,Site!$I$35*(ROW(Tab_Compteur_3[[#This Row],[Début de période]])-3))</f>
        <v>0</v>
      </c>
      <c r="C191" s="166"/>
      <c r="D191" s="165"/>
      <c r="E191">
        <f t="shared" si="4"/>
        <v>0</v>
      </c>
      <c r="F191" t="str">
        <f>IFERROR(Tab_Compteur_3[[#This Row],[Quantité]]/Tab_Compteur_3[[#This Row],[Delta Jour]],"")</f>
        <v/>
      </c>
      <c r="G191" t="str">
        <f>IFERROR(Tab_Compteur_3[[#This Row],[Montant TTC]]/Tab_Compteur_3[[#This Row],[Delta Jour]],"")</f>
        <v/>
      </c>
      <c r="H191" s="42"/>
      <c r="I191" s="42"/>
      <c r="J191" s="42"/>
      <c r="K191" s="42"/>
      <c r="L191" s="42"/>
    </row>
    <row r="192" spans="1:12" x14ac:dyDescent="0.25">
      <c r="A192" s="61">
        <f t="shared" si="5"/>
        <v>1</v>
      </c>
      <c r="B192" s="61">
        <f>EDATE($B$3,Site!$I$35*(ROW(Tab_Compteur_3[[#This Row],[Début de période]])-3))</f>
        <v>0</v>
      </c>
      <c r="C192" s="166"/>
      <c r="D192" s="165"/>
      <c r="E192">
        <f t="shared" si="4"/>
        <v>0</v>
      </c>
      <c r="F192" t="str">
        <f>IFERROR(Tab_Compteur_3[[#This Row],[Quantité]]/Tab_Compteur_3[[#This Row],[Delta Jour]],"")</f>
        <v/>
      </c>
      <c r="G192" t="str">
        <f>IFERROR(Tab_Compteur_3[[#This Row],[Montant TTC]]/Tab_Compteur_3[[#This Row],[Delta Jour]],"")</f>
        <v/>
      </c>
      <c r="H192" s="42"/>
      <c r="I192" s="42"/>
      <c r="J192" s="42"/>
      <c r="K192" s="42"/>
      <c r="L192" s="42"/>
    </row>
    <row r="193" spans="1:12" x14ac:dyDescent="0.25">
      <c r="A193" s="61">
        <f t="shared" si="5"/>
        <v>1</v>
      </c>
      <c r="B193" s="61">
        <f>EDATE($B$3,Site!$I$35*(ROW(Tab_Compteur_3[[#This Row],[Début de période]])-3))</f>
        <v>0</v>
      </c>
      <c r="C193" s="166"/>
      <c r="D193" s="165"/>
      <c r="E193">
        <f t="shared" si="4"/>
        <v>0</v>
      </c>
      <c r="F193" t="str">
        <f>IFERROR(Tab_Compteur_3[[#This Row],[Quantité]]/Tab_Compteur_3[[#This Row],[Delta Jour]],"")</f>
        <v/>
      </c>
      <c r="G193" t="str">
        <f>IFERROR(Tab_Compteur_3[[#This Row],[Montant TTC]]/Tab_Compteur_3[[#This Row],[Delta Jour]],"")</f>
        <v/>
      </c>
      <c r="H193" s="42"/>
      <c r="I193" s="42"/>
      <c r="J193" s="42"/>
      <c r="K193" s="42"/>
      <c r="L193" s="42"/>
    </row>
    <row r="194" spans="1:12" x14ac:dyDescent="0.25">
      <c r="A194" s="61">
        <f t="shared" si="5"/>
        <v>1</v>
      </c>
      <c r="B194" s="61">
        <f>EDATE($B$3,Site!$I$35*(ROW(Tab_Compteur_3[[#This Row],[Début de période]])-3))</f>
        <v>0</v>
      </c>
      <c r="C194" s="166"/>
      <c r="D194" s="165"/>
      <c r="E194">
        <f t="shared" ref="E194:E242" si="6">IFERROR(B194-A194+1,"")</f>
        <v>0</v>
      </c>
      <c r="F194" t="str">
        <f>IFERROR(Tab_Compteur_3[[#This Row],[Quantité]]/Tab_Compteur_3[[#This Row],[Delta Jour]],"")</f>
        <v/>
      </c>
      <c r="G194" t="str">
        <f>IFERROR(Tab_Compteur_3[[#This Row],[Montant TTC]]/Tab_Compteur_3[[#This Row],[Delta Jour]],"")</f>
        <v/>
      </c>
      <c r="H194" s="42"/>
      <c r="I194" s="42"/>
      <c r="J194" s="42"/>
      <c r="K194" s="42"/>
      <c r="L194" s="42"/>
    </row>
    <row r="195" spans="1:12" x14ac:dyDescent="0.25">
      <c r="A195" s="61">
        <f t="shared" si="5"/>
        <v>1</v>
      </c>
      <c r="B195" s="61">
        <f>EDATE($B$3,Site!$I$35*(ROW(Tab_Compteur_3[[#This Row],[Début de période]])-3))</f>
        <v>0</v>
      </c>
      <c r="C195" s="166"/>
      <c r="D195" s="165"/>
      <c r="E195">
        <f t="shared" si="6"/>
        <v>0</v>
      </c>
      <c r="F195" t="str">
        <f>IFERROR(Tab_Compteur_3[[#This Row],[Quantité]]/Tab_Compteur_3[[#This Row],[Delta Jour]],"")</f>
        <v/>
      </c>
      <c r="G195" t="str">
        <f>IFERROR(Tab_Compteur_3[[#This Row],[Montant TTC]]/Tab_Compteur_3[[#This Row],[Delta Jour]],"")</f>
        <v/>
      </c>
      <c r="H195" s="42"/>
      <c r="I195" s="42"/>
      <c r="J195" s="42"/>
      <c r="K195" s="42"/>
      <c r="L195" s="42"/>
    </row>
    <row r="196" spans="1:12" x14ac:dyDescent="0.25">
      <c r="A196" s="61">
        <f t="shared" si="5"/>
        <v>1</v>
      </c>
      <c r="B196" s="61">
        <f>EDATE($B$3,Site!$I$35*(ROW(Tab_Compteur_3[[#This Row],[Début de période]])-3))</f>
        <v>0</v>
      </c>
      <c r="C196" s="166"/>
      <c r="D196" s="165"/>
      <c r="E196">
        <f t="shared" si="6"/>
        <v>0</v>
      </c>
      <c r="F196" t="str">
        <f>IFERROR(Tab_Compteur_3[[#This Row],[Quantité]]/Tab_Compteur_3[[#This Row],[Delta Jour]],"")</f>
        <v/>
      </c>
      <c r="G196" t="str">
        <f>IFERROR(Tab_Compteur_3[[#This Row],[Montant TTC]]/Tab_Compteur_3[[#This Row],[Delta Jour]],"")</f>
        <v/>
      </c>
      <c r="H196" s="42"/>
      <c r="I196" s="42"/>
      <c r="J196" s="42"/>
      <c r="K196" s="42"/>
      <c r="L196" s="42"/>
    </row>
    <row r="197" spans="1:12" x14ac:dyDescent="0.25">
      <c r="A197" s="61">
        <f t="shared" ref="A197:A242" si="7">B196+1</f>
        <v>1</v>
      </c>
      <c r="B197" s="61">
        <f>EDATE($B$3,Site!$I$35*(ROW(Tab_Compteur_3[[#This Row],[Début de période]])-3))</f>
        <v>0</v>
      </c>
      <c r="C197" s="166"/>
      <c r="D197" s="165"/>
      <c r="E197">
        <f t="shared" si="6"/>
        <v>0</v>
      </c>
      <c r="F197" t="str">
        <f>IFERROR(Tab_Compteur_3[[#This Row],[Quantité]]/Tab_Compteur_3[[#This Row],[Delta Jour]],"")</f>
        <v/>
      </c>
      <c r="G197" t="str">
        <f>IFERROR(Tab_Compteur_3[[#This Row],[Montant TTC]]/Tab_Compteur_3[[#This Row],[Delta Jour]],"")</f>
        <v/>
      </c>
      <c r="H197" s="42"/>
      <c r="I197" s="42"/>
      <c r="J197" s="42"/>
      <c r="K197" s="42"/>
      <c r="L197" s="42"/>
    </row>
    <row r="198" spans="1:12" x14ac:dyDescent="0.25">
      <c r="A198" s="61">
        <f t="shared" si="7"/>
        <v>1</v>
      </c>
      <c r="B198" s="61">
        <f>EDATE($B$3,Site!$I$35*(ROW(Tab_Compteur_3[[#This Row],[Début de période]])-3))</f>
        <v>0</v>
      </c>
      <c r="C198" s="166"/>
      <c r="D198" s="165"/>
      <c r="E198">
        <f t="shared" si="6"/>
        <v>0</v>
      </c>
      <c r="F198" t="str">
        <f>IFERROR(Tab_Compteur_3[[#This Row],[Quantité]]/Tab_Compteur_3[[#This Row],[Delta Jour]],"")</f>
        <v/>
      </c>
      <c r="G198" t="str">
        <f>IFERROR(Tab_Compteur_3[[#This Row],[Montant TTC]]/Tab_Compteur_3[[#This Row],[Delta Jour]],"")</f>
        <v/>
      </c>
      <c r="H198" s="42"/>
      <c r="I198" s="42"/>
      <c r="J198" s="42"/>
      <c r="K198" s="42"/>
      <c r="L198" s="42"/>
    </row>
    <row r="199" spans="1:12" x14ac:dyDescent="0.25">
      <c r="A199" s="61">
        <f t="shared" si="7"/>
        <v>1</v>
      </c>
      <c r="B199" s="61">
        <f>EDATE($B$3,Site!$I$35*(ROW(Tab_Compteur_3[[#This Row],[Début de période]])-3))</f>
        <v>0</v>
      </c>
      <c r="C199" s="166"/>
      <c r="D199" s="165"/>
      <c r="E199">
        <f t="shared" si="6"/>
        <v>0</v>
      </c>
      <c r="F199" t="str">
        <f>IFERROR(Tab_Compteur_3[[#This Row],[Quantité]]/Tab_Compteur_3[[#This Row],[Delta Jour]],"")</f>
        <v/>
      </c>
      <c r="G199" t="str">
        <f>IFERROR(Tab_Compteur_3[[#This Row],[Montant TTC]]/Tab_Compteur_3[[#This Row],[Delta Jour]],"")</f>
        <v/>
      </c>
      <c r="H199" s="42"/>
      <c r="I199" s="42"/>
      <c r="J199" s="42"/>
      <c r="K199" s="42"/>
      <c r="L199" s="42"/>
    </row>
    <row r="200" spans="1:12" x14ac:dyDescent="0.25">
      <c r="A200" s="61">
        <f t="shared" si="7"/>
        <v>1</v>
      </c>
      <c r="B200" s="61">
        <f>EDATE($B$3,Site!$I$35*(ROW(Tab_Compteur_3[[#This Row],[Début de période]])-3))</f>
        <v>0</v>
      </c>
      <c r="C200" s="166"/>
      <c r="D200" s="165"/>
      <c r="E200">
        <f t="shared" si="6"/>
        <v>0</v>
      </c>
      <c r="F200" t="str">
        <f>IFERROR(Tab_Compteur_3[[#This Row],[Quantité]]/Tab_Compteur_3[[#This Row],[Delta Jour]],"")</f>
        <v/>
      </c>
      <c r="G200" t="str">
        <f>IFERROR(Tab_Compteur_3[[#This Row],[Montant TTC]]/Tab_Compteur_3[[#This Row],[Delta Jour]],"")</f>
        <v/>
      </c>
      <c r="H200" s="42"/>
      <c r="I200" s="42"/>
      <c r="J200" s="42"/>
      <c r="K200" s="42"/>
      <c r="L200" s="42"/>
    </row>
    <row r="201" spans="1:12" x14ac:dyDescent="0.25">
      <c r="A201" s="61">
        <f t="shared" si="7"/>
        <v>1</v>
      </c>
      <c r="B201" s="61">
        <f>EDATE($B$3,Site!$I$35*(ROW(Tab_Compteur_3[[#This Row],[Début de période]])-3))</f>
        <v>0</v>
      </c>
      <c r="C201" s="166"/>
      <c r="D201" s="165"/>
      <c r="E201">
        <f t="shared" si="6"/>
        <v>0</v>
      </c>
      <c r="F201" t="str">
        <f>IFERROR(Tab_Compteur_3[[#This Row],[Quantité]]/Tab_Compteur_3[[#This Row],[Delta Jour]],"")</f>
        <v/>
      </c>
      <c r="G201" t="str">
        <f>IFERROR(Tab_Compteur_3[[#This Row],[Montant TTC]]/Tab_Compteur_3[[#This Row],[Delta Jour]],"")</f>
        <v/>
      </c>
      <c r="H201" s="42"/>
      <c r="I201" s="42"/>
      <c r="J201" s="42"/>
      <c r="K201" s="42"/>
      <c r="L201" s="42"/>
    </row>
    <row r="202" spans="1:12" x14ac:dyDescent="0.25">
      <c r="A202" s="61">
        <f t="shared" si="7"/>
        <v>1</v>
      </c>
      <c r="B202" s="61">
        <f>EDATE($B$3,Site!$I$35*(ROW(Tab_Compteur_3[[#This Row],[Début de période]])-3))</f>
        <v>0</v>
      </c>
      <c r="C202" s="166"/>
      <c r="D202" s="165"/>
      <c r="E202">
        <f t="shared" si="6"/>
        <v>0</v>
      </c>
      <c r="F202" t="str">
        <f>IFERROR(Tab_Compteur_3[[#This Row],[Quantité]]/Tab_Compteur_3[[#This Row],[Delta Jour]],"")</f>
        <v/>
      </c>
      <c r="G202" t="str">
        <f>IFERROR(Tab_Compteur_3[[#This Row],[Montant TTC]]/Tab_Compteur_3[[#This Row],[Delta Jour]],"")</f>
        <v/>
      </c>
      <c r="H202" s="42"/>
      <c r="I202" s="42"/>
      <c r="J202" s="42"/>
      <c r="K202" s="42"/>
      <c r="L202" s="42"/>
    </row>
    <row r="203" spans="1:12" x14ac:dyDescent="0.25">
      <c r="A203" s="61">
        <f t="shared" si="7"/>
        <v>1</v>
      </c>
      <c r="B203" s="61">
        <f>EDATE($B$3,Site!$I$35*(ROW(Tab_Compteur_3[[#This Row],[Début de période]])-3))</f>
        <v>0</v>
      </c>
      <c r="C203" s="166"/>
      <c r="D203" s="165"/>
      <c r="E203">
        <f t="shared" si="6"/>
        <v>0</v>
      </c>
      <c r="F203" t="str">
        <f>IFERROR(Tab_Compteur_3[[#This Row],[Quantité]]/Tab_Compteur_3[[#This Row],[Delta Jour]],"")</f>
        <v/>
      </c>
      <c r="G203" t="str">
        <f>IFERROR(Tab_Compteur_3[[#This Row],[Montant TTC]]/Tab_Compteur_3[[#This Row],[Delta Jour]],"")</f>
        <v/>
      </c>
      <c r="H203" s="42"/>
      <c r="I203" s="42"/>
      <c r="J203" s="42"/>
      <c r="K203" s="42"/>
      <c r="L203" s="42"/>
    </row>
    <row r="204" spans="1:12" x14ac:dyDescent="0.25">
      <c r="A204" s="61">
        <f t="shared" si="7"/>
        <v>1</v>
      </c>
      <c r="B204" s="61">
        <f>EDATE($B$3,Site!$I$35*(ROW(Tab_Compteur_3[[#This Row],[Début de période]])-3))</f>
        <v>0</v>
      </c>
      <c r="C204" s="166"/>
      <c r="D204" s="165"/>
      <c r="E204">
        <f t="shared" si="6"/>
        <v>0</v>
      </c>
      <c r="F204" t="str">
        <f>IFERROR(Tab_Compteur_3[[#This Row],[Quantité]]/Tab_Compteur_3[[#This Row],[Delta Jour]],"")</f>
        <v/>
      </c>
      <c r="G204" t="str">
        <f>IFERROR(Tab_Compteur_3[[#This Row],[Montant TTC]]/Tab_Compteur_3[[#This Row],[Delta Jour]],"")</f>
        <v/>
      </c>
      <c r="H204" s="42"/>
      <c r="I204" s="42"/>
      <c r="J204" s="42"/>
      <c r="K204" s="42"/>
      <c r="L204" s="42"/>
    </row>
    <row r="205" spans="1:12" x14ac:dyDescent="0.25">
      <c r="A205" s="61">
        <f t="shared" si="7"/>
        <v>1</v>
      </c>
      <c r="B205" s="61">
        <f>EDATE($B$3,Site!$I$35*(ROW(Tab_Compteur_3[[#This Row],[Début de période]])-3))</f>
        <v>0</v>
      </c>
      <c r="C205" s="166"/>
      <c r="D205" s="165"/>
      <c r="E205">
        <f t="shared" si="6"/>
        <v>0</v>
      </c>
      <c r="F205" t="str">
        <f>IFERROR(Tab_Compteur_3[[#This Row],[Quantité]]/Tab_Compteur_3[[#This Row],[Delta Jour]],"")</f>
        <v/>
      </c>
      <c r="G205" t="str">
        <f>IFERROR(Tab_Compteur_3[[#This Row],[Montant TTC]]/Tab_Compteur_3[[#This Row],[Delta Jour]],"")</f>
        <v/>
      </c>
      <c r="H205" s="42"/>
      <c r="I205" s="42"/>
      <c r="J205" s="42"/>
      <c r="K205" s="42"/>
      <c r="L205" s="42"/>
    </row>
    <row r="206" spans="1:12" x14ac:dyDescent="0.25">
      <c r="A206" s="61">
        <f t="shared" si="7"/>
        <v>1</v>
      </c>
      <c r="B206" s="61">
        <f>EDATE($B$3,Site!$I$35*(ROW(Tab_Compteur_3[[#This Row],[Début de période]])-3))</f>
        <v>0</v>
      </c>
      <c r="C206" s="166"/>
      <c r="D206" s="165"/>
      <c r="E206">
        <f t="shared" si="6"/>
        <v>0</v>
      </c>
      <c r="F206" t="str">
        <f>IFERROR(Tab_Compteur_3[[#This Row],[Quantité]]/Tab_Compteur_3[[#This Row],[Delta Jour]],"")</f>
        <v/>
      </c>
      <c r="G206" t="str">
        <f>IFERROR(Tab_Compteur_3[[#This Row],[Montant TTC]]/Tab_Compteur_3[[#This Row],[Delta Jour]],"")</f>
        <v/>
      </c>
      <c r="H206" s="42"/>
      <c r="I206" s="42"/>
      <c r="J206" s="42"/>
      <c r="K206" s="42"/>
      <c r="L206" s="42"/>
    </row>
    <row r="207" spans="1:12" x14ac:dyDescent="0.25">
      <c r="A207" s="61">
        <f t="shared" si="7"/>
        <v>1</v>
      </c>
      <c r="B207" s="61">
        <f>EDATE($B$3,Site!$I$35*(ROW(Tab_Compteur_3[[#This Row],[Début de période]])-3))</f>
        <v>0</v>
      </c>
      <c r="C207" s="166"/>
      <c r="D207" s="165"/>
      <c r="E207">
        <f t="shared" si="6"/>
        <v>0</v>
      </c>
      <c r="F207" t="str">
        <f>IFERROR(Tab_Compteur_3[[#This Row],[Quantité]]/Tab_Compteur_3[[#This Row],[Delta Jour]],"")</f>
        <v/>
      </c>
      <c r="G207" t="str">
        <f>IFERROR(Tab_Compteur_3[[#This Row],[Montant TTC]]/Tab_Compteur_3[[#This Row],[Delta Jour]],"")</f>
        <v/>
      </c>
      <c r="H207" s="42"/>
      <c r="I207" s="42"/>
      <c r="J207" s="42"/>
      <c r="K207" s="42"/>
      <c r="L207" s="42"/>
    </row>
    <row r="208" spans="1:12" x14ac:dyDescent="0.25">
      <c r="A208" s="61">
        <f t="shared" si="7"/>
        <v>1</v>
      </c>
      <c r="B208" s="61">
        <f>EDATE($B$3,Site!$I$35*(ROW(Tab_Compteur_3[[#This Row],[Début de période]])-3))</f>
        <v>0</v>
      </c>
      <c r="C208" s="166"/>
      <c r="D208" s="165"/>
      <c r="E208">
        <f t="shared" si="6"/>
        <v>0</v>
      </c>
      <c r="F208" t="str">
        <f>IFERROR(Tab_Compteur_3[[#This Row],[Quantité]]/Tab_Compteur_3[[#This Row],[Delta Jour]],"")</f>
        <v/>
      </c>
      <c r="G208" t="str">
        <f>IFERROR(Tab_Compteur_3[[#This Row],[Montant TTC]]/Tab_Compteur_3[[#This Row],[Delta Jour]],"")</f>
        <v/>
      </c>
      <c r="H208" s="42"/>
      <c r="I208" s="42"/>
      <c r="J208" s="42"/>
      <c r="K208" s="42"/>
      <c r="L208" s="42"/>
    </row>
    <row r="209" spans="1:12" x14ac:dyDescent="0.25">
      <c r="A209" s="61">
        <f t="shared" si="7"/>
        <v>1</v>
      </c>
      <c r="B209" s="61">
        <f>EDATE($B$3,Site!$I$35*(ROW(Tab_Compteur_3[[#This Row],[Début de période]])-3))</f>
        <v>0</v>
      </c>
      <c r="C209" s="166"/>
      <c r="D209" s="165"/>
      <c r="E209">
        <f t="shared" si="6"/>
        <v>0</v>
      </c>
      <c r="F209" t="str">
        <f>IFERROR(Tab_Compteur_3[[#This Row],[Quantité]]/Tab_Compteur_3[[#This Row],[Delta Jour]],"")</f>
        <v/>
      </c>
      <c r="G209" t="str">
        <f>IFERROR(Tab_Compteur_3[[#This Row],[Montant TTC]]/Tab_Compteur_3[[#This Row],[Delta Jour]],"")</f>
        <v/>
      </c>
      <c r="H209" s="42"/>
      <c r="I209" s="42"/>
      <c r="J209" s="42"/>
      <c r="K209" s="42"/>
      <c r="L209" s="42"/>
    </row>
    <row r="210" spans="1:12" x14ac:dyDescent="0.25">
      <c r="A210" s="61">
        <f t="shared" si="7"/>
        <v>1</v>
      </c>
      <c r="B210" s="61">
        <f>EDATE($B$3,Site!$I$35*(ROW(Tab_Compteur_3[[#This Row],[Début de période]])-3))</f>
        <v>0</v>
      </c>
      <c r="C210" s="166"/>
      <c r="D210" s="165"/>
      <c r="E210">
        <f t="shared" si="6"/>
        <v>0</v>
      </c>
      <c r="F210" t="str">
        <f>IFERROR(Tab_Compteur_3[[#This Row],[Quantité]]/Tab_Compteur_3[[#This Row],[Delta Jour]],"")</f>
        <v/>
      </c>
      <c r="G210" t="str">
        <f>IFERROR(Tab_Compteur_3[[#This Row],[Montant TTC]]/Tab_Compteur_3[[#This Row],[Delta Jour]],"")</f>
        <v/>
      </c>
      <c r="H210" s="42"/>
      <c r="I210" s="42"/>
      <c r="J210" s="42"/>
      <c r="K210" s="42"/>
      <c r="L210" s="42"/>
    </row>
    <row r="211" spans="1:12" x14ac:dyDescent="0.25">
      <c r="A211" s="61">
        <f t="shared" si="7"/>
        <v>1</v>
      </c>
      <c r="B211" s="61">
        <f>EDATE($B$3,Site!$I$35*(ROW(Tab_Compteur_3[[#This Row],[Début de période]])-3))</f>
        <v>0</v>
      </c>
      <c r="C211" s="166"/>
      <c r="D211" s="165"/>
      <c r="E211">
        <f t="shared" si="6"/>
        <v>0</v>
      </c>
      <c r="F211" t="str">
        <f>IFERROR(Tab_Compteur_3[[#This Row],[Quantité]]/Tab_Compteur_3[[#This Row],[Delta Jour]],"")</f>
        <v/>
      </c>
      <c r="G211" t="str">
        <f>IFERROR(Tab_Compteur_3[[#This Row],[Montant TTC]]/Tab_Compteur_3[[#This Row],[Delta Jour]],"")</f>
        <v/>
      </c>
      <c r="H211" s="42"/>
      <c r="I211" s="42"/>
      <c r="J211" s="42"/>
      <c r="K211" s="42"/>
      <c r="L211" s="42"/>
    </row>
    <row r="212" spans="1:12" x14ac:dyDescent="0.25">
      <c r="A212" s="61">
        <f t="shared" si="7"/>
        <v>1</v>
      </c>
      <c r="B212" s="61">
        <f>EDATE($B$3,Site!$I$35*(ROW(Tab_Compteur_3[[#This Row],[Début de période]])-3))</f>
        <v>0</v>
      </c>
      <c r="C212" s="166"/>
      <c r="D212" s="165"/>
      <c r="E212">
        <f t="shared" si="6"/>
        <v>0</v>
      </c>
      <c r="F212" t="str">
        <f>IFERROR(Tab_Compteur_3[[#This Row],[Quantité]]/Tab_Compteur_3[[#This Row],[Delta Jour]],"")</f>
        <v/>
      </c>
      <c r="G212" t="str">
        <f>IFERROR(Tab_Compteur_3[[#This Row],[Montant TTC]]/Tab_Compteur_3[[#This Row],[Delta Jour]],"")</f>
        <v/>
      </c>
      <c r="H212" s="42"/>
      <c r="I212" s="42"/>
      <c r="J212" s="42"/>
      <c r="K212" s="42"/>
      <c r="L212" s="42"/>
    </row>
    <row r="213" spans="1:12" x14ac:dyDescent="0.25">
      <c r="A213" s="61">
        <f t="shared" si="7"/>
        <v>1</v>
      </c>
      <c r="B213" s="61">
        <f>EDATE($B$3,Site!$I$35*(ROW(Tab_Compteur_3[[#This Row],[Début de période]])-3))</f>
        <v>0</v>
      </c>
      <c r="C213" s="166"/>
      <c r="D213" s="165"/>
      <c r="E213">
        <f t="shared" si="6"/>
        <v>0</v>
      </c>
      <c r="F213" t="str">
        <f>IFERROR(Tab_Compteur_3[[#This Row],[Quantité]]/Tab_Compteur_3[[#This Row],[Delta Jour]],"")</f>
        <v/>
      </c>
      <c r="G213" t="str">
        <f>IFERROR(Tab_Compteur_3[[#This Row],[Montant TTC]]/Tab_Compteur_3[[#This Row],[Delta Jour]],"")</f>
        <v/>
      </c>
      <c r="H213" s="42"/>
      <c r="I213" s="42"/>
      <c r="J213" s="42"/>
      <c r="K213" s="42"/>
      <c r="L213" s="42"/>
    </row>
    <row r="214" spans="1:12" x14ac:dyDescent="0.25">
      <c r="A214" s="61">
        <f t="shared" si="7"/>
        <v>1</v>
      </c>
      <c r="B214" s="61">
        <f>EDATE($B$3,Site!$I$35*(ROW(Tab_Compteur_3[[#This Row],[Début de période]])-3))</f>
        <v>0</v>
      </c>
      <c r="C214" s="166"/>
      <c r="D214" s="165"/>
      <c r="E214">
        <f t="shared" si="6"/>
        <v>0</v>
      </c>
      <c r="F214" t="str">
        <f>IFERROR(Tab_Compteur_3[[#This Row],[Quantité]]/Tab_Compteur_3[[#This Row],[Delta Jour]],"")</f>
        <v/>
      </c>
      <c r="G214" t="str">
        <f>IFERROR(Tab_Compteur_3[[#This Row],[Montant TTC]]/Tab_Compteur_3[[#This Row],[Delta Jour]],"")</f>
        <v/>
      </c>
      <c r="H214" s="42"/>
      <c r="I214" s="42"/>
      <c r="J214" s="42"/>
      <c r="K214" s="42"/>
      <c r="L214" s="42"/>
    </row>
    <row r="215" spans="1:12" x14ac:dyDescent="0.25">
      <c r="A215" s="61">
        <f t="shared" si="7"/>
        <v>1</v>
      </c>
      <c r="B215" s="61">
        <f>EDATE($B$3,Site!$I$35*(ROW(Tab_Compteur_3[[#This Row],[Début de période]])-3))</f>
        <v>0</v>
      </c>
      <c r="C215" s="166"/>
      <c r="D215" s="165"/>
      <c r="E215">
        <f t="shared" si="6"/>
        <v>0</v>
      </c>
      <c r="F215" t="str">
        <f>IFERROR(Tab_Compteur_3[[#This Row],[Quantité]]/Tab_Compteur_3[[#This Row],[Delta Jour]],"")</f>
        <v/>
      </c>
      <c r="G215" t="str">
        <f>IFERROR(Tab_Compteur_3[[#This Row],[Montant TTC]]/Tab_Compteur_3[[#This Row],[Delta Jour]],"")</f>
        <v/>
      </c>
      <c r="H215" s="42"/>
      <c r="I215" s="42"/>
      <c r="J215" s="42"/>
      <c r="K215" s="42"/>
      <c r="L215" s="42"/>
    </row>
    <row r="216" spans="1:12" x14ac:dyDescent="0.25">
      <c r="A216" s="61">
        <f t="shared" si="7"/>
        <v>1</v>
      </c>
      <c r="B216" s="61">
        <f>EDATE($B$3,Site!$I$35*(ROW(Tab_Compteur_3[[#This Row],[Début de période]])-3))</f>
        <v>0</v>
      </c>
      <c r="C216" s="166"/>
      <c r="D216" s="165"/>
      <c r="E216">
        <f t="shared" si="6"/>
        <v>0</v>
      </c>
      <c r="F216" t="str">
        <f>IFERROR(Tab_Compteur_3[[#This Row],[Quantité]]/Tab_Compteur_3[[#This Row],[Delta Jour]],"")</f>
        <v/>
      </c>
      <c r="G216" t="str">
        <f>IFERROR(Tab_Compteur_3[[#This Row],[Montant TTC]]/Tab_Compteur_3[[#This Row],[Delta Jour]],"")</f>
        <v/>
      </c>
      <c r="H216" s="42"/>
      <c r="I216" s="42"/>
      <c r="J216" s="42"/>
      <c r="K216" s="42"/>
      <c r="L216" s="42"/>
    </row>
    <row r="217" spans="1:12" x14ac:dyDescent="0.25">
      <c r="A217" s="61">
        <f t="shared" si="7"/>
        <v>1</v>
      </c>
      <c r="B217" s="61">
        <f>EDATE($B$3,Site!$I$35*(ROW(Tab_Compteur_3[[#This Row],[Début de période]])-3))</f>
        <v>0</v>
      </c>
      <c r="C217" s="166"/>
      <c r="D217" s="165"/>
      <c r="E217">
        <f t="shared" si="6"/>
        <v>0</v>
      </c>
      <c r="F217" t="str">
        <f>IFERROR(Tab_Compteur_3[[#This Row],[Quantité]]/Tab_Compteur_3[[#This Row],[Delta Jour]],"")</f>
        <v/>
      </c>
      <c r="G217" t="str">
        <f>IFERROR(Tab_Compteur_3[[#This Row],[Montant TTC]]/Tab_Compteur_3[[#This Row],[Delta Jour]],"")</f>
        <v/>
      </c>
      <c r="H217" s="42"/>
      <c r="I217" s="42"/>
      <c r="J217" s="42"/>
      <c r="K217" s="42"/>
      <c r="L217" s="42"/>
    </row>
    <row r="218" spans="1:12" x14ac:dyDescent="0.25">
      <c r="A218" s="61">
        <f t="shared" si="7"/>
        <v>1</v>
      </c>
      <c r="B218" s="61">
        <f>EDATE($B$3,Site!$I$35*(ROW(Tab_Compteur_3[[#This Row],[Début de période]])-3))</f>
        <v>0</v>
      </c>
      <c r="C218" s="166"/>
      <c r="D218" s="165"/>
      <c r="E218">
        <f t="shared" si="6"/>
        <v>0</v>
      </c>
      <c r="F218" t="str">
        <f>IFERROR(Tab_Compteur_3[[#This Row],[Quantité]]/Tab_Compteur_3[[#This Row],[Delta Jour]],"")</f>
        <v/>
      </c>
      <c r="G218" t="str">
        <f>IFERROR(Tab_Compteur_3[[#This Row],[Montant TTC]]/Tab_Compteur_3[[#This Row],[Delta Jour]],"")</f>
        <v/>
      </c>
      <c r="H218" s="42"/>
      <c r="I218" s="42"/>
      <c r="J218" s="42"/>
      <c r="K218" s="42"/>
      <c r="L218" s="42"/>
    </row>
    <row r="219" spans="1:12" x14ac:dyDescent="0.25">
      <c r="A219" s="61">
        <f t="shared" si="7"/>
        <v>1</v>
      </c>
      <c r="B219" s="61">
        <f>EDATE($B$3,Site!$I$35*(ROW(Tab_Compteur_3[[#This Row],[Début de période]])-3))</f>
        <v>0</v>
      </c>
      <c r="C219" s="166"/>
      <c r="D219" s="165"/>
      <c r="E219">
        <f t="shared" si="6"/>
        <v>0</v>
      </c>
      <c r="F219" t="str">
        <f>IFERROR(Tab_Compteur_3[[#This Row],[Quantité]]/Tab_Compteur_3[[#This Row],[Delta Jour]],"")</f>
        <v/>
      </c>
      <c r="G219" t="str">
        <f>IFERROR(Tab_Compteur_3[[#This Row],[Montant TTC]]/Tab_Compteur_3[[#This Row],[Delta Jour]],"")</f>
        <v/>
      </c>
      <c r="H219" s="42"/>
      <c r="I219" s="42"/>
      <c r="J219" s="42"/>
      <c r="K219" s="42"/>
      <c r="L219" s="42"/>
    </row>
    <row r="220" spans="1:12" x14ac:dyDescent="0.25">
      <c r="A220" s="61">
        <f t="shared" si="7"/>
        <v>1</v>
      </c>
      <c r="B220" s="61">
        <f>EDATE($B$3,Site!$I$35*(ROW(Tab_Compteur_3[[#This Row],[Début de période]])-3))</f>
        <v>0</v>
      </c>
      <c r="C220" s="166"/>
      <c r="D220" s="165"/>
      <c r="E220">
        <f t="shared" si="6"/>
        <v>0</v>
      </c>
      <c r="F220" t="str">
        <f>IFERROR(Tab_Compteur_3[[#This Row],[Quantité]]/Tab_Compteur_3[[#This Row],[Delta Jour]],"")</f>
        <v/>
      </c>
      <c r="G220" t="str">
        <f>IFERROR(Tab_Compteur_3[[#This Row],[Montant TTC]]/Tab_Compteur_3[[#This Row],[Delta Jour]],"")</f>
        <v/>
      </c>
      <c r="H220" s="42"/>
      <c r="I220" s="42"/>
      <c r="J220" s="42"/>
      <c r="K220" s="42"/>
      <c r="L220" s="42"/>
    </row>
    <row r="221" spans="1:12" x14ac:dyDescent="0.25">
      <c r="A221" s="61">
        <f t="shared" si="7"/>
        <v>1</v>
      </c>
      <c r="B221" s="61">
        <f>EDATE($B$3,Site!$I$35*(ROW(Tab_Compteur_3[[#This Row],[Début de période]])-3))</f>
        <v>0</v>
      </c>
      <c r="C221" s="166"/>
      <c r="D221" s="165"/>
      <c r="E221">
        <f t="shared" si="6"/>
        <v>0</v>
      </c>
      <c r="F221" t="str">
        <f>IFERROR(Tab_Compteur_3[[#This Row],[Quantité]]/Tab_Compteur_3[[#This Row],[Delta Jour]],"")</f>
        <v/>
      </c>
      <c r="G221" t="str">
        <f>IFERROR(Tab_Compteur_3[[#This Row],[Montant TTC]]/Tab_Compteur_3[[#This Row],[Delta Jour]],"")</f>
        <v/>
      </c>
      <c r="H221" s="42"/>
      <c r="I221" s="42"/>
      <c r="J221" s="42"/>
      <c r="K221" s="42"/>
      <c r="L221" s="42"/>
    </row>
    <row r="222" spans="1:12" x14ac:dyDescent="0.25">
      <c r="A222" s="61">
        <f t="shared" si="7"/>
        <v>1</v>
      </c>
      <c r="B222" s="61">
        <f>EDATE($B$3,Site!$I$35*(ROW(Tab_Compteur_3[[#This Row],[Début de période]])-3))</f>
        <v>0</v>
      </c>
      <c r="C222" s="166"/>
      <c r="D222" s="165"/>
      <c r="E222">
        <f t="shared" si="6"/>
        <v>0</v>
      </c>
      <c r="F222" t="str">
        <f>IFERROR(Tab_Compteur_3[[#This Row],[Quantité]]/Tab_Compteur_3[[#This Row],[Delta Jour]],"")</f>
        <v/>
      </c>
      <c r="G222" t="str">
        <f>IFERROR(Tab_Compteur_3[[#This Row],[Montant TTC]]/Tab_Compteur_3[[#This Row],[Delta Jour]],"")</f>
        <v/>
      </c>
      <c r="H222" s="42"/>
      <c r="I222" s="42"/>
      <c r="J222" s="42"/>
      <c r="K222" s="42"/>
      <c r="L222" s="42"/>
    </row>
    <row r="223" spans="1:12" x14ac:dyDescent="0.25">
      <c r="A223" s="61">
        <f t="shared" si="7"/>
        <v>1</v>
      </c>
      <c r="B223" s="61">
        <f>EDATE($B$3,Site!$I$35*(ROW(Tab_Compteur_3[[#This Row],[Début de période]])-3))</f>
        <v>0</v>
      </c>
      <c r="C223" s="166"/>
      <c r="D223" s="165"/>
      <c r="E223">
        <f t="shared" si="6"/>
        <v>0</v>
      </c>
      <c r="F223" t="str">
        <f>IFERROR(Tab_Compteur_3[[#This Row],[Quantité]]/Tab_Compteur_3[[#This Row],[Delta Jour]],"")</f>
        <v/>
      </c>
      <c r="G223" t="str">
        <f>IFERROR(Tab_Compteur_3[[#This Row],[Montant TTC]]/Tab_Compteur_3[[#This Row],[Delta Jour]],"")</f>
        <v/>
      </c>
      <c r="H223" s="42"/>
      <c r="I223" s="42"/>
      <c r="J223" s="42"/>
      <c r="K223" s="42"/>
      <c r="L223" s="42"/>
    </row>
    <row r="224" spans="1:12" x14ac:dyDescent="0.25">
      <c r="A224" s="61">
        <f t="shared" si="7"/>
        <v>1</v>
      </c>
      <c r="B224" s="61">
        <f>EDATE($B$3,Site!$I$35*(ROW(Tab_Compteur_3[[#This Row],[Début de période]])-3))</f>
        <v>0</v>
      </c>
      <c r="C224" s="166"/>
      <c r="D224" s="165"/>
      <c r="E224">
        <f t="shared" si="6"/>
        <v>0</v>
      </c>
      <c r="F224" t="str">
        <f>IFERROR(Tab_Compteur_3[[#This Row],[Quantité]]/Tab_Compteur_3[[#This Row],[Delta Jour]],"")</f>
        <v/>
      </c>
      <c r="G224" t="str">
        <f>IFERROR(Tab_Compteur_3[[#This Row],[Montant TTC]]/Tab_Compteur_3[[#This Row],[Delta Jour]],"")</f>
        <v/>
      </c>
      <c r="H224" s="42"/>
      <c r="I224" s="42"/>
      <c r="J224" s="42"/>
      <c r="K224" s="42"/>
      <c r="L224" s="42"/>
    </row>
    <row r="225" spans="1:12" x14ac:dyDescent="0.25">
      <c r="A225" s="61">
        <f t="shared" si="7"/>
        <v>1</v>
      </c>
      <c r="B225" s="61">
        <f>EDATE($B$3,Site!$I$35*(ROW(Tab_Compteur_3[[#This Row],[Début de période]])-3))</f>
        <v>0</v>
      </c>
      <c r="C225" s="166"/>
      <c r="D225" s="165"/>
      <c r="E225">
        <f t="shared" si="6"/>
        <v>0</v>
      </c>
      <c r="F225" t="str">
        <f>IFERROR(Tab_Compteur_3[[#This Row],[Quantité]]/Tab_Compteur_3[[#This Row],[Delta Jour]],"")</f>
        <v/>
      </c>
      <c r="G225" t="str">
        <f>IFERROR(Tab_Compteur_3[[#This Row],[Montant TTC]]/Tab_Compteur_3[[#This Row],[Delta Jour]],"")</f>
        <v/>
      </c>
      <c r="H225" s="42"/>
      <c r="I225" s="42"/>
      <c r="J225" s="42"/>
      <c r="K225" s="42"/>
      <c r="L225" s="42"/>
    </row>
    <row r="226" spans="1:12" x14ac:dyDescent="0.25">
      <c r="A226" s="61">
        <f t="shared" si="7"/>
        <v>1</v>
      </c>
      <c r="B226" s="61">
        <f>EDATE($B$3,Site!$I$35*(ROW(Tab_Compteur_3[[#This Row],[Début de période]])-3))</f>
        <v>0</v>
      </c>
      <c r="C226" s="166"/>
      <c r="D226" s="165"/>
      <c r="E226">
        <f t="shared" si="6"/>
        <v>0</v>
      </c>
      <c r="F226" t="str">
        <f>IFERROR(Tab_Compteur_3[[#This Row],[Quantité]]/Tab_Compteur_3[[#This Row],[Delta Jour]],"")</f>
        <v/>
      </c>
      <c r="G226" t="str">
        <f>IFERROR(Tab_Compteur_3[[#This Row],[Montant TTC]]/Tab_Compteur_3[[#This Row],[Delta Jour]],"")</f>
        <v/>
      </c>
      <c r="H226" s="42"/>
      <c r="I226" s="42"/>
      <c r="J226" s="42"/>
      <c r="K226" s="42"/>
      <c r="L226" s="42"/>
    </row>
    <row r="227" spans="1:12" x14ac:dyDescent="0.25">
      <c r="A227" s="61">
        <f t="shared" si="7"/>
        <v>1</v>
      </c>
      <c r="B227" s="61">
        <f>EDATE($B$3,Site!$I$35*(ROW(Tab_Compteur_3[[#This Row],[Début de période]])-3))</f>
        <v>0</v>
      </c>
      <c r="C227" s="166"/>
      <c r="D227" s="165"/>
      <c r="E227">
        <f t="shared" si="6"/>
        <v>0</v>
      </c>
      <c r="F227" t="str">
        <f>IFERROR(Tab_Compteur_3[[#This Row],[Quantité]]/Tab_Compteur_3[[#This Row],[Delta Jour]],"")</f>
        <v/>
      </c>
      <c r="G227" t="str">
        <f>IFERROR(Tab_Compteur_3[[#This Row],[Montant TTC]]/Tab_Compteur_3[[#This Row],[Delta Jour]],"")</f>
        <v/>
      </c>
      <c r="H227" s="42"/>
      <c r="I227" s="42"/>
      <c r="J227" s="42"/>
      <c r="K227" s="42"/>
      <c r="L227" s="42"/>
    </row>
    <row r="228" spans="1:12" x14ac:dyDescent="0.25">
      <c r="A228" s="61">
        <f t="shared" si="7"/>
        <v>1</v>
      </c>
      <c r="B228" s="61">
        <f>EDATE($B$3,Site!$I$35*(ROW(Tab_Compteur_3[[#This Row],[Début de période]])-3))</f>
        <v>0</v>
      </c>
      <c r="C228" s="166"/>
      <c r="D228" s="165"/>
      <c r="E228">
        <f t="shared" si="6"/>
        <v>0</v>
      </c>
      <c r="F228" t="str">
        <f>IFERROR(Tab_Compteur_3[[#This Row],[Quantité]]/Tab_Compteur_3[[#This Row],[Delta Jour]],"")</f>
        <v/>
      </c>
      <c r="G228" t="str">
        <f>IFERROR(Tab_Compteur_3[[#This Row],[Montant TTC]]/Tab_Compteur_3[[#This Row],[Delta Jour]],"")</f>
        <v/>
      </c>
      <c r="H228" s="42"/>
      <c r="I228" s="42"/>
      <c r="J228" s="42"/>
      <c r="K228" s="42"/>
      <c r="L228" s="42"/>
    </row>
    <row r="229" spans="1:12" x14ac:dyDescent="0.25">
      <c r="A229" s="61">
        <f t="shared" si="7"/>
        <v>1</v>
      </c>
      <c r="B229" s="61">
        <f>EDATE($B$3,Site!$I$35*(ROW(Tab_Compteur_3[[#This Row],[Début de période]])-3))</f>
        <v>0</v>
      </c>
      <c r="C229" s="166"/>
      <c r="D229" s="165"/>
      <c r="E229">
        <f t="shared" si="6"/>
        <v>0</v>
      </c>
      <c r="F229" t="str">
        <f>IFERROR(Tab_Compteur_3[[#This Row],[Quantité]]/Tab_Compteur_3[[#This Row],[Delta Jour]],"")</f>
        <v/>
      </c>
      <c r="G229" t="str">
        <f>IFERROR(Tab_Compteur_3[[#This Row],[Montant TTC]]/Tab_Compteur_3[[#This Row],[Delta Jour]],"")</f>
        <v/>
      </c>
      <c r="H229" s="42"/>
      <c r="I229" s="42"/>
      <c r="J229" s="42"/>
      <c r="K229" s="42"/>
      <c r="L229" s="42"/>
    </row>
    <row r="230" spans="1:12" x14ac:dyDescent="0.25">
      <c r="A230" s="61">
        <f t="shared" si="7"/>
        <v>1</v>
      </c>
      <c r="B230" s="61">
        <f>EDATE($B$3,Site!$I$35*(ROW(Tab_Compteur_3[[#This Row],[Début de période]])-3))</f>
        <v>0</v>
      </c>
      <c r="C230" s="166"/>
      <c r="D230" s="165"/>
      <c r="E230">
        <f t="shared" si="6"/>
        <v>0</v>
      </c>
      <c r="F230" t="str">
        <f>IFERROR(Tab_Compteur_3[[#This Row],[Quantité]]/Tab_Compteur_3[[#This Row],[Delta Jour]],"")</f>
        <v/>
      </c>
      <c r="G230" t="str">
        <f>IFERROR(Tab_Compteur_3[[#This Row],[Montant TTC]]/Tab_Compteur_3[[#This Row],[Delta Jour]],"")</f>
        <v/>
      </c>
      <c r="H230" s="42"/>
      <c r="I230" s="42"/>
      <c r="J230" s="42"/>
      <c r="K230" s="42"/>
      <c r="L230" s="42"/>
    </row>
    <row r="231" spans="1:12" x14ac:dyDescent="0.25">
      <c r="A231" s="61">
        <f t="shared" si="7"/>
        <v>1</v>
      </c>
      <c r="B231" s="61">
        <f>EDATE($B$3,Site!$I$35*(ROW(Tab_Compteur_3[[#This Row],[Début de période]])-3))</f>
        <v>0</v>
      </c>
      <c r="C231" s="166"/>
      <c r="D231" s="165"/>
      <c r="E231">
        <f t="shared" si="6"/>
        <v>0</v>
      </c>
      <c r="F231" t="str">
        <f>IFERROR(Tab_Compteur_3[[#This Row],[Quantité]]/Tab_Compteur_3[[#This Row],[Delta Jour]],"")</f>
        <v/>
      </c>
      <c r="G231" t="str">
        <f>IFERROR(Tab_Compteur_3[[#This Row],[Montant TTC]]/Tab_Compteur_3[[#This Row],[Delta Jour]],"")</f>
        <v/>
      </c>
      <c r="H231" s="42"/>
      <c r="I231" s="42"/>
      <c r="J231" s="42"/>
      <c r="K231" s="42"/>
      <c r="L231" s="42"/>
    </row>
    <row r="232" spans="1:12" x14ac:dyDescent="0.25">
      <c r="A232" s="61">
        <f t="shared" si="7"/>
        <v>1</v>
      </c>
      <c r="B232" s="61">
        <f>EDATE($B$3,Site!$I$35*(ROW(Tab_Compteur_3[[#This Row],[Début de période]])-3))</f>
        <v>0</v>
      </c>
      <c r="C232" s="166"/>
      <c r="D232" s="165"/>
      <c r="E232">
        <f t="shared" si="6"/>
        <v>0</v>
      </c>
      <c r="F232" t="str">
        <f>IFERROR(Tab_Compteur_3[[#This Row],[Quantité]]/Tab_Compteur_3[[#This Row],[Delta Jour]],"")</f>
        <v/>
      </c>
      <c r="G232" t="str">
        <f>IFERROR(Tab_Compteur_3[[#This Row],[Montant TTC]]/Tab_Compteur_3[[#This Row],[Delta Jour]],"")</f>
        <v/>
      </c>
      <c r="H232" s="42"/>
      <c r="I232" s="42"/>
      <c r="J232" s="42"/>
      <c r="K232" s="42"/>
      <c r="L232" s="42"/>
    </row>
    <row r="233" spans="1:12" x14ac:dyDescent="0.25">
      <c r="A233" s="61">
        <f t="shared" si="7"/>
        <v>1</v>
      </c>
      <c r="B233" s="61">
        <f>EDATE($B$3,Site!$I$35*(ROW(Tab_Compteur_3[[#This Row],[Début de période]])-3))</f>
        <v>0</v>
      </c>
      <c r="C233" s="166"/>
      <c r="D233" s="165"/>
      <c r="E233">
        <f t="shared" si="6"/>
        <v>0</v>
      </c>
      <c r="F233" t="str">
        <f>IFERROR(Tab_Compteur_3[[#This Row],[Quantité]]/Tab_Compteur_3[[#This Row],[Delta Jour]],"")</f>
        <v/>
      </c>
      <c r="G233" t="str">
        <f>IFERROR(Tab_Compteur_3[[#This Row],[Montant TTC]]/Tab_Compteur_3[[#This Row],[Delta Jour]],"")</f>
        <v/>
      </c>
      <c r="H233" s="42"/>
      <c r="I233" s="42"/>
      <c r="J233" s="42"/>
      <c r="K233" s="42"/>
      <c r="L233" s="42"/>
    </row>
    <row r="234" spans="1:12" x14ac:dyDescent="0.25">
      <c r="A234" s="61">
        <f t="shared" si="7"/>
        <v>1</v>
      </c>
      <c r="B234" s="61">
        <f>EDATE($B$3,Site!$I$35*(ROW(Tab_Compteur_3[[#This Row],[Début de période]])-3))</f>
        <v>0</v>
      </c>
      <c r="C234" s="166"/>
      <c r="D234" s="165"/>
      <c r="E234">
        <f t="shared" si="6"/>
        <v>0</v>
      </c>
      <c r="F234" t="str">
        <f>IFERROR(Tab_Compteur_3[[#This Row],[Quantité]]/Tab_Compteur_3[[#This Row],[Delta Jour]],"")</f>
        <v/>
      </c>
      <c r="G234" t="str">
        <f>IFERROR(Tab_Compteur_3[[#This Row],[Montant TTC]]/Tab_Compteur_3[[#This Row],[Delta Jour]],"")</f>
        <v/>
      </c>
      <c r="H234" s="42"/>
      <c r="I234" s="42"/>
      <c r="J234" s="42"/>
      <c r="K234" s="42"/>
      <c r="L234" s="42"/>
    </row>
    <row r="235" spans="1:12" x14ac:dyDescent="0.25">
      <c r="A235" s="61">
        <f t="shared" si="7"/>
        <v>1</v>
      </c>
      <c r="B235" s="61">
        <f>EDATE($B$3,Site!$I$35*(ROW(Tab_Compteur_3[[#This Row],[Début de période]])-3))</f>
        <v>0</v>
      </c>
      <c r="C235" s="166"/>
      <c r="D235" s="165"/>
      <c r="E235">
        <f t="shared" si="6"/>
        <v>0</v>
      </c>
      <c r="F235" t="str">
        <f>IFERROR(Tab_Compteur_3[[#This Row],[Quantité]]/Tab_Compteur_3[[#This Row],[Delta Jour]],"")</f>
        <v/>
      </c>
      <c r="G235" t="str">
        <f>IFERROR(Tab_Compteur_3[[#This Row],[Montant TTC]]/Tab_Compteur_3[[#This Row],[Delta Jour]],"")</f>
        <v/>
      </c>
      <c r="H235" s="42"/>
      <c r="I235" s="42"/>
      <c r="J235" s="42"/>
      <c r="K235" s="42"/>
      <c r="L235" s="42"/>
    </row>
    <row r="236" spans="1:12" x14ac:dyDescent="0.25">
      <c r="A236" s="61">
        <f t="shared" si="7"/>
        <v>1</v>
      </c>
      <c r="B236" s="61">
        <f>EDATE($B$3,Site!$I$35*(ROW(Tab_Compteur_3[[#This Row],[Début de période]])-3))</f>
        <v>0</v>
      </c>
      <c r="C236" s="166"/>
      <c r="D236" s="165"/>
      <c r="E236">
        <f t="shared" si="6"/>
        <v>0</v>
      </c>
      <c r="F236" t="str">
        <f>IFERROR(Tab_Compteur_3[[#This Row],[Quantité]]/Tab_Compteur_3[[#This Row],[Delta Jour]],"")</f>
        <v/>
      </c>
      <c r="G236" t="str">
        <f>IFERROR(Tab_Compteur_3[[#This Row],[Montant TTC]]/Tab_Compteur_3[[#This Row],[Delta Jour]],"")</f>
        <v/>
      </c>
      <c r="H236" s="42"/>
      <c r="I236" s="42"/>
      <c r="J236" s="42"/>
      <c r="K236" s="42"/>
      <c r="L236" s="42"/>
    </row>
    <row r="237" spans="1:12" x14ac:dyDescent="0.25">
      <c r="A237" s="61">
        <f t="shared" si="7"/>
        <v>1</v>
      </c>
      <c r="B237" s="61">
        <f>EDATE($B$3,Site!$I$35*(ROW(Tab_Compteur_3[[#This Row],[Début de période]])-3))</f>
        <v>0</v>
      </c>
      <c r="C237" s="166"/>
      <c r="D237" s="165"/>
      <c r="E237">
        <f t="shared" si="6"/>
        <v>0</v>
      </c>
      <c r="F237" t="str">
        <f>IFERROR(Tab_Compteur_3[[#This Row],[Quantité]]/Tab_Compteur_3[[#This Row],[Delta Jour]],"")</f>
        <v/>
      </c>
      <c r="G237" t="str">
        <f>IFERROR(Tab_Compteur_3[[#This Row],[Montant TTC]]/Tab_Compteur_3[[#This Row],[Delta Jour]],"")</f>
        <v/>
      </c>
      <c r="H237" s="42"/>
      <c r="I237" s="42"/>
      <c r="J237" s="42"/>
      <c r="K237" s="42"/>
      <c r="L237" s="42"/>
    </row>
    <row r="238" spans="1:12" x14ac:dyDescent="0.25">
      <c r="A238" s="61">
        <f t="shared" si="7"/>
        <v>1</v>
      </c>
      <c r="B238" s="61">
        <f>EDATE($B$3,Site!$I$35*(ROW(Tab_Compteur_3[[#This Row],[Début de période]])-3))</f>
        <v>0</v>
      </c>
      <c r="C238" s="164"/>
      <c r="D238" s="165"/>
      <c r="E238">
        <f t="shared" si="6"/>
        <v>0</v>
      </c>
      <c r="F238" t="str">
        <f>IFERROR(Tab_Compteur_3[[#This Row],[Quantité]]/Tab_Compteur_3[[#This Row],[Delta Jour]],"")</f>
        <v/>
      </c>
      <c r="G238" t="str">
        <f>IFERROR(Tab_Compteur_3[[#This Row],[Montant TTC]]/Tab_Compteur_3[[#This Row],[Delta Jour]],"")</f>
        <v/>
      </c>
      <c r="H238" s="42"/>
      <c r="I238" s="42"/>
      <c r="J238" s="42"/>
      <c r="K238" s="42"/>
      <c r="L238" s="42"/>
    </row>
    <row r="239" spans="1:12" x14ac:dyDescent="0.25">
      <c r="A239" s="61">
        <f t="shared" si="7"/>
        <v>1</v>
      </c>
      <c r="B239" s="61">
        <f>EDATE($B$3,Site!$I$35*(ROW(Tab_Compteur_3[[#This Row],[Début de période]])-3))</f>
        <v>0</v>
      </c>
      <c r="C239" s="164"/>
      <c r="D239" s="165"/>
      <c r="E239">
        <f t="shared" si="6"/>
        <v>0</v>
      </c>
      <c r="F239" t="str">
        <f>IFERROR(Tab_Compteur_3[[#This Row],[Quantité]]/Tab_Compteur_3[[#This Row],[Delta Jour]],"")</f>
        <v/>
      </c>
      <c r="G239" t="str">
        <f>IFERROR(Tab_Compteur_3[[#This Row],[Montant TTC]]/Tab_Compteur_3[[#This Row],[Delta Jour]],"")</f>
        <v/>
      </c>
      <c r="H239" s="42"/>
      <c r="I239" s="42"/>
      <c r="J239" s="42"/>
      <c r="K239" s="42"/>
      <c r="L239" s="42"/>
    </row>
    <row r="240" spans="1:12" x14ac:dyDescent="0.25">
      <c r="A240" s="61">
        <f t="shared" si="7"/>
        <v>1</v>
      </c>
      <c r="B240" s="61">
        <f>EDATE($B$3,Site!$I$35*(ROW(Tab_Compteur_3[[#This Row],[Début de période]])-3))</f>
        <v>0</v>
      </c>
      <c r="C240" s="164"/>
      <c r="D240" s="165"/>
      <c r="E240">
        <f t="shared" si="6"/>
        <v>0</v>
      </c>
      <c r="F240" t="str">
        <f>IFERROR(Tab_Compteur_3[[#This Row],[Quantité]]/Tab_Compteur_3[[#This Row],[Delta Jour]],"")</f>
        <v/>
      </c>
      <c r="G240" t="str">
        <f>IFERROR(Tab_Compteur_3[[#This Row],[Montant TTC]]/Tab_Compteur_3[[#This Row],[Delta Jour]],"")</f>
        <v/>
      </c>
      <c r="H240" s="42"/>
      <c r="I240" s="42"/>
      <c r="J240" s="42"/>
      <c r="K240" s="42"/>
      <c r="L240" s="42"/>
    </row>
    <row r="241" spans="1:12" x14ac:dyDescent="0.25">
      <c r="A241" s="61">
        <f t="shared" si="7"/>
        <v>1</v>
      </c>
      <c r="B241" s="61">
        <f>EDATE($B$3,Site!$I$35*(ROW(Tab_Compteur_3[[#This Row],[Début de période]])-3))</f>
        <v>0</v>
      </c>
      <c r="C241" s="164"/>
      <c r="D241" s="165"/>
      <c r="E241">
        <f t="shared" si="6"/>
        <v>0</v>
      </c>
      <c r="F241" t="str">
        <f>IFERROR(Tab_Compteur_3[[#This Row],[Quantité]]/Tab_Compteur_3[[#This Row],[Delta Jour]],"")</f>
        <v/>
      </c>
      <c r="G241" t="str">
        <f>IFERROR(Tab_Compteur_3[[#This Row],[Montant TTC]]/Tab_Compteur_3[[#This Row],[Delta Jour]],"")</f>
        <v/>
      </c>
      <c r="H241" s="42"/>
      <c r="I241" s="42"/>
      <c r="J241" s="42"/>
      <c r="K241" s="42"/>
      <c r="L241" s="42"/>
    </row>
    <row r="242" spans="1:12" x14ac:dyDescent="0.25">
      <c r="A242" s="61">
        <f t="shared" si="7"/>
        <v>1</v>
      </c>
      <c r="B242" s="61">
        <f>EDATE($B$3,Site!$I$35*(ROW(Tab_Compteur_3[[#This Row],[Début de période]])-3))</f>
        <v>0</v>
      </c>
      <c r="C242" s="164"/>
      <c r="D242" s="165"/>
      <c r="E242">
        <f t="shared" si="6"/>
        <v>0</v>
      </c>
      <c r="F242" t="str">
        <f>IFERROR(Tab_Compteur_3[[#This Row],[Quantité]]/Tab_Compteur_3[[#This Row],[Delta Jour]],"")</f>
        <v/>
      </c>
      <c r="G242" t="str">
        <f>IFERROR(Tab_Compteur_3[[#This Row],[Montant TTC]]/Tab_Compteur_3[[#This Row],[Delta Jour]],"")</f>
        <v/>
      </c>
    </row>
  </sheetData>
  <sheetProtection sheet="1" objects="1" scenarios="1"/>
  <protectedRanges>
    <protectedRange sqref="A3:D3 A5:A103 C5:C103 B5:B242 A4:C4 D4:D242" name="Données_compteur3_1"/>
    <protectedRange sqref="A104:A242 C104:C242 H1:L1048576" name="Données_compteur3"/>
  </protectedRanges>
  <mergeCells count="1">
    <mergeCell ref="H7:L18"/>
  </mergeCells>
  <pageMargins left="0.7" right="0.7" top="0.75" bottom="0.75" header="0.3" footer="0.3"/>
  <pageSetup paperSize="9"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workbookViewId="0">
      <selection activeCell="C3" sqref="C3:D158"/>
    </sheetView>
  </sheetViews>
  <sheetFormatPr baseColWidth="10" defaultColWidth="0" defaultRowHeight="15" x14ac:dyDescent="0.25"/>
  <cols>
    <col min="1" max="1" width="11.42578125" customWidth="1"/>
    <col min="2" max="2" width="19.42578125" customWidth="1"/>
    <col min="3" max="3" width="13.85546875" customWidth="1"/>
    <col min="4" max="4" width="15.42578125" style="179" customWidth="1"/>
    <col min="5" max="7" width="11.42578125" hidden="1" customWidth="1"/>
    <col min="8" max="12" width="11.42578125" customWidth="1"/>
    <col min="13" max="16384" width="11.42578125" hidden="1"/>
  </cols>
  <sheetData>
    <row r="1" spans="1:12" x14ac:dyDescent="0.25">
      <c r="A1" s="63" t="s">
        <v>119</v>
      </c>
      <c r="B1" s="64" t="s">
        <v>28</v>
      </c>
      <c r="C1" s="64" t="s">
        <v>30</v>
      </c>
      <c r="D1" s="201" t="s">
        <v>29</v>
      </c>
      <c r="E1" s="32" t="s">
        <v>0</v>
      </c>
      <c r="F1" s="33" t="s">
        <v>31</v>
      </c>
      <c r="G1" s="34" t="s">
        <v>32</v>
      </c>
      <c r="H1" s="42"/>
      <c r="I1" s="42"/>
      <c r="J1" s="42"/>
      <c r="K1" s="42"/>
      <c r="L1" s="42"/>
    </row>
    <row r="2" spans="1:12" hidden="1" x14ac:dyDescent="0.25">
      <c r="A2" s="3"/>
      <c r="B2" s="61">
        <f t="shared" ref="B2" si="0">A3-1</f>
        <v>0</v>
      </c>
      <c r="C2" s="62"/>
      <c r="E2">
        <f t="shared" ref="E2:E65" si="1">IFERROR(B2-A2+1,"")</f>
        <v>1</v>
      </c>
      <c r="F2">
        <f>IFERROR(Tab_Compteur_4[[#This Row],[Quantité]]/Tab_Compteur_4[[#This Row],[Delta Jour]],"")</f>
        <v>0</v>
      </c>
      <c r="G2">
        <f>IFERROR(Tab_Compteur_4[[#This Row],[Montant TTC]]/Tab_Compteur_4[[#This Row],[Delta Jour]],"")</f>
        <v>0</v>
      </c>
      <c r="H2" s="42"/>
      <c r="I2" s="42"/>
      <c r="J2" s="42"/>
      <c r="K2" s="42"/>
      <c r="L2" s="42"/>
    </row>
    <row r="3" spans="1:12" x14ac:dyDescent="0.25">
      <c r="A3" s="3">
        <f>EDATE(B3,-Site!I37)+1</f>
        <v>1</v>
      </c>
      <c r="B3" s="3">
        <f>Site!H36</f>
        <v>0</v>
      </c>
      <c r="C3" s="291"/>
      <c r="E3">
        <f t="shared" si="1"/>
        <v>0</v>
      </c>
      <c r="F3" t="str">
        <f>IFERROR(Tab_Compteur_4[[#This Row],[Quantité]]/Tab_Compteur_4[[#This Row],[Delta Jour]],"")</f>
        <v/>
      </c>
      <c r="G3" t="str">
        <f>IFERROR(Tab_Compteur_4[[#This Row],[Montant TTC]]/Tab_Compteur_4[[#This Row],[Delta Jour]],"")</f>
        <v/>
      </c>
      <c r="H3" s="42"/>
      <c r="I3" s="42"/>
      <c r="J3" s="42"/>
      <c r="K3" s="42"/>
      <c r="L3" s="42"/>
    </row>
    <row r="4" spans="1:12" x14ac:dyDescent="0.25">
      <c r="A4" s="3">
        <f>B3+1</f>
        <v>1</v>
      </c>
      <c r="B4" s="3">
        <f>EDATE($B$3,Site!$I$36*(ROW(Tab_Compteur_4[[#This Row],[Début de période]])-3))</f>
        <v>0</v>
      </c>
      <c r="C4" s="291"/>
      <c r="E4">
        <f t="shared" si="1"/>
        <v>0</v>
      </c>
      <c r="F4" t="str">
        <f>IFERROR(Tab_Compteur_4[[#This Row],[Quantité]]/Tab_Compteur_4[[#This Row],[Delta Jour]],"")</f>
        <v/>
      </c>
      <c r="G4" t="str">
        <f>IFERROR(Tab_Compteur_4[[#This Row],[Montant TTC]]/Tab_Compteur_4[[#This Row],[Delta Jour]],"")</f>
        <v/>
      </c>
      <c r="H4" s="42"/>
      <c r="I4" s="42"/>
      <c r="J4" s="42"/>
      <c r="K4" s="42"/>
      <c r="L4" s="42"/>
    </row>
    <row r="5" spans="1:12" x14ac:dyDescent="0.25">
      <c r="A5" s="3">
        <f t="shared" ref="A5:A68" si="2">B4+1</f>
        <v>1</v>
      </c>
      <c r="B5" s="3">
        <f>EDATE($B$3,Site!$I$36*(ROW(Tab_Compteur_4[[#This Row],[Début de période]])-3))</f>
        <v>0</v>
      </c>
      <c r="C5" s="291"/>
      <c r="E5">
        <f t="shared" si="1"/>
        <v>0</v>
      </c>
      <c r="F5" t="str">
        <f>IFERROR(Tab_Compteur_4[[#This Row],[Quantité]]/Tab_Compteur_4[[#This Row],[Delta Jour]],"")</f>
        <v/>
      </c>
      <c r="G5" t="str">
        <f>IFERROR(Tab_Compteur_4[[#This Row],[Montant TTC]]/Tab_Compteur_4[[#This Row],[Delta Jour]],"")</f>
        <v/>
      </c>
      <c r="H5" s="42"/>
      <c r="I5" s="42"/>
      <c r="J5" s="42"/>
      <c r="K5" s="42"/>
      <c r="L5" s="42"/>
    </row>
    <row r="6" spans="1:12" x14ac:dyDescent="0.25">
      <c r="A6" s="3">
        <f t="shared" si="2"/>
        <v>1</v>
      </c>
      <c r="B6" s="3">
        <f>EDATE($B$3,Site!$I$36*(ROW(Tab_Compteur_4[[#This Row],[Début de période]])-3))</f>
        <v>0</v>
      </c>
      <c r="C6" s="291"/>
      <c r="E6">
        <f t="shared" si="1"/>
        <v>0</v>
      </c>
      <c r="F6" t="str">
        <f>IFERROR(Tab_Compteur_4[[#This Row],[Quantité]]/Tab_Compteur_4[[#This Row],[Delta Jour]],"")</f>
        <v/>
      </c>
      <c r="G6" t="str">
        <f>IFERROR(Tab_Compteur_4[[#This Row],[Montant TTC]]/Tab_Compteur_4[[#This Row],[Delta Jour]],"")</f>
        <v/>
      </c>
      <c r="H6" s="42"/>
      <c r="I6" s="42"/>
      <c r="J6" s="42"/>
      <c r="K6" s="42"/>
      <c r="L6" s="42"/>
    </row>
    <row r="7" spans="1:12" x14ac:dyDescent="0.25">
      <c r="A7" s="3">
        <f t="shared" si="2"/>
        <v>1</v>
      </c>
      <c r="B7" s="3">
        <f>EDATE($B$3,Site!$I$36*(ROW(Tab_Compteur_4[[#This Row],[Début de période]])-3))</f>
        <v>0</v>
      </c>
      <c r="C7" s="291"/>
      <c r="E7">
        <f t="shared" si="1"/>
        <v>0</v>
      </c>
      <c r="F7" t="str">
        <f>IFERROR(Tab_Compteur_4[[#This Row],[Quantité]]/Tab_Compteur_4[[#This Row],[Delta Jour]],"")</f>
        <v/>
      </c>
      <c r="G7" t="str">
        <f>IFERROR(Tab_Compteur_4[[#This Row],[Montant TTC]]/Tab_Compteur_4[[#This Row],[Delta Jour]],"")</f>
        <v/>
      </c>
      <c r="H7" s="356" t="str">
        <f>Compteur_1!H9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I7" s="357"/>
      <c r="J7" s="357"/>
      <c r="K7" s="357"/>
      <c r="L7" s="357"/>
    </row>
    <row r="8" spans="1:12" x14ac:dyDescent="0.25">
      <c r="A8" s="3">
        <f t="shared" si="2"/>
        <v>1</v>
      </c>
      <c r="B8" s="3">
        <f>EDATE($B$3,Site!$I$36*(ROW(Tab_Compteur_4[[#This Row],[Début de période]])-3))</f>
        <v>0</v>
      </c>
      <c r="C8" s="291"/>
      <c r="E8">
        <f t="shared" si="1"/>
        <v>0</v>
      </c>
      <c r="F8" t="str">
        <f>IFERROR(Tab_Compteur_4[[#This Row],[Quantité]]/Tab_Compteur_4[[#This Row],[Delta Jour]],"")</f>
        <v/>
      </c>
      <c r="G8" t="str">
        <f>IFERROR(Tab_Compteur_4[[#This Row],[Montant TTC]]/Tab_Compteur_4[[#This Row],[Delta Jour]],"")</f>
        <v/>
      </c>
      <c r="H8" s="357"/>
      <c r="I8" s="357"/>
      <c r="J8" s="357"/>
      <c r="K8" s="357"/>
      <c r="L8" s="357"/>
    </row>
    <row r="9" spans="1:12" x14ac:dyDescent="0.25">
      <c r="A9" s="3">
        <f t="shared" si="2"/>
        <v>1</v>
      </c>
      <c r="B9" s="3">
        <f>EDATE($B$3,Site!$I$36*(ROW(Tab_Compteur_4[[#This Row],[Début de période]])-3))</f>
        <v>0</v>
      </c>
      <c r="C9" s="291"/>
      <c r="E9">
        <f t="shared" si="1"/>
        <v>0</v>
      </c>
      <c r="F9" t="str">
        <f>IFERROR(Tab_Compteur_4[[#This Row],[Quantité]]/Tab_Compteur_4[[#This Row],[Delta Jour]],"")</f>
        <v/>
      </c>
      <c r="G9" t="str">
        <f>IFERROR(Tab_Compteur_4[[#This Row],[Montant TTC]]/Tab_Compteur_4[[#This Row],[Delta Jour]],"")</f>
        <v/>
      </c>
      <c r="H9" s="357"/>
      <c r="I9" s="357"/>
      <c r="J9" s="357"/>
      <c r="K9" s="357"/>
      <c r="L9" s="357"/>
    </row>
    <row r="10" spans="1:12" x14ac:dyDescent="0.25">
      <c r="A10" s="3">
        <f t="shared" si="2"/>
        <v>1</v>
      </c>
      <c r="B10" s="3">
        <f>EDATE($B$3,Site!$I$36*(ROW(Tab_Compteur_4[[#This Row],[Début de période]])-3))</f>
        <v>0</v>
      </c>
      <c r="C10" s="291"/>
      <c r="E10">
        <f t="shared" si="1"/>
        <v>0</v>
      </c>
      <c r="F10" t="str">
        <f>IFERROR(Tab_Compteur_4[[#This Row],[Quantité]]/Tab_Compteur_4[[#This Row],[Delta Jour]],"")</f>
        <v/>
      </c>
      <c r="G10" t="str">
        <f>IFERROR(Tab_Compteur_4[[#This Row],[Montant TTC]]/Tab_Compteur_4[[#This Row],[Delta Jour]],"")</f>
        <v/>
      </c>
      <c r="H10" s="357"/>
      <c r="I10" s="357"/>
      <c r="J10" s="357"/>
      <c r="K10" s="357"/>
      <c r="L10" s="357"/>
    </row>
    <row r="11" spans="1:12" x14ac:dyDescent="0.25">
      <c r="A11" s="3">
        <f t="shared" si="2"/>
        <v>1</v>
      </c>
      <c r="B11" s="3">
        <f>EDATE($B$3,Site!$I$36*(ROW(Tab_Compteur_4[[#This Row],[Début de période]])-3))</f>
        <v>0</v>
      </c>
      <c r="C11" s="291"/>
      <c r="E11">
        <f t="shared" si="1"/>
        <v>0</v>
      </c>
      <c r="F11" t="str">
        <f>IFERROR(Tab_Compteur_4[[#This Row],[Quantité]]/Tab_Compteur_4[[#This Row],[Delta Jour]],"")</f>
        <v/>
      </c>
      <c r="G11" t="str">
        <f>IFERROR(Tab_Compteur_4[[#This Row],[Montant TTC]]/Tab_Compteur_4[[#This Row],[Delta Jour]],"")</f>
        <v/>
      </c>
      <c r="H11" s="357"/>
      <c r="I11" s="357"/>
      <c r="J11" s="357"/>
      <c r="K11" s="357"/>
      <c r="L11" s="357"/>
    </row>
    <row r="12" spans="1:12" x14ac:dyDescent="0.25">
      <c r="A12" s="3">
        <f t="shared" si="2"/>
        <v>1</v>
      </c>
      <c r="B12" s="3">
        <f>EDATE($B$3,Site!$I$36*(ROW(Tab_Compteur_4[[#This Row],[Début de période]])-3))</f>
        <v>0</v>
      </c>
      <c r="C12" s="291"/>
      <c r="E12">
        <f t="shared" si="1"/>
        <v>0</v>
      </c>
      <c r="F12" t="str">
        <f>IFERROR(Tab_Compteur_4[[#This Row],[Quantité]]/Tab_Compteur_4[[#This Row],[Delta Jour]],"")</f>
        <v/>
      </c>
      <c r="G12" t="str">
        <f>IFERROR(Tab_Compteur_4[[#This Row],[Montant TTC]]/Tab_Compteur_4[[#This Row],[Delta Jour]],"")</f>
        <v/>
      </c>
      <c r="H12" s="357"/>
      <c r="I12" s="357"/>
      <c r="J12" s="357"/>
      <c r="K12" s="357"/>
      <c r="L12" s="357"/>
    </row>
    <row r="13" spans="1:12" x14ac:dyDescent="0.25">
      <c r="A13" s="3">
        <f t="shared" si="2"/>
        <v>1</v>
      </c>
      <c r="B13" s="3">
        <f>EDATE($B$3,Site!$I$36*(ROW(Tab_Compteur_4[[#This Row],[Début de période]])-3))</f>
        <v>0</v>
      </c>
      <c r="C13" s="291"/>
      <c r="E13">
        <f t="shared" si="1"/>
        <v>0</v>
      </c>
      <c r="F13" t="str">
        <f>IFERROR(Tab_Compteur_4[[#This Row],[Quantité]]/Tab_Compteur_4[[#This Row],[Delta Jour]],"")</f>
        <v/>
      </c>
      <c r="G13" t="str">
        <f>IFERROR(Tab_Compteur_4[[#This Row],[Montant TTC]]/Tab_Compteur_4[[#This Row],[Delta Jour]],"")</f>
        <v/>
      </c>
      <c r="H13" s="357"/>
      <c r="I13" s="357"/>
      <c r="J13" s="357"/>
      <c r="K13" s="357"/>
      <c r="L13" s="357"/>
    </row>
    <row r="14" spans="1:12" x14ac:dyDescent="0.25">
      <c r="A14" s="3">
        <f t="shared" si="2"/>
        <v>1</v>
      </c>
      <c r="B14" s="3">
        <f>EDATE($B$3,Site!$I$36*(ROW(Tab_Compteur_4[[#This Row],[Début de période]])-3))</f>
        <v>0</v>
      </c>
      <c r="C14" s="291"/>
      <c r="E14">
        <f t="shared" si="1"/>
        <v>0</v>
      </c>
      <c r="F14" t="str">
        <f>IFERROR(Tab_Compteur_4[[#This Row],[Quantité]]/Tab_Compteur_4[[#This Row],[Delta Jour]],"")</f>
        <v/>
      </c>
      <c r="G14" t="str">
        <f>IFERROR(Tab_Compteur_4[[#This Row],[Montant TTC]]/Tab_Compteur_4[[#This Row],[Delta Jour]],"")</f>
        <v/>
      </c>
      <c r="H14" s="357"/>
      <c r="I14" s="357"/>
      <c r="J14" s="357"/>
      <c r="K14" s="357"/>
      <c r="L14" s="357"/>
    </row>
    <row r="15" spans="1:12" x14ac:dyDescent="0.25">
      <c r="A15" s="3">
        <f t="shared" si="2"/>
        <v>1</v>
      </c>
      <c r="B15" s="3">
        <f>EDATE($B$3,Site!$I$36*(ROW(Tab_Compteur_4[[#This Row],[Début de période]])-3))</f>
        <v>0</v>
      </c>
      <c r="C15" s="291"/>
      <c r="E15">
        <f t="shared" si="1"/>
        <v>0</v>
      </c>
      <c r="F15" t="str">
        <f>IFERROR(Tab_Compteur_4[[#This Row],[Quantité]]/Tab_Compteur_4[[#This Row],[Delta Jour]],"")</f>
        <v/>
      </c>
      <c r="G15" t="str">
        <f>IFERROR(Tab_Compteur_4[[#This Row],[Montant TTC]]/Tab_Compteur_4[[#This Row],[Delta Jour]],"")</f>
        <v/>
      </c>
      <c r="H15" s="357"/>
      <c r="I15" s="357"/>
      <c r="J15" s="357"/>
      <c r="K15" s="357"/>
      <c r="L15" s="357"/>
    </row>
    <row r="16" spans="1:12" x14ac:dyDescent="0.25">
      <c r="A16" s="3">
        <f t="shared" si="2"/>
        <v>1</v>
      </c>
      <c r="B16" s="3">
        <f>EDATE($B$3,Site!$I$36*(ROW(Tab_Compteur_4[[#This Row],[Début de période]])-3))</f>
        <v>0</v>
      </c>
      <c r="C16" s="291"/>
      <c r="E16">
        <f t="shared" si="1"/>
        <v>0</v>
      </c>
      <c r="F16" t="str">
        <f>IFERROR(Tab_Compteur_4[[#This Row],[Quantité]]/Tab_Compteur_4[[#This Row],[Delta Jour]],"")</f>
        <v/>
      </c>
      <c r="G16" t="str">
        <f>IFERROR(Tab_Compteur_4[[#This Row],[Montant TTC]]/Tab_Compteur_4[[#This Row],[Delta Jour]],"")</f>
        <v/>
      </c>
      <c r="H16" s="357"/>
      <c r="I16" s="357"/>
      <c r="J16" s="357"/>
      <c r="K16" s="357"/>
      <c r="L16" s="357"/>
    </row>
    <row r="17" spans="1:12" x14ac:dyDescent="0.25">
      <c r="A17" s="3">
        <f t="shared" si="2"/>
        <v>1</v>
      </c>
      <c r="B17" s="3">
        <f>EDATE($B$3,Site!$I$36*(ROW(Tab_Compteur_4[[#This Row],[Début de période]])-3))</f>
        <v>0</v>
      </c>
      <c r="C17" s="185"/>
      <c r="E17">
        <f t="shared" si="1"/>
        <v>0</v>
      </c>
      <c r="F17" t="str">
        <f>IFERROR(Tab_Compteur_4[[#This Row],[Quantité]]/Tab_Compteur_4[[#This Row],[Delta Jour]],"")</f>
        <v/>
      </c>
      <c r="G17" t="str">
        <f>IFERROR(Tab_Compteur_4[[#This Row],[Montant TTC]]/Tab_Compteur_4[[#This Row],[Delta Jour]],"")</f>
        <v/>
      </c>
      <c r="H17" s="357"/>
      <c r="I17" s="357"/>
      <c r="J17" s="357"/>
      <c r="K17" s="357"/>
      <c r="L17" s="357"/>
    </row>
    <row r="18" spans="1:12" x14ac:dyDescent="0.25">
      <c r="A18" s="3">
        <f t="shared" si="2"/>
        <v>1</v>
      </c>
      <c r="B18" s="3">
        <f>EDATE($B$3,Site!$I$36*(ROW(Tab_Compteur_4[[#This Row],[Début de période]])-3))</f>
        <v>0</v>
      </c>
      <c r="C18" s="292"/>
      <c r="D18" s="202"/>
      <c r="E18">
        <f t="shared" si="1"/>
        <v>0</v>
      </c>
      <c r="F18" t="str">
        <f>IFERROR(Tab_Compteur_4[[#This Row],[Quantité]]/Tab_Compteur_4[[#This Row],[Delta Jour]],"")</f>
        <v/>
      </c>
      <c r="G18" t="str">
        <f>IFERROR(Tab_Compteur_4[[#This Row],[Montant TTC]]/Tab_Compteur_4[[#This Row],[Delta Jour]],"")</f>
        <v/>
      </c>
      <c r="H18" s="357"/>
      <c r="I18" s="357"/>
      <c r="J18" s="357"/>
      <c r="K18" s="357"/>
      <c r="L18" s="357"/>
    </row>
    <row r="19" spans="1:12" x14ac:dyDescent="0.25">
      <c r="A19" s="3">
        <f t="shared" si="2"/>
        <v>1</v>
      </c>
      <c r="B19" s="3">
        <f>EDATE($B$3,Site!$I$36*(ROW(Tab_Compteur_4[[#This Row],[Début de période]])-3))</f>
        <v>0</v>
      </c>
      <c r="C19" s="187"/>
      <c r="D19" s="202"/>
      <c r="E19">
        <f t="shared" si="1"/>
        <v>0</v>
      </c>
      <c r="F19" t="str">
        <f>IFERROR(Tab_Compteur_4[[#This Row],[Quantité]]/Tab_Compteur_4[[#This Row],[Delta Jour]],"")</f>
        <v/>
      </c>
      <c r="G19" t="str">
        <f>IFERROR(Tab_Compteur_4[[#This Row],[Montant TTC]]/Tab_Compteur_4[[#This Row],[Delta Jour]],"")</f>
        <v/>
      </c>
      <c r="H19" s="42"/>
      <c r="I19" s="42"/>
      <c r="J19" s="42"/>
      <c r="K19" s="42"/>
      <c r="L19" s="42"/>
    </row>
    <row r="20" spans="1:12" x14ac:dyDescent="0.25">
      <c r="A20" s="3">
        <f t="shared" si="2"/>
        <v>1</v>
      </c>
      <c r="B20" s="3">
        <f>EDATE($B$3,Site!$I$36*(ROW(Tab_Compteur_4[[#This Row],[Début de période]])-3))</f>
        <v>0</v>
      </c>
      <c r="C20" s="187"/>
      <c r="D20" s="202"/>
      <c r="E20">
        <f t="shared" si="1"/>
        <v>0</v>
      </c>
      <c r="F20" t="str">
        <f>IFERROR(Tab_Compteur_4[[#This Row],[Quantité]]/Tab_Compteur_4[[#This Row],[Delta Jour]],"")</f>
        <v/>
      </c>
      <c r="G20" t="str">
        <f>IFERROR(Tab_Compteur_4[[#This Row],[Montant TTC]]/Tab_Compteur_4[[#This Row],[Delta Jour]],"")</f>
        <v/>
      </c>
      <c r="H20" s="42"/>
      <c r="I20" s="42"/>
      <c r="J20" s="42"/>
      <c r="K20" s="42"/>
      <c r="L20" s="42"/>
    </row>
    <row r="21" spans="1:12" x14ac:dyDescent="0.25">
      <c r="A21" s="3">
        <f t="shared" si="2"/>
        <v>1</v>
      </c>
      <c r="B21" s="3">
        <f>EDATE($B$3,Site!$I$36*(ROW(Tab_Compteur_4[[#This Row],[Début de période]])-3))</f>
        <v>0</v>
      </c>
      <c r="C21" s="187"/>
      <c r="D21" s="202"/>
      <c r="E21">
        <f t="shared" si="1"/>
        <v>0</v>
      </c>
      <c r="F21" t="str">
        <f>IFERROR(Tab_Compteur_4[[#This Row],[Quantité]]/Tab_Compteur_4[[#This Row],[Delta Jour]],"")</f>
        <v/>
      </c>
      <c r="G21" t="str">
        <f>IFERROR(Tab_Compteur_4[[#This Row],[Montant TTC]]/Tab_Compteur_4[[#This Row],[Delta Jour]],"")</f>
        <v/>
      </c>
      <c r="H21" s="42"/>
      <c r="I21" s="42"/>
      <c r="J21" s="42"/>
      <c r="K21" s="42"/>
      <c r="L21" s="42"/>
    </row>
    <row r="22" spans="1:12" x14ac:dyDescent="0.25">
      <c r="A22" s="3">
        <f t="shared" si="2"/>
        <v>1</v>
      </c>
      <c r="B22" s="3">
        <f>EDATE($B$3,Site!$I$36*(ROW(Tab_Compteur_4[[#This Row],[Début de période]])-3))</f>
        <v>0</v>
      </c>
      <c r="C22" s="187"/>
      <c r="D22" s="202"/>
      <c r="E22">
        <f t="shared" si="1"/>
        <v>0</v>
      </c>
      <c r="F22" t="str">
        <f>IFERROR(Tab_Compteur_4[[#This Row],[Quantité]]/Tab_Compteur_4[[#This Row],[Delta Jour]],"")</f>
        <v/>
      </c>
      <c r="G22" t="str">
        <f>IFERROR(Tab_Compteur_4[[#This Row],[Montant TTC]]/Tab_Compteur_4[[#This Row],[Delta Jour]],"")</f>
        <v/>
      </c>
      <c r="H22" s="42"/>
      <c r="I22" s="42"/>
      <c r="J22" s="42"/>
      <c r="K22" s="42"/>
      <c r="L22" s="42"/>
    </row>
    <row r="23" spans="1:12" x14ac:dyDescent="0.25">
      <c r="A23" s="3">
        <f t="shared" si="2"/>
        <v>1</v>
      </c>
      <c r="B23" s="3">
        <f>EDATE($B$3,Site!$I$36*(ROW(Tab_Compteur_4[[#This Row],[Début de période]])-3))</f>
        <v>0</v>
      </c>
      <c r="C23" s="187"/>
      <c r="D23" s="202"/>
      <c r="E23">
        <f t="shared" si="1"/>
        <v>0</v>
      </c>
      <c r="F23" t="str">
        <f>IFERROR(Tab_Compteur_4[[#This Row],[Quantité]]/Tab_Compteur_4[[#This Row],[Delta Jour]],"")</f>
        <v/>
      </c>
      <c r="G23" t="str">
        <f>IFERROR(Tab_Compteur_4[[#This Row],[Montant TTC]]/Tab_Compteur_4[[#This Row],[Delta Jour]],"")</f>
        <v/>
      </c>
      <c r="H23" s="42"/>
      <c r="I23" s="42"/>
      <c r="J23" s="42"/>
      <c r="K23" s="42"/>
      <c r="L23" s="42"/>
    </row>
    <row r="24" spans="1:12" x14ac:dyDescent="0.25">
      <c r="A24" s="3">
        <f t="shared" si="2"/>
        <v>1</v>
      </c>
      <c r="B24" s="3">
        <f>EDATE($B$3,Site!$I$36*(ROW(Tab_Compteur_4[[#This Row],[Début de période]])-3))</f>
        <v>0</v>
      </c>
      <c r="C24" s="187"/>
      <c r="D24" s="202"/>
      <c r="E24">
        <f t="shared" si="1"/>
        <v>0</v>
      </c>
      <c r="F24" t="str">
        <f>IFERROR(Tab_Compteur_4[[#This Row],[Quantité]]/Tab_Compteur_4[[#This Row],[Delta Jour]],"")</f>
        <v/>
      </c>
      <c r="G24" t="str">
        <f>IFERROR(Tab_Compteur_4[[#This Row],[Montant TTC]]/Tab_Compteur_4[[#This Row],[Delta Jour]],"")</f>
        <v/>
      </c>
      <c r="H24" s="42"/>
      <c r="I24" s="42"/>
      <c r="J24" s="42"/>
      <c r="K24" s="42"/>
      <c r="L24" s="42"/>
    </row>
    <row r="25" spans="1:12" x14ac:dyDescent="0.25">
      <c r="A25" s="3">
        <f t="shared" si="2"/>
        <v>1</v>
      </c>
      <c r="B25" s="3">
        <f>EDATE($B$3,Site!$I$36*(ROW(Tab_Compteur_4[[#This Row],[Début de période]])-3))</f>
        <v>0</v>
      </c>
      <c r="C25" s="187"/>
      <c r="D25" s="202"/>
      <c r="E25">
        <f t="shared" si="1"/>
        <v>0</v>
      </c>
      <c r="F25" t="str">
        <f>IFERROR(Tab_Compteur_4[[#This Row],[Quantité]]/Tab_Compteur_4[[#This Row],[Delta Jour]],"")</f>
        <v/>
      </c>
      <c r="G25" t="str">
        <f>IFERROR(Tab_Compteur_4[[#This Row],[Montant TTC]]/Tab_Compteur_4[[#This Row],[Delta Jour]],"")</f>
        <v/>
      </c>
      <c r="H25" s="42"/>
      <c r="I25" s="42"/>
      <c r="J25" s="42"/>
      <c r="K25" s="42"/>
      <c r="L25" s="42"/>
    </row>
    <row r="26" spans="1:12" x14ac:dyDescent="0.25">
      <c r="A26" s="3">
        <f t="shared" si="2"/>
        <v>1</v>
      </c>
      <c r="B26" s="3">
        <f>EDATE($B$3,Site!$I$36*(ROW(Tab_Compteur_4[[#This Row],[Début de période]])-3))</f>
        <v>0</v>
      </c>
      <c r="C26" s="187"/>
      <c r="D26" s="202"/>
      <c r="E26">
        <f t="shared" si="1"/>
        <v>0</v>
      </c>
      <c r="F26" t="str">
        <f>IFERROR(Tab_Compteur_4[[#This Row],[Quantité]]/Tab_Compteur_4[[#This Row],[Delta Jour]],"")</f>
        <v/>
      </c>
      <c r="G26" t="str">
        <f>IFERROR(Tab_Compteur_4[[#This Row],[Montant TTC]]/Tab_Compteur_4[[#This Row],[Delta Jour]],"")</f>
        <v/>
      </c>
      <c r="H26" s="42"/>
      <c r="I26" s="42"/>
      <c r="J26" s="42"/>
      <c r="K26" s="42"/>
      <c r="L26" s="42"/>
    </row>
    <row r="27" spans="1:12" x14ac:dyDescent="0.25">
      <c r="A27" s="3">
        <f t="shared" si="2"/>
        <v>1</v>
      </c>
      <c r="B27" s="3">
        <f>EDATE($B$3,Site!$I$36*(ROW(Tab_Compteur_4[[#This Row],[Début de période]])-3))</f>
        <v>0</v>
      </c>
      <c r="C27" s="187"/>
      <c r="D27" s="202"/>
      <c r="E27">
        <f t="shared" si="1"/>
        <v>0</v>
      </c>
      <c r="F27" t="str">
        <f>IFERROR(Tab_Compteur_4[[#This Row],[Quantité]]/Tab_Compteur_4[[#This Row],[Delta Jour]],"")</f>
        <v/>
      </c>
      <c r="G27" t="str">
        <f>IFERROR(Tab_Compteur_4[[#This Row],[Montant TTC]]/Tab_Compteur_4[[#This Row],[Delta Jour]],"")</f>
        <v/>
      </c>
      <c r="H27" s="42"/>
      <c r="I27" s="42"/>
      <c r="J27" s="42"/>
      <c r="K27" s="42"/>
      <c r="L27" s="42"/>
    </row>
    <row r="28" spans="1:12" x14ac:dyDescent="0.25">
      <c r="A28" s="3">
        <f t="shared" si="2"/>
        <v>1</v>
      </c>
      <c r="B28" s="3">
        <f>EDATE($B$3,Site!$I$36*(ROW(Tab_Compteur_4[[#This Row],[Début de période]])-3))</f>
        <v>0</v>
      </c>
      <c r="C28" s="292"/>
      <c r="D28" s="202"/>
      <c r="E28">
        <f t="shared" si="1"/>
        <v>0</v>
      </c>
      <c r="F28" t="str">
        <f>IFERROR(Tab_Compteur_4[[#This Row],[Quantité]]/Tab_Compteur_4[[#This Row],[Delta Jour]],"")</f>
        <v/>
      </c>
      <c r="G28" t="str">
        <f>IFERROR(Tab_Compteur_4[[#This Row],[Montant TTC]]/Tab_Compteur_4[[#This Row],[Delta Jour]],"")</f>
        <v/>
      </c>
      <c r="H28" s="42"/>
      <c r="I28" s="42"/>
      <c r="J28" s="42"/>
      <c r="K28" s="42"/>
      <c r="L28" s="42"/>
    </row>
    <row r="29" spans="1:12" x14ac:dyDescent="0.25">
      <c r="A29" s="3">
        <f t="shared" si="2"/>
        <v>1</v>
      </c>
      <c r="B29" s="3">
        <f>EDATE($B$3,Site!$I$36*(ROW(Tab_Compteur_4[[#This Row],[Début de période]])-3))</f>
        <v>0</v>
      </c>
      <c r="C29" s="292"/>
      <c r="D29" s="202"/>
      <c r="E29">
        <f t="shared" si="1"/>
        <v>0</v>
      </c>
      <c r="F29" t="str">
        <f>IFERROR(Tab_Compteur_4[[#This Row],[Quantité]]/Tab_Compteur_4[[#This Row],[Delta Jour]],"")</f>
        <v/>
      </c>
      <c r="G29" t="str">
        <f>IFERROR(Tab_Compteur_4[[#This Row],[Montant TTC]]/Tab_Compteur_4[[#This Row],[Delta Jour]],"")</f>
        <v/>
      </c>
      <c r="H29" s="42"/>
      <c r="I29" s="42"/>
      <c r="J29" s="42"/>
      <c r="K29" s="42"/>
      <c r="L29" s="42"/>
    </row>
    <row r="30" spans="1:12" x14ac:dyDescent="0.25">
      <c r="A30" s="3">
        <f t="shared" si="2"/>
        <v>1</v>
      </c>
      <c r="B30" s="3">
        <f>EDATE($B$3,Site!$I$36*(ROW(Tab_Compteur_4[[#This Row],[Début de période]])-3))</f>
        <v>0</v>
      </c>
      <c r="C30" s="292"/>
      <c r="D30" s="202"/>
      <c r="E30">
        <f t="shared" si="1"/>
        <v>0</v>
      </c>
      <c r="F30" t="str">
        <f>IFERROR(Tab_Compteur_4[[#This Row],[Quantité]]/Tab_Compteur_4[[#This Row],[Delta Jour]],"")</f>
        <v/>
      </c>
      <c r="G30" t="str">
        <f>IFERROR(Tab_Compteur_4[[#This Row],[Montant TTC]]/Tab_Compteur_4[[#This Row],[Delta Jour]],"")</f>
        <v/>
      </c>
      <c r="H30" s="42"/>
      <c r="I30" s="42"/>
      <c r="J30" s="42"/>
      <c r="K30" s="42"/>
      <c r="L30" s="42"/>
    </row>
    <row r="31" spans="1:12" x14ac:dyDescent="0.25">
      <c r="A31" s="3">
        <f t="shared" si="2"/>
        <v>1</v>
      </c>
      <c r="B31" s="3">
        <f>EDATE($B$3,Site!$I$36*(ROW(Tab_Compteur_4[[#This Row],[Début de période]])-3))</f>
        <v>0</v>
      </c>
      <c r="C31" s="187"/>
      <c r="D31" s="202"/>
      <c r="E31">
        <f t="shared" si="1"/>
        <v>0</v>
      </c>
      <c r="F31" t="str">
        <f>IFERROR(Tab_Compteur_4[[#This Row],[Quantité]]/Tab_Compteur_4[[#This Row],[Delta Jour]],"")</f>
        <v/>
      </c>
      <c r="G31" t="str">
        <f>IFERROR(Tab_Compteur_4[[#This Row],[Montant TTC]]/Tab_Compteur_4[[#This Row],[Delta Jour]],"")</f>
        <v/>
      </c>
      <c r="H31" s="42"/>
      <c r="I31" s="42"/>
      <c r="J31" s="42"/>
      <c r="K31" s="42"/>
      <c r="L31" s="42"/>
    </row>
    <row r="32" spans="1:12" x14ac:dyDescent="0.25">
      <c r="A32" s="3">
        <f t="shared" si="2"/>
        <v>1</v>
      </c>
      <c r="B32" s="3">
        <f>EDATE($B$3,Site!$I$36*(ROW(Tab_Compteur_4[[#This Row],[Début de période]])-3))</f>
        <v>0</v>
      </c>
      <c r="C32" s="187"/>
      <c r="D32" s="202"/>
      <c r="E32">
        <f t="shared" si="1"/>
        <v>0</v>
      </c>
      <c r="F32" t="str">
        <f>IFERROR(Tab_Compteur_4[[#This Row],[Quantité]]/Tab_Compteur_4[[#This Row],[Delta Jour]],"")</f>
        <v/>
      </c>
      <c r="G32" t="str">
        <f>IFERROR(Tab_Compteur_4[[#This Row],[Montant TTC]]/Tab_Compteur_4[[#This Row],[Delta Jour]],"")</f>
        <v/>
      </c>
      <c r="H32" s="42"/>
      <c r="I32" s="42"/>
      <c r="J32" s="42"/>
      <c r="K32" s="42"/>
      <c r="L32" s="42"/>
    </row>
    <row r="33" spans="1:12" x14ac:dyDescent="0.25">
      <c r="A33" s="3">
        <f t="shared" si="2"/>
        <v>1</v>
      </c>
      <c r="B33" s="3">
        <f>EDATE($B$3,Site!$I$36*(ROW(Tab_Compteur_4[[#This Row],[Début de période]])-3))</f>
        <v>0</v>
      </c>
      <c r="C33" s="187"/>
      <c r="D33" s="202"/>
      <c r="E33">
        <f t="shared" si="1"/>
        <v>0</v>
      </c>
      <c r="F33" t="str">
        <f>IFERROR(Tab_Compteur_4[[#This Row],[Quantité]]/Tab_Compteur_4[[#This Row],[Delta Jour]],"")</f>
        <v/>
      </c>
      <c r="G33" t="str">
        <f>IFERROR(Tab_Compteur_4[[#This Row],[Montant TTC]]/Tab_Compteur_4[[#This Row],[Delta Jour]],"")</f>
        <v/>
      </c>
      <c r="H33" s="42"/>
      <c r="I33" s="42"/>
      <c r="J33" s="42"/>
      <c r="K33" s="42"/>
      <c r="L33" s="42"/>
    </row>
    <row r="34" spans="1:12" x14ac:dyDescent="0.25">
      <c r="A34" s="3">
        <f t="shared" si="2"/>
        <v>1</v>
      </c>
      <c r="B34" s="3">
        <f>EDATE($B$3,Site!$I$36*(ROW(Tab_Compteur_4[[#This Row],[Début de période]])-3))</f>
        <v>0</v>
      </c>
      <c r="C34" s="187"/>
      <c r="D34" s="202"/>
      <c r="E34">
        <f t="shared" si="1"/>
        <v>0</v>
      </c>
      <c r="F34" t="str">
        <f>IFERROR(Tab_Compteur_4[[#This Row],[Quantité]]/Tab_Compteur_4[[#This Row],[Delta Jour]],"")</f>
        <v/>
      </c>
      <c r="G34" t="str">
        <f>IFERROR(Tab_Compteur_4[[#This Row],[Montant TTC]]/Tab_Compteur_4[[#This Row],[Delta Jour]],"")</f>
        <v/>
      </c>
      <c r="H34" s="42"/>
      <c r="I34" s="42"/>
      <c r="J34" s="42"/>
      <c r="K34" s="42"/>
      <c r="L34" s="42"/>
    </row>
    <row r="35" spans="1:12" x14ac:dyDescent="0.25">
      <c r="A35" s="3">
        <f t="shared" si="2"/>
        <v>1</v>
      </c>
      <c r="B35" s="3">
        <f>EDATE($B$3,Site!$I$36*(ROW(Tab_Compteur_4[[#This Row],[Début de période]])-3))</f>
        <v>0</v>
      </c>
      <c r="C35" s="187"/>
      <c r="D35" s="202"/>
      <c r="E35">
        <f t="shared" si="1"/>
        <v>0</v>
      </c>
      <c r="F35" t="str">
        <f>IFERROR(Tab_Compteur_4[[#This Row],[Quantité]]/Tab_Compteur_4[[#This Row],[Delta Jour]],"")</f>
        <v/>
      </c>
      <c r="G35" t="str">
        <f>IFERROR(Tab_Compteur_4[[#This Row],[Montant TTC]]/Tab_Compteur_4[[#This Row],[Delta Jour]],"")</f>
        <v/>
      </c>
      <c r="H35" s="42"/>
      <c r="I35" s="42"/>
      <c r="J35" s="42"/>
      <c r="K35" s="42"/>
      <c r="L35" s="42"/>
    </row>
    <row r="36" spans="1:12" x14ac:dyDescent="0.25">
      <c r="A36" s="3">
        <f t="shared" si="2"/>
        <v>1</v>
      </c>
      <c r="B36" s="3">
        <f>EDATE($B$3,Site!$I$36*(ROW(Tab_Compteur_4[[#This Row],[Début de période]])-3))</f>
        <v>0</v>
      </c>
      <c r="C36" s="187"/>
      <c r="D36" s="202"/>
      <c r="E36">
        <f t="shared" si="1"/>
        <v>0</v>
      </c>
      <c r="F36" t="str">
        <f>IFERROR(Tab_Compteur_4[[#This Row],[Quantité]]/Tab_Compteur_4[[#This Row],[Delta Jour]],"")</f>
        <v/>
      </c>
      <c r="G36" t="str">
        <f>IFERROR(Tab_Compteur_4[[#This Row],[Montant TTC]]/Tab_Compteur_4[[#This Row],[Delta Jour]],"")</f>
        <v/>
      </c>
      <c r="H36" s="42"/>
      <c r="I36" s="42"/>
      <c r="J36" s="42"/>
      <c r="K36" s="42"/>
      <c r="L36" s="42"/>
    </row>
    <row r="37" spans="1:12" x14ac:dyDescent="0.25">
      <c r="A37" s="3">
        <f t="shared" si="2"/>
        <v>1</v>
      </c>
      <c r="B37" s="3">
        <f>EDATE($B$3,Site!$I$36*(ROW(Tab_Compteur_4[[#This Row],[Début de période]])-3))</f>
        <v>0</v>
      </c>
      <c r="C37" s="187"/>
      <c r="D37" s="202"/>
      <c r="E37">
        <f t="shared" si="1"/>
        <v>0</v>
      </c>
      <c r="F37" t="str">
        <f>IFERROR(Tab_Compteur_4[[#This Row],[Quantité]]/Tab_Compteur_4[[#This Row],[Delta Jour]],"")</f>
        <v/>
      </c>
      <c r="G37" t="str">
        <f>IFERROR(Tab_Compteur_4[[#This Row],[Montant TTC]]/Tab_Compteur_4[[#This Row],[Delta Jour]],"")</f>
        <v/>
      </c>
      <c r="H37" s="42"/>
      <c r="I37" s="42"/>
      <c r="J37" s="42"/>
      <c r="K37" s="42"/>
      <c r="L37" s="42"/>
    </row>
    <row r="38" spans="1:12" x14ac:dyDescent="0.25">
      <c r="A38" s="3">
        <f t="shared" si="2"/>
        <v>1</v>
      </c>
      <c r="B38" s="3">
        <f>EDATE($B$3,Site!$I$36*(ROW(Tab_Compteur_4[[#This Row],[Début de période]])-3))</f>
        <v>0</v>
      </c>
      <c r="C38" s="187"/>
      <c r="D38" s="203"/>
      <c r="E38">
        <f t="shared" si="1"/>
        <v>0</v>
      </c>
      <c r="F38" t="str">
        <f>IFERROR(Tab_Compteur_4[[#This Row],[Quantité]]/Tab_Compteur_4[[#This Row],[Delta Jour]],"")</f>
        <v/>
      </c>
      <c r="G38" t="str">
        <f>IFERROR(Tab_Compteur_4[[#This Row],[Montant TTC]]/Tab_Compteur_4[[#This Row],[Delta Jour]],"")</f>
        <v/>
      </c>
      <c r="H38" s="42"/>
      <c r="I38" s="42"/>
      <c r="J38" s="42"/>
      <c r="K38" s="42"/>
      <c r="L38" s="42"/>
    </row>
    <row r="39" spans="1:12" x14ac:dyDescent="0.25">
      <c r="A39" s="3">
        <f t="shared" si="2"/>
        <v>1</v>
      </c>
      <c r="B39" s="3">
        <f>EDATE($B$3,Site!$I$36*(ROW(Tab_Compteur_4[[#This Row],[Début de période]])-3))</f>
        <v>0</v>
      </c>
      <c r="C39" s="187"/>
      <c r="D39" s="203"/>
      <c r="E39">
        <f t="shared" si="1"/>
        <v>0</v>
      </c>
      <c r="F39" t="str">
        <f>IFERROR(Tab_Compteur_4[[#This Row],[Quantité]]/Tab_Compteur_4[[#This Row],[Delta Jour]],"")</f>
        <v/>
      </c>
      <c r="G39" t="str">
        <f>IFERROR(Tab_Compteur_4[[#This Row],[Montant TTC]]/Tab_Compteur_4[[#This Row],[Delta Jour]],"")</f>
        <v/>
      </c>
      <c r="H39" s="42"/>
      <c r="I39" s="42"/>
      <c r="J39" s="42"/>
      <c r="K39" s="42"/>
      <c r="L39" s="42"/>
    </row>
    <row r="40" spans="1:12" x14ac:dyDescent="0.25">
      <c r="A40" s="3">
        <f t="shared" si="2"/>
        <v>1</v>
      </c>
      <c r="B40" s="3">
        <f>EDATE($B$3,Site!$I$36*(ROW(Tab_Compteur_4[[#This Row],[Début de période]])-3))</f>
        <v>0</v>
      </c>
      <c r="C40" s="292"/>
      <c r="D40" s="203"/>
      <c r="E40">
        <f t="shared" si="1"/>
        <v>0</v>
      </c>
      <c r="F40" t="str">
        <f>IFERROR(Tab_Compteur_4[[#This Row],[Quantité]]/Tab_Compteur_4[[#This Row],[Delta Jour]],"")</f>
        <v/>
      </c>
      <c r="G40" t="str">
        <f>IFERROR(Tab_Compteur_4[[#This Row],[Montant TTC]]/Tab_Compteur_4[[#This Row],[Delta Jour]],"")</f>
        <v/>
      </c>
      <c r="H40" s="42"/>
      <c r="I40" s="42"/>
      <c r="J40" s="42"/>
      <c r="K40" s="42"/>
      <c r="L40" s="42"/>
    </row>
    <row r="41" spans="1:12" x14ac:dyDescent="0.25">
      <c r="A41" s="3">
        <f t="shared" si="2"/>
        <v>1</v>
      </c>
      <c r="B41" s="3">
        <f>EDATE($B$3,Site!$I$36*(ROW(Tab_Compteur_4[[#This Row],[Début de période]])-3))</f>
        <v>0</v>
      </c>
      <c r="C41" s="292"/>
      <c r="D41" s="203"/>
      <c r="E41">
        <f t="shared" si="1"/>
        <v>0</v>
      </c>
      <c r="F41" t="str">
        <f>IFERROR(Tab_Compteur_4[[#This Row],[Quantité]]/Tab_Compteur_4[[#This Row],[Delta Jour]],"")</f>
        <v/>
      </c>
      <c r="G41" t="str">
        <f>IFERROR(Tab_Compteur_4[[#This Row],[Montant TTC]]/Tab_Compteur_4[[#This Row],[Delta Jour]],"")</f>
        <v/>
      </c>
      <c r="H41" s="42"/>
      <c r="I41" s="42"/>
      <c r="J41" s="42"/>
      <c r="K41" s="42"/>
      <c r="L41" s="42"/>
    </row>
    <row r="42" spans="1:12" x14ac:dyDescent="0.25">
      <c r="A42" s="3">
        <f t="shared" si="2"/>
        <v>1</v>
      </c>
      <c r="B42" s="3">
        <f>EDATE($B$3,Site!$I$36*(ROW(Tab_Compteur_4[[#This Row],[Début de période]])-3))</f>
        <v>0</v>
      </c>
      <c r="C42" s="187"/>
      <c r="D42" s="203"/>
      <c r="E42">
        <f t="shared" si="1"/>
        <v>0</v>
      </c>
      <c r="F42" t="str">
        <f>IFERROR(Tab_Compteur_4[[#This Row],[Quantité]]/Tab_Compteur_4[[#This Row],[Delta Jour]],"")</f>
        <v/>
      </c>
      <c r="G42" t="str">
        <f>IFERROR(Tab_Compteur_4[[#This Row],[Montant TTC]]/Tab_Compteur_4[[#This Row],[Delta Jour]],"")</f>
        <v/>
      </c>
      <c r="H42" s="42"/>
      <c r="I42" s="42"/>
      <c r="J42" s="42"/>
      <c r="K42" s="42"/>
      <c r="L42" s="42"/>
    </row>
    <row r="43" spans="1:12" x14ac:dyDescent="0.25">
      <c r="A43" s="3">
        <f t="shared" si="2"/>
        <v>1</v>
      </c>
      <c r="B43" s="3">
        <f>EDATE($B$3,Site!$I$36*(ROW(Tab_Compteur_4[[#This Row],[Début de période]])-3))</f>
        <v>0</v>
      </c>
      <c r="C43" s="187"/>
      <c r="D43" s="203"/>
      <c r="E43">
        <f t="shared" si="1"/>
        <v>0</v>
      </c>
      <c r="F43" t="str">
        <f>IFERROR(Tab_Compteur_4[[#This Row],[Quantité]]/Tab_Compteur_4[[#This Row],[Delta Jour]],"")</f>
        <v/>
      </c>
      <c r="G43" t="str">
        <f>IFERROR(Tab_Compteur_4[[#This Row],[Montant TTC]]/Tab_Compteur_4[[#This Row],[Delta Jour]],"")</f>
        <v/>
      </c>
      <c r="H43" s="42"/>
      <c r="I43" s="42"/>
      <c r="J43" s="42"/>
      <c r="K43" s="42"/>
      <c r="L43" s="42"/>
    </row>
    <row r="44" spans="1:12" x14ac:dyDescent="0.25">
      <c r="A44" s="3">
        <f t="shared" si="2"/>
        <v>1</v>
      </c>
      <c r="B44" s="3">
        <f>EDATE($B$3,Site!$I$36*(ROW(Tab_Compteur_4[[#This Row],[Début de période]])-3))</f>
        <v>0</v>
      </c>
      <c r="C44" s="187"/>
      <c r="D44" s="203"/>
      <c r="E44">
        <f t="shared" si="1"/>
        <v>0</v>
      </c>
      <c r="F44" t="str">
        <f>IFERROR(Tab_Compteur_4[[#This Row],[Quantité]]/Tab_Compteur_4[[#This Row],[Delta Jour]],"")</f>
        <v/>
      </c>
      <c r="G44" t="str">
        <f>IFERROR(Tab_Compteur_4[[#This Row],[Montant TTC]]/Tab_Compteur_4[[#This Row],[Delta Jour]],"")</f>
        <v/>
      </c>
      <c r="H44" s="42"/>
      <c r="I44" s="42"/>
      <c r="J44" s="42"/>
      <c r="K44" s="42"/>
      <c r="L44" s="42"/>
    </row>
    <row r="45" spans="1:12" x14ac:dyDescent="0.25">
      <c r="A45" s="3">
        <f t="shared" si="2"/>
        <v>1</v>
      </c>
      <c r="B45" s="3">
        <f>EDATE($B$3,Site!$I$36*(ROW(Tab_Compteur_4[[#This Row],[Début de période]])-3))</f>
        <v>0</v>
      </c>
      <c r="C45" s="187"/>
      <c r="D45" s="203"/>
      <c r="E45">
        <f t="shared" si="1"/>
        <v>0</v>
      </c>
      <c r="F45" t="str">
        <f>IFERROR(Tab_Compteur_4[[#This Row],[Quantité]]/Tab_Compteur_4[[#This Row],[Delta Jour]],"")</f>
        <v/>
      </c>
      <c r="G45" t="str">
        <f>IFERROR(Tab_Compteur_4[[#This Row],[Montant TTC]]/Tab_Compteur_4[[#This Row],[Delta Jour]],"")</f>
        <v/>
      </c>
      <c r="H45" s="42"/>
      <c r="I45" s="42"/>
      <c r="J45" s="42"/>
      <c r="K45" s="42"/>
      <c r="L45" s="42"/>
    </row>
    <row r="46" spans="1:12" x14ac:dyDescent="0.25">
      <c r="A46" s="3">
        <f t="shared" si="2"/>
        <v>1</v>
      </c>
      <c r="B46" s="3">
        <f>EDATE($B$3,Site!$I$36*(ROW(Tab_Compteur_4[[#This Row],[Début de période]])-3))</f>
        <v>0</v>
      </c>
      <c r="C46" s="187"/>
      <c r="D46" s="203"/>
      <c r="E46">
        <f t="shared" si="1"/>
        <v>0</v>
      </c>
      <c r="F46" t="str">
        <f>IFERROR(Tab_Compteur_4[[#This Row],[Quantité]]/Tab_Compteur_4[[#This Row],[Delta Jour]],"")</f>
        <v/>
      </c>
      <c r="G46" t="str">
        <f>IFERROR(Tab_Compteur_4[[#This Row],[Montant TTC]]/Tab_Compteur_4[[#This Row],[Delta Jour]],"")</f>
        <v/>
      </c>
      <c r="H46" s="42"/>
      <c r="I46" s="42"/>
      <c r="J46" s="42"/>
      <c r="K46" s="42"/>
      <c r="L46" s="42"/>
    </row>
    <row r="47" spans="1:12" x14ac:dyDescent="0.25">
      <c r="A47" s="3">
        <f t="shared" si="2"/>
        <v>1</v>
      </c>
      <c r="B47" s="3">
        <f>EDATE($B$3,Site!$I$36*(ROW(Tab_Compteur_4[[#This Row],[Début de période]])-3))</f>
        <v>0</v>
      </c>
      <c r="C47" s="187"/>
      <c r="D47" s="203"/>
      <c r="E47">
        <f t="shared" si="1"/>
        <v>0</v>
      </c>
      <c r="F47" t="str">
        <f>IFERROR(Tab_Compteur_4[[#This Row],[Quantité]]/Tab_Compteur_4[[#This Row],[Delta Jour]],"")</f>
        <v/>
      </c>
      <c r="G47" t="str">
        <f>IFERROR(Tab_Compteur_4[[#This Row],[Montant TTC]]/Tab_Compteur_4[[#This Row],[Delta Jour]],"")</f>
        <v/>
      </c>
      <c r="H47" s="42"/>
      <c r="I47" s="42"/>
      <c r="J47" s="42"/>
      <c r="K47" s="42"/>
      <c r="L47" s="42"/>
    </row>
    <row r="48" spans="1:12" x14ac:dyDescent="0.25">
      <c r="A48" s="3">
        <f t="shared" si="2"/>
        <v>1</v>
      </c>
      <c r="B48" s="3">
        <f>EDATE($B$3,Site!$I$36*(ROW(Tab_Compteur_4[[#This Row],[Début de période]])-3))</f>
        <v>0</v>
      </c>
      <c r="C48" s="187"/>
      <c r="D48" s="203"/>
      <c r="E48">
        <f t="shared" si="1"/>
        <v>0</v>
      </c>
      <c r="F48" t="str">
        <f>IFERROR(Tab_Compteur_4[[#This Row],[Quantité]]/Tab_Compteur_4[[#This Row],[Delta Jour]],"")</f>
        <v/>
      </c>
      <c r="G48" t="str">
        <f>IFERROR(Tab_Compteur_4[[#This Row],[Montant TTC]]/Tab_Compteur_4[[#This Row],[Delta Jour]],"")</f>
        <v/>
      </c>
      <c r="H48" s="42"/>
      <c r="I48" s="42"/>
      <c r="J48" s="42"/>
      <c r="K48" s="42"/>
      <c r="L48" s="42"/>
    </row>
    <row r="49" spans="1:12" x14ac:dyDescent="0.25">
      <c r="A49" s="3">
        <f t="shared" si="2"/>
        <v>1</v>
      </c>
      <c r="B49" s="3">
        <f>EDATE($B$3,Site!$I$36*(ROW(Tab_Compteur_4[[#This Row],[Début de période]])-3))</f>
        <v>0</v>
      </c>
      <c r="C49" s="187"/>
      <c r="D49" s="203"/>
      <c r="E49">
        <f t="shared" si="1"/>
        <v>0</v>
      </c>
      <c r="F49" t="str">
        <f>IFERROR(Tab_Compteur_4[[#This Row],[Quantité]]/Tab_Compteur_4[[#This Row],[Delta Jour]],"")</f>
        <v/>
      </c>
      <c r="G49" t="str">
        <f>IFERROR(Tab_Compteur_4[[#This Row],[Montant TTC]]/Tab_Compteur_4[[#This Row],[Delta Jour]],"")</f>
        <v/>
      </c>
      <c r="H49" s="42"/>
      <c r="I49" s="42"/>
      <c r="J49" s="42"/>
      <c r="K49" s="42"/>
      <c r="L49" s="42"/>
    </row>
    <row r="50" spans="1:12" x14ac:dyDescent="0.25">
      <c r="A50" s="3">
        <f t="shared" si="2"/>
        <v>1</v>
      </c>
      <c r="B50" s="3">
        <f>EDATE($B$3,Site!$I$36*(ROW(Tab_Compteur_4[[#This Row],[Début de période]])-3))</f>
        <v>0</v>
      </c>
      <c r="C50" s="187"/>
      <c r="D50" s="203"/>
      <c r="E50">
        <f t="shared" si="1"/>
        <v>0</v>
      </c>
      <c r="F50" t="str">
        <f>IFERROR(Tab_Compteur_4[[#This Row],[Quantité]]/Tab_Compteur_4[[#This Row],[Delta Jour]],"")</f>
        <v/>
      </c>
      <c r="G50" t="str">
        <f>IFERROR(Tab_Compteur_4[[#This Row],[Montant TTC]]/Tab_Compteur_4[[#This Row],[Delta Jour]],"")</f>
        <v/>
      </c>
      <c r="H50" s="42"/>
      <c r="I50" s="42"/>
      <c r="J50" s="42"/>
      <c r="K50" s="42"/>
      <c r="L50" s="42"/>
    </row>
    <row r="51" spans="1:12" x14ac:dyDescent="0.25">
      <c r="A51" s="3">
        <f t="shared" si="2"/>
        <v>1</v>
      </c>
      <c r="B51" s="3">
        <f>EDATE($B$3,Site!$I$36*(ROW(Tab_Compteur_4[[#This Row],[Début de période]])-3))</f>
        <v>0</v>
      </c>
      <c r="C51" s="292"/>
      <c r="D51" s="203"/>
      <c r="E51">
        <f t="shared" si="1"/>
        <v>0</v>
      </c>
      <c r="F51" t="str">
        <f>IFERROR(Tab_Compteur_4[[#This Row],[Quantité]]/Tab_Compteur_4[[#This Row],[Delta Jour]],"")</f>
        <v/>
      </c>
      <c r="G51" t="str">
        <f>IFERROR(Tab_Compteur_4[[#This Row],[Montant TTC]]/Tab_Compteur_4[[#This Row],[Delta Jour]],"")</f>
        <v/>
      </c>
      <c r="H51" s="42"/>
      <c r="I51" s="42"/>
      <c r="J51" s="42"/>
      <c r="K51" s="42"/>
      <c r="L51" s="42"/>
    </row>
    <row r="52" spans="1:12" x14ac:dyDescent="0.25">
      <c r="A52" s="3">
        <f t="shared" si="2"/>
        <v>1</v>
      </c>
      <c r="B52" s="3">
        <f>EDATE($B$3,Site!$I$36*(ROW(Tab_Compteur_4[[#This Row],[Début de période]])-3))</f>
        <v>0</v>
      </c>
      <c r="C52" s="292"/>
      <c r="D52" s="203"/>
      <c r="E52">
        <f t="shared" si="1"/>
        <v>0</v>
      </c>
      <c r="F52" t="str">
        <f>IFERROR(Tab_Compteur_4[[#This Row],[Quantité]]/Tab_Compteur_4[[#This Row],[Delta Jour]],"")</f>
        <v/>
      </c>
      <c r="G52" t="str">
        <f>IFERROR(Tab_Compteur_4[[#This Row],[Montant TTC]]/Tab_Compteur_4[[#This Row],[Delta Jour]],"")</f>
        <v/>
      </c>
      <c r="H52" s="42"/>
      <c r="I52" s="42"/>
      <c r="J52" s="42"/>
      <c r="K52" s="42"/>
      <c r="L52" s="42"/>
    </row>
    <row r="53" spans="1:12" x14ac:dyDescent="0.25">
      <c r="A53" s="3">
        <f t="shared" si="2"/>
        <v>1</v>
      </c>
      <c r="B53" s="3">
        <f>EDATE($B$3,Site!$I$36*(ROW(Tab_Compteur_4[[#This Row],[Début de période]])-3))</f>
        <v>0</v>
      </c>
      <c r="C53" s="292"/>
      <c r="D53" s="203"/>
      <c r="E53">
        <f t="shared" si="1"/>
        <v>0</v>
      </c>
      <c r="F53" t="str">
        <f>IFERROR(Tab_Compteur_4[[#This Row],[Quantité]]/Tab_Compteur_4[[#This Row],[Delta Jour]],"")</f>
        <v/>
      </c>
      <c r="G53" t="str">
        <f>IFERROR(Tab_Compteur_4[[#This Row],[Montant TTC]]/Tab_Compteur_4[[#This Row],[Delta Jour]],"")</f>
        <v/>
      </c>
      <c r="H53" s="42"/>
      <c r="I53" s="42"/>
      <c r="J53" s="42"/>
      <c r="K53" s="42"/>
      <c r="L53" s="42"/>
    </row>
    <row r="54" spans="1:12" x14ac:dyDescent="0.25">
      <c r="A54" s="3">
        <f t="shared" si="2"/>
        <v>1</v>
      </c>
      <c r="B54" s="3">
        <f>EDATE($B$3,Site!$I$36*(ROW(Tab_Compteur_4[[#This Row],[Début de période]])-3))</f>
        <v>0</v>
      </c>
      <c r="C54" s="187"/>
      <c r="D54" s="203"/>
      <c r="E54">
        <f t="shared" si="1"/>
        <v>0</v>
      </c>
      <c r="F54" t="str">
        <f>IFERROR(Tab_Compteur_4[[#This Row],[Quantité]]/Tab_Compteur_4[[#This Row],[Delta Jour]],"")</f>
        <v/>
      </c>
      <c r="G54" t="str">
        <f>IFERROR(Tab_Compteur_4[[#This Row],[Montant TTC]]/Tab_Compteur_4[[#This Row],[Delta Jour]],"")</f>
        <v/>
      </c>
      <c r="H54" s="42"/>
      <c r="I54" s="42"/>
      <c r="J54" s="42"/>
      <c r="K54" s="42"/>
      <c r="L54" s="42"/>
    </row>
    <row r="55" spans="1:12" x14ac:dyDescent="0.25">
      <c r="A55" s="3">
        <f t="shared" si="2"/>
        <v>1</v>
      </c>
      <c r="B55" s="3">
        <f>EDATE($B$3,Site!$I$36*(ROW(Tab_Compteur_4[[#This Row],[Début de période]])-3))</f>
        <v>0</v>
      </c>
      <c r="C55" s="187"/>
      <c r="D55" s="203"/>
      <c r="E55">
        <f t="shared" si="1"/>
        <v>0</v>
      </c>
      <c r="F55" t="str">
        <f>IFERROR(Tab_Compteur_4[[#This Row],[Quantité]]/Tab_Compteur_4[[#This Row],[Delta Jour]],"")</f>
        <v/>
      </c>
      <c r="G55" t="str">
        <f>IFERROR(Tab_Compteur_4[[#This Row],[Montant TTC]]/Tab_Compteur_4[[#This Row],[Delta Jour]],"")</f>
        <v/>
      </c>
      <c r="H55" s="42"/>
      <c r="I55" s="42"/>
      <c r="J55" s="42"/>
      <c r="K55" s="42"/>
      <c r="L55" s="42"/>
    </row>
    <row r="56" spans="1:12" x14ac:dyDescent="0.25">
      <c r="A56" s="3">
        <f t="shared" si="2"/>
        <v>1</v>
      </c>
      <c r="B56" s="3">
        <f>EDATE($B$3,Site!$I$36*(ROW(Tab_Compteur_4[[#This Row],[Début de période]])-3))</f>
        <v>0</v>
      </c>
      <c r="C56" s="187"/>
      <c r="D56" s="203"/>
      <c r="E56">
        <f t="shared" si="1"/>
        <v>0</v>
      </c>
      <c r="F56" t="str">
        <f>IFERROR(Tab_Compteur_4[[#This Row],[Quantité]]/Tab_Compteur_4[[#This Row],[Delta Jour]],"")</f>
        <v/>
      </c>
      <c r="G56" t="str">
        <f>IFERROR(Tab_Compteur_4[[#This Row],[Montant TTC]]/Tab_Compteur_4[[#This Row],[Delta Jour]],"")</f>
        <v/>
      </c>
      <c r="H56" s="42"/>
      <c r="I56" s="42"/>
      <c r="J56" s="42"/>
      <c r="K56" s="42"/>
      <c r="L56" s="42"/>
    </row>
    <row r="57" spans="1:12" x14ac:dyDescent="0.25">
      <c r="A57" s="3">
        <f t="shared" si="2"/>
        <v>1</v>
      </c>
      <c r="B57" s="3">
        <f>EDATE($B$3,Site!$I$36*(ROW(Tab_Compteur_4[[#This Row],[Début de période]])-3))</f>
        <v>0</v>
      </c>
      <c r="C57" s="187"/>
      <c r="D57" s="203"/>
      <c r="E57">
        <f t="shared" si="1"/>
        <v>0</v>
      </c>
      <c r="F57" t="str">
        <f>IFERROR(Tab_Compteur_4[[#This Row],[Quantité]]/Tab_Compteur_4[[#This Row],[Delta Jour]],"")</f>
        <v/>
      </c>
      <c r="G57" t="str">
        <f>IFERROR(Tab_Compteur_4[[#This Row],[Montant TTC]]/Tab_Compteur_4[[#This Row],[Delta Jour]],"")</f>
        <v/>
      </c>
      <c r="H57" s="42"/>
      <c r="I57" s="42"/>
      <c r="J57" s="42"/>
      <c r="K57" s="42"/>
      <c r="L57" s="42"/>
    </row>
    <row r="58" spans="1:12" x14ac:dyDescent="0.25">
      <c r="A58" s="3">
        <f t="shared" si="2"/>
        <v>1</v>
      </c>
      <c r="B58" s="3">
        <f>EDATE($B$3,Site!$I$36*(ROW(Tab_Compteur_4[[#This Row],[Début de période]])-3))</f>
        <v>0</v>
      </c>
      <c r="C58" s="187"/>
      <c r="D58" s="203"/>
      <c r="E58">
        <f t="shared" si="1"/>
        <v>0</v>
      </c>
      <c r="F58" t="str">
        <f>IFERROR(Tab_Compteur_4[[#This Row],[Quantité]]/Tab_Compteur_4[[#This Row],[Delta Jour]],"")</f>
        <v/>
      </c>
      <c r="G58" t="str">
        <f>IFERROR(Tab_Compteur_4[[#This Row],[Montant TTC]]/Tab_Compteur_4[[#This Row],[Delta Jour]],"")</f>
        <v/>
      </c>
      <c r="H58" s="42"/>
      <c r="I58" s="42"/>
      <c r="J58" s="42"/>
      <c r="K58" s="42"/>
      <c r="L58" s="42"/>
    </row>
    <row r="59" spans="1:12" x14ac:dyDescent="0.25">
      <c r="A59" s="3">
        <f t="shared" si="2"/>
        <v>1</v>
      </c>
      <c r="B59" s="3">
        <f>EDATE($B$3,Site!$I$36*(ROW(Tab_Compteur_4[[#This Row],[Début de période]])-3))</f>
        <v>0</v>
      </c>
      <c r="C59" s="185"/>
      <c r="E59">
        <f t="shared" si="1"/>
        <v>0</v>
      </c>
      <c r="F59" t="str">
        <f>IFERROR(Tab_Compteur_4[[#This Row],[Quantité]]/Tab_Compteur_4[[#This Row],[Delta Jour]],"")</f>
        <v/>
      </c>
      <c r="G59" t="str">
        <f>IFERROR(Tab_Compteur_4[[#This Row],[Montant TTC]]/Tab_Compteur_4[[#This Row],[Delta Jour]],"")</f>
        <v/>
      </c>
      <c r="H59" s="42"/>
      <c r="I59" s="42"/>
      <c r="J59" s="42"/>
      <c r="K59" s="42"/>
      <c r="L59" s="42"/>
    </row>
    <row r="60" spans="1:12" x14ac:dyDescent="0.25">
      <c r="A60" s="3">
        <f t="shared" si="2"/>
        <v>1</v>
      </c>
      <c r="B60" s="3">
        <f>EDATE($B$3,Site!$I$36*(ROW(Tab_Compteur_4[[#This Row],[Début de période]])-3))</f>
        <v>0</v>
      </c>
      <c r="C60" s="185"/>
      <c r="E60">
        <f t="shared" si="1"/>
        <v>0</v>
      </c>
      <c r="F60" t="str">
        <f>IFERROR(Tab_Compteur_4[[#This Row],[Quantité]]/Tab_Compteur_4[[#This Row],[Delta Jour]],"")</f>
        <v/>
      </c>
      <c r="G60" t="str">
        <f>IFERROR(Tab_Compteur_4[[#This Row],[Montant TTC]]/Tab_Compteur_4[[#This Row],[Delta Jour]],"")</f>
        <v/>
      </c>
      <c r="H60" s="42"/>
      <c r="I60" s="42"/>
      <c r="J60" s="42"/>
      <c r="K60" s="42"/>
      <c r="L60" s="42"/>
    </row>
    <row r="61" spans="1:12" x14ac:dyDescent="0.25">
      <c r="A61" s="3">
        <f t="shared" si="2"/>
        <v>1</v>
      </c>
      <c r="B61" s="3">
        <f>EDATE($B$3,Site!$I$36*(ROW(Tab_Compteur_4[[#This Row],[Début de période]])-3))</f>
        <v>0</v>
      </c>
      <c r="C61" s="185"/>
      <c r="E61">
        <f t="shared" si="1"/>
        <v>0</v>
      </c>
      <c r="F61" t="str">
        <f>IFERROR(Tab_Compteur_4[[#This Row],[Quantité]]/Tab_Compteur_4[[#This Row],[Delta Jour]],"")</f>
        <v/>
      </c>
      <c r="G61" t="str">
        <f>IFERROR(Tab_Compteur_4[[#This Row],[Montant TTC]]/Tab_Compteur_4[[#This Row],[Delta Jour]],"")</f>
        <v/>
      </c>
      <c r="H61" s="42"/>
      <c r="I61" s="42"/>
      <c r="J61" s="42"/>
      <c r="K61" s="42"/>
      <c r="L61" s="42"/>
    </row>
    <row r="62" spans="1:12" x14ac:dyDescent="0.25">
      <c r="A62" s="3">
        <f t="shared" si="2"/>
        <v>1</v>
      </c>
      <c r="B62" s="3">
        <f>EDATE($B$3,Site!$I$36*(ROW(Tab_Compteur_4[[#This Row],[Début de période]])-3))</f>
        <v>0</v>
      </c>
      <c r="C62" s="185"/>
      <c r="E62">
        <f t="shared" si="1"/>
        <v>0</v>
      </c>
      <c r="F62" t="str">
        <f>IFERROR(Tab_Compteur_4[[#This Row],[Quantité]]/Tab_Compteur_4[[#This Row],[Delta Jour]],"")</f>
        <v/>
      </c>
      <c r="G62" t="str">
        <f>IFERROR(Tab_Compteur_4[[#This Row],[Montant TTC]]/Tab_Compteur_4[[#This Row],[Delta Jour]],"")</f>
        <v/>
      </c>
      <c r="H62" s="42"/>
      <c r="I62" s="42"/>
      <c r="J62" s="42"/>
      <c r="K62" s="42"/>
      <c r="L62" s="42"/>
    </row>
    <row r="63" spans="1:12" x14ac:dyDescent="0.25">
      <c r="A63" s="3">
        <f t="shared" si="2"/>
        <v>1</v>
      </c>
      <c r="B63" s="3">
        <f>EDATE($B$3,Site!$I$36*(ROW(Tab_Compteur_4[[#This Row],[Début de période]])-3))</f>
        <v>0</v>
      </c>
      <c r="C63" s="185"/>
      <c r="E63">
        <f t="shared" si="1"/>
        <v>0</v>
      </c>
      <c r="F63" t="str">
        <f>IFERROR(Tab_Compteur_4[[#This Row],[Quantité]]/Tab_Compteur_4[[#This Row],[Delta Jour]],"")</f>
        <v/>
      </c>
      <c r="G63" t="str">
        <f>IFERROR(Tab_Compteur_4[[#This Row],[Montant TTC]]/Tab_Compteur_4[[#This Row],[Delta Jour]],"")</f>
        <v/>
      </c>
      <c r="H63" s="42"/>
      <c r="I63" s="42"/>
      <c r="J63" s="42"/>
      <c r="K63" s="42"/>
      <c r="L63" s="42"/>
    </row>
    <row r="64" spans="1:12" x14ac:dyDescent="0.25">
      <c r="A64" s="3">
        <f t="shared" si="2"/>
        <v>1</v>
      </c>
      <c r="B64" s="3">
        <f>EDATE($B$3,Site!$I$36*(ROW(Tab_Compteur_4[[#This Row],[Début de période]])-3))</f>
        <v>0</v>
      </c>
      <c r="C64" s="185"/>
      <c r="E64">
        <f t="shared" si="1"/>
        <v>0</v>
      </c>
      <c r="F64" t="str">
        <f>IFERROR(Tab_Compteur_4[[#This Row],[Quantité]]/Tab_Compteur_4[[#This Row],[Delta Jour]],"")</f>
        <v/>
      </c>
      <c r="G64" t="str">
        <f>IFERROR(Tab_Compteur_4[[#This Row],[Montant TTC]]/Tab_Compteur_4[[#This Row],[Delta Jour]],"")</f>
        <v/>
      </c>
      <c r="H64" s="42"/>
      <c r="I64" s="42"/>
      <c r="J64" s="42"/>
      <c r="K64" s="42"/>
      <c r="L64" s="42"/>
    </row>
    <row r="65" spans="1:12" x14ac:dyDescent="0.25">
      <c r="A65" s="3">
        <f t="shared" si="2"/>
        <v>1</v>
      </c>
      <c r="B65" s="3">
        <f>EDATE($B$3,Site!$I$36*(ROW(Tab_Compteur_4[[#This Row],[Début de période]])-3))</f>
        <v>0</v>
      </c>
      <c r="C65" s="185"/>
      <c r="E65">
        <f t="shared" si="1"/>
        <v>0</v>
      </c>
      <c r="F65" t="str">
        <f>IFERROR(Tab_Compteur_4[[#This Row],[Quantité]]/Tab_Compteur_4[[#This Row],[Delta Jour]],"")</f>
        <v/>
      </c>
      <c r="G65" t="str">
        <f>IFERROR(Tab_Compteur_4[[#This Row],[Montant TTC]]/Tab_Compteur_4[[#This Row],[Delta Jour]],"")</f>
        <v/>
      </c>
      <c r="H65" s="42"/>
      <c r="I65" s="42"/>
      <c r="J65" s="42"/>
      <c r="K65" s="42"/>
      <c r="L65" s="42"/>
    </row>
    <row r="66" spans="1:12" x14ac:dyDescent="0.25">
      <c r="A66" s="3">
        <f t="shared" si="2"/>
        <v>1</v>
      </c>
      <c r="B66" s="3">
        <f>EDATE($B$3,Site!$I$36*(ROW(Tab_Compteur_4[[#This Row],[Début de période]])-3))</f>
        <v>0</v>
      </c>
      <c r="C66" s="185"/>
      <c r="E66">
        <f t="shared" ref="E66:E129" si="3">IFERROR(B66-A66+1,"")</f>
        <v>0</v>
      </c>
      <c r="F66" t="str">
        <f>IFERROR(Tab_Compteur_4[[#This Row],[Quantité]]/Tab_Compteur_4[[#This Row],[Delta Jour]],"")</f>
        <v/>
      </c>
      <c r="G66" t="str">
        <f>IFERROR(Tab_Compteur_4[[#This Row],[Montant TTC]]/Tab_Compteur_4[[#This Row],[Delta Jour]],"")</f>
        <v/>
      </c>
      <c r="H66" s="42"/>
      <c r="I66" s="42"/>
      <c r="J66" s="42"/>
      <c r="K66" s="42"/>
      <c r="L66" s="42"/>
    </row>
    <row r="67" spans="1:12" x14ac:dyDescent="0.25">
      <c r="A67" s="3">
        <f t="shared" si="2"/>
        <v>1</v>
      </c>
      <c r="B67" s="3">
        <f>EDATE($B$3,Site!$I$36*(ROW(Tab_Compteur_4[[#This Row],[Début de période]])-3))</f>
        <v>0</v>
      </c>
      <c r="C67" s="185"/>
      <c r="E67">
        <f t="shared" si="3"/>
        <v>0</v>
      </c>
      <c r="F67" t="str">
        <f>IFERROR(Tab_Compteur_4[[#This Row],[Quantité]]/Tab_Compteur_4[[#This Row],[Delta Jour]],"")</f>
        <v/>
      </c>
      <c r="G67" t="str">
        <f>IFERROR(Tab_Compteur_4[[#This Row],[Montant TTC]]/Tab_Compteur_4[[#This Row],[Delta Jour]],"")</f>
        <v/>
      </c>
      <c r="H67" s="42"/>
      <c r="I67" s="42"/>
      <c r="J67" s="42"/>
      <c r="K67" s="42"/>
      <c r="L67" s="42"/>
    </row>
    <row r="68" spans="1:12" x14ac:dyDescent="0.25">
      <c r="A68" s="3">
        <f t="shared" si="2"/>
        <v>1</v>
      </c>
      <c r="B68" s="3">
        <f>EDATE($B$3,Site!$I$36*(ROW(Tab_Compteur_4[[#This Row],[Début de période]])-3))</f>
        <v>0</v>
      </c>
      <c r="C68" s="185"/>
      <c r="E68">
        <f t="shared" si="3"/>
        <v>0</v>
      </c>
      <c r="F68" t="str">
        <f>IFERROR(Tab_Compteur_4[[#This Row],[Quantité]]/Tab_Compteur_4[[#This Row],[Delta Jour]],"")</f>
        <v/>
      </c>
      <c r="G68" t="str">
        <f>IFERROR(Tab_Compteur_4[[#This Row],[Montant TTC]]/Tab_Compteur_4[[#This Row],[Delta Jour]],"")</f>
        <v/>
      </c>
      <c r="H68" s="42"/>
      <c r="I68" s="42"/>
      <c r="J68" s="42"/>
      <c r="K68" s="42"/>
      <c r="L68" s="42"/>
    </row>
    <row r="69" spans="1:12" x14ac:dyDescent="0.25">
      <c r="A69" s="3">
        <f t="shared" ref="A69:A132" si="4">B68+1</f>
        <v>1</v>
      </c>
      <c r="B69" s="3">
        <f>EDATE($B$3,Site!$I$36*(ROW(Tab_Compteur_4[[#This Row],[Début de période]])-3))</f>
        <v>0</v>
      </c>
      <c r="C69" s="185"/>
      <c r="E69">
        <f t="shared" si="3"/>
        <v>0</v>
      </c>
      <c r="F69" t="str">
        <f>IFERROR(Tab_Compteur_4[[#This Row],[Quantité]]/Tab_Compteur_4[[#This Row],[Delta Jour]],"")</f>
        <v/>
      </c>
      <c r="G69" t="str">
        <f>IFERROR(Tab_Compteur_4[[#This Row],[Montant TTC]]/Tab_Compteur_4[[#This Row],[Delta Jour]],"")</f>
        <v/>
      </c>
      <c r="H69" s="42"/>
      <c r="I69" s="42"/>
      <c r="J69" s="42"/>
      <c r="K69" s="42"/>
      <c r="L69" s="42"/>
    </row>
    <row r="70" spans="1:12" x14ac:dyDescent="0.25">
      <c r="A70" s="3">
        <f t="shared" si="4"/>
        <v>1</v>
      </c>
      <c r="B70" s="3">
        <f>EDATE($B$3,Site!$I$36*(ROW(Tab_Compteur_4[[#This Row],[Début de période]])-3))</f>
        <v>0</v>
      </c>
      <c r="C70" s="185"/>
      <c r="E70">
        <f t="shared" si="3"/>
        <v>0</v>
      </c>
      <c r="F70" t="str">
        <f>IFERROR(Tab_Compteur_4[[#This Row],[Quantité]]/Tab_Compteur_4[[#This Row],[Delta Jour]],"")</f>
        <v/>
      </c>
      <c r="G70" t="str">
        <f>IFERROR(Tab_Compteur_4[[#This Row],[Montant TTC]]/Tab_Compteur_4[[#This Row],[Delta Jour]],"")</f>
        <v/>
      </c>
      <c r="H70" s="42"/>
      <c r="I70" s="42"/>
      <c r="J70" s="42"/>
      <c r="K70" s="42"/>
      <c r="L70" s="42"/>
    </row>
    <row r="71" spans="1:12" x14ac:dyDescent="0.25">
      <c r="A71" s="3">
        <f t="shared" si="4"/>
        <v>1</v>
      </c>
      <c r="B71" s="3">
        <f>EDATE($B$3,Site!$I$36*(ROW(Tab_Compteur_4[[#This Row],[Début de période]])-3))</f>
        <v>0</v>
      </c>
      <c r="C71" s="185"/>
      <c r="E71">
        <f t="shared" si="3"/>
        <v>0</v>
      </c>
      <c r="F71" t="str">
        <f>IFERROR(Tab_Compteur_4[[#This Row],[Quantité]]/Tab_Compteur_4[[#This Row],[Delta Jour]],"")</f>
        <v/>
      </c>
      <c r="G71" t="str">
        <f>IFERROR(Tab_Compteur_4[[#This Row],[Montant TTC]]/Tab_Compteur_4[[#This Row],[Delta Jour]],"")</f>
        <v/>
      </c>
      <c r="H71" s="42"/>
      <c r="I71" s="42"/>
      <c r="J71" s="42"/>
      <c r="K71" s="42"/>
      <c r="L71" s="42"/>
    </row>
    <row r="72" spans="1:12" x14ac:dyDescent="0.25">
      <c r="A72" s="3">
        <f t="shared" si="4"/>
        <v>1</v>
      </c>
      <c r="B72" s="3">
        <f>EDATE($B$3,Site!$I$36*(ROW(Tab_Compteur_4[[#This Row],[Début de période]])-3))</f>
        <v>0</v>
      </c>
      <c r="C72" s="185"/>
      <c r="E72">
        <f t="shared" si="3"/>
        <v>0</v>
      </c>
      <c r="F72" t="str">
        <f>IFERROR(Tab_Compteur_4[[#This Row],[Quantité]]/Tab_Compteur_4[[#This Row],[Delta Jour]],"")</f>
        <v/>
      </c>
      <c r="G72" t="str">
        <f>IFERROR(Tab_Compteur_4[[#This Row],[Montant TTC]]/Tab_Compteur_4[[#This Row],[Delta Jour]],"")</f>
        <v/>
      </c>
      <c r="H72" s="42"/>
      <c r="I72" s="42"/>
      <c r="J72" s="42"/>
      <c r="K72" s="42"/>
      <c r="L72" s="42"/>
    </row>
    <row r="73" spans="1:12" x14ac:dyDescent="0.25">
      <c r="A73" s="3">
        <f t="shared" si="4"/>
        <v>1</v>
      </c>
      <c r="B73" s="3">
        <f>EDATE($B$3,Site!$I$36*(ROW(Tab_Compteur_4[[#This Row],[Début de période]])-3))</f>
        <v>0</v>
      </c>
      <c r="C73" s="185"/>
      <c r="E73">
        <f t="shared" si="3"/>
        <v>0</v>
      </c>
      <c r="F73" t="str">
        <f>IFERROR(Tab_Compteur_4[[#This Row],[Quantité]]/Tab_Compteur_4[[#This Row],[Delta Jour]],"")</f>
        <v/>
      </c>
      <c r="G73" t="str">
        <f>IFERROR(Tab_Compteur_4[[#This Row],[Montant TTC]]/Tab_Compteur_4[[#This Row],[Delta Jour]],"")</f>
        <v/>
      </c>
      <c r="H73" s="42"/>
      <c r="I73" s="42"/>
      <c r="J73" s="42"/>
      <c r="K73" s="42"/>
      <c r="L73" s="42"/>
    </row>
    <row r="74" spans="1:12" x14ac:dyDescent="0.25">
      <c r="A74" s="3">
        <f t="shared" si="4"/>
        <v>1</v>
      </c>
      <c r="B74" s="3">
        <f>EDATE($B$3,Site!$I$36*(ROW(Tab_Compteur_4[[#This Row],[Début de période]])-3))</f>
        <v>0</v>
      </c>
      <c r="C74" s="185"/>
      <c r="E74">
        <f t="shared" si="3"/>
        <v>0</v>
      </c>
      <c r="F74" t="str">
        <f>IFERROR(Tab_Compteur_4[[#This Row],[Quantité]]/Tab_Compteur_4[[#This Row],[Delta Jour]],"")</f>
        <v/>
      </c>
      <c r="G74" t="str">
        <f>IFERROR(Tab_Compteur_4[[#This Row],[Montant TTC]]/Tab_Compteur_4[[#This Row],[Delta Jour]],"")</f>
        <v/>
      </c>
      <c r="H74" s="42"/>
      <c r="I74" s="42"/>
      <c r="J74" s="42"/>
      <c r="K74" s="42"/>
      <c r="L74" s="42"/>
    </row>
    <row r="75" spans="1:12" x14ac:dyDescent="0.25">
      <c r="A75" s="3">
        <f t="shared" si="4"/>
        <v>1</v>
      </c>
      <c r="B75" s="3">
        <f>EDATE($B$3,Site!$I$36*(ROW(Tab_Compteur_4[[#This Row],[Début de période]])-3))</f>
        <v>0</v>
      </c>
      <c r="C75" s="185"/>
      <c r="E75">
        <f t="shared" si="3"/>
        <v>0</v>
      </c>
      <c r="F75" t="str">
        <f>IFERROR(Tab_Compteur_4[[#This Row],[Quantité]]/Tab_Compteur_4[[#This Row],[Delta Jour]],"")</f>
        <v/>
      </c>
      <c r="G75" t="str">
        <f>IFERROR(Tab_Compteur_4[[#This Row],[Montant TTC]]/Tab_Compteur_4[[#This Row],[Delta Jour]],"")</f>
        <v/>
      </c>
      <c r="H75" s="42"/>
      <c r="I75" s="42"/>
      <c r="J75" s="42"/>
      <c r="K75" s="42"/>
      <c r="L75" s="42"/>
    </row>
    <row r="76" spans="1:12" x14ac:dyDescent="0.25">
      <c r="A76" s="3">
        <f t="shared" si="4"/>
        <v>1</v>
      </c>
      <c r="B76" s="3">
        <f>EDATE($B$3,Site!$I$36*(ROW(Tab_Compteur_4[[#This Row],[Début de période]])-3))</f>
        <v>0</v>
      </c>
      <c r="C76" s="185"/>
      <c r="E76">
        <f t="shared" si="3"/>
        <v>0</v>
      </c>
      <c r="F76" t="str">
        <f>IFERROR(Tab_Compteur_4[[#This Row],[Quantité]]/Tab_Compteur_4[[#This Row],[Delta Jour]],"")</f>
        <v/>
      </c>
      <c r="G76" t="str">
        <f>IFERROR(Tab_Compteur_4[[#This Row],[Montant TTC]]/Tab_Compteur_4[[#This Row],[Delta Jour]],"")</f>
        <v/>
      </c>
      <c r="H76" s="42"/>
      <c r="I76" s="42"/>
      <c r="J76" s="42"/>
      <c r="K76" s="42"/>
      <c r="L76" s="42"/>
    </row>
    <row r="77" spans="1:12" x14ac:dyDescent="0.25">
      <c r="A77" s="3">
        <f t="shared" si="4"/>
        <v>1</v>
      </c>
      <c r="B77" s="3">
        <f>EDATE($B$3,Site!$I$36*(ROW(Tab_Compteur_4[[#This Row],[Début de période]])-3))</f>
        <v>0</v>
      </c>
      <c r="C77" s="185"/>
      <c r="E77">
        <f t="shared" si="3"/>
        <v>0</v>
      </c>
      <c r="F77" t="str">
        <f>IFERROR(Tab_Compteur_4[[#This Row],[Quantité]]/Tab_Compteur_4[[#This Row],[Delta Jour]],"")</f>
        <v/>
      </c>
      <c r="G77" t="str">
        <f>IFERROR(Tab_Compteur_4[[#This Row],[Montant TTC]]/Tab_Compteur_4[[#This Row],[Delta Jour]],"")</f>
        <v/>
      </c>
      <c r="H77" s="42"/>
      <c r="I77" s="42"/>
      <c r="J77" s="42"/>
      <c r="K77" s="42"/>
      <c r="L77" s="42"/>
    </row>
    <row r="78" spans="1:12" x14ac:dyDescent="0.25">
      <c r="A78" s="3">
        <f t="shared" si="4"/>
        <v>1</v>
      </c>
      <c r="B78" s="3">
        <f>EDATE($B$3,Site!$I$36*(ROW(Tab_Compteur_4[[#This Row],[Début de période]])-3))</f>
        <v>0</v>
      </c>
      <c r="C78" s="185"/>
      <c r="E78">
        <f t="shared" si="3"/>
        <v>0</v>
      </c>
      <c r="F78" t="str">
        <f>IFERROR(Tab_Compteur_4[[#This Row],[Quantité]]/Tab_Compteur_4[[#This Row],[Delta Jour]],"")</f>
        <v/>
      </c>
      <c r="G78" t="str">
        <f>IFERROR(Tab_Compteur_4[[#This Row],[Montant TTC]]/Tab_Compteur_4[[#This Row],[Delta Jour]],"")</f>
        <v/>
      </c>
      <c r="H78" s="42"/>
      <c r="I78" s="42"/>
      <c r="J78" s="42"/>
      <c r="K78" s="42"/>
      <c r="L78" s="42"/>
    </row>
    <row r="79" spans="1:12" x14ac:dyDescent="0.25">
      <c r="A79" s="3">
        <f t="shared" si="4"/>
        <v>1</v>
      </c>
      <c r="B79" s="3">
        <f>EDATE($B$3,Site!$I$36*(ROW(Tab_Compteur_4[[#This Row],[Début de période]])-3))</f>
        <v>0</v>
      </c>
      <c r="C79" s="185"/>
      <c r="E79">
        <f t="shared" si="3"/>
        <v>0</v>
      </c>
      <c r="F79" t="str">
        <f>IFERROR(Tab_Compteur_4[[#This Row],[Quantité]]/Tab_Compteur_4[[#This Row],[Delta Jour]],"")</f>
        <v/>
      </c>
      <c r="G79" t="str">
        <f>IFERROR(Tab_Compteur_4[[#This Row],[Montant TTC]]/Tab_Compteur_4[[#This Row],[Delta Jour]],"")</f>
        <v/>
      </c>
      <c r="H79" s="42"/>
      <c r="I79" s="42"/>
      <c r="J79" s="42"/>
      <c r="K79" s="42"/>
      <c r="L79" s="42"/>
    </row>
    <row r="80" spans="1:12" x14ac:dyDescent="0.25">
      <c r="A80" s="3">
        <f t="shared" si="4"/>
        <v>1</v>
      </c>
      <c r="B80" s="3">
        <f>EDATE($B$3,Site!$I$36*(ROW(Tab_Compteur_4[[#This Row],[Début de période]])-3))</f>
        <v>0</v>
      </c>
      <c r="C80" s="185"/>
      <c r="E80">
        <f t="shared" si="3"/>
        <v>0</v>
      </c>
      <c r="F80" t="str">
        <f>IFERROR(Tab_Compteur_4[[#This Row],[Quantité]]/Tab_Compteur_4[[#This Row],[Delta Jour]],"")</f>
        <v/>
      </c>
      <c r="G80" t="str">
        <f>IFERROR(Tab_Compteur_4[[#This Row],[Montant TTC]]/Tab_Compteur_4[[#This Row],[Delta Jour]],"")</f>
        <v/>
      </c>
      <c r="H80" s="42"/>
      <c r="I80" s="42"/>
      <c r="J80" s="42"/>
      <c r="K80" s="42"/>
      <c r="L80" s="42"/>
    </row>
    <row r="81" spans="1:12" x14ac:dyDescent="0.25">
      <c r="A81" s="3">
        <f t="shared" si="4"/>
        <v>1</v>
      </c>
      <c r="B81" s="3">
        <f>EDATE($B$3,Site!$I$36*(ROW(Tab_Compteur_4[[#This Row],[Début de période]])-3))</f>
        <v>0</v>
      </c>
      <c r="C81" s="185"/>
      <c r="E81">
        <f t="shared" si="3"/>
        <v>0</v>
      </c>
      <c r="F81" t="str">
        <f>IFERROR(Tab_Compteur_4[[#This Row],[Quantité]]/Tab_Compteur_4[[#This Row],[Delta Jour]],"")</f>
        <v/>
      </c>
      <c r="G81" t="str">
        <f>IFERROR(Tab_Compteur_4[[#This Row],[Montant TTC]]/Tab_Compteur_4[[#This Row],[Delta Jour]],"")</f>
        <v/>
      </c>
      <c r="H81" s="42"/>
      <c r="I81" s="42"/>
      <c r="J81" s="42"/>
      <c r="K81" s="42"/>
      <c r="L81" s="42"/>
    </row>
    <row r="82" spans="1:12" x14ac:dyDescent="0.25">
      <c r="A82" s="3">
        <f t="shared" si="4"/>
        <v>1</v>
      </c>
      <c r="B82" s="3">
        <f>EDATE($B$3,Site!$I$36*(ROW(Tab_Compteur_4[[#This Row],[Début de période]])-3))</f>
        <v>0</v>
      </c>
      <c r="C82" s="185"/>
      <c r="E82">
        <f t="shared" si="3"/>
        <v>0</v>
      </c>
      <c r="F82" t="str">
        <f>IFERROR(Tab_Compteur_4[[#This Row],[Quantité]]/Tab_Compteur_4[[#This Row],[Delta Jour]],"")</f>
        <v/>
      </c>
      <c r="G82" t="str">
        <f>IFERROR(Tab_Compteur_4[[#This Row],[Montant TTC]]/Tab_Compteur_4[[#This Row],[Delta Jour]],"")</f>
        <v/>
      </c>
      <c r="H82" s="42"/>
      <c r="I82" s="42"/>
      <c r="J82" s="42"/>
      <c r="K82" s="42"/>
      <c r="L82" s="42"/>
    </row>
    <row r="83" spans="1:12" x14ac:dyDescent="0.25">
      <c r="A83" s="3">
        <f t="shared" si="4"/>
        <v>1</v>
      </c>
      <c r="B83" s="3">
        <f>EDATE($B$3,Site!$I$36*(ROW(Tab_Compteur_4[[#This Row],[Début de période]])-3))</f>
        <v>0</v>
      </c>
      <c r="C83" s="185"/>
      <c r="E83">
        <f t="shared" si="3"/>
        <v>0</v>
      </c>
      <c r="F83" t="str">
        <f>IFERROR(Tab_Compteur_4[[#This Row],[Quantité]]/Tab_Compteur_4[[#This Row],[Delta Jour]],"")</f>
        <v/>
      </c>
      <c r="G83" t="str">
        <f>IFERROR(Tab_Compteur_4[[#This Row],[Montant TTC]]/Tab_Compteur_4[[#This Row],[Delta Jour]],"")</f>
        <v/>
      </c>
      <c r="H83" s="42"/>
      <c r="I83" s="42"/>
      <c r="J83" s="42"/>
      <c r="K83" s="42"/>
      <c r="L83" s="42"/>
    </row>
    <row r="84" spans="1:12" x14ac:dyDescent="0.25">
      <c r="A84" s="3">
        <f t="shared" si="4"/>
        <v>1</v>
      </c>
      <c r="B84" s="3">
        <f>EDATE($B$3,Site!$I$36*(ROW(Tab_Compteur_4[[#This Row],[Début de période]])-3))</f>
        <v>0</v>
      </c>
      <c r="C84" s="185"/>
      <c r="E84">
        <f t="shared" si="3"/>
        <v>0</v>
      </c>
      <c r="F84" t="str">
        <f>IFERROR(Tab_Compteur_4[[#This Row],[Quantité]]/Tab_Compteur_4[[#This Row],[Delta Jour]],"")</f>
        <v/>
      </c>
      <c r="G84" t="str">
        <f>IFERROR(Tab_Compteur_4[[#This Row],[Montant TTC]]/Tab_Compteur_4[[#This Row],[Delta Jour]],"")</f>
        <v/>
      </c>
      <c r="H84" s="42"/>
      <c r="I84" s="42"/>
      <c r="J84" s="42"/>
      <c r="K84" s="42"/>
      <c r="L84" s="42"/>
    </row>
    <row r="85" spans="1:12" x14ac:dyDescent="0.25">
      <c r="A85" s="3">
        <f t="shared" si="4"/>
        <v>1</v>
      </c>
      <c r="B85" s="3">
        <f>EDATE($B$3,Site!$I$36*(ROW(Tab_Compteur_4[[#This Row],[Début de période]])-3))</f>
        <v>0</v>
      </c>
      <c r="C85" s="185"/>
      <c r="E85">
        <f t="shared" si="3"/>
        <v>0</v>
      </c>
      <c r="F85" t="str">
        <f>IFERROR(Tab_Compteur_4[[#This Row],[Quantité]]/Tab_Compteur_4[[#This Row],[Delta Jour]],"")</f>
        <v/>
      </c>
      <c r="G85" t="str">
        <f>IFERROR(Tab_Compteur_4[[#This Row],[Montant TTC]]/Tab_Compteur_4[[#This Row],[Delta Jour]],"")</f>
        <v/>
      </c>
      <c r="H85" s="42"/>
      <c r="I85" s="42"/>
      <c r="J85" s="42"/>
      <c r="K85" s="42"/>
      <c r="L85" s="42"/>
    </row>
    <row r="86" spans="1:12" x14ac:dyDescent="0.25">
      <c r="A86" s="3">
        <f t="shared" si="4"/>
        <v>1</v>
      </c>
      <c r="B86" s="3">
        <f>EDATE($B$3,Site!$I$36*(ROW(Tab_Compteur_4[[#This Row],[Début de période]])-3))</f>
        <v>0</v>
      </c>
      <c r="C86" s="185"/>
      <c r="E86">
        <f t="shared" si="3"/>
        <v>0</v>
      </c>
      <c r="F86" t="str">
        <f>IFERROR(Tab_Compteur_4[[#This Row],[Quantité]]/Tab_Compteur_4[[#This Row],[Delta Jour]],"")</f>
        <v/>
      </c>
      <c r="G86" t="str">
        <f>IFERROR(Tab_Compteur_4[[#This Row],[Montant TTC]]/Tab_Compteur_4[[#This Row],[Delta Jour]],"")</f>
        <v/>
      </c>
      <c r="H86" s="42"/>
      <c r="I86" s="42"/>
      <c r="J86" s="42"/>
      <c r="K86" s="42"/>
      <c r="L86" s="42"/>
    </row>
    <row r="87" spans="1:12" x14ac:dyDescent="0.25">
      <c r="A87" s="3">
        <f t="shared" si="4"/>
        <v>1</v>
      </c>
      <c r="B87" s="3">
        <f>EDATE($B$3,Site!$I$36*(ROW(Tab_Compteur_4[[#This Row],[Début de période]])-3))</f>
        <v>0</v>
      </c>
      <c r="C87" s="185"/>
      <c r="E87">
        <f t="shared" si="3"/>
        <v>0</v>
      </c>
      <c r="F87" t="str">
        <f>IFERROR(Tab_Compteur_4[[#This Row],[Quantité]]/Tab_Compteur_4[[#This Row],[Delta Jour]],"")</f>
        <v/>
      </c>
      <c r="G87" t="str">
        <f>IFERROR(Tab_Compteur_4[[#This Row],[Montant TTC]]/Tab_Compteur_4[[#This Row],[Delta Jour]],"")</f>
        <v/>
      </c>
      <c r="H87" s="42"/>
      <c r="I87" s="42"/>
      <c r="J87" s="42"/>
      <c r="K87" s="42"/>
      <c r="L87" s="42"/>
    </row>
    <row r="88" spans="1:12" x14ac:dyDescent="0.25">
      <c r="A88" s="3">
        <f t="shared" si="4"/>
        <v>1</v>
      </c>
      <c r="B88" s="3">
        <f>EDATE($B$3,Site!$I$36*(ROW(Tab_Compteur_4[[#This Row],[Début de période]])-3))</f>
        <v>0</v>
      </c>
      <c r="C88" s="185"/>
      <c r="E88">
        <f t="shared" si="3"/>
        <v>0</v>
      </c>
      <c r="F88" t="str">
        <f>IFERROR(Tab_Compteur_4[[#This Row],[Quantité]]/Tab_Compteur_4[[#This Row],[Delta Jour]],"")</f>
        <v/>
      </c>
      <c r="G88" t="str">
        <f>IFERROR(Tab_Compteur_4[[#This Row],[Montant TTC]]/Tab_Compteur_4[[#This Row],[Delta Jour]],"")</f>
        <v/>
      </c>
      <c r="H88" s="42"/>
      <c r="I88" s="42"/>
      <c r="J88" s="42"/>
      <c r="K88" s="42"/>
      <c r="L88" s="42"/>
    </row>
    <row r="89" spans="1:12" x14ac:dyDescent="0.25">
      <c r="A89" s="3">
        <f t="shared" si="4"/>
        <v>1</v>
      </c>
      <c r="B89" s="3">
        <f>EDATE($B$3,Site!$I$36*(ROW(Tab_Compteur_4[[#This Row],[Début de période]])-3))</f>
        <v>0</v>
      </c>
      <c r="C89" s="185"/>
      <c r="E89">
        <f t="shared" si="3"/>
        <v>0</v>
      </c>
      <c r="F89" t="str">
        <f>IFERROR(Tab_Compteur_4[[#This Row],[Quantité]]/Tab_Compteur_4[[#This Row],[Delta Jour]],"")</f>
        <v/>
      </c>
      <c r="G89" t="str">
        <f>IFERROR(Tab_Compteur_4[[#This Row],[Montant TTC]]/Tab_Compteur_4[[#This Row],[Delta Jour]],"")</f>
        <v/>
      </c>
      <c r="H89" s="42"/>
      <c r="I89" s="42"/>
      <c r="J89" s="42"/>
      <c r="K89" s="42"/>
      <c r="L89" s="42"/>
    </row>
    <row r="90" spans="1:12" x14ac:dyDescent="0.25">
      <c r="A90" s="3">
        <f t="shared" si="4"/>
        <v>1</v>
      </c>
      <c r="B90" s="3">
        <f>EDATE($B$3,Site!$I$36*(ROW(Tab_Compteur_4[[#This Row],[Début de période]])-3))</f>
        <v>0</v>
      </c>
      <c r="C90" s="185"/>
      <c r="E90">
        <f t="shared" si="3"/>
        <v>0</v>
      </c>
      <c r="F90" t="str">
        <f>IFERROR(Tab_Compteur_4[[#This Row],[Quantité]]/Tab_Compteur_4[[#This Row],[Delta Jour]],"")</f>
        <v/>
      </c>
      <c r="G90" t="str">
        <f>IFERROR(Tab_Compteur_4[[#This Row],[Montant TTC]]/Tab_Compteur_4[[#This Row],[Delta Jour]],"")</f>
        <v/>
      </c>
      <c r="H90" s="42"/>
      <c r="I90" s="42"/>
      <c r="J90" s="42"/>
      <c r="K90" s="42"/>
      <c r="L90" s="42"/>
    </row>
    <row r="91" spans="1:12" x14ac:dyDescent="0.25">
      <c r="A91" s="3">
        <f t="shared" si="4"/>
        <v>1</v>
      </c>
      <c r="B91" s="3">
        <f>EDATE($B$3,Site!$I$36*(ROW(Tab_Compteur_4[[#This Row],[Début de période]])-3))</f>
        <v>0</v>
      </c>
      <c r="C91" s="185"/>
      <c r="E91">
        <f t="shared" si="3"/>
        <v>0</v>
      </c>
      <c r="F91" t="str">
        <f>IFERROR(Tab_Compteur_4[[#This Row],[Quantité]]/Tab_Compteur_4[[#This Row],[Delta Jour]],"")</f>
        <v/>
      </c>
      <c r="G91" t="str">
        <f>IFERROR(Tab_Compteur_4[[#This Row],[Montant TTC]]/Tab_Compteur_4[[#This Row],[Delta Jour]],"")</f>
        <v/>
      </c>
      <c r="H91" s="42"/>
      <c r="I91" s="42"/>
      <c r="J91" s="42"/>
      <c r="K91" s="42"/>
      <c r="L91" s="42"/>
    </row>
    <row r="92" spans="1:12" x14ac:dyDescent="0.25">
      <c r="A92" s="3">
        <f t="shared" si="4"/>
        <v>1</v>
      </c>
      <c r="B92" s="3">
        <f>EDATE($B$3,Site!$I$36*(ROW(Tab_Compteur_4[[#This Row],[Début de période]])-3))</f>
        <v>0</v>
      </c>
      <c r="C92" s="185"/>
      <c r="E92">
        <f t="shared" si="3"/>
        <v>0</v>
      </c>
      <c r="F92" t="str">
        <f>IFERROR(Tab_Compteur_4[[#This Row],[Quantité]]/Tab_Compteur_4[[#This Row],[Delta Jour]],"")</f>
        <v/>
      </c>
      <c r="G92" t="str">
        <f>IFERROR(Tab_Compteur_4[[#This Row],[Montant TTC]]/Tab_Compteur_4[[#This Row],[Delta Jour]],"")</f>
        <v/>
      </c>
      <c r="H92" s="42"/>
      <c r="I92" s="42"/>
      <c r="J92" s="42"/>
      <c r="K92" s="42"/>
      <c r="L92" s="42"/>
    </row>
    <row r="93" spans="1:12" x14ac:dyDescent="0.25">
      <c r="A93" s="3">
        <f t="shared" si="4"/>
        <v>1</v>
      </c>
      <c r="B93" s="3">
        <f>EDATE($B$3,Site!$I$36*(ROW(Tab_Compteur_4[[#This Row],[Début de période]])-3))</f>
        <v>0</v>
      </c>
      <c r="C93" s="185"/>
      <c r="E93">
        <f t="shared" si="3"/>
        <v>0</v>
      </c>
      <c r="F93" t="str">
        <f>IFERROR(Tab_Compteur_4[[#This Row],[Quantité]]/Tab_Compteur_4[[#This Row],[Delta Jour]],"")</f>
        <v/>
      </c>
      <c r="G93" t="str">
        <f>IFERROR(Tab_Compteur_4[[#This Row],[Montant TTC]]/Tab_Compteur_4[[#This Row],[Delta Jour]],"")</f>
        <v/>
      </c>
      <c r="H93" s="42"/>
      <c r="I93" s="42"/>
      <c r="J93" s="42"/>
      <c r="K93" s="42"/>
      <c r="L93" s="42"/>
    </row>
    <row r="94" spans="1:12" x14ac:dyDescent="0.25">
      <c r="A94" s="3">
        <f t="shared" si="4"/>
        <v>1</v>
      </c>
      <c r="B94" s="3">
        <f>EDATE($B$3,Site!$I$36*(ROW(Tab_Compteur_4[[#This Row],[Début de période]])-3))</f>
        <v>0</v>
      </c>
      <c r="C94" s="185"/>
      <c r="E94">
        <f t="shared" si="3"/>
        <v>0</v>
      </c>
      <c r="F94" t="str">
        <f>IFERROR(Tab_Compteur_4[[#This Row],[Quantité]]/Tab_Compteur_4[[#This Row],[Delta Jour]],"")</f>
        <v/>
      </c>
      <c r="G94" t="str">
        <f>IFERROR(Tab_Compteur_4[[#This Row],[Montant TTC]]/Tab_Compteur_4[[#This Row],[Delta Jour]],"")</f>
        <v/>
      </c>
      <c r="H94" s="42"/>
      <c r="I94" s="42"/>
      <c r="J94" s="42"/>
      <c r="K94" s="42"/>
      <c r="L94" s="42"/>
    </row>
    <row r="95" spans="1:12" x14ac:dyDescent="0.25">
      <c r="A95" s="3">
        <f t="shared" si="4"/>
        <v>1</v>
      </c>
      <c r="B95" s="3">
        <f>EDATE($B$3,Site!$I$36*(ROW(Tab_Compteur_4[[#This Row],[Début de période]])-3))</f>
        <v>0</v>
      </c>
      <c r="C95" s="185"/>
      <c r="E95">
        <f t="shared" si="3"/>
        <v>0</v>
      </c>
      <c r="F95" t="str">
        <f>IFERROR(Tab_Compteur_4[[#This Row],[Quantité]]/Tab_Compteur_4[[#This Row],[Delta Jour]],"")</f>
        <v/>
      </c>
      <c r="G95" t="str">
        <f>IFERROR(Tab_Compteur_4[[#This Row],[Montant TTC]]/Tab_Compteur_4[[#This Row],[Delta Jour]],"")</f>
        <v/>
      </c>
      <c r="H95" s="42"/>
      <c r="I95" s="42"/>
      <c r="J95" s="42"/>
      <c r="K95" s="42"/>
      <c r="L95" s="42"/>
    </row>
    <row r="96" spans="1:12" x14ac:dyDescent="0.25">
      <c r="A96" s="3">
        <f t="shared" si="4"/>
        <v>1</v>
      </c>
      <c r="B96" s="3">
        <f>EDATE($B$3,Site!$I$36*(ROW(Tab_Compteur_4[[#This Row],[Début de période]])-3))</f>
        <v>0</v>
      </c>
      <c r="C96" s="185"/>
      <c r="E96">
        <f t="shared" si="3"/>
        <v>0</v>
      </c>
      <c r="F96" t="str">
        <f>IFERROR(Tab_Compteur_4[[#This Row],[Quantité]]/Tab_Compteur_4[[#This Row],[Delta Jour]],"")</f>
        <v/>
      </c>
      <c r="G96" t="str">
        <f>IFERROR(Tab_Compteur_4[[#This Row],[Montant TTC]]/Tab_Compteur_4[[#This Row],[Delta Jour]],"")</f>
        <v/>
      </c>
      <c r="H96" s="42"/>
      <c r="I96" s="42"/>
      <c r="J96" s="42"/>
      <c r="K96" s="42"/>
      <c r="L96" s="42"/>
    </row>
    <row r="97" spans="1:12" x14ac:dyDescent="0.25">
      <c r="A97" s="3">
        <f t="shared" si="4"/>
        <v>1</v>
      </c>
      <c r="B97" s="3">
        <f>EDATE($B$3,Site!$I$36*(ROW(Tab_Compteur_4[[#This Row],[Début de période]])-3))</f>
        <v>0</v>
      </c>
      <c r="C97" s="185"/>
      <c r="E97">
        <f t="shared" si="3"/>
        <v>0</v>
      </c>
      <c r="F97" t="str">
        <f>IFERROR(Tab_Compteur_4[[#This Row],[Quantité]]/Tab_Compteur_4[[#This Row],[Delta Jour]],"")</f>
        <v/>
      </c>
      <c r="G97" t="str">
        <f>IFERROR(Tab_Compteur_4[[#This Row],[Montant TTC]]/Tab_Compteur_4[[#This Row],[Delta Jour]],"")</f>
        <v/>
      </c>
      <c r="H97" s="42"/>
      <c r="I97" s="42"/>
      <c r="J97" s="42"/>
      <c r="K97" s="42"/>
      <c r="L97" s="42"/>
    </row>
    <row r="98" spans="1:12" x14ac:dyDescent="0.25">
      <c r="A98" s="3">
        <f t="shared" si="4"/>
        <v>1</v>
      </c>
      <c r="B98" s="3">
        <f>EDATE($B$3,Site!$I$36*(ROW(Tab_Compteur_4[[#This Row],[Début de période]])-3))</f>
        <v>0</v>
      </c>
      <c r="C98" s="185"/>
      <c r="E98">
        <f t="shared" si="3"/>
        <v>0</v>
      </c>
      <c r="F98" t="str">
        <f>IFERROR(Tab_Compteur_4[[#This Row],[Quantité]]/Tab_Compteur_4[[#This Row],[Delta Jour]],"")</f>
        <v/>
      </c>
      <c r="G98" t="str">
        <f>IFERROR(Tab_Compteur_4[[#This Row],[Montant TTC]]/Tab_Compteur_4[[#This Row],[Delta Jour]],"")</f>
        <v/>
      </c>
      <c r="H98" s="42"/>
      <c r="I98" s="42"/>
      <c r="J98" s="42"/>
      <c r="K98" s="42"/>
      <c r="L98" s="42"/>
    </row>
    <row r="99" spans="1:12" x14ac:dyDescent="0.25">
      <c r="A99" s="3">
        <f t="shared" si="4"/>
        <v>1</v>
      </c>
      <c r="B99" s="3">
        <f>EDATE($B$3,Site!$I$36*(ROW(Tab_Compteur_4[[#This Row],[Début de période]])-3))</f>
        <v>0</v>
      </c>
      <c r="C99" s="185"/>
      <c r="E99">
        <f t="shared" si="3"/>
        <v>0</v>
      </c>
      <c r="F99" t="str">
        <f>IFERROR(Tab_Compteur_4[[#This Row],[Quantité]]/Tab_Compteur_4[[#This Row],[Delta Jour]],"")</f>
        <v/>
      </c>
      <c r="G99" t="str">
        <f>IFERROR(Tab_Compteur_4[[#This Row],[Montant TTC]]/Tab_Compteur_4[[#This Row],[Delta Jour]],"")</f>
        <v/>
      </c>
      <c r="H99" s="42"/>
      <c r="I99" s="42"/>
      <c r="J99" s="42"/>
      <c r="K99" s="42"/>
      <c r="L99" s="42"/>
    </row>
    <row r="100" spans="1:12" x14ac:dyDescent="0.25">
      <c r="A100" s="3">
        <f t="shared" si="4"/>
        <v>1</v>
      </c>
      <c r="B100" s="3">
        <f>EDATE($B$3,Site!$I$36*(ROW(Tab_Compteur_4[[#This Row],[Début de période]])-3))</f>
        <v>0</v>
      </c>
      <c r="C100" s="185"/>
      <c r="E100">
        <f t="shared" si="3"/>
        <v>0</v>
      </c>
      <c r="F100" t="str">
        <f>IFERROR(Tab_Compteur_4[[#This Row],[Quantité]]/Tab_Compteur_4[[#This Row],[Delta Jour]],"")</f>
        <v/>
      </c>
      <c r="G100" t="str">
        <f>IFERROR(Tab_Compteur_4[[#This Row],[Montant TTC]]/Tab_Compteur_4[[#This Row],[Delta Jour]],"")</f>
        <v/>
      </c>
      <c r="H100" s="42"/>
      <c r="I100" s="42"/>
      <c r="J100" s="42"/>
      <c r="K100" s="42"/>
      <c r="L100" s="42"/>
    </row>
    <row r="101" spans="1:12" x14ac:dyDescent="0.25">
      <c r="A101" s="3">
        <f t="shared" si="4"/>
        <v>1</v>
      </c>
      <c r="B101" s="3">
        <f>EDATE($B$3,Site!$I$36*(ROW(Tab_Compteur_4[[#This Row],[Début de période]])-3))</f>
        <v>0</v>
      </c>
      <c r="C101" s="185"/>
      <c r="E101">
        <f t="shared" si="3"/>
        <v>0</v>
      </c>
      <c r="F101" t="str">
        <f>IFERROR(Tab_Compteur_4[[#This Row],[Quantité]]/Tab_Compteur_4[[#This Row],[Delta Jour]],"")</f>
        <v/>
      </c>
      <c r="G101" t="str">
        <f>IFERROR(Tab_Compteur_4[[#This Row],[Montant TTC]]/Tab_Compteur_4[[#This Row],[Delta Jour]],"")</f>
        <v/>
      </c>
      <c r="H101" s="42"/>
      <c r="I101" s="42"/>
      <c r="J101" s="42"/>
      <c r="K101" s="42"/>
      <c r="L101" s="42"/>
    </row>
    <row r="102" spans="1:12" x14ac:dyDescent="0.25">
      <c r="A102" s="3">
        <f t="shared" si="4"/>
        <v>1</v>
      </c>
      <c r="B102" s="3">
        <f>EDATE($B$3,Site!$I$36*(ROW(Tab_Compteur_4[[#This Row],[Début de période]])-3))</f>
        <v>0</v>
      </c>
      <c r="C102" s="185"/>
      <c r="E102">
        <f t="shared" si="3"/>
        <v>0</v>
      </c>
      <c r="F102" t="str">
        <f>IFERROR(Tab_Compteur_4[[#This Row],[Quantité]]/Tab_Compteur_4[[#This Row],[Delta Jour]],"")</f>
        <v/>
      </c>
      <c r="G102" t="str">
        <f>IFERROR(Tab_Compteur_4[[#This Row],[Montant TTC]]/Tab_Compteur_4[[#This Row],[Delta Jour]],"")</f>
        <v/>
      </c>
      <c r="H102" s="42"/>
      <c r="I102" s="42"/>
      <c r="J102" s="42"/>
      <c r="K102" s="42"/>
      <c r="L102" s="42"/>
    </row>
    <row r="103" spans="1:12" x14ac:dyDescent="0.25">
      <c r="A103" s="3">
        <f t="shared" si="4"/>
        <v>1</v>
      </c>
      <c r="B103" s="3">
        <f>EDATE($B$3,Site!$I$36*(ROW(Tab_Compteur_4[[#This Row],[Début de période]])-3))</f>
        <v>0</v>
      </c>
      <c r="C103" s="185"/>
      <c r="E103">
        <f t="shared" si="3"/>
        <v>0</v>
      </c>
      <c r="F103" t="str">
        <f>IFERROR(Tab_Compteur_4[[#This Row],[Quantité]]/Tab_Compteur_4[[#This Row],[Delta Jour]],"")</f>
        <v/>
      </c>
      <c r="G103" t="str">
        <f>IFERROR(Tab_Compteur_4[[#This Row],[Montant TTC]]/Tab_Compteur_4[[#This Row],[Delta Jour]],"")</f>
        <v/>
      </c>
      <c r="H103" s="42"/>
      <c r="I103" s="42"/>
      <c r="J103" s="42"/>
      <c r="K103" s="42"/>
      <c r="L103" s="42"/>
    </row>
    <row r="104" spans="1:12" x14ac:dyDescent="0.25">
      <c r="A104" s="3">
        <f t="shared" si="4"/>
        <v>1</v>
      </c>
      <c r="B104" s="3">
        <f>EDATE($B$3,Site!$I$36*(ROW(Tab_Compteur_4[[#This Row],[Début de période]])-3))</f>
        <v>0</v>
      </c>
      <c r="C104" s="185"/>
      <c r="E104">
        <f t="shared" si="3"/>
        <v>0</v>
      </c>
      <c r="F104" t="str">
        <f>IFERROR(Tab_Compteur_4[[#This Row],[Quantité]]/Tab_Compteur_4[[#This Row],[Delta Jour]],"")</f>
        <v/>
      </c>
      <c r="G104" t="str">
        <f>IFERROR(Tab_Compteur_4[[#This Row],[Montant TTC]]/Tab_Compteur_4[[#This Row],[Delta Jour]],"")</f>
        <v/>
      </c>
      <c r="H104" s="42"/>
      <c r="I104" s="42"/>
      <c r="J104" s="42"/>
      <c r="K104" s="42"/>
      <c r="L104" s="42"/>
    </row>
    <row r="105" spans="1:12" x14ac:dyDescent="0.25">
      <c r="A105" s="3">
        <f t="shared" si="4"/>
        <v>1</v>
      </c>
      <c r="B105" s="3">
        <f>EDATE($B$3,Site!$I$36*(ROW(Tab_Compteur_4[[#This Row],[Début de période]])-3))</f>
        <v>0</v>
      </c>
      <c r="C105" s="185"/>
      <c r="E105">
        <f t="shared" si="3"/>
        <v>0</v>
      </c>
      <c r="F105" t="str">
        <f>IFERROR(Tab_Compteur_4[[#This Row],[Quantité]]/Tab_Compteur_4[[#This Row],[Delta Jour]],"")</f>
        <v/>
      </c>
      <c r="G105" t="str">
        <f>IFERROR(Tab_Compteur_4[[#This Row],[Montant TTC]]/Tab_Compteur_4[[#This Row],[Delta Jour]],"")</f>
        <v/>
      </c>
      <c r="H105" s="42"/>
      <c r="I105" s="42"/>
      <c r="J105" s="42"/>
      <c r="K105" s="42"/>
      <c r="L105" s="42"/>
    </row>
    <row r="106" spans="1:12" x14ac:dyDescent="0.25">
      <c r="A106" s="3">
        <f t="shared" si="4"/>
        <v>1</v>
      </c>
      <c r="B106" s="3">
        <f>EDATE($B$3,Site!$I$36*(ROW(Tab_Compteur_4[[#This Row],[Début de période]])-3))</f>
        <v>0</v>
      </c>
      <c r="C106" s="185"/>
      <c r="E106">
        <f t="shared" si="3"/>
        <v>0</v>
      </c>
      <c r="F106" t="str">
        <f>IFERROR(Tab_Compteur_4[[#This Row],[Quantité]]/Tab_Compteur_4[[#This Row],[Delta Jour]],"")</f>
        <v/>
      </c>
      <c r="G106" t="str">
        <f>IFERROR(Tab_Compteur_4[[#This Row],[Montant TTC]]/Tab_Compteur_4[[#This Row],[Delta Jour]],"")</f>
        <v/>
      </c>
      <c r="H106" s="42"/>
      <c r="I106" s="42"/>
      <c r="J106" s="42"/>
      <c r="K106" s="42"/>
      <c r="L106" s="42"/>
    </row>
    <row r="107" spans="1:12" x14ac:dyDescent="0.25">
      <c r="A107" s="3">
        <f t="shared" si="4"/>
        <v>1</v>
      </c>
      <c r="B107" s="3">
        <f>EDATE($B$3,Site!$I$36*(ROW(Tab_Compteur_4[[#This Row],[Début de période]])-3))</f>
        <v>0</v>
      </c>
      <c r="C107" s="185"/>
      <c r="E107">
        <f t="shared" si="3"/>
        <v>0</v>
      </c>
      <c r="F107" t="str">
        <f>IFERROR(Tab_Compteur_4[[#This Row],[Quantité]]/Tab_Compteur_4[[#This Row],[Delta Jour]],"")</f>
        <v/>
      </c>
      <c r="G107" t="str">
        <f>IFERROR(Tab_Compteur_4[[#This Row],[Montant TTC]]/Tab_Compteur_4[[#This Row],[Delta Jour]],"")</f>
        <v/>
      </c>
      <c r="H107" s="42"/>
      <c r="I107" s="42"/>
      <c r="J107" s="42"/>
      <c r="K107" s="42"/>
      <c r="L107" s="42"/>
    </row>
    <row r="108" spans="1:12" x14ac:dyDescent="0.25">
      <c r="A108" s="3">
        <f t="shared" si="4"/>
        <v>1</v>
      </c>
      <c r="B108" s="3">
        <f>EDATE($B$3,Site!$I$36*(ROW(Tab_Compteur_4[[#This Row],[Début de période]])-3))</f>
        <v>0</v>
      </c>
      <c r="C108" s="185"/>
      <c r="E108">
        <f t="shared" si="3"/>
        <v>0</v>
      </c>
      <c r="F108" t="str">
        <f>IFERROR(Tab_Compteur_4[[#This Row],[Quantité]]/Tab_Compteur_4[[#This Row],[Delta Jour]],"")</f>
        <v/>
      </c>
      <c r="G108" t="str">
        <f>IFERROR(Tab_Compteur_4[[#This Row],[Montant TTC]]/Tab_Compteur_4[[#This Row],[Delta Jour]],"")</f>
        <v/>
      </c>
      <c r="H108" s="42"/>
      <c r="I108" s="42"/>
      <c r="J108" s="42"/>
      <c r="K108" s="42"/>
      <c r="L108" s="42"/>
    </row>
    <row r="109" spans="1:12" x14ac:dyDescent="0.25">
      <c r="A109" s="3">
        <f t="shared" si="4"/>
        <v>1</v>
      </c>
      <c r="B109" s="3">
        <f>EDATE($B$3,Site!$I$36*(ROW(Tab_Compteur_4[[#This Row],[Début de période]])-3))</f>
        <v>0</v>
      </c>
      <c r="C109" s="185"/>
      <c r="E109">
        <f t="shared" si="3"/>
        <v>0</v>
      </c>
      <c r="F109" t="str">
        <f>IFERROR(Tab_Compteur_4[[#This Row],[Quantité]]/Tab_Compteur_4[[#This Row],[Delta Jour]],"")</f>
        <v/>
      </c>
      <c r="G109" t="str">
        <f>IFERROR(Tab_Compteur_4[[#This Row],[Montant TTC]]/Tab_Compteur_4[[#This Row],[Delta Jour]],"")</f>
        <v/>
      </c>
      <c r="H109" s="42"/>
      <c r="I109" s="42"/>
      <c r="J109" s="42"/>
      <c r="K109" s="42"/>
      <c r="L109" s="42"/>
    </row>
    <row r="110" spans="1:12" x14ac:dyDescent="0.25">
      <c r="A110" s="3">
        <f t="shared" si="4"/>
        <v>1</v>
      </c>
      <c r="B110" s="3">
        <f>EDATE($B$3,Site!$I$36*(ROW(Tab_Compteur_4[[#This Row],[Début de période]])-3))</f>
        <v>0</v>
      </c>
      <c r="C110" s="185"/>
      <c r="E110">
        <f t="shared" si="3"/>
        <v>0</v>
      </c>
      <c r="F110" t="str">
        <f>IFERROR(Tab_Compteur_4[[#This Row],[Quantité]]/Tab_Compteur_4[[#This Row],[Delta Jour]],"")</f>
        <v/>
      </c>
      <c r="G110" t="str">
        <f>IFERROR(Tab_Compteur_4[[#This Row],[Montant TTC]]/Tab_Compteur_4[[#This Row],[Delta Jour]],"")</f>
        <v/>
      </c>
      <c r="H110" s="42"/>
      <c r="I110" s="42"/>
      <c r="J110" s="42"/>
      <c r="K110" s="42"/>
      <c r="L110" s="42"/>
    </row>
    <row r="111" spans="1:12" x14ac:dyDescent="0.25">
      <c r="A111" s="3">
        <f t="shared" si="4"/>
        <v>1</v>
      </c>
      <c r="B111" s="3">
        <f>EDATE($B$3,Site!$I$36*(ROW(Tab_Compteur_4[[#This Row],[Début de période]])-3))</f>
        <v>0</v>
      </c>
      <c r="C111" s="185"/>
      <c r="E111">
        <f t="shared" si="3"/>
        <v>0</v>
      </c>
      <c r="F111" t="str">
        <f>IFERROR(Tab_Compteur_4[[#This Row],[Quantité]]/Tab_Compteur_4[[#This Row],[Delta Jour]],"")</f>
        <v/>
      </c>
      <c r="G111" t="str">
        <f>IFERROR(Tab_Compteur_4[[#This Row],[Montant TTC]]/Tab_Compteur_4[[#This Row],[Delta Jour]],"")</f>
        <v/>
      </c>
      <c r="H111" s="42"/>
      <c r="I111" s="42"/>
      <c r="J111" s="42"/>
      <c r="K111" s="42"/>
      <c r="L111" s="42"/>
    </row>
    <row r="112" spans="1:12" x14ac:dyDescent="0.25">
      <c r="A112" s="3">
        <f t="shared" si="4"/>
        <v>1</v>
      </c>
      <c r="B112" s="3">
        <f>EDATE($B$3,Site!$I$36*(ROW(Tab_Compteur_4[[#This Row],[Début de période]])-3))</f>
        <v>0</v>
      </c>
      <c r="C112" s="185"/>
      <c r="E112">
        <f t="shared" si="3"/>
        <v>0</v>
      </c>
      <c r="F112" t="str">
        <f>IFERROR(Tab_Compteur_4[[#This Row],[Quantité]]/Tab_Compteur_4[[#This Row],[Delta Jour]],"")</f>
        <v/>
      </c>
      <c r="G112" t="str">
        <f>IFERROR(Tab_Compteur_4[[#This Row],[Montant TTC]]/Tab_Compteur_4[[#This Row],[Delta Jour]],"")</f>
        <v/>
      </c>
      <c r="H112" s="42"/>
      <c r="I112" s="42"/>
      <c r="J112" s="42"/>
      <c r="K112" s="42"/>
      <c r="L112" s="42"/>
    </row>
    <row r="113" spans="1:12" x14ac:dyDescent="0.25">
      <c r="A113" s="3">
        <f t="shared" si="4"/>
        <v>1</v>
      </c>
      <c r="B113" s="3">
        <f>EDATE($B$3,Site!$I$36*(ROW(Tab_Compteur_4[[#This Row],[Début de période]])-3))</f>
        <v>0</v>
      </c>
      <c r="C113" s="185"/>
      <c r="E113">
        <f t="shared" si="3"/>
        <v>0</v>
      </c>
      <c r="F113" t="str">
        <f>IFERROR(Tab_Compteur_4[[#This Row],[Quantité]]/Tab_Compteur_4[[#This Row],[Delta Jour]],"")</f>
        <v/>
      </c>
      <c r="G113" t="str">
        <f>IFERROR(Tab_Compteur_4[[#This Row],[Montant TTC]]/Tab_Compteur_4[[#This Row],[Delta Jour]],"")</f>
        <v/>
      </c>
      <c r="H113" s="42"/>
      <c r="I113" s="42"/>
      <c r="J113" s="42"/>
      <c r="K113" s="42"/>
      <c r="L113" s="42"/>
    </row>
    <row r="114" spans="1:12" x14ac:dyDescent="0.25">
      <c r="A114" s="3">
        <f t="shared" si="4"/>
        <v>1</v>
      </c>
      <c r="B114" s="3">
        <f>EDATE($B$3,Site!$I$36*(ROW(Tab_Compteur_4[[#This Row],[Début de période]])-3))</f>
        <v>0</v>
      </c>
      <c r="C114" s="185"/>
      <c r="E114">
        <f t="shared" si="3"/>
        <v>0</v>
      </c>
      <c r="F114" t="str">
        <f>IFERROR(Tab_Compteur_4[[#This Row],[Quantité]]/Tab_Compteur_4[[#This Row],[Delta Jour]],"")</f>
        <v/>
      </c>
      <c r="G114" t="str">
        <f>IFERROR(Tab_Compteur_4[[#This Row],[Montant TTC]]/Tab_Compteur_4[[#This Row],[Delta Jour]],"")</f>
        <v/>
      </c>
      <c r="H114" s="42"/>
      <c r="I114" s="42"/>
      <c r="J114" s="42"/>
      <c r="K114" s="42"/>
      <c r="L114" s="42"/>
    </row>
    <row r="115" spans="1:12" x14ac:dyDescent="0.25">
      <c r="A115" s="3">
        <f t="shared" si="4"/>
        <v>1</v>
      </c>
      <c r="B115" s="3">
        <f>EDATE($B$3,Site!$I$36*(ROW(Tab_Compteur_4[[#This Row],[Début de période]])-3))</f>
        <v>0</v>
      </c>
      <c r="C115" s="185"/>
      <c r="E115">
        <f t="shared" si="3"/>
        <v>0</v>
      </c>
      <c r="F115" t="str">
        <f>IFERROR(Tab_Compteur_4[[#This Row],[Quantité]]/Tab_Compteur_4[[#This Row],[Delta Jour]],"")</f>
        <v/>
      </c>
      <c r="G115" t="str">
        <f>IFERROR(Tab_Compteur_4[[#This Row],[Montant TTC]]/Tab_Compteur_4[[#This Row],[Delta Jour]],"")</f>
        <v/>
      </c>
      <c r="H115" s="42"/>
      <c r="I115" s="42"/>
      <c r="J115" s="42"/>
      <c r="K115" s="42"/>
      <c r="L115" s="42"/>
    </row>
    <row r="116" spans="1:12" x14ac:dyDescent="0.25">
      <c r="A116" s="3">
        <f t="shared" si="4"/>
        <v>1</v>
      </c>
      <c r="B116" s="3">
        <f>EDATE($B$3,Site!$I$36*(ROW(Tab_Compteur_4[[#This Row],[Début de période]])-3))</f>
        <v>0</v>
      </c>
      <c r="C116" s="185"/>
      <c r="E116">
        <f t="shared" si="3"/>
        <v>0</v>
      </c>
      <c r="F116" t="str">
        <f>IFERROR(Tab_Compteur_4[[#This Row],[Quantité]]/Tab_Compteur_4[[#This Row],[Delta Jour]],"")</f>
        <v/>
      </c>
      <c r="G116" t="str">
        <f>IFERROR(Tab_Compteur_4[[#This Row],[Montant TTC]]/Tab_Compteur_4[[#This Row],[Delta Jour]],"")</f>
        <v/>
      </c>
      <c r="H116" s="42"/>
      <c r="I116" s="42"/>
      <c r="J116" s="42"/>
      <c r="K116" s="42"/>
      <c r="L116" s="42"/>
    </row>
    <row r="117" spans="1:12" x14ac:dyDescent="0.25">
      <c r="A117" s="3">
        <f t="shared" si="4"/>
        <v>1</v>
      </c>
      <c r="B117" s="3">
        <f>EDATE($B$3,Site!$I$36*(ROW(Tab_Compteur_4[[#This Row],[Début de période]])-3))</f>
        <v>0</v>
      </c>
      <c r="C117" s="185"/>
      <c r="E117">
        <f t="shared" si="3"/>
        <v>0</v>
      </c>
      <c r="F117" t="str">
        <f>IFERROR(Tab_Compteur_4[[#This Row],[Quantité]]/Tab_Compteur_4[[#This Row],[Delta Jour]],"")</f>
        <v/>
      </c>
      <c r="G117" t="str">
        <f>IFERROR(Tab_Compteur_4[[#This Row],[Montant TTC]]/Tab_Compteur_4[[#This Row],[Delta Jour]],"")</f>
        <v/>
      </c>
      <c r="H117" s="42"/>
      <c r="I117" s="42"/>
      <c r="J117" s="42"/>
      <c r="K117" s="42"/>
      <c r="L117" s="42"/>
    </row>
    <row r="118" spans="1:12" x14ac:dyDescent="0.25">
      <c r="A118" s="3">
        <f t="shared" si="4"/>
        <v>1</v>
      </c>
      <c r="B118" s="3">
        <f>EDATE($B$3,Site!$I$36*(ROW(Tab_Compteur_4[[#This Row],[Début de période]])-3))</f>
        <v>0</v>
      </c>
      <c r="C118" s="185"/>
      <c r="E118">
        <f t="shared" si="3"/>
        <v>0</v>
      </c>
      <c r="F118" t="str">
        <f>IFERROR(Tab_Compteur_4[[#This Row],[Quantité]]/Tab_Compteur_4[[#This Row],[Delta Jour]],"")</f>
        <v/>
      </c>
      <c r="G118" t="str">
        <f>IFERROR(Tab_Compteur_4[[#This Row],[Montant TTC]]/Tab_Compteur_4[[#This Row],[Delta Jour]],"")</f>
        <v/>
      </c>
      <c r="H118" s="42"/>
      <c r="I118" s="42"/>
      <c r="J118" s="42"/>
      <c r="K118" s="42"/>
      <c r="L118" s="42"/>
    </row>
    <row r="119" spans="1:12" x14ac:dyDescent="0.25">
      <c r="A119" s="3">
        <f t="shared" si="4"/>
        <v>1</v>
      </c>
      <c r="B119" s="3">
        <f>EDATE($B$3,Site!$I$36*(ROW(Tab_Compteur_4[[#This Row],[Début de période]])-3))</f>
        <v>0</v>
      </c>
      <c r="C119" s="185"/>
      <c r="E119">
        <f t="shared" si="3"/>
        <v>0</v>
      </c>
      <c r="F119" t="str">
        <f>IFERROR(Tab_Compteur_4[[#This Row],[Quantité]]/Tab_Compteur_4[[#This Row],[Delta Jour]],"")</f>
        <v/>
      </c>
      <c r="G119" t="str">
        <f>IFERROR(Tab_Compteur_4[[#This Row],[Montant TTC]]/Tab_Compteur_4[[#This Row],[Delta Jour]],"")</f>
        <v/>
      </c>
      <c r="H119" s="42"/>
      <c r="I119" s="42"/>
      <c r="J119" s="42"/>
      <c r="K119" s="42"/>
      <c r="L119" s="42"/>
    </row>
    <row r="120" spans="1:12" x14ac:dyDescent="0.25">
      <c r="A120" s="3">
        <f t="shared" si="4"/>
        <v>1</v>
      </c>
      <c r="B120" s="3">
        <f>EDATE($B$3,Site!$I$36*(ROW(Tab_Compteur_4[[#This Row],[Début de période]])-3))</f>
        <v>0</v>
      </c>
      <c r="C120" s="185"/>
      <c r="E120">
        <f t="shared" si="3"/>
        <v>0</v>
      </c>
      <c r="F120" t="str">
        <f>IFERROR(Tab_Compteur_4[[#This Row],[Quantité]]/Tab_Compteur_4[[#This Row],[Delta Jour]],"")</f>
        <v/>
      </c>
      <c r="G120" t="str">
        <f>IFERROR(Tab_Compteur_4[[#This Row],[Montant TTC]]/Tab_Compteur_4[[#This Row],[Delta Jour]],"")</f>
        <v/>
      </c>
      <c r="H120" s="42"/>
      <c r="I120" s="42"/>
      <c r="J120" s="42"/>
      <c r="K120" s="42"/>
      <c r="L120" s="42"/>
    </row>
    <row r="121" spans="1:12" x14ac:dyDescent="0.25">
      <c r="A121" s="3">
        <f t="shared" si="4"/>
        <v>1</v>
      </c>
      <c r="B121" s="3">
        <f>EDATE($B$3,Site!$I$36*(ROW(Tab_Compteur_4[[#This Row],[Début de période]])-3))</f>
        <v>0</v>
      </c>
      <c r="C121" s="185"/>
      <c r="E121">
        <f t="shared" si="3"/>
        <v>0</v>
      </c>
      <c r="F121" t="str">
        <f>IFERROR(Tab_Compteur_4[[#This Row],[Quantité]]/Tab_Compteur_4[[#This Row],[Delta Jour]],"")</f>
        <v/>
      </c>
      <c r="G121" t="str">
        <f>IFERROR(Tab_Compteur_4[[#This Row],[Montant TTC]]/Tab_Compteur_4[[#This Row],[Delta Jour]],"")</f>
        <v/>
      </c>
      <c r="H121" s="42"/>
      <c r="I121" s="42"/>
      <c r="J121" s="42"/>
      <c r="K121" s="42"/>
      <c r="L121" s="42"/>
    </row>
    <row r="122" spans="1:12" x14ac:dyDescent="0.25">
      <c r="A122" s="3">
        <f t="shared" si="4"/>
        <v>1</v>
      </c>
      <c r="B122" s="3">
        <f>EDATE($B$3,Site!$I$36*(ROW(Tab_Compteur_4[[#This Row],[Début de période]])-3))</f>
        <v>0</v>
      </c>
      <c r="C122" s="185"/>
      <c r="E122">
        <f t="shared" si="3"/>
        <v>0</v>
      </c>
      <c r="F122" t="str">
        <f>IFERROR(Tab_Compteur_4[[#This Row],[Quantité]]/Tab_Compteur_4[[#This Row],[Delta Jour]],"")</f>
        <v/>
      </c>
      <c r="G122" t="str">
        <f>IFERROR(Tab_Compteur_4[[#This Row],[Montant TTC]]/Tab_Compteur_4[[#This Row],[Delta Jour]],"")</f>
        <v/>
      </c>
      <c r="H122" s="42"/>
      <c r="I122" s="42"/>
      <c r="J122" s="42"/>
      <c r="K122" s="42"/>
      <c r="L122" s="42"/>
    </row>
    <row r="123" spans="1:12" x14ac:dyDescent="0.25">
      <c r="A123" s="3">
        <f t="shared" si="4"/>
        <v>1</v>
      </c>
      <c r="B123" s="3">
        <f>EDATE($B$3,Site!$I$36*(ROW(Tab_Compteur_4[[#This Row],[Début de période]])-3))</f>
        <v>0</v>
      </c>
      <c r="C123" s="185"/>
      <c r="E123">
        <f t="shared" si="3"/>
        <v>0</v>
      </c>
      <c r="F123" t="str">
        <f>IFERROR(Tab_Compteur_4[[#This Row],[Quantité]]/Tab_Compteur_4[[#This Row],[Delta Jour]],"")</f>
        <v/>
      </c>
      <c r="G123" t="str">
        <f>IFERROR(Tab_Compteur_4[[#This Row],[Montant TTC]]/Tab_Compteur_4[[#This Row],[Delta Jour]],"")</f>
        <v/>
      </c>
      <c r="H123" s="42"/>
      <c r="I123" s="42"/>
      <c r="J123" s="42"/>
      <c r="K123" s="42"/>
      <c r="L123" s="42"/>
    </row>
    <row r="124" spans="1:12" x14ac:dyDescent="0.25">
      <c r="A124" s="3">
        <f t="shared" si="4"/>
        <v>1</v>
      </c>
      <c r="B124" s="3">
        <f>EDATE($B$3,Site!$I$36*(ROW(Tab_Compteur_4[[#This Row],[Début de période]])-3))</f>
        <v>0</v>
      </c>
      <c r="C124" s="185"/>
      <c r="E124">
        <f t="shared" si="3"/>
        <v>0</v>
      </c>
      <c r="F124" t="str">
        <f>IFERROR(Tab_Compteur_4[[#This Row],[Quantité]]/Tab_Compteur_4[[#This Row],[Delta Jour]],"")</f>
        <v/>
      </c>
      <c r="G124" t="str">
        <f>IFERROR(Tab_Compteur_4[[#This Row],[Montant TTC]]/Tab_Compteur_4[[#This Row],[Delta Jour]],"")</f>
        <v/>
      </c>
      <c r="H124" s="42"/>
      <c r="I124" s="42"/>
      <c r="J124" s="42"/>
      <c r="K124" s="42"/>
      <c r="L124" s="42"/>
    </row>
    <row r="125" spans="1:12" x14ac:dyDescent="0.25">
      <c r="A125" s="3">
        <f t="shared" si="4"/>
        <v>1</v>
      </c>
      <c r="B125" s="3">
        <f>EDATE($B$3,Site!$I$36*(ROW(Tab_Compteur_4[[#This Row],[Début de période]])-3))</f>
        <v>0</v>
      </c>
      <c r="C125" s="185"/>
      <c r="E125">
        <f t="shared" si="3"/>
        <v>0</v>
      </c>
      <c r="F125" t="str">
        <f>IFERROR(Tab_Compteur_4[[#This Row],[Quantité]]/Tab_Compteur_4[[#This Row],[Delta Jour]],"")</f>
        <v/>
      </c>
      <c r="G125" t="str">
        <f>IFERROR(Tab_Compteur_4[[#This Row],[Montant TTC]]/Tab_Compteur_4[[#This Row],[Delta Jour]],"")</f>
        <v/>
      </c>
      <c r="H125" s="42"/>
      <c r="I125" s="42"/>
      <c r="J125" s="42"/>
      <c r="K125" s="42"/>
      <c r="L125" s="42"/>
    </row>
    <row r="126" spans="1:12" x14ac:dyDescent="0.25">
      <c r="A126" s="3">
        <f t="shared" si="4"/>
        <v>1</v>
      </c>
      <c r="B126" s="3">
        <f>EDATE($B$3,Site!$I$36*(ROW(Tab_Compteur_4[[#This Row],[Début de période]])-3))</f>
        <v>0</v>
      </c>
      <c r="C126" s="185"/>
      <c r="E126">
        <f t="shared" si="3"/>
        <v>0</v>
      </c>
      <c r="F126" t="str">
        <f>IFERROR(Tab_Compteur_4[[#This Row],[Quantité]]/Tab_Compteur_4[[#This Row],[Delta Jour]],"")</f>
        <v/>
      </c>
      <c r="G126" t="str">
        <f>IFERROR(Tab_Compteur_4[[#This Row],[Montant TTC]]/Tab_Compteur_4[[#This Row],[Delta Jour]],"")</f>
        <v/>
      </c>
      <c r="H126" s="42"/>
      <c r="I126" s="42"/>
      <c r="J126" s="42"/>
      <c r="K126" s="42"/>
      <c r="L126" s="42"/>
    </row>
    <row r="127" spans="1:12" x14ac:dyDescent="0.25">
      <c r="A127" s="3">
        <f t="shared" si="4"/>
        <v>1</v>
      </c>
      <c r="B127" s="3">
        <f>EDATE($B$3,Site!$I$36*(ROW(Tab_Compteur_4[[#This Row],[Début de période]])-3))</f>
        <v>0</v>
      </c>
      <c r="C127" s="185"/>
      <c r="E127">
        <f t="shared" si="3"/>
        <v>0</v>
      </c>
      <c r="F127" t="str">
        <f>IFERROR(Tab_Compteur_4[[#This Row],[Quantité]]/Tab_Compteur_4[[#This Row],[Delta Jour]],"")</f>
        <v/>
      </c>
      <c r="G127" t="str">
        <f>IFERROR(Tab_Compteur_4[[#This Row],[Montant TTC]]/Tab_Compteur_4[[#This Row],[Delta Jour]],"")</f>
        <v/>
      </c>
      <c r="H127" s="42"/>
      <c r="I127" s="42"/>
      <c r="J127" s="42"/>
      <c r="K127" s="42"/>
      <c r="L127" s="42"/>
    </row>
    <row r="128" spans="1:12" x14ac:dyDescent="0.25">
      <c r="A128" s="3">
        <f t="shared" si="4"/>
        <v>1</v>
      </c>
      <c r="B128" s="3">
        <f>EDATE($B$3,Site!$I$36*(ROW(Tab_Compteur_4[[#This Row],[Début de période]])-3))</f>
        <v>0</v>
      </c>
      <c r="C128" s="185"/>
      <c r="E128">
        <f t="shared" si="3"/>
        <v>0</v>
      </c>
      <c r="F128" t="str">
        <f>IFERROR(Tab_Compteur_4[[#This Row],[Quantité]]/Tab_Compteur_4[[#This Row],[Delta Jour]],"")</f>
        <v/>
      </c>
      <c r="G128" t="str">
        <f>IFERROR(Tab_Compteur_4[[#This Row],[Montant TTC]]/Tab_Compteur_4[[#This Row],[Delta Jour]],"")</f>
        <v/>
      </c>
      <c r="H128" s="42"/>
      <c r="I128" s="42"/>
      <c r="J128" s="42"/>
      <c r="K128" s="42"/>
      <c r="L128" s="42"/>
    </row>
    <row r="129" spans="1:12" x14ac:dyDescent="0.25">
      <c r="A129" s="3">
        <f t="shared" si="4"/>
        <v>1</v>
      </c>
      <c r="B129" s="3">
        <f>EDATE($B$3,Site!$I$36*(ROW(Tab_Compteur_4[[#This Row],[Début de période]])-3))</f>
        <v>0</v>
      </c>
      <c r="C129" s="185"/>
      <c r="E129">
        <f t="shared" si="3"/>
        <v>0</v>
      </c>
      <c r="F129" t="str">
        <f>IFERROR(Tab_Compteur_4[[#This Row],[Quantité]]/Tab_Compteur_4[[#This Row],[Delta Jour]],"")</f>
        <v/>
      </c>
      <c r="G129" t="str">
        <f>IFERROR(Tab_Compteur_4[[#This Row],[Montant TTC]]/Tab_Compteur_4[[#This Row],[Delta Jour]],"")</f>
        <v/>
      </c>
      <c r="H129" s="42"/>
      <c r="I129" s="42"/>
      <c r="J129" s="42"/>
      <c r="K129" s="42"/>
      <c r="L129" s="42"/>
    </row>
    <row r="130" spans="1:12" x14ac:dyDescent="0.25">
      <c r="A130" s="3">
        <f t="shared" si="4"/>
        <v>1</v>
      </c>
      <c r="B130" s="3">
        <f>EDATE($B$3,Site!$I$36*(ROW(Tab_Compteur_4[[#This Row],[Début de période]])-3))</f>
        <v>0</v>
      </c>
      <c r="C130" s="185"/>
      <c r="E130">
        <f t="shared" ref="E130:E193" si="5">IFERROR(B130-A130+1,"")</f>
        <v>0</v>
      </c>
      <c r="F130" t="str">
        <f>IFERROR(Tab_Compteur_4[[#This Row],[Quantité]]/Tab_Compteur_4[[#This Row],[Delta Jour]],"")</f>
        <v/>
      </c>
      <c r="G130" t="str">
        <f>IFERROR(Tab_Compteur_4[[#This Row],[Montant TTC]]/Tab_Compteur_4[[#This Row],[Delta Jour]],"")</f>
        <v/>
      </c>
      <c r="H130" s="42"/>
      <c r="I130" s="42"/>
      <c r="J130" s="42"/>
      <c r="K130" s="42"/>
      <c r="L130" s="42"/>
    </row>
    <row r="131" spans="1:12" x14ac:dyDescent="0.25">
      <c r="A131" s="3">
        <f t="shared" si="4"/>
        <v>1</v>
      </c>
      <c r="B131" s="3">
        <f>EDATE($B$3,Site!$I$36*(ROW(Tab_Compteur_4[[#This Row],[Début de période]])-3))</f>
        <v>0</v>
      </c>
      <c r="C131" s="185"/>
      <c r="E131">
        <f t="shared" si="5"/>
        <v>0</v>
      </c>
      <c r="F131" t="str">
        <f>IFERROR(Tab_Compteur_4[[#This Row],[Quantité]]/Tab_Compteur_4[[#This Row],[Delta Jour]],"")</f>
        <v/>
      </c>
      <c r="G131" t="str">
        <f>IFERROR(Tab_Compteur_4[[#This Row],[Montant TTC]]/Tab_Compteur_4[[#This Row],[Delta Jour]],"")</f>
        <v/>
      </c>
      <c r="H131" s="42"/>
      <c r="I131" s="42"/>
      <c r="J131" s="42"/>
      <c r="K131" s="42"/>
      <c r="L131" s="42"/>
    </row>
    <row r="132" spans="1:12" x14ac:dyDescent="0.25">
      <c r="A132" s="3">
        <f t="shared" si="4"/>
        <v>1</v>
      </c>
      <c r="B132" s="3">
        <f>EDATE($B$3,Site!$I$36*(ROW(Tab_Compteur_4[[#This Row],[Début de période]])-3))</f>
        <v>0</v>
      </c>
      <c r="C132" s="185"/>
      <c r="E132">
        <f t="shared" si="5"/>
        <v>0</v>
      </c>
      <c r="F132" t="str">
        <f>IFERROR(Tab_Compteur_4[[#This Row],[Quantité]]/Tab_Compteur_4[[#This Row],[Delta Jour]],"")</f>
        <v/>
      </c>
      <c r="G132" t="str">
        <f>IFERROR(Tab_Compteur_4[[#This Row],[Montant TTC]]/Tab_Compteur_4[[#This Row],[Delta Jour]],"")</f>
        <v/>
      </c>
      <c r="H132" s="42"/>
      <c r="I132" s="42"/>
      <c r="J132" s="42"/>
      <c r="K132" s="42"/>
      <c r="L132" s="42"/>
    </row>
    <row r="133" spans="1:12" x14ac:dyDescent="0.25">
      <c r="A133" s="3">
        <f t="shared" ref="A133:A196" si="6">B132+1</f>
        <v>1</v>
      </c>
      <c r="B133" s="3">
        <f>EDATE($B$3,Site!$I$36*(ROW(Tab_Compteur_4[[#This Row],[Début de période]])-3))</f>
        <v>0</v>
      </c>
      <c r="C133" s="185"/>
      <c r="E133">
        <f t="shared" si="5"/>
        <v>0</v>
      </c>
      <c r="F133" t="str">
        <f>IFERROR(Tab_Compteur_4[[#This Row],[Quantité]]/Tab_Compteur_4[[#This Row],[Delta Jour]],"")</f>
        <v/>
      </c>
      <c r="G133" t="str">
        <f>IFERROR(Tab_Compteur_4[[#This Row],[Montant TTC]]/Tab_Compteur_4[[#This Row],[Delta Jour]],"")</f>
        <v/>
      </c>
      <c r="H133" s="42"/>
      <c r="I133" s="42"/>
      <c r="J133" s="42"/>
      <c r="K133" s="42"/>
      <c r="L133" s="42"/>
    </row>
    <row r="134" spans="1:12" x14ac:dyDescent="0.25">
      <c r="A134" s="3">
        <f t="shared" si="6"/>
        <v>1</v>
      </c>
      <c r="B134" s="3">
        <f>EDATE($B$3,Site!$I$36*(ROW(Tab_Compteur_4[[#This Row],[Début de période]])-3))</f>
        <v>0</v>
      </c>
      <c r="C134" s="185"/>
      <c r="E134">
        <f t="shared" si="5"/>
        <v>0</v>
      </c>
      <c r="F134" t="str">
        <f>IFERROR(Tab_Compteur_4[[#This Row],[Quantité]]/Tab_Compteur_4[[#This Row],[Delta Jour]],"")</f>
        <v/>
      </c>
      <c r="G134" t="str">
        <f>IFERROR(Tab_Compteur_4[[#This Row],[Montant TTC]]/Tab_Compteur_4[[#This Row],[Delta Jour]],"")</f>
        <v/>
      </c>
      <c r="H134" s="42"/>
      <c r="I134" s="42"/>
      <c r="J134" s="42"/>
      <c r="K134" s="42"/>
      <c r="L134" s="42"/>
    </row>
    <row r="135" spans="1:12" x14ac:dyDescent="0.25">
      <c r="A135" s="3">
        <f t="shared" si="6"/>
        <v>1</v>
      </c>
      <c r="B135" s="3">
        <f>EDATE($B$3,Site!$I$36*(ROW(Tab_Compteur_4[[#This Row],[Début de période]])-3))</f>
        <v>0</v>
      </c>
      <c r="C135" s="185"/>
      <c r="E135">
        <f t="shared" si="5"/>
        <v>0</v>
      </c>
      <c r="F135" t="str">
        <f>IFERROR(Tab_Compteur_4[[#This Row],[Quantité]]/Tab_Compteur_4[[#This Row],[Delta Jour]],"")</f>
        <v/>
      </c>
      <c r="G135" t="str">
        <f>IFERROR(Tab_Compteur_4[[#This Row],[Montant TTC]]/Tab_Compteur_4[[#This Row],[Delta Jour]],"")</f>
        <v/>
      </c>
      <c r="H135" s="42"/>
      <c r="I135" s="42"/>
      <c r="J135" s="42"/>
      <c r="K135" s="42"/>
      <c r="L135" s="42"/>
    </row>
    <row r="136" spans="1:12" x14ac:dyDescent="0.25">
      <c r="A136" s="3">
        <f t="shared" si="6"/>
        <v>1</v>
      </c>
      <c r="B136" s="3">
        <f>EDATE($B$3,Site!$I$36*(ROW(Tab_Compteur_4[[#This Row],[Début de période]])-3))</f>
        <v>0</v>
      </c>
      <c r="C136" s="185"/>
      <c r="E136">
        <f t="shared" si="5"/>
        <v>0</v>
      </c>
      <c r="F136" t="str">
        <f>IFERROR(Tab_Compteur_4[[#This Row],[Quantité]]/Tab_Compteur_4[[#This Row],[Delta Jour]],"")</f>
        <v/>
      </c>
      <c r="G136" t="str">
        <f>IFERROR(Tab_Compteur_4[[#This Row],[Montant TTC]]/Tab_Compteur_4[[#This Row],[Delta Jour]],"")</f>
        <v/>
      </c>
      <c r="H136" s="42"/>
      <c r="I136" s="42"/>
      <c r="J136" s="42"/>
      <c r="K136" s="42"/>
      <c r="L136" s="42"/>
    </row>
    <row r="137" spans="1:12" x14ac:dyDescent="0.25">
      <c r="A137" s="3">
        <f t="shared" si="6"/>
        <v>1</v>
      </c>
      <c r="B137" s="3">
        <f>EDATE($B$3,Site!$I$36*(ROW(Tab_Compteur_4[[#This Row],[Début de période]])-3))</f>
        <v>0</v>
      </c>
      <c r="C137" s="185"/>
      <c r="E137">
        <f t="shared" si="5"/>
        <v>0</v>
      </c>
      <c r="F137" t="str">
        <f>IFERROR(Tab_Compteur_4[[#This Row],[Quantité]]/Tab_Compteur_4[[#This Row],[Delta Jour]],"")</f>
        <v/>
      </c>
      <c r="G137" t="str">
        <f>IFERROR(Tab_Compteur_4[[#This Row],[Montant TTC]]/Tab_Compteur_4[[#This Row],[Delta Jour]],"")</f>
        <v/>
      </c>
      <c r="H137" s="42"/>
      <c r="I137" s="42"/>
      <c r="J137" s="42"/>
      <c r="K137" s="42"/>
      <c r="L137" s="42"/>
    </row>
    <row r="138" spans="1:12" x14ac:dyDescent="0.25">
      <c r="A138" s="3">
        <f t="shared" si="6"/>
        <v>1</v>
      </c>
      <c r="B138" s="3">
        <f>EDATE($B$3,Site!$I$36*(ROW(Tab_Compteur_4[[#This Row],[Début de période]])-3))</f>
        <v>0</v>
      </c>
      <c r="C138" s="185"/>
      <c r="E138">
        <f t="shared" si="5"/>
        <v>0</v>
      </c>
      <c r="F138" t="str">
        <f>IFERROR(Tab_Compteur_4[[#This Row],[Quantité]]/Tab_Compteur_4[[#This Row],[Delta Jour]],"")</f>
        <v/>
      </c>
      <c r="G138" t="str">
        <f>IFERROR(Tab_Compteur_4[[#This Row],[Montant TTC]]/Tab_Compteur_4[[#This Row],[Delta Jour]],"")</f>
        <v/>
      </c>
      <c r="H138" s="42"/>
      <c r="I138" s="42"/>
      <c r="J138" s="42"/>
      <c r="K138" s="42"/>
      <c r="L138" s="42"/>
    </row>
    <row r="139" spans="1:12" x14ac:dyDescent="0.25">
      <c r="A139" s="3">
        <f t="shared" si="6"/>
        <v>1</v>
      </c>
      <c r="B139" s="3">
        <f>EDATE($B$3,Site!$I$36*(ROW(Tab_Compteur_4[[#This Row],[Début de période]])-3))</f>
        <v>0</v>
      </c>
      <c r="C139" s="185"/>
      <c r="E139">
        <f t="shared" si="5"/>
        <v>0</v>
      </c>
      <c r="F139" t="str">
        <f>IFERROR(Tab_Compteur_4[[#This Row],[Quantité]]/Tab_Compteur_4[[#This Row],[Delta Jour]],"")</f>
        <v/>
      </c>
      <c r="G139" t="str">
        <f>IFERROR(Tab_Compteur_4[[#This Row],[Montant TTC]]/Tab_Compteur_4[[#This Row],[Delta Jour]],"")</f>
        <v/>
      </c>
      <c r="H139" s="42"/>
      <c r="I139" s="42"/>
      <c r="J139" s="42"/>
      <c r="K139" s="42"/>
      <c r="L139" s="42"/>
    </row>
    <row r="140" spans="1:12" x14ac:dyDescent="0.25">
      <c r="A140" s="3">
        <f t="shared" si="6"/>
        <v>1</v>
      </c>
      <c r="B140" s="3">
        <f>EDATE($B$3,Site!$I$36*(ROW(Tab_Compteur_4[[#This Row],[Début de période]])-3))</f>
        <v>0</v>
      </c>
      <c r="C140" s="185"/>
      <c r="E140">
        <f t="shared" si="5"/>
        <v>0</v>
      </c>
      <c r="F140" t="str">
        <f>IFERROR(Tab_Compteur_4[[#This Row],[Quantité]]/Tab_Compteur_4[[#This Row],[Delta Jour]],"")</f>
        <v/>
      </c>
      <c r="G140" t="str">
        <f>IFERROR(Tab_Compteur_4[[#This Row],[Montant TTC]]/Tab_Compteur_4[[#This Row],[Delta Jour]],"")</f>
        <v/>
      </c>
      <c r="H140" s="42"/>
      <c r="I140" s="42"/>
      <c r="J140" s="42"/>
      <c r="K140" s="42"/>
      <c r="L140" s="42"/>
    </row>
    <row r="141" spans="1:12" x14ac:dyDescent="0.25">
      <c r="A141" s="3">
        <f t="shared" si="6"/>
        <v>1</v>
      </c>
      <c r="B141" s="3">
        <f>EDATE($B$3,Site!$I$36*(ROW(Tab_Compteur_4[[#This Row],[Début de période]])-3))</f>
        <v>0</v>
      </c>
      <c r="C141" s="185"/>
      <c r="E141">
        <f t="shared" si="5"/>
        <v>0</v>
      </c>
      <c r="F141" t="str">
        <f>IFERROR(Tab_Compteur_4[[#This Row],[Quantité]]/Tab_Compteur_4[[#This Row],[Delta Jour]],"")</f>
        <v/>
      </c>
      <c r="G141" t="str">
        <f>IFERROR(Tab_Compteur_4[[#This Row],[Montant TTC]]/Tab_Compteur_4[[#This Row],[Delta Jour]],"")</f>
        <v/>
      </c>
      <c r="H141" s="42"/>
      <c r="I141" s="42"/>
      <c r="J141" s="42"/>
      <c r="K141" s="42"/>
      <c r="L141" s="42"/>
    </row>
    <row r="142" spans="1:12" x14ac:dyDescent="0.25">
      <c r="A142" s="3">
        <f t="shared" si="6"/>
        <v>1</v>
      </c>
      <c r="B142" s="3">
        <f>EDATE($B$3,Site!$I$36*(ROW(Tab_Compteur_4[[#This Row],[Début de période]])-3))</f>
        <v>0</v>
      </c>
      <c r="C142" s="185"/>
      <c r="E142">
        <f t="shared" si="5"/>
        <v>0</v>
      </c>
      <c r="F142" t="str">
        <f>IFERROR(Tab_Compteur_4[[#This Row],[Quantité]]/Tab_Compteur_4[[#This Row],[Delta Jour]],"")</f>
        <v/>
      </c>
      <c r="G142" t="str">
        <f>IFERROR(Tab_Compteur_4[[#This Row],[Montant TTC]]/Tab_Compteur_4[[#This Row],[Delta Jour]],"")</f>
        <v/>
      </c>
      <c r="H142" s="42"/>
      <c r="I142" s="42"/>
      <c r="J142" s="42"/>
      <c r="K142" s="42"/>
      <c r="L142" s="42"/>
    </row>
    <row r="143" spans="1:12" x14ac:dyDescent="0.25">
      <c r="A143" s="3">
        <f t="shared" si="6"/>
        <v>1</v>
      </c>
      <c r="B143" s="3">
        <f>EDATE($B$3,Site!$I$36*(ROW(Tab_Compteur_4[[#This Row],[Début de période]])-3))</f>
        <v>0</v>
      </c>
      <c r="C143" s="185"/>
      <c r="E143">
        <f t="shared" si="5"/>
        <v>0</v>
      </c>
      <c r="F143" t="str">
        <f>IFERROR(Tab_Compteur_4[[#This Row],[Quantité]]/Tab_Compteur_4[[#This Row],[Delta Jour]],"")</f>
        <v/>
      </c>
      <c r="G143" t="str">
        <f>IFERROR(Tab_Compteur_4[[#This Row],[Montant TTC]]/Tab_Compteur_4[[#This Row],[Delta Jour]],"")</f>
        <v/>
      </c>
      <c r="H143" s="42"/>
      <c r="I143" s="42"/>
      <c r="J143" s="42"/>
      <c r="K143" s="42"/>
      <c r="L143" s="42"/>
    </row>
    <row r="144" spans="1:12" x14ac:dyDescent="0.25">
      <c r="A144" s="3">
        <f t="shared" si="6"/>
        <v>1</v>
      </c>
      <c r="B144" s="3">
        <f>EDATE($B$3,Site!$I$36*(ROW(Tab_Compteur_4[[#This Row],[Début de période]])-3))</f>
        <v>0</v>
      </c>
      <c r="C144" s="185"/>
      <c r="E144">
        <f t="shared" si="5"/>
        <v>0</v>
      </c>
      <c r="F144" t="str">
        <f>IFERROR(Tab_Compteur_4[[#This Row],[Quantité]]/Tab_Compteur_4[[#This Row],[Delta Jour]],"")</f>
        <v/>
      </c>
      <c r="G144" t="str">
        <f>IFERROR(Tab_Compteur_4[[#This Row],[Montant TTC]]/Tab_Compteur_4[[#This Row],[Delta Jour]],"")</f>
        <v/>
      </c>
      <c r="H144" s="42"/>
      <c r="I144" s="42"/>
      <c r="J144" s="42"/>
      <c r="K144" s="42"/>
      <c r="L144" s="42"/>
    </row>
    <row r="145" spans="1:12" x14ac:dyDescent="0.25">
      <c r="A145" s="3">
        <f t="shared" si="6"/>
        <v>1</v>
      </c>
      <c r="B145" s="3">
        <f>EDATE($B$3,Site!$I$36*(ROW(Tab_Compteur_4[[#This Row],[Début de période]])-3))</f>
        <v>0</v>
      </c>
      <c r="C145" s="185"/>
      <c r="E145">
        <f t="shared" si="5"/>
        <v>0</v>
      </c>
      <c r="F145" t="str">
        <f>IFERROR(Tab_Compteur_4[[#This Row],[Quantité]]/Tab_Compteur_4[[#This Row],[Delta Jour]],"")</f>
        <v/>
      </c>
      <c r="G145" t="str">
        <f>IFERROR(Tab_Compteur_4[[#This Row],[Montant TTC]]/Tab_Compteur_4[[#This Row],[Delta Jour]],"")</f>
        <v/>
      </c>
      <c r="H145" s="42"/>
      <c r="I145" s="42"/>
      <c r="J145" s="42"/>
      <c r="K145" s="42"/>
      <c r="L145" s="42"/>
    </row>
    <row r="146" spans="1:12" x14ac:dyDescent="0.25">
      <c r="A146" s="3">
        <f t="shared" si="6"/>
        <v>1</v>
      </c>
      <c r="B146" s="3">
        <f>EDATE($B$3,Site!$I$36*(ROW(Tab_Compteur_4[[#This Row],[Début de période]])-3))</f>
        <v>0</v>
      </c>
      <c r="C146" s="185"/>
      <c r="E146">
        <f t="shared" si="5"/>
        <v>0</v>
      </c>
      <c r="F146" t="str">
        <f>IFERROR(Tab_Compteur_4[[#This Row],[Quantité]]/Tab_Compteur_4[[#This Row],[Delta Jour]],"")</f>
        <v/>
      </c>
      <c r="G146" t="str">
        <f>IFERROR(Tab_Compteur_4[[#This Row],[Montant TTC]]/Tab_Compteur_4[[#This Row],[Delta Jour]],"")</f>
        <v/>
      </c>
      <c r="H146" s="42"/>
      <c r="I146" s="42"/>
      <c r="J146" s="42"/>
      <c r="K146" s="42"/>
      <c r="L146" s="42"/>
    </row>
    <row r="147" spans="1:12" x14ac:dyDescent="0.25">
      <c r="A147" s="3">
        <f t="shared" si="6"/>
        <v>1</v>
      </c>
      <c r="B147" s="3">
        <f>EDATE($B$3,Site!$I$36*(ROW(Tab_Compteur_4[[#This Row],[Début de période]])-3))</f>
        <v>0</v>
      </c>
      <c r="C147" s="185"/>
      <c r="E147">
        <f t="shared" si="5"/>
        <v>0</v>
      </c>
      <c r="F147" t="str">
        <f>IFERROR(Tab_Compteur_4[[#This Row],[Quantité]]/Tab_Compteur_4[[#This Row],[Delta Jour]],"")</f>
        <v/>
      </c>
      <c r="G147" t="str">
        <f>IFERROR(Tab_Compteur_4[[#This Row],[Montant TTC]]/Tab_Compteur_4[[#This Row],[Delta Jour]],"")</f>
        <v/>
      </c>
      <c r="H147" s="42"/>
      <c r="I147" s="42"/>
      <c r="J147" s="42"/>
      <c r="K147" s="42"/>
      <c r="L147" s="42"/>
    </row>
    <row r="148" spans="1:12" x14ac:dyDescent="0.25">
      <c r="A148" s="3">
        <f t="shared" si="6"/>
        <v>1</v>
      </c>
      <c r="B148" s="3">
        <f>EDATE($B$3,Site!$I$36*(ROW(Tab_Compteur_4[[#This Row],[Début de période]])-3))</f>
        <v>0</v>
      </c>
      <c r="C148" s="185"/>
      <c r="E148">
        <f t="shared" si="5"/>
        <v>0</v>
      </c>
      <c r="F148" t="str">
        <f>IFERROR(Tab_Compteur_4[[#This Row],[Quantité]]/Tab_Compteur_4[[#This Row],[Delta Jour]],"")</f>
        <v/>
      </c>
      <c r="G148" t="str">
        <f>IFERROR(Tab_Compteur_4[[#This Row],[Montant TTC]]/Tab_Compteur_4[[#This Row],[Delta Jour]],"")</f>
        <v/>
      </c>
      <c r="H148" s="42"/>
      <c r="I148" s="42"/>
      <c r="J148" s="42"/>
      <c r="K148" s="42"/>
      <c r="L148" s="42"/>
    </row>
    <row r="149" spans="1:12" x14ac:dyDescent="0.25">
      <c r="A149" s="3">
        <f t="shared" si="6"/>
        <v>1</v>
      </c>
      <c r="B149" s="3">
        <f>EDATE($B$3,Site!$I$36*(ROW(Tab_Compteur_4[[#This Row],[Début de période]])-3))</f>
        <v>0</v>
      </c>
      <c r="C149" s="185"/>
      <c r="E149">
        <f t="shared" si="5"/>
        <v>0</v>
      </c>
      <c r="F149" t="str">
        <f>IFERROR(Tab_Compteur_4[[#This Row],[Quantité]]/Tab_Compteur_4[[#This Row],[Delta Jour]],"")</f>
        <v/>
      </c>
      <c r="G149" t="str">
        <f>IFERROR(Tab_Compteur_4[[#This Row],[Montant TTC]]/Tab_Compteur_4[[#This Row],[Delta Jour]],"")</f>
        <v/>
      </c>
      <c r="H149" s="42"/>
      <c r="I149" s="42"/>
      <c r="J149" s="42"/>
      <c r="K149" s="42"/>
      <c r="L149" s="42"/>
    </row>
    <row r="150" spans="1:12" x14ac:dyDescent="0.25">
      <c r="A150" s="3">
        <f t="shared" si="6"/>
        <v>1</v>
      </c>
      <c r="B150" s="3">
        <f>EDATE($B$3,Site!$I$36*(ROW(Tab_Compteur_4[[#This Row],[Début de période]])-3))</f>
        <v>0</v>
      </c>
      <c r="C150" s="185"/>
      <c r="E150">
        <f t="shared" si="5"/>
        <v>0</v>
      </c>
      <c r="F150" t="str">
        <f>IFERROR(Tab_Compteur_4[[#This Row],[Quantité]]/Tab_Compteur_4[[#This Row],[Delta Jour]],"")</f>
        <v/>
      </c>
      <c r="G150" t="str">
        <f>IFERROR(Tab_Compteur_4[[#This Row],[Montant TTC]]/Tab_Compteur_4[[#This Row],[Delta Jour]],"")</f>
        <v/>
      </c>
      <c r="H150" s="42"/>
      <c r="I150" s="42"/>
      <c r="J150" s="42"/>
      <c r="K150" s="42"/>
      <c r="L150" s="42"/>
    </row>
    <row r="151" spans="1:12" x14ac:dyDescent="0.25">
      <c r="A151" s="3">
        <f t="shared" si="6"/>
        <v>1</v>
      </c>
      <c r="B151" s="3">
        <f>EDATE($B$3,Site!$I$36*(ROW(Tab_Compteur_4[[#This Row],[Début de période]])-3))</f>
        <v>0</v>
      </c>
      <c r="C151" s="185"/>
      <c r="E151">
        <f t="shared" si="5"/>
        <v>0</v>
      </c>
      <c r="F151" t="str">
        <f>IFERROR(Tab_Compteur_4[[#This Row],[Quantité]]/Tab_Compteur_4[[#This Row],[Delta Jour]],"")</f>
        <v/>
      </c>
      <c r="G151" t="str">
        <f>IFERROR(Tab_Compteur_4[[#This Row],[Montant TTC]]/Tab_Compteur_4[[#This Row],[Delta Jour]],"")</f>
        <v/>
      </c>
      <c r="H151" s="42"/>
      <c r="I151" s="42"/>
      <c r="J151" s="42"/>
      <c r="K151" s="42"/>
      <c r="L151" s="42"/>
    </row>
    <row r="152" spans="1:12" x14ac:dyDescent="0.25">
      <c r="A152" s="3">
        <f t="shared" si="6"/>
        <v>1</v>
      </c>
      <c r="B152" s="3">
        <f>EDATE($B$3,Site!$I$36*(ROW(Tab_Compteur_4[[#This Row],[Début de période]])-3))</f>
        <v>0</v>
      </c>
      <c r="C152" s="185"/>
      <c r="E152">
        <f t="shared" si="5"/>
        <v>0</v>
      </c>
      <c r="F152" t="str">
        <f>IFERROR(Tab_Compteur_4[[#This Row],[Quantité]]/Tab_Compteur_4[[#This Row],[Delta Jour]],"")</f>
        <v/>
      </c>
      <c r="G152" t="str">
        <f>IFERROR(Tab_Compteur_4[[#This Row],[Montant TTC]]/Tab_Compteur_4[[#This Row],[Delta Jour]],"")</f>
        <v/>
      </c>
      <c r="H152" s="42"/>
      <c r="I152" s="42"/>
      <c r="J152" s="42"/>
      <c r="K152" s="42"/>
      <c r="L152" s="42"/>
    </row>
    <row r="153" spans="1:12" x14ac:dyDescent="0.25">
      <c r="A153" s="3">
        <f t="shared" si="6"/>
        <v>1</v>
      </c>
      <c r="B153" s="3">
        <f>EDATE($B$3,Site!$I$36*(ROW(Tab_Compteur_4[[#This Row],[Début de période]])-3))</f>
        <v>0</v>
      </c>
      <c r="C153" s="185"/>
      <c r="E153">
        <f t="shared" si="5"/>
        <v>0</v>
      </c>
      <c r="F153" t="str">
        <f>IFERROR(Tab_Compteur_4[[#This Row],[Quantité]]/Tab_Compteur_4[[#This Row],[Delta Jour]],"")</f>
        <v/>
      </c>
      <c r="G153" t="str">
        <f>IFERROR(Tab_Compteur_4[[#This Row],[Montant TTC]]/Tab_Compteur_4[[#This Row],[Delta Jour]],"")</f>
        <v/>
      </c>
      <c r="H153" s="42"/>
      <c r="I153" s="42"/>
      <c r="J153" s="42"/>
      <c r="K153" s="42"/>
      <c r="L153" s="42"/>
    </row>
    <row r="154" spans="1:12" x14ac:dyDescent="0.25">
      <c r="A154" s="3">
        <f t="shared" si="6"/>
        <v>1</v>
      </c>
      <c r="B154" s="3">
        <f>EDATE($B$3,Site!$I$36*(ROW(Tab_Compteur_4[[#This Row],[Début de période]])-3))</f>
        <v>0</v>
      </c>
      <c r="C154" s="185"/>
      <c r="E154">
        <f t="shared" si="5"/>
        <v>0</v>
      </c>
      <c r="F154" t="str">
        <f>IFERROR(Tab_Compteur_4[[#This Row],[Quantité]]/Tab_Compteur_4[[#This Row],[Delta Jour]],"")</f>
        <v/>
      </c>
      <c r="G154" t="str">
        <f>IFERROR(Tab_Compteur_4[[#This Row],[Montant TTC]]/Tab_Compteur_4[[#This Row],[Delta Jour]],"")</f>
        <v/>
      </c>
      <c r="H154" s="42"/>
      <c r="I154" s="42"/>
      <c r="J154" s="42"/>
      <c r="K154" s="42"/>
      <c r="L154" s="42"/>
    </row>
    <row r="155" spans="1:12" x14ac:dyDescent="0.25">
      <c r="A155" s="3">
        <f t="shared" si="6"/>
        <v>1</v>
      </c>
      <c r="B155" s="3">
        <f>EDATE($B$3,Site!$I$36*(ROW(Tab_Compteur_4[[#This Row],[Début de période]])-3))</f>
        <v>0</v>
      </c>
      <c r="C155" s="185"/>
      <c r="E155">
        <f t="shared" si="5"/>
        <v>0</v>
      </c>
      <c r="F155" t="str">
        <f>IFERROR(Tab_Compteur_4[[#This Row],[Quantité]]/Tab_Compteur_4[[#This Row],[Delta Jour]],"")</f>
        <v/>
      </c>
      <c r="G155" t="str">
        <f>IFERROR(Tab_Compteur_4[[#This Row],[Montant TTC]]/Tab_Compteur_4[[#This Row],[Delta Jour]],"")</f>
        <v/>
      </c>
      <c r="H155" s="42"/>
      <c r="I155" s="42"/>
      <c r="J155" s="42"/>
      <c r="K155" s="42"/>
      <c r="L155" s="42"/>
    </row>
    <row r="156" spans="1:12" x14ac:dyDescent="0.25">
      <c r="A156" s="3">
        <f t="shared" si="6"/>
        <v>1</v>
      </c>
      <c r="B156" s="3">
        <f>EDATE($B$3,Site!$I$36*(ROW(Tab_Compteur_4[[#This Row],[Début de période]])-3))</f>
        <v>0</v>
      </c>
      <c r="C156" s="185"/>
      <c r="E156">
        <f t="shared" si="5"/>
        <v>0</v>
      </c>
      <c r="F156" t="str">
        <f>IFERROR(Tab_Compteur_4[[#This Row],[Quantité]]/Tab_Compteur_4[[#This Row],[Delta Jour]],"")</f>
        <v/>
      </c>
      <c r="G156" t="str">
        <f>IFERROR(Tab_Compteur_4[[#This Row],[Montant TTC]]/Tab_Compteur_4[[#This Row],[Delta Jour]],"")</f>
        <v/>
      </c>
      <c r="H156" s="42"/>
      <c r="I156" s="42"/>
      <c r="J156" s="42"/>
      <c r="K156" s="42"/>
      <c r="L156" s="42"/>
    </row>
    <row r="157" spans="1:12" x14ac:dyDescent="0.25">
      <c r="A157" s="3">
        <f t="shared" si="6"/>
        <v>1</v>
      </c>
      <c r="B157" s="3">
        <f>EDATE($B$3,Site!$I$36*(ROW(Tab_Compteur_4[[#This Row],[Début de période]])-3))</f>
        <v>0</v>
      </c>
      <c r="C157" s="185"/>
      <c r="E157">
        <f t="shared" si="5"/>
        <v>0</v>
      </c>
      <c r="F157" t="str">
        <f>IFERROR(Tab_Compteur_4[[#This Row],[Quantité]]/Tab_Compteur_4[[#This Row],[Delta Jour]],"")</f>
        <v/>
      </c>
      <c r="G157" t="str">
        <f>IFERROR(Tab_Compteur_4[[#This Row],[Montant TTC]]/Tab_Compteur_4[[#This Row],[Delta Jour]],"")</f>
        <v/>
      </c>
      <c r="H157" s="42"/>
      <c r="I157" s="42"/>
      <c r="J157" s="42"/>
      <c r="K157" s="42"/>
      <c r="L157" s="42"/>
    </row>
    <row r="158" spans="1:12" x14ac:dyDescent="0.25">
      <c r="A158" s="3">
        <f t="shared" si="6"/>
        <v>1</v>
      </c>
      <c r="B158" s="3">
        <f>EDATE($B$3,Site!$I$36*(ROW(Tab_Compteur_4[[#This Row],[Début de période]])-3))</f>
        <v>0</v>
      </c>
      <c r="C158" s="185"/>
      <c r="E158">
        <f t="shared" si="5"/>
        <v>0</v>
      </c>
      <c r="F158" t="str">
        <f>IFERROR(Tab_Compteur_4[[#This Row],[Quantité]]/Tab_Compteur_4[[#This Row],[Delta Jour]],"")</f>
        <v/>
      </c>
      <c r="G158" t="str">
        <f>IFERROR(Tab_Compteur_4[[#This Row],[Montant TTC]]/Tab_Compteur_4[[#This Row],[Delta Jour]],"")</f>
        <v/>
      </c>
      <c r="H158" s="42"/>
      <c r="I158" s="42"/>
      <c r="J158" s="42"/>
      <c r="K158" s="42"/>
      <c r="L158" s="42"/>
    </row>
    <row r="159" spans="1:12" x14ac:dyDescent="0.25">
      <c r="A159" s="3">
        <f t="shared" si="6"/>
        <v>1</v>
      </c>
      <c r="B159" s="3">
        <f>EDATE($B$3,Site!$I$36*(ROW(Tab_Compteur_4[[#This Row],[Début de période]])-3))</f>
        <v>0</v>
      </c>
      <c r="C159" s="185"/>
      <c r="E159">
        <f t="shared" si="5"/>
        <v>0</v>
      </c>
      <c r="F159" t="str">
        <f>IFERROR(Tab_Compteur_4[[#This Row],[Quantité]]/Tab_Compteur_4[[#This Row],[Delta Jour]],"")</f>
        <v/>
      </c>
      <c r="G159" t="str">
        <f>IFERROR(Tab_Compteur_4[[#This Row],[Montant TTC]]/Tab_Compteur_4[[#This Row],[Delta Jour]],"")</f>
        <v/>
      </c>
      <c r="H159" s="42"/>
      <c r="I159" s="42"/>
      <c r="J159" s="42"/>
      <c r="K159" s="42"/>
      <c r="L159" s="42"/>
    </row>
    <row r="160" spans="1:12" x14ac:dyDescent="0.25">
      <c r="A160" s="3">
        <f t="shared" si="6"/>
        <v>1</v>
      </c>
      <c r="B160" s="3">
        <f>EDATE($B$3,Site!$I$36*(ROW(Tab_Compteur_4[[#This Row],[Début de période]])-3))</f>
        <v>0</v>
      </c>
      <c r="C160" s="185"/>
      <c r="E160">
        <f t="shared" si="5"/>
        <v>0</v>
      </c>
      <c r="F160" t="str">
        <f>IFERROR(Tab_Compteur_4[[#This Row],[Quantité]]/Tab_Compteur_4[[#This Row],[Delta Jour]],"")</f>
        <v/>
      </c>
      <c r="G160" t="str">
        <f>IFERROR(Tab_Compteur_4[[#This Row],[Montant TTC]]/Tab_Compteur_4[[#This Row],[Delta Jour]],"")</f>
        <v/>
      </c>
      <c r="H160" s="42"/>
      <c r="I160" s="42"/>
      <c r="J160" s="42"/>
      <c r="K160" s="42"/>
      <c r="L160" s="42"/>
    </row>
    <row r="161" spans="1:12" x14ac:dyDescent="0.25">
      <c r="A161" s="3">
        <f t="shared" si="6"/>
        <v>1</v>
      </c>
      <c r="B161" s="3">
        <f>EDATE($B$3,Site!$I$36*(ROW(Tab_Compteur_4[[#This Row],[Début de période]])-3))</f>
        <v>0</v>
      </c>
      <c r="C161" s="185"/>
      <c r="E161">
        <f t="shared" si="5"/>
        <v>0</v>
      </c>
      <c r="F161" t="str">
        <f>IFERROR(Tab_Compteur_4[[#This Row],[Quantité]]/Tab_Compteur_4[[#This Row],[Delta Jour]],"")</f>
        <v/>
      </c>
      <c r="G161" t="str">
        <f>IFERROR(Tab_Compteur_4[[#This Row],[Montant TTC]]/Tab_Compteur_4[[#This Row],[Delta Jour]],"")</f>
        <v/>
      </c>
      <c r="H161" s="42"/>
      <c r="I161" s="42"/>
      <c r="J161" s="42"/>
      <c r="K161" s="42"/>
      <c r="L161" s="42"/>
    </row>
    <row r="162" spans="1:12" x14ac:dyDescent="0.25">
      <c r="A162" s="3">
        <f t="shared" si="6"/>
        <v>1</v>
      </c>
      <c r="B162" s="3">
        <f>EDATE($B$3,Site!$I$36*(ROW(Tab_Compteur_4[[#This Row],[Début de période]])-3))</f>
        <v>0</v>
      </c>
      <c r="C162" s="185"/>
      <c r="E162">
        <f t="shared" si="5"/>
        <v>0</v>
      </c>
      <c r="F162" t="str">
        <f>IFERROR(Tab_Compteur_4[[#This Row],[Quantité]]/Tab_Compteur_4[[#This Row],[Delta Jour]],"")</f>
        <v/>
      </c>
      <c r="G162" t="str">
        <f>IFERROR(Tab_Compteur_4[[#This Row],[Montant TTC]]/Tab_Compteur_4[[#This Row],[Delta Jour]],"")</f>
        <v/>
      </c>
      <c r="H162" s="42"/>
      <c r="I162" s="42"/>
      <c r="J162" s="42"/>
      <c r="K162" s="42"/>
      <c r="L162" s="42"/>
    </row>
    <row r="163" spans="1:12" x14ac:dyDescent="0.25">
      <c r="A163" s="3">
        <f t="shared" si="6"/>
        <v>1</v>
      </c>
      <c r="B163" s="3">
        <f>EDATE($B$3,Site!$I$36*(ROW(Tab_Compteur_4[[#This Row],[Début de période]])-3))</f>
        <v>0</v>
      </c>
      <c r="C163" s="185"/>
      <c r="E163">
        <f t="shared" si="5"/>
        <v>0</v>
      </c>
      <c r="F163" t="str">
        <f>IFERROR(Tab_Compteur_4[[#This Row],[Quantité]]/Tab_Compteur_4[[#This Row],[Delta Jour]],"")</f>
        <v/>
      </c>
      <c r="G163" t="str">
        <f>IFERROR(Tab_Compteur_4[[#This Row],[Montant TTC]]/Tab_Compteur_4[[#This Row],[Delta Jour]],"")</f>
        <v/>
      </c>
      <c r="H163" s="42"/>
      <c r="I163" s="42"/>
      <c r="J163" s="42"/>
      <c r="K163" s="42"/>
      <c r="L163" s="42"/>
    </row>
    <row r="164" spans="1:12" x14ac:dyDescent="0.25">
      <c r="A164" s="3">
        <f t="shared" si="6"/>
        <v>1</v>
      </c>
      <c r="B164" s="3">
        <f>EDATE($B$3,Site!$I$36*(ROW(Tab_Compteur_4[[#This Row],[Début de période]])-3))</f>
        <v>0</v>
      </c>
      <c r="C164" s="185"/>
      <c r="E164">
        <f t="shared" si="5"/>
        <v>0</v>
      </c>
      <c r="F164" t="str">
        <f>IFERROR(Tab_Compteur_4[[#This Row],[Quantité]]/Tab_Compteur_4[[#This Row],[Delta Jour]],"")</f>
        <v/>
      </c>
      <c r="G164" t="str">
        <f>IFERROR(Tab_Compteur_4[[#This Row],[Montant TTC]]/Tab_Compteur_4[[#This Row],[Delta Jour]],"")</f>
        <v/>
      </c>
      <c r="H164" s="42"/>
      <c r="I164" s="42"/>
      <c r="J164" s="42"/>
      <c r="K164" s="42"/>
      <c r="L164" s="42"/>
    </row>
    <row r="165" spans="1:12" x14ac:dyDescent="0.25">
      <c r="A165" s="3">
        <f t="shared" si="6"/>
        <v>1</v>
      </c>
      <c r="B165" s="3">
        <f>EDATE($B$3,Site!$I$36*(ROW(Tab_Compteur_4[[#This Row],[Début de période]])-3))</f>
        <v>0</v>
      </c>
      <c r="C165" s="185"/>
      <c r="E165">
        <f t="shared" si="5"/>
        <v>0</v>
      </c>
      <c r="F165" t="str">
        <f>IFERROR(Tab_Compteur_4[[#This Row],[Quantité]]/Tab_Compteur_4[[#This Row],[Delta Jour]],"")</f>
        <v/>
      </c>
      <c r="G165" t="str">
        <f>IFERROR(Tab_Compteur_4[[#This Row],[Montant TTC]]/Tab_Compteur_4[[#This Row],[Delta Jour]],"")</f>
        <v/>
      </c>
      <c r="H165" s="42"/>
      <c r="I165" s="42"/>
      <c r="J165" s="42"/>
      <c r="K165" s="42"/>
      <c r="L165" s="42"/>
    </row>
    <row r="166" spans="1:12" x14ac:dyDescent="0.25">
      <c r="A166" s="3">
        <f t="shared" si="6"/>
        <v>1</v>
      </c>
      <c r="B166" s="3">
        <f>EDATE($B$3,Site!$I$36*(ROW(Tab_Compteur_4[[#This Row],[Début de période]])-3))</f>
        <v>0</v>
      </c>
      <c r="C166" s="185"/>
      <c r="E166">
        <f t="shared" si="5"/>
        <v>0</v>
      </c>
      <c r="F166" t="str">
        <f>IFERROR(Tab_Compteur_4[[#This Row],[Quantité]]/Tab_Compteur_4[[#This Row],[Delta Jour]],"")</f>
        <v/>
      </c>
      <c r="G166" t="str">
        <f>IFERROR(Tab_Compteur_4[[#This Row],[Montant TTC]]/Tab_Compteur_4[[#This Row],[Delta Jour]],"")</f>
        <v/>
      </c>
      <c r="H166" s="42"/>
      <c r="I166" s="42"/>
      <c r="J166" s="42"/>
      <c r="K166" s="42"/>
      <c r="L166" s="42"/>
    </row>
    <row r="167" spans="1:12" x14ac:dyDescent="0.25">
      <c r="A167" s="3">
        <f t="shared" si="6"/>
        <v>1</v>
      </c>
      <c r="B167" s="3">
        <f>EDATE($B$3,Site!$I$36*(ROW(Tab_Compteur_4[[#This Row],[Début de période]])-3))</f>
        <v>0</v>
      </c>
      <c r="C167" s="185"/>
      <c r="E167">
        <f t="shared" si="5"/>
        <v>0</v>
      </c>
      <c r="F167" t="str">
        <f>IFERROR(Tab_Compteur_4[[#This Row],[Quantité]]/Tab_Compteur_4[[#This Row],[Delta Jour]],"")</f>
        <v/>
      </c>
      <c r="G167" t="str">
        <f>IFERROR(Tab_Compteur_4[[#This Row],[Montant TTC]]/Tab_Compteur_4[[#This Row],[Delta Jour]],"")</f>
        <v/>
      </c>
      <c r="H167" s="42"/>
      <c r="I167" s="42"/>
      <c r="J167" s="42"/>
      <c r="K167" s="42"/>
      <c r="L167" s="42"/>
    </row>
    <row r="168" spans="1:12" x14ac:dyDescent="0.25">
      <c r="A168" s="3">
        <f t="shared" si="6"/>
        <v>1</v>
      </c>
      <c r="B168" s="3">
        <f>EDATE($B$3,Site!$I$36*(ROW(Tab_Compteur_4[[#This Row],[Début de période]])-3))</f>
        <v>0</v>
      </c>
      <c r="C168" s="185"/>
      <c r="E168">
        <f t="shared" si="5"/>
        <v>0</v>
      </c>
      <c r="F168" t="str">
        <f>IFERROR(Tab_Compteur_4[[#This Row],[Quantité]]/Tab_Compteur_4[[#This Row],[Delta Jour]],"")</f>
        <v/>
      </c>
      <c r="G168" t="str">
        <f>IFERROR(Tab_Compteur_4[[#This Row],[Montant TTC]]/Tab_Compteur_4[[#This Row],[Delta Jour]],"")</f>
        <v/>
      </c>
      <c r="H168" s="42"/>
      <c r="I168" s="42"/>
      <c r="J168" s="42"/>
      <c r="K168" s="42"/>
      <c r="L168" s="42"/>
    </row>
    <row r="169" spans="1:12" x14ac:dyDescent="0.25">
      <c r="A169" s="3">
        <f t="shared" si="6"/>
        <v>1</v>
      </c>
      <c r="B169" s="3">
        <f>EDATE($B$3,Site!$I$36*(ROW(Tab_Compteur_4[[#This Row],[Début de période]])-3))</f>
        <v>0</v>
      </c>
      <c r="C169" s="185"/>
      <c r="E169">
        <f t="shared" si="5"/>
        <v>0</v>
      </c>
      <c r="F169" t="str">
        <f>IFERROR(Tab_Compteur_4[[#This Row],[Quantité]]/Tab_Compteur_4[[#This Row],[Delta Jour]],"")</f>
        <v/>
      </c>
      <c r="G169" t="str">
        <f>IFERROR(Tab_Compteur_4[[#This Row],[Montant TTC]]/Tab_Compteur_4[[#This Row],[Delta Jour]],"")</f>
        <v/>
      </c>
      <c r="H169" s="42"/>
      <c r="I169" s="42"/>
      <c r="J169" s="42"/>
      <c r="K169" s="42"/>
      <c r="L169" s="42"/>
    </row>
    <row r="170" spans="1:12" x14ac:dyDescent="0.25">
      <c r="A170" s="3">
        <f t="shared" si="6"/>
        <v>1</v>
      </c>
      <c r="B170" s="3">
        <f>EDATE($B$3,Site!$I$36*(ROW(Tab_Compteur_4[[#This Row],[Début de période]])-3))</f>
        <v>0</v>
      </c>
      <c r="C170" s="185"/>
      <c r="E170">
        <f t="shared" si="5"/>
        <v>0</v>
      </c>
      <c r="F170" t="str">
        <f>IFERROR(Tab_Compteur_4[[#This Row],[Quantité]]/Tab_Compteur_4[[#This Row],[Delta Jour]],"")</f>
        <v/>
      </c>
      <c r="G170" t="str">
        <f>IFERROR(Tab_Compteur_4[[#This Row],[Montant TTC]]/Tab_Compteur_4[[#This Row],[Delta Jour]],"")</f>
        <v/>
      </c>
      <c r="H170" s="42"/>
      <c r="I170" s="42"/>
      <c r="J170" s="42"/>
      <c r="K170" s="42"/>
      <c r="L170" s="42"/>
    </row>
    <row r="171" spans="1:12" x14ac:dyDescent="0.25">
      <c r="A171" s="3">
        <f t="shared" si="6"/>
        <v>1</v>
      </c>
      <c r="B171" s="3">
        <f>EDATE($B$3,Site!$I$36*(ROW(Tab_Compteur_4[[#This Row],[Début de période]])-3))</f>
        <v>0</v>
      </c>
      <c r="C171" s="185"/>
      <c r="E171">
        <f t="shared" si="5"/>
        <v>0</v>
      </c>
      <c r="F171" t="str">
        <f>IFERROR(Tab_Compteur_4[[#This Row],[Quantité]]/Tab_Compteur_4[[#This Row],[Delta Jour]],"")</f>
        <v/>
      </c>
      <c r="G171" t="str">
        <f>IFERROR(Tab_Compteur_4[[#This Row],[Montant TTC]]/Tab_Compteur_4[[#This Row],[Delta Jour]],"")</f>
        <v/>
      </c>
      <c r="H171" s="42"/>
      <c r="I171" s="42"/>
      <c r="J171" s="42"/>
      <c r="K171" s="42"/>
      <c r="L171" s="42"/>
    </row>
    <row r="172" spans="1:12" x14ac:dyDescent="0.25">
      <c r="A172" s="3">
        <f t="shared" si="6"/>
        <v>1</v>
      </c>
      <c r="B172" s="3">
        <f>EDATE($B$3,Site!$I$36*(ROW(Tab_Compteur_4[[#This Row],[Début de période]])-3))</f>
        <v>0</v>
      </c>
      <c r="C172" s="185"/>
      <c r="E172">
        <f t="shared" si="5"/>
        <v>0</v>
      </c>
      <c r="F172" t="str">
        <f>IFERROR(Tab_Compteur_4[[#This Row],[Quantité]]/Tab_Compteur_4[[#This Row],[Delta Jour]],"")</f>
        <v/>
      </c>
      <c r="G172" t="str">
        <f>IFERROR(Tab_Compteur_4[[#This Row],[Montant TTC]]/Tab_Compteur_4[[#This Row],[Delta Jour]],"")</f>
        <v/>
      </c>
      <c r="H172" s="42"/>
      <c r="I172" s="42"/>
      <c r="J172" s="42"/>
      <c r="K172" s="42"/>
      <c r="L172" s="42"/>
    </row>
    <row r="173" spans="1:12" x14ac:dyDescent="0.25">
      <c r="A173" s="3">
        <f t="shared" si="6"/>
        <v>1</v>
      </c>
      <c r="B173" s="3">
        <f>EDATE($B$3,Site!$I$36*(ROW(Tab_Compteur_4[[#This Row],[Début de période]])-3))</f>
        <v>0</v>
      </c>
      <c r="C173" s="185"/>
      <c r="E173">
        <f t="shared" si="5"/>
        <v>0</v>
      </c>
      <c r="F173" t="str">
        <f>IFERROR(Tab_Compteur_4[[#This Row],[Quantité]]/Tab_Compteur_4[[#This Row],[Delta Jour]],"")</f>
        <v/>
      </c>
      <c r="G173" t="str">
        <f>IFERROR(Tab_Compteur_4[[#This Row],[Montant TTC]]/Tab_Compteur_4[[#This Row],[Delta Jour]],"")</f>
        <v/>
      </c>
      <c r="H173" s="42"/>
      <c r="I173" s="42"/>
      <c r="J173" s="42"/>
      <c r="K173" s="42"/>
      <c r="L173" s="42"/>
    </row>
    <row r="174" spans="1:12" x14ac:dyDescent="0.25">
      <c r="A174" s="3">
        <f t="shared" si="6"/>
        <v>1</v>
      </c>
      <c r="B174" s="3">
        <f>EDATE($B$3,Site!$I$36*(ROW(Tab_Compteur_4[[#This Row],[Début de période]])-3))</f>
        <v>0</v>
      </c>
      <c r="C174" s="185"/>
      <c r="E174">
        <f t="shared" si="5"/>
        <v>0</v>
      </c>
      <c r="F174" t="str">
        <f>IFERROR(Tab_Compteur_4[[#This Row],[Quantité]]/Tab_Compteur_4[[#This Row],[Delta Jour]],"")</f>
        <v/>
      </c>
      <c r="G174" t="str">
        <f>IFERROR(Tab_Compteur_4[[#This Row],[Montant TTC]]/Tab_Compteur_4[[#This Row],[Delta Jour]],"")</f>
        <v/>
      </c>
      <c r="H174" s="42"/>
      <c r="I174" s="42"/>
      <c r="J174" s="42"/>
      <c r="K174" s="42"/>
      <c r="L174" s="42"/>
    </row>
    <row r="175" spans="1:12" x14ac:dyDescent="0.25">
      <c r="A175" s="3">
        <f t="shared" si="6"/>
        <v>1</v>
      </c>
      <c r="B175" s="3">
        <f>EDATE($B$3,Site!$I$36*(ROW(Tab_Compteur_4[[#This Row],[Début de période]])-3))</f>
        <v>0</v>
      </c>
      <c r="C175" s="185"/>
      <c r="E175">
        <f t="shared" si="5"/>
        <v>0</v>
      </c>
      <c r="F175" t="str">
        <f>IFERROR(Tab_Compteur_4[[#This Row],[Quantité]]/Tab_Compteur_4[[#This Row],[Delta Jour]],"")</f>
        <v/>
      </c>
      <c r="G175" t="str">
        <f>IFERROR(Tab_Compteur_4[[#This Row],[Montant TTC]]/Tab_Compteur_4[[#This Row],[Delta Jour]],"")</f>
        <v/>
      </c>
      <c r="H175" s="42"/>
      <c r="I175" s="42"/>
      <c r="J175" s="42"/>
      <c r="K175" s="42"/>
      <c r="L175" s="42"/>
    </row>
    <row r="176" spans="1:12" x14ac:dyDescent="0.25">
      <c r="A176" s="3">
        <f t="shared" si="6"/>
        <v>1</v>
      </c>
      <c r="B176" s="3">
        <f>EDATE($B$3,Site!$I$36*(ROW(Tab_Compteur_4[[#This Row],[Début de période]])-3))</f>
        <v>0</v>
      </c>
      <c r="C176" s="185"/>
      <c r="E176">
        <f t="shared" si="5"/>
        <v>0</v>
      </c>
      <c r="F176" t="str">
        <f>IFERROR(Tab_Compteur_4[[#This Row],[Quantité]]/Tab_Compteur_4[[#This Row],[Delta Jour]],"")</f>
        <v/>
      </c>
      <c r="G176" t="str">
        <f>IFERROR(Tab_Compteur_4[[#This Row],[Montant TTC]]/Tab_Compteur_4[[#This Row],[Delta Jour]],"")</f>
        <v/>
      </c>
      <c r="H176" s="42"/>
      <c r="I176" s="42"/>
      <c r="J176" s="42"/>
      <c r="K176" s="42"/>
      <c r="L176" s="42"/>
    </row>
    <row r="177" spans="1:12" x14ac:dyDescent="0.25">
      <c r="A177" s="3">
        <f t="shared" si="6"/>
        <v>1</v>
      </c>
      <c r="B177" s="3">
        <f>EDATE($B$3,Site!$I$36*(ROW(Tab_Compteur_4[[#This Row],[Début de période]])-3))</f>
        <v>0</v>
      </c>
      <c r="C177" s="185"/>
      <c r="E177">
        <f t="shared" si="5"/>
        <v>0</v>
      </c>
      <c r="F177" t="str">
        <f>IFERROR(Tab_Compteur_4[[#This Row],[Quantité]]/Tab_Compteur_4[[#This Row],[Delta Jour]],"")</f>
        <v/>
      </c>
      <c r="G177" t="str">
        <f>IFERROR(Tab_Compteur_4[[#This Row],[Montant TTC]]/Tab_Compteur_4[[#This Row],[Delta Jour]],"")</f>
        <v/>
      </c>
      <c r="H177" s="42"/>
      <c r="I177" s="42"/>
      <c r="J177" s="42"/>
      <c r="K177" s="42"/>
      <c r="L177" s="42"/>
    </row>
    <row r="178" spans="1:12" x14ac:dyDescent="0.25">
      <c r="A178" s="3">
        <f t="shared" si="6"/>
        <v>1</v>
      </c>
      <c r="B178" s="3">
        <f>EDATE($B$3,Site!$I$36*(ROW(Tab_Compteur_4[[#This Row],[Début de période]])-3))</f>
        <v>0</v>
      </c>
      <c r="C178" s="185"/>
      <c r="E178">
        <f t="shared" si="5"/>
        <v>0</v>
      </c>
      <c r="F178" t="str">
        <f>IFERROR(Tab_Compteur_4[[#This Row],[Quantité]]/Tab_Compteur_4[[#This Row],[Delta Jour]],"")</f>
        <v/>
      </c>
      <c r="G178" t="str">
        <f>IFERROR(Tab_Compteur_4[[#This Row],[Montant TTC]]/Tab_Compteur_4[[#This Row],[Delta Jour]],"")</f>
        <v/>
      </c>
      <c r="H178" s="42"/>
      <c r="I178" s="42"/>
      <c r="J178" s="42"/>
      <c r="K178" s="42"/>
      <c r="L178" s="42"/>
    </row>
    <row r="179" spans="1:12" x14ac:dyDescent="0.25">
      <c r="A179" s="3">
        <f t="shared" si="6"/>
        <v>1</v>
      </c>
      <c r="B179" s="3">
        <f>EDATE($B$3,Site!$I$36*(ROW(Tab_Compteur_4[[#This Row],[Début de période]])-3))</f>
        <v>0</v>
      </c>
      <c r="C179" s="185"/>
      <c r="E179">
        <f t="shared" si="5"/>
        <v>0</v>
      </c>
      <c r="F179" t="str">
        <f>IFERROR(Tab_Compteur_4[[#This Row],[Quantité]]/Tab_Compteur_4[[#This Row],[Delta Jour]],"")</f>
        <v/>
      </c>
      <c r="G179" t="str">
        <f>IFERROR(Tab_Compteur_4[[#This Row],[Montant TTC]]/Tab_Compteur_4[[#This Row],[Delta Jour]],"")</f>
        <v/>
      </c>
      <c r="H179" s="42"/>
      <c r="I179" s="42"/>
      <c r="J179" s="42"/>
      <c r="K179" s="42"/>
      <c r="L179" s="42"/>
    </row>
    <row r="180" spans="1:12" x14ac:dyDescent="0.25">
      <c r="A180" s="3">
        <f t="shared" si="6"/>
        <v>1</v>
      </c>
      <c r="B180" s="3">
        <f>EDATE($B$3,Site!$I$36*(ROW(Tab_Compteur_4[[#This Row],[Début de période]])-3))</f>
        <v>0</v>
      </c>
      <c r="C180" s="185"/>
      <c r="E180">
        <f t="shared" si="5"/>
        <v>0</v>
      </c>
      <c r="F180" t="str">
        <f>IFERROR(Tab_Compteur_4[[#This Row],[Quantité]]/Tab_Compteur_4[[#This Row],[Delta Jour]],"")</f>
        <v/>
      </c>
      <c r="G180" t="str">
        <f>IFERROR(Tab_Compteur_4[[#This Row],[Montant TTC]]/Tab_Compteur_4[[#This Row],[Delta Jour]],"")</f>
        <v/>
      </c>
      <c r="H180" s="42"/>
      <c r="I180" s="42"/>
      <c r="J180" s="42"/>
      <c r="K180" s="42"/>
      <c r="L180" s="42"/>
    </row>
    <row r="181" spans="1:12" x14ac:dyDescent="0.25">
      <c r="A181" s="3">
        <f t="shared" si="6"/>
        <v>1</v>
      </c>
      <c r="B181" s="3">
        <f>EDATE($B$3,Site!$I$36*(ROW(Tab_Compteur_4[[#This Row],[Début de période]])-3))</f>
        <v>0</v>
      </c>
      <c r="C181" s="185"/>
      <c r="E181">
        <f t="shared" si="5"/>
        <v>0</v>
      </c>
      <c r="F181" t="str">
        <f>IFERROR(Tab_Compteur_4[[#This Row],[Quantité]]/Tab_Compteur_4[[#This Row],[Delta Jour]],"")</f>
        <v/>
      </c>
      <c r="G181" t="str">
        <f>IFERROR(Tab_Compteur_4[[#This Row],[Montant TTC]]/Tab_Compteur_4[[#This Row],[Delta Jour]],"")</f>
        <v/>
      </c>
      <c r="H181" s="42"/>
      <c r="I181" s="42"/>
      <c r="J181" s="42"/>
      <c r="K181" s="42"/>
      <c r="L181" s="42"/>
    </row>
    <row r="182" spans="1:12" x14ac:dyDescent="0.25">
      <c r="A182" s="3">
        <f t="shared" si="6"/>
        <v>1</v>
      </c>
      <c r="B182" s="3">
        <f>EDATE($B$3,Site!$I$36*(ROW(Tab_Compteur_4[[#This Row],[Début de période]])-3))</f>
        <v>0</v>
      </c>
      <c r="C182" s="185"/>
      <c r="E182">
        <f t="shared" si="5"/>
        <v>0</v>
      </c>
      <c r="F182" t="str">
        <f>IFERROR(Tab_Compteur_4[[#This Row],[Quantité]]/Tab_Compteur_4[[#This Row],[Delta Jour]],"")</f>
        <v/>
      </c>
      <c r="G182" t="str">
        <f>IFERROR(Tab_Compteur_4[[#This Row],[Montant TTC]]/Tab_Compteur_4[[#This Row],[Delta Jour]],"")</f>
        <v/>
      </c>
      <c r="H182" s="42"/>
      <c r="I182" s="42"/>
      <c r="J182" s="42"/>
      <c r="K182" s="42"/>
      <c r="L182" s="42"/>
    </row>
    <row r="183" spans="1:12" x14ac:dyDescent="0.25">
      <c r="A183" s="3">
        <f t="shared" si="6"/>
        <v>1</v>
      </c>
      <c r="B183" s="3">
        <f>EDATE($B$3,Site!$I$36*(ROW(Tab_Compteur_4[[#This Row],[Début de période]])-3))</f>
        <v>0</v>
      </c>
      <c r="C183" s="185"/>
      <c r="E183">
        <f t="shared" si="5"/>
        <v>0</v>
      </c>
      <c r="F183" t="str">
        <f>IFERROR(Tab_Compteur_4[[#This Row],[Quantité]]/Tab_Compteur_4[[#This Row],[Delta Jour]],"")</f>
        <v/>
      </c>
      <c r="G183" t="str">
        <f>IFERROR(Tab_Compteur_4[[#This Row],[Montant TTC]]/Tab_Compteur_4[[#This Row],[Delta Jour]],"")</f>
        <v/>
      </c>
      <c r="H183" s="42"/>
      <c r="I183" s="42"/>
      <c r="J183" s="42"/>
      <c r="K183" s="42"/>
      <c r="L183" s="42"/>
    </row>
    <row r="184" spans="1:12" x14ac:dyDescent="0.25">
      <c r="A184" s="3">
        <f t="shared" si="6"/>
        <v>1</v>
      </c>
      <c r="B184" s="3">
        <f>EDATE($B$3,Site!$I$36*(ROW(Tab_Compteur_4[[#This Row],[Début de période]])-3))</f>
        <v>0</v>
      </c>
      <c r="C184" s="185"/>
      <c r="E184">
        <f t="shared" si="5"/>
        <v>0</v>
      </c>
      <c r="F184" t="str">
        <f>IFERROR(Tab_Compteur_4[[#This Row],[Quantité]]/Tab_Compteur_4[[#This Row],[Delta Jour]],"")</f>
        <v/>
      </c>
      <c r="G184" t="str">
        <f>IFERROR(Tab_Compteur_4[[#This Row],[Montant TTC]]/Tab_Compteur_4[[#This Row],[Delta Jour]],"")</f>
        <v/>
      </c>
      <c r="H184" s="42"/>
      <c r="I184" s="42"/>
      <c r="J184" s="42"/>
      <c r="K184" s="42"/>
      <c r="L184" s="42"/>
    </row>
    <row r="185" spans="1:12" x14ac:dyDescent="0.25">
      <c r="A185" s="3">
        <f t="shared" si="6"/>
        <v>1</v>
      </c>
      <c r="B185" s="3">
        <f>EDATE($B$3,Site!$I$36*(ROW(Tab_Compteur_4[[#This Row],[Début de période]])-3))</f>
        <v>0</v>
      </c>
      <c r="C185" s="185"/>
      <c r="E185">
        <f t="shared" si="5"/>
        <v>0</v>
      </c>
      <c r="F185" t="str">
        <f>IFERROR(Tab_Compteur_4[[#This Row],[Quantité]]/Tab_Compteur_4[[#This Row],[Delta Jour]],"")</f>
        <v/>
      </c>
      <c r="G185" t="str">
        <f>IFERROR(Tab_Compteur_4[[#This Row],[Montant TTC]]/Tab_Compteur_4[[#This Row],[Delta Jour]],"")</f>
        <v/>
      </c>
      <c r="H185" s="42"/>
      <c r="I185" s="42"/>
      <c r="J185" s="42"/>
      <c r="K185" s="42"/>
      <c r="L185" s="42"/>
    </row>
    <row r="186" spans="1:12" x14ac:dyDescent="0.25">
      <c r="A186" s="3">
        <f t="shared" si="6"/>
        <v>1</v>
      </c>
      <c r="B186" s="3">
        <f>EDATE($B$3,Site!$I$36*(ROW(Tab_Compteur_4[[#This Row],[Début de période]])-3))</f>
        <v>0</v>
      </c>
      <c r="C186" s="185"/>
      <c r="E186">
        <f t="shared" si="5"/>
        <v>0</v>
      </c>
      <c r="F186" t="str">
        <f>IFERROR(Tab_Compteur_4[[#This Row],[Quantité]]/Tab_Compteur_4[[#This Row],[Delta Jour]],"")</f>
        <v/>
      </c>
      <c r="G186" t="str">
        <f>IFERROR(Tab_Compteur_4[[#This Row],[Montant TTC]]/Tab_Compteur_4[[#This Row],[Delta Jour]],"")</f>
        <v/>
      </c>
      <c r="H186" s="42"/>
      <c r="I186" s="42"/>
      <c r="J186" s="42"/>
      <c r="K186" s="42"/>
      <c r="L186" s="42"/>
    </row>
    <row r="187" spans="1:12" x14ac:dyDescent="0.25">
      <c r="A187" s="3">
        <f t="shared" si="6"/>
        <v>1</v>
      </c>
      <c r="B187" s="3">
        <f>EDATE($B$3,Site!$I$36*(ROW(Tab_Compteur_4[[#This Row],[Début de période]])-3))</f>
        <v>0</v>
      </c>
      <c r="C187" s="185"/>
      <c r="E187">
        <f t="shared" si="5"/>
        <v>0</v>
      </c>
      <c r="F187" t="str">
        <f>IFERROR(Tab_Compteur_4[[#This Row],[Quantité]]/Tab_Compteur_4[[#This Row],[Delta Jour]],"")</f>
        <v/>
      </c>
      <c r="G187" t="str">
        <f>IFERROR(Tab_Compteur_4[[#This Row],[Montant TTC]]/Tab_Compteur_4[[#This Row],[Delta Jour]],"")</f>
        <v/>
      </c>
      <c r="H187" s="42"/>
      <c r="I187" s="42"/>
      <c r="J187" s="42"/>
      <c r="K187" s="42"/>
      <c r="L187" s="42"/>
    </row>
    <row r="188" spans="1:12" x14ac:dyDescent="0.25">
      <c r="A188" s="3">
        <f t="shared" si="6"/>
        <v>1</v>
      </c>
      <c r="B188" s="3">
        <f>EDATE($B$3,Site!$I$36*(ROW(Tab_Compteur_4[[#This Row],[Début de période]])-3))</f>
        <v>0</v>
      </c>
      <c r="C188" s="185"/>
      <c r="E188">
        <f t="shared" si="5"/>
        <v>0</v>
      </c>
      <c r="F188" t="str">
        <f>IFERROR(Tab_Compteur_4[[#This Row],[Quantité]]/Tab_Compteur_4[[#This Row],[Delta Jour]],"")</f>
        <v/>
      </c>
      <c r="G188" t="str">
        <f>IFERROR(Tab_Compteur_4[[#This Row],[Montant TTC]]/Tab_Compteur_4[[#This Row],[Delta Jour]],"")</f>
        <v/>
      </c>
      <c r="H188" s="42"/>
      <c r="I188" s="42"/>
      <c r="J188" s="42"/>
      <c r="K188" s="42"/>
      <c r="L188" s="42"/>
    </row>
    <row r="189" spans="1:12" x14ac:dyDescent="0.25">
      <c r="A189" s="3">
        <f t="shared" si="6"/>
        <v>1</v>
      </c>
      <c r="B189" s="3">
        <f>EDATE($B$3,Site!$I$36*(ROW(Tab_Compteur_4[[#This Row],[Début de période]])-3))</f>
        <v>0</v>
      </c>
      <c r="C189" s="185"/>
      <c r="E189">
        <f t="shared" si="5"/>
        <v>0</v>
      </c>
      <c r="F189" t="str">
        <f>IFERROR(Tab_Compteur_4[[#This Row],[Quantité]]/Tab_Compteur_4[[#This Row],[Delta Jour]],"")</f>
        <v/>
      </c>
      <c r="G189" t="str">
        <f>IFERROR(Tab_Compteur_4[[#This Row],[Montant TTC]]/Tab_Compteur_4[[#This Row],[Delta Jour]],"")</f>
        <v/>
      </c>
      <c r="H189" s="42"/>
      <c r="I189" s="42"/>
      <c r="J189" s="42"/>
      <c r="K189" s="42"/>
      <c r="L189" s="42"/>
    </row>
    <row r="190" spans="1:12" x14ac:dyDescent="0.25">
      <c r="A190" s="3">
        <f t="shared" si="6"/>
        <v>1</v>
      </c>
      <c r="B190" s="3">
        <f>EDATE($B$3,Site!$I$36*(ROW(Tab_Compteur_4[[#This Row],[Début de période]])-3))</f>
        <v>0</v>
      </c>
      <c r="C190" s="185"/>
      <c r="E190">
        <f t="shared" si="5"/>
        <v>0</v>
      </c>
      <c r="F190" t="str">
        <f>IFERROR(Tab_Compteur_4[[#This Row],[Quantité]]/Tab_Compteur_4[[#This Row],[Delta Jour]],"")</f>
        <v/>
      </c>
      <c r="G190" t="str">
        <f>IFERROR(Tab_Compteur_4[[#This Row],[Montant TTC]]/Tab_Compteur_4[[#This Row],[Delta Jour]],"")</f>
        <v/>
      </c>
      <c r="H190" s="42"/>
      <c r="I190" s="42"/>
      <c r="J190" s="42"/>
      <c r="K190" s="42"/>
      <c r="L190" s="42"/>
    </row>
    <row r="191" spans="1:12" x14ac:dyDescent="0.25">
      <c r="A191" s="3">
        <f t="shared" si="6"/>
        <v>1</v>
      </c>
      <c r="B191" s="3">
        <f>EDATE($B$3,Site!$I$36*(ROW(Tab_Compteur_4[[#This Row],[Début de période]])-3))</f>
        <v>0</v>
      </c>
      <c r="C191" s="185"/>
      <c r="E191">
        <f t="shared" si="5"/>
        <v>0</v>
      </c>
      <c r="F191" t="str">
        <f>IFERROR(Tab_Compteur_4[[#This Row],[Quantité]]/Tab_Compteur_4[[#This Row],[Delta Jour]],"")</f>
        <v/>
      </c>
      <c r="G191" t="str">
        <f>IFERROR(Tab_Compteur_4[[#This Row],[Montant TTC]]/Tab_Compteur_4[[#This Row],[Delta Jour]],"")</f>
        <v/>
      </c>
      <c r="H191" s="42"/>
      <c r="I191" s="42"/>
      <c r="J191" s="42"/>
      <c r="K191" s="42"/>
      <c r="L191" s="42"/>
    </row>
    <row r="192" spans="1:12" x14ac:dyDescent="0.25">
      <c r="A192" s="3">
        <f t="shared" si="6"/>
        <v>1</v>
      </c>
      <c r="B192" s="3">
        <f>EDATE($B$3,Site!$I$36*(ROW(Tab_Compteur_4[[#This Row],[Début de période]])-3))</f>
        <v>0</v>
      </c>
      <c r="C192" s="185"/>
      <c r="E192">
        <f t="shared" si="5"/>
        <v>0</v>
      </c>
      <c r="F192" t="str">
        <f>IFERROR(Tab_Compteur_4[[#This Row],[Quantité]]/Tab_Compteur_4[[#This Row],[Delta Jour]],"")</f>
        <v/>
      </c>
      <c r="G192" t="str">
        <f>IFERROR(Tab_Compteur_4[[#This Row],[Montant TTC]]/Tab_Compteur_4[[#This Row],[Delta Jour]],"")</f>
        <v/>
      </c>
      <c r="H192" s="42"/>
      <c r="I192" s="42"/>
      <c r="J192" s="42"/>
      <c r="K192" s="42"/>
      <c r="L192" s="42"/>
    </row>
    <row r="193" spans="1:12" x14ac:dyDescent="0.25">
      <c r="A193" s="3">
        <f t="shared" si="6"/>
        <v>1</v>
      </c>
      <c r="B193" s="3">
        <f>EDATE($B$3,Site!$I$36*(ROW(Tab_Compteur_4[[#This Row],[Début de période]])-3))</f>
        <v>0</v>
      </c>
      <c r="C193" s="185"/>
      <c r="E193">
        <f t="shared" si="5"/>
        <v>0</v>
      </c>
      <c r="F193" t="str">
        <f>IFERROR(Tab_Compteur_4[[#This Row],[Quantité]]/Tab_Compteur_4[[#This Row],[Delta Jour]],"")</f>
        <v/>
      </c>
      <c r="G193" t="str">
        <f>IFERROR(Tab_Compteur_4[[#This Row],[Montant TTC]]/Tab_Compteur_4[[#This Row],[Delta Jour]],"")</f>
        <v/>
      </c>
      <c r="H193" s="42"/>
      <c r="I193" s="42"/>
      <c r="J193" s="42"/>
      <c r="K193" s="42"/>
      <c r="L193" s="42"/>
    </row>
    <row r="194" spans="1:12" x14ac:dyDescent="0.25">
      <c r="A194" s="3">
        <f t="shared" si="6"/>
        <v>1</v>
      </c>
      <c r="B194" s="3">
        <f>EDATE($B$3,Site!$I$36*(ROW(Tab_Compteur_4[[#This Row],[Début de période]])-3))</f>
        <v>0</v>
      </c>
      <c r="C194" s="185"/>
      <c r="E194">
        <f t="shared" ref="E194:E242" si="7">IFERROR(B194-A194+1,"")</f>
        <v>0</v>
      </c>
      <c r="F194" t="str">
        <f>IFERROR(Tab_Compteur_4[[#This Row],[Quantité]]/Tab_Compteur_4[[#This Row],[Delta Jour]],"")</f>
        <v/>
      </c>
      <c r="G194" t="str">
        <f>IFERROR(Tab_Compteur_4[[#This Row],[Montant TTC]]/Tab_Compteur_4[[#This Row],[Delta Jour]],"")</f>
        <v/>
      </c>
      <c r="H194" s="42"/>
      <c r="I194" s="42"/>
      <c r="J194" s="42"/>
      <c r="K194" s="42"/>
      <c r="L194" s="42"/>
    </row>
    <row r="195" spans="1:12" x14ac:dyDescent="0.25">
      <c r="A195" s="3">
        <f t="shared" si="6"/>
        <v>1</v>
      </c>
      <c r="B195" s="3">
        <f>EDATE($B$3,Site!$I$36*(ROW(Tab_Compteur_4[[#This Row],[Début de période]])-3))</f>
        <v>0</v>
      </c>
      <c r="C195" s="185"/>
      <c r="E195">
        <f t="shared" si="7"/>
        <v>0</v>
      </c>
      <c r="F195" t="str">
        <f>IFERROR(Tab_Compteur_4[[#This Row],[Quantité]]/Tab_Compteur_4[[#This Row],[Delta Jour]],"")</f>
        <v/>
      </c>
      <c r="G195" t="str">
        <f>IFERROR(Tab_Compteur_4[[#This Row],[Montant TTC]]/Tab_Compteur_4[[#This Row],[Delta Jour]],"")</f>
        <v/>
      </c>
      <c r="H195" s="42"/>
      <c r="I195" s="42"/>
      <c r="J195" s="42"/>
      <c r="K195" s="42"/>
      <c r="L195" s="42"/>
    </row>
    <row r="196" spans="1:12" x14ac:dyDescent="0.25">
      <c r="A196" s="3">
        <f t="shared" si="6"/>
        <v>1</v>
      </c>
      <c r="B196" s="3">
        <f>EDATE($B$3,Site!$I$36*(ROW(Tab_Compteur_4[[#This Row],[Début de période]])-3))</f>
        <v>0</v>
      </c>
      <c r="C196" s="185"/>
      <c r="E196">
        <f t="shared" si="7"/>
        <v>0</v>
      </c>
      <c r="F196" t="str">
        <f>IFERROR(Tab_Compteur_4[[#This Row],[Quantité]]/Tab_Compteur_4[[#This Row],[Delta Jour]],"")</f>
        <v/>
      </c>
      <c r="G196" t="str">
        <f>IFERROR(Tab_Compteur_4[[#This Row],[Montant TTC]]/Tab_Compteur_4[[#This Row],[Delta Jour]],"")</f>
        <v/>
      </c>
      <c r="H196" s="42"/>
      <c r="I196" s="42"/>
      <c r="J196" s="42"/>
      <c r="K196" s="42"/>
      <c r="L196" s="42"/>
    </row>
    <row r="197" spans="1:12" x14ac:dyDescent="0.25">
      <c r="A197" s="3">
        <f t="shared" ref="A197:A242" si="8">B196+1</f>
        <v>1</v>
      </c>
      <c r="B197" s="3">
        <f>EDATE($B$3,Site!$I$36*(ROW(Tab_Compteur_4[[#This Row],[Début de période]])-3))</f>
        <v>0</v>
      </c>
      <c r="C197" s="185"/>
      <c r="E197">
        <f t="shared" si="7"/>
        <v>0</v>
      </c>
      <c r="F197" t="str">
        <f>IFERROR(Tab_Compteur_4[[#This Row],[Quantité]]/Tab_Compteur_4[[#This Row],[Delta Jour]],"")</f>
        <v/>
      </c>
      <c r="G197" t="str">
        <f>IFERROR(Tab_Compteur_4[[#This Row],[Montant TTC]]/Tab_Compteur_4[[#This Row],[Delta Jour]],"")</f>
        <v/>
      </c>
      <c r="H197" s="42"/>
      <c r="I197" s="42"/>
      <c r="J197" s="42"/>
      <c r="K197" s="42"/>
      <c r="L197" s="42"/>
    </row>
    <row r="198" spans="1:12" x14ac:dyDescent="0.25">
      <c r="A198" s="3">
        <f t="shared" si="8"/>
        <v>1</v>
      </c>
      <c r="B198" s="3">
        <f>EDATE($B$3,Site!$I$36*(ROW(Tab_Compteur_4[[#This Row],[Début de période]])-3))</f>
        <v>0</v>
      </c>
      <c r="C198" s="185"/>
      <c r="E198">
        <f t="shared" si="7"/>
        <v>0</v>
      </c>
      <c r="F198" t="str">
        <f>IFERROR(Tab_Compteur_4[[#This Row],[Quantité]]/Tab_Compteur_4[[#This Row],[Delta Jour]],"")</f>
        <v/>
      </c>
      <c r="G198" t="str">
        <f>IFERROR(Tab_Compteur_4[[#This Row],[Montant TTC]]/Tab_Compteur_4[[#This Row],[Delta Jour]],"")</f>
        <v/>
      </c>
      <c r="H198" s="42"/>
      <c r="I198" s="42"/>
      <c r="J198" s="42"/>
      <c r="K198" s="42"/>
      <c r="L198" s="42"/>
    </row>
    <row r="199" spans="1:12" x14ac:dyDescent="0.25">
      <c r="A199" s="3">
        <f t="shared" si="8"/>
        <v>1</v>
      </c>
      <c r="B199" s="3">
        <f>EDATE($B$3,Site!$I$36*(ROW(Tab_Compteur_4[[#This Row],[Début de période]])-3))</f>
        <v>0</v>
      </c>
      <c r="C199" s="185"/>
      <c r="E199">
        <f t="shared" si="7"/>
        <v>0</v>
      </c>
      <c r="F199" t="str">
        <f>IFERROR(Tab_Compteur_4[[#This Row],[Quantité]]/Tab_Compteur_4[[#This Row],[Delta Jour]],"")</f>
        <v/>
      </c>
      <c r="G199" t="str">
        <f>IFERROR(Tab_Compteur_4[[#This Row],[Montant TTC]]/Tab_Compteur_4[[#This Row],[Delta Jour]],"")</f>
        <v/>
      </c>
      <c r="H199" s="42"/>
      <c r="I199" s="42"/>
      <c r="J199" s="42"/>
      <c r="K199" s="42"/>
      <c r="L199" s="42"/>
    </row>
    <row r="200" spans="1:12" x14ac:dyDescent="0.25">
      <c r="A200" s="3">
        <f t="shared" si="8"/>
        <v>1</v>
      </c>
      <c r="B200" s="3">
        <f>EDATE($B$3,Site!$I$36*(ROW(Tab_Compteur_4[[#This Row],[Début de période]])-3))</f>
        <v>0</v>
      </c>
      <c r="C200" s="185"/>
      <c r="E200">
        <f t="shared" si="7"/>
        <v>0</v>
      </c>
      <c r="F200" t="str">
        <f>IFERROR(Tab_Compteur_4[[#This Row],[Quantité]]/Tab_Compteur_4[[#This Row],[Delta Jour]],"")</f>
        <v/>
      </c>
      <c r="G200" t="str">
        <f>IFERROR(Tab_Compteur_4[[#This Row],[Montant TTC]]/Tab_Compteur_4[[#This Row],[Delta Jour]],"")</f>
        <v/>
      </c>
      <c r="H200" s="42"/>
      <c r="I200" s="42"/>
      <c r="J200" s="42"/>
      <c r="K200" s="42"/>
      <c r="L200" s="42"/>
    </row>
    <row r="201" spans="1:12" x14ac:dyDescent="0.25">
      <c r="A201" s="3">
        <f t="shared" si="8"/>
        <v>1</v>
      </c>
      <c r="B201" s="3">
        <f>EDATE($B$3,Site!$I$36*(ROW(Tab_Compteur_4[[#This Row],[Début de période]])-3))</f>
        <v>0</v>
      </c>
      <c r="C201" s="185"/>
      <c r="E201">
        <f t="shared" si="7"/>
        <v>0</v>
      </c>
      <c r="F201" t="str">
        <f>IFERROR(Tab_Compteur_4[[#This Row],[Quantité]]/Tab_Compteur_4[[#This Row],[Delta Jour]],"")</f>
        <v/>
      </c>
      <c r="G201" t="str">
        <f>IFERROR(Tab_Compteur_4[[#This Row],[Montant TTC]]/Tab_Compteur_4[[#This Row],[Delta Jour]],"")</f>
        <v/>
      </c>
      <c r="H201" s="42"/>
      <c r="I201" s="42"/>
      <c r="J201" s="42"/>
      <c r="K201" s="42"/>
      <c r="L201" s="42"/>
    </row>
    <row r="202" spans="1:12" x14ac:dyDescent="0.25">
      <c r="A202" s="3">
        <f t="shared" si="8"/>
        <v>1</v>
      </c>
      <c r="B202" s="3">
        <f>EDATE($B$3,Site!$I$36*(ROW(Tab_Compteur_4[[#This Row],[Début de période]])-3))</f>
        <v>0</v>
      </c>
      <c r="C202" s="185"/>
      <c r="E202">
        <f t="shared" si="7"/>
        <v>0</v>
      </c>
      <c r="F202" t="str">
        <f>IFERROR(Tab_Compteur_4[[#This Row],[Quantité]]/Tab_Compteur_4[[#This Row],[Delta Jour]],"")</f>
        <v/>
      </c>
      <c r="G202" t="str">
        <f>IFERROR(Tab_Compteur_4[[#This Row],[Montant TTC]]/Tab_Compteur_4[[#This Row],[Delta Jour]],"")</f>
        <v/>
      </c>
      <c r="H202" s="42"/>
      <c r="I202" s="42"/>
      <c r="J202" s="42"/>
      <c r="K202" s="42"/>
      <c r="L202" s="42"/>
    </row>
    <row r="203" spans="1:12" x14ac:dyDescent="0.25">
      <c r="A203" s="3">
        <f t="shared" si="8"/>
        <v>1</v>
      </c>
      <c r="B203" s="3">
        <f>EDATE($B$3,Site!$I$36*(ROW(Tab_Compteur_4[[#This Row],[Début de période]])-3))</f>
        <v>0</v>
      </c>
      <c r="C203" s="185"/>
      <c r="E203">
        <f t="shared" si="7"/>
        <v>0</v>
      </c>
      <c r="F203" t="str">
        <f>IFERROR(Tab_Compteur_4[[#This Row],[Quantité]]/Tab_Compteur_4[[#This Row],[Delta Jour]],"")</f>
        <v/>
      </c>
      <c r="G203" t="str">
        <f>IFERROR(Tab_Compteur_4[[#This Row],[Montant TTC]]/Tab_Compteur_4[[#This Row],[Delta Jour]],"")</f>
        <v/>
      </c>
      <c r="H203" s="42"/>
      <c r="I203" s="42"/>
      <c r="J203" s="42"/>
      <c r="K203" s="42"/>
      <c r="L203" s="42"/>
    </row>
    <row r="204" spans="1:12" x14ac:dyDescent="0.25">
      <c r="A204" s="3">
        <f t="shared" si="8"/>
        <v>1</v>
      </c>
      <c r="B204" s="3">
        <f>EDATE($B$3,Site!$I$36*(ROW(Tab_Compteur_4[[#This Row],[Début de période]])-3))</f>
        <v>0</v>
      </c>
      <c r="C204" s="185"/>
      <c r="E204">
        <f t="shared" si="7"/>
        <v>0</v>
      </c>
      <c r="F204" t="str">
        <f>IFERROR(Tab_Compteur_4[[#This Row],[Quantité]]/Tab_Compteur_4[[#This Row],[Delta Jour]],"")</f>
        <v/>
      </c>
      <c r="G204" t="str">
        <f>IFERROR(Tab_Compteur_4[[#This Row],[Montant TTC]]/Tab_Compteur_4[[#This Row],[Delta Jour]],"")</f>
        <v/>
      </c>
      <c r="H204" s="42"/>
      <c r="I204" s="42"/>
      <c r="J204" s="42"/>
      <c r="K204" s="42"/>
      <c r="L204" s="42"/>
    </row>
    <row r="205" spans="1:12" x14ac:dyDescent="0.25">
      <c r="A205" s="3">
        <f t="shared" si="8"/>
        <v>1</v>
      </c>
      <c r="B205" s="3">
        <f>EDATE($B$3,Site!$I$36*(ROW(Tab_Compteur_4[[#This Row],[Début de période]])-3))</f>
        <v>0</v>
      </c>
      <c r="C205" s="185"/>
      <c r="E205">
        <f t="shared" si="7"/>
        <v>0</v>
      </c>
      <c r="F205" t="str">
        <f>IFERROR(Tab_Compteur_4[[#This Row],[Quantité]]/Tab_Compteur_4[[#This Row],[Delta Jour]],"")</f>
        <v/>
      </c>
      <c r="G205" t="str">
        <f>IFERROR(Tab_Compteur_4[[#This Row],[Montant TTC]]/Tab_Compteur_4[[#This Row],[Delta Jour]],"")</f>
        <v/>
      </c>
      <c r="H205" s="42"/>
      <c r="I205" s="42"/>
      <c r="J205" s="42"/>
      <c r="K205" s="42"/>
      <c r="L205" s="42"/>
    </row>
    <row r="206" spans="1:12" x14ac:dyDescent="0.25">
      <c r="A206" s="3">
        <f t="shared" si="8"/>
        <v>1</v>
      </c>
      <c r="B206" s="3">
        <f>EDATE($B$3,Site!$I$36*(ROW(Tab_Compteur_4[[#This Row],[Début de période]])-3))</f>
        <v>0</v>
      </c>
      <c r="C206" s="185"/>
      <c r="E206">
        <f t="shared" si="7"/>
        <v>0</v>
      </c>
      <c r="F206" t="str">
        <f>IFERROR(Tab_Compteur_4[[#This Row],[Quantité]]/Tab_Compteur_4[[#This Row],[Delta Jour]],"")</f>
        <v/>
      </c>
      <c r="G206" t="str">
        <f>IFERROR(Tab_Compteur_4[[#This Row],[Montant TTC]]/Tab_Compteur_4[[#This Row],[Delta Jour]],"")</f>
        <v/>
      </c>
      <c r="H206" s="42"/>
      <c r="I206" s="42"/>
      <c r="J206" s="42"/>
      <c r="K206" s="42"/>
      <c r="L206" s="42"/>
    </row>
    <row r="207" spans="1:12" x14ac:dyDescent="0.25">
      <c r="A207" s="3">
        <f t="shared" si="8"/>
        <v>1</v>
      </c>
      <c r="B207" s="3">
        <f>EDATE($B$3,Site!$I$36*(ROW(Tab_Compteur_4[[#This Row],[Début de période]])-3))</f>
        <v>0</v>
      </c>
      <c r="C207" s="185"/>
      <c r="E207">
        <f t="shared" si="7"/>
        <v>0</v>
      </c>
      <c r="F207" t="str">
        <f>IFERROR(Tab_Compteur_4[[#This Row],[Quantité]]/Tab_Compteur_4[[#This Row],[Delta Jour]],"")</f>
        <v/>
      </c>
      <c r="G207" t="str">
        <f>IFERROR(Tab_Compteur_4[[#This Row],[Montant TTC]]/Tab_Compteur_4[[#This Row],[Delta Jour]],"")</f>
        <v/>
      </c>
      <c r="H207" s="42"/>
      <c r="I207" s="42"/>
      <c r="J207" s="42"/>
      <c r="K207" s="42"/>
      <c r="L207" s="42"/>
    </row>
    <row r="208" spans="1:12" x14ac:dyDescent="0.25">
      <c r="A208" s="3">
        <f t="shared" si="8"/>
        <v>1</v>
      </c>
      <c r="B208" s="3">
        <f>EDATE($B$3,Site!$I$36*(ROW(Tab_Compteur_4[[#This Row],[Début de période]])-3))</f>
        <v>0</v>
      </c>
      <c r="C208" s="185"/>
      <c r="E208">
        <f t="shared" si="7"/>
        <v>0</v>
      </c>
      <c r="F208" t="str">
        <f>IFERROR(Tab_Compteur_4[[#This Row],[Quantité]]/Tab_Compteur_4[[#This Row],[Delta Jour]],"")</f>
        <v/>
      </c>
      <c r="G208" t="str">
        <f>IFERROR(Tab_Compteur_4[[#This Row],[Montant TTC]]/Tab_Compteur_4[[#This Row],[Delta Jour]],"")</f>
        <v/>
      </c>
      <c r="H208" s="42"/>
      <c r="I208" s="42"/>
      <c r="J208" s="42"/>
      <c r="K208" s="42"/>
      <c r="L208" s="42"/>
    </row>
    <row r="209" spans="1:12" x14ac:dyDescent="0.25">
      <c r="A209" s="3">
        <f t="shared" si="8"/>
        <v>1</v>
      </c>
      <c r="B209" s="3">
        <f>EDATE($B$3,Site!$I$36*(ROW(Tab_Compteur_4[[#This Row],[Début de période]])-3))</f>
        <v>0</v>
      </c>
      <c r="C209" s="185"/>
      <c r="E209">
        <f t="shared" si="7"/>
        <v>0</v>
      </c>
      <c r="F209" t="str">
        <f>IFERROR(Tab_Compteur_4[[#This Row],[Quantité]]/Tab_Compteur_4[[#This Row],[Delta Jour]],"")</f>
        <v/>
      </c>
      <c r="G209" t="str">
        <f>IFERROR(Tab_Compteur_4[[#This Row],[Montant TTC]]/Tab_Compteur_4[[#This Row],[Delta Jour]],"")</f>
        <v/>
      </c>
      <c r="H209" s="42"/>
      <c r="I209" s="42"/>
      <c r="J209" s="42"/>
      <c r="K209" s="42"/>
      <c r="L209" s="42"/>
    </row>
    <row r="210" spans="1:12" x14ac:dyDescent="0.25">
      <c r="A210" s="3">
        <f t="shared" si="8"/>
        <v>1</v>
      </c>
      <c r="B210" s="3">
        <f>EDATE($B$3,Site!$I$36*(ROW(Tab_Compteur_4[[#This Row],[Début de période]])-3))</f>
        <v>0</v>
      </c>
      <c r="C210" s="185"/>
      <c r="E210">
        <f t="shared" si="7"/>
        <v>0</v>
      </c>
      <c r="F210" t="str">
        <f>IFERROR(Tab_Compteur_4[[#This Row],[Quantité]]/Tab_Compteur_4[[#This Row],[Delta Jour]],"")</f>
        <v/>
      </c>
      <c r="G210" t="str">
        <f>IFERROR(Tab_Compteur_4[[#This Row],[Montant TTC]]/Tab_Compteur_4[[#This Row],[Delta Jour]],"")</f>
        <v/>
      </c>
      <c r="H210" s="42"/>
      <c r="I210" s="42"/>
      <c r="J210" s="42"/>
      <c r="K210" s="42"/>
      <c r="L210" s="42"/>
    </row>
    <row r="211" spans="1:12" x14ac:dyDescent="0.25">
      <c r="A211" s="3">
        <f t="shared" si="8"/>
        <v>1</v>
      </c>
      <c r="B211" s="3">
        <f>EDATE($B$3,Site!$I$36*(ROW(Tab_Compteur_4[[#This Row],[Début de période]])-3))</f>
        <v>0</v>
      </c>
      <c r="C211" s="185"/>
      <c r="E211">
        <f t="shared" si="7"/>
        <v>0</v>
      </c>
      <c r="F211" t="str">
        <f>IFERROR(Tab_Compteur_4[[#This Row],[Quantité]]/Tab_Compteur_4[[#This Row],[Delta Jour]],"")</f>
        <v/>
      </c>
      <c r="G211" t="str">
        <f>IFERROR(Tab_Compteur_4[[#This Row],[Montant TTC]]/Tab_Compteur_4[[#This Row],[Delta Jour]],"")</f>
        <v/>
      </c>
      <c r="H211" s="42"/>
      <c r="I211" s="42"/>
      <c r="J211" s="42"/>
      <c r="K211" s="42"/>
      <c r="L211" s="42"/>
    </row>
    <row r="212" spans="1:12" x14ac:dyDescent="0.25">
      <c r="A212" s="3">
        <f t="shared" si="8"/>
        <v>1</v>
      </c>
      <c r="B212" s="3">
        <f>EDATE($B$3,Site!$I$36*(ROW(Tab_Compteur_4[[#This Row],[Début de période]])-3))</f>
        <v>0</v>
      </c>
      <c r="C212" s="185"/>
      <c r="E212">
        <f t="shared" si="7"/>
        <v>0</v>
      </c>
      <c r="F212" t="str">
        <f>IFERROR(Tab_Compteur_4[[#This Row],[Quantité]]/Tab_Compteur_4[[#This Row],[Delta Jour]],"")</f>
        <v/>
      </c>
      <c r="G212" t="str">
        <f>IFERROR(Tab_Compteur_4[[#This Row],[Montant TTC]]/Tab_Compteur_4[[#This Row],[Delta Jour]],"")</f>
        <v/>
      </c>
      <c r="H212" s="42"/>
      <c r="I212" s="42"/>
      <c r="J212" s="42"/>
      <c r="K212" s="42"/>
      <c r="L212" s="42"/>
    </row>
    <row r="213" spans="1:12" x14ac:dyDescent="0.25">
      <c r="A213" s="3">
        <f t="shared" si="8"/>
        <v>1</v>
      </c>
      <c r="B213" s="3">
        <f>EDATE($B$3,Site!$I$36*(ROW(Tab_Compteur_4[[#This Row],[Début de période]])-3))</f>
        <v>0</v>
      </c>
      <c r="C213" s="185"/>
      <c r="E213">
        <f t="shared" si="7"/>
        <v>0</v>
      </c>
      <c r="F213" t="str">
        <f>IFERROR(Tab_Compteur_4[[#This Row],[Quantité]]/Tab_Compteur_4[[#This Row],[Delta Jour]],"")</f>
        <v/>
      </c>
      <c r="G213" t="str">
        <f>IFERROR(Tab_Compteur_4[[#This Row],[Montant TTC]]/Tab_Compteur_4[[#This Row],[Delta Jour]],"")</f>
        <v/>
      </c>
      <c r="H213" s="42"/>
      <c r="I213" s="42"/>
      <c r="J213" s="42"/>
      <c r="K213" s="42"/>
      <c r="L213" s="42"/>
    </row>
    <row r="214" spans="1:12" x14ac:dyDescent="0.25">
      <c r="A214" s="3">
        <f t="shared" si="8"/>
        <v>1</v>
      </c>
      <c r="B214" s="3">
        <f>EDATE($B$3,Site!$I$36*(ROW(Tab_Compteur_4[[#This Row],[Début de période]])-3))</f>
        <v>0</v>
      </c>
      <c r="C214" s="185"/>
      <c r="E214">
        <f t="shared" si="7"/>
        <v>0</v>
      </c>
      <c r="F214" t="str">
        <f>IFERROR(Tab_Compteur_4[[#This Row],[Quantité]]/Tab_Compteur_4[[#This Row],[Delta Jour]],"")</f>
        <v/>
      </c>
      <c r="G214" t="str">
        <f>IFERROR(Tab_Compteur_4[[#This Row],[Montant TTC]]/Tab_Compteur_4[[#This Row],[Delta Jour]],"")</f>
        <v/>
      </c>
      <c r="H214" s="42"/>
      <c r="I214" s="42"/>
      <c r="J214" s="42"/>
      <c r="K214" s="42"/>
      <c r="L214" s="42"/>
    </row>
    <row r="215" spans="1:12" x14ac:dyDescent="0.25">
      <c r="A215" s="3">
        <f t="shared" si="8"/>
        <v>1</v>
      </c>
      <c r="B215" s="3">
        <f>EDATE($B$3,Site!$I$36*(ROW(Tab_Compteur_4[[#This Row],[Début de période]])-3))</f>
        <v>0</v>
      </c>
      <c r="C215" s="185"/>
      <c r="E215">
        <f t="shared" si="7"/>
        <v>0</v>
      </c>
      <c r="F215" t="str">
        <f>IFERROR(Tab_Compteur_4[[#This Row],[Quantité]]/Tab_Compteur_4[[#This Row],[Delta Jour]],"")</f>
        <v/>
      </c>
      <c r="G215" t="str">
        <f>IFERROR(Tab_Compteur_4[[#This Row],[Montant TTC]]/Tab_Compteur_4[[#This Row],[Delta Jour]],"")</f>
        <v/>
      </c>
      <c r="H215" s="42"/>
      <c r="I215" s="42"/>
      <c r="J215" s="42"/>
      <c r="K215" s="42"/>
      <c r="L215" s="42"/>
    </row>
    <row r="216" spans="1:12" x14ac:dyDescent="0.25">
      <c r="A216" s="3">
        <f t="shared" si="8"/>
        <v>1</v>
      </c>
      <c r="B216" s="3">
        <f>EDATE($B$3,Site!$I$36*(ROW(Tab_Compteur_4[[#This Row],[Début de période]])-3))</f>
        <v>0</v>
      </c>
      <c r="C216" s="185"/>
      <c r="E216">
        <f t="shared" si="7"/>
        <v>0</v>
      </c>
      <c r="F216" t="str">
        <f>IFERROR(Tab_Compteur_4[[#This Row],[Quantité]]/Tab_Compteur_4[[#This Row],[Delta Jour]],"")</f>
        <v/>
      </c>
      <c r="G216" t="str">
        <f>IFERROR(Tab_Compteur_4[[#This Row],[Montant TTC]]/Tab_Compteur_4[[#This Row],[Delta Jour]],"")</f>
        <v/>
      </c>
      <c r="H216" s="42"/>
      <c r="I216" s="42"/>
      <c r="J216" s="42"/>
      <c r="K216" s="42"/>
      <c r="L216" s="42"/>
    </row>
    <row r="217" spans="1:12" x14ac:dyDescent="0.25">
      <c r="A217" s="3">
        <f t="shared" si="8"/>
        <v>1</v>
      </c>
      <c r="B217" s="3">
        <f>EDATE($B$3,Site!$I$36*(ROW(Tab_Compteur_4[[#This Row],[Début de période]])-3))</f>
        <v>0</v>
      </c>
      <c r="C217" s="185"/>
      <c r="E217">
        <f t="shared" si="7"/>
        <v>0</v>
      </c>
      <c r="F217" t="str">
        <f>IFERROR(Tab_Compteur_4[[#This Row],[Quantité]]/Tab_Compteur_4[[#This Row],[Delta Jour]],"")</f>
        <v/>
      </c>
      <c r="G217" t="str">
        <f>IFERROR(Tab_Compteur_4[[#This Row],[Montant TTC]]/Tab_Compteur_4[[#This Row],[Delta Jour]],"")</f>
        <v/>
      </c>
      <c r="H217" s="42"/>
      <c r="I217" s="42"/>
      <c r="J217" s="42"/>
      <c r="K217" s="42"/>
      <c r="L217" s="42"/>
    </row>
    <row r="218" spans="1:12" x14ac:dyDescent="0.25">
      <c r="A218" s="3">
        <f t="shared" si="8"/>
        <v>1</v>
      </c>
      <c r="B218" s="3">
        <f>EDATE($B$3,Site!$I$36*(ROW(Tab_Compteur_4[[#This Row],[Début de période]])-3))</f>
        <v>0</v>
      </c>
      <c r="C218" s="185"/>
      <c r="E218">
        <f t="shared" si="7"/>
        <v>0</v>
      </c>
      <c r="F218" t="str">
        <f>IFERROR(Tab_Compteur_4[[#This Row],[Quantité]]/Tab_Compteur_4[[#This Row],[Delta Jour]],"")</f>
        <v/>
      </c>
      <c r="G218" t="str">
        <f>IFERROR(Tab_Compteur_4[[#This Row],[Montant TTC]]/Tab_Compteur_4[[#This Row],[Delta Jour]],"")</f>
        <v/>
      </c>
      <c r="H218" s="42"/>
      <c r="I218" s="42"/>
      <c r="J218" s="42"/>
      <c r="K218" s="42"/>
      <c r="L218" s="42"/>
    </row>
    <row r="219" spans="1:12" x14ac:dyDescent="0.25">
      <c r="A219" s="3">
        <f t="shared" si="8"/>
        <v>1</v>
      </c>
      <c r="B219" s="3">
        <f>EDATE($B$3,Site!$I$36*(ROW(Tab_Compteur_4[[#This Row],[Début de période]])-3))</f>
        <v>0</v>
      </c>
      <c r="C219" s="185"/>
      <c r="E219">
        <f t="shared" si="7"/>
        <v>0</v>
      </c>
      <c r="F219" t="str">
        <f>IFERROR(Tab_Compteur_4[[#This Row],[Quantité]]/Tab_Compteur_4[[#This Row],[Delta Jour]],"")</f>
        <v/>
      </c>
      <c r="G219" t="str">
        <f>IFERROR(Tab_Compteur_4[[#This Row],[Montant TTC]]/Tab_Compteur_4[[#This Row],[Delta Jour]],"")</f>
        <v/>
      </c>
      <c r="H219" s="42"/>
      <c r="I219" s="42"/>
      <c r="J219" s="42"/>
      <c r="K219" s="42"/>
      <c r="L219" s="42"/>
    </row>
    <row r="220" spans="1:12" x14ac:dyDescent="0.25">
      <c r="A220" s="3">
        <f t="shared" si="8"/>
        <v>1</v>
      </c>
      <c r="B220" s="3">
        <f>EDATE($B$3,Site!$I$36*(ROW(Tab_Compteur_4[[#This Row],[Début de période]])-3))</f>
        <v>0</v>
      </c>
      <c r="C220" s="185"/>
      <c r="E220">
        <f t="shared" si="7"/>
        <v>0</v>
      </c>
      <c r="F220" t="str">
        <f>IFERROR(Tab_Compteur_4[[#This Row],[Quantité]]/Tab_Compteur_4[[#This Row],[Delta Jour]],"")</f>
        <v/>
      </c>
      <c r="G220" t="str">
        <f>IFERROR(Tab_Compteur_4[[#This Row],[Montant TTC]]/Tab_Compteur_4[[#This Row],[Delta Jour]],"")</f>
        <v/>
      </c>
      <c r="H220" s="42"/>
      <c r="I220" s="42"/>
      <c r="J220" s="42"/>
      <c r="K220" s="42"/>
      <c r="L220" s="42"/>
    </row>
    <row r="221" spans="1:12" x14ac:dyDescent="0.25">
      <c r="A221" s="3">
        <f t="shared" si="8"/>
        <v>1</v>
      </c>
      <c r="B221" s="3">
        <f>EDATE($B$3,Site!$I$36*(ROW(Tab_Compteur_4[[#This Row],[Début de période]])-3))</f>
        <v>0</v>
      </c>
      <c r="C221" s="185"/>
      <c r="E221">
        <f t="shared" si="7"/>
        <v>0</v>
      </c>
      <c r="F221" t="str">
        <f>IFERROR(Tab_Compteur_4[[#This Row],[Quantité]]/Tab_Compteur_4[[#This Row],[Delta Jour]],"")</f>
        <v/>
      </c>
      <c r="G221" t="str">
        <f>IFERROR(Tab_Compteur_4[[#This Row],[Montant TTC]]/Tab_Compteur_4[[#This Row],[Delta Jour]],"")</f>
        <v/>
      </c>
      <c r="H221" s="42"/>
      <c r="I221" s="42"/>
      <c r="J221" s="42"/>
      <c r="K221" s="42"/>
      <c r="L221" s="42"/>
    </row>
    <row r="222" spans="1:12" x14ac:dyDescent="0.25">
      <c r="A222" s="3">
        <f t="shared" si="8"/>
        <v>1</v>
      </c>
      <c r="B222" s="3">
        <f>EDATE($B$3,Site!$I$36*(ROW(Tab_Compteur_4[[#This Row],[Début de période]])-3))</f>
        <v>0</v>
      </c>
      <c r="C222" s="185"/>
      <c r="E222">
        <f t="shared" si="7"/>
        <v>0</v>
      </c>
      <c r="F222" t="str">
        <f>IFERROR(Tab_Compteur_4[[#This Row],[Quantité]]/Tab_Compteur_4[[#This Row],[Delta Jour]],"")</f>
        <v/>
      </c>
      <c r="G222" t="str">
        <f>IFERROR(Tab_Compteur_4[[#This Row],[Montant TTC]]/Tab_Compteur_4[[#This Row],[Delta Jour]],"")</f>
        <v/>
      </c>
      <c r="H222" s="42"/>
      <c r="I222" s="42"/>
      <c r="J222" s="42"/>
      <c r="K222" s="42"/>
      <c r="L222" s="42"/>
    </row>
    <row r="223" spans="1:12" x14ac:dyDescent="0.25">
      <c r="A223" s="3">
        <f t="shared" si="8"/>
        <v>1</v>
      </c>
      <c r="B223" s="3">
        <f>EDATE($B$3,Site!$I$36*(ROW(Tab_Compteur_4[[#This Row],[Début de période]])-3))</f>
        <v>0</v>
      </c>
      <c r="C223" s="185"/>
      <c r="E223">
        <f t="shared" si="7"/>
        <v>0</v>
      </c>
      <c r="F223" t="str">
        <f>IFERROR(Tab_Compteur_4[[#This Row],[Quantité]]/Tab_Compteur_4[[#This Row],[Delta Jour]],"")</f>
        <v/>
      </c>
      <c r="G223" t="str">
        <f>IFERROR(Tab_Compteur_4[[#This Row],[Montant TTC]]/Tab_Compteur_4[[#This Row],[Delta Jour]],"")</f>
        <v/>
      </c>
      <c r="H223" s="42"/>
      <c r="I223" s="42"/>
      <c r="J223" s="42"/>
      <c r="K223" s="42"/>
      <c r="L223" s="42"/>
    </row>
    <row r="224" spans="1:12" x14ac:dyDescent="0.25">
      <c r="A224" s="3">
        <f t="shared" si="8"/>
        <v>1</v>
      </c>
      <c r="B224" s="3">
        <f>EDATE($B$3,Site!$I$36*(ROW(Tab_Compteur_4[[#This Row],[Début de période]])-3))</f>
        <v>0</v>
      </c>
      <c r="C224" s="185"/>
      <c r="E224">
        <f t="shared" si="7"/>
        <v>0</v>
      </c>
      <c r="F224" t="str">
        <f>IFERROR(Tab_Compteur_4[[#This Row],[Quantité]]/Tab_Compteur_4[[#This Row],[Delta Jour]],"")</f>
        <v/>
      </c>
      <c r="G224" t="str">
        <f>IFERROR(Tab_Compteur_4[[#This Row],[Montant TTC]]/Tab_Compteur_4[[#This Row],[Delta Jour]],"")</f>
        <v/>
      </c>
      <c r="H224" s="42"/>
      <c r="I224" s="42"/>
      <c r="J224" s="42"/>
      <c r="K224" s="42"/>
      <c r="L224" s="42"/>
    </row>
    <row r="225" spans="1:12" x14ac:dyDescent="0.25">
      <c r="A225" s="3">
        <f t="shared" si="8"/>
        <v>1</v>
      </c>
      <c r="B225" s="3">
        <f>EDATE($B$3,Site!$I$36*(ROW(Tab_Compteur_4[[#This Row],[Début de période]])-3))</f>
        <v>0</v>
      </c>
      <c r="C225" s="185"/>
      <c r="E225">
        <f t="shared" si="7"/>
        <v>0</v>
      </c>
      <c r="F225" t="str">
        <f>IFERROR(Tab_Compteur_4[[#This Row],[Quantité]]/Tab_Compteur_4[[#This Row],[Delta Jour]],"")</f>
        <v/>
      </c>
      <c r="G225" t="str">
        <f>IFERROR(Tab_Compteur_4[[#This Row],[Montant TTC]]/Tab_Compteur_4[[#This Row],[Delta Jour]],"")</f>
        <v/>
      </c>
      <c r="H225" s="42"/>
      <c r="I225" s="42"/>
      <c r="J225" s="42"/>
      <c r="K225" s="42"/>
      <c r="L225" s="42"/>
    </row>
    <row r="226" spans="1:12" x14ac:dyDescent="0.25">
      <c r="A226" s="3">
        <f t="shared" si="8"/>
        <v>1</v>
      </c>
      <c r="B226" s="3">
        <f>EDATE($B$3,Site!$I$36*(ROW(Tab_Compteur_4[[#This Row],[Début de période]])-3))</f>
        <v>0</v>
      </c>
      <c r="C226" s="185"/>
      <c r="E226">
        <f t="shared" si="7"/>
        <v>0</v>
      </c>
      <c r="F226" t="str">
        <f>IFERROR(Tab_Compteur_4[[#This Row],[Quantité]]/Tab_Compteur_4[[#This Row],[Delta Jour]],"")</f>
        <v/>
      </c>
      <c r="G226" t="str">
        <f>IFERROR(Tab_Compteur_4[[#This Row],[Montant TTC]]/Tab_Compteur_4[[#This Row],[Delta Jour]],"")</f>
        <v/>
      </c>
      <c r="H226" s="42"/>
      <c r="I226" s="42"/>
      <c r="J226" s="42"/>
      <c r="K226" s="42"/>
      <c r="L226" s="42"/>
    </row>
    <row r="227" spans="1:12" x14ac:dyDescent="0.25">
      <c r="A227" s="3">
        <f t="shared" si="8"/>
        <v>1</v>
      </c>
      <c r="B227" s="3">
        <f>EDATE($B$3,Site!$I$36*(ROW(Tab_Compteur_4[[#This Row],[Début de période]])-3))</f>
        <v>0</v>
      </c>
      <c r="C227" s="185"/>
      <c r="E227">
        <f t="shared" si="7"/>
        <v>0</v>
      </c>
      <c r="F227" t="str">
        <f>IFERROR(Tab_Compteur_4[[#This Row],[Quantité]]/Tab_Compteur_4[[#This Row],[Delta Jour]],"")</f>
        <v/>
      </c>
      <c r="G227" t="str">
        <f>IFERROR(Tab_Compteur_4[[#This Row],[Montant TTC]]/Tab_Compteur_4[[#This Row],[Delta Jour]],"")</f>
        <v/>
      </c>
      <c r="H227" s="42"/>
      <c r="I227" s="42"/>
      <c r="J227" s="42"/>
      <c r="K227" s="42"/>
      <c r="L227" s="42"/>
    </row>
    <row r="228" spans="1:12" x14ac:dyDescent="0.25">
      <c r="A228" s="3">
        <f t="shared" si="8"/>
        <v>1</v>
      </c>
      <c r="B228" s="3">
        <f>EDATE($B$3,Site!$I$36*(ROW(Tab_Compteur_4[[#This Row],[Début de période]])-3))</f>
        <v>0</v>
      </c>
      <c r="C228" s="185"/>
      <c r="E228">
        <f t="shared" si="7"/>
        <v>0</v>
      </c>
      <c r="F228" t="str">
        <f>IFERROR(Tab_Compteur_4[[#This Row],[Quantité]]/Tab_Compteur_4[[#This Row],[Delta Jour]],"")</f>
        <v/>
      </c>
      <c r="G228" t="str">
        <f>IFERROR(Tab_Compteur_4[[#This Row],[Montant TTC]]/Tab_Compteur_4[[#This Row],[Delta Jour]],"")</f>
        <v/>
      </c>
      <c r="H228" s="42"/>
      <c r="I228" s="42"/>
      <c r="J228" s="42"/>
      <c r="K228" s="42"/>
      <c r="L228" s="42"/>
    </row>
    <row r="229" spans="1:12" x14ac:dyDescent="0.25">
      <c r="A229" s="3">
        <f t="shared" si="8"/>
        <v>1</v>
      </c>
      <c r="B229" s="3">
        <f>EDATE($B$3,Site!$I$36*(ROW(Tab_Compteur_4[[#This Row],[Début de période]])-3))</f>
        <v>0</v>
      </c>
      <c r="C229" s="185"/>
      <c r="E229">
        <f t="shared" si="7"/>
        <v>0</v>
      </c>
      <c r="F229" t="str">
        <f>IFERROR(Tab_Compteur_4[[#This Row],[Quantité]]/Tab_Compteur_4[[#This Row],[Delta Jour]],"")</f>
        <v/>
      </c>
      <c r="G229" t="str">
        <f>IFERROR(Tab_Compteur_4[[#This Row],[Montant TTC]]/Tab_Compteur_4[[#This Row],[Delta Jour]],"")</f>
        <v/>
      </c>
      <c r="H229" s="42"/>
      <c r="I229" s="42"/>
      <c r="J229" s="42"/>
      <c r="K229" s="42"/>
      <c r="L229" s="42"/>
    </row>
    <row r="230" spans="1:12" x14ac:dyDescent="0.25">
      <c r="A230" s="3">
        <f t="shared" si="8"/>
        <v>1</v>
      </c>
      <c r="B230" s="3">
        <f>EDATE($B$3,Site!$I$36*(ROW(Tab_Compteur_4[[#This Row],[Début de période]])-3))</f>
        <v>0</v>
      </c>
      <c r="C230" s="185"/>
      <c r="E230">
        <f t="shared" si="7"/>
        <v>0</v>
      </c>
      <c r="F230" t="str">
        <f>IFERROR(Tab_Compteur_4[[#This Row],[Quantité]]/Tab_Compteur_4[[#This Row],[Delta Jour]],"")</f>
        <v/>
      </c>
      <c r="G230" t="str">
        <f>IFERROR(Tab_Compteur_4[[#This Row],[Montant TTC]]/Tab_Compteur_4[[#This Row],[Delta Jour]],"")</f>
        <v/>
      </c>
      <c r="H230" s="42"/>
      <c r="I230" s="42"/>
      <c r="J230" s="42"/>
      <c r="K230" s="42"/>
      <c r="L230" s="42"/>
    </row>
    <row r="231" spans="1:12" x14ac:dyDescent="0.25">
      <c r="A231" s="3">
        <f t="shared" si="8"/>
        <v>1</v>
      </c>
      <c r="B231" s="3">
        <f>EDATE($B$3,Site!$I$36*(ROW(Tab_Compteur_4[[#This Row],[Début de période]])-3))</f>
        <v>0</v>
      </c>
      <c r="C231" s="185"/>
      <c r="E231">
        <f t="shared" si="7"/>
        <v>0</v>
      </c>
      <c r="F231" t="str">
        <f>IFERROR(Tab_Compteur_4[[#This Row],[Quantité]]/Tab_Compteur_4[[#This Row],[Delta Jour]],"")</f>
        <v/>
      </c>
      <c r="G231" t="str">
        <f>IFERROR(Tab_Compteur_4[[#This Row],[Montant TTC]]/Tab_Compteur_4[[#This Row],[Delta Jour]],"")</f>
        <v/>
      </c>
      <c r="H231" s="42"/>
      <c r="I231" s="42"/>
      <c r="J231" s="42"/>
      <c r="K231" s="42"/>
      <c r="L231" s="42"/>
    </row>
    <row r="232" spans="1:12" x14ac:dyDescent="0.25">
      <c r="A232" s="3">
        <f t="shared" si="8"/>
        <v>1</v>
      </c>
      <c r="B232" s="3">
        <f>EDATE($B$3,Site!$I$36*(ROW(Tab_Compteur_4[[#This Row],[Début de période]])-3))</f>
        <v>0</v>
      </c>
      <c r="C232" s="185"/>
      <c r="E232">
        <f t="shared" si="7"/>
        <v>0</v>
      </c>
      <c r="F232" t="str">
        <f>IFERROR(Tab_Compteur_4[[#This Row],[Quantité]]/Tab_Compteur_4[[#This Row],[Delta Jour]],"")</f>
        <v/>
      </c>
      <c r="G232" t="str">
        <f>IFERROR(Tab_Compteur_4[[#This Row],[Montant TTC]]/Tab_Compteur_4[[#This Row],[Delta Jour]],"")</f>
        <v/>
      </c>
      <c r="H232" s="42"/>
      <c r="I232" s="42"/>
      <c r="J232" s="42"/>
      <c r="K232" s="42"/>
      <c r="L232" s="42"/>
    </row>
    <row r="233" spans="1:12" x14ac:dyDescent="0.25">
      <c r="A233" s="3">
        <f t="shared" si="8"/>
        <v>1</v>
      </c>
      <c r="B233" s="3">
        <f>EDATE($B$3,Site!$I$36*(ROW(Tab_Compteur_4[[#This Row],[Début de période]])-3))</f>
        <v>0</v>
      </c>
      <c r="C233" s="185"/>
      <c r="E233">
        <f t="shared" si="7"/>
        <v>0</v>
      </c>
      <c r="F233" t="str">
        <f>IFERROR(Tab_Compteur_4[[#This Row],[Quantité]]/Tab_Compteur_4[[#This Row],[Delta Jour]],"")</f>
        <v/>
      </c>
      <c r="G233" t="str">
        <f>IFERROR(Tab_Compteur_4[[#This Row],[Montant TTC]]/Tab_Compteur_4[[#This Row],[Delta Jour]],"")</f>
        <v/>
      </c>
      <c r="H233" s="42"/>
      <c r="I233" s="42"/>
      <c r="J233" s="42"/>
      <c r="K233" s="42"/>
      <c r="L233" s="42"/>
    </row>
    <row r="234" spans="1:12" x14ac:dyDescent="0.25">
      <c r="A234" s="3">
        <f t="shared" si="8"/>
        <v>1</v>
      </c>
      <c r="B234" s="3">
        <f>EDATE($B$3,Site!$I$36*(ROW(Tab_Compteur_4[[#This Row],[Début de période]])-3))</f>
        <v>0</v>
      </c>
      <c r="C234" s="185"/>
      <c r="E234">
        <f t="shared" si="7"/>
        <v>0</v>
      </c>
      <c r="F234" t="str">
        <f>IFERROR(Tab_Compteur_4[[#This Row],[Quantité]]/Tab_Compteur_4[[#This Row],[Delta Jour]],"")</f>
        <v/>
      </c>
      <c r="G234" t="str">
        <f>IFERROR(Tab_Compteur_4[[#This Row],[Montant TTC]]/Tab_Compteur_4[[#This Row],[Delta Jour]],"")</f>
        <v/>
      </c>
      <c r="H234" s="42"/>
      <c r="I234" s="42"/>
      <c r="J234" s="42"/>
      <c r="K234" s="42"/>
      <c r="L234" s="42"/>
    </row>
    <row r="235" spans="1:12" x14ac:dyDescent="0.25">
      <c r="A235" s="3">
        <f t="shared" si="8"/>
        <v>1</v>
      </c>
      <c r="B235" s="3">
        <f>EDATE($B$3,Site!$I$36*(ROW(Tab_Compteur_4[[#This Row],[Début de période]])-3))</f>
        <v>0</v>
      </c>
      <c r="C235" s="185"/>
      <c r="E235">
        <f t="shared" si="7"/>
        <v>0</v>
      </c>
      <c r="F235" t="str">
        <f>IFERROR(Tab_Compteur_4[[#This Row],[Quantité]]/Tab_Compteur_4[[#This Row],[Delta Jour]],"")</f>
        <v/>
      </c>
      <c r="G235" t="str">
        <f>IFERROR(Tab_Compteur_4[[#This Row],[Montant TTC]]/Tab_Compteur_4[[#This Row],[Delta Jour]],"")</f>
        <v/>
      </c>
      <c r="H235" s="42"/>
      <c r="I235" s="42"/>
      <c r="J235" s="42"/>
      <c r="K235" s="42"/>
      <c r="L235" s="42"/>
    </row>
    <row r="236" spans="1:12" x14ac:dyDescent="0.25">
      <c r="A236" s="3">
        <f t="shared" si="8"/>
        <v>1</v>
      </c>
      <c r="B236" s="3">
        <f>EDATE($B$3,Site!$I$36*(ROW(Tab_Compteur_4[[#This Row],[Début de période]])-3))</f>
        <v>0</v>
      </c>
      <c r="C236" s="185"/>
      <c r="E236">
        <f t="shared" si="7"/>
        <v>0</v>
      </c>
      <c r="F236" t="str">
        <f>IFERROR(Tab_Compteur_4[[#This Row],[Quantité]]/Tab_Compteur_4[[#This Row],[Delta Jour]],"")</f>
        <v/>
      </c>
      <c r="G236" t="str">
        <f>IFERROR(Tab_Compteur_4[[#This Row],[Montant TTC]]/Tab_Compteur_4[[#This Row],[Delta Jour]],"")</f>
        <v/>
      </c>
      <c r="H236" s="42"/>
      <c r="I236" s="42"/>
      <c r="J236" s="42"/>
      <c r="K236" s="42"/>
      <c r="L236" s="42"/>
    </row>
    <row r="237" spans="1:12" x14ac:dyDescent="0.25">
      <c r="A237" s="3">
        <f t="shared" si="8"/>
        <v>1</v>
      </c>
      <c r="B237" s="3">
        <f>EDATE($B$3,Site!$I$36*(ROW(Tab_Compteur_4[[#This Row],[Début de période]])-3))</f>
        <v>0</v>
      </c>
      <c r="C237" s="185"/>
      <c r="E237">
        <f t="shared" si="7"/>
        <v>0</v>
      </c>
      <c r="F237" t="str">
        <f>IFERROR(Tab_Compteur_4[[#This Row],[Quantité]]/Tab_Compteur_4[[#This Row],[Delta Jour]],"")</f>
        <v/>
      </c>
      <c r="G237" t="str">
        <f>IFERROR(Tab_Compteur_4[[#This Row],[Montant TTC]]/Tab_Compteur_4[[#This Row],[Delta Jour]],"")</f>
        <v/>
      </c>
      <c r="H237" s="42"/>
      <c r="I237" s="42"/>
      <c r="J237" s="42"/>
      <c r="K237" s="42"/>
      <c r="L237" s="42"/>
    </row>
    <row r="238" spans="1:12" x14ac:dyDescent="0.25">
      <c r="A238" s="3">
        <f t="shared" si="8"/>
        <v>1</v>
      </c>
      <c r="B238" s="3">
        <f>EDATE($B$3,Site!$I$36*(ROW(Tab_Compteur_4[[#This Row],[Début de période]])-3))</f>
        <v>0</v>
      </c>
      <c r="C238" s="185"/>
      <c r="E238">
        <f t="shared" si="7"/>
        <v>0</v>
      </c>
      <c r="F238" t="str">
        <f>IFERROR(Tab_Compteur_4[[#This Row],[Quantité]]/Tab_Compteur_4[[#This Row],[Delta Jour]],"")</f>
        <v/>
      </c>
      <c r="G238" t="str">
        <f>IFERROR(Tab_Compteur_4[[#This Row],[Montant TTC]]/Tab_Compteur_4[[#This Row],[Delta Jour]],"")</f>
        <v/>
      </c>
      <c r="H238" s="42"/>
      <c r="I238" s="42"/>
      <c r="J238" s="42"/>
      <c r="K238" s="42"/>
      <c r="L238" s="42"/>
    </row>
    <row r="239" spans="1:12" x14ac:dyDescent="0.25">
      <c r="A239" s="3">
        <f t="shared" si="8"/>
        <v>1</v>
      </c>
      <c r="B239" s="3">
        <f>EDATE($B$3,Site!$I$36*(ROW(Tab_Compteur_4[[#This Row],[Début de période]])-3))</f>
        <v>0</v>
      </c>
      <c r="C239" s="185"/>
      <c r="E239">
        <f t="shared" si="7"/>
        <v>0</v>
      </c>
      <c r="F239" t="str">
        <f>IFERROR(Tab_Compteur_4[[#This Row],[Quantité]]/Tab_Compteur_4[[#This Row],[Delta Jour]],"")</f>
        <v/>
      </c>
      <c r="G239" t="str">
        <f>IFERROR(Tab_Compteur_4[[#This Row],[Montant TTC]]/Tab_Compteur_4[[#This Row],[Delta Jour]],"")</f>
        <v/>
      </c>
      <c r="H239" s="42"/>
      <c r="I239" s="42"/>
      <c r="J239" s="42"/>
      <c r="K239" s="42"/>
      <c r="L239" s="42"/>
    </row>
    <row r="240" spans="1:12" x14ac:dyDescent="0.25">
      <c r="A240" s="3">
        <f t="shared" si="8"/>
        <v>1</v>
      </c>
      <c r="B240" s="3">
        <f>EDATE($B$3,Site!$I$36*(ROW(Tab_Compteur_4[[#This Row],[Début de période]])-3))</f>
        <v>0</v>
      </c>
      <c r="C240" s="185"/>
      <c r="E240">
        <f t="shared" si="7"/>
        <v>0</v>
      </c>
      <c r="F240" t="str">
        <f>IFERROR(Tab_Compteur_4[[#This Row],[Quantité]]/Tab_Compteur_4[[#This Row],[Delta Jour]],"")</f>
        <v/>
      </c>
      <c r="G240" t="str">
        <f>IFERROR(Tab_Compteur_4[[#This Row],[Montant TTC]]/Tab_Compteur_4[[#This Row],[Delta Jour]],"")</f>
        <v/>
      </c>
      <c r="H240" s="42"/>
      <c r="I240" s="42"/>
      <c r="J240" s="42"/>
      <c r="K240" s="42"/>
      <c r="L240" s="42"/>
    </row>
    <row r="241" spans="1:12" x14ac:dyDescent="0.25">
      <c r="A241" s="3">
        <f t="shared" si="8"/>
        <v>1</v>
      </c>
      <c r="B241" s="3">
        <f>EDATE($B$3,Site!$I$36*(ROW(Tab_Compteur_4[[#This Row],[Début de période]])-3))</f>
        <v>0</v>
      </c>
      <c r="C241" s="185"/>
      <c r="E241">
        <f t="shared" si="7"/>
        <v>0</v>
      </c>
      <c r="F241" t="str">
        <f>IFERROR(Tab_Compteur_4[[#This Row],[Quantité]]/Tab_Compteur_4[[#This Row],[Delta Jour]],"")</f>
        <v/>
      </c>
      <c r="G241" t="str">
        <f>IFERROR(Tab_Compteur_4[[#This Row],[Montant TTC]]/Tab_Compteur_4[[#This Row],[Delta Jour]],"")</f>
        <v/>
      </c>
      <c r="H241" s="42"/>
      <c r="I241" s="42"/>
      <c r="J241" s="42"/>
      <c r="K241" s="42"/>
      <c r="L241" s="42"/>
    </row>
    <row r="242" spans="1:12" x14ac:dyDescent="0.25">
      <c r="A242" s="3">
        <f t="shared" si="8"/>
        <v>1</v>
      </c>
      <c r="B242" s="3">
        <f>EDATE($B$3,Site!$I$36*(ROW(Tab_Compteur_4[[#This Row],[Début de période]])-3))</f>
        <v>0</v>
      </c>
      <c r="C242" s="185"/>
      <c r="E242">
        <f t="shared" si="7"/>
        <v>0</v>
      </c>
      <c r="F242" t="str">
        <f>IFERROR(Tab_Compteur_4[[#This Row],[Quantité]]/Tab_Compteur_4[[#This Row],[Delta Jour]],"")</f>
        <v/>
      </c>
      <c r="G242" t="str">
        <f>IFERROR(Tab_Compteur_4[[#This Row],[Montant TTC]]/Tab_Compteur_4[[#This Row],[Delta Jour]],"")</f>
        <v/>
      </c>
      <c r="H242" s="42"/>
      <c r="I242" s="42"/>
      <c r="J242" s="42"/>
      <c r="K242" s="42"/>
      <c r="L242" s="42"/>
    </row>
  </sheetData>
  <sheetProtection sheet="1" objects="1" scenarios="1"/>
  <protectedRanges>
    <protectedRange sqref="A3:D17" name="Données_compteur4_1"/>
    <protectedRange sqref="C18:D58" name="Donnée_compteur1"/>
    <protectedRange sqref="A59:D242 A18:B58 H1:L1048576" name="Données_compteur4"/>
  </protectedRanges>
  <mergeCells count="1">
    <mergeCell ref="H7:L18"/>
  </mergeCells>
  <pageMargins left="0.7" right="0.7" top="0.75" bottom="0.75" header="0.3" footer="0.3"/>
  <pageSetup paperSize="9" orientation="portrait"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workbookViewId="0">
      <selection activeCell="C3" sqref="C3:D158"/>
    </sheetView>
  </sheetViews>
  <sheetFormatPr baseColWidth="10" defaultColWidth="0" defaultRowHeight="15" x14ac:dyDescent="0.25"/>
  <cols>
    <col min="1" max="1" width="15.28515625" customWidth="1"/>
    <col min="2" max="2" width="19.42578125" customWidth="1"/>
    <col min="3" max="3" width="13.85546875" customWidth="1"/>
    <col min="4" max="4" width="15.42578125" style="179" customWidth="1"/>
    <col min="5" max="7" width="11.42578125" hidden="1" customWidth="1"/>
    <col min="8" max="12" width="11.42578125" customWidth="1"/>
    <col min="13" max="16384" width="11.42578125" hidden="1"/>
  </cols>
  <sheetData>
    <row r="1" spans="1:12" x14ac:dyDescent="0.25">
      <c r="A1" s="63" t="s">
        <v>119</v>
      </c>
      <c r="B1" s="64" t="s">
        <v>28</v>
      </c>
      <c r="C1" s="64" t="s">
        <v>30</v>
      </c>
      <c r="D1" s="201" t="s">
        <v>29</v>
      </c>
      <c r="E1" s="32" t="s">
        <v>0</v>
      </c>
      <c r="F1" s="33" t="s">
        <v>31</v>
      </c>
      <c r="G1" s="34" t="s">
        <v>32</v>
      </c>
      <c r="H1" s="42"/>
      <c r="I1" s="42"/>
      <c r="J1" s="42"/>
      <c r="K1" s="42"/>
      <c r="L1" s="42"/>
    </row>
    <row r="2" spans="1:12" hidden="1" x14ac:dyDescent="0.25">
      <c r="A2" s="3"/>
      <c r="B2" s="61">
        <f t="shared" ref="B2" si="0">A3-1</f>
        <v>0</v>
      </c>
      <c r="C2" s="62"/>
      <c r="E2">
        <f t="shared" ref="E2:E65" si="1">IFERROR(B2-A2+1,"")</f>
        <v>1</v>
      </c>
      <c r="F2">
        <f>IFERROR(Tab_Compteur_5[[#This Row],[Quantité]]/Tab_Compteur_5[[#This Row],[Delta Jour]],"")</f>
        <v>0</v>
      </c>
      <c r="G2">
        <f>IFERROR(Tab_Compteur_5[[#This Row],[Montant TTC]]/Tab_Compteur_5[[#This Row],[Delta Jour]],"")</f>
        <v>0</v>
      </c>
      <c r="H2" s="42"/>
      <c r="I2" s="42"/>
      <c r="J2" s="42"/>
      <c r="K2" s="42"/>
      <c r="L2" s="42"/>
    </row>
    <row r="3" spans="1:12" x14ac:dyDescent="0.25">
      <c r="A3" s="3">
        <f>EDATE(B3,-Site!I37)+1</f>
        <v>1</v>
      </c>
      <c r="B3" s="3">
        <f>Site!H37</f>
        <v>0</v>
      </c>
      <c r="C3" s="291"/>
      <c r="E3">
        <f t="shared" si="1"/>
        <v>0</v>
      </c>
      <c r="F3" t="str">
        <f>IFERROR(Tab_Compteur_5[[#This Row],[Quantité]]/Tab_Compteur_5[[#This Row],[Delta Jour]],"")</f>
        <v/>
      </c>
      <c r="G3" t="str">
        <f>IFERROR(Tab_Compteur_5[[#This Row],[Montant TTC]]/Tab_Compteur_5[[#This Row],[Delta Jour]],"")</f>
        <v/>
      </c>
      <c r="H3" s="42"/>
      <c r="I3" s="42"/>
      <c r="J3" s="42"/>
      <c r="K3" s="42"/>
      <c r="L3" s="42"/>
    </row>
    <row r="4" spans="1:12" x14ac:dyDescent="0.25">
      <c r="A4" s="3">
        <f>B3+1</f>
        <v>1</v>
      </c>
      <c r="B4" s="3">
        <f>EDATE($B$3,Site!$I$37*(ROW(Tab_Compteur_5[[#This Row],[Début de période]])-3))</f>
        <v>0</v>
      </c>
      <c r="C4" s="291"/>
      <c r="E4">
        <f t="shared" si="1"/>
        <v>0</v>
      </c>
      <c r="F4" t="str">
        <f>IFERROR(Tab_Compteur_5[[#This Row],[Quantité]]/Tab_Compteur_5[[#This Row],[Delta Jour]],"")</f>
        <v/>
      </c>
      <c r="G4" t="str">
        <f>IFERROR(Tab_Compteur_5[[#This Row],[Montant TTC]]/Tab_Compteur_5[[#This Row],[Delta Jour]],"")</f>
        <v/>
      </c>
      <c r="H4" s="42"/>
      <c r="I4" s="42"/>
      <c r="J4" s="42"/>
      <c r="K4" s="42"/>
      <c r="L4" s="42"/>
    </row>
    <row r="5" spans="1:12" x14ac:dyDescent="0.25">
      <c r="A5" s="3">
        <f t="shared" ref="A5:A68" si="2">B4+1</f>
        <v>1</v>
      </c>
      <c r="B5" s="3">
        <f>EDATE($B$3,Site!$I$37*(ROW(Tab_Compteur_5[[#This Row],[Début de période]])-3))</f>
        <v>0</v>
      </c>
      <c r="C5" s="291"/>
      <c r="E5">
        <f t="shared" si="1"/>
        <v>0</v>
      </c>
      <c r="F5" t="str">
        <f>IFERROR(Tab_Compteur_5[[#This Row],[Quantité]]/Tab_Compteur_5[[#This Row],[Delta Jour]],"")</f>
        <v/>
      </c>
      <c r="G5" t="str">
        <f>IFERROR(Tab_Compteur_5[[#This Row],[Montant TTC]]/Tab_Compteur_5[[#This Row],[Delta Jour]],"")</f>
        <v/>
      </c>
      <c r="H5" s="42"/>
      <c r="I5" s="42"/>
      <c r="J5" s="42"/>
      <c r="K5" s="42"/>
      <c r="L5" s="42"/>
    </row>
    <row r="6" spans="1:12" x14ac:dyDescent="0.25">
      <c r="A6" s="3">
        <f t="shared" si="2"/>
        <v>1</v>
      </c>
      <c r="B6" s="3">
        <f>EDATE($B$3,Site!$I$37*(ROW(Tab_Compteur_5[[#This Row],[Début de période]])-3))</f>
        <v>0</v>
      </c>
      <c r="C6" s="291"/>
      <c r="E6">
        <f t="shared" si="1"/>
        <v>0</v>
      </c>
      <c r="F6" t="str">
        <f>IFERROR(Tab_Compteur_5[[#This Row],[Quantité]]/Tab_Compteur_5[[#This Row],[Delta Jour]],"")</f>
        <v/>
      </c>
      <c r="G6" t="str">
        <f>IFERROR(Tab_Compteur_5[[#This Row],[Montant TTC]]/Tab_Compteur_5[[#This Row],[Delta Jour]],"")</f>
        <v/>
      </c>
      <c r="H6" s="42"/>
      <c r="I6" s="42"/>
      <c r="J6" s="42"/>
      <c r="K6" s="42"/>
      <c r="L6" s="42"/>
    </row>
    <row r="7" spans="1:12" x14ac:dyDescent="0.25">
      <c r="A7" s="3">
        <f t="shared" si="2"/>
        <v>1</v>
      </c>
      <c r="B7" s="3">
        <f>EDATE($B$3,Site!$I$37*(ROW(Tab_Compteur_5[[#This Row],[Début de période]])-3))</f>
        <v>0</v>
      </c>
      <c r="C7" s="291"/>
      <c r="E7">
        <f t="shared" si="1"/>
        <v>0</v>
      </c>
      <c r="F7" t="str">
        <f>IFERROR(Tab_Compteur_5[[#This Row],[Quantité]]/Tab_Compteur_5[[#This Row],[Delta Jour]],"")</f>
        <v/>
      </c>
      <c r="G7" t="str">
        <f>IFERROR(Tab_Compteur_5[[#This Row],[Montant TTC]]/Tab_Compteur_5[[#This Row],[Delta Jour]],"")</f>
        <v/>
      </c>
      <c r="H7" s="356" t="str">
        <f>Compteur_1!H9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I7" s="357"/>
      <c r="J7" s="357"/>
      <c r="K7" s="357"/>
      <c r="L7" s="357"/>
    </row>
    <row r="8" spans="1:12" x14ac:dyDescent="0.25">
      <c r="A8" s="3">
        <f t="shared" si="2"/>
        <v>1</v>
      </c>
      <c r="B8" s="3">
        <f>EDATE($B$3,Site!$I$37*(ROW(Tab_Compteur_5[[#This Row],[Début de période]])-3))</f>
        <v>0</v>
      </c>
      <c r="C8" s="291"/>
      <c r="E8">
        <f t="shared" si="1"/>
        <v>0</v>
      </c>
      <c r="F8" t="str">
        <f>IFERROR(Tab_Compteur_5[[#This Row],[Quantité]]/Tab_Compteur_5[[#This Row],[Delta Jour]],"")</f>
        <v/>
      </c>
      <c r="G8" t="str">
        <f>IFERROR(Tab_Compteur_5[[#This Row],[Montant TTC]]/Tab_Compteur_5[[#This Row],[Delta Jour]],"")</f>
        <v/>
      </c>
      <c r="H8" s="357"/>
      <c r="I8" s="357"/>
      <c r="J8" s="357"/>
      <c r="K8" s="357"/>
      <c r="L8" s="357"/>
    </row>
    <row r="9" spans="1:12" x14ac:dyDescent="0.25">
      <c r="A9" s="3">
        <f t="shared" si="2"/>
        <v>1</v>
      </c>
      <c r="B9" s="3">
        <f>EDATE($B$3,Site!$I$37*(ROW(Tab_Compteur_5[[#This Row],[Début de période]])-3))</f>
        <v>0</v>
      </c>
      <c r="C9" s="291"/>
      <c r="E9">
        <f t="shared" si="1"/>
        <v>0</v>
      </c>
      <c r="F9" t="str">
        <f>IFERROR(Tab_Compteur_5[[#This Row],[Quantité]]/Tab_Compteur_5[[#This Row],[Delta Jour]],"")</f>
        <v/>
      </c>
      <c r="G9" t="str">
        <f>IFERROR(Tab_Compteur_5[[#This Row],[Montant TTC]]/Tab_Compteur_5[[#This Row],[Delta Jour]],"")</f>
        <v/>
      </c>
      <c r="H9" s="357"/>
      <c r="I9" s="357"/>
      <c r="J9" s="357"/>
      <c r="K9" s="357"/>
      <c r="L9" s="357"/>
    </row>
    <row r="10" spans="1:12" x14ac:dyDescent="0.25">
      <c r="A10" s="3">
        <f t="shared" si="2"/>
        <v>1</v>
      </c>
      <c r="B10" s="3">
        <f>EDATE($B$3,Site!$I$37*(ROW(Tab_Compteur_5[[#This Row],[Début de période]])-3))</f>
        <v>0</v>
      </c>
      <c r="C10" s="291"/>
      <c r="E10">
        <f t="shared" si="1"/>
        <v>0</v>
      </c>
      <c r="F10" t="str">
        <f>IFERROR(Tab_Compteur_5[[#This Row],[Quantité]]/Tab_Compteur_5[[#This Row],[Delta Jour]],"")</f>
        <v/>
      </c>
      <c r="G10" t="str">
        <f>IFERROR(Tab_Compteur_5[[#This Row],[Montant TTC]]/Tab_Compteur_5[[#This Row],[Delta Jour]],"")</f>
        <v/>
      </c>
      <c r="H10" s="357"/>
      <c r="I10" s="357"/>
      <c r="J10" s="357"/>
      <c r="K10" s="357"/>
      <c r="L10" s="357"/>
    </row>
    <row r="11" spans="1:12" x14ac:dyDescent="0.25">
      <c r="A11" s="3">
        <f t="shared" si="2"/>
        <v>1</v>
      </c>
      <c r="B11" s="3">
        <f>EDATE($B$3,Site!$I$37*(ROW(Tab_Compteur_5[[#This Row],[Début de période]])-3))</f>
        <v>0</v>
      </c>
      <c r="C11" s="291"/>
      <c r="E11">
        <f t="shared" si="1"/>
        <v>0</v>
      </c>
      <c r="F11" t="str">
        <f>IFERROR(Tab_Compteur_5[[#This Row],[Quantité]]/Tab_Compteur_5[[#This Row],[Delta Jour]],"")</f>
        <v/>
      </c>
      <c r="G11" t="str">
        <f>IFERROR(Tab_Compteur_5[[#This Row],[Montant TTC]]/Tab_Compteur_5[[#This Row],[Delta Jour]],"")</f>
        <v/>
      </c>
      <c r="H11" s="357"/>
      <c r="I11" s="357"/>
      <c r="J11" s="357"/>
      <c r="K11" s="357"/>
      <c r="L11" s="357"/>
    </row>
    <row r="12" spans="1:12" x14ac:dyDescent="0.25">
      <c r="A12" s="3">
        <f t="shared" si="2"/>
        <v>1</v>
      </c>
      <c r="B12" s="3">
        <f>EDATE($B$3,Site!$I$37*(ROW(Tab_Compteur_5[[#This Row],[Début de période]])-3))</f>
        <v>0</v>
      </c>
      <c r="C12" s="291"/>
      <c r="E12">
        <f t="shared" si="1"/>
        <v>0</v>
      </c>
      <c r="F12" t="str">
        <f>IFERROR(Tab_Compteur_5[[#This Row],[Quantité]]/Tab_Compteur_5[[#This Row],[Delta Jour]],"")</f>
        <v/>
      </c>
      <c r="G12" t="str">
        <f>IFERROR(Tab_Compteur_5[[#This Row],[Montant TTC]]/Tab_Compteur_5[[#This Row],[Delta Jour]],"")</f>
        <v/>
      </c>
      <c r="H12" s="357"/>
      <c r="I12" s="357"/>
      <c r="J12" s="357"/>
      <c r="K12" s="357"/>
      <c r="L12" s="357"/>
    </row>
    <row r="13" spans="1:12" x14ac:dyDescent="0.25">
      <c r="A13" s="3">
        <f t="shared" si="2"/>
        <v>1</v>
      </c>
      <c r="B13" s="3">
        <f>EDATE($B$3,Site!$I$37*(ROW(Tab_Compteur_5[[#This Row],[Début de période]])-3))</f>
        <v>0</v>
      </c>
      <c r="C13" s="291"/>
      <c r="E13">
        <f t="shared" si="1"/>
        <v>0</v>
      </c>
      <c r="F13" t="str">
        <f>IFERROR(Tab_Compteur_5[[#This Row],[Quantité]]/Tab_Compteur_5[[#This Row],[Delta Jour]],"")</f>
        <v/>
      </c>
      <c r="G13" t="str">
        <f>IFERROR(Tab_Compteur_5[[#This Row],[Montant TTC]]/Tab_Compteur_5[[#This Row],[Delta Jour]],"")</f>
        <v/>
      </c>
      <c r="H13" s="357"/>
      <c r="I13" s="357"/>
      <c r="J13" s="357"/>
      <c r="K13" s="357"/>
      <c r="L13" s="357"/>
    </row>
    <row r="14" spans="1:12" x14ac:dyDescent="0.25">
      <c r="A14" s="3">
        <f t="shared" si="2"/>
        <v>1</v>
      </c>
      <c r="B14" s="3">
        <f>EDATE($B$3,Site!$I$37*(ROW(Tab_Compteur_5[[#This Row],[Début de période]])-3))</f>
        <v>0</v>
      </c>
      <c r="C14" s="291"/>
      <c r="E14">
        <f t="shared" si="1"/>
        <v>0</v>
      </c>
      <c r="F14" t="str">
        <f>IFERROR(Tab_Compteur_5[[#This Row],[Quantité]]/Tab_Compteur_5[[#This Row],[Delta Jour]],"")</f>
        <v/>
      </c>
      <c r="G14" t="str">
        <f>IFERROR(Tab_Compteur_5[[#This Row],[Montant TTC]]/Tab_Compteur_5[[#This Row],[Delta Jour]],"")</f>
        <v/>
      </c>
      <c r="H14" s="357"/>
      <c r="I14" s="357"/>
      <c r="J14" s="357"/>
      <c r="K14" s="357"/>
      <c r="L14" s="357"/>
    </row>
    <row r="15" spans="1:12" x14ac:dyDescent="0.25">
      <c r="A15" s="3">
        <f t="shared" si="2"/>
        <v>1</v>
      </c>
      <c r="B15" s="3">
        <f>EDATE($B$3,Site!$I$37*(ROW(Tab_Compteur_5[[#This Row],[Début de période]])-3))</f>
        <v>0</v>
      </c>
      <c r="C15" s="291"/>
      <c r="E15">
        <f t="shared" si="1"/>
        <v>0</v>
      </c>
      <c r="F15" t="str">
        <f>IFERROR(Tab_Compteur_5[[#This Row],[Quantité]]/Tab_Compteur_5[[#This Row],[Delta Jour]],"")</f>
        <v/>
      </c>
      <c r="G15" t="str">
        <f>IFERROR(Tab_Compteur_5[[#This Row],[Montant TTC]]/Tab_Compteur_5[[#This Row],[Delta Jour]],"")</f>
        <v/>
      </c>
      <c r="H15" s="357"/>
      <c r="I15" s="357"/>
      <c r="J15" s="357"/>
      <c r="K15" s="357"/>
      <c r="L15" s="357"/>
    </row>
    <row r="16" spans="1:12" x14ac:dyDescent="0.25">
      <c r="A16" s="3">
        <f t="shared" si="2"/>
        <v>1</v>
      </c>
      <c r="B16" s="3">
        <f>EDATE($B$3,Site!$I$37*(ROW(Tab_Compteur_5[[#This Row],[Début de période]])-3))</f>
        <v>0</v>
      </c>
      <c r="C16" s="291"/>
      <c r="E16">
        <f t="shared" si="1"/>
        <v>0</v>
      </c>
      <c r="F16" t="str">
        <f>IFERROR(Tab_Compteur_5[[#This Row],[Quantité]]/Tab_Compteur_5[[#This Row],[Delta Jour]],"")</f>
        <v/>
      </c>
      <c r="G16" t="str">
        <f>IFERROR(Tab_Compteur_5[[#This Row],[Montant TTC]]/Tab_Compteur_5[[#This Row],[Delta Jour]],"")</f>
        <v/>
      </c>
      <c r="H16" s="357"/>
      <c r="I16" s="357"/>
      <c r="J16" s="357"/>
      <c r="K16" s="357"/>
      <c r="L16" s="357"/>
    </row>
    <row r="17" spans="1:12" x14ac:dyDescent="0.25">
      <c r="A17" s="3">
        <f t="shared" si="2"/>
        <v>1</v>
      </c>
      <c r="B17" s="3">
        <f>EDATE($B$3,Site!$I$37*(ROW(Tab_Compteur_5[[#This Row],[Début de période]])-3))</f>
        <v>0</v>
      </c>
      <c r="C17" s="185"/>
      <c r="E17">
        <f t="shared" si="1"/>
        <v>0</v>
      </c>
      <c r="F17" t="str">
        <f>IFERROR(Tab_Compteur_5[[#This Row],[Quantité]]/Tab_Compteur_5[[#This Row],[Delta Jour]],"")</f>
        <v/>
      </c>
      <c r="G17" t="str">
        <f>IFERROR(Tab_Compteur_5[[#This Row],[Montant TTC]]/Tab_Compteur_5[[#This Row],[Delta Jour]],"")</f>
        <v/>
      </c>
      <c r="H17" s="357"/>
      <c r="I17" s="357"/>
      <c r="J17" s="357"/>
      <c r="K17" s="357"/>
      <c r="L17" s="357"/>
    </row>
    <row r="18" spans="1:12" x14ac:dyDescent="0.25">
      <c r="A18" s="3">
        <f t="shared" si="2"/>
        <v>1</v>
      </c>
      <c r="B18" s="3">
        <f>EDATE($B$3,Site!$I$37*(ROW(Tab_Compteur_5[[#This Row],[Début de période]])-3))</f>
        <v>0</v>
      </c>
      <c r="C18" s="292"/>
      <c r="D18" s="202"/>
      <c r="E18">
        <f t="shared" si="1"/>
        <v>0</v>
      </c>
      <c r="F18" t="str">
        <f>IFERROR(Tab_Compteur_5[[#This Row],[Quantité]]/Tab_Compteur_5[[#This Row],[Delta Jour]],"")</f>
        <v/>
      </c>
      <c r="G18" t="str">
        <f>IFERROR(Tab_Compteur_5[[#This Row],[Montant TTC]]/Tab_Compteur_5[[#This Row],[Delta Jour]],"")</f>
        <v/>
      </c>
      <c r="H18" s="357"/>
      <c r="I18" s="357"/>
      <c r="J18" s="357"/>
      <c r="K18" s="357"/>
      <c r="L18" s="357"/>
    </row>
    <row r="19" spans="1:12" x14ac:dyDescent="0.25">
      <c r="A19" s="3">
        <f t="shared" si="2"/>
        <v>1</v>
      </c>
      <c r="B19" s="3">
        <f>EDATE($B$3,Site!$I$37*(ROW(Tab_Compteur_5[[#This Row],[Début de période]])-3))</f>
        <v>0</v>
      </c>
      <c r="C19" s="187"/>
      <c r="D19" s="202"/>
      <c r="E19">
        <f t="shared" si="1"/>
        <v>0</v>
      </c>
      <c r="F19" t="str">
        <f>IFERROR(Tab_Compteur_5[[#This Row],[Quantité]]/Tab_Compteur_5[[#This Row],[Delta Jour]],"")</f>
        <v/>
      </c>
      <c r="G19" t="str">
        <f>IFERROR(Tab_Compteur_5[[#This Row],[Montant TTC]]/Tab_Compteur_5[[#This Row],[Delta Jour]],"")</f>
        <v/>
      </c>
      <c r="H19" s="42"/>
      <c r="I19" s="42"/>
      <c r="J19" s="42"/>
      <c r="K19" s="42"/>
      <c r="L19" s="42"/>
    </row>
    <row r="20" spans="1:12" x14ac:dyDescent="0.25">
      <c r="A20" s="3">
        <f t="shared" si="2"/>
        <v>1</v>
      </c>
      <c r="B20" s="3">
        <f>EDATE($B$3,Site!$I$37*(ROW(Tab_Compteur_5[[#This Row],[Début de période]])-3))</f>
        <v>0</v>
      </c>
      <c r="C20" s="187"/>
      <c r="D20" s="202"/>
      <c r="E20">
        <f t="shared" si="1"/>
        <v>0</v>
      </c>
      <c r="F20" t="str">
        <f>IFERROR(Tab_Compteur_5[[#This Row],[Quantité]]/Tab_Compteur_5[[#This Row],[Delta Jour]],"")</f>
        <v/>
      </c>
      <c r="G20" t="str">
        <f>IFERROR(Tab_Compteur_5[[#This Row],[Montant TTC]]/Tab_Compteur_5[[#This Row],[Delta Jour]],"")</f>
        <v/>
      </c>
      <c r="H20" s="42"/>
      <c r="I20" s="42"/>
      <c r="J20" s="42"/>
      <c r="K20" s="42"/>
      <c r="L20" s="42"/>
    </row>
    <row r="21" spans="1:12" x14ac:dyDescent="0.25">
      <c r="A21" s="3">
        <f t="shared" si="2"/>
        <v>1</v>
      </c>
      <c r="B21" s="3">
        <f>EDATE($B$3,Site!$I$37*(ROW(Tab_Compteur_5[[#This Row],[Début de période]])-3))</f>
        <v>0</v>
      </c>
      <c r="C21" s="187"/>
      <c r="D21" s="202"/>
      <c r="E21">
        <f t="shared" si="1"/>
        <v>0</v>
      </c>
      <c r="F21" t="str">
        <f>IFERROR(Tab_Compteur_5[[#This Row],[Quantité]]/Tab_Compteur_5[[#This Row],[Delta Jour]],"")</f>
        <v/>
      </c>
      <c r="G21" t="str">
        <f>IFERROR(Tab_Compteur_5[[#This Row],[Montant TTC]]/Tab_Compteur_5[[#This Row],[Delta Jour]],"")</f>
        <v/>
      </c>
      <c r="H21" s="42"/>
      <c r="I21" s="42"/>
      <c r="J21" s="42"/>
      <c r="K21" s="42"/>
      <c r="L21" s="42"/>
    </row>
    <row r="22" spans="1:12" x14ac:dyDescent="0.25">
      <c r="A22" s="3">
        <f t="shared" si="2"/>
        <v>1</v>
      </c>
      <c r="B22" s="3">
        <f>EDATE($B$3,Site!$I$37*(ROW(Tab_Compteur_5[[#This Row],[Début de période]])-3))</f>
        <v>0</v>
      </c>
      <c r="C22" s="187"/>
      <c r="D22" s="202"/>
      <c r="E22">
        <f t="shared" si="1"/>
        <v>0</v>
      </c>
      <c r="F22" t="str">
        <f>IFERROR(Tab_Compteur_5[[#This Row],[Quantité]]/Tab_Compteur_5[[#This Row],[Delta Jour]],"")</f>
        <v/>
      </c>
      <c r="G22" t="str">
        <f>IFERROR(Tab_Compteur_5[[#This Row],[Montant TTC]]/Tab_Compteur_5[[#This Row],[Delta Jour]],"")</f>
        <v/>
      </c>
      <c r="H22" s="42"/>
      <c r="I22" s="42"/>
      <c r="J22" s="42"/>
      <c r="K22" s="42"/>
      <c r="L22" s="42"/>
    </row>
    <row r="23" spans="1:12" x14ac:dyDescent="0.25">
      <c r="A23" s="3">
        <f t="shared" si="2"/>
        <v>1</v>
      </c>
      <c r="B23" s="3">
        <f>EDATE($B$3,Site!$I$37*(ROW(Tab_Compteur_5[[#This Row],[Début de période]])-3))</f>
        <v>0</v>
      </c>
      <c r="C23" s="187"/>
      <c r="D23" s="202"/>
      <c r="E23">
        <f t="shared" si="1"/>
        <v>0</v>
      </c>
      <c r="F23" t="str">
        <f>IFERROR(Tab_Compteur_5[[#This Row],[Quantité]]/Tab_Compteur_5[[#This Row],[Delta Jour]],"")</f>
        <v/>
      </c>
      <c r="G23" t="str">
        <f>IFERROR(Tab_Compteur_5[[#This Row],[Montant TTC]]/Tab_Compteur_5[[#This Row],[Delta Jour]],"")</f>
        <v/>
      </c>
      <c r="H23" s="42"/>
      <c r="I23" s="42"/>
      <c r="J23" s="42"/>
      <c r="K23" s="42"/>
      <c r="L23" s="42"/>
    </row>
    <row r="24" spans="1:12" x14ac:dyDescent="0.25">
      <c r="A24" s="3">
        <f t="shared" si="2"/>
        <v>1</v>
      </c>
      <c r="B24" s="3">
        <f>EDATE($B$3,Site!$I$37*(ROW(Tab_Compteur_5[[#This Row],[Début de période]])-3))</f>
        <v>0</v>
      </c>
      <c r="C24" s="187"/>
      <c r="D24" s="202"/>
      <c r="E24">
        <f t="shared" si="1"/>
        <v>0</v>
      </c>
      <c r="F24" t="str">
        <f>IFERROR(Tab_Compteur_5[[#This Row],[Quantité]]/Tab_Compteur_5[[#This Row],[Delta Jour]],"")</f>
        <v/>
      </c>
      <c r="G24" t="str">
        <f>IFERROR(Tab_Compteur_5[[#This Row],[Montant TTC]]/Tab_Compteur_5[[#This Row],[Delta Jour]],"")</f>
        <v/>
      </c>
      <c r="H24" s="42"/>
      <c r="I24" s="42"/>
      <c r="J24" s="42"/>
      <c r="K24" s="42"/>
      <c r="L24" s="42"/>
    </row>
    <row r="25" spans="1:12" x14ac:dyDescent="0.25">
      <c r="A25" s="3">
        <f t="shared" si="2"/>
        <v>1</v>
      </c>
      <c r="B25" s="3">
        <f>EDATE($B$3,Site!$I$37*(ROW(Tab_Compteur_5[[#This Row],[Début de période]])-3))</f>
        <v>0</v>
      </c>
      <c r="C25" s="187"/>
      <c r="D25" s="202"/>
      <c r="E25">
        <f t="shared" si="1"/>
        <v>0</v>
      </c>
      <c r="F25" t="str">
        <f>IFERROR(Tab_Compteur_5[[#This Row],[Quantité]]/Tab_Compteur_5[[#This Row],[Delta Jour]],"")</f>
        <v/>
      </c>
      <c r="G25" t="str">
        <f>IFERROR(Tab_Compteur_5[[#This Row],[Montant TTC]]/Tab_Compteur_5[[#This Row],[Delta Jour]],"")</f>
        <v/>
      </c>
      <c r="H25" s="42"/>
      <c r="I25" s="42"/>
      <c r="J25" s="42"/>
      <c r="K25" s="42"/>
      <c r="L25" s="42"/>
    </row>
    <row r="26" spans="1:12" x14ac:dyDescent="0.25">
      <c r="A26" s="3">
        <f t="shared" si="2"/>
        <v>1</v>
      </c>
      <c r="B26" s="3">
        <f>EDATE($B$3,Site!$I$37*(ROW(Tab_Compteur_5[[#This Row],[Début de période]])-3))</f>
        <v>0</v>
      </c>
      <c r="C26" s="187"/>
      <c r="D26" s="202"/>
      <c r="E26">
        <f t="shared" si="1"/>
        <v>0</v>
      </c>
      <c r="F26" t="str">
        <f>IFERROR(Tab_Compteur_5[[#This Row],[Quantité]]/Tab_Compteur_5[[#This Row],[Delta Jour]],"")</f>
        <v/>
      </c>
      <c r="G26" t="str">
        <f>IFERROR(Tab_Compteur_5[[#This Row],[Montant TTC]]/Tab_Compteur_5[[#This Row],[Delta Jour]],"")</f>
        <v/>
      </c>
      <c r="H26" s="42"/>
      <c r="I26" s="42"/>
      <c r="J26" s="42"/>
      <c r="K26" s="42"/>
      <c r="L26" s="42"/>
    </row>
    <row r="27" spans="1:12" x14ac:dyDescent="0.25">
      <c r="A27" s="3">
        <f t="shared" si="2"/>
        <v>1</v>
      </c>
      <c r="B27" s="3">
        <f>EDATE($B$3,Site!$I$37*(ROW(Tab_Compteur_5[[#This Row],[Début de période]])-3))</f>
        <v>0</v>
      </c>
      <c r="C27" s="187"/>
      <c r="D27" s="202"/>
      <c r="E27">
        <f t="shared" si="1"/>
        <v>0</v>
      </c>
      <c r="F27" t="str">
        <f>IFERROR(Tab_Compteur_5[[#This Row],[Quantité]]/Tab_Compteur_5[[#This Row],[Delta Jour]],"")</f>
        <v/>
      </c>
      <c r="G27" t="str">
        <f>IFERROR(Tab_Compteur_5[[#This Row],[Montant TTC]]/Tab_Compteur_5[[#This Row],[Delta Jour]],"")</f>
        <v/>
      </c>
      <c r="H27" s="42"/>
      <c r="I27" s="42"/>
      <c r="J27" s="42"/>
      <c r="K27" s="42"/>
      <c r="L27" s="42"/>
    </row>
    <row r="28" spans="1:12" x14ac:dyDescent="0.25">
      <c r="A28" s="3">
        <f t="shared" si="2"/>
        <v>1</v>
      </c>
      <c r="B28" s="3">
        <f>EDATE($B$3,Site!$I$37*(ROW(Tab_Compteur_5[[#This Row],[Début de période]])-3))</f>
        <v>0</v>
      </c>
      <c r="C28" s="292"/>
      <c r="D28" s="202"/>
      <c r="E28">
        <f t="shared" si="1"/>
        <v>0</v>
      </c>
      <c r="F28" t="str">
        <f>IFERROR(Tab_Compteur_5[[#This Row],[Quantité]]/Tab_Compteur_5[[#This Row],[Delta Jour]],"")</f>
        <v/>
      </c>
      <c r="G28" t="str">
        <f>IFERROR(Tab_Compteur_5[[#This Row],[Montant TTC]]/Tab_Compteur_5[[#This Row],[Delta Jour]],"")</f>
        <v/>
      </c>
      <c r="H28" s="42"/>
      <c r="I28" s="42"/>
      <c r="J28" s="42"/>
      <c r="K28" s="42"/>
      <c r="L28" s="42"/>
    </row>
    <row r="29" spans="1:12" x14ac:dyDescent="0.25">
      <c r="A29" s="3">
        <f t="shared" si="2"/>
        <v>1</v>
      </c>
      <c r="B29" s="3">
        <f>EDATE($B$3,Site!$I$37*(ROW(Tab_Compteur_5[[#This Row],[Début de période]])-3))</f>
        <v>0</v>
      </c>
      <c r="C29" s="292"/>
      <c r="D29" s="202"/>
      <c r="E29">
        <f t="shared" si="1"/>
        <v>0</v>
      </c>
      <c r="F29" t="str">
        <f>IFERROR(Tab_Compteur_5[[#This Row],[Quantité]]/Tab_Compteur_5[[#This Row],[Delta Jour]],"")</f>
        <v/>
      </c>
      <c r="G29" t="str">
        <f>IFERROR(Tab_Compteur_5[[#This Row],[Montant TTC]]/Tab_Compteur_5[[#This Row],[Delta Jour]],"")</f>
        <v/>
      </c>
      <c r="H29" s="42"/>
      <c r="I29" s="42"/>
      <c r="J29" s="42"/>
      <c r="K29" s="42"/>
      <c r="L29" s="42"/>
    </row>
    <row r="30" spans="1:12" x14ac:dyDescent="0.25">
      <c r="A30" s="3">
        <f t="shared" si="2"/>
        <v>1</v>
      </c>
      <c r="B30" s="3">
        <f>EDATE($B$3,Site!$I$37*(ROW(Tab_Compteur_5[[#This Row],[Début de période]])-3))</f>
        <v>0</v>
      </c>
      <c r="C30" s="292"/>
      <c r="D30" s="202"/>
      <c r="E30">
        <f t="shared" si="1"/>
        <v>0</v>
      </c>
      <c r="F30" t="str">
        <f>IFERROR(Tab_Compteur_5[[#This Row],[Quantité]]/Tab_Compteur_5[[#This Row],[Delta Jour]],"")</f>
        <v/>
      </c>
      <c r="G30" t="str">
        <f>IFERROR(Tab_Compteur_5[[#This Row],[Montant TTC]]/Tab_Compteur_5[[#This Row],[Delta Jour]],"")</f>
        <v/>
      </c>
      <c r="H30" s="42"/>
      <c r="I30" s="42"/>
      <c r="J30" s="42"/>
      <c r="K30" s="42"/>
      <c r="L30" s="42"/>
    </row>
    <row r="31" spans="1:12" x14ac:dyDescent="0.25">
      <c r="A31" s="3">
        <f t="shared" si="2"/>
        <v>1</v>
      </c>
      <c r="B31" s="3">
        <f>EDATE($B$3,Site!$I$37*(ROW(Tab_Compteur_5[[#This Row],[Début de période]])-3))</f>
        <v>0</v>
      </c>
      <c r="C31" s="187"/>
      <c r="D31" s="202"/>
      <c r="E31">
        <f t="shared" si="1"/>
        <v>0</v>
      </c>
      <c r="F31" t="str">
        <f>IFERROR(Tab_Compteur_5[[#This Row],[Quantité]]/Tab_Compteur_5[[#This Row],[Delta Jour]],"")</f>
        <v/>
      </c>
      <c r="G31" t="str">
        <f>IFERROR(Tab_Compteur_5[[#This Row],[Montant TTC]]/Tab_Compteur_5[[#This Row],[Delta Jour]],"")</f>
        <v/>
      </c>
      <c r="H31" s="42"/>
      <c r="I31" s="42"/>
      <c r="J31" s="42"/>
      <c r="K31" s="42"/>
      <c r="L31" s="42"/>
    </row>
    <row r="32" spans="1:12" x14ac:dyDescent="0.25">
      <c r="A32" s="3">
        <f t="shared" si="2"/>
        <v>1</v>
      </c>
      <c r="B32" s="3">
        <f>EDATE($B$3,Site!$I$37*(ROW(Tab_Compteur_5[[#This Row],[Début de période]])-3))</f>
        <v>0</v>
      </c>
      <c r="C32" s="187"/>
      <c r="D32" s="202"/>
      <c r="E32">
        <f t="shared" si="1"/>
        <v>0</v>
      </c>
      <c r="F32" t="str">
        <f>IFERROR(Tab_Compteur_5[[#This Row],[Quantité]]/Tab_Compteur_5[[#This Row],[Delta Jour]],"")</f>
        <v/>
      </c>
      <c r="G32" t="str">
        <f>IFERROR(Tab_Compteur_5[[#This Row],[Montant TTC]]/Tab_Compteur_5[[#This Row],[Delta Jour]],"")</f>
        <v/>
      </c>
      <c r="H32" s="42"/>
      <c r="I32" s="42"/>
      <c r="J32" s="42"/>
      <c r="K32" s="42"/>
      <c r="L32" s="42"/>
    </row>
    <row r="33" spans="1:12" x14ac:dyDescent="0.25">
      <c r="A33" s="3">
        <f t="shared" si="2"/>
        <v>1</v>
      </c>
      <c r="B33" s="3">
        <f>EDATE($B$3,Site!$I$37*(ROW(Tab_Compteur_5[[#This Row],[Début de période]])-3))</f>
        <v>0</v>
      </c>
      <c r="C33" s="187"/>
      <c r="D33" s="202"/>
      <c r="E33">
        <f t="shared" si="1"/>
        <v>0</v>
      </c>
      <c r="F33" t="str">
        <f>IFERROR(Tab_Compteur_5[[#This Row],[Quantité]]/Tab_Compteur_5[[#This Row],[Delta Jour]],"")</f>
        <v/>
      </c>
      <c r="G33" t="str">
        <f>IFERROR(Tab_Compteur_5[[#This Row],[Montant TTC]]/Tab_Compteur_5[[#This Row],[Delta Jour]],"")</f>
        <v/>
      </c>
      <c r="H33" s="42"/>
      <c r="I33" s="42"/>
      <c r="J33" s="42"/>
      <c r="K33" s="42"/>
      <c r="L33" s="42"/>
    </row>
    <row r="34" spans="1:12" x14ac:dyDescent="0.25">
      <c r="A34" s="3">
        <f t="shared" si="2"/>
        <v>1</v>
      </c>
      <c r="B34" s="3">
        <f>EDATE($B$3,Site!$I$37*(ROW(Tab_Compteur_5[[#This Row],[Début de période]])-3))</f>
        <v>0</v>
      </c>
      <c r="C34" s="187"/>
      <c r="D34" s="202"/>
      <c r="E34">
        <f t="shared" si="1"/>
        <v>0</v>
      </c>
      <c r="F34" t="str">
        <f>IFERROR(Tab_Compteur_5[[#This Row],[Quantité]]/Tab_Compteur_5[[#This Row],[Delta Jour]],"")</f>
        <v/>
      </c>
      <c r="G34" t="str">
        <f>IFERROR(Tab_Compteur_5[[#This Row],[Montant TTC]]/Tab_Compteur_5[[#This Row],[Delta Jour]],"")</f>
        <v/>
      </c>
      <c r="H34" s="42"/>
      <c r="I34" s="42"/>
      <c r="J34" s="42"/>
      <c r="K34" s="42"/>
      <c r="L34" s="42"/>
    </row>
    <row r="35" spans="1:12" x14ac:dyDescent="0.25">
      <c r="A35" s="3">
        <f t="shared" si="2"/>
        <v>1</v>
      </c>
      <c r="B35" s="3">
        <f>EDATE($B$3,Site!$I$37*(ROW(Tab_Compteur_5[[#This Row],[Début de période]])-3))</f>
        <v>0</v>
      </c>
      <c r="C35" s="187"/>
      <c r="D35" s="202"/>
      <c r="E35">
        <f t="shared" si="1"/>
        <v>0</v>
      </c>
      <c r="F35" t="str">
        <f>IFERROR(Tab_Compteur_5[[#This Row],[Quantité]]/Tab_Compteur_5[[#This Row],[Delta Jour]],"")</f>
        <v/>
      </c>
      <c r="G35" t="str">
        <f>IFERROR(Tab_Compteur_5[[#This Row],[Montant TTC]]/Tab_Compteur_5[[#This Row],[Delta Jour]],"")</f>
        <v/>
      </c>
      <c r="H35" s="42"/>
      <c r="I35" s="42"/>
      <c r="J35" s="42"/>
      <c r="K35" s="42"/>
      <c r="L35" s="42"/>
    </row>
    <row r="36" spans="1:12" x14ac:dyDescent="0.25">
      <c r="A36" s="3">
        <f t="shared" si="2"/>
        <v>1</v>
      </c>
      <c r="B36" s="3">
        <f>EDATE($B$3,Site!$I$37*(ROW(Tab_Compteur_5[[#This Row],[Début de période]])-3))</f>
        <v>0</v>
      </c>
      <c r="C36" s="187"/>
      <c r="D36" s="202"/>
      <c r="E36">
        <f t="shared" si="1"/>
        <v>0</v>
      </c>
      <c r="F36" t="str">
        <f>IFERROR(Tab_Compteur_5[[#This Row],[Quantité]]/Tab_Compteur_5[[#This Row],[Delta Jour]],"")</f>
        <v/>
      </c>
      <c r="G36" t="str">
        <f>IFERROR(Tab_Compteur_5[[#This Row],[Montant TTC]]/Tab_Compteur_5[[#This Row],[Delta Jour]],"")</f>
        <v/>
      </c>
      <c r="H36" s="42"/>
      <c r="I36" s="42"/>
      <c r="J36" s="42"/>
      <c r="K36" s="42"/>
      <c r="L36" s="42"/>
    </row>
    <row r="37" spans="1:12" x14ac:dyDescent="0.25">
      <c r="A37" s="3">
        <f t="shared" si="2"/>
        <v>1</v>
      </c>
      <c r="B37" s="3">
        <f>EDATE($B$3,Site!$I$37*(ROW(Tab_Compteur_5[[#This Row],[Début de période]])-3))</f>
        <v>0</v>
      </c>
      <c r="C37" s="187"/>
      <c r="D37" s="202"/>
      <c r="E37">
        <f t="shared" si="1"/>
        <v>0</v>
      </c>
      <c r="F37" t="str">
        <f>IFERROR(Tab_Compteur_5[[#This Row],[Quantité]]/Tab_Compteur_5[[#This Row],[Delta Jour]],"")</f>
        <v/>
      </c>
      <c r="G37" t="str">
        <f>IFERROR(Tab_Compteur_5[[#This Row],[Montant TTC]]/Tab_Compteur_5[[#This Row],[Delta Jour]],"")</f>
        <v/>
      </c>
      <c r="H37" s="42"/>
      <c r="I37" s="42"/>
      <c r="J37" s="42"/>
      <c r="K37" s="42"/>
      <c r="L37" s="42"/>
    </row>
    <row r="38" spans="1:12" x14ac:dyDescent="0.25">
      <c r="A38" s="3">
        <f t="shared" si="2"/>
        <v>1</v>
      </c>
      <c r="B38" s="3">
        <f>EDATE($B$3,Site!$I$37*(ROW(Tab_Compteur_5[[#This Row],[Début de période]])-3))</f>
        <v>0</v>
      </c>
      <c r="C38" s="187"/>
      <c r="D38" s="203"/>
      <c r="E38">
        <f t="shared" si="1"/>
        <v>0</v>
      </c>
      <c r="F38" t="str">
        <f>IFERROR(Tab_Compteur_5[[#This Row],[Quantité]]/Tab_Compteur_5[[#This Row],[Delta Jour]],"")</f>
        <v/>
      </c>
      <c r="G38" t="str">
        <f>IFERROR(Tab_Compteur_5[[#This Row],[Montant TTC]]/Tab_Compteur_5[[#This Row],[Delta Jour]],"")</f>
        <v/>
      </c>
      <c r="H38" s="42"/>
      <c r="I38" s="42"/>
      <c r="J38" s="42"/>
      <c r="K38" s="42"/>
      <c r="L38" s="42"/>
    </row>
    <row r="39" spans="1:12" x14ac:dyDescent="0.25">
      <c r="A39" s="3">
        <f t="shared" si="2"/>
        <v>1</v>
      </c>
      <c r="B39" s="3">
        <f>EDATE($B$3,Site!$I$37*(ROW(Tab_Compteur_5[[#This Row],[Début de période]])-3))</f>
        <v>0</v>
      </c>
      <c r="C39" s="187"/>
      <c r="D39" s="203"/>
      <c r="E39">
        <f t="shared" si="1"/>
        <v>0</v>
      </c>
      <c r="F39" t="str">
        <f>IFERROR(Tab_Compteur_5[[#This Row],[Quantité]]/Tab_Compteur_5[[#This Row],[Delta Jour]],"")</f>
        <v/>
      </c>
      <c r="G39" t="str">
        <f>IFERROR(Tab_Compteur_5[[#This Row],[Montant TTC]]/Tab_Compteur_5[[#This Row],[Delta Jour]],"")</f>
        <v/>
      </c>
      <c r="H39" s="42"/>
      <c r="I39" s="42"/>
      <c r="J39" s="42"/>
      <c r="K39" s="42"/>
      <c r="L39" s="42"/>
    </row>
    <row r="40" spans="1:12" x14ac:dyDescent="0.25">
      <c r="A40" s="3">
        <f t="shared" si="2"/>
        <v>1</v>
      </c>
      <c r="B40" s="3">
        <f>EDATE($B$3,Site!$I$37*(ROW(Tab_Compteur_5[[#This Row],[Début de période]])-3))</f>
        <v>0</v>
      </c>
      <c r="C40" s="292"/>
      <c r="D40" s="203"/>
      <c r="E40">
        <f t="shared" si="1"/>
        <v>0</v>
      </c>
      <c r="F40" t="str">
        <f>IFERROR(Tab_Compteur_5[[#This Row],[Quantité]]/Tab_Compteur_5[[#This Row],[Delta Jour]],"")</f>
        <v/>
      </c>
      <c r="G40" t="str">
        <f>IFERROR(Tab_Compteur_5[[#This Row],[Montant TTC]]/Tab_Compteur_5[[#This Row],[Delta Jour]],"")</f>
        <v/>
      </c>
      <c r="H40" s="42"/>
      <c r="I40" s="42"/>
      <c r="J40" s="42"/>
      <c r="K40" s="42"/>
      <c r="L40" s="42"/>
    </row>
    <row r="41" spans="1:12" x14ac:dyDescent="0.25">
      <c r="A41" s="3">
        <f t="shared" si="2"/>
        <v>1</v>
      </c>
      <c r="B41" s="3">
        <f>EDATE($B$3,Site!$I$37*(ROW(Tab_Compteur_5[[#This Row],[Début de période]])-3))</f>
        <v>0</v>
      </c>
      <c r="C41" s="292"/>
      <c r="D41" s="203"/>
      <c r="E41">
        <f t="shared" si="1"/>
        <v>0</v>
      </c>
      <c r="F41" t="str">
        <f>IFERROR(Tab_Compteur_5[[#This Row],[Quantité]]/Tab_Compteur_5[[#This Row],[Delta Jour]],"")</f>
        <v/>
      </c>
      <c r="G41" t="str">
        <f>IFERROR(Tab_Compteur_5[[#This Row],[Montant TTC]]/Tab_Compteur_5[[#This Row],[Delta Jour]],"")</f>
        <v/>
      </c>
      <c r="H41" s="42"/>
      <c r="I41" s="42"/>
      <c r="J41" s="42"/>
      <c r="K41" s="42"/>
      <c r="L41" s="42"/>
    </row>
    <row r="42" spans="1:12" x14ac:dyDescent="0.25">
      <c r="A42" s="3">
        <f t="shared" si="2"/>
        <v>1</v>
      </c>
      <c r="B42" s="3">
        <f>EDATE($B$3,Site!$I$37*(ROW(Tab_Compteur_5[[#This Row],[Début de période]])-3))</f>
        <v>0</v>
      </c>
      <c r="C42" s="187"/>
      <c r="D42" s="203"/>
      <c r="E42">
        <f t="shared" si="1"/>
        <v>0</v>
      </c>
      <c r="F42" t="str">
        <f>IFERROR(Tab_Compteur_5[[#This Row],[Quantité]]/Tab_Compteur_5[[#This Row],[Delta Jour]],"")</f>
        <v/>
      </c>
      <c r="G42" t="str">
        <f>IFERROR(Tab_Compteur_5[[#This Row],[Montant TTC]]/Tab_Compteur_5[[#This Row],[Delta Jour]],"")</f>
        <v/>
      </c>
      <c r="H42" s="42"/>
      <c r="I42" s="42"/>
      <c r="J42" s="42"/>
      <c r="K42" s="42"/>
      <c r="L42" s="42"/>
    </row>
    <row r="43" spans="1:12" x14ac:dyDescent="0.25">
      <c r="A43" s="3">
        <f t="shared" si="2"/>
        <v>1</v>
      </c>
      <c r="B43" s="3">
        <f>EDATE($B$3,Site!$I$37*(ROW(Tab_Compteur_5[[#This Row],[Début de période]])-3))</f>
        <v>0</v>
      </c>
      <c r="C43" s="187"/>
      <c r="D43" s="203"/>
      <c r="E43">
        <f t="shared" si="1"/>
        <v>0</v>
      </c>
      <c r="F43" t="str">
        <f>IFERROR(Tab_Compteur_5[[#This Row],[Quantité]]/Tab_Compteur_5[[#This Row],[Delta Jour]],"")</f>
        <v/>
      </c>
      <c r="G43" t="str">
        <f>IFERROR(Tab_Compteur_5[[#This Row],[Montant TTC]]/Tab_Compteur_5[[#This Row],[Delta Jour]],"")</f>
        <v/>
      </c>
      <c r="H43" s="42"/>
      <c r="I43" s="42"/>
      <c r="J43" s="42"/>
      <c r="K43" s="42"/>
      <c r="L43" s="42"/>
    </row>
    <row r="44" spans="1:12" x14ac:dyDescent="0.25">
      <c r="A44" s="3">
        <f t="shared" si="2"/>
        <v>1</v>
      </c>
      <c r="B44" s="3">
        <f>EDATE($B$3,Site!$I$37*(ROW(Tab_Compteur_5[[#This Row],[Début de période]])-3))</f>
        <v>0</v>
      </c>
      <c r="C44" s="187"/>
      <c r="D44" s="203"/>
      <c r="E44">
        <f t="shared" si="1"/>
        <v>0</v>
      </c>
      <c r="F44" t="str">
        <f>IFERROR(Tab_Compteur_5[[#This Row],[Quantité]]/Tab_Compteur_5[[#This Row],[Delta Jour]],"")</f>
        <v/>
      </c>
      <c r="G44" t="str">
        <f>IFERROR(Tab_Compteur_5[[#This Row],[Montant TTC]]/Tab_Compteur_5[[#This Row],[Delta Jour]],"")</f>
        <v/>
      </c>
      <c r="H44" s="42"/>
      <c r="I44" s="42"/>
      <c r="J44" s="42"/>
      <c r="K44" s="42"/>
      <c r="L44" s="42"/>
    </row>
    <row r="45" spans="1:12" x14ac:dyDescent="0.25">
      <c r="A45" s="3">
        <f t="shared" si="2"/>
        <v>1</v>
      </c>
      <c r="B45" s="3">
        <f>EDATE($B$3,Site!$I$37*(ROW(Tab_Compteur_5[[#This Row],[Début de période]])-3))</f>
        <v>0</v>
      </c>
      <c r="C45" s="187"/>
      <c r="D45" s="203"/>
      <c r="E45">
        <f t="shared" si="1"/>
        <v>0</v>
      </c>
      <c r="F45" t="str">
        <f>IFERROR(Tab_Compteur_5[[#This Row],[Quantité]]/Tab_Compteur_5[[#This Row],[Delta Jour]],"")</f>
        <v/>
      </c>
      <c r="G45" t="str">
        <f>IFERROR(Tab_Compteur_5[[#This Row],[Montant TTC]]/Tab_Compteur_5[[#This Row],[Delta Jour]],"")</f>
        <v/>
      </c>
      <c r="H45" s="42"/>
      <c r="I45" s="42"/>
      <c r="J45" s="42"/>
      <c r="K45" s="42"/>
      <c r="L45" s="42"/>
    </row>
    <row r="46" spans="1:12" x14ac:dyDescent="0.25">
      <c r="A46" s="3">
        <f t="shared" si="2"/>
        <v>1</v>
      </c>
      <c r="B46" s="3">
        <f>EDATE($B$3,Site!$I$37*(ROW(Tab_Compteur_5[[#This Row],[Début de période]])-3))</f>
        <v>0</v>
      </c>
      <c r="C46" s="187"/>
      <c r="D46" s="203"/>
      <c r="E46">
        <f t="shared" si="1"/>
        <v>0</v>
      </c>
      <c r="F46" t="str">
        <f>IFERROR(Tab_Compteur_5[[#This Row],[Quantité]]/Tab_Compteur_5[[#This Row],[Delta Jour]],"")</f>
        <v/>
      </c>
      <c r="G46" t="str">
        <f>IFERROR(Tab_Compteur_5[[#This Row],[Montant TTC]]/Tab_Compteur_5[[#This Row],[Delta Jour]],"")</f>
        <v/>
      </c>
      <c r="H46" s="42"/>
      <c r="I46" s="42"/>
      <c r="J46" s="42"/>
      <c r="K46" s="42"/>
      <c r="L46" s="42"/>
    </row>
    <row r="47" spans="1:12" x14ac:dyDescent="0.25">
      <c r="A47" s="3">
        <f t="shared" si="2"/>
        <v>1</v>
      </c>
      <c r="B47" s="3">
        <f>EDATE($B$3,Site!$I$37*(ROW(Tab_Compteur_5[[#This Row],[Début de période]])-3))</f>
        <v>0</v>
      </c>
      <c r="C47" s="187"/>
      <c r="D47" s="203"/>
      <c r="E47">
        <f t="shared" si="1"/>
        <v>0</v>
      </c>
      <c r="F47" t="str">
        <f>IFERROR(Tab_Compteur_5[[#This Row],[Quantité]]/Tab_Compteur_5[[#This Row],[Delta Jour]],"")</f>
        <v/>
      </c>
      <c r="G47" t="str">
        <f>IFERROR(Tab_Compteur_5[[#This Row],[Montant TTC]]/Tab_Compteur_5[[#This Row],[Delta Jour]],"")</f>
        <v/>
      </c>
      <c r="H47" s="42"/>
      <c r="I47" s="42"/>
      <c r="J47" s="42"/>
      <c r="K47" s="42"/>
      <c r="L47" s="42"/>
    </row>
    <row r="48" spans="1:12" x14ac:dyDescent="0.25">
      <c r="A48" s="3">
        <f t="shared" si="2"/>
        <v>1</v>
      </c>
      <c r="B48" s="3">
        <f>EDATE($B$3,Site!$I$37*(ROW(Tab_Compteur_5[[#This Row],[Début de période]])-3))</f>
        <v>0</v>
      </c>
      <c r="C48" s="187"/>
      <c r="D48" s="203"/>
      <c r="E48">
        <f t="shared" si="1"/>
        <v>0</v>
      </c>
      <c r="F48" t="str">
        <f>IFERROR(Tab_Compteur_5[[#This Row],[Quantité]]/Tab_Compteur_5[[#This Row],[Delta Jour]],"")</f>
        <v/>
      </c>
      <c r="G48" t="str">
        <f>IFERROR(Tab_Compteur_5[[#This Row],[Montant TTC]]/Tab_Compteur_5[[#This Row],[Delta Jour]],"")</f>
        <v/>
      </c>
      <c r="H48" s="42"/>
      <c r="I48" s="42"/>
      <c r="J48" s="42"/>
      <c r="K48" s="42"/>
      <c r="L48" s="42"/>
    </row>
    <row r="49" spans="1:12" x14ac:dyDescent="0.25">
      <c r="A49" s="3">
        <f t="shared" si="2"/>
        <v>1</v>
      </c>
      <c r="B49" s="3">
        <f>EDATE($B$3,Site!$I$37*(ROW(Tab_Compteur_5[[#This Row],[Début de période]])-3))</f>
        <v>0</v>
      </c>
      <c r="C49" s="187"/>
      <c r="D49" s="203"/>
      <c r="E49">
        <f t="shared" si="1"/>
        <v>0</v>
      </c>
      <c r="F49" t="str">
        <f>IFERROR(Tab_Compteur_5[[#This Row],[Quantité]]/Tab_Compteur_5[[#This Row],[Delta Jour]],"")</f>
        <v/>
      </c>
      <c r="G49" t="str">
        <f>IFERROR(Tab_Compteur_5[[#This Row],[Montant TTC]]/Tab_Compteur_5[[#This Row],[Delta Jour]],"")</f>
        <v/>
      </c>
      <c r="H49" s="42"/>
      <c r="I49" s="42"/>
      <c r="J49" s="42"/>
      <c r="K49" s="42"/>
      <c r="L49" s="42"/>
    </row>
    <row r="50" spans="1:12" x14ac:dyDescent="0.25">
      <c r="A50" s="3">
        <f t="shared" si="2"/>
        <v>1</v>
      </c>
      <c r="B50" s="3">
        <f>EDATE($B$3,Site!$I$37*(ROW(Tab_Compteur_5[[#This Row],[Début de période]])-3))</f>
        <v>0</v>
      </c>
      <c r="C50" s="187"/>
      <c r="D50" s="203"/>
      <c r="E50">
        <f t="shared" si="1"/>
        <v>0</v>
      </c>
      <c r="F50" t="str">
        <f>IFERROR(Tab_Compteur_5[[#This Row],[Quantité]]/Tab_Compteur_5[[#This Row],[Delta Jour]],"")</f>
        <v/>
      </c>
      <c r="G50" t="str">
        <f>IFERROR(Tab_Compteur_5[[#This Row],[Montant TTC]]/Tab_Compteur_5[[#This Row],[Delta Jour]],"")</f>
        <v/>
      </c>
      <c r="H50" s="42"/>
      <c r="I50" s="42"/>
      <c r="J50" s="42"/>
      <c r="K50" s="42"/>
      <c r="L50" s="42"/>
    </row>
    <row r="51" spans="1:12" x14ac:dyDescent="0.25">
      <c r="A51" s="3">
        <f t="shared" si="2"/>
        <v>1</v>
      </c>
      <c r="B51" s="3">
        <f>EDATE($B$3,Site!$I$37*(ROW(Tab_Compteur_5[[#This Row],[Début de période]])-3))</f>
        <v>0</v>
      </c>
      <c r="C51" s="292"/>
      <c r="D51" s="203"/>
      <c r="E51">
        <f t="shared" si="1"/>
        <v>0</v>
      </c>
      <c r="F51" t="str">
        <f>IFERROR(Tab_Compteur_5[[#This Row],[Quantité]]/Tab_Compteur_5[[#This Row],[Delta Jour]],"")</f>
        <v/>
      </c>
      <c r="G51" t="str">
        <f>IFERROR(Tab_Compteur_5[[#This Row],[Montant TTC]]/Tab_Compteur_5[[#This Row],[Delta Jour]],"")</f>
        <v/>
      </c>
      <c r="H51" s="42"/>
      <c r="I51" s="42"/>
      <c r="J51" s="42"/>
      <c r="K51" s="42"/>
      <c r="L51" s="42"/>
    </row>
    <row r="52" spans="1:12" x14ac:dyDescent="0.25">
      <c r="A52" s="3">
        <f t="shared" si="2"/>
        <v>1</v>
      </c>
      <c r="B52" s="3">
        <f>EDATE($B$3,Site!$I$37*(ROW(Tab_Compteur_5[[#This Row],[Début de période]])-3))</f>
        <v>0</v>
      </c>
      <c r="C52" s="292"/>
      <c r="D52" s="203"/>
      <c r="E52">
        <f t="shared" si="1"/>
        <v>0</v>
      </c>
      <c r="F52" t="str">
        <f>IFERROR(Tab_Compteur_5[[#This Row],[Quantité]]/Tab_Compteur_5[[#This Row],[Delta Jour]],"")</f>
        <v/>
      </c>
      <c r="G52" t="str">
        <f>IFERROR(Tab_Compteur_5[[#This Row],[Montant TTC]]/Tab_Compteur_5[[#This Row],[Delta Jour]],"")</f>
        <v/>
      </c>
      <c r="H52" s="42"/>
      <c r="I52" s="42"/>
      <c r="J52" s="42"/>
      <c r="K52" s="42"/>
      <c r="L52" s="42"/>
    </row>
    <row r="53" spans="1:12" x14ac:dyDescent="0.25">
      <c r="A53" s="3">
        <f t="shared" si="2"/>
        <v>1</v>
      </c>
      <c r="B53" s="3">
        <f>EDATE($B$3,Site!$I$37*(ROW(Tab_Compteur_5[[#This Row],[Début de période]])-3))</f>
        <v>0</v>
      </c>
      <c r="C53" s="292"/>
      <c r="D53" s="203"/>
      <c r="E53">
        <f t="shared" si="1"/>
        <v>0</v>
      </c>
      <c r="F53" t="str">
        <f>IFERROR(Tab_Compteur_5[[#This Row],[Quantité]]/Tab_Compteur_5[[#This Row],[Delta Jour]],"")</f>
        <v/>
      </c>
      <c r="G53" t="str">
        <f>IFERROR(Tab_Compteur_5[[#This Row],[Montant TTC]]/Tab_Compteur_5[[#This Row],[Delta Jour]],"")</f>
        <v/>
      </c>
      <c r="H53" s="42"/>
      <c r="I53" s="42"/>
      <c r="J53" s="42"/>
      <c r="K53" s="42"/>
      <c r="L53" s="42"/>
    </row>
    <row r="54" spans="1:12" x14ac:dyDescent="0.25">
      <c r="A54" s="3">
        <f t="shared" si="2"/>
        <v>1</v>
      </c>
      <c r="B54" s="3">
        <f>EDATE($B$3,Site!$I$37*(ROW(Tab_Compteur_5[[#This Row],[Début de période]])-3))</f>
        <v>0</v>
      </c>
      <c r="C54" s="187"/>
      <c r="D54" s="203"/>
      <c r="E54">
        <f t="shared" si="1"/>
        <v>0</v>
      </c>
      <c r="F54" t="str">
        <f>IFERROR(Tab_Compteur_5[[#This Row],[Quantité]]/Tab_Compteur_5[[#This Row],[Delta Jour]],"")</f>
        <v/>
      </c>
      <c r="G54" t="str">
        <f>IFERROR(Tab_Compteur_5[[#This Row],[Montant TTC]]/Tab_Compteur_5[[#This Row],[Delta Jour]],"")</f>
        <v/>
      </c>
      <c r="H54" s="42"/>
      <c r="I54" s="42"/>
      <c r="J54" s="42"/>
      <c r="K54" s="42"/>
      <c r="L54" s="42"/>
    </row>
    <row r="55" spans="1:12" x14ac:dyDescent="0.25">
      <c r="A55" s="3">
        <f t="shared" si="2"/>
        <v>1</v>
      </c>
      <c r="B55" s="3">
        <f>EDATE($B$3,Site!$I$37*(ROW(Tab_Compteur_5[[#This Row],[Début de période]])-3))</f>
        <v>0</v>
      </c>
      <c r="C55" s="187"/>
      <c r="D55" s="203"/>
      <c r="E55">
        <f t="shared" si="1"/>
        <v>0</v>
      </c>
      <c r="F55" t="str">
        <f>IFERROR(Tab_Compteur_5[[#This Row],[Quantité]]/Tab_Compteur_5[[#This Row],[Delta Jour]],"")</f>
        <v/>
      </c>
      <c r="G55" t="str">
        <f>IFERROR(Tab_Compteur_5[[#This Row],[Montant TTC]]/Tab_Compteur_5[[#This Row],[Delta Jour]],"")</f>
        <v/>
      </c>
      <c r="H55" s="42"/>
      <c r="I55" s="42"/>
      <c r="J55" s="42"/>
      <c r="K55" s="42"/>
      <c r="L55" s="42"/>
    </row>
    <row r="56" spans="1:12" x14ac:dyDescent="0.25">
      <c r="A56" s="3">
        <f t="shared" si="2"/>
        <v>1</v>
      </c>
      <c r="B56" s="3">
        <f>EDATE($B$3,Site!$I$37*(ROW(Tab_Compteur_5[[#This Row],[Début de période]])-3))</f>
        <v>0</v>
      </c>
      <c r="C56" s="187"/>
      <c r="D56" s="203"/>
      <c r="E56">
        <f t="shared" si="1"/>
        <v>0</v>
      </c>
      <c r="F56" t="str">
        <f>IFERROR(Tab_Compteur_5[[#This Row],[Quantité]]/Tab_Compteur_5[[#This Row],[Delta Jour]],"")</f>
        <v/>
      </c>
      <c r="G56" t="str">
        <f>IFERROR(Tab_Compteur_5[[#This Row],[Montant TTC]]/Tab_Compteur_5[[#This Row],[Delta Jour]],"")</f>
        <v/>
      </c>
      <c r="H56" s="42"/>
      <c r="I56" s="42"/>
      <c r="J56" s="42"/>
      <c r="K56" s="42"/>
      <c r="L56" s="42"/>
    </row>
    <row r="57" spans="1:12" x14ac:dyDescent="0.25">
      <c r="A57" s="3">
        <f t="shared" si="2"/>
        <v>1</v>
      </c>
      <c r="B57" s="3">
        <f>EDATE($B$3,Site!$I$37*(ROW(Tab_Compteur_5[[#This Row],[Début de période]])-3))</f>
        <v>0</v>
      </c>
      <c r="C57" s="187"/>
      <c r="D57" s="203"/>
      <c r="E57">
        <f t="shared" si="1"/>
        <v>0</v>
      </c>
      <c r="F57" t="str">
        <f>IFERROR(Tab_Compteur_5[[#This Row],[Quantité]]/Tab_Compteur_5[[#This Row],[Delta Jour]],"")</f>
        <v/>
      </c>
      <c r="G57" t="str">
        <f>IFERROR(Tab_Compteur_5[[#This Row],[Montant TTC]]/Tab_Compteur_5[[#This Row],[Delta Jour]],"")</f>
        <v/>
      </c>
      <c r="H57" s="42"/>
      <c r="I57" s="42"/>
      <c r="J57" s="42"/>
      <c r="K57" s="42"/>
      <c r="L57" s="42"/>
    </row>
    <row r="58" spans="1:12" x14ac:dyDescent="0.25">
      <c r="A58" s="3">
        <f t="shared" si="2"/>
        <v>1</v>
      </c>
      <c r="B58" s="3">
        <f>EDATE($B$3,Site!$I$37*(ROW(Tab_Compteur_5[[#This Row],[Début de période]])-3))</f>
        <v>0</v>
      </c>
      <c r="C58" s="187"/>
      <c r="D58" s="203"/>
      <c r="E58">
        <f t="shared" si="1"/>
        <v>0</v>
      </c>
      <c r="F58" t="str">
        <f>IFERROR(Tab_Compteur_5[[#This Row],[Quantité]]/Tab_Compteur_5[[#This Row],[Delta Jour]],"")</f>
        <v/>
      </c>
      <c r="G58" t="str">
        <f>IFERROR(Tab_Compteur_5[[#This Row],[Montant TTC]]/Tab_Compteur_5[[#This Row],[Delta Jour]],"")</f>
        <v/>
      </c>
      <c r="H58" s="42"/>
      <c r="I58" s="42"/>
      <c r="J58" s="42"/>
      <c r="K58" s="42"/>
      <c r="L58" s="42"/>
    </row>
    <row r="59" spans="1:12" x14ac:dyDescent="0.25">
      <c r="A59" s="3">
        <f t="shared" si="2"/>
        <v>1</v>
      </c>
      <c r="B59" s="3">
        <f>EDATE($B$3,Site!$I$37*(ROW(Tab_Compteur_5[[#This Row],[Début de période]])-3))</f>
        <v>0</v>
      </c>
      <c r="C59" s="185"/>
      <c r="E59">
        <f t="shared" si="1"/>
        <v>0</v>
      </c>
      <c r="F59" t="str">
        <f>IFERROR(Tab_Compteur_5[[#This Row],[Quantité]]/Tab_Compteur_5[[#This Row],[Delta Jour]],"")</f>
        <v/>
      </c>
      <c r="G59" t="str">
        <f>IFERROR(Tab_Compteur_5[[#This Row],[Montant TTC]]/Tab_Compteur_5[[#This Row],[Delta Jour]],"")</f>
        <v/>
      </c>
      <c r="H59" s="42"/>
      <c r="I59" s="42"/>
      <c r="J59" s="42"/>
      <c r="K59" s="42"/>
      <c r="L59" s="42"/>
    </row>
    <row r="60" spans="1:12" x14ac:dyDescent="0.25">
      <c r="A60" s="3">
        <f t="shared" si="2"/>
        <v>1</v>
      </c>
      <c r="B60" s="3">
        <f>EDATE($B$3,Site!$I$37*(ROW(Tab_Compteur_5[[#This Row],[Début de période]])-3))</f>
        <v>0</v>
      </c>
      <c r="C60" s="185"/>
      <c r="E60">
        <f t="shared" si="1"/>
        <v>0</v>
      </c>
      <c r="F60" t="str">
        <f>IFERROR(Tab_Compteur_5[[#This Row],[Quantité]]/Tab_Compteur_5[[#This Row],[Delta Jour]],"")</f>
        <v/>
      </c>
      <c r="G60" t="str">
        <f>IFERROR(Tab_Compteur_5[[#This Row],[Montant TTC]]/Tab_Compteur_5[[#This Row],[Delta Jour]],"")</f>
        <v/>
      </c>
      <c r="H60" s="42"/>
      <c r="I60" s="42"/>
      <c r="J60" s="42"/>
      <c r="K60" s="42"/>
      <c r="L60" s="42"/>
    </row>
    <row r="61" spans="1:12" x14ac:dyDescent="0.25">
      <c r="A61" s="3">
        <f t="shared" si="2"/>
        <v>1</v>
      </c>
      <c r="B61" s="3">
        <f>EDATE($B$3,Site!$I$37*(ROW(Tab_Compteur_5[[#This Row],[Début de période]])-3))</f>
        <v>0</v>
      </c>
      <c r="C61" s="185"/>
      <c r="E61">
        <f t="shared" si="1"/>
        <v>0</v>
      </c>
      <c r="F61" t="str">
        <f>IFERROR(Tab_Compteur_5[[#This Row],[Quantité]]/Tab_Compteur_5[[#This Row],[Delta Jour]],"")</f>
        <v/>
      </c>
      <c r="G61" t="str">
        <f>IFERROR(Tab_Compteur_5[[#This Row],[Montant TTC]]/Tab_Compteur_5[[#This Row],[Delta Jour]],"")</f>
        <v/>
      </c>
      <c r="H61" s="42"/>
      <c r="I61" s="42"/>
      <c r="J61" s="42"/>
      <c r="K61" s="42"/>
      <c r="L61" s="42"/>
    </row>
    <row r="62" spans="1:12" x14ac:dyDescent="0.25">
      <c r="A62" s="3">
        <f t="shared" si="2"/>
        <v>1</v>
      </c>
      <c r="B62" s="3">
        <f>EDATE($B$3,Site!$I$37*(ROW(Tab_Compteur_5[[#This Row],[Début de période]])-3))</f>
        <v>0</v>
      </c>
      <c r="C62" s="185"/>
      <c r="E62">
        <f t="shared" si="1"/>
        <v>0</v>
      </c>
      <c r="F62" t="str">
        <f>IFERROR(Tab_Compteur_5[[#This Row],[Quantité]]/Tab_Compteur_5[[#This Row],[Delta Jour]],"")</f>
        <v/>
      </c>
      <c r="G62" t="str">
        <f>IFERROR(Tab_Compteur_5[[#This Row],[Montant TTC]]/Tab_Compteur_5[[#This Row],[Delta Jour]],"")</f>
        <v/>
      </c>
      <c r="H62" s="42"/>
      <c r="I62" s="42"/>
      <c r="J62" s="42"/>
      <c r="K62" s="42"/>
      <c r="L62" s="42"/>
    </row>
    <row r="63" spans="1:12" x14ac:dyDescent="0.25">
      <c r="A63" s="3">
        <f t="shared" si="2"/>
        <v>1</v>
      </c>
      <c r="B63" s="3">
        <f>EDATE($B$3,Site!$I$37*(ROW(Tab_Compteur_5[[#This Row],[Début de période]])-3))</f>
        <v>0</v>
      </c>
      <c r="C63" s="185"/>
      <c r="E63">
        <f t="shared" si="1"/>
        <v>0</v>
      </c>
      <c r="F63" t="str">
        <f>IFERROR(Tab_Compteur_5[[#This Row],[Quantité]]/Tab_Compteur_5[[#This Row],[Delta Jour]],"")</f>
        <v/>
      </c>
      <c r="G63" t="str">
        <f>IFERROR(Tab_Compteur_5[[#This Row],[Montant TTC]]/Tab_Compteur_5[[#This Row],[Delta Jour]],"")</f>
        <v/>
      </c>
      <c r="H63" s="42"/>
      <c r="I63" s="42"/>
      <c r="J63" s="42"/>
      <c r="K63" s="42"/>
      <c r="L63" s="42"/>
    </row>
    <row r="64" spans="1:12" x14ac:dyDescent="0.25">
      <c r="A64" s="3">
        <f t="shared" si="2"/>
        <v>1</v>
      </c>
      <c r="B64" s="3">
        <f>EDATE($B$3,Site!$I$37*(ROW(Tab_Compteur_5[[#This Row],[Début de période]])-3))</f>
        <v>0</v>
      </c>
      <c r="C64" s="185"/>
      <c r="E64">
        <f t="shared" si="1"/>
        <v>0</v>
      </c>
      <c r="F64" t="str">
        <f>IFERROR(Tab_Compteur_5[[#This Row],[Quantité]]/Tab_Compteur_5[[#This Row],[Delta Jour]],"")</f>
        <v/>
      </c>
      <c r="G64" t="str">
        <f>IFERROR(Tab_Compteur_5[[#This Row],[Montant TTC]]/Tab_Compteur_5[[#This Row],[Delta Jour]],"")</f>
        <v/>
      </c>
      <c r="H64" s="42"/>
      <c r="I64" s="42"/>
      <c r="J64" s="42"/>
      <c r="K64" s="42"/>
      <c r="L64" s="42"/>
    </row>
    <row r="65" spans="1:12" x14ac:dyDescent="0.25">
      <c r="A65" s="3">
        <f t="shared" si="2"/>
        <v>1</v>
      </c>
      <c r="B65" s="3">
        <f>EDATE($B$3,Site!$I$37*(ROW(Tab_Compteur_5[[#This Row],[Début de période]])-3))</f>
        <v>0</v>
      </c>
      <c r="C65" s="185"/>
      <c r="E65">
        <f t="shared" si="1"/>
        <v>0</v>
      </c>
      <c r="F65" t="str">
        <f>IFERROR(Tab_Compteur_5[[#This Row],[Quantité]]/Tab_Compteur_5[[#This Row],[Delta Jour]],"")</f>
        <v/>
      </c>
      <c r="G65" t="str">
        <f>IFERROR(Tab_Compteur_5[[#This Row],[Montant TTC]]/Tab_Compteur_5[[#This Row],[Delta Jour]],"")</f>
        <v/>
      </c>
      <c r="H65" s="42"/>
      <c r="I65" s="42"/>
      <c r="J65" s="42"/>
      <c r="K65" s="42"/>
      <c r="L65" s="42"/>
    </row>
    <row r="66" spans="1:12" x14ac:dyDescent="0.25">
      <c r="A66" s="3">
        <f t="shared" si="2"/>
        <v>1</v>
      </c>
      <c r="B66" s="3">
        <f>EDATE($B$3,Site!$I$37*(ROW(Tab_Compteur_5[[#This Row],[Début de période]])-3))</f>
        <v>0</v>
      </c>
      <c r="C66" s="185"/>
      <c r="E66">
        <f t="shared" ref="E66:E129" si="3">IFERROR(B66-A66+1,"")</f>
        <v>0</v>
      </c>
      <c r="F66" t="str">
        <f>IFERROR(Tab_Compteur_5[[#This Row],[Quantité]]/Tab_Compteur_5[[#This Row],[Delta Jour]],"")</f>
        <v/>
      </c>
      <c r="G66" t="str">
        <f>IFERROR(Tab_Compteur_5[[#This Row],[Montant TTC]]/Tab_Compteur_5[[#This Row],[Delta Jour]],"")</f>
        <v/>
      </c>
      <c r="H66" s="42"/>
      <c r="I66" s="42"/>
      <c r="J66" s="42"/>
      <c r="K66" s="42"/>
      <c r="L66" s="42"/>
    </row>
    <row r="67" spans="1:12" x14ac:dyDescent="0.25">
      <c r="A67" s="3">
        <f t="shared" si="2"/>
        <v>1</v>
      </c>
      <c r="B67" s="3">
        <f>EDATE($B$3,Site!$I$37*(ROW(Tab_Compteur_5[[#This Row],[Début de période]])-3))</f>
        <v>0</v>
      </c>
      <c r="C67" s="185"/>
      <c r="E67">
        <f t="shared" si="3"/>
        <v>0</v>
      </c>
      <c r="F67" t="str">
        <f>IFERROR(Tab_Compteur_5[[#This Row],[Quantité]]/Tab_Compteur_5[[#This Row],[Delta Jour]],"")</f>
        <v/>
      </c>
      <c r="G67" t="str">
        <f>IFERROR(Tab_Compteur_5[[#This Row],[Montant TTC]]/Tab_Compteur_5[[#This Row],[Delta Jour]],"")</f>
        <v/>
      </c>
      <c r="H67" s="42"/>
      <c r="I67" s="42"/>
      <c r="J67" s="42"/>
      <c r="K67" s="42"/>
      <c r="L67" s="42"/>
    </row>
    <row r="68" spans="1:12" x14ac:dyDescent="0.25">
      <c r="A68" s="3">
        <f t="shared" si="2"/>
        <v>1</v>
      </c>
      <c r="B68" s="3">
        <f>EDATE($B$3,Site!$I$37*(ROW(Tab_Compteur_5[[#This Row],[Début de période]])-3))</f>
        <v>0</v>
      </c>
      <c r="C68" s="185"/>
      <c r="E68">
        <f t="shared" si="3"/>
        <v>0</v>
      </c>
      <c r="F68" t="str">
        <f>IFERROR(Tab_Compteur_5[[#This Row],[Quantité]]/Tab_Compteur_5[[#This Row],[Delta Jour]],"")</f>
        <v/>
      </c>
      <c r="G68" t="str">
        <f>IFERROR(Tab_Compteur_5[[#This Row],[Montant TTC]]/Tab_Compteur_5[[#This Row],[Delta Jour]],"")</f>
        <v/>
      </c>
      <c r="H68" s="42"/>
      <c r="I68" s="42"/>
      <c r="J68" s="42"/>
      <c r="K68" s="42"/>
      <c r="L68" s="42"/>
    </row>
    <row r="69" spans="1:12" x14ac:dyDescent="0.25">
      <c r="A69" s="3">
        <f t="shared" ref="A69:A132" si="4">B68+1</f>
        <v>1</v>
      </c>
      <c r="B69" s="3">
        <f>EDATE($B$3,Site!$I$37*(ROW(Tab_Compteur_5[[#This Row],[Début de période]])-3))</f>
        <v>0</v>
      </c>
      <c r="C69" s="185"/>
      <c r="E69">
        <f t="shared" si="3"/>
        <v>0</v>
      </c>
      <c r="F69" t="str">
        <f>IFERROR(Tab_Compteur_5[[#This Row],[Quantité]]/Tab_Compteur_5[[#This Row],[Delta Jour]],"")</f>
        <v/>
      </c>
      <c r="G69" t="str">
        <f>IFERROR(Tab_Compteur_5[[#This Row],[Montant TTC]]/Tab_Compteur_5[[#This Row],[Delta Jour]],"")</f>
        <v/>
      </c>
      <c r="H69" s="42"/>
      <c r="I69" s="42"/>
      <c r="J69" s="42"/>
      <c r="K69" s="42"/>
      <c r="L69" s="42"/>
    </row>
    <row r="70" spans="1:12" x14ac:dyDescent="0.25">
      <c r="A70" s="3">
        <f t="shared" si="4"/>
        <v>1</v>
      </c>
      <c r="B70" s="3">
        <f>EDATE($B$3,Site!$I$37*(ROW(Tab_Compteur_5[[#This Row],[Début de période]])-3))</f>
        <v>0</v>
      </c>
      <c r="C70" s="185"/>
      <c r="E70">
        <f t="shared" si="3"/>
        <v>0</v>
      </c>
      <c r="F70" t="str">
        <f>IFERROR(Tab_Compteur_5[[#This Row],[Quantité]]/Tab_Compteur_5[[#This Row],[Delta Jour]],"")</f>
        <v/>
      </c>
      <c r="G70" t="str">
        <f>IFERROR(Tab_Compteur_5[[#This Row],[Montant TTC]]/Tab_Compteur_5[[#This Row],[Delta Jour]],"")</f>
        <v/>
      </c>
      <c r="H70" s="42"/>
      <c r="I70" s="42"/>
      <c r="J70" s="42"/>
      <c r="K70" s="42"/>
      <c r="L70" s="42"/>
    </row>
    <row r="71" spans="1:12" x14ac:dyDescent="0.25">
      <c r="A71" s="3">
        <f t="shared" si="4"/>
        <v>1</v>
      </c>
      <c r="B71" s="3">
        <f>EDATE($B$3,Site!$I$37*(ROW(Tab_Compteur_5[[#This Row],[Début de période]])-3))</f>
        <v>0</v>
      </c>
      <c r="C71" s="185"/>
      <c r="E71">
        <f t="shared" si="3"/>
        <v>0</v>
      </c>
      <c r="F71" t="str">
        <f>IFERROR(Tab_Compteur_5[[#This Row],[Quantité]]/Tab_Compteur_5[[#This Row],[Delta Jour]],"")</f>
        <v/>
      </c>
      <c r="G71" t="str">
        <f>IFERROR(Tab_Compteur_5[[#This Row],[Montant TTC]]/Tab_Compteur_5[[#This Row],[Delta Jour]],"")</f>
        <v/>
      </c>
      <c r="H71" s="42"/>
      <c r="I71" s="42"/>
      <c r="J71" s="42"/>
      <c r="K71" s="42"/>
      <c r="L71" s="42"/>
    </row>
    <row r="72" spans="1:12" x14ac:dyDescent="0.25">
      <c r="A72" s="3">
        <f t="shared" si="4"/>
        <v>1</v>
      </c>
      <c r="B72" s="3">
        <f>EDATE($B$3,Site!$I$37*(ROW(Tab_Compteur_5[[#This Row],[Début de période]])-3))</f>
        <v>0</v>
      </c>
      <c r="C72" s="185"/>
      <c r="E72">
        <f t="shared" si="3"/>
        <v>0</v>
      </c>
      <c r="F72" t="str">
        <f>IFERROR(Tab_Compteur_5[[#This Row],[Quantité]]/Tab_Compteur_5[[#This Row],[Delta Jour]],"")</f>
        <v/>
      </c>
      <c r="G72" t="str">
        <f>IFERROR(Tab_Compteur_5[[#This Row],[Montant TTC]]/Tab_Compteur_5[[#This Row],[Delta Jour]],"")</f>
        <v/>
      </c>
      <c r="H72" s="42"/>
      <c r="I72" s="42"/>
      <c r="J72" s="42"/>
      <c r="K72" s="42"/>
      <c r="L72" s="42"/>
    </row>
    <row r="73" spans="1:12" x14ac:dyDescent="0.25">
      <c r="A73" s="3">
        <f t="shared" si="4"/>
        <v>1</v>
      </c>
      <c r="B73" s="3">
        <f>EDATE($B$3,Site!$I$37*(ROW(Tab_Compteur_5[[#This Row],[Début de période]])-3))</f>
        <v>0</v>
      </c>
      <c r="C73" s="185"/>
      <c r="E73">
        <f t="shared" si="3"/>
        <v>0</v>
      </c>
      <c r="F73" t="str">
        <f>IFERROR(Tab_Compteur_5[[#This Row],[Quantité]]/Tab_Compteur_5[[#This Row],[Delta Jour]],"")</f>
        <v/>
      </c>
      <c r="G73" t="str">
        <f>IFERROR(Tab_Compteur_5[[#This Row],[Montant TTC]]/Tab_Compteur_5[[#This Row],[Delta Jour]],"")</f>
        <v/>
      </c>
      <c r="H73" s="42"/>
      <c r="I73" s="42"/>
      <c r="J73" s="42"/>
      <c r="K73" s="42"/>
      <c r="L73" s="42"/>
    </row>
    <row r="74" spans="1:12" x14ac:dyDescent="0.25">
      <c r="A74" s="3">
        <f t="shared" si="4"/>
        <v>1</v>
      </c>
      <c r="B74" s="3">
        <f>EDATE($B$3,Site!$I$37*(ROW(Tab_Compteur_5[[#This Row],[Début de période]])-3))</f>
        <v>0</v>
      </c>
      <c r="C74" s="185"/>
      <c r="E74">
        <f t="shared" si="3"/>
        <v>0</v>
      </c>
      <c r="F74" t="str">
        <f>IFERROR(Tab_Compteur_5[[#This Row],[Quantité]]/Tab_Compteur_5[[#This Row],[Delta Jour]],"")</f>
        <v/>
      </c>
      <c r="G74" t="str">
        <f>IFERROR(Tab_Compteur_5[[#This Row],[Montant TTC]]/Tab_Compteur_5[[#This Row],[Delta Jour]],"")</f>
        <v/>
      </c>
      <c r="H74" s="42"/>
      <c r="I74" s="42"/>
      <c r="J74" s="42"/>
      <c r="K74" s="42"/>
      <c r="L74" s="42"/>
    </row>
    <row r="75" spans="1:12" x14ac:dyDescent="0.25">
      <c r="A75" s="3">
        <f t="shared" si="4"/>
        <v>1</v>
      </c>
      <c r="B75" s="3">
        <f>EDATE($B$3,Site!$I$37*(ROW(Tab_Compteur_5[[#This Row],[Début de période]])-3))</f>
        <v>0</v>
      </c>
      <c r="C75" s="185"/>
      <c r="E75">
        <f t="shared" si="3"/>
        <v>0</v>
      </c>
      <c r="F75" t="str">
        <f>IFERROR(Tab_Compteur_5[[#This Row],[Quantité]]/Tab_Compteur_5[[#This Row],[Delta Jour]],"")</f>
        <v/>
      </c>
      <c r="G75" t="str">
        <f>IFERROR(Tab_Compteur_5[[#This Row],[Montant TTC]]/Tab_Compteur_5[[#This Row],[Delta Jour]],"")</f>
        <v/>
      </c>
      <c r="H75" s="42"/>
      <c r="I75" s="42"/>
      <c r="J75" s="42"/>
      <c r="K75" s="42"/>
      <c r="L75" s="42"/>
    </row>
    <row r="76" spans="1:12" x14ac:dyDescent="0.25">
      <c r="A76" s="3">
        <f t="shared" si="4"/>
        <v>1</v>
      </c>
      <c r="B76" s="3">
        <f>EDATE($B$3,Site!$I$37*(ROW(Tab_Compteur_5[[#This Row],[Début de période]])-3))</f>
        <v>0</v>
      </c>
      <c r="C76" s="185"/>
      <c r="E76">
        <f t="shared" si="3"/>
        <v>0</v>
      </c>
      <c r="F76" t="str">
        <f>IFERROR(Tab_Compteur_5[[#This Row],[Quantité]]/Tab_Compteur_5[[#This Row],[Delta Jour]],"")</f>
        <v/>
      </c>
      <c r="G76" t="str">
        <f>IFERROR(Tab_Compteur_5[[#This Row],[Montant TTC]]/Tab_Compteur_5[[#This Row],[Delta Jour]],"")</f>
        <v/>
      </c>
      <c r="H76" s="42"/>
      <c r="I76" s="42"/>
      <c r="J76" s="42"/>
      <c r="K76" s="42"/>
      <c r="L76" s="42"/>
    </row>
    <row r="77" spans="1:12" x14ac:dyDescent="0.25">
      <c r="A77" s="3">
        <f t="shared" si="4"/>
        <v>1</v>
      </c>
      <c r="B77" s="3">
        <f>EDATE($B$3,Site!$I$37*(ROW(Tab_Compteur_5[[#This Row],[Début de période]])-3))</f>
        <v>0</v>
      </c>
      <c r="C77" s="185"/>
      <c r="E77">
        <f t="shared" si="3"/>
        <v>0</v>
      </c>
      <c r="F77" t="str">
        <f>IFERROR(Tab_Compteur_5[[#This Row],[Quantité]]/Tab_Compteur_5[[#This Row],[Delta Jour]],"")</f>
        <v/>
      </c>
      <c r="G77" t="str">
        <f>IFERROR(Tab_Compteur_5[[#This Row],[Montant TTC]]/Tab_Compteur_5[[#This Row],[Delta Jour]],"")</f>
        <v/>
      </c>
      <c r="H77" s="42"/>
      <c r="I77" s="42"/>
      <c r="J77" s="42"/>
      <c r="K77" s="42"/>
      <c r="L77" s="42"/>
    </row>
    <row r="78" spans="1:12" x14ac:dyDescent="0.25">
      <c r="A78" s="3">
        <f t="shared" si="4"/>
        <v>1</v>
      </c>
      <c r="B78" s="3">
        <f>EDATE($B$3,Site!$I$37*(ROW(Tab_Compteur_5[[#This Row],[Début de période]])-3))</f>
        <v>0</v>
      </c>
      <c r="C78" s="185"/>
      <c r="E78">
        <f t="shared" si="3"/>
        <v>0</v>
      </c>
      <c r="F78" t="str">
        <f>IFERROR(Tab_Compteur_5[[#This Row],[Quantité]]/Tab_Compteur_5[[#This Row],[Delta Jour]],"")</f>
        <v/>
      </c>
      <c r="G78" t="str">
        <f>IFERROR(Tab_Compteur_5[[#This Row],[Montant TTC]]/Tab_Compteur_5[[#This Row],[Delta Jour]],"")</f>
        <v/>
      </c>
      <c r="H78" s="42"/>
      <c r="I78" s="42"/>
      <c r="J78" s="42"/>
      <c r="K78" s="42"/>
      <c r="L78" s="42"/>
    </row>
    <row r="79" spans="1:12" x14ac:dyDescent="0.25">
      <c r="A79" s="3">
        <f t="shared" si="4"/>
        <v>1</v>
      </c>
      <c r="B79" s="3">
        <f>EDATE($B$3,Site!$I$37*(ROW(Tab_Compteur_5[[#This Row],[Début de période]])-3))</f>
        <v>0</v>
      </c>
      <c r="C79" s="185"/>
      <c r="E79">
        <f t="shared" si="3"/>
        <v>0</v>
      </c>
      <c r="F79" t="str">
        <f>IFERROR(Tab_Compteur_5[[#This Row],[Quantité]]/Tab_Compteur_5[[#This Row],[Delta Jour]],"")</f>
        <v/>
      </c>
      <c r="G79" t="str">
        <f>IFERROR(Tab_Compteur_5[[#This Row],[Montant TTC]]/Tab_Compteur_5[[#This Row],[Delta Jour]],"")</f>
        <v/>
      </c>
      <c r="H79" s="42"/>
      <c r="I79" s="42"/>
      <c r="J79" s="42"/>
      <c r="K79" s="42"/>
      <c r="L79" s="42"/>
    </row>
    <row r="80" spans="1:12" x14ac:dyDescent="0.25">
      <c r="A80" s="3">
        <f t="shared" si="4"/>
        <v>1</v>
      </c>
      <c r="B80" s="3">
        <f>EDATE($B$3,Site!$I$37*(ROW(Tab_Compteur_5[[#This Row],[Début de période]])-3))</f>
        <v>0</v>
      </c>
      <c r="C80" s="185"/>
      <c r="E80">
        <f t="shared" si="3"/>
        <v>0</v>
      </c>
      <c r="F80" t="str">
        <f>IFERROR(Tab_Compteur_5[[#This Row],[Quantité]]/Tab_Compteur_5[[#This Row],[Delta Jour]],"")</f>
        <v/>
      </c>
      <c r="G80" t="str">
        <f>IFERROR(Tab_Compteur_5[[#This Row],[Montant TTC]]/Tab_Compteur_5[[#This Row],[Delta Jour]],"")</f>
        <v/>
      </c>
      <c r="H80" s="42"/>
      <c r="I80" s="42"/>
      <c r="J80" s="42"/>
      <c r="K80" s="42"/>
      <c r="L80" s="42"/>
    </row>
    <row r="81" spans="1:12" x14ac:dyDescent="0.25">
      <c r="A81" s="3">
        <f t="shared" si="4"/>
        <v>1</v>
      </c>
      <c r="B81" s="3">
        <f>EDATE($B$3,Site!$I$37*(ROW(Tab_Compteur_5[[#This Row],[Début de période]])-3))</f>
        <v>0</v>
      </c>
      <c r="C81" s="185"/>
      <c r="E81">
        <f t="shared" si="3"/>
        <v>0</v>
      </c>
      <c r="F81" t="str">
        <f>IFERROR(Tab_Compteur_5[[#This Row],[Quantité]]/Tab_Compteur_5[[#This Row],[Delta Jour]],"")</f>
        <v/>
      </c>
      <c r="G81" t="str">
        <f>IFERROR(Tab_Compteur_5[[#This Row],[Montant TTC]]/Tab_Compteur_5[[#This Row],[Delta Jour]],"")</f>
        <v/>
      </c>
      <c r="H81" s="42"/>
      <c r="I81" s="42"/>
      <c r="J81" s="42"/>
      <c r="K81" s="42"/>
      <c r="L81" s="42"/>
    </row>
    <row r="82" spans="1:12" x14ac:dyDescent="0.25">
      <c r="A82" s="3">
        <f t="shared" si="4"/>
        <v>1</v>
      </c>
      <c r="B82" s="3">
        <f>EDATE($B$3,Site!$I$37*(ROW(Tab_Compteur_5[[#This Row],[Début de période]])-3))</f>
        <v>0</v>
      </c>
      <c r="C82" s="185"/>
      <c r="E82">
        <f t="shared" si="3"/>
        <v>0</v>
      </c>
      <c r="F82" t="str">
        <f>IFERROR(Tab_Compteur_5[[#This Row],[Quantité]]/Tab_Compteur_5[[#This Row],[Delta Jour]],"")</f>
        <v/>
      </c>
      <c r="G82" t="str">
        <f>IFERROR(Tab_Compteur_5[[#This Row],[Montant TTC]]/Tab_Compteur_5[[#This Row],[Delta Jour]],"")</f>
        <v/>
      </c>
      <c r="H82" s="42"/>
      <c r="I82" s="42"/>
      <c r="J82" s="42"/>
      <c r="K82" s="42"/>
      <c r="L82" s="42"/>
    </row>
    <row r="83" spans="1:12" x14ac:dyDescent="0.25">
      <c r="A83" s="3">
        <f t="shared" si="4"/>
        <v>1</v>
      </c>
      <c r="B83" s="3">
        <f>EDATE($B$3,Site!$I$37*(ROW(Tab_Compteur_5[[#This Row],[Début de période]])-3))</f>
        <v>0</v>
      </c>
      <c r="C83" s="185"/>
      <c r="E83">
        <f t="shared" si="3"/>
        <v>0</v>
      </c>
      <c r="F83" t="str">
        <f>IFERROR(Tab_Compteur_5[[#This Row],[Quantité]]/Tab_Compteur_5[[#This Row],[Delta Jour]],"")</f>
        <v/>
      </c>
      <c r="G83" t="str">
        <f>IFERROR(Tab_Compteur_5[[#This Row],[Montant TTC]]/Tab_Compteur_5[[#This Row],[Delta Jour]],"")</f>
        <v/>
      </c>
      <c r="H83" s="42"/>
      <c r="I83" s="42"/>
      <c r="J83" s="42"/>
      <c r="K83" s="42"/>
      <c r="L83" s="42"/>
    </row>
    <row r="84" spans="1:12" x14ac:dyDescent="0.25">
      <c r="A84" s="3">
        <f t="shared" si="4"/>
        <v>1</v>
      </c>
      <c r="B84" s="3">
        <f>EDATE($B$3,Site!$I$37*(ROW(Tab_Compteur_5[[#This Row],[Début de période]])-3))</f>
        <v>0</v>
      </c>
      <c r="C84" s="185"/>
      <c r="E84">
        <f t="shared" si="3"/>
        <v>0</v>
      </c>
      <c r="F84" t="str">
        <f>IFERROR(Tab_Compteur_5[[#This Row],[Quantité]]/Tab_Compteur_5[[#This Row],[Delta Jour]],"")</f>
        <v/>
      </c>
      <c r="G84" t="str">
        <f>IFERROR(Tab_Compteur_5[[#This Row],[Montant TTC]]/Tab_Compteur_5[[#This Row],[Delta Jour]],"")</f>
        <v/>
      </c>
      <c r="H84" s="42"/>
      <c r="I84" s="42"/>
      <c r="J84" s="42"/>
      <c r="K84" s="42"/>
      <c r="L84" s="42"/>
    </row>
    <row r="85" spans="1:12" x14ac:dyDescent="0.25">
      <c r="A85" s="3">
        <f t="shared" si="4"/>
        <v>1</v>
      </c>
      <c r="B85" s="3">
        <f>EDATE($B$3,Site!$I$37*(ROW(Tab_Compteur_5[[#This Row],[Début de période]])-3))</f>
        <v>0</v>
      </c>
      <c r="C85" s="185"/>
      <c r="E85">
        <f t="shared" si="3"/>
        <v>0</v>
      </c>
      <c r="F85" t="str">
        <f>IFERROR(Tab_Compteur_5[[#This Row],[Quantité]]/Tab_Compteur_5[[#This Row],[Delta Jour]],"")</f>
        <v/>
      </c>
      <c r="G85" t="str">
        <f>IFERROR(Tab_Compteur_5[[#This Row],[Montant TTC]]/Tab_Compteur_5[[#This Row],[Delta Jour]],"")</f>
        <v/>
      </c>
      <c r="H85" s="42"/>
      <c r="I85" s="42"/>
      <c r="J85" s="42"/>
      <c r="K85" s="42"/>
      <c r="L85" s="42"/>
    </row>
    <row r="86" spans="1:12" x14ac:dyDescent="0.25">
      <c r="A86" s="3">
        <f t="shared" si="4"/>
        <v>1</v>
      </c>
      <c r="B86" s="3">
        <f>EDATE($B$3,Site!$I$37*(ROW(Tab_Compteur_5[[#This Row],[Début de période]])-3))</f>
        <v>0</v>
      </c>
      <c r="C86" s="185"/>
      <c r="E86">
        <f t="shared" si="3"/>
        <v>0</v>
      </c>
      <c r="F86" t="str">
        <f>IFERROR(Tab_Compteur_5[[#This Row],[Quantité]]/Tab_Compteur_5[[#This Row],[Delta Jour]],"")</f>
        <v/>
      </c>
      <c r="G86" t="str">
        <f>IFERROR(Tab_Compteur_5[[#This Row],[Montant TTC]]/Tab_Compteur_5[[#This Row],[Delta Jour]],"")</f>
        <v/>
      </c>
      <c r="H86" s="42"/>
      <c r="I86" s="42"/>
      <c r="J86" s="42"/>
      <c r="K86" s="42"/>
      <c r="L86" s="42"/>
    </row>
    <row r="87" spans="1:12" x14ac:dyDescent="0.25">
      <c r="A87" s="3">
        <f t="shared" si="4"/>
        <v>1</v>
      </c>
      <c r="B87" s="3">
        <f>EDATE($B$3,Site!$I$37*(ROW(Tab_Compteur_5[[#This Row],[Début de période]])-3))</f>
        <v>0</v>
      </c>
      <c r="C87" s="185"/>
      <c r="E87">
        <f t="shared" si="3"/>
        <v>0</v>
      </c>
      <c r="F87" t="str">
        <f>IFERROR(Tab_Compteur_5[[#This Row],[Quantité]]/Tab_Compteur_5[[#This Row],[Delta Jour]],"")</f>
        <v/>
      </c>
      <c r="G87" t="str">
        <f>IFERROR(Tab_Compteur_5[[#This Row],[Montant TTC]]/Tab_Compteur_5[[#This Row],[Delta Jour]],"")</f>
        <v/>
      </c>
      <c r="H87" s="42"/>
      <c r="I87" s="42"/>
      <c r="J87" s="42"/>
      <c r="K87" s="42"/>
      <c r="L87" s="42"/>
    </row>
    <row r="88" spans="1:12" x14ac:dyDescent="0.25">
      <c r="A88" s="3">
        <f t="shared" si="4"/>
        <v>1</v>
      </c>
      <c r="B88" s="3">
        <f>EDATE($B$3,Site!$I$37*(ROW(Tab_Compteur_5[[#This Row],[Début de période]])-3))</f>
        <v>0</v>
      </c>
      <c r="C88" s="185"/>
      <c r="E88">
        <f t="shared" si="3"/>
        <v>0</v>
      </c>
      <c r="F88" t="str">
        <f>IFERROR(Tab_Compteur_5[[#This Row],[Quantité]]/Tab_Compteur_5[[#This Row],[Delta Jour]],"")</f>
        <v/>
      </c>
      <c r="G88" t="str">
        <f>IFERROR(Tab_Compteur_5[[#This Row],[Montant TTC]]/Tab_Compteur_5[[#This Row],[Delta Jour]],"")</f>
        <v/>
      </c>
      <c r="H88" s="42"/>
      <c r="I88" s="42"/>
      <c r="J88" s="42"/>
      <c r="K88" s="42"/>
      <c r="L88" s="42"/>
    </row>
    <row r="89" spans="1:12" x14ac:dyDescent="0.25">
      <c r="A89" s="3">
        <f t="shared" si="4"/>
        <v>1</v>
      </c>
      <c r="B89" s="3">
        <f>EDATE($B$3,Site!$I$37*(ROW(Tab_Compteur_5[[#This Row],[Début de période]])-3))</f>
        <v>0</v>
      </c>
      <c r="C89" s="185"/>
      <c r="E89">
        <f t="shared" si="3"/>
        <v>0</v>
      </c>
      <c r="F89" t="str">
        <f>IFERROR(Tab_Compteur_5[[#This Row],[Quantité]]/Tab_Compteur_5[[#This Row],[Delta Jour]],"")</f>
        <v/>
      </c>
      <c r="G89" t="str">
        <f>IFERROR(Tab_Compteur_5[[#This Row],[Montant TTC]]/Tab_Compteur_5[[#This Row],[Delta Jour]],"")</f>
        <v/>
      </c>
      <c r="H89" s="42"/>
      <c r="I89" s="42"/>
      <c r="J89" s="42"/>
      <c r="K89" s="42"/>
      <c r="L89" s="42"/>
    </row>
    <row r="90" spans="1:12" x14ac:dyDescent="0.25">
      <c r="A90" s="3">
        <f t="shared" si="4"/>
        <v>1</v>
      </c>
      <c r="B90" s="3">
        <f>EDATE($B$3,Site!$I$37*(ROW(Tab_Compteur_5[[#This Row],[Début de période]])-3))</f>
        <v>0</v>
      </c>
      <c r="C90" s="185"/>
      <c r="E90">
        <f t="shared" si="3"/>
        <v>0</v>
      </c>
      <c r="F90" t="str">
        <f>IFERROR(Tab_Compteur_5[[#This Row],[Quantité]]/Tab_Compteur_5[[#This Row],[Delta Jour]],"")</f>
        <v/>
      </c>
      <c r="G90" t="str">
        <f>IFERROR(Tab_Compteur_5[[#This Row],[Montant TTC]]/Tab_Compteur_5[[#This Row],[Delta Jour]],"")</f>
        <v/>
      </c>
      <c r="H90" s="42"/>
      <c r="I90" s="42"/>
      <c r="J90" s="42"/>
      <c r="K90" s="42"/>
      <c r="L90" s="42"/>
    </row>
    <row r="91" spans="1:12" x14ac:dyDescent="0.25">
      <c r="A91" s="3">
        <f t="shared" si="4"/>
        <v>1</v>
      </c>
      <c r="B91" s="3">
        <f>EDATE($B$3,Site!$I$37*(ROW(Tab_Compteur_5[[#This Row],[Début de période]])-3))</f>
        <v>0</v>
      </c>
      <c r="C91" s="185"/>
      <c r="E91">
        <f t="shared" si="3"/>
        <v>0</v>
      </c>
      <c r="F91" t="str">
        <f>IFERROR(Tab_Compteur_5[[#This Row],[Quantité]]/Tab_Compteur_5[[#This Row],[Delta Jour]],"")</f>
        <v/>
      </c>
      <c r="G91" t="str">
        <f>IFERROR(Tab_Compteur_5[[#This Row],[Montant TTC]]/Tab_Compteur_5[[#This Row],[Delta Jour]],"")</f>
        <v/>
      </c>
      <c r="H91" s="42"/>
      <c r="I91" s="42"/>
      <c r="J91" s="42"/>
      <c r="K91" s="42"/>
      <c r="L91" s="42"/>
    </row>
    <row r="92" spans="1:12" x14ac:dyDescent="0.25">
      <c r="A92" s="3">
        <f t="shared" si="4"/>
        <v>1</v>
      </c>
      <c r="B92" s="3">
        <f>EDATE($B$3,Site!$I$37*(ROW(Tab_Compteur_5[[#This Row],[Début de période]])-3))</f>
        <v>0</v>
      </c>
      <c r="C92" s="185"/>
      <c r="E92">
        <f t="shared" si="3"/>
        <v>0</v>
      </c>
      <c r="F92" t="str">
        <f>IFERROR(Tab_Compteur_5[[#This Row],[Quantité]]/Tab_Compteur_5[[#This Row],[Delta Jour]],"")</f>
        <v/>
      </c>
      <c r="G92" t="str">
        <f>IFERROR(Tab_Compteur_5[[#This Row],[Montant TTC]]/Tab_Compteur_5[[#This Row],[Delta Jour]],"")</f>
        <v/>
      </c>
      <c r="H92" s="42"/>
      <c r="I92" s="42"/>
      <c r="J92" s="42"/>
      <c r="K92" s="42"/>
      <c r="L92" s="42"/>
    </row>
    <row r="93" spans="1:12" x14ac:dyDescent="0.25">
      <c r="A93" s="3">
        <f t="shared" si="4"/>
        <v>1</v>
      </c>
      <c r="B93" s="3">
        <f>EDATE($B$3,Site!$I$37*(ROW(Tab_Compteur_5[[#This Row],[Début de période]])-3))</f>
        <v>0</v>
      </c>
      <c r="C93" s="185"/>
      <c r="E93">
        <f t="shared" si="3"/>
        <v>0</v>
      </c>
      <c r="F93" t="str">
        <f>IFERROR(Tab_Compteur_5[[#This Row],[Quantité]]/Tab_Compteur_5[[#This Row],[Delta Jour]],"")</f>
        <v/>
      </c>
      <c r="G93" t="str">
        <f>IFERROR(Tab_Compteur_5[[#This Row],[Montant TTC]]/Tab_Compteur_5[[#This Row],[Delta Jour]],"")</f>
        <v/>
      </c>
      <c r="H93" s="42"/>
      <c r="I93" s="42"/>
      <c r="J93" s="42"/>
      <c r="K93" s="42"/>
      <c r="L93" s="42"/>
    </row>
    <row r="94" spans="1:12" x14ac:dyDescent="0.25">
      <c r="A94" s="3">
        <f t="shared" si="4"/>
        <v>1</v>
      </c>
      <c r="B94" s="3">
        <f>EDATE($B$3,Site!$I$37*(ROW(Tab_Compteur_5[[#This Row],[Début de période]])-3))</f>
        <v>0</v>
      </c>
      <c r="C94" s="185"/>
      <c r="E94">
        <f t="shared" si="3"/>
        <v>0</v>
      </c>
      <c r="F94" t="str">
        <f>IFERROR(Tab_Compteur_5[[#This Row],[Quantité]]/Tab_Compteur_5[[#This Row],[Delta Jour]],"")</f>
        <v/>
      </c>
      <c r="G94" t="str">
        <f>IFERROR(Tab_Compteur_5[[#This Row],[Montant TTC]]/Tab_Compteur_5[[#This Row],[Delta Jour]],"")</f>
        <v/>
      </c>
      <c r="H94" s="42"/>
      <c r="I94" s="42"/>
      <c r="J94" s="42"/>
      <c r="K94" s="42"/>
      <c r="L94" s="42"/>
    </row>
    <row r="95" spans="1:12" x14ac:dyDescent="0.25">
      <c r="A95" s="3">
        <f t="shared" si="4"/>
        <v>1</v>
      </c>
      <c r="B95" s="3">
        <f>EDATE($B$3,Site!$I$37*(ROW(Tab_Compteur_5[[#This Row],[Début de période]])-3))</f>
        <v>0</v>
      </c>
      <c r="C95" s="185"/>
      <c r="E95">
        <f t="shared" si="3"/>
        <v>0</v>
      </c>
      <c r="F95" t="str">
        <f>IFERROR(Tab_Compteur_5[[#This Row],[Quantité]]/Tab_Compteur_5[[#This Row],[Delta Jour]],"")</f>
        <v/>
      </c>
      <c r="G95" t="str">
        <f>IFERROR(Tab_Compteur_5[[#This Row],[Montant TTC]]/Tab_Compteur_5[[#This Row],[Delta Jour]],"")</f>
        <v/>
      </c>
      <c r="H95" s="42"/>
      <c r="I95" s="42"/>
      <c r="J95" s="42"/>
      <c r="K95" s="42"/>
      <c r="L95" s="42"/>
    </row>
    <row r="96" spans="1:12" x14ac:dyDescent="0.25">
      <c r="A96" s="3">
        <f t="shared" si="4"/>
        <v>1</v>
      </c>
      <c r="B96" s="3">
        <f>EDATE($B$3,Site!$I$37*(ROW(Tab_Compteur_5[[#This Row],[Début de période]])-3))</f>
        <v>0</v>
      </c>
      <c r="C96" s="185"/>
      <c r="E96">
        <f t="shared" si="3"/>
        <v>0</v>
      </c>
      <c r="F96" t="str">
        <f>IFERROR(Tab_Compteur_5[[#This Row],[Quantité]]/Tab_Compteur_5[[#This Row],[Delta Jour]],"")</f>
        <v/>
      </c>
      <c r="G96" t="str">
        <f>IFERROR(Tab_Compteur_5[[#This Row],[Montant TTC]]/Tab_Compteur_5[[#This Row],[Delta Jour]],"")</f>
        <v/>
      </c>
      <c r="H96" s="42"/>
      <c r="I96" s="42"/>
      <c r="J96" s="42"/>
      <c r="K96" s="42"/>
      <c r="L96" s="42"/>
    </row>
    <row r="97" spans="1:12" x14ac:dyDescent="0.25">
      <c r="A97" s="3">
        <f t="shared" si="4"/>
        <v>1</v>
      </c>
      <c r="B97" s="3">
        <f>EDATE($B$3,Site!$I$37*(ROW(Tab_Compteur_5[[#This Row],[Début de période]])-3))</f>
        <v>0</v>
      </c>
      <c r="C97" s="185"/>
      <c r="E97">
        <f t="shared" si="3"/>
        <v>0</v>
      </c>
      <c r="F97" t="str">
        <f>IFERROR(Tab_Compteur_5[[#This Row],[Quantité]]/Tab_Compteur_5[[#This Row],[Delta Jour]],"")</f>
        <v/>
      </c>
      <c r="G97" t="str">
        <f>IFERROR(Tab_Compteur_5[[#This Row],[Montant TTC]]/Tab_Compteur_5[[#This Row],[Delta Jour]],"")</f>
        <v/>
      </c>
      <c r="H97" s="42"/>
      <c r="I97" s="42"/>
      <c r="J97" s="42"/>
      <c r="K97" s="42"/>
      <c r="L97" s="42"/>
    </row>
    <row r="98" spans="1:12" x14ac:dyDescent="0.25">
      <c r="A98" s="3">
        <f t="shared" si="4"/>
        <v>1</v>
      </c>
      <c r="B98" s="3">
        <f>EDATE($B$3,Site!$I$37*(ROW(Tab_Compteur_5[[#This Row],[Début de période]])-3))</f>
        <v>0</v>
      </c>
      <c r="C98" s="185"/>
      <c r="E98">
        <f t="shared" si="3"/>
        <v>0</v>
      </c>
      <c r="F98" t="str">
        <f>IFERROR(Tab_Compteur_5[[#This Row],[Quantité]]/Tab_Compteur_5[[#This Row],[Delta Jour]],"")</f>
        <v/>
      </c>
      <c r="G98" t="str">
        <f>IFERROR(Tab_Compteur_5[[#This Row],[Montant TTC]]/Tab_Compteur_5[[#This Row],[Delta Jour]],"")</f>
        <v/>
      </c>
      <c r="H98" s="42"/>
      <c r="I98" s="42"/>
      <c r="J98" s="42"/>
      <c r="K98" s="42"/>
      <c r="L98" s="42"/>
    </row>
    <row r="99" spans="1:12" x14ac:dyDescent="0.25">
      <c r="A99" s="3">
        <f t="shared" si="4"/>
        <v>1</v>
      </c>
      <c r="B99" s="3">
        <f>EDATE($B$3,Site!$I$37*(ROW(Tab_Compteur_5[[#This Row],[Début de période]])-3))</f>
        <v>0</v>
      </c>
      <c r="C99" s="185"/>
      <c r="E99">
        <f t="shared" si="3"/>
        <v>0</v>
      </c>
      <c r="F99" t="str">
        <f>IFERROR(Tab_Compteur_5[[#This Row],[Quantité]]/Tab_Compteur_5[[#This Row],[Delta Jour]],"")</f>
        <v/>
      </c>
      <c r="G99" t="str">
        <f>IFERROR(Tab_Compteur_5[[#This Row],[Montant TTC]]/Tab_Compteur_5[[#This Row],[Delta Jour]],"")</f>
        <v/>
      </c>
      <c r="H99" s="42"/>
      <c r="I99" s="42"/>
      <c r="J99" s="42"/>
      <c r="K99" s="42"/>
      <c r="L99" s="42"/>
    </row>
    <row r="100" spans="1:12" x14ac:dyDescent="0.25">
      <c r="A100" s="3">
        <f t="shared" si="4"/>
        <v>1</v>
      </c>
      <c r="B100" s="3">
        <f>EDATE($B$3,Site!$I$37*(ROW(Tab_Compteur_5[[#This Row],[Début de période]])-3))</f>
        <v>0</v>
      </c>
      <c r="C100" s="185"/>
      <c r="E100">
        <f t="shared" si="3"/>
        <v>0</v>
      </c>
      <c r="F100" t="str">
        <f>IFERROR(Tab_Compteur_5[[#This Row],[Quantité]]/Tab_Compteur_5[[#This Row],[Delta Jour]],"")</f>
        <v/>
      </c>
      <c r="G100" t="str">
        <f>IFERROR(Tab_Compteur_5[[#This Row],[Montant TTC]]/Tab_Compteur_5[[#This Row],[Delta Jour]],"")</f>
        <v/>
      </c>
      <c r="H100" s="42"/>
      <c r="I100" s="42"/>
      <c r="J100" s="42"/>
      <c r="K100" s="42"/>
      <c r="L100" s="42"/>
    </row>
    <row r="101" spans="1:12" x14ac:dyDescent="0.25">
      <c r="A101" s="3">
        <f t="shared" si="4"/>
        <v>1</v>
      </c>
      <c r="B101" s="3">
        <f>EDATE($B$3,Site!$I$37*(ROW(Tab_Compteur_5[[#This Row],[Début de période]])-3))</f>
        <v>0</v>
      </c>
      <c r="C101" s="185"/>
      <c r="E101">
        <f t="shared" si="3"/>
        <v>0</v>
      </c>
      <c r="F101" t="str">
        <f>IFERROR(Tab_Compteur_5[[#This Row],[Quantité]]/Tab_Compteur_5[[#This Row],[Delta Jour]],"")</f>
        <v/>
      </c>
      <c r="G101" t="str">
        <f>IFERROR(Tab_Compteur_5[[#This Row],[Montant TTC]]/Tab_Compteur_5[[#This Row],[Delta Jour]],"")</f>
        <v/>
      </c>
      <c r="H101" s="42"/>
      <c r="I101" s="42"/>
      <c r="J101" s="42"/>
      <c r="K101" s="42"/>
      <c r="L101" s="42"/>
    </row>
    <row r="102" spans="1:12" x14ac:dyDescent="0.25">
      <c r="A102" s="3">
        <f t="shared" si="4"/>
        <v>1</v>
      </c>
      <c r="B102" s="3">
        <f>EDATE($B$3,Site!$I$37*(ROW(Tab_Compteur_5[[#This Row],[Début de période]])-3))</f>
        <v>0</v>
      </c>
      <c r="C102" s="185"/>
      <c r="E102">
        <f t="shared" si="3"/>
        <v>0</v>
      </c>
      <c r="F102" t="str">
        <f>IFERROR(Tab_Compteur_5[[#This Row],[Quantité]]/Tab_Compteur_5[[#This Row],[Delta Jour]],"")</f>
        <v/>
      </c>
      <c r="G102" t="str">
        <f>IFERROR(Tab_Compteur_5[[#This Row],[Montant TTC]]/Tab_Compteur_5[[#This Row],[Delta Jour]],"")</f>
        <v/>
      </c>
      <c r="H102" s="42"/>
      <c r="I102" s="42"/>
      <c r="J102" s="42"/>
      <c r="K102" s="42"/>
      <c r="L102" s="42"/>
    </row>
    <row r="103" spans="1:12" x14ac:dyDescent="0.25">
      <c r="A103" s="3">
        <f t="shared" si="4"/>
        <v>1</v>
      </c>
      <c r="B103" s="3">
        <f>EDATE($B$3,Site!$I$37*(ROW(Tab_Compteur_5[[#This Row],[Début de période]])-3))</f>
        <v>0</v>
      </c>
      <c r="C103" s="185"/>
      <c r="E103">
        <f t="shared" si="3"/>
        <v>0</v>
      </c>
      <c r="F103" t="str">
        <f>IFERROR(Tab_Compteur_5[[#This Row],[Quantité]]/Tab_Compteur_5[[#This Row],[Delta Jour]],"")</f>
        <v/>
      </c>
      <c r="G103" t="str">
        <f>IFERROR(Tab_Compteur_5[[#This Row],[Montant TTC]]/Tab_Compteur_5[[#This Row],[Delta Jour]],"")</f>
        <v/>
      </c>
      <c r="H103" s="42"/>
      <c r="I103" s="42"/>
      <c r="J103" s="42"/>
      <c r="K103" s="42"/>
      <c r="L103" s="42"/>
    </row>
    <row r="104" spans="1:12" x14ac:dyDescent="0.25">
      <c r="A104" s="3">
        <f t="shared" si="4"/>
        <v>1</v>
      </c>
      <c r="B104" s="3">
        <f>EDATE($B$3,Site!$I$37*(ROW(Tab_Compteur_5[[#This Row],[Début de période]])-3))</f>
        <v>0</v>
      </c>
      <c r="C104" s="185"/>
      <c r="E104">
        <f t="shared" si="3"/>
        <v>0</v>
      </c>
      <c r="F104" t="str">
        <f>IFERROR(Tab_Compteur_5[[#This Row],[Quantité]]/Tab_Compteur_5[[#This Row],[Delta Jour]],"")</f>
        <v/>
      </c>
      <c r="G104" t="str">
        <f>IFERROR(Tab_Compteur_5[[#This Row],[Montant TTC]]/Tab_Compteur_5[[#This Row],[Delta Jour]],"")</f>
        <v/>
      </c>
      <c r="H104" s="42"/>
      <c r="I104" s="42"/>
      <c r="J104" s="42"/>
      <c r="K104" s="42"/>
      <c r="L104" s="42"/>
    </row>
    <row r="105" spans="1:12" x14ac:dyDescent="0.25">
      <c r="A105" s="3">
        <f t="shared" si="4"/>
        <v>1</v>
      </c>
      <c r="B105" s="3">
        <f>EDATE($B$3,Site!$I$37*(ROW(Tab_Compteur_5[[#This Row],[Début de période]])-3))</f>
        <v>0</v>
      </c>
      <c r="C105" s="185"/>
      <c r="E105">
        <f t="shared" si="3"/>
        <v>0</v>
      </c>
      <c r="F105" t="str">
        <f>IFERROR(Tab_Compteur_5[[#This Row],[Quantité]]/Tab_Compteur_5[[#This Row],[Delta Jour]],"")</f>
        <v/>
      </c>
      <c r="G105" t="str">
        <f>IFERROR(Tab_Compteur_5[[#This Row],[Montant TTC]]/Tab_Compteur_5[[#This Row],[Delta Jour]],"")</f>
        <v/>
      </c>
      <c r="H105" s="42"/>
      <c r="I105" s="42"/>
      <c r="J105" s="42"/>
      <c r="K105" s="42"/>
      <c r="L105" s="42"/>
    </row>
    <row r="106" spans="1:12" x14ac:dyDescent="0.25">
      <c r="A106" s="3">
        <f t="shared" si="4"/>
        <v>1</v>
      </c>
      <c r="B106" s="3">
        <f>EDATE($B$3,Site!$I$37*(ROW(Tab_Compteur_5[[#This Row],[Début de période]])-3))</f>
        <v>0</v>
      </c>
      <c r="C106" s="185"/>
      <c r="E106">
        <f t="shared" si="3"/>
        <v>0</v>
      </c>
      <c r="F106" t="str">
        <f>IFERROR(Tab_Compteur_5[[#This Row],[Quantité]]/Tab_Compteur_5[[#This Row],[Delta Jour]],"")</f>
        <v/>
      </c>
      <c r="G106" t="str">
        <f>IFERROR(Tab_Compteur_5[[#This Row],[Montant TTC]]/Tab_Compteur_5[[#This Row],[Delta Jour]],"")</f>
        <v/>
      </c>
      <c r="H106" s="42"/>
      <c r="I106" s="42"/>
      <c r="J106" s="42"/>
      <c r="K106" s="42"/>
      <c r="L106" s="42"/>
    </row>
    <row r="107" spans="1:12" x14ac:dyDescent="0.25">
      <c r="A107" s="3">
        <f t="shared" si="4"/>
        <v>1</v>
      </c>
      <c r="B107" s="3">
        <f>EDATE($B$3,Site!$I$37*(ROW(Tab_Compteur_5[[#This Row],[Début de période]])-3))</f>
        <v>0</v>
      </c>
      <c r="C107" s="185"/>
      <c r="E107">
        <f t="shared" si="3"/>
        <v>0</v>
      </c>
      <c r="F107" t="str">
        <f>IFERROR(Tab_Compteur_5[[#This Row],[Quantité]]/Tab_Compteur_5[[#This Row],[Delta Jour]],"")</f>
        <v/>
      </c>
      <c r="G107" t="str">
        <f>IFERROR(Tab_Compteur_5[[#This Row],[Montant TTC]]/Tab_Compteur_5[[#This Row],[Delta Jour]],"")</f>
        <v/>
      </c>
      <c r="H107" s="42"/>
      <c r="I107" s="42"/>
      <c r="J107" s="42"/>
      <c r="K107" s="42"/>
      <c r="L107" s="42"/>
    </row>
    <row r="108" spans="1:12" x14ac:dyDescent="0.25">
      <c r="A108" s="3">
        <f t="shared" si="4"/>
        <v>1</v>
      </c>
      <c r="B108" s="3">
        <f>EDATE($B$3,Site!$I$37*(ROW(Tab_Compteur_5[[#This Row],[Début de période]])-3))</f>
        <v>0</v>
      </c>
      <c r="C108" s="185"/>
      <c r="E108">
        <f t="shared" si="3"/>
        <v>0</v>
      </c>
      <c r="F108" t="str">
        <f>IFERROR(Tab_Compteur_5[[#This Row],[Quantité]]/Tab_Compteur_5[[#This Row],[Delta Jour]],"")</f>
        <v/>
      </c>
      <c r="G108" t="str">
        <f>IFERROR(Tab_Compteur_5[[#This Row],[Montant TTC]]/Tab_Compteur_5[[#This Row],[Delta Jour]],"")</f>
        <v/>
      </c>
      <c r="H108" s="42"/>
      <c r="I108" s="42"/>
      <c r="J108" s="42"/>
      <c r="K108" s="42"/>
      <c r="L108" s="42"/>
    </row>
    <row r="109" spans="1:12" x14ac:dyDescent="0.25">
      <c r="A109" s="3">
        <f t="shared" si="4"/>
        <v>1</v>
      </c>
      <c r="B109" s="3">
        <f>EDATE($B$3,Site!$I$37*(ROW(Tab_Compteur_5[[#This Row],[Début de période]])-3))</f>
        <v>0</v>
      </c>
      <c r="C109" s="185"/>
      <c r="E109">
        <f t="shared" si="3"/>
        <v>0</v>
      </c>
      <c r="F109" t="str">
        <f>IFERROR(Tab_Compteur_5[[#This Row],[Quantité]]/Tab_Compteur_5[[#This Row],[Delta Jour]],"")</f>
        <v/>
      </c>
      <c r="G109" t="str">
        <f>IFERROR(Tab_Compteur_5[[#This Row],[Montant TTC]]/Tab_Compteur_5[[#This Row],[Delta Jour]],"")</f>
        <v/>
      </c>
      <c r="H109" s="42"/>
      <c r="I109" s="42"/>
      <c r="J109" s="42"/>
      <c r="K109" s="42"/>
      <c r="L109" s="42"/>
    </row>
    <row r="110" spans="1:12" x14ac:dyDescent="0.25">
      <c r="A110" s="3">
        <f t="shared" si="4"/>
        <v>1</v>
      </c>
      <c r="B110" s="3">
        <f>EDATE($B$3,Site!$I$37*(ROW(Tab_Compteur_5[[#This Row],[Début de période]])-3))</f>
        <v>0</v>
      </c>
      <c r="C110" s="185"/>
      <c r="E110">
        <f t="shared" si="3"/>
        <v>0</v>
      </c>
      <c r="F110" t="str">
        <f>IFERROR(Tab_Compteur_5[[#This Row],[Quantité]]/Tab_Compteur_5[[#This Row],[Delta Jour]],"")</f>
        <v/>
      </c>
      <c r="G110" t="str">
        <f>IFERROR(Tab_Compteur_5[[#This Row],[Montant TTC]]/Tab_Compteur_5[[#This Row],[Delta Jour]],"")</f>
        <v/>
      </c>
      <c r="H110" s="42"/>
      <c r="I110" s="42"/>
      <c r="J110" s="42"/>
      <c r="K110" s="42"/>
      <c r="L110" s="42"/>
    </row>
    <row r="111" spans="1:12" x14ac:dyDescent="0.25">
      <c r="A111" s="3">
        <f t="shared" si="4"/>
        <v>1</v>
      </c>
      <c r="B111" s="3">
        <f>EDATE($B$3,Site!$I$37*(ROW(Tab_Compteur_5[[#This Row],[Début de période]])-3))</f>
        <v>0</v>
      </c>
      <c r="C111" s="185"/>
      <c r="E111">
        <f t="shared" si="3"/>
        <v>0</v>
      </c>
      <c r="F111" t="str">
        <f>IFERROR(Tab_Compteur_5[[#This Row],[Quantité]]/Tab_Compteur_5[[#This Row],[Delta Jour]],"")</f>
        <v/>
      </c>
      <c r="G111" t="str">
        <f>IFERROR(Tab_Compteur_5[[#This Row],[Montant TTC]]/Tab_Compteur_5[[#This Row],[Delta Jour]],"")</f>
        <v/>
      </c>
      <c r="H111" s="42"/>
      <c r="I111" s="42"/>
      <c r="J111" s="42"/>
      <c r="K111" s="42"/>
      <c r="L111" s="42"/>
    </row>
    <row r="112" spans="1:12" x14ac:dyDescent="0.25">
      <c r="A112" s="3">
        <f t="shared" si="4"/>
        <v>1</v>
      </c>
      <c r="B112" s="3">
        <f>EDATE($B$3,Site!$I$37*(ROW(Tab_Compteur_5[[#This Row],[Début de période]])-3))</f>
        <v>0</v>
      </c>
      <c r="C112" s="185"/>
      <c r="E112">
        <f t="shared" si="3"/>
        <v>0</v>
      </c>
      <c r="F112" t="str">
        <f>IFERROR(Tab_Compteur_5[[#This Row],[Quantité]]/Tab_Compteur_5[[#This Row],[Delta Jour]],"")</f>
        <v/>
      </c>
      <c r="G112" t="str">
        <f>IFERROR(Tab_Compteur_5[[#This Row],[Montant TTC]]/Tab_Compteur_5[[#This Row],[Delta Jour]],"")</f>
        <v/>
      </c>
      <c r="H112" s="42"/>
      <c r="I112" s="42"/>
      <c r="J112" s="42"/>
      <c r="K112" s="42"/>
      <c r="L112" s="42"/>
    </row>
    <row r="113" spans="1:12" x14ac:dyDescent="0.25">
      <c r="A113" s="3">
        <f t="shared" si="4"/>
        <v>1</v>
      </c>
      <c r="B113" s="3">
        <f>EDATE($B$3,Site!$I$37*(ROW(Tab_Compteur_5[[#This Row],[Début de période]])-3))</f>
        <v>0</v>
      </c>
      <c r="C113" s="185"/>
      <c r="E113">
        <f t="shared" si="3"/>
        <v>0</v>
      </c>
      <c r="F113" t="str">
        <f>IFERROR(Tab_Compteur_5[[#This Row],[Quantité]]/Tab_Compteur_5[[#This Row],[Delta Jour]],"")</f>
        <v/>
      </c>
      <c r="G113" t="str">
        <f>IFERROR(Tab_Compteur_5[[#This Row],[Montant TTC]]/Tab_Compteur_5[[#This Row],[Delta Jour]],"")</f>
        <v/>
      </c>
      <c r="H113" s="42"/>
      <c r="I113" s="42"/>
      <c r="J113" s="42"/>
      <c r="K113" s="42"/>
      <c r="L113" s="42"/>
    </row>
    <row r="114" spans="1:12" x14ac:dyDescent="0.25">
      <c r="A114" s="3">
        <f t="shared" si="4"/>
        <v>1</v>
      </c>
      <c r="B114" s="3">
        <f>EDATE($B$3,Site!$I$37*(ROW(Tab_Compteur_5[[#This Row],[Début de période]])-3))</f>
        <v>0</v>
      </c>
      <c r="C114" s="185"/>
      <c r="E114">
        <f t="shared" si="3"/>
        <v>0</v>
      </c>
      <c r="F114" t="str">
        <f>IFERROR(Tab_Compteur_5[[#This Row],[Quantité]]/Tab_Compteur_5[[#This Row],[Delta Jour]],"")</f>
        <v/>
      </c>
      <c r="G114" t="str">
        <f>IFERROR(Tab_Compteur_5[[#This Row],[Montant TTC]]/Tab_Compteur_5[[#This Row],[Delta Jour]],"")</f>
        <v/>
      </c>
      <c r="H114" s="42"/>
      <c r="I114" s="42"/>
      <c r="J114" s="42"/>
      <c r="K114" s="42"/>
      <c r="L114" s="42"/>
    </row>
    <row r="115" spans="1:12" x14ac:dyDescent="0.25">
      <c r="A115" s="3">
        <f t="shared" si="4"/>
        <v>1</v>
      </c>
      <c r="B115" s="3">
        <f>EDATE($B$3,Site!$I$37*(ROW(Tab_Compteur_5[[#This Row],[Début de période]])-3))</f>
        <v>0</v>
      </c>
      <c r="C115" s="185"/>
      <c r="E115">
        <f t="shared" si="3"/>
        <v>0</v>
      </c>
      <c r="F115" t="str">
        <f>IFERROR(Tab_Compteur_5[[#This Row],[Quantité]]/Tab_Compteur_5[[#This Row],[Delta Jour]],"")</f>
        <v/>
      </c>
      <c r="G115" t="str">
        <f>IFERROR(Tab_Compteur_5[[#This Row],[Montant TTC]]/Tab_Compteur_5[[#This Row],[Delta Jour]],"")</f>
        <v/>
      </c>
      <c r="H115" s="42"/>
      <c r="I115" s="42"/>
      <c r="J115" s="42"/>
      <c r="K115" s="42"/>
      <c r="L115" s="42"/>
    </row>
    <row r="116" spans="1:12" x14ac:dyDescent="0.25">
      <c r="A116" s="3">
        <f t="shared" si="4"/>
        <v>1</v>
      </c>
      <c r="B116" s="3">
        <f>EDATE($B$3,Site!$I$37*(ROW(Tab_Compteur_5[[#This Row],[Début de période]])-3))</f>
        <v>0</v>
      </c>
      <c r="C116" s="185"/>
      <c r="E116">
        <f t="shared" si="3"/>
        <v>0</v>
      </c>
      <c r="F116" t="str">
        <f>IFERROR(Tab_Compteur_5[[#This Row],[Quantité]]/Tab_Compteur_5[[#This Row],[Delta Jour]],"")</f>
        <v/>
      </c>
      <c r="G116" t="str">
        <f>IFERROR(Tab_Compteur_5[[#This Row],[Montant TTC]]/Tab_Compteur_5[[#This Row],[Delta Jour]],"")</f>
        <v/>
      </c>
      <c r="H116" s="42"/>
      <c r="I116" s="42"/>
      <c r="J116" s="42"/>
      <c r="K116" s="42"/>
      <c r="L116" s="42"/>
    </row>
    <row r="117" spans="1:12" x14ac:dyDescent="0.25">
      <c r="A117" s="3">
        <f t="shared" si="4"/>
        <v>1</v>
      </c>
      <c r="B117" s="3">
        <f>EDATE($B$3,Site!$I$37*(ROW(Tab_Compteur_5[[#This Row],[Début de période]])-3))</f>
        <v>0</v>
      </c>
      <c r="C117" s="185"/>
      <c r="E117">
        <f t="shared" si="3"/>
        <v>0</v>
      </c>
      <c r="F117" t="str">
        <f>IFERROR(Tab_Compteur_5[[#This Row],[Quantité]]/Tab_Compteur_5[[#This Row],[Delta Jour]],"")</f>
        <v/>
      </c>
      <c r="G117" t="str">
        <f>IFERROR(Tab_Compteur_5[[#This Row],[Montant TTC]]/Tab_Compteur_5[[#This Row],[Delta Jour]],"")</f>
        <v/>
      </c>
      <c r="H117" s="42"/>
      <c r="I117" s="42"/>
      <c r="J117" s="42"/>
      <c r="K117" s="42"/>
      <c r="L117" s="42"/>
    </row>
    <row r="118" spans="1:12" x14ac:dyDescent="0.25">
      <c r="A118" s="3">
        <f t="shared" si="4"/>
        <v>1</v>
      </c>
      <c r="B118" s="3">
        <f>EDATE($B$3,Site!$I$37*(ROW(Tab_Compteur_5[[#This Row],[Début de période]])-3))</f>
        <v>0</v>
      </c>
      <c r="C118" s="185"/>
      <c r="E118">
        <f t="shared" si="3"/>
        <v>0</v>
      </c>
      <c r="F118" t="str">
        <f>IFERROR(Tab_Compteur_5[[#This Row],[Quantité]]/Tab_Compteur_5[[#This Row],[Delta Jour]],"")</f>
        <v/>
      </c>
      <c r="G118" t="str">
        <f>IFERROR(Tab_Compteur_5[[#This Row],[Montant TTC]]/Tab_Compteur_5[[#This Row],[Delta Jour]],"")</f>
        <v/>
      </c>
      <c r="H118" s="42"/>
      <c r="I118" s="42"/>
      <c r="J118" s="42"/>
      <c r="K118" s="42"/>
      <c r="L118" s="42"/>
    </row>
    <row r="119" spans="1:12" x14ac:dyDescent="0.25">
      <c r="A119" s="3">
        <f t="shared" si="4"/>
        <v>1</v>
      </c>
      <c r="B119" s="3">
        <f>EDATE($B$3,Site!$I$37*(ROW(Tab_Compteur_5[[#This Row],[Début de période]])-3))</f>
        <v>0</v>
      </c>
      <c r="C119" s="185"/>
      <c r="E119">
        <f t="shared" si="3"/>
        <v>0</v>
      </c>
      <c r="F119" t="str">
        <f>IFERROR(Tab_Compteur_5[[#This Row],[Quantité]]/Tab_Compteur_5[[#This Row],[Delta Jour]],"")</f>
        <v/>
      </c>
      <c r="G119" t="str">
        <f>IFERROR(Tab_Compteur_5[[#This Row],[Montant TTC]]/Tab_Compteur_5[[#This Row],[Delta Jour]],"")</f>
        <v/>
      </c>
      <c r="H119" s="42"/>
      <c r="I119" s="42"/>
      <c r="J119" s="42"/>
      <c r="K119" s="42"/>
      <c r="L119" s="42"/>
    </row>
    <row r="120" spans="1:12" x14ac:dyDescent="0.25">
      <c r="A120" s="3">
        <f t="shared" si="4"/>
        <v>1</v>
      </c>
      <c r="B120" s="3">
        <f>EDATE($B$3,Site!$I$37*(ROW(Tab_Compteur_5[[#This Row],[Début de période]])-3))</f>
        <v>0</v>
      </c>
      <c r="C120" s="185"/>
      <c r="E120">
        <f t="shared" si="3"/>
        <v>0</v>
      </c>
      <c r="F120" t="str">
        <f>IFERROR(Tab_Compteur_5[[#This Row],[Quantité]]/Tab_Compteur_5[[#This Row],[Delta Jour]],"")</f>
        <v/>
      </c>
      <c r="G120" t="str">
        <f>IFERROR(Tab_Compteur_5[[#This Row],[Montant TTC]]/Tab_Compteur_5[[#This Row],[Delta Jour]],"")</f>
        <v/>
      </c>
      <c r="H120" s="42"/>
      <c r="I120" s="42"/>
      <c r="J120" s="42"/>
      <c r="K120" s="42"/>
      <c r="L120" s="42"/>
    </row>
    <row r="121" spans="1:12" x14ac:dyDescent="0.25">
      <c r="A121" s="3">
        <f t="shared" si="4"/>
        <v>1</v>
      </c>
      <c r="B121" s="3">
        <f>EDATE($B$3,Site!$I$37*(ROW(Tab_Compteur_5[[#This Row],[Début de période]])-3))</f>
        <v>0</v>
      </c>
      <c r="C121" s="185"/>
      <c r="E121">
        <f t="shared" si="3"/>
        <v>0</v>
      </c>
      <c r="F121" t="str">
        <f>IFERROR(Tab_Compteur_5[[#This Row],[Quantité]]/Tab_Compteur_5[[#This Row],[Delta Jour]],"")</f>
        <v/>
      </c>
      <c r="G121" t="str">
        <f>IFERROR(Tab_Compteur_5[[#This Row],[Montant TTC]]/Tab_Compteur_5[[#This Row],[Delta Jour]],"")</f>
        <v/>
      </c>
      <c r="H121" s="42"/>
      <c r="I121" s="42"/>
      <c r="J121" s="42"/>
      <c r="K121" s="42"/>
      <c r="L121" s="42"/>
    </row>
    <row r="122" spans="1:12" x14ac:dyDescent="0.25">
      <c r="A122" s="3">
        <f t="shared" si="4"/>
        <v>1</v>
      </c>
      <c r="B122" s="3">
        <f>EDATE($B$3,Site!$I$37*(ROW(Tab_Compteur_5[[#This Row],[Début de période]])-3))</f>
        <v>0</v>
      </c>
      <c r="C122" s="185"/>
      <c r="E122">
        <f t="shared" si="3"/>
        <v>0</v>
      </c>
      <c r="F122" t="str">
        <f>IFERROR(Tab_Compteur_5[[#This Row],[Quantité]]/Tab_Compteur_5[[#This Row],[Delta Jour]],"")</f>
        <v/>
      </c>
      <c r="G122" t="str">
        <f>IFERROR(Tab_Compteur_5[[#This Row],[Montant TTC]]/Tab_Compteur_5[[#This Row],[Delta Jour]],"")</f>
        <v/>
      </c>
      <c r="H122" s="42"/>
      <c r="I122" s="42"/>
      <c r="J122" s="42"/>
      <c r="K122" s="42"/>
      <c r="L122" s="42"/>
    </row>
    <row r="123" spans="1:12" x14ac:dyDescent="0.25">
      <c r="A123" s="3">
        <f t="shared" si="4"/>
        <v>1</v>
      </c>
      <c r="B123" s="3">
        <f>EDATE($B$3,Site!$I$37*(ROW(Tab_Compteur_5[[#This Row],[Début de période]])-3))</f>
        <v>0</v>
      </c>
      <c r="C123" s="185"/>
      <c r="E123">
        <f t="shared" si="3"/>
        <v>0</v>
      </c>
      <c r="F123" t="str">
        <f>IFERROR(Tab_Compteur_5[[#This Row],[Quantité]]/Tab_Compteur_5[[#This Row],[Delta Jour]],"")</f>
        <v/>
      </c>
      <c r="G123" t="str">
        <f>IFERROR(Tab_Compteur_5[[#This Row],[Montant TTC]]/Tab_Compteur_5[[#This Row],[Delta Jour]],"")</f>
        <v/>
      </c>
      <c r="H123" s="42"/>
      <c r="I123" s="42"/>
      <c r="J123" s="42"/>
      <c r="K123" s="42"/>
      <c r="L123" s="42"/>
    </row>
    <row r="124" spans="1:12" x14ac:dyDescent="0.25">
      <c r="A124" s="3">
        <f t="shared" si="4"/>
        <v>1</v>
      </c>
      <c r="B124" s="3">
        <f>EDATE($B$3,Site!$I$37*(ROW(Tab_Compteur_5[[#This Row],[Début de période]])-3))</f>
        <v>0</v>
      </c>
      <c r="C124" s="185"/>
      <c r="E124">
        <f t="shared" si="3"/>
        <v>0</v>
      </c>
      <c r="F124" t="str">
        <f>IFERROR(Tab_Compteur_5[[#This Row],[Quantité]]/Tab_Compteur_5[[#This Row],[Delta Jour]],"")</f>
        <v/>
      </c>
      <c r="G124" t="str">
        <f>IFERROR(Tab_Compteur_5[[#This Row],[Montant TTC]]/Tab_Compteur_5[[#This Row],[Delta Jour]],"")</f>
        <v/>
      </c>
      <c r="H124" s="42"/>
      <c r="I124" s="42"/>
      <c r="J124" s="42"/>
      <c r="K124" s="42"/>
      <c r="L124" s="42"/>
    </row>
    <row r="125" spans="1:12" x14ac:dyDescent="0.25">
      <c r="A125" s="3">
        <f t="shared" si="4"/>
        <v>1</v>
      </c>
      <c r="B125" s="3">
        <f>EDATE($B$3,Site!$I$37*(ROW(Tab_Compteur_5[[#This Row],[Début de période]])-3))</f>
        <v>0</v>
      </c>
      <c r="C125" s="185"/>
      <c r="E125">
        <f t="shared" si="3"/>
        <v>0</v>
      </c>
      <c r="F125" t="str">
        <f>IFERROR(Tab_Compteur_5[[#This Row],[Quantité]]/Tab_Compteur_5[[#This Row],[Delta Jour]],"")</f>
        <v/>
      </c>
      <c r="G125" t="str">
        <f>IFERROR(Tab_Compteur_5[[#This Row],[Montant TTC]]/Tab_Compteur_5[[#This Row],[Delta Jour]],"")</f>
        <v/>
      </c>
      <c r="H125" s="42"/>
      <c r="I125" s="42"/>
      <c r="J125" s="42"/>
      <c r="K125" s="42"/>
      <c r="L125" s="42"/>
    </row>
    <row r="126" spans="1:12" x14ac:dyDescent="0.25">
      <c r="A126" s="3">
        <f t="shared" si="4"/>
        <v>1</v>
      </c>
      <c r="B126" s="3">
        <f>EDATE($B$3,Site!$I$37*(ROW(Tab_Compteur_5[[#This Row],[Début de période]])-3))</f>
        <v>0</v>
      </c>
      <c r="C126" s="185"/>
      <c r="E126">
        <f t="shared" si="3"/>
        <v>0</v>
      </c>
      <c r="F126" t="str">
        <f>IFERROR(Tab_Compteur_5[[#This Row],[Quantité]]/Tab_Compteur_5[[#This Row],[Delta Jour]],"")</f>
        <v/>
      </c>
      <c r="G126" t="str">
        <f>IFERROR(Tab_Compteur_5[[#This Row],[Montant TTC]]/Tab_Compteur_5[[#This Row],[Delta Jour]],"")</f>
        <v/>
      </c>
      <c r="H126" s="42"/>
      <c r="I126" s="42"/>
      <c r="J126" s="42"/>
      <c r="K126" s="42"/>
      <c r="L126" s="42"/>
    </row>
    <row r="127" spans="1:12" x14ac:dyDescent="0.25">
      <c r="A127" s="3">
        <f t="shared" si="4"/>
        <v>1</v>
      </c>
      <c r="B127" s="3">
        <f>EDATE($B$3,Site!$I$37*(ROW(Tab_Compteur_5[[#This Row],[Début de période]])-3))</f>
        <v>0</v>
      </c>
      <c r="C127" s="185"/>
      <c r="E127">
        <f t="shared" si="3"/>
        <v>0</v>
      </c>
      <c r="F127" t="str">
        <f>IFERROR(Tab_Compteur_5[[#This Row],[Quantité]]/Tab_Compteur_5[[#This Row],[Delta Jour]],"")</f>
        <v/>
      </c>
      <c r="G127" t="str">
        <f>IFERROR(Tab_Compteur_5[[#This Row],[Montant TTC]]/Tab_Compteur_5[[#This Row],[Delta Jour]],"")</f>
        <v/>
      </c>
      <c r="H127" s="42"/>
      <c r="I127" s="42"/>
      <c r="J127" s="42"/>
      <c r="K127" s="42"/>
      <c r="L127" s="42"/>
    </row>
    <row r="128" spans="1:12" x14ac:dyDescent="0.25">
      <c r="A128" s="3">
        <f t="shared" si="4"/>
        <v>1</v>
      </c>
      <c r="B128" s="3">
        <f>EDATE($B$3,Site!$I$37*(ROW(Tab_Compteur_5[[#This Row],[Début de période]])-3))</f>
        <v>0</v>
      </c>
      <c r="C128" s="185"/>
      <c r="E128">
        <f t="shared" si="3"/>
        <v>0</v>
      </c>
      <c r="F128" t="str">
        <f>IFERROR(Tab_Compteur_5[[#This Row],[Quantité]]/Tab_Compteur_5[[#This Row],[Delta Jour]],"")</f>
        <v/>
      </c>
      <c r="G128" t="str">
        <f>IFERROR(Tab_Compteur_5[[#This Row],[Montant TTC]]/Tab_Compteur_5[[#This Row],[Delta Jour]],"")</f>
        <v/>
      </c>
      <c r="H128" s="42"/>
      <c r="I128" s="42"/>
      <c r="J128" s="42"/>
      <c r="K128" s="42"/>
      <c r="L128" s="42"/>
    </row>
    <row r="129" spans="1:12" x14ac:dyDescent="0.25">
      <c r="A129" s="3">
        <f t="shared" si="4"/>
        <v>1</v>
      </c>
      <c r="B129" s="3">
        <f>EDATE($B$3,Site!$I$37*(ROW(Tab_Compteur_5[[#This Row],[Début de période]])-3))</f>
        <v>0</v>
      </c>
      <c r="C129" s="185"/>
      <c r="E129">
        <f t="shared" si="3"/>
        <v>0</v>
      </c>
      <c r="F129" t="str">
        <f>IFERROR(Tab_Compteur_5[[#This Row],[Quantité]]/Tab_Compteur_5[[#This Row],[Delta Jour]],"")</f>
        <v/>
      </c>
      <c r="G129" t="str">
        <f>IFERROR(Tab_Compteur_5[[#This Row],[Montant TTC]]/Tab_Compteur_5[[#This Row],[Delta Jour]],"")</f>
        <v/>
      </c>
      <c r="H129" s="42"/>
      <c r="I129" s="42"/>
      <c r="J129" s="42"/>
      <c r="K129" s="42"/>
      <c r="L129" s="42"/>
    </row>
    <row r="130" spans="1:12" x14ac:dyDescent="0.25">
      <c r="A130" s="3">
        <f t="shared" si="4"/>
        <v>1</v>
      </c>
      <c r="B130" s="3">
        <f>EDATE($B$3,Site!$I$37*(ROW(Tab_Compteur_5[[#This Row],[Début de période]])-3))</f>
        <v>0</v>
      </c>
      <c r="C130" s="185"/>
      <c r="E130">
        <f t="shared" ref="E130:E193" si="5">IFERROR(B130-A130+1,"")</f>
        <v>0</v>
      </c>
      <c r="F130" t="str">
        <f>IFERROR(Tab_Compteur_5[[#This Row],[Quantité]]/Tab_Compteur_5[[#This Row],[Delta Jour]],"")</f>
        <v/>
      </c>
      <c r="G130" t="str">
        <f>IFERROR(Tab_Compteur_5[[#This Row],[Montant TTC]]/Tab_Compteur_5[[#This Row],[Delta Jour]],"")</f>
        <v/>
      </c>
      <c r="H130" s="42"/>
      <c r="I130" s="42"/>
      <c r="J130" s="42"/>
      <c r="K130" s="42"/>
      <c r="L130" s="42"/>
    </row>
    <row r="131" spans="1:12" x14ac:dyDescent="0.25">
      <c r="A131" s="3">
        <f t="shared" si="4"/>
        <v>1</v>
      </c>
      <c r="B131" s="3">
        <f>EDATE($B$3,Site!$I$37*(ROW(Tab_Compteur_5[[#This Row],[Début de période]])-3))</f>
        <v>0</v>
      </c>
      <c r="C131" s="185"/>
      <c r="E131">
        <f t="shared" si="5"/>
        <v>0</v>
      </c>
      <c r="F131" t="str">
        <f>IFERROR(Tab_Compteur_5[[#This Row],[Quantité]]/Tab_Compteur_5[[#This Row],[Delta Jour]],"")</f>
        <v/>
      </c>
      <c r="G131" t="str">
        <f>IFERROR(Tab_Compteur_5[[#This Row],[Montant TTC]]/Tab_Compteur_5[[#This Row],[Delta Jour]],"")</f>
        <v/>
      </c>
      <c r="H131" s="42"/>
      <c r="I131" s="42"/>
      <c r="J131" s="42"/>
      <c r="K131" s="42"/>
      <c r="L131" s="42"/>
    </row>
    <row r="132" spans="1:12" x14ac:dyDescent="0.25">
      <c r="A132" s="3">
        <f t="shared" si="4"/>
        <v>1</v>
      </c>
      <c r="B132" s="3">
        <f>EDATE($B$3,Site!$I$37*(ROW(Tab_Compteur_5[[#This Row],[Début de période]])-3))</f>
        <v>0</v>
      </c>
      <c r="C132" s="185"/>
      <c r="E132">
        <f t="shared" si="5"/>
        <v>0</v>
      </c>
      <c r="F132" t="str">
        <f>IFERROR(Tab_Compteur_5[[#This Row],[Quantité]]/Tab_Compteur_5[[#This Row],[Delta Jour]],"")</f>
        <v/>
      </c>
      <c r="G132" t="str">
        <f>IFERROR(Tab_Compteur_5[[#This Row],[Montant TTC]]/Tab_Compteur_5[[#This Row],[Delta Jour]],"")</f>
        <v/>
      </c>
      <c r="H132" s="42"/>
      <c r="I132" s="42"/>
      <c r="J132" s="42"/>
      <c r="K132" s="42"/>
      <c r="L132" s="42"/>
    </row>
    <row r="133" spans="1:12" x14ac:dyDescent="0.25">
      <c r="A133" s="3">
        <f t="shared" ref="A133:A142" si="6">B132+1</f>
        <v>1</v>
      </c>
      <c r="B133" s="3">
        <f>EDATE($B$3,Site!$I$37*(ROW(Tab_Compteur_5[[#This Row],[Début de période]])-3))</f>
        <v>0</v>
      </c>
      <c r="C133" s="185"/>
      <c r="E133">
        <f t="shared" si="5"/>
        <v>0</v>
      </c>
      <c r="F133" t="str">
        <f>IFERROR(Tab_Compteur_5[[#This Row],[Quantité]]/Tab_Compteur_5[[#This Row],[Delta Jour]],"")</f>
        <v/>
      </c>
      <c r="G133" t="str">
        <f>IFERROR(Tab_Compteur_5[[#This Row],[Montant TTC]]/Tab_Compteur_5[[#This Row],[Delta Jour]],"")</f>
        <v/>
      </c>
      <c r="H133" s="42"/>
      <c r="I133" s="42"/>
      <c r="J133" s="42"/>
      <c r="K133" s="42"/>
      <c r="L133" s="42"/>
    </row>
    <row r="134" spans="1:12" x14ac:dyDescent="0.25">
      <c r="A134" s="3">
        <f t="shared" si="6"/>
        <v>1</v>
      </c>
      <c r="B134" s="3">
        <f>EDATE($B$3,Site!$I$37*(ROW(Tab_Compteur_5[[#This Row],[Début de période]])-3))</f>
        <v>0</v>
      </c>
      <c r="C134" s="185"/>
      <c r="E134">
        <f t="shared" si="5"/>
        <v>0</v>
      </c>
      <c r="F134" t="str">
        <f>IFERROR(Tab_Compteur_5[[#This Row],[Quantité]]/Tab_Compteur_5[[#This Row],[Delta Jour]],"")</f>
        <v/>
      </c>
      <c r="G134" t="str">
        <f>IFERROR(Tab_Compteur_5[[#This Row],[Montant TTC]]/Tab_Compteur_5[[#This Row],[Delta Jour]],"")</f>
        <v/>
      </c>
      <c r="H134" s="42"/>
      <c r="I134" s="42"/>
      <c r="J134" s="42"/>
      <c r="K134" s="42"/>
      <c r="L134" s="42"/>
    </row>
    <row r="135" spans="1:12" x14ac:dyDescent="0.25">
      <c r="A135" s="3">
        <f t="shared" si="6"/>
        <v>1</v>
      </c>
      <c r="B135" s="3">
        <f>EDATE($B$3,Site!$I$37*(ROW(Tab_Compteur_5[[#This Row],[Début de période]])-3))</f>
        <v>0</v>
      </c>
      <c r="C135" s="185"/>
      <c r="E135">
        <f t="shared" si="5"/>
        <v>0</v>
      </c>
      <c r="F135" t="str">
        <f>IFERROR(Tab_Compteur_5[[#This Row],[Quantité]]/Tab_Compteur_5[[#This Row],[Delta Jour]],"")</f>
        <v/>
      </c>
      <c r="G135" t="str">
        <f>IFERROR(Tab_Compteur_5[[#This Row],[Montant TTC]]/Tab_Compteur_5[[#This Row],[Delta Jour]],"")</f>
        <v/>
      </c>
      <c r="H135" s="42"/>
      <c r="I135" s="42"/>
      <c r="J135" s="42"/>
      <c r="K135" s="42"/>
      <c r="L135" s="42"/>
    </row>
    <row r="136" spans="1:12" x14ac:dyDescent="0.25">
      <c r="A136" s="3">
        <f t="shared" si="6"/>
        <v>1</v>
      </c>
      <c r="B136" s="3">
        <f>EDATE($B$3,Site!$I$37*(ROW(Tab_Compteur_5[[#This Row],[Début de période]])-3))</f>
        <v>0</v>
      </c>
      <c r="C136" s="185"/>
      <c r="E136">
        <f t="shared" si="5"/>
        <v>0</v>
      </c>
      <c r="F136" t="str">
        <f>IFERROR(Tab_Compteur_5[[#This Row],[Quantité]]/Tab_Compteur_5[[#This Row],[Delta Jour]],"")</f>
        <v/>
      </c>
      <c r="G136" t="str">
        <f>IFERROR(Tab_Compteur_5[[#This Row],[Montant TTC]]/Tab_Compteur_5[[#This Row],[Delta Jour]],"")</f>
        <v/>
      </c>
      <c r="H136" s="42"/>
      <c r="I136" s="42"/>
      <c r="J136" s="42"/>
      <c r="K136" s="42"/>
      <c r="L136" s="42"/>
    </row>
    <row r="137" spans="1:12" x14ac:dyDescent="0.25">
      <c r="A137" s="3">
        <f t="shared" si="6"/>
        <v>1</v>
      </c>
      <c r="B137" s="3">
        <f>EDATE($B$3,Site!$I$37*(ROW(Tab_Compteur_5[[#This Row],[Début de période]])-3))</f>
        <v>0</v>
      </c>
      <c r="C137" s="185"/>
      <c r="E137">
        <f t="shared" si="5"/>
        <v>0</v>
      </c>
      <c r="F137" t="str">
        <f>IFERROR(Tab_Compteur_5[[#This Row],[Quantité]]/Tab_Compteur_5[[#This Row],[Delta Jour]],"")</f>
        <v/>
      </c>
      <c r="G137" t="str">
        <f>IFERROR(Tab_Compteur_5[[#This Row],[Montant TTC]]/Tab_Compteur_5[[#This Row],[Delta Jour]],"")</f>
        <v/>
      </c>
      <c r="H137" s="42"/>
      <c r="I137" s="42"/>
      <c r="J137" s="42"/>
      <c r="K137" s="42"/>
      <c r="L137" s="42"/>
    </row>
    <row r="138" spans="1:12" x14ac:dyDescent="0.25">
      <c r="A138" s="3">
        <f t="shared" si="6"/>
        <v>1</v>
      </c>
      <c r="B138" s="3">
        <f>EDATE($B$3,Site!$I$37*(ROW(Tab_Compteur_5[[#This Row],[Début de période]])-3))</f>
        <v>0</v>
      </c>
      <c r="C138" s="185"/>
      <c r="E138">
        <f t="shared" si="5"/>
        <v>0</v>
      </c>
      <c r="F138" t="str">
        <f>IFERROR(Tab_Compteur_5[[#This Row],[Quantité]]/Tab_Compteur_5[[#This Row],[Delta Jour]],"")</f>
        <v/>
      </c>
      <c r="G138" t="str">
        <f>IFERROR(Tab_Compteur_5[[#This Row],[Montant TTC]]/Tab_Compteur_5[[#This Row],[Delta Jour]],"")</f>
        <v/>
      </c>
      <c r="H138" s="42"/>
      <c r="I138" s="42"/>
      <c r="J138" s="42"/>
      <c r="K138" s="42"/>
      <c r="L138" s="42"/>
    </row>
    <row r="139" spans="1:12" x14ac:dyDescent="0.25">
      <c r="A139" s="3">
        <f t="shared" si="6"/>
        <v>1</v>
      </c>
      <c r="B139" s="3">
        <f>EDATE($B$3,Site!$I$37*(ROW(Tab_Compteur_5[[#This Row],[Début de période]])-3))</f>
        <v>0</v>
      </c>
      <c r="C139" s="185"/>
      <c r="E139">
        <f t="shared" si="5"/>
        <v>0</v>
      </c>
      <c r="F139" t="str">
        <f>IFERROR(Tab_Compteur_5[[#This Row],[Quantité]]/Tab_Compteur_5[[#This Row],[Delta Jour]],"")</f>
        <v/>
      </c>
      <c r="G139" t="str">
        <f>IFERROR(Tab_Compteur_5[[#This Row],[Montant TTC]]/Tab_Compteur_5[[#This Row],[Delta Jour]],"")</f>
        <v/>
      </c>
      <c r="H139" s="42"/>
      <c r="I139" s="42"/>
      <c r="J139" s="42"/>
      <c r="K139" s="42"/>
      <c r="L139" s="42"/>
    </row>
    <row r="140" spans="1:12" x14ac:dyDescent="0.25">
      <c r="A140" s="3">
        <f t="shared" si="6"/>
        <v>1</v>
      </c>
      <c r="B140" s="3">
        <f>EDATE($B$3,Site!$I$37*(ROW(Tab_Compteur_5[[#This Row],[Début de période]])-3))</f>
        <v>0</v>
      </c>
      <c r="C140" s="185"/>
      <c r="E140">
        <f t="shared" si="5"/>
        <v>0</v>
      </c>
      <c r="F140" t="str">
        <f>IFERROR(Tab_Compteur_5[[#This Row],[Quantité]]/Tab_Compteur_5[[#This Row],[Delta Jour]],"")</f>
        <v/>
      </c>
      <c r="G140" t="str">
        <f>IFERROR(Tab_Compteur_5[[#This Row],[Montant TTC]]/Tab_Compteur_5[[#This Row],[Delta Jour]],"")</f>
        <v/>
      </c>
      <c r="H140" s="42"/>
      <c r="I140" s="42"/>
      <c r="J140" s="42"/>
      <c r="K140" s="42"/>
      <c r="L140" s="42"/>
    </row>
    <row r="141" spans="1:12" x14ac:dyDescent="0.25">
      <c r="A141" s="3">
        <f t="shared" si="6"/>
        <v>1</v>
      </c>
      <c r="B141" s="3">
        <f>EDATE($B$3,Site!$I$37*(ROW(Tab_Compteur_5[[#This Row],[Début de période]])-3))</f>
        <v>0</v>
      </c>
      <c r="C141" s="185"/>
      <c r="E141">
        <f t="shared" si="5"/>
        <v>0</v>
      </c>
      <c r="F141" t="str">
        <f>IFERROR(Tab_Compteur_5[[#This Row],[Quantité]]/Tab_Compteur_5[[#This Row],[Delta Jour]],"")</f>
        <v/>
      </c>
      <c r="G141" t="str">
        <f>IFERROR(Tab_Compteur_5[[#This Row],[Montant TTC]]/Tab_Compteur_5[[#This Row],[Delta Jour]],"")</f>
        <v/>
      </c>
      <c r="H141" s="42"/>
      <c r="I141" s="42"/>
      <c r="J141" s="42"/>
      <c r="K141" s="42"/>
      <c r="L141" s="42"/>
    </row>
    <row r="142" spans="1:12" x14ac:dyDescent="0.25">
      <c r="A142" s="3">
        <f t="shared" si="6"/>
        <v>1</v>
      </c>
      <c r="B142" s="3">
        <f>EDATE($B$3,Site!$I$37*(ROW(Tab_Compteur_5[[#This Row],[Début de période]])-3))</f>
        <v>0</v>
      </c>
      <c r="C142" s="185"/>
      <c r="E142">
        <f t="shared" si="5"/>
        <v>0</v>
      </c>
      <c r="F142" t="str">
        <f>IFERROR(Tab_Compteur_5[[#This Row],[Quantité]]/Tab_Compteur_5[[#This Row],[Delta Jour]],"")</f>
        <v/>
      </c>
      <c r="G142" t="str">
        <f>IFERROR(Tab_Compteur_5[[#This Row],[Montant TTC]]/Tab_Compteur_5[[#This Row],[Delta Jour]],"")</f>
        <v/>
      </c>
      <c r="H142" s="42"/>
      <c r="I142" s="42"/>
      <c r="J142" s="42"/>
      <c r="K142" s="42"/>
      <c r="L142" s="42"/>
    </row>
    <row r="143" spans="1:12" x14ac:dyDescent="0.25">
      <c r="A143" s="3"/>
      <c r="B143" s="3"/>
      <c r="C143" s="185"/>
      <c r="E143">
        <f t="shared" si="5"/>
        <v>1</v>
      </c>
      <c r="F143">
        <f>IFERROR(Tab_Compteur_5[[#This Row],[Quantité]]/Tab_Compteur_5[[#This Row],[Delta Jour]],"")</f>
        <v>0</v>
      </c>
      <c r="G143">
        <f>IFERROR(Tab_Compteur_5[[#This Row],[Montant TTC]]/Tab_Compteur_5[[#This Row],[Delta Jour]],"")</f>
        <v>0</v>
      </c>
      <c r="H143" s="42"/>
      <c r="I143" s="42"/>
      <c r="J143" s="42"/>
      <c r="K143" s="42"/>
      <c r="L143" s="42"/>
    </row>
    <row r="144" spans="1:12" x14ac:dyDescent="0.25">
      <c r="A144" s="3"/>
      <c r="B144" s="3"/>
      <c r="C144" s="185"/>
      <c r="E144">
        <f t="shared" si="5"/>
        <v>1</v>
      </c>
      <c r="F144">
        <f>IFERROR(Tab_Compteur_5[[#This Row],[Quantité]]/Tab_Compteur_5[[#This Row],[Delta Jour]],"")</f>
        <v>0</v>
      </c>
      <c r="G144">
        <f>IFERROR(Tab_Compteur_5[[#This Row],[Montant TTC]]/Tab_Compteur_5[[#This Row],[Delta Jour]],"")</f>
        <v>0</v>
      </c>
      <c r="H144" s="42"/>
      <c r="I144" s="42"/>
      <c r="J144" s="42"/>
      <c r="K144" s="42"/>
      <c r="L144" s="42"/>
    </row>
    <row r="145" spans="1:12" x14ac:dyDescent="0.25">
      <c r="A145" s="3"/>
      <c r="B145" s="3"/>
      <c r="C145" s="185"/>
      <c r="E145">
        <f t="shared" si="5"/>
        <v>1</v>
      </c>
      <c r="F145">
        <f>IFERROR(Tab_Compteur_5[[#This Row],[Quantité]]/Tab_Compteur_5[[#This Row],[Delta Jour]],"")</f>
        <v>0</v>
      </c>
      <c r="G145">
        <f>IFERROR(Tab_Compteur_5[[#This Row],[Montant TTC]]/Tab_Compteur_5[[#This Row],[Delta Jour]],"")</f>
        <v>0</v>
      </c>
      <c r="H145" s="42"/>
      <c r="I145" s="42"/>
      <c r="J145" s="42"/>
      <c r="K145" s="42"/>
      <c r="L145" s="42"/>
    </row>
    <row r="146" spans="1:12" x14ac:dyDescent="0.25">
      <c r="A146" s="3"/>
      <c r="B146" s="3"/>
      <c r="C146" s="185"/>
      <c r="E146">
        <f t="shared" si="5"/>
        <v>1</v>
      </c>
      <c r="F146">
        <f>IFERROR(Tab_Compteur_5[[#This Row],[Quantité]]/Tab_Compteur_5[[#This Row],[Delta Jour]],"")</f>
        <v>0</v>
      </c>
      <c r="G146">
        <f>IFERROR(Tab_Compteur_5[[#This Row],[Montant TTC]]/Tab_Compteur_5[[#This Row],[Delta Jour]],"")</f>
        <v>0</v>
      </c>
      <c r="H146" s="42"/>
      <c r="I146" s="42"/>
      <c r="J146" s="42"/>
      <c r="K146" s="42"/>
      <c r="L146" s="42"/>
    </row>
    <row r="147" spans="1:12" x14ac:dyDescent="0.25">
      <c r="A147" s="3"/>
      <c r="B147" s="3"/>
      <c r="C147" s="185"/>
      <c r="E147">
        <f t="shared" si="5"/>
        <v>1</v>
      </c>
      <c r="F147">
        <f>IFERROR(Tab_Compteur_5[[#This Row],[Quantité]]/Tab_Compteur_5[[#This Row],[Delta Jour]],"")</f>
        <v>0</v>
      </c>
      <c r="G147">
        <f>IFERROR(Tab_Compteur_5[[#This Row],[Montant TTC]]/Tab_Compteur_5[[#This Row],[Delta Jour]],"")</f>
        <v>0</v>
      </c>
      <c r="H147" s="42"/>
      <c r="I147" s="42"/>
      <c r="J147" s="42"/>
      <c r="K147" s="42"/>
      <c r="L147" s="42"/>
    </row>
    <row r="148" spans="1:12" x14ac:dyDescent="0.25">
      <c r="A148" s="3"/>
      <c r="B148" s="3"/>
      <c r="C148" s="185"/>
      <c r="E148">
        <f t="shared" si="5"/>
        <v>1</v>
      </c>
      <c r="F148">
        <f>IFERROR(Tab_Compteur_5[[#This Row],[Quantité]]/Tab_Compteur_5[[#This Row],[Delta Jour]],"")</f>
        <v>0</v>
      </c>
      <c r="G148">
        <f>IFERROR(Tab_Compteur_5[[#This Row],[Montant TTC]]/Tab_Compteur_5[[#This Row],[Delta Jour]],"")</f>
        <v>0</v>
      </c>
      <c r="H148" s="42"/>
      <c r="I148" s="42"/>
      <c r="J148" s="42"/>
      <c r="K148" s="42"/>
      <c r="L148" s="42"/>
    </row>
    <row r="149" spans="1:12" x14ac:dyDescent="0.25">
      <c r="A149" s="3"/>
      <c r="B149" s="3"/>
      <c r="C149" s="185"/>
      <c r="E149">
        <f t="shared" si="5"/>
        <v>1</v>
      </c>
      <c r="F149">
        <f>IFERROR(Tab_Compteur_5[[#This Row],[Quantité]]/Tab_Compteur_5[[#This Row],[Delta Jour]],"")</f>
        <v>0</v>
      </c>
      <c r="G149">
        <f>IFERROR(Tab_Compteur_5[[#This Row],[Montant TTC]]/Tab_Compteur_5[[#This Row],[Delta Jour]],"")</f>
        <v>0</v>
      </c>
      <c r="H149" s="42"/>
      <c r="I149" s="42"/>
      <c r="J149" s="42"/>
      <c r="K149" s="42"/>
      <c r="L149" s="42"/>
    </row>
    <row r="150" spans="1:12" x14ac:dyDescent="0.25">
      <c r="A150" s="3"/>
      <c r="B150" s="3"/>
      <c r="C150" s="185"/>
      <c r="E150">
        <f t="shared" si="5"/>
        <v>1</v>
      </c>
      <c r="F150">
        <f>IFERROR(Tab_Compteur_5[[#This Row],[Quantité]]/Tab_Compteur_5[[#This Row],[Delta Jour]],"")</f>
        <v>0</v>
      </c>
      <c r="G150">
        <f>IFERROR(Tab_Compteur_5[[#This Row],[Montant TTC]]/Tab_Compteur_5[[#This Row],[Delta Jour]],"")</f>
        <v>0</v>
      </c>
      <c r="H150" s="42"/>
      <c r="I150" s="42"/>
      <c r="J150" s="42"/>
      <c r="K150" s="42"/>
      <c r="L150" s="42"/>
    </row>
    <row r="151" spans="1:12" x14ac:dyDescent="0.25">
      <c r="A151" s="3"/>
      <c r="B151" s="3"/>
      <c r="C151" s="185"/>
      <c r="E151">
        <f t="shared" si="5"/>
        <v>1</v>
      </c>
      <c r="F151">
        <f>IFERROR(Tab_Compteur_5[[#This Row],[Quantité]]/Tab_Compteur_5[[#This Row],[Delta Jour]],"")</f>
        <v>0</v>
      </c>
      <c r="G151">
        <f>IFERROR(Tab_Compteur_5[[#This Row],[Montant TTC]]/Tab_Compteur_5[[#This Row],[Delta Jour]],"")</f>
        <v>0</v>
      </c>
      <c r="H151" s="42"/>
      <c r="I151" s="42"/>
      <c r="J151" s="42"/>
      <c r="K151" s="42"/>
      <c r="L151" s="42"/>
    </row>
    <row r="152" spans="1:12" x14ac:dyDescent="0.25">
      <c r="A152" s="3"/>
      <c r="B152" s="3"/>
      <c r="C152" s="185"/>
      <c r="E152">
        <f t="shared" si="5"/>
        <v>1</v>
      </c>
      <c r="F152">
        <f>IFERROR(Tab_Compteur_5[[#This Row],[Quantité]]/Tab_Compteur_5[[#This Row],[Delta Jour]],"")</f>
        <v>0</v>
      </c>
      <c r="G152">
        <f>IFERROR(Tab_Compteur_5[[#This Row],[Montant TTC]]/Tab_Compteur_5[[#This Row],[Delta Jour]],"")</f>
        <v>0</v>
      </c>
      <c r="H152" s="42"/>
      <c r="I152" s="42"/>
      <c r="J152" s="42"/>
      <c r="K152" s="42"/>
      <c r="L152" s="42"/>
    </row>
    <row r="153" spans="1:12" x14ac:dyDescent="0.25">
      <c r="A153" s="3"/>
      <c r="B153" s="3"/>
      <c r="C153" s="185"/>
      <c r="E153">
        <f t="shared" si="5"/>
        <v>1</v>
      </c>
      <c r="F153">
        <f>IFERROR(Tab_Compteur_5[[#This Row],[Quantité]]/Tab_Compteur_5[[#This Row],[Delta Jour]],"")</f>
        <v>0</v>
      </c>
      <c r="G153">
        <f>IFERROR(Tab_Compteur_5[[#This Row],[Montant TTC]]/Tab_Compteur_5[[#This Row],[Delta Jour]],"")</f>
        <v>0</v>
      </c>
      <c r="H153" s="42"/>
      <c r="I153" s="42"/>
      <c r="J153" s="42"/>
      <c r="K153" s="42"/>
      <c r="L153" s="42"/>
    </row>
    <row r="154" spans="1:12" x14ac:dyDescent="0.25">
      <c r="A154" s="3"/>
      <c r="B154" s="3"/>
      <c r="C154" s="185"/>
      <c r="E154">
        <f t="shared" si="5"/>
        <v>1</v>
      </c>
      <c r="F154">
        <f>IFERROR(Tab_Compteur_5[[#This Row],[Quantité]]/Tab_Compteur_5[[#This Row],[Delta Jour]],"")</f>
        <v>0</v>
      </c>
      <c r="G154">
        <f>IFERROR(Tab_Compteur_5[[#This Row],[Montant TTC]]/Tab_Compteur_5[[#This Row],[Delta Jour]],"")</f>
        <v>0</v>
      </c>
      <c r="H154" s="42"/>
      <c r="I154" s="42"/>
      <c r="J154" s="42"/>
      <c r="K154" s="42"/>
      <c r="L154" s="42"/>
    </row>
    <row r="155" spans="1:12" x14ac:dyDescent="0.25">
      <c r="A155" s="3"/>
      <c r="B155" s="3"/>
      <c r="C155" s="185"/>
      <c r="E155">
        <f t="shared" si="5"/>
        <v>1</v>
      </c>
      <c r="F155">
        <f>IFERROR(Tab_Compteur_5[[#This Row],[Quantité]]/Tab_Compteur_5[[#This Row],[Delta Jour]],"")</f>
        <v>0</v>
      </c>
      <c r="G155">
        <f>IFERROR(Tab_Compteur_5[[#This Row],[Montant TTC]]/Tab_Compteur_5[[#This Row],[Delta Jour]],"")</f>
        <v>0</v>
      </c>
      <c r="H155" s="42"/>
      <c r="I155" s="42"/>
      <c r="J155" s="42"/>
      <c r="K155" s="42"/>
      <c r="L155" s="42"/>
    </row>
    <row r="156" spans="1:12" x14ac:dyDescent="0.25">
      <c r="A156" s="3"/>
      <c r="B156" s="3"/>
      <c r="C156" s="185"/>
      <c r="E156">
        <f t="shared" si="5"/>
        <v>1</v>
      </c>
      <c r="F156">
        <f>IFERROR(Tab_Compteur_5[[#This Row],[Quantité]]/Tab_Compteur_5[[#This Row],[Delta Jour]],"")</f>
        <v>0</v>
      </c>
      <c r="G156">
        <f>IFERROR(Tab_Compteur_5[[#This Row],[Montant TTC]]/Tab_Compteur_5[[#This Row],[Delta Jour]],"")</f>
        <v>0</v>
      </c>
      <c r="H156" s="42"/>
      <c r="I156" s="42"/>
      <c r="J156" s="42"/>
      <c r="K156" s="42"/>
      <c r="L156" s="42"/>
    </row>
    <row r="157" spans="1:12" x14ac:dyDescent="0.25">
      <c r="A157" s="3"/>
      <c r="B157" s="3"/>
      <c r="C157" s="185"/>
      <c r="E157">
        <f t="shared" si="5"/>
        <v>1</v>
      </c>
      <c r="F157">
        <f>IFERROR(Tab_Compteur_5[[#This Row],[Quantité]]/Tab_Compteur_5[[#This Row],[Delta Jour]],"")</f>
        <v>0</v>
      </c>
      <c r="G157">
        <f>IFERROR(Tab_Compteur_5[[#This Row],[Montant TTC]]/Tab_Compteur_5[[#This Row],[Delta Jour]],"")</f>
        <v>0</v>
      </c>
      <c r="H157" s="42"/>
      <c r="I157" s="42"/>
      <c r="J157" s="42"/>
      <c r="K157" s="42"/>
      <c r="L157" s="42"/>
    </row>
    <row r="158" spans="1:12" x14ac:dyDescent="0.25">
      <c r="A158" s="3"/>
      <c r="B158" s="3"/>
      <c r="C158" s="185"/>
      <c r="E158">
        <f t="shared" si="5"/>
        <v>1</v>
      </c>
      <c r="F158">
        <f>IFERROR(Tab_Compteur_5[[#This Row],[Quantité]]/Tab_Compteur_5[[#This Row],[Delta Jour]],"")</f>
        <v>0</v>
      </c>
      <c r="G158">
        <f>IFERROR(Tab_Compteur_5[[#This Row],[Montant TTC]]/Tab_Compteur_5[[#This Row],[Delta Jour]],"")</f>
        <v>0</v>
      </c>
      <c r="H158" s="42"/>
      <c r="I158" s="42"/>
      <c r="J158" s="42"/>
      <c r="K158" s="42"/>
      <c r="L158" s="42"/>
    </row>
    <row r="159" spans="1:12" x14ac:dyDescent="0.25">
      <c r="A159" s="3"/>
      <c r="B159" s="3"/>
      <c r="C159" s="185"/>
      <c r="E159">
        <f t="shared" si="5"/>
        <v>1</v>
      </c>
      <c r="F159">
        <f>IFERROR(Tab_Compteur_5[[#This Row],[Quantité]]/Tab_Compteur_5[[#This Row],[Delta Jour]],"")</f>
        <v>0</v>
      </c>
      <c r="G159">
        <f>IFERROR(Tab_Compteur_5[[#This Row],[Montant TTC]]/Tab_Compteur_5[[#This Row],[Delta Jour]],"")</f>
        <v>0</v>
      </c>
      <c r="H159" s="42"/>
      <c r="I159" s="42"/>
      <c r="J159" s="42"/>
      <c r="K159" s="42"/>
      <c r="L159" s="42"/>
    </row>
    <row r="160" spans="1:12" x14ac:dyDescent="0.25">
      <c r="A160" s="3"/>
      <c r="B160" s="3"/>
      <c r="C160" s="185"/>
      <c r="E160">
        <f t="shared" si="5"/>
        <v>1</v>
      </c>
      <c r="F160">
        <f>IFERROR(Tab_Compteur_5[[#This Row],[Quantité]]/Tab_Compteur_5[[#This Row],[Delta Jour]],"")</f>
        <v>0</v>
      </c>
      <c r="G160">
        <f>IFERROR(Tab_Compteur_5[[#This Row],[Montant TTC]]/Tab_Compteur_5[[#This Row],[Delta Jour]],"")</f>
        <v>0</v>
      </c>
      <c r="H160" s="42"/>
      <c r="I160" s="42"/>
      <c r="J160" s="42"/>
      <c r="K160" s="42"/>
      <c r="L160" s="42"/>
    </row>
    <row r="161" spans="1:12" x14ac:dyDescent="0.25">
      <c r="A161" s="3"/>
      <c r="B161" s="3"/>
      <c r="C161" s="185"/>
      <c r="E161">
        <f t="shared" si="5"/>
        <v>1</v>
      </c>
      <c r="F161">
        <f>IFERROR(Tab_Compteur_5[[#This Row],[Quantité]]/Tab_Compteur_5[[#This Row],[Delta Jour]],"")</f>
        <v>0</v>
      </c>
      <c r="G161">
        <f>IFERROR(Tab_Compteur_5[[#This Row],[Montant TTC]]/Tab_Compteur_5[[#This Row],[Delta Jour]],"")</f>
        <v>0</v>
      </c>
      <c r="H161" s="42"/>
      <c r="I161" s="42"/>
      <c r="J161" s="42"/>
      <c r="K161" s="42"/>
      <c r="L161" s="42"/>
    </row>
    <row r="162" spans="1:12" x14ac:dyDescent="0.25">
      <c r="A162" s="3"/>
      <c r="B162" s="3"/>
      <c r="C162" s="185"/>
      <c r="E162">
        <f t="shared" si="5"/>
        <v>1</v>
      </c>
      <c r="F162">
        <f>IFERROR(Tab_Compteur_5[[#This Row],[Quantité]]/Tab_Compteur_5[[#This Row],[Delta Jour]],"")</f>
        <v>0</v>
      </c>
      <c r="G162">
        <f>IFERROR(Tab_Compteur_5[[#This Row],[Montant TTC]]/Tab_Compteur_5[[#This Row],[Delta Jour]],"")</f>
        <v>0</v>
      </c>
      <c r="H162" s="42"/>
      <c r="I162" s="42"/>
      <c r="J162" s="42"/>
      <c r="K162" s="42"/>
      <c r="L162" s="42"/>
    </row>
    <row r="163" spans="1:12" x14ac:dyDescent="0.25">
      <c r="A163" s="3"/>
      <c r="B163" s="3"/>
      <c r="C163" s="185"/>
      <c r="E163">
        <f t="shared" si="5"/>
        <v>1</v>
      </c>
      <c r="F163">
        <f>IFERROR(Tab_Compteur_5[[#This Row],[Quantité]]/Tab_Compteur_5[[#This Row],[Delta Jour]],"")</f>
        <v>0</v>
      </c>
      <c r="G163">
        <f>IFERROR(Tab_Compteur_5[[#This Row],[Montant TTC]]/Tab_Compteur_5[[#This Row],[Delta Jour]],"")</f>
        <v>0</v>
      </c>
      <c r="H163" s="42"/>
      <c r="I163" s="42"/>
      <c r="J163" s="42"/>
      <c r="K163" s="42"/>
      <c r="L163" s="42"/>
    </row>
    <row r="164" spans="1:12" x14ac:dyDescent="0.25">
      <c r="A164" s="3"/>
      <c r="B164" s="3"/>
      <c r="C164" s="185"/>
      <c r="E164">
        <f t="shared" si="5"/>
        <v>1</v>
      </c>
      <c r="F164">
        <f>IFERROR(Tab_Compteur_5[[#This Row],[Quantité]]/Tab_Compteur_5[[#This Row],[Delta Jour]],"")</f>
        <v>0</v>
      </c>
      <c r="G164">
        <f>IFERROR(Tab_Compteur_5[[#This Row],[Montant TTC]]/Tab_Compteur_5[[#This Row],[Delta Jour]],"")</f>
        <v>0</v>
      </c>
      <c r="H164" s="42"/>
      <c r="I164" s="42"/>
      <c r="J164" s="42"/>
      <c r="K164" s="42"/>
      <c r="L164" s="42"/>
    </row>
    <row r="165" spans="1:12" x14ac:dyDescent="0.25">
      <c r="A165" s="3"/>
      <c r="B165" s="3"/>
      <c r="C165" s="185"/>
      <c r="E165">
        <f t="shared" si="5"/>
        <v>1</v>
      </c>
      <c r="F165">
        <f>IFERROR(Tab_Compteur_5[[#This Row],[Quantité]]/Tab_Compteur_5[[#This Row],[Delta Jour]],"")</f>
        <v>0</v>
      </c>
      <c r="G165">
        <f>IFERROR(Tab_Compteur_5[[#This Row],[Montant TTC]]/Tab_Compteur_5[[#This Row],[Delta Jour]],"")</f>
        <v>0</v>
      </c>
      <c r="H165" s="42"/>
      <c r="I165" s="42"/>
      <c r="J165" s="42"/>
      <c r="K165" s="42"/>
      <c r="L165" s="42"/>
    </row>
    <row r="166" spans="1:12" x14ac:dyDescent="0.25">
      <c r="A166" s="3"/>
      <c r="B166" s="3"/>
      <c r="C166" s="185"/>
      <c r="E166">
        <f t="shared" si="5"/>
        <v>1</v>
      </c>
      <c r="F166">
        <f>IFERROR(Tab_Compteur_5[[#This Row],[Quantité]]/Tab_Compteur_5[[#This Row],[Delta Jour]],"")</f>
        <v>0</v>
      </c>
      <c r="G166">
        <f>IFERROR(Tab_Compteur_5[[#This Row],[Montant TTC]]/Tab_Compteur_5[[#This Row],[Delta Jour]],"")</f>
        <v>0</v>
      </c>
      <c r="H166" s="42"/>
      <c r="I166" s="42"/>
      <c r="J166" s="42"/>
      <c r="K166" s="42"/>
      <c r="L166" s="42"/>
    </row>
    <row r="167" spans="1:12" x14ac:dyDescent="0.25">
      <c r="A167" s="3"/>
      <c r="B167" s="3"/>
      <c r="C167" s="185"/>
      <c r="E167">
        <f t="shared" si="5"/>
        <v>1</v>
      </c>
      <c r="F167">
        <f>IFERROR(Tab_Compteur_5[[#This Row],[Quantité]]/Tab_Compteur_5[[#This Row],[Delta Jour]],"")</f>
        <v>0</v>
      </c>
      <c r="G167">
        <f>IFERROR(Tab_Compteur_5[[#This Row],[Montant TTC]]/Tab_Compteur_5[[#This Row],[Delta Jour]],"")</f>
        <v>0</v>
      </c>
      <c r="H167" s="42"/>
      <c r="I167" s="42"/>
      <c r="J167" s="42"/>
      <c r="K167" s="42"/>
      <c r="L167" s="42"/>
    </row>
    <row r="168" spans="1:12" x14ac:dyDescent="0.25">
      <c r="A168" s="3"/>
      <c r="B168" s="3"/>
      <c r="C168" s="185"/>
      <c r="E168">
        <f t="shared" si="5"/>
        <v>1</v>
      </c>
      <c r="F168">
        <f>IFERROR(Tab_Compteur_5[[#This Row],[Quantité]]/Tab_Compteur_5[[#This Row],[Delta Jour]],"")</f>
        <v>0</v>
      </c>
      <c r="G168">
        <f>IFERROR(Tab_Compteur_5[[#This Row],[Montant TTC]]/Tab_Compteur_5[[#This Row],[Delta Jour]],"")</f>
        <v>0</v>
      </c>
      <c r="H168" s="42"/>
      <c r="I168" s="42"/>
      <c r="J168" s="42"/>
      <c r="K168" s="42"/>
      <c r="L168" s="42"/>
    </row>
    <row r="169" spans="1:12" x14ac:dyDescent="0.25">
      <c r="A169" s="3"/>
      <c r="B169" s="3"/>
      <c r="C169" s="185"/>
      <c r="E169">
        <f t="shared" si="5"/>
        <v>1</v>
      </c>
      <c r="F169">
        <f>IFERROR(Tab_Compteur_5[[#This Row],[Quantité]]/Tab_Compteur_5[[#This Row],[Delta Jour]],"")</f>
        <v>0</v>
      </c>
      <c r="G169">
        <f>IFERROR(Tab_Compteur_5[[#This Row],[Montant TTC]]/Tab_Compteur_5[[#This Row],[Delta Jour]],"")</f>
        <v>0</v>
      </c>
      <c r="H169" s="42"/>
      <c r="I169" s="42"/>
      <c r="J169" s="42"/>
      <c r="K169" s="42"/>
      <c r="L169" s="42"/>
    </row>
    <row r="170" spans="1:12" x14ac:dyDescent="0.25">
      <c r="A170" s="3"/>
      <c r="B170" s="3"/>
      <c r="C170" s="185"/>
      <c r="E170">
        <f t="shared" si="5"/>
        <v>1</v>
      </c>
      <c r="F170">
        <f>IFERROR(Tab_Compteur_5[[#This Row],[Quantité]]/Tab_Compteur_5[[#This Row],[Delta Jour]],"")</f>
        <v>0</v>
      </c>
      <c r="G170">
        <f>IFERROR(Tab_Compteur_5[[#This Row],[Montant TTC]]/Tab_Compteur_5[[#This Row],[Delta Jour]],"")</f>
        <v>0</v>
      </c>
      <c r="H170" s="42"/>
      <c r="I170" s="42"/>
      <c r="J170" s="42"/>
      <c r="K170" s="42"/>
      <c r="L170" s="42"/>
    </row>
    <row r="171" spans="1:12" x14ac:dyDescent="0.25">
      <c r="A171" s="3"/>
      <c r="B171" s="3"/>
      <c r="C171" s="185"/>
      <c r="E171">
        <f t="shared" si="5"/>
        <v>1</v>
      </c>
      <c r="F171">
        <f>IFERROR(Tab_Compteur_5[[#This Row],[Quantité]]/Tab_Compteur_5[[#This Row],[Delta Jour]],"")</f>
        <v>0</v>
      </c>
      <c r="G171">
        <f>IFERROR(Tab_Compteur_5[[#This Row],[Montant TTC]]/Tab_Compteur_5[[#This Row],[Delta Jour]],"")</f>
        <v>0</v>
      </c>
      <c r="H171" s="42"/>
      <c r="I171" s="42"/>
      <c r="J171" s="42"/>
      <c r="K171" s="42"/>
      <c r="L171" s="42"/>
    </row>
    <row r="172" spans="1:12" x14ac:dyDescent="0.25">
      <c r="A172" s="3"/>
      <c r="B172" s="3"/>
      <c r="C172" s="185"/>
      <c r="E172">
        <f t="shared" si="5"/>
        <v>1</v>
      </c>
      <c r="F172">
        <f>IFERROR(Tab_Compteur_5[[#This Row],[Quantité]]/Tab_Compteur_5[[#This Row],[Delta Jour]],"")</f>
        <v>0</v>
      </c>
      <c r="G172">
        <f>IFERROR(Tab_Compteur_5[[#This Row],[Montant TTC]]/Tab_Compteur_5[[#This Row],[Delta Jour]],"")</f>
        <v>0</v>
      </c>
      <c r="H172" s="42"/>
      <c r="I172" s="42"/>
      <c r="J172" s="42"/>
      <c r="K172" s="42"/>
      <c r="L172" s="42"/>
    </row>
    <row r="173" spans="1:12" x14ac:dyDescent="0.25">
      <c r="A173" s="3"/>
      <c r="B173" s="3"/>
      <c r="C173" s="185"/>
      <c r="E173">
        <f t="shared" si="5"/>
        <v>1</v>
      </c>
      <c r="F173">
        <f>IFERROR(Tab_Compteur_5[[#This Row],[Quantité]]/Tab_Compteur_5[[#This Row],[Delta Jour]],"")</f>
        <v>0</v>
      </c>
      <c r="G173">
        <f>IFERROR(Tab_Compteur_5[[#This Row],[Montant TTC]]/Tab_Compteur_5[[#This Row],[Delta Jour]],"")</f>
        <v>0</v>
      </c>
      <c r="H173" s="42"/>
      <c r="I173" s="42"/>
      <c r="J173" s="42"/>
      <c r="K173" s="42"/>
      <c r="L173" s="42"/>
    </row>
    <row r="174" spans="1:12" x14ac:dyDescent="0.25">
      <c r="A174" s="3"/>
      <c r="B174" s="3"/>
      <c r="C174" s="185"/>
      <c r="E174">
        <f t="shared" si="5"/>
        <v>1</v>
      </c>
      <c r="F174">
        <f>IFERROR(Tab_Compteur_5[[#This Row],[Quantité]]/Tab_Compteur_5[[#This Row],[Delta Jour]],"")</f>
        <v>0</v>
      </c>
      <c r="G174">
        <f>IFERROR(Tab_Compteur_5[[#This Row],[Montant TTC]]/Tab_Compteur_5[[#This Row],[Delta Jour]],"")</f>
        <v>0</v>
      </c>
      <c r="H174" s="42"/>
      <c r="I174" s="42"/>
      <c r="J174" s="42"/>
      <c r="K174" s="42"/>
      <c r="L174" s="42"/>
    </row>
    <row r="175" spans="1:12" x14ac:dyDescent="0.25">
      <c r="A175" s="3"/>
      <c r="B175" s="3"/>
      <c r="C175" s="185"/>
      <c r="E175">
        <f t="shared" si="5"/>
        <v>1</v>
      </c>
      <c r="F175">
        <f>IFERROR(Tab_Compteur_5[[#This Row],[Quantité]]/Tab_Compteur_5[[#This Row],[Delta Jour]],"")</f>
        <v>0</v>
      </c>
      <c r="G175">
        <f>IFERROR(Tab_Compteur_5[[#This Row],[Montant TTC]]/Tab_Compteur_5[[#This Row],[Delta Jour]],"")</f>
        <v>0</v>
      </c>
      <c r="H175" s="42"/>
      <c r="I175" s="42"/>
      <c r="J175" s="42"/>
      <c r="K175" s="42"/>
      <c r="L175" s="42"/>
    </row>
    <row r="176" spans="1:12" x14ac:dyDescent="0.25">
      <c r="A176" s="3"/>
      <c r="B176" s="3"/>
      <c r="C176" s="185"/>
      <c r="E176">
        <f t="shared" si="5"/>
        <v>1</v>
      </c>
      <c r="F176">
        <f>IFERROR(Tab_Compteur_5[[#This Row],[Quantité]]/Tab_Compteur_5[[#This Row],[Delta Jour]],"")</f>
        <v>0</v>
      </c>
      <c r="G176">
        <f>IFERROR(Tab_Compteur_5[[#This Row],[Montant TTC]]/Tab_Compteur_5[[#This Row],[Delta Jour]],"")</f>
        <v>0</v>
      </c>
      <c r="H176" s="42"/>
      <c r="I176" s="42"/>
      <c r="J176" s="42"/>
      <c r="K176" s="42"/>
      <c r="L176" s="42"/>
    </row>
    <row r="177" spans="1:12" x14ac:dyDescent="0.25">
      <c r="A177" s="3"/>
      <c r="B177" s="3"/>
      <c r="C177" s="185"/>
      <c r="E177">
        <f t="shared" si="5"/>
        <v>1</v>
      </c>
      <c r="F177">
        <f>IFERROR(Tab_Compteur_5[[#This Row],[Quantité]]/Tab_Compteur_5[[#This Row],[Delta Jour]],"")</f>
        <v>0</v>
      </c>
      <c r="G177">
        <f>IFERROR(Tab_Compteur_5[[#This Row],[Montant TTC]]/Tab_Compteur_5[[#This Row],[Delta Jour]],"")</f>
        <v>0</v>
      </c>
      <c r="H177" s="42"/>
      <c r="I177" s="42"/>
      <c r="J177" s="42"/>
      <c r="K177" s="42"/>
      <c r="L177" s="42"/>
    </row>
    <row r="178" spans="1:12" x14ac:dyDescent="0.25">
      <c r="A178" s="3"/>
      <c r="B178" s="3"/>
      <c r="C178" s="185"/>
      <c r="E178">
        <f t="shared" si="5"/>
        <v>1</v>
      </c>
      <c r="F178">
        <f>IFERROR(Tab_Compteur_5[[#This Row],[Quantité]]/Tab_Compteur_5[[#This Row],[Delta Jour]],"")</f>
        <v>0</v>
      </c>
      <c r="G178">
        <f>IFERROR(Tab_Compteur_5[[#This Row],[Montant TTC]]/Tab_Compteur_5[[#This Row],[Delta Jour]],"")</f>
        <v>0</v>
      </c>
      <c r="H178" s="42"/>
      <c r="I178" s="42"/>
      <c r="J178" s="42"/>
      <c r="K178" s="42"/>
      <c r="L178" s="42"/>
    </row>
    <row r="179" spans="1:12" x14ac:dyDescent="0.25">
      <c r="A179" s="3"/>
      <c r="B179" s="3"/>
      <c r="C179" s="185"/>
      <c r="E179">
        <f t="shared" si="5"/>
        <v>1</v>
      </c>
      <c r="F179">
        <f>IFERROR(Tab_Compteur_5[[#This Row],[Quantité]]/Tab_Compteur_5[[#This Row],[Delta Jour]],"")</f>
        <v>0</v>
      </c>
      <c r="G179">
        <f>IFERROR(Tab_Compteur_5[[#This Row],[Montant TTC]]/Tab_Compteur_5[[#This Row],[Delta Jour]],"")</f>
        <v>0</v>
      </c>
      <c r="H179" s="42"/>
      <c r="I179" s="42"/>
      <c r="J179" s="42"/>
      <c r="K179" s="42"/>
      <c r="L179" s="42"/>
    </row>
    <row r="180" spans="1:12" x14ac:dyDescent="0.25">
      <c r="A180" s="3"/>
      <c r="B180" s="3"/>
      <c r="C180" s="185"/>
      <c r="E180">
        <f t="shared" si="5"/>
        <v>1</v>
      </c>
      <c r="F180">
        <f>IFERROR(Tab_Compteur_5[[#This Row],[Quantité]]/Tab_Compteur_5[[#This Row],[Delta Jour]],"")</f>
        <v>0</v>
      </c>
      <c r="G180">
        <f>IFERROR(Tab_Compteur_5[[#This Row],[Montant TTC]]/Tab_Compteur_5[[#This Row],[Delta Jour]],"")</f>
        <v>0</v>
      </c>
      <c r="H180" s="42"/>
      <c r="I180" s="42"/>
      <c r="J180" s="42"/>
      <c r="K180" s="42"/>
      <c r="L180" s="42"/>
    </row>
    <row r="181" spans="1:12" x14ac:dyDescent="0.25">
      <c r="A181" s="3"/>
      <c r="B181" s="3"/>
      <c r="C181" s="185"/>
      <c r="E181">
        <f t="shared" si="5"/>
        <v>1</v>
      </c>
      <c r="F181">
        <f>IFERROR(Tab_Compteur_5[[#This Row],[Quantité]]/Tab_Compteur_5[[#This Row],[Delta Jour]],"")</f>
        <v>0</v>
      </c>
      <c r="G181">
        <f>IFERROR(Tab_Compteur_5[[#This Row],[Montant TTC]]/Tab_Compteur_5[[#This Row],[Delta Jour]],"")</f>
        <v>0</v>
      </c>
      <c r="H181" s="42"/>
      <c r="I181" s="42"/>
      <c r="J181" s="42"/>
      <c r="K181" s="42"/>
      <c r="L181" s="42"/>
    </row>
    <row r="182" spans="1:12" x14ac:dyDescent="0.25">
      <c r="A182" s="3"/>
      <c r="B182" s="3"/>
      <c r="C182" s="185"/>
      <c r="E182">
        <f t="shared" si="5"/>
        <v>1</v>
      </c>
      <c r="F182">
        <f>IFERROR(Tab_Compteur_5[[#This Row],[Quantité]]/Tab_Compteur_5[[#This Row],[Delta Jour]],"")</f>
        <v>0</v>
      </c>
      <c r="G182">
        <f>IFERROR(Tab_Compteur_5[[#This Row],[Montant TTC]]/Tab_Compteur_5[[#This Row],[Delta Jour]],"")</f>
        <v>0</v>
      </c>
      <c r="H182" s="42"/>
      <c r="I182" s="42"/>
      <c r="J182" s="42"/>
      <c r="K182" s="42"/>
      <c r="L182" s="42"/>
    </row>
    <row r="183" spans="1:12" x14ac:dyDescent="0.25">
      <c r="A183" s="3"/>
      <c r="B183" s="3"/>
      <c r="C183" s="185"/>
      <c r="E183">
        <f t="shared" si="5"/>
        <v>1</v>
      </c>
      <c r="F183">
        <f>IFERROR(Tab_Compteur_5[[#This Row],[Quantité]]/Tab_Compteur_5[[#This Row],[Delta Jour]],"")</f>
        <v>0</v>
      </c>
      <c r="G183">
        <f>IFERROR(Tab_Compteur_5[[#This Row],[Montant TTC]]/Tab_Compteur_5[[#This Row],[Delta Jour]],"")</f>
        <v>0</v>
      </c>
      <c r="H183" s="42"/>
      <c r="I183" s="42"/>
      <c r="J183" s="42"/>
      <c r="K183" s="42"/>
      <c r="L183" s="42"/>
    </row>
    <row r="184" spans="1:12" x14ac:dyDescent="0.25">
      <c r="A184" s="3"/>
      <c r="B184" s="3"/>
      <c r="C184" s="185"/>
      <c r="E184">
        <f t="shared" si="5"/>
        <v>1</v>
      </c>
      <c r="F184">
        <f>IFERROR(Tab_Compteur_5[[#This Row],[Quantité]]/Tab_Compteur_5[[#This Row],[Delta Jour]],"")</f>
        <v>0</v>
      </c>
      <c r="G184">
        <f>IFERROR(Tab_Compteur_5[[#This Row],[Montant TTC]]/Tab_Compteur_5[[#This Row],[Delta Jour]],"")</f>
        <v>0</v>
      </c>
      <c r="H184" s="42"/>
      <c r="I184" s="42"/>
      <c r="J184" s="42"/>
      <c r="K184" s="42"/>
      <c r="L184" s="42"/>
    </row>
    <row r="185" spans="1:12" x14ac:dyDescent="0.25">
      <c r="A185" s="3"/>
      <c r="B185" s="3"/>
      <c r="C185" s="185"/>
      <c r="E185">
        <f t="shared" si="5"/>
        <v>1</v>
      </c>
      <c r="F185">
        <f>IFERROR(Tab_Compteur_5[[#This Row],[Quantité]]/Tab_Compteur_5[[#This Row],[Delta Jour]],"")</f>
        <v>0</v>
      </c>
      <c r="G185">
        <f>IFERROR(Tab_Compteur_5[[#This Row],[Montant TTC]]/Tab_Compteur_5[[#This Row],[Delta Jour]],"")</f>
        <v>0</v>
      </c>
      <c r="H185" s="42"/>
      <c r="I185" s="42"/>
      <c r="J185" s="42"/>
      <c r="K185" s="42"/>
      <c r="L185" s="42"/>
    </row>
    <row r="186" spans="1:12" x14ac:dyDescent="0.25">
      <c r="A186" s="3"/>
      <c r="B186" s="3"/>
      <c r="C186" s="185"/>
      <c r="E186">
        <f t="shared" si="5"/>
        <v>1</v>
      </c>
      <c r="F186">
        <f>IFERROR(Tab_Compteur_5[[#This Row],[Quantité]]/Tab_Compteur_5[[#This Row],[Delta Jour]],"")</f>
        <v>0</v>
      </c>
      <c r="G186">
        <f>IFERROR(Tab_Compteur_5[[#This Row],[Montant TTC]]/Tab_Compteur_5[[#This Row],[Delta Jour]],"")</f>
        <v>0</v>
      </c>
      <c r="H186" s="42"/>
      <c r="I186" s="42"/>
      <c r="J186" s="42"/>
      <c r="K186" s="42"/>
      <c r="L186" s="42"/>
    </row>
    <row r="187" spans="1:12" x14ac:dyDescent="0.25">
      <c r="A187" s="3"/>
      <c r="B187" s="3"/>
      <c r="C187" s="185"/>
      <c r="E187">
        <f t="shared" si="5"/>
        <v>1</v>
      </c>
      <c r="F187">
        <f>IFERROR(Tab_Compteur_5[[#This Row],[Quantité]]/Tab_Compteur_5[[#This Row],[Delta Jour]],"")</f>
        <v>0</v>
      </c>
      <c r="G187">
        <f>IFERROR(Tab_Compteur_5[[#This Row],[Montant TTC]]/Tab_Compteur_5[[#This Row],[Delta Jour]],"")</f>
        <v>0</v>
      </c>
      <c r="H187" s="42"/>
      <c r="I187" s="42"/>
      <c r="J187" s="42"/>
      <c r="K187" s="42"/>
      <c r="L187" s="42"/>
    </row>
    <row r="188" spans="1:12" x14ac:dyDescent="0.25">
      <c r="A188" s="3"/>
      <c r="B188" s="3"/>
      <c r="C188" s="185"/>
      <c r="E188">
        <f t="shared" si="5"/>
        <v>1</v>
      </c>
      <c r="F188">
        <f>IFERROR(Tab_Compteur_5[[#This Row],[Quantité]]/Tab_Compteur_5[[#This Row],[Delta Jour]],"")</f>
        <v>0</v>
      </c>
      <c r="G188">
        <f>IFERROR(Tab_Compteur_5[[#This Row],[Montant TTC]]/Tab_Compteur_5[[#This Row],[Delta Jour]],"")</f>
        <v>0</v>
      </c>
      <c r="H188" s="42"/>
      <c r="I188" s="42"/>
      <c r="J188" s="42"/>
      <c r="K188" s="42"/>
      <c r="L188" s="42"/>
    </row>
    <row r="189" spans="1:12" x14ac:dyDescent="0.25">
      <c r="A189" s="3"/>
      <c r="B189" s="3"/>
      <c r="C189" s="185"/>
      <c r="E189">
        <f t="shared" si="5"/>
        <v>1</v>
      </c>
      <c r="F189">
        <f>IFERROR(Tab_Compteur_5[[#This Row],[Quantité]]/Tab_Compteur_5[[#This Row],[Delta Jour]],"")</f>
        <v>0</v>
      </c>
      <c r="G189">
        <f>IFERROR(Tab_Compteur_5[[#This Row],[Montant TTC]]/Tab_Compteur_5[[#This Row],[Delta Jour]],"")</f>
        <v>0</v>
      </c>
      <c r="H189" s="42"/>
      <c r="I189" s="42"/>
      <c r="J189" s="42"/>
      <c r="K189" s="42"/>
      <c r="L189" s="42"/>
    </row>
    <row r="190" spans="1:12" x14ac:dyDescent="0.25">
      <c r="A190" s="3"/>
      <c r="B190" s="3"/>
      <c r="C190" s="185"/>
      <c r="E190">
        <f t="shared" si="5"/>
        <v>1</v>
      </c>
      <c r="F190">
        <f>IFERROR(Tab_Compteur_5[[#This Row],[Quantité]]/Tab_Compteur_5[[#This Row],[Delta Jour]],"")</f>
        <v>0</v>
      </c>
      <c r="G190">
        <f>IFERROR(Tab_Compteur_5[[#This Row],[Montant TTC]]/Tab_Compteur_5[[#This Row],[Delta Jour]],"")</f>
        <v>0</v>
      </c>
      <c r="H190" s="42"/>
      <c r="I190" s="42"/>
      <c r="J190" s="42"/>
      <c r="K190" s="42"/>
      <c r="L190" s="42"/>
    </row>
    <row r="191" spans="1:12" x14ac:dyDescent="0.25">
      <c r="A191" s="3"/>
      <c r="B191" s="3"/>
      <c r="C191" s="185"/>
      <c r="E191">
        <f t="shared" si="5"/>
        <v>1</v>
      </c>
      <c r="F191">
        <f>IFERROR(Tab_Compteur_5[[#This Row],[Quantité]]/Tab_Compteur_5[[#This Row],[Delta Jour]],"")</f>
        <v>0</v>
      </c>
      <c r="G191">
        <f>IFERROR(Tab_Compteur_5[[#This Row],[Montant TTC]]/Tab_Compteur_5[[#This Row],[Delta Jour]],"")</f>
        <v>0</v>
      </c>
      <c r="H191" s="42"/>
      <c r="I191" s="42"/>
      <c r="J191" s="42"/>
      <c r="K191" s="42"/>
      <c r="L191" s="42"/>
    </row>
    <row r="192" spans="1:12" x14ac:dyDescent="0.25">
      <c r="A192" s="3"/>
      <c r="B192" s="3"/>
      <c r="C192" s="185"/>
      <c r="E192">
        <f t="shared" si="5"/>
        <v>1</v>
      </c>
      <c r="F192">
        <f>IFERROR(Tab_Compteur_5[[#This Row],[Quantité]]/Tab_Compteur_5[[#This Row],[Delta Jour]],"")</f>
        <v>0</v>
      </c>
      <c r="G192">
        <f>IFERROR(Tab_Compteur_5[[#This Row],[Montant TTC]]/Tab_Compteur_5[[#This Row],[Delta Jour]],"")</f>
        <v>0</v>
      </c>
      <c r="H192" s="42"/>
      <c r="I192" s="42"/>
      <c r="J192" s="42"/>
      <c r="K192" s="42"/>
      <c r="L192" s="42"/>
    </row>
    <row r="193" spans="1:12" x14ac:dyDescent="0.25">
      <c r="A193" s="3"/>
      <c r="B193" s="3"/>
      <c r="C193" s="185"/>
      <c r="E193">
        <f t="shared" si="5"/>
        <v>1</v>
      </c>
      <c r="F193">
        <f>IFERROR(Tab_Compteur_5[[#This Row],[Quantité]]/Tab_Compteur_5[[#This Row],[Delta Jour]],"")</f>
        <v>0</v>
      </c>
      <c r="G193">
        <f>IFERROR(Tab_Compteur_5[[#This Row],[Montant TTC]]/Tab_Compteur_5[[#This Row],[Delta Jour]],"")</f>
        <v>0</v>
      </c>
      <c r="H193" s="42"/>
      <c r="I193" s="42"/>
      <c r="J193" s="42"/>
      <c r="K193" s="42"/>
      <c r="L193" s="42"/>
    </row>
    <row r="194" spans="1:12" x14ac:dyDescent="0.25">
      <c r="A194" s="3"/>
      <c r="B194" s="3"/>
      <c r="C194" s="185"/>
      <c r="E194">
        <f t="shared" ref="E194:E242" si="7">IFERROR(B194-A194+1,"")</f>
        <v>1</v>
      </c>
      <c r="F194">
        <f>IFERROR(Tab_Compteur_5[[#This Row],[Quantité]]/Tab_Compteur_5[[#This Row],[Delta Jour]],"")</f>
        <v>0</v>
      </c>
      <c r="G194">
        <f>IFERROR(Tab_Compteur_5[[#This Row],[Montant TTC]]/Tab_Compteur_5[[#This Row],[Delta Jour]],"")</f>
        <v>0</v>
      </c>
      <c r="H194" s="42"/>
      <c r="I194" s="42"/>
      <c r="J194" s="42"/>
      <c r="K194" s="42"/>
      <c r="L194" s="42"/>
    </row>
    <row r="195" spans="1:12" x14ac:dyDescent="0.25">
      <c r="A195" s="3"/>
      <c r="B195" s="3"/>
      <c r="C195" s="185"/>
      <c r="E195">
        <f t="shared" si="7"/>
        <v>1</v>
      </c>
      <c r="F195">
        <f>IFERROR(Tab_Compteur_5[[#This Row],[Quantité]]/Tab_Compteur_5[[#This Row],[Delta Jour]],"")</f>
        <v>0</v>
      </c>
      <c r="G195">
        <f>IFERROR(Tab_Compteur_5[[#This Row],[Montant TTC]]/Tab_Compteur_5[[#This Row],[Delta Jour]],"")</f>
        <v>0</v>
      </c>
      <c r="H195" s="42"/>
      <c r="I195" s="42"/>
      <c r="J195" s="42"/>
      <c r="K195" s="42"/>
      <c r="L195" s="42"/>
    </row>
    <row r="196" spans="1:12" x14ac:dyDescent="0.25">
      <c r="A196" s="3"/>
      <c r="B196" s="3"/>
      <c r="C196" s="185"/>
      <c r="E196">
        <f t="shared" si="7"/>
        <v>1</v>
      </c>
      <c r="F196">
        <f>IFERROR(Tab_Compteur_5[[#This Row],[Quantité]]/Tab_Compteur_5[[#This Row],[Delta Jour]],"")</f>
        <v>0</v>
      </c>
      <c r="G196">
        <f>IFERROR(Tab_Compteur_5[[#This Row],[Montant TTC]]/Tab_Compteur_5[[#This Row],[Delta Jour]],"")</f>
        <v>0</v>
      </c>
      <c r="H196" s="42"/>
      <c r="I196" s="42"/>
      <c r="J196" s="42"/>
      <c r="K196" s="42"/>
      <c r="L196" s="42"/>
    </row>
    <row r="197" spans="1:12" x14ac:dyDescent="0.25">
      <c r="A197" s="3"/>
      <c r="B197" s="3"/>
      <c r="C197" s="185"/>
      <c r="E197">
        <f t="shared" si="7"/>
        <v>1</v>
      </c>
      <c r="F197">
        <f>IFERROR(Tab_Compteur_5[[#This Row],[Quantité]]/Tab_Compteur_5[[#This Row],[Delta Jour]],"")</f>
        <v>0</v>
      </c>
      <c r="G197">
        <f>IFERROR(Tab_Compteur_5[[#This Row],[Montant TTC]]/Tab_Compteur_5[[#This Row],[Delta Jour]],"")</f>
        <v>0</v>
      </c>
      <c r="H197" s="42"/>
      <c r="I197" s="42"/>
      <c r="J197" s="42"/>
      <c r="K197" s="42"/>
      <c r="L197" s="42"/>
    </row>
    <row r="198" spans="1:12" x14ac:dyDescent="0.25">
      <c r="A198" s="3"/>
      <c r="B198" s="3"/>
      <c r="C198" s="185"/>
      <c r="E198">
        <f t="shared" si="7"/>
        <v>1</v>
      </c>
      <c r="F198">
        <f>IFERROR(Tab_Compteur_5[[#This Row],[Quantité]]/Tab_Compteur_5[[#This Row],[Delta Jour]],"")</f>
        <v>0</v>
      </c>
      <c r="G198">
        <f>IFERROR(Tab_Compteur_5[[#This Row],[Montant TTC]]/Tab_Compteur_5[[#This Row],[Delta Jour]],"")</f>
        <v>0</v>
      </c>
      <c r="H198" s="42"/>
      <c r="I198" s="42"/>
      <c r="J198" s="42"/>
      <c r="K198" s="42"/>
      <c r="L198" s="42"/>
    </row>
    <row r="199" spans="1:12" x14ac:dyDescent="0.25">
      <c r="A199" s="3"/>
      <c r="B199" s="3"/>
      <c r="C199" s="185"/>
      <c r="E199">
        <f t="shared" si="7"/>
        <v>1</v>
      </c>
      <c r="F199">
        <f>IFERROR(Tab_Compteur_5[[#This Row],[Quantité]]/Tab_Compteur_5[[#This Row],[Delta Jour]],"")</f>
        <v>0</v>
      </c>
      <c r="G199">
        <f>IFERROR(Tab_Compteur_5[[#This Row],[Montant TTC]]/Tab_Compteur_5[[#This Row],[Delta Jour]],"")</f>
        <v>0</v>
      </c>
      <c r="H199" s="42"/>
      <c r="I199" s="42"/>
      <c r="J199" s="42"/>
      <c r="K199" s="42"/>
      <c r="L199" s="42"/>
    </row>
    <row r="200" spans="1:12" x14ac:dyDescent="0.25">
      <c r="A200" s="3"/>
      <c r="B200" s="3"/>
      <c r="C200" s="185"/>
      <c r="E200">
        <f t="shared" si="7"/>
        <v>1</v>
      </c>
      <c r="F200">
        <f>IFERROR(Tab_Compteur_5[[#This Row],[Quantité]]/Tab_Compteur_5[[#This Row],[Delta Jour]],"")</f>
        <v>0</v>
      </c>
      <c r="G200">
        <f>IFERROR(Tab_Compteur_5[[#This Row],[Montant TTC]]/Tab_Compteur_5[[#This Row],[Delta Jour]],"")</f>
        <v>0</v>
      </c>
      <c r="H200" s="42"/>
      <c r="I200" s="42"/>
      <c r="J200" s="42"/>
      <c r="K200" s="42"/>
      <c r="L200" s="42"/>
    </row>
    <row r="201" spans="1:12" x14ac:dyDescent="0.25">
      <c r="A201" s="3"/>
      <c r="B201" s="3"/>
      <c r="C201" s="185"/>
      <c r="E201">
        <f t="shared" si="7"/>
        <v>1</v>
      </c>
      <c r="F201">
        <f>IFERROR(Tab_Compteur_5[[#This Row],[Quantité]]/Tab_Compteur_5[[#This Row],[Delta Jour]],"")</f>
        <v>0</v>
      </c>
      <c r="G201">
        <f>IFERROR(Tab_Compteur_5[[#This Row],[Montant TTC]]/Tab_Compteur_5[[#This Row],[Delta Jour]],"")</f>
        <v>0</v>
      </c>
      <c r="H201" s="42"/>
      <c r="I201" s="42"/>
      <c r="J201" s="42"/>
      <c r="K201" s="42"/>
      <c r="L201" s="42"/>
    </row>
    <row r="202" spans="1:12" x14ac:dyDescent="0.25">
      <c r="A202" s="3"/>
      <c r="B202" s="3"/>
      <c r="C202" s="185"/>
      <c r="E202">
        <f t="shared" si="7"/>
        <v>1</v>
      </c>
      <c r="F202">
        <f>IFERROR(Tab_Compteur_5[[#This Row],[Quantité]]/Tab_Compteur_5[[#This Row],[Delta Jour]],"")</f>
        <v>0</v>
      </c>
      <c r="G202">
        <f>IFERROR(Tab_Compteur_5[[#This Row],[Montant TTC]]/Tab_Compteur_5[[#This Row],[Delta Jour]],"")</f>
        <v>0</v>
      </c>
      <c r="H202" s="42"/>
      <c r="I202" s="42"/>
      <c r="J202" s="42"/>
      <c r="K202" s="42"/>
      <c r="L202" s="42"/>
    </row>
    <row r="203" spans="1:12" x14ac:dyDescent="0.25">
      <c r="A203" s="3"/>
      <c r="B203" s="3"/>
      <c r="C203" s="185"/>
      <c r="E203">
        <f t="shared" si="7"/>
        <v>1</v>
      </c>
      <c r="F203">
        <f>IFERROR(Tab_Compteur_5[[#This Row],[Quantité]]/Tab_Compteur_5[[#This Row],[Delta Jour]],"")</f>
        <v>0</v>
      </c>
      <c r="G203">
        <f>IFERROR(Tab_Compteur_5[[#This Row],[Montant TTC]]/Tab_Compteur_5[[#This Row],[Delta Jour]],"")</f>
        <v>0</v>
      </c>
      <c r="H203" s="42"/>
      <c r="I203" s="42"/>
      <c r="J203" s="42"/>
      <c r="K203" s="42"/>
      <c r="L203" s="42"/>
    </row>
    <row r="204" spans="1:12" x14ac:dyDescent="0.25">
      <c r="A204" s="3"/>
      <c r="B204" s="3"/>
      <c r="C204" s="185"/>
      <c r="E204">
        <f t="shared" si="7"/>
        <v>1</v>
      </c>
      <c r="F204">
        <f>IFERROR(Tab_Compteur_5[[#This Row],[Quantité]]/Tab_Compteur_5[[#This Row],[Delta Jour]],"")</f>
        <v>0</v>
      </c>
      <c r="G204">
        <f>IFERROR(Tab_Compteur_5[[#This Row],[Montant TTC]]/Tab_Compteur_5[[#This Row],[Delta Jour]],"")</f>
        <v>0</v>
      </c>
      <c r="H204" s="42"/>
      <c r="I204" s="42"/>
      <c r="J204" s="42"/>
      <c r="K204" s="42"/>
      <c r="L204" s="42"/>
    </row>
    <row r="205" spans="1:12" x14ac:dyDescent="0.25">
      <c r="A205" s="3"/>
      <c r="B205" s="3"/>
      <c r="C205" s="185"/>
      <c r="E205">
        <f t="shared" si="7"/>
        <v>1</v>
      </c>
      <c r="F205">
        <f>IFERROR(Tab_Compteur_5[[#This Row],[Quantité]]/Tab_Compteur_5[[#This Row],[Delta Jour]],"")</f>
        <v>0</v>
      </c>
      <c r="G205">
        <f>IFERROR(Tab_Compteur_5[[#This Row],[Montant TTC]]/Tab_Compteur_5[[#This Row],[Delta Jour]],"")</f>
        <v>0</v>
      </c>
      <c r="H205" s="42"/>
      <c r="I205" s="42"/>
      <c r="J205" s="42"/>
      <c r="K205" s="42"/>
      <c r="L205" s="42"/>
    </row>
    <row r="206" spans="1:12" x14ac:dyDescent="0.25">
      <c r="A206" s="3"/>
      <c r="B206" s="3"/>
      <c r="C206" s="185"/>
      <c r="E206">
        <f t="shared" si="7"/>
        <v>1</v>
      </c>
      <c r="F206">
        <f>IFERROR(Tab_Compteur_5[[#This Row],[Quantité]]/Tab_Compteur_5[[#This Row],[Delta Jour]],"")</f>
        <v>0</v>
      </c>
      <c r="G206">
        <f>IFERROR(Tab_Compteur_5[[#This Row],[Montant TTC]]/Tab_Compteur_5[[#This Row],[Delta Jour]],"")</f>
        <v>0</v>
      </c>
      <c r="H206" s="42"/>
      <c r="I206" s="42"/>
      <c r="J206" s="42"/>
      <c r="K206" s="42"/>
      <c r="L206" s="42"/>
    </row>
    <row r="207" spans="1:12" x14ac:dyDescent="0.25">
      <c r="A207" s="3"/>
      <c r="B207" s="3"/>
      <c r="C207" s="185"/>
      <c r="E207">
        <f t="shared" si="7"/>
        <v>1</v>
      </c>
      <c r="F207">
        <f>IFERROR(Tab_Compteur_5[[#This Row],[Quantité]]/Tab_Compteur_5[[#This Row],[Delta Jour]],"")</f>
        <v>0</v>
      </c>
      <c r="G207">
        <f>IFERROR(Tab_Compteur_5[[#This Row],[Montant TTC]]/Tab_Compteur_5[[#This Row],[Delta Jour]],"")</f>
        <v>0</v>
      </c>
      <c r="H207" s="42"/>
      <c r="I207" s="42"/>
      <c r="J207" s="42"/>
      <c r="K207" s="42"/>
      <c r="L207" s="42"/>
    </row>
    <row r="208" spans="1:12" x14ac:dyDescent="0.25">
      <c r="A208" s="3"/>
      <c r="B208" s="3"/>
      <c r="C208" s="185"/>
      <c r="E208">
        <f t="shared" si="7"/>
        <v>1</v>
      </c>
      <c r="F208">
        <f>IFERROR(Tab_Compteur_5[[#This Row],[Quantité]]/Tab_Compteur_5[[#This Row],[Delta Jour]],"")</f>
        <v>0</v>
      </c>
      <c r="G208">
        <f>IFERROR(Tab_Compteur_5[[#This Row],[Montant TTC]]/Tab_Compteur_5[[#This Row],[Delta Jour]],"")</f>
        <v>0</v>
      </c>
      <c r="H208" s="42"/>
      <c r="I208" s="42"/>
      <c r="J208" s="42"/>
      <c r="K208" s="42"/>
      <c r="L208" s="42"/>
    </row>
    <row r="209" spans="1:12" x14ac:dyDescent="0.25">
      <c r="A209" s="3"/>
      <c r="B209" s="3"/>
      <c r="C209" s="185"/>
      <c r="E209">
        <f t="shared" si="7"/>
        <v>1</v>
      </c>
      <c r="F209">
        <f>IFERROR(Tab_Compteur_5[[#This Row],[Quantité]]/Tab_Compteur_5[[#This Row],[Delta Jour]],"")</f>
        <v>0</v>
      </c>
      <c r="G209">
        <f>IFERROR(Tab_Compteur_5[[#This Row],[Montant TTC]]/Tab_Compteur_5[[#This Row],[Delta Jour]],"")</f>
        <v>0</v>
      </c>
      <c r="H209" s="42"/>
      <c r="I209" s="42"/>
      <c r="J209" s="42"/>
      <c r="K209" s="42"/>
      <c r="L209" s="42"/>
    </row>
    <row r="210" spans="1:12" x14ac:dyDescent="0.25">
      <c r="A210" s="3"/>
      <c r="B210" s="3"/>
      <c r="C210" s="185"/>
      <c r="E210">
        <f t="shared" si="7"/>
        <v>1</v>
      </c>
      <c r="F210">
        <f>IFERROR(Tab_Compteur_5[[#This Row],[Quantité]]/Tab_Compteur_5[[#This Row],[Delta Jour]],"")</f>
        <v>0</v>
      </c>
      <c r="G210">
        <f>IFERROR(Tab_Compteur_5[[#This Row],[Montant TTC]]/Tab_Compteur_5[[#This Row],[Delta Jour]],"")</f>
        <v>0</v>
      </c>
      <c r="H210" s="42"/>
      <c r="I210" s="42"/>
      <c r="J210" s="42"/>
      <c r="K210" s="42"/>
      <c r="L210" s="42"/>
    </row>
    <row r="211" spans="1:12" x14ac:dyDescent="0.25">
      <c r="A211" s="3"/>
      <c r="B211" s="3"/>
      <c r="C211" s="185"/>
      <c r="E211">
        <f t="shared" si="7"/>
        <v>1</v>
      </c>
      <c r="F211">
        <f>IFERROR(Tab_Compteur_5[[#This Row],[Quantité]]/Tab_Compteur_5[[#This Row],[Delta Jour]],"")</f>
        <v>0</v>
      </c>
      <c r="G211">
        <f>IFERROR(Tab_Compteur_5[[#This Row],[Montant TTC]]/Tab_Compteur_5[[#This Row],[Delta Jour]],"")</f>
        <v>0</v>
      </c>
      <c r="H211" s="42"/>
      <c r="I211" s="42"/>
      <c r="J211" s="42"/>
      <c r="K211" s="42"/>
      <c r="L211" s="42"/>
    </row>
    <row r="212" spans="1:12" x14ac:dyDescent="0.25">
      <c r="A212" s="3"/>
      <c r="B212" s="3"/>
      <c r="C212" s="185"/>
      <c r="E212">
        <f t="shared" si="7"/>
        <v>1</v>
      </c>
      <c r="F212">
        <f>IFERROR(Tab_Compteur_5[[#This Row],[Quantité]]/Tab_Compteur_5[[#This Row],[Delta Jour]],"")</f>
        <v>0</v>
      </c>
      <c r="G212">
        <f>IFERROR(Tab_Compteur_5[[#This Row],[Montant TTC]]/Tab_Compteur_5[[#This Row],[Delta Jour]],"")</f>
        <v>0</v>
      </c>
      <c r="H212" s="42"/>
      <c r="I212" s="42"/>
      <c r="J212" s="42"/>
      <c r="K212" s="42"/>
      <c r="L212" s="42"/>
    </row>
    <row r="213" spans="1:12" x14ac:dyDescent="0.25">
      <c r="A213" s="3"/>
      <c r="B213" s="3"/>
      <c r="C213" s="185"/>
      <c r="E213">
        <f t="shared" si="7"/>
        <v>1</v>
      </c>
      <c r="F213">
        <f>IFERROR(Tab_Compteur_5[[#This Row],[Quantité]]/Tab_Compteur_5[[#This Row],[Delta Jour]],"")</f>
        <v>0</v>
      </c>
      <c r="G213">
        <f>IFERROR(Tab_Compteur_5[[#This Row],[Montant TTC]]/Tab_Compteur_5[[#This Row],[Delta Jour]],"")</f>
        <v>0</v>
      </c>
      <c r="H213" s="42"/>
      <c r="I213" s="42"/>
      <c r="J213" s="42"/>
      <c r="K213" s="42"/>
      <c r="L213" s="42"/>
    </row>
    <row r="214" spans="1:12" x14ac:dyDescent="0.25">
      <c r="A214" s="3"/>
      <c r="B214" s="3"/>
      <c r="C214" s="185"/>
      <c r="E214">
        <f t="shared" si="7"/>
        <v>1</v>
      </c>
      <c r="F214">
        <f>IFERROR(Tab_Compteur_5[[#This Row],[Quantité]]/Tab_Compteur_5[[#This Row],[Delta Jour]],"")</f>
        <v>0</v>
      </c>
      <c r="G214">
        <f>IFERROR(Tab_Compteur_5[[#This Row],[Montant TTC]]/Tab_Compteur_5[[#This Row],[Delta Jour]],"")</f>
        <v>0</v>
      </c>
      <c r="H214" s="42"/>
      <c r="I214" s="42"/>
      <c r="J214" s="42"/>
      <c r="K214" s="42"/>
      <c r="L214" s="42"/>
    </row>
    <row r="215" spans="1:12" x14ac:dyDescent="0.25">
      <c r="A215" s="3"/>
      <c r="B215" s="3"/>
      <c r="C215" s="185"/>
      <c r="E215">
        <f t="shared" si="7"/>
        <v>1</v>
      </c>
      <c r="F215">
        <f>IFERROR(Tab_Compteur_5[[#This Row],[Quantité]]/Tab_Compteur_5[[#This Row],[Delta Jour]],"")</f>
        <v>0</v>
      </c>
      <c r="G215">
        <f>IFERROR(Tab_Compteur_5[[#This Row],[Montant TTC]]/Tab_Compteur_5[[#This Row],[Delta Jour]],"")</f>
        <v>0</v>
      </c>
      <c r="H215" s="42"/>
      <c r="I215" s="42"/>
      <c r="J215" s="42"/>
      <c r="K215" s="42"/>
      <c r="L215" s="42"/>
    </row>
    <row r="216" spans="1:12" x14ac:dyDescent="0.25">
      <c r="A216" s="3"/>
      <c r="B216" s="3"/>
      <c r="C216" s="185"/>
      <c r="E216">
        <f t="shared" si="7"/>
        <v>1</v>
      </c>
      <c r="F216">
        <f>IFERROR(Tab_Compteur_5[[#This Row],[Quantité]]/Tab_Compteur_5[[#This Row],[Delta Jour]],"")</f>
        <v>0</v>
      </c>
      <c r="G216">
        <f>IFERROR(Tab_Compteur_5[[#This Row],[Montant TTC]]/Tab_Compteur_5[[#This Row],[Delta Jour]],"")</f>
        <v>0</v>
      </c>
      <c r="H216" s="42"/>
      <c r="I216" s="42"/>
      <c r="J216" s="42"/>
      <c r="K216" s="42"/>
      <c r="L216" s="42"/>
    </row>
    <row r="217" spans="1:12" x14ac:dyDescent="0.25">
      <c r="A217" s="3"/>
      <c r="B217" s="3"/>
      <c r="C217" s="185"/>
      <c r="E217">
        <f t="shared" si="7"/>
        <v>1</v>
      </c>
      <c r="F217">
        <f>IFERROR(Tab_Compteur_5[[#This Row],[Quantité]]/Tab_Compteur_5[[#This Row],[Delta Jour]],"")</f>
        <v>0</v>
      </c>
      <c r="G217">
        <f>IFERROR(Tab_Compteur_5[[#This Row],[Montant TTC]]/Tab_Compteur_5[[#This Row],[Delta Jour]],"")</f>
        <v>0</v>
      </c>
      <c r="H217" s="42"/>
      <c r="I217" s="42"/>
      <c r="J217" s="42"/>
      <c r="K217" s="42"/>
      <c r="L217" s="42"/>
    </row>
    <row r="218" spans="1:12" x14ac:dyDescent="0.25">
      <c r="A218" s="3"/>
      <c r="B218" s="3"/>
      <c r="C218" s="185"/>
      <c r="E218">
        <f t="shared" si="7"/>
        <v>1</v>
      </c>
      <c r="F218">
        <f>IFERROR(Tab_Compteur_5[[#This Row],[Quantité]]/Tab_Compteur_5[[#This Row],[Delta Jour]],"")</f>
        <v>0</v>
      </c>
      <c r="G218">
        <f>IFERROR(Tab_Compteur_5[[#This Row],[Montant TTC]]/Tab_Compteur_5[[#This Row],[Delta Jour]],"")</f>
        <v>0</v>
      </c>
      <c r="H218" s="42"/>
      <c r="I218" s="42"/>
      <c r="J218" s="42"/>
      <c r="K218" s="42"/>
      <c r="L218" s="42"/>
    </row>
    <row r="219" spans="1:12" x14ac:dyDescent="0.25">
      <c r="A219" s="3"/>
      <c r="B219" s="3"/>
      <c r="C219" s="185"/>
      <c r="E219">
        <f t="shared" si="7"/>
        <v>1</v>
      </c>
      <c r="F219">
        <f>IFERROR(Tab_Compteur_5[[#This Row],[Quantité]]/Tab_Compteur_5[[#This Row],[Delta Jour]],"")</f>
        <v>0</v>
      </c>
      <c r="G219">
        <f>IFERROR(Tab_Compteur_5[[#This Row],[Montant TTC]]/Tab_Compteur_5[[#This Row],[Delta Jour]],"")</f>
        <v>0</v>
      </c>
      <c r="H219" s="42"/>
      <c r="I219" s="42"/>
      <c r="J219" s="42"/>
      <c r="K219" s="42"/>
      <c r="L219" s="42"/>
    </row>
    <row r="220" spans="1:12" x14ac:dyDescent="0.25">
      <c r="A220" s="3"/>
      <c r="B220" s="3"/>
      <c r="C220" s="185"/>
      <c r="E220">
        <f t="shared" si="7"/>
        <v>1</v>
      </c>
      <c r="F220">
        <f>IFERROR(Tab_Compteur_5[[#This Row],[Quantité]]/Tab_Compteur_5[[#This Row],[Delta Jour]],"")</f>
        <v>0</v>
      </c>
      <c r="G220">
        <f>IFERROR(Tab_Compteur_5[[#This Row],[Montant TTC]]/Tab_Compteur_5[[#This Row],[Delta Jour]],"")</f>
        <v>0</v>
      </c>
      <c r="H220" s="42"/>
      <c r="I220" s="42"/>
      <c r="J220" s="42"/>
      <c r="K220" s="42"/>
      <c r="L220" s="42"/>
    </row>
    <row r="221" spans="1:12" x14ac:dyDescent="0.25">
      <c r="A221" s="3"/>
      <c r="B221" s="3"/>
      <c r="C221" s="185"/>
      <c r="E221">
        <f t="shared" si="7"/>
        <v>1</v>
      </c>
      <c r="F221">
        <f>IFERROR(Tab_Compteur_5[[#This Row],[Quantité]]/Tab_Compteur_5[[#This Row],[Delta Jour]],"")</f>
        <v>0</v>
      </c>
      <c r="G221">
        <f>IFERROR(Tab_Compteur_5[[#This Row],[Montant TTC]]/Tab_Compteur_5[[#This Row],[Delta Jour]],"")</f>
        <v>0</v>
      </c>
      <c r="H221" s="42"/>
      <c r="I221" s="42"/>
      <c r="J221" s="42"/>
      <c r="K221" s="42"/>
      <c r="L221" s="42"/>
    </row>
    <row r="222" spans="1:12" x14ac:dyDescent="0.25">
      <c r="A222" s="3"/>
      <c r="B222" s="3"/>
      <c r="C222" s="185"/>
      <c r="E222">
        <f t="shared" si="7"/>
        <v>1</v>
      </c>
      <c r="F222">
        <f>IFERROR(Tab_Compteur_5[[#This Row],[Quantité]]/Tab_Compteur_5[[#This Row],[Delta Jour]],"")</f>
        <v>0</v>
      </c>
      <c r="G222">
        <f>IFERROR(Tab_Compteur_5[[#This Row],[Montant TTC]]/Tab_Compteur_5[[#This Row],[Delta Jour]],"")</f>
        <v>0</v>
      </c>
      <c r="H222" s="42"/>
      <c r="I222" s="42"/>
      <c r="J222" s="42"/>
      <c r="K222" s="42"/>
      <c r="L222" s="42"/>
    </row>
    <row r="223" spans="1:12" x14ac:dyDescent="0.25">
      <c r="A223" s="3"/>
      <c r="B223" s="3"/>
      <c r="C223" s="185"/>
      <c r="E223">
        <f t="shared" si="7"/>
        <v>1</v>
      </c>
      <c r="F223">
        <f>IFERROR(Tab_Compteur_5[[#This Row],[Quantité]]/Tab_Compteur_5[[#This Row],[Delta Jour]],"")</f>
        <v>0</v>
      </c>
      <c r="G223">
        <f>IFERROR(Tab_Compteur_5[[#This Row],[Montant TTC]]/Tab_Compteur_5[[#This Row],[Delta Jour]],"")</f>
        <v>0</v>
      </c>
      <c r="H223" s="42"/>
      <c r="I223" s="42"/>
      <c r="J223" s="42"/>
      <c r="K223" s="42"/>
      <c r="L223" s="42"/>
    </row>
    <row r="224" spans="1:12" x14ac:dyDescent="0.25">
      <c r="A224" s="3"/>
      <c r="B224" s="3"/>
      <c r="C224" s="185"/>
      <c r="E224">
        <f t="shared" si="7"/>
        <v>1</v>
      </c>
      <c r="F224">
        <f>IFERROR(Tab_Compteur_5[[#This Row],[Quantité]]/Tab_Compteur_5[[#This Row],[Delta Jour]],"")</f>
        <v>0</v>
      </c>
      <c r="G224">
        <f>IFERROR(Tab_Compteur_5[[#This Row],[Montant TTC]]/Tab_Compteur_5[[#This Row],[Delta Jour]],"")</f>
        <v>0</v>
      </c>
      <c r="H224" s="42"/>
      <c r="I224" s="42"/>
      <c r="J224" s="42"/>
      <c r="K224" s="42"/>
      <c r="L224" s="42"/>
    </row>
    <row r="225" spans="1:12" x14ac:dyDescent="0.25">
      <c r="A225" s="3"/>
      <c r="B225" s="3"/>
      <c r="C225" s="185"/>
      <c r="E225">
        <f t="shared" si="7"/>
        <v>1</v>
      </c>
      <c r="F225">
        <f>IFERROR(Tab_Compteur_5[[#This Row],[Quantité]]/Tab_Compteur_5[[#This Row],[Delta Jour]],"")</f>
        <v>0</v>
      </c>
      <c r="G225">
        <f>IFERROR(Tab_Compteur_5[[#This Row],[Montant TTC]]/Tab_Compteur_5[[#This Row],[Delta Jour]],"")</f>
        <v>0</v>
      </c>
      <c r="H225" s="42"/>
      <c r="I225" s="42"/>
      <c r="J225" s="42"/>
      <c r="K225" s="42"/>
      <c r="L225" s="42"/>
    </row>
    <row r="226" spans="1:12" x14ac:dyDescent="0.25">
      <c r="A226" s="3"/>
      <c r="B226" s="3"/>
      <c r="C226" s="185"/>
      <c r="E226">
        <f t="shared" si="7"/>
        <v>1</v>
      </c>
      <c r="F226">
        <f>IFERROR(Tab_Compteur_5[[#This Row],[Quantité]]/Tab_Compteur_5[[#This Row],[Delta Jour]],"")</f>
        <v>0</v>
      </c>
      <c r="G226">
        <f>IFERROR(Tab_Compteur_5[[#This Row],[Montant TTC]]/Tab_Compteur_5[[#This Row],[Delta Jour]],"")</f>
        <v>0</v>
      </c>
      <c r="H226" s="42"/>
      <c r="I226" s="42"/>
      <c r="J226" s="42"/>
      <c r="K226" s="42"/>
      <c r="L226" s="42"/>
    </row>
    <row r="227" spans="1:12" x14ac:dyDescent="0.25">
      <c r="A227" s="3"/>
      <c r="B227" s="3"/>
      <c r="C227" s="185"/>
      <c r="E227">
        <f t="shared" si="7"/>
        <v>1</v>
      </c>
      <c r="F227">
        <f>IFERROR(Tab_Compteur_5[[#This Row],[Quantité]]/Tab_Compteur_5[[#This Row],[Delta Jour]],"")</f>
        <v>0</v>
      </c>
      <c r="G227">
        <f>IFERROR(Tab_Compteur_5[[#This Row],[Montant TTC]]/Tab_Compteur_5[[#This Row],[Delta Jour]],"")</f>
        <v>0</v>
      </c>
      <c r="H227" s="42"/>
      <c r="I227" s="42"/>
      <c r="J227" s="42"/>
      <c r="K227" s="42"/>
      <c r="L227" s="42"/>
    </row>
    <row r="228" spans="1:12" x14ac:dyDescent="0.25">
      <c r="A228" s="3"/>
      <c r="B228" s="3"/>
      <c r="C228" s="185"/>
      <c r="E228">
        <f t="shared" si="7"/>
        <v>1</v>
      </c>
      <c r="F228">
        <f>IFERROR(Tab_Compteur_5[[#This Row],[Quantité]]/Tab_Compteur_5[[#This Row],[Delta Jour]],"")</f>
        <v>0</v>
      </c>
      <c r="G228">
        <f>IFERROR(Tab_Compteur_5[[#This Row],[Montant TTC]]/Tab_Compteur_5[[#This Row],[Delta Jour]],"")</f>
        <v>0</v>
      </c>
      <c r="H228" s="42"/>
      <c r="I228" s="42"/>
      <c r="J228" s="42"/>
      <c r="K228" s="42"/>
      <c r="L228" s="42"/>
    </row>
    <row r="229" spans="1:12" x14ac:dyDescent="0.25">
      <c r="A229" s="3"/>
      <c r="B229" s="3"/>
      <c r="C229" s="185"/>
      <c r="E229">
        <f t="shared" si="7"/>
        <v>1</v>
      </c>
      <c r="F229">
        <f>IFERROR(Tab_Compteur_5[[#This Row],[Quantité]]/Tab_Compteur_5[[#This Row],[Delta Jour]],"")</f>
        <v>0</v>
      </c>
      <c r="G229">
        <f>IFERROR(Tab_Compteur_5[[#This Row],[Montant TTC]]/Tab_Compteur_5[[#This Row],[Delta Jour]],"")</f>
        <v>0</v>
      </c>
      <c r="H229" s="42"/>
      <c r="I229" s="42"/>
      <c r="J229" s="42"/>
      <c r="K229" s="42"/>
      <c r="L229" s="42"/>
    </row>
    <row r="230" spans="1:12" x14ac:dyDescent="0.25">
      <c r="A230" s="3"/>
      <c r="B230" s="3"/>
      <c r="C230" s="185"/>
      <c r="E230">
        <f t="shared" si="7"/>
        <v>1</v>
      </c>
      <c r="F230">
        <f>IFERROR(Tab_Compteur_5[[#This Row],[Quantité]]/Tab_Compteur_5[[#This Row],[Delta Jour]],"")</f>
        <v>0</v>
      </c>
      <c r="G230">
        <f>IFERROR(Tab_Compteur_5[[#This Row],[Montant TTC]]/Tab_Compteur_5[[#This Row],[Delta Jour]],"")</f>
        <v>0</v>
      </c>
      <c r="H230" s="42"/>
      <c r="I230" s="42"/>
      <c r="J230" s="42"/>
      <c r="K230" s="42"/>
      <c r="L230" s="42"/>
    </row>
    <row r="231" spans="1:12" x14ac:dyDescent="0.25">
      <c r="A231" s="3"/>
      <c r="B231" s="3"/>
      <c r="C231" s="185"/>
      <c r="E231">
        <f t="shared" si="7"/>
        <v>1</v>
      </c>
      <c r="F231">
        <f>IFERROR(Tab_Compteur_5[[#This Row],[Quantité]]/Tab_Compteur_5[[#This Row],[Delta Jour]],"")</f>
        <v>0</v>
      </c>
      <c r="G231">
        <f>IFERROR(Tab_Compteur_5[[#This Row],[Montant TTC]]/Tab_Compteur_5[[#This Row],[Delta Jour]],"")</f>
        <v>0</v>
      </c>
      <c r="H231" s="42"/>
      <c r="I231" s="42"/>
      <c r="J231" s="42"/>
      <c r="K231" s="42"/>
      <c r="L231" s="42"/>
    </row>
    <row r="232" spans="1:12" x14ac:dyDescent="0.25">
      <c r="A232" s="3"/>
      <c r="B232" s="3"/>
      <c r="C232" s="185"/>
      <c r="E232">
        <f t="shared" si="7"/>
        <v>1</v>
      </c>
      <c r="F232">
        <f>IFERROR(Tab_Compteur_5[[#This Row],[Quantité]]/Tab_Compteur_5[[#This Row],[Delta Jour]],"")</f>
        <v>0</v>
      </c>
      <c r="G232">
        <f>IFERROR(Tab_Compteur_5[[#This Row],[Montant TTC]]/Tab_Compteur_5[[#This Row],[Delta Jour]],"")</f>
        <v>0</v>
      </c>
      <c r="H232" s="42"/>
      <c r="I232" s="42"/>
      <c r="J232" s="42"/>
      <c r="K232" s="42"/>
      <c r="L232" s="42"/>
    </row>
    <row r="233" spans="1:12" x14ac:dyDescent="0.25">
      <c r="A233" s="3"/>
      <c r="B233" s="3"/>
      <c r="C233" s="185"/>
      <c r="E233">
        <f t="shared" si="7"/>
        <v>1</v>
      </c>
      <c r="F233">
        <f>IFERROR(Tab_Compteur_5[[#This Row],[Quantité]]/Tab_Compteur_5[[#This Row],[Delta Jour]],"")</f>
        <v>0</v>
      </c>
      <c r="G233">
        <f>IFERROR(Tab_Compteur_5[[#This Row],[Montant TTC]]/Tab_Compteur_5[[#This Row],[Delta Jour]],"")</f>
        <v>0</v>
      </c>
      <c r="H233" s="42"/>
      <c r="I233" s="42"/>
      <c r="J233" s="42"/>
      <c r="K233" s="42"/>
      <c r="L233" s="42"/>
    </row>
    <row r="234" spans="1:12" x14ac:dyDescent="0.25">
      <c r="A234" s="3"/>
      <c r="B234" s="3"/>
      <c r="C234" s="185"/>
      <c r="E234">
        <f t="shared" si="7"/>
        <v>1</v>
      </c>
      <c r="F234">
        <f>IFERROR(Tab_Compteur_5[[#This Row],[Quantité]]/Tab_Compteur_5[[#This Row],[Delta Jour]],"")</f>
        <v>0</v>
      </c>
      <c r="G234">
        <f>IFERROR(Tab_Compteur_5[[#This Row],[Montant TTC]]/Tab_Compteur_5[[#This Row],[Delta Jour]],"")</f>
        <v>0</v>
      </c>
      <c r="H234" s="42"/>
      <c r="I234" s="42"/>
      <c r="J234" s="42"/>
      <c r="K234" s="42"/>
      <c r="L234" s="42"/>
    </row>
    <row r="235" spans="1:12" x14ac:dyDescent="0.25">
      <c r="A235" s="3"/>
      <c r="B235" s="3"/>
      <c r="C235" s="185"/>
      <c r="E235">
        <f t="shared" si="7"/>
        <v>1</v>
      </c>
      <c r="F235">
        <f>IFERROR(Tab_Compteur_5[[#This Row],[Quantité]]/Tab_Compteur_5[[#This Row],[Delta Jour]],"")</f>
        <v>0</v>
      </c>
      <c r="G235">
        <f>IFERROR(Tab_Compteur_5[[#This Row],[Montant TTC]]/Tab_Compteur_5[[#This Row],[Delta Jour]],"")</f>
        <v>0</v>
      </c>
      <c r="H235" s="42"/>
      <c r="I235" s="42"/>
      <c r="J235" s="42"/>
      <c r="K235" s="42"/>
      <c r="L235" s="42"/>
    </row>
    <row r="236" spans="1:12" x14ac:dyDescent="0.25">
      <c r="A236" s="3"/>
      <c r="B236" s="3"/>
      <c r="C236" s="185"/>
      <c r="E236">
        <f t="shared" si="7"/>
        <v>1</v>
      </c>
      <c r="F236">
        <f>IFERROR(Tab_Compteur_5[[#This Row],[Quantité]]/Tab_Compteur_5[[#This Row],[Delta Jour]],"")</f>
        <v>0</v>
      </c>
      <c r="G236">
        <f>IFERROR(Tab_Compteur_5[[#This Row],[Montant TTC]]/Tab_Compteur_5[[#This Row],[Delta Jour]],"")</f>
        <v>0</v>
      </c>
      <c r="H236" s="42"/>
      <c r="I236" s="42"/>
      <c r="J236" s="42"/>
      <c r="K236" s="42"/>
      <c r="L236" s="42"/>
    </row>
    <row r="237" spans="1:12" x14ac:dyDescent="0.25">
      <c r="A237" s="3"/>
      <c r="B237" s="3"/>
      <c r="C237" s="185"/>
      <c r="E237">
        <f t="shared" si="7"/>
        <v>1</v>
      </c>
      <c r="F237">
        <f>IFERROR(Tab_Compteur_5[[#This Row],[Quantité]]/Tab_Compteur_5[[#This Row],[Delta Jour]],"")</f>
        <v>0</v>
      </c>
      <c r="G237">
        <f>IFERROR(Tab_Compteur_5[[#This Row],[Montant TTC]]/Tab_Compteur_5[[#This Row],[Delta Jour]],"")</f>
        <v>0</v>
      </c>
      <c r="H237" s="42"/>
      <c r="I237" s="42"/>
      <c r="J237" s="42"/>
      <c r="K237" s="42"/>
      <c r="L237" s="42"/>
    </row>
    <row r="238" spans="1:12" x14ac:dyDescent="0.25">
      <c r="A238" s="3"/>
      <c r="B238" s="3"/>
      <c r="C238" s="185"/>
      <c r="E238">
        <f t="shared" si="7"/>
        <v>1</v>
      </c>
      <c r="F238">
        <f>IFERROR(Tab_Compteur_5[[#This Row],[Quantité]]/Tab_Compteur_5[[#This Row],[Delta Jour]],"")</f>
        <v>0</v>
      </c>
      <c r="G238">
        <f>IFERROR(Tab_Compteur_5[[#This Row],[Montant TTC]]/Tab_Compteur_5[[#This Row],[Delta Jour]],"")</f>
        <v>0</v>
      </c>
      <c r="H238" s="42"/>
      <c r="I238" s="42"/>
      <c r="J238" s="42"/>
      <c r="K238" s="42"/>
      <c r="L238" s="42"/>
    </row>
    <row r="239" spans="1:12" x14ac:dyDescent="0.25">
      <c r="A239" s="3"/>
      <c r="B239" s="3"/>
      <c r="C239" s="185"/>
      <c r="E239">
        <f t="shared" si="7"/>
        <v>1</v>
      </c>
      <c r="F239">
        <f>IFERROR(Tab_Compteur_5[[#This Row],[Quantité]]/Tab_Compteur_5[[#This Row],[Delta Jour]],"")</f>
        <v>0</v>
      </c>
      <c r="G239">
        <f>IFERROR(Tab_Compteur_5[[#This Row],[Montant TTC]]/Tab_Compteur_5[[#This Row],[Delta Jour]],"")</f>
        <v>0</v>
      </c>
      <c r="H239" s="42"/>
      <c r="I239" s="42"/>
      <c r="J239" s="42"/>
      <c r="K239" s="42"/>
      <c r="L239" s="42"/>
    </row>
    <row r="240" spans="1:12" x14ac:dyDescent="0.25">
      <c r="A240" s="3"/>
      <c r="B240" s="3"/>
      <c r="C240" s="185"/>
      <c r="E240">
        <f t="shared" si="7"/>
        <v>1</v>
      </c>
      <c r="F240">
        <f>IFERROR(Tab_Compteur_5[[#This Row],[Quantité]]/Tab_Compteur_5[[#This Row],[Delta Jour]],"")</f>
        <v>0</v>
      </c>
      <c r="G240">
        <f>IFERROR(Tab_Compteur_5[[#This Row],[Montant TTC]]/Tab_Compteur_5[[#This Row],[Delta Jour]],"")</f>
        <v>0</v>
      </c>
      <c r="H240" s="42"/>
      <c r="I240" s="42"/>
      <c r="J240" s="42"/>
      <c r="K240" s="42"/>
      <c r="L240" s="42"/>
    </row>
    <row r="241" spans="1:12" x14ac:dyDescent="0.25">
      <c r="A241" s="3"/>
      <c r="B241" s="3"/>
      <c r="C241" s="185"/>
      <c r="E241">
        <f t="shared" si="7"/>
        <v>1</v>
      </c>
      <c r="F241">
        <f>IFERROR(Tab_Compteur_5[[#This Row],[Quantité]]/Tab_Compteur_5[[#This Row],[Delta Jour]],"")</f>
        <v>0</v>
      </c>
      <c r="G241">
        <f>IFERROR(Tab_Compteur_5[[#This Row],[Montant TTC]]/Tab_Compteur_5[[#This Row],[Delta Jour]],"")</f>
        <v>0</v>
      </c>
      <c r="H241" s="42"/>
      <c r="I241" s="42"/>
      <c r="J241" s="42"/>
      <c r="K241" s="42"/>
      <c r="L241" s="42"/>
    </row>
    <row r="242" spans="1:12" x14ac:dyDescent="0.25">
      <c r="A242" s="3"/>
      <c r="B242" s="3"/>
      <c r="C242" s="185"/>
      <c r="E242">
        <f t="shared" si="7"/>
        <v>1</v>
      </c>
      <c r="F242">
        <f>IFERROR(Tab_Compteur_5[[#This Row],[Quantité]]/Tab_Compteur_5[[#This Row],[Delta Jour]],"")</f>
        <v>0</v>
      </c>
      <c r="G242">
        <f>IFERROR(Tab_Compteur_5[[#This Row],[Montant TTC]]/Tab_Compteur_5[[#This Row],[Delta Jour]],"")</f>
        <v>0</v>
      </c>
      <c r="H242" s="42"/>
      <c r="I242" s="42"/>
      <c r="J242" s="42"/>
      <c r="K242" s="42"/>
      <c r="L242" s="42"/>
    </row>
  </sheetData>
  <sheetProtection sheet="1" objects="1" scenarios="1"/>
  <protectedRanges>
    <protectedRange sqref="A3:D142" name="Données_compteur5_1"/>
    <protectedRange sqref="A143:D242 H1:L1048576" name="Données_compteur5"/>
  </protectedRanges>
  <mergeCells count="1">
    <mergeCell ref="H7:L18"/>
  </mergeCells>
  <pageMargins left="0.7" right="0.7" top="0.75" bottom="0.75" header="0.3" footer="0.3"/>
  <pageSetup paperSize="9" orientation="portrait"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workbookViewId="0">
      <selection activeCell="C3" sqref="C3:D158"/>
    </sheetView>
  </sheetViews>
  <sheetFormatPr baseColWidth="10" defaultColWidth="0" defaultRowHeight="15" zeroHeight="1" x14ac:dyDescent="0.25"/>
  <cols>
    <col min="1" max="1" width="29.28515625" customWidth="1"/>
    <col min="2" max="2" width="17.140625" customWidth="1"/>
    <col min="3" max="3" width="13.85546875" customWidth="1"/>
    <col min="4" max="4" width="15.42578125" style="179" customWidth="1"/>
    <col min="5" max="5" width="11.5703125" hidden="1" customWidth="1"/>
    <col min="6" max="7" width="11.42578125" hidden="1" customWidth="1"/>
    <col min="8" max="12" width="11.42578125" customWidth="1"/>
    <col min="13" max="16384" width="11.42578125" hidden="1"/>
  </cols>
  <sheetData>
    <row r="1" spans="1:12" x14ac:dyDescent="0.25">
      <c r="A1" s="31" t="s">
        <v>119</v>
      </c>
      <c r="B1" s="1" t="s">
        <v>28</v>
      </c>
      <c r="C1" s="64" t="s">
        <v>30</v>
      </c>
      <c r="D1" s="201" t="s">
        <v>29</v>
      </c>
      <c r="E1" s="32" t="s">
        <v>0</v>
      </c>
      <c r="F1" s="45" t="s">
        <v>31</v>
      </c>
      <c r="G1" s="46" t="s">
        <v>32</v>
      </c>
      <c r="H1" s="42"/>
      <c r="I1" s="42"/>
      <c r="J1" s="42"/>
      <c r="K1" s="42"/>
      <c r="L1" s="42"/>
    </row>
    <row r="2" spans="1:12" hidden="1" x14ac:dyDescent="0.25">
      <c r="A2" s="3"/>
      <c r="B2" s="61">
        <f t="shared" ref="B2" si="0">A3-1</f>
        <v>0</v>
      </c>
      <c r="C2" s="62"/>
      <c r="E2">
        <f t="shared" ref="E2:E65" si="1">IFERROR(B2-A2+1,"")</f>
        <v>1</v>
      </c>
      <c r="F2">
        <f>IFERROR(Tab_Compteur_6[[#This Row],[Quantité]]/Tab_Compteur_6[[#This Row],[Delta Jour]],"")</f>
        <v>0</v>
      </c>
      <c r="G2">
        <f>IFERROR(Tab_Compteur_6[[#This Row],[Montant TTC]]/Tab_Compteur_6[[#This Row],[Delta Jour]],"")</f>
        <v>0</v>
      </c>
      <c r="H2" s="42"/>
      <c r="I2" s="42"/>
      <c r="J2" s="42"/>
      <c r="K2" s="42"/>
      <c r="L2" s="42"/>
    </row>
    <row r="3" spans="1:12" x14ac:dyDescent="0.25">
      <c r="A3" s="3">
        <f>EDATE(B3,-Site!I35)+1</f>
        <v>1</v>
      </c>
      <c r="B3" s="3">
        <f>Site!H38</f>
        <v>0</v>
      </c>
      <c r="C3" s="291"/>
      <c r="E3">
        <f t="shared" si="1"/>
        <v>0</v>
      </c>
      <c r="F3" t="str">
        <f>IFERROR(Tab_Compteur_6[[#This Row],[Quantité]]/Tab_Compteur_6[[#This Row],[Delta Jour]],"")</f>
        <v/>
      </c>
      <c r="G3" t="str">
        <f>IFERROR(Tab_Compteur_6[[#This Row],[Montant TTC]]/Tab_Compteur_6[[#This Row],[Delta Jour]],"")</f>
        <v/>
      </c>
      <c r="H3" s="42"/>
      <c r="I3" s="42"/>
      <c r="J3" s="42"/>
      <c r="K3" s="42"/>
      <c r="L3" s="42"/>
    </row>
    <row r="4" spans="1:12" x14ac:dyDescent="0.25">
      <c r="A4" s="61">
        <f>B3+1</f>
        <v>1</v>
      </c>
      <c r="B4" s="3">
        <f>EDATE($B$3,Site!$I$38*(ROW(Tab_Compteur_6[[#This Row],[Début de période]])-3))</f>
        <v>0</v>
      </c>
      <c r="C4" s="291"/>
      <c r="E4">
        <f t="shared" si="1"/>
        <v>0</v>
      </c>
      <c r="F4" t="str">
        <f>IFERROR(Tab_Compteur_6[[#This Row],[Quantité]]/Tab_Compteur_6[[#This Row],[Delta Jour]],"")</f>
        <v/>
      </c>
      <c r="G4" t="str">
        <f>IFERROR(Tab_Compteur_6[[#This Row],[Montant TTC]]/Tab_Compteur_6[[#This Row],[Delta Jour]],"")</f>
        <v/>
      </c>
      <c r="H4" s="42"/>
      <c r="I4" s="42"/>
      <c r="J4" s="42"/>
      <c r="K4" s="42"/>
      <c r="L4" s="42"/>
    </row>
    <row r="5" spans="1:12" x14ac:dyDescent="0.25">
      <c r="A5" s="61">
        <f t="shared" ref="A5:A68" si="2">B4+1</f>
        <v>1</v>
      </c>
      <c r="B5" s="3">
        <f>EDATE($B$3,Site!$I$38*(ROW(Tab_Compteur_6[[#This Row],[Début de période]])-3))</f>
        <v>0</v>
      </c>
      <c r="C5" s="291"/>
      <c r="E5">
        <f t="shared" si="1"/>
        <v>0</v>
      </c>
      <c r="F5" t="str">
        <f>IFERROR(Tab_Compteur_6[[#This Row],[Quantité]]/Tab_Compteur_6[[#This Row],[Delta Jour]],"")</f>
        <v/>
      </c>
      <c r="G5" t="str">
        <f>IFERROR(Tab_Compteur_6[[#This Row],[Montant TTC]]/Tab_Compteur_6[[#This Row],[Delta Jour]],"")</f>
        <v/>
      </c>
      <c r="H5" s="42"/>
      <c r="I5" s="42"/>
      <c r="J5" s="42"/>
      <c r="K5" s="42"/>
      <c r="L5" s="42"/>
    </row>
    <row r="6" spans="1:12" x14ac:dyDescent="0.25">
      <c r="A6" s="61">
        <f t="shared" si="2"/>
        <v>1</v>
      </c>
      <c r="B6" s="3">
        <f>EDATE($B$3,Site!$I$38*(ROW(Tab_Compteur_6[[#This Row],[Début de période]])-3))</f>
        <v>0</v>
      </c>
      <c r="C6" s="291"/>
      <c r="E6">
        <f t="shared" si="1"/>
        <v>0</v>
      </c>
      <c r="F6" t="str">
        <f>IFERROR(Tab_Compteur_6[[#This Row],[Quantité]]/Tab_Compteur_6[[#This Row],[Delta Jour]],"")</f>
        <v/>
      </c>
      <c r="G6" t="str">
        <f>IFERROR(Tab_Compteur_6[[#This Row],[Montant TTC]]/Tab_Compteur_6[[#This Row],[Delta Jour]],"")</f>
        <v/>
      </c>
      <c r="H6" s="42"/>
      <c r="I6" s="42"/>
      <c r="J6" s="42"/>
      <c r="K6" s="42"/>
      <c r="L6" s="42"/>
    </row>
    <row r="7" spans="1:12" x14ac:dyDescent="0.25">
      <c r="A7" s="61">
        <f t="shared" si="2"/>
        <v>1</v>
      </c>
      <c r="B7" s="3">
        <f>EDATE($B$3,Site!$I$38*(ROW(Tab_Compteur_6[[#This Row],[Début de période]])-3))</f>
        <v>0</v>
      </c>
      <c r="C7" s="291"/>
      <c r="E7">
        <f t="shared" si="1"/>
        <v>0</v>
      </c>
      <c r="F7" t="str">
        <f>IFERROR(Tab_Compteur_6[[#This Row],[Quantité]]/Tab_Compteur_6[[#This Row],[Delta Jour]],"")</f>
        <v/>
      </c>
      <c r="G7" t="str">
        <f>IFERROR(Tab_Compteur_6[[#This Row],[Montant TTC]]/Tab_Compteur_6[[#This Row],[Delta Jour]],"")</f>
        <v/>
      </c>
      <c r="H7" s="356" t="str">
        <f>Compteur_1!H9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I7" s="357"/>
      <c r="J7" s="357"/>
      <c r="K7" s="357"/>
      <c r="L7" s="357"/>
    </row>
    <row r="8" spans="1:12" x14ac:dyDescent="0.25">
      <c r="A8" s="61">
        <f t="shared" si="2"/>
        <v>1</v>
      </c>
      <c r="B8" s="3">
        <f>EDATE($B$3,Site!$I$38*(ROW(Tab_Compteur_6[[#This Row],[Début de période]])-3))</f>
        <v>0</v>
      </c>
      <c r="C8" s="291"/>
      <c r="E8">
        <f t="shared" si="1"/>
        <v>0</v>
      </c>
      <c r="F8" t="str">
        <f>IFERROR(Tab_Compteur_6[[#This Row],[Quantité]]/Tab_Compteur_6[[#This Row],[Delta Jour]],"")</f>
        <v/>
      </c>
      <c r="G8" t="str">
        <f>IFERROR(Tab_Compteur_6[[#This Row],[Montant TTC]]/Tab_Compteur_6[[#This Row],[Delta Jour]],"")</f>
        <v/>
      </c>
      <c r="H8" s="357"/>
      <c r="I8" s="357"/>
      <c r="J8" s="357"/>
      <c r="K8" s="357"/>
      <c r="L8" s="357"/>
    </row>
    <row r="9" spans="1:12" x14ac:dyDescent="0.25">
      <c r="A9" s="61">
        <f t="shared" si="2"/>
        <v>1</v>
      </c>
      <c r="B9" s="3">
        <f>EDATE($B$3,Site!$I$38*(ROW(Tab_Compteur_6[[#This Row],[Début de période]])-3))</f>
        <v>0</v>
      </c>
      <c r="C9" s="291"/>
      <c r="E9">
        <f t="shared" si="1"/>
        <v>0</v>
      </c>
      <c r="F9" t="str">
        <f>IFERROR(Tab_Compteur_6[[#This Row],[Quantité]]/Tab_Compteur_6[[#This Row],[Delta Jour]],"")</f>
        <v/>
      </c>
      <c r="G9" t="str">
        <f>IFERROR(Tab_Compteur_6[[#This Row],[Montant TTC]]/Tab_Compteur_6[[#This Row],[Delta Jour]],"")</f>
        <v/>
      </c>
      <c r="H9" s="357"/>
      <c r="I9" s="357"/>
      <c r="J9" s="357"/>
      <c r="K9" s="357"/>
      <c r="L9" s="357"/>
    </row>
    <row r="10" spans="1:12" x14ac:dyDescent="0.25">
      <c r="A10" s="61">
        <f t="shared" si="2"/>
        <v>1</v>
      </c>
      <c r="B10" s="3">
        <f>EDATE($B$3,Site!$I$38*(ROW(Tab_Compteur_6[[#This Row],[Début de période]])-3))</f>
        <v>0</v>
      </c>
      <c r="C10" s="291"/>
      <c r="E10">
        <f t="shared" si="1"/>
        <v>0</v>
      </c>
      <c r="F10" t="str">
        <f>IFERROR(Tab_Compteur_6[[#This Row],[Quantité]]/Tab_Compteur_6[[#This Row],[Delta Jour]],"")</f>
        <v/>
      </c>
      <c r="G10" t="str">
        <f>IFERROR(Tab_Compteur_6[[#This Row],[Montant TTC]]/Tab_Compteur_6[[#This Row],[Delta Jour]],"")</f>
        <v/>
      </c>
      <c r="H10" s="357"/>
      <c r="I10" s="357"/>
      <c r="J10" s="357"/>
      <c r="K10" s="357"/>
      <c r="L10" s="357"/>
    </row>
    <row r="11" spans="1:12" x14ac:dyDescent="0.25">
      <c r="A11" s="61">
        <f t="shared" si="2"/>
        <v>1</v>
      </c>
      <c r="B11" s="3">
        <f>EDATE($B$3,Site!$I$38*(ROW(Tab_Compteur_6[[#This Row],[Début de période]])-3))</f>
        <v>0</v>
      </c>
      <c r="C11" s="291"/>
      <c r="E11">
        <f t="shared" si="1"/>
        <v>0</v>
      </c>
      <c r="F11" t="str">
        <f>IFERROR(Tab_Compteur_6[[#This Row],[Quantité]]/Tab_Compteur_6[[#This Row],[Delta Jour]],"")</f>
        <v/>
      </c>
      <c r="G11" t="str">
        <f>IFERROR(Tab_Compteur_6[[#This Row],[Montant TTC]]/Tab_Compteur_6[[#This Row],[Delta Jour]],"")</f>
        <v/>
      </c>
      <c r="H11" s="357"/>
      <c r="I11" s="357"/>
      <c r="J11" s="357"/>
      <c r="K11" s="357"/>
      <c r="L11" s="357"/>
    </row>
    <row r="12" spans="1:12" x14ac:dyDescent="0.25">
      <c r="A12" s="61">
        <f t="shared" si="2"/>
        <v>1</v>
      </c>
      <c r="B12" s="3">
        <f>EDATE($B$3,Site!$I$38*(ROW(Tab_Compteur_6[[#This Row],[Début de période]])-3))</f>
        <v>0</v>
      </c>
      <c r="C12" s="291"/>
      <c r="E12">
        <f t="shared" si="1"/>
        <v>0</v>
      </c>
      <c r="F12" t="str">
        <f>IFERROR(Tab_Compteur_6[[#This Row],[Quantité]]/Tab_Compteur_6[[#This Row],[Delta Jour]],"")</f>
        <v/>
      </c>
      <c r="G12" t="str">
        <f>IFERROR(Tab_Compteur_6[[#This Row],[Montant TTC]]/Tab_Compteur_6[[#This Row],[Delta Jour]],"")</f>
        <v/>
      </c>
      <c r="H12" s="357"/>
      <c r="I12" s="357"/>
      <c r="J12" s="357"/>
      <c r="K12" s="357"/>
      <c r="L12" s="357"/>
    </row>
    <row r="13" spans="1:12" x14ac:dyDescent="0.25">
      <c r="A13" s="61">
        <f t="shared" si="2"/>
        <v>1</v>
      </c>
      <c r="B13" s="3">
        <f>EDATE($B$3,Site!$I$38*(ROW(Tab_Compteur_6[[#This Row],[Début de période]])-3))</f>
        <v>0</v>
      </c>
      <c r="C13" s="291"/>
      <c r="E13">
        <f t="shared" si="1"/>
        <v>0</v>
      </c>
      <c r="F13" t="str">
        <f>IFERROR(Tab_Compteur_6[[#This Row],[Quantité]]/Tab_Compteur_6[[#This Row],[Delta Jour]],"")</f>
        <v/>
      </c>
      <c r="G13" t="str">
        <f>IFERROR(Tab_Compteur_6[[#This Row],[Montant TTC]]/Tab_Compteur_6[[#This Row],[Delta Jour]],"")</f>
        <v/>
      </c>
      <c r="H13" s="357"/>
      <c r="I13" s="357"/>
      <c r="J13" s="357"/>
      <c r="K13" s="357"/>
      <c r="L13" s="357"/>
    </row>
    <row r="14" spans="1:12" x14ac:dyDescent="0.25">
      <c r="A14" s="61">
        <f t="shared" si="2"/>
        <v>1</v>
      </c>
      <c r="B14" s="3">
        <f>EDATE($B$3,Site!$I$38*(ROW(Tab_Compteur_6[[#This Row],[Début de période]])-3))</f>
        <v>0</v>
      </c>
      <c r="C14" s="291"/>
      <c r="E14">
        <f t="shared" si="1"/>
        <v>0</v>
      </c>
      <c r="F14" t="str">
        <f>IFERROR(Tab_Compteur_6[[#This Row],[Quantité]]/Tab_Compteur_6[[#This Row],[Delta Jour]],"")</f>
        <v/>
      </c>
      <c r="G14" t="str">
        <f>IFERROR(Tab_Compteur_6[[#This Row],[Montant TTC]]/Tab_Compteur_6[[#This Row],[Delta Jour]],"")</f>
        <v/>
      </c>
      <c r="H14" s="357"/>
      <c r="I14" s="357"/>
      <c r="J14" s="357"/>
      <c r="K14" s="357"/>
      <c r="L14" s="357"/>
    </row>
    <row r="15" spans="1:12" x14ac:dyDescent="0.25">
      <c r="A15" s="61">
        <f t="shared" si="2"/>
        <v>1</v>
      </c>
      <c r="B15" s="3">
        <f>EDATE($B$3,Site!$I$38*(ROW(Tab_Compteur_6[[#This Row],[Début de période]])-3))</f>
        <v>0</v>
      </c>
      <c r="C15" s="291"/>
      <c r="E15">
        <f t="shared" si="1"/>
        <v>0</v>
      </c>
      <c r="F15" t="str">
        <f>IFERROR(Tab_Compteur_6[[#This Row],[Quantité]]/Tab_Compteur_6[[#This Row],[Delta Jour]],"")</f>
        <v/>
      </c>
      <c r="G15" t="str">
        <f>IFERROR(Tab_Compteur_6[[#This Row],[Montant TTC]]/Tab_Compteur_6[[#This Row],[Delta Jour]],"")</f>
        <v/>
      </c>
      <c r="H15" s="357"/>
      <c r="I15" s="357"/>
      <c r="J15" s="357"/>
      <c r="K15" s="357"/>
      <c r="L15" s="357"/>
    </row>
    <row r="16" spans="1:12" x14ac:dyDescent="0.25">
      <c r="A16" s="61">
        <f t="shared" si="2"/>
        <v>1</v>
      </c>
      <c r="B16" s="3">
        <f>EDATE($B$3,Site!$I$38*(ROW(Tab_Compteur_6[[#This Row],[Début de période]])-3))</f>
        <v>0</v>
      </c>
      <c r="C16" s="291"/>
      <c r="E16">
        <f t="shared" si="1"/>
        <v>0</v>
      </c>
      <c r="F16" t="str">
        <f>IFERROR(Tab_Compteur_6[[#This Row],[Quantité]]/Tab_Compteur_6[[#This Row],[Delta Jour]],"")</f>
        <v/>
      </c>
      <c r="G16" t="str">
        <f>IFERROR(Tab_Compteur_6[[#This Row],[Montant TTC]]/Tab_Compteur_6[[#This Row],[Delta Jour]],"")</f>
        <v/>
      </c>
      <c r="H16" s="357"/>
      <c r="I16" s="357"/>
      <c r="J16" s="357"/>
      <c r="K16" s="357"/>
      <c r="L16" s="357"/>
    </row>
    <row r="17" spans="1:12" x14ac:dyDescent="0.25">
      <c r="A17" s="61">
        <f t="shared" si="2"/>
        <v>1</v>
      </c>
      <c r="B17" s="3">
        <f>EDATE($B$3,Site!$I$38*(ROW(Tab_Compteur_6[[#This Row],[Début de période]])-3))</f>
        <v>0</v>
      </c>
      <c r="C17" s="185"/>
      <c r="E17">
        <f t="shared" si="1"/>
        <v>0</v>
      </c>
      <c r="F17" t="str">
        <f>IFERROR(Tab_Compteur_6[[#This Row],[Quantité]]/Tab_Compteur_6[[#This Row],[Delta Jour]],"")</f>
        <v/>
      </c>
      <c r="G17" t="str">
        <f>IFERROR(Tab_Compteur_6[[#This Row],[Montant TTC]]/Tab_Compteur_6[[#This Row],[Delta Jour]],"")</f>
        <v/>
      </c>
      <c r="H17" s="357"/>
      <c r="I17" s="357"/>
      <c r="J17" s="357"/>
      <c r="K17" s="357"/>
      <c r="L17" s="357"/>
    </row>
    <row r="18" spans="1:12" x14ac:dyDescent="0.25">
      <c r="A18" s="61">
        <f t="shared" si="2"/>
        <v>1</v>
      </c>
      <c r="B18" s="3">
        <f>EDATE($B$3,Site!$I$38*(ROW(Tab_Compteur_6[[#This Row],[Début de période]])-3))</f>
        <v>0</v>
      </c>
      <c r="C18" s="292"/>
      <c r="D18" s="202"/>
      <c r="E18">
        <f t="shared" si="1"/>
        <v>0</v>
      </c>
      <c r="F18" t="str">
        <f>IFERROR(Tab_Compteur_6[[#This Row],[Quantité]]/Tab_Compteur_6[[#This Row],[Delta Jour]],"")</f>
        <v/>
      </c>
      <c r="G18" t="str">
        <f>IFERROR(Tab_Compteur_6[[#This Row],[Montant TTC]]/Tab_Compteur_6[[#This Row],[Delta Jour]],"")</f>
        <v/>
      </c>
      <c r="H18" s="357"/>
      <c r="I18" s="357"/>
      <c r="J18" s="357"/>
      <c r="K18" s="357"/>
      <c r="L18" s="357"/>
    </row>
    <row r="19" spans="1:12" x14ac:dyDescent="0.25">
      <c r="A19" s="61">
        <f t="shared" si="2"/>
        <v>1</v>
      </c>
      <c r="B19" s="3">
        <f>EDATE($B$3,Site!$I$38*(ROW(Tab_Compteur_6[[#This Row],[Début de période]])-3))</f>
        <v>0</v>
      </c>
      <c r="C19" s="187"/>
      <c r="D19" s="202"/>
      <c r="E19">
        <f t="shared" si="1"/>
        <v>0</v>
      </c>
      <c r="F19" t="str">
        <f>IFERROR(Tab_Compteur_6[[#This Row],[Quantité]]/Tab_Compteur_6[[#This Row],[Delta Jour]],"")</f>
        <v/>
      </c>
      <c r="G19" t="str">
        <f>IFERROR(Tab_Compteur_6[[#This Row],[Montant TTC]]/Tab_Compteur_6[[#This Row],[Delta Jour]],"")</f>
        <v/>
      </c>
      <c r="H19" s="42"/>
      <c r="I19" s="42"/>
      <c r="J19" s="42"/>
      <c r="K19" s="42"/>
      <c r="L19" s="42"/>
    </row>
    <row r="20" spans="1:12" x14ac:dyDescent="0.25">
      <c r="A20" s="61">
        <f t="shared" si="2"/>
        <v>1</v>
      </c>
      <c r="B20" s="3">
        <f>EDATE($B$3,Site!$I$38*(ROW(Tab_Compteur_6[[#This Row],[Début de période]])-3))</f>
        <v>0</v>
      </c>
      <c r="C20" s="187"/>
      <c r="D20" s="202"/>
      <c r="E20">
        <f t="shared" si="1"/>
        <v>0</v>
      </c>
      <c r="F20" t="str">
        <f>IFERROR(Tab_Compteur_6[[#This Row],[Quantité]]/Tab_Compteur_6[[#This Row],[Delta Jour]],"")</f>
        <v/>
      </c>
      <c r="G20" t="str">
        <f>IFERROR(Tab_Compteur_6[[#This Row],[Montant TTC]]/Tab_Compteur_6[[#This Row],[Delta Jour]],"")</f>
        <v/>
      </c>
      <c r="H20" s="42"/>
      <c r="I20" s="42"/>
      <c r="J20" s="42"/>
      <c r="K20" s="42"/>
      <c r="L20" s="42"/>
    </row>
    <row r="21" spans="1:12" x14ac:dyDescent="0.25">
      <c r="A21" s="61">
        <f t="shared" si="2"/>
        <v>1</v>
      </c>
      <c r="B21" s="3">
        <f>EDATE($B$3,Site!$I$38*(ROW(Tab_Compteur_6[[#This Row],[Début de période]])-3))</f>
        <v>0</v>
      </c>
      <c r="C21" s="187"/>
      <c r="D21" s="202"/>
      <c r="E21">
        <f t="shared" si="1"/>
        <v>0</v>
      </c>
      <c r="F21" t="str">
        <f>IFERROR(Tab_Compteur_6[[#This Row],[Quantité]]/Tab_Compteur_6[[#This Row],[Delta Jour]],"")</f>
        <v/>
      </c>
      <c r="G21" t="str">
        <f>IFERROR(Tab_Compteur_6[[#This Row],[Montant TTC]]/Tab_Compteur_6[[#This Row],[Delta Jour]],"")</f>
        <v/>
      </c>
      <c r="H21" s="42"/>
      <c r="I21" s="42"/>
      <c r="J21" s="42"/>
      <c r="K21" s="42"/>
      <c r="L21" s="42"/>
    </row>
    <row r="22" spans="1:12" x14ac:dyDescent="0.25">
      <c r="A22" s="61">
        <f t="shared" si="2"/>
        <v>1</v>
      </c>
      <c r="B22" s="3">
        <f>EDATE($B$3,Site!$I$38*(ROW(Tab_Compteur_6[[#This Row],[Début de période]])-3))</f>
        <v>0</v>
      </c>
      <c r="C22" s="187"/>
      <c r="D22" s="202"/>
      <c r="E22">
        <f t="shared" si="1"/>
        <v>0</v>
      </c>
      <c r="F22" t="str">
        <f>IFERROR(Tab_Compteur_6[[#This Row],[Quantité]]/Tab_Compteur_6[[#This Row],[Delta Jour]],"")</f>
        <v/>
      </c>
      <c r="G22" t="str">
        <f>IFERROR(Tab_Compteur_6[[#This Row],[Montant TTC]]/Tab_Compteur_6[[#This Row],[Delta Jour]],"")</f>
        <v/>
      </c>
      <c r="H22" s="42"/>
      <c r="I22" s="42"/>
      <c r="J22" s="42"/>
      <c r="K22" s="42"/>
      <c r="L22" s="42"/>
    </row>
    <row r="23" spans="1:12" x14ac:dyDescent="0.25">
      <c r="A23" s="61">
        <f t="shared" si="2"/>
        <v>1</v>
      </c>
      <c r="B23" s="3">
        <f>EDATE($B$3,Site!$I$38*(ROW(Tab_Compteur_6[[#This Row],[Début de période]])-3))</f>
        <v>0</v>
      </c>
      <c r="C23" s="187"/>
      <c r="D23" s="202"/>
      <c r="E23">
        <f t="shared" si="1"/>
        <v>0</v>
      </c>
      <c r="F23" t="str">
        <f>IFERROR(Tab_Compteur_6[[#This Row],[Quantité]]/Tab_Compteur_6[[#This Row],[Delta Jour]],"")</f>
        <v/>
      </c>
      <c r="G23" t="str">
        <f>IFERROR(Tab_Compteur_6[[#This Row],[Montant TTC]]/Tab_Compteur_6[[#This Row],[Delta Jour]],"")</f>
        <v/>
      </c>
      <c r="H23" s="42"/>
      <c r="I23" s="42"/>
      <c r="J23" s="42"/>
      <c r="K23" s="42"/>
      <c r="L23" s="42"/>
    </row>
    <row r="24" spans="1:12" x14ac:dyDescent="0.25">
      <c r="A24" s="61">
        <f t="shared" si="2"/>
        <v>1</v>
      </c>
      <c r="B24" s="3">
        <f>EDATE($B$3,Site!$I$38*(ROW(Tab_Compteur_6[[#This Row],[Début de période]])-3))</f>
        <v>0</v>
      </c>
      <c r="C24" s="187"/>
      <c r="D24" s="202"/>
      <c r="E24">
        <f t="shared" si="1"/>
        <v>0</v>
      </c>
      <c r="F24" t="str">
        <f>IFERROR(Tab_Compteur_6[[#This Row],[Quantité]]/Tab_Compteur_6[[#This Row],[Delta Jour]],"")</f>
        <v/>
      </c>
      <c r="G24" t="str">
        <f>IFERROR(Tab_Compteur_6[[#This Row],[Montant TTC]]/Tab_Compteur_6[[#This Row],[Delta Jour]],"")</f>
        <v/>
      </c>
      <c r="H24" s="42"/>
      <c r="I24" s="42"/>
      <c r="J24" s="42"/>
      <c r="K24" s="42"/>
      <c r="L24" s="42"/>
    </row>
    <row r="25" spans="1:12" x14ac:dyDescent="0.25">
      <c r="A25" s="61">
        <f t="shared" si="2"/>
        <v>1</v>
      </c>
      <c r="B25" s="3">
        <f>EDATE($B$3,Site!$I$38*(ROW(Tab_Compteur_6[[#This Row],[Début de période]])-3))</f>
        <v>0</v>
      </c>
      <c r="C25" s="187"/>
      <c r="D25" s="202"/>
      <c r="E25">
        <f t="shared" si="1"/>
        <v>0</v>
      </c>
      <c r="F25" t="str">
        <f>IFERROR(Tab_Compteur_6[[#This Row],[Quantité]]/Tab_Compteur_6[[#This Row],[Delta Jour]],"")</f>
        <v/>
      </c>
      <c r="G25" t="str">
        <f>IFERROR(Tab_Compteur_6[[#This Row],[Montant TTC]]/Tab_Compteur_6[[#This Row],[Delta Jour]],"")</f>
        <v/>
      </c>
      <c r="H25" s="42"/>
      <c r="I25" s="42"/>
      <c r="J25" s="42"/>
      <c r="K25" s="42"/>
      <c r="L25" s="42"/>
    </row>
    <row r="26" spans="1:12" x14ac:dyDescent="0.25">
      <c r="A26" s="61">
        <f t="shared" si="2"/>
        <v>1</v>
      </c>
      <c r="B26" s="3">
        <f>EDATE($B$3,Site!$I$38*(ROW(Tab_Compteur_6[[#This Row],[Début de période]])-3))</f>
        <v>0</v>
      </c>
      <c r="C26" s="187"/>
      <c r="D26" s="202"/>
      <c r="E26">
        <f t="shared" si="1"/>
        <v>0</v>
      </c>
      <c r="F26" t="str">
        <f>IFERROR(Tab_Compteur_6[[#This Row],[Quantité]]/Tab_Compteur_6[[#This Row],[Delta Jour]],"")</f>
        <v/>
      </c>
      <c r="G26" t="str">
        <f>IFERROR(Tab_Compteur_6[[#This Row],[Montant TTC]]/Tab_Compteur_6[[#This Row],[Delta Jour]],"")</f>
        <v/>
      </c>
      <c r="H26" s="42"/>
      <c r="I26" s="42"/>
      <c r="J26" s="42"/>
      <c r="K26" s="42"/>
      <c r="L26" s="42"/>
    </row>
    <row r="27" spans="1:12" x14ac:dyDescent="0.25">
      <c r="A27" s="61">
        <f t="shared" si="2"/>
        <v>1</v>
      </c>
      <c r="B27" s="3">
        <f>EDATE($B$3,Site!$I$38*(ROW(Tab_Compteur_6[[#This Row],[Début de période]])-3))</f>
        <v>0</v>
      </c>
      <c r="C27" s="187"/>
      <c r="D27" s="202"/>
      <c r="E27">
        <f t="shared" si="1"/>
        <v>0</v>
      </c>
      <c r="F27" t="str">
        <f>IFERROR(Tab_Compteur_6[[#This Row],[Quantité]]/Tab_Compteur_6[[#This Row],[Delta Jour]],"")</f>
        <v/>
      </c>
      <c r="G27" t="str">
        <f>IFERROR(Tab_Compteur_6[[#This Row],[Montant TTC]]/Tab_Compteur_6[[#This Row],[Delta Jour]],"")</f>
        <v/>
      </c>
      <c r="H27" s="42"/>
      <c r="I27" s="42"/>
      <c r="J27" s="42"/>
      <c r="K27" s="42"/>
      <c r="L27" s="42"/>
    </row>
    <row r="28" spans="1:12" x14ac:dyDescent="0.25">
      <c r="A28" s="61">
        <f t="shared" si="2"/>
        <v>1</v>
      </c>
      <c r="B28" s="3">
        <f>EDATE($B$3,Site!$I$38*(ROW(Tab_Compteur_6[[#This Row],[Début de période]])-3))</f>
        <v>0</v>
      </c>
      <c r="C28" s="292"/>
      <c r="D28" s="202"/>
      <c r="E28">
        <f t="shared" si="1"/>
        <v>0</v>
      </c>
      <c r="F28" t="str">
        <f>IFERROR(Tab_Compteur_6[[#This Row],[Quantité]]/Tab_Compteur_6[[#This Row],[Delta Jour]],"")</f>
        <v/>
      </c>
      <c r="G28" t="str">
        <f>IFERROR(Tab_Compteur_6[[#This Row],[Montant TTC]]/Tab_Compteur_6[[#This Row],[Delta Jour]],"")</f>
        <v/>
      </c>
      <c r="H28" s="42"/>
      <c r="I28" s="42"/>
      <c r="J28" s="42"/>
      <c r="K28" s="42"/>
      <c r="L28" s="42"/>
    </row>
    <row r="29" spans="1:12" x14ac:dyDescent="0.25">
      <c r="A29" s="61">
        <f t="shared" si="2"/>
        <v>1</v>
      </c>
      <c r="B29" s="3">
        <f>EDATE($B$3,Site!$I$38*(ROW(Tab_Compteur_6[[#This Row],[Début de période]])-3))</f>
        <v>0</v>
      </c>
      <c r="C29" s="292"/>
      <c r="D29" s="202"/>
      <c r="E29">
        <f t="shared" si="1"/>
        <v>0</v>
      </c>
      <c r="F29" t="str">
        <f>IFERROR(Tab_Compteur_6[[#This Row],[Quantité]]/Tab_Compteur_6[[#This Row],[Delta Jour]],"")</f>
        <v/>
      </c>
      <c r="G29" t="str">
        <f>IFERROR(Tab_Compteur_6[[#This Row],[Montant TTC]]/Tab_Compteur_6[[#This Row],[Delta Jour]],"")</f>
        <v/>
      </c>
      <c r="H29" s="42"/>
      <c r="I29" s="42"/>
      <c r="J29" s="42"/>
      <c r="K29" s="42"/>
      <c r="L29" s="42"/>
    </row>
    <row r="30" spans="1:12" x14ac:dyDescent="0.25">
      <c r="A30" s="61">
        <f t="shared" si="2"/>
        <v>1</v>
      </c>
      <c r="B30" s="3">
        <f>EDATE($B$3,Site!$I$38*(ROW(Tab_Compteur_6[[#This Row],[Début de période]])-3))</f>
        <v>0</v>
      </c>
      <c r="C30" s="292"/>
      <c r="D30" s="202"/>
      <c r="E30">
        <f t="shared" si="1"/>
        <v>0</v>
      </c>
      <c r="F30" t="str">
        <f>IFERROR(Tab_Compteur_6[[#This Row],[Quantité]]/Tab_Compteur_6[[#This Row],[Delta Jour]],"")</f>
        <v/>
      </c>
      <c r="G30" t="str">
        <f>IFERROR(Tab_Compteur_6[[#This Row],[Montant TTC]]/Tab_Compteur_6[[#This Row],[Delta Jour]],"")</f>
        <v/>
      </c>
      <c r="H30" s="42"/>
      <c r="I30" s="42"/>
      <c r="J30" s="42"/>
      <c r="K30" s="42"/>
      <c r="L30" s="42"/>
    </row>
    <row r="31" spans="1:12" x14ac:dyDescent="0.25">
      <c r="A31" s="61">
        <f t="shared" si="2"/>
        <v>1</v>
      </c>
      <c r="B31" s="3">
        <f>EDATE($B$3,Site!$I$38*(ROW(Tab_Compteur_6[[#This Row],[Début de période]])-3))</f>
        <v>0</v>
      </c>
      <c r="C31" s="187"/>
      <c r="D31" s="202"/>
      <c r="E31">
        <f t="shared" si="1"/>
        <v>0</v>
      </c>
      <c r="F31" t="str">
        <f>IFERROR(Tab_Compteur_6[[#This Row],[Quantité]]/Tab_Compteur_6[[#This Row],[Delta Jour]],"")</f>
        <v/>
      </c>
      <c r="G31" t="str">
        <f>IFERROR(Tab_Compteur_6[[#This Row],[Montant TTC]]/Tab_Compteur_6[[#This Row],[Delta Jour]],"")</f>
        <v/>
      </c>
      <c r="H31" s="42"/>
      <c r="I31" s="42"/>
      <c r="J31" s="42"/>
      <c r="K31" s="42"/>
      <c r="L31" s="42"/>
    </row>
    <row r="32" spans="1:12" x14ac:dyDescent="0.25">
      <c r="A32" s="61">
        <f t="shared" si="2"/>
        <v>1</v>
      </c>
      <c r="B32" s="3">
        <f>EDATE($B$3,Site!$I$38*(ROW(Tab_Compteur_6[[#This Row],[Début de période]])-3))</f>
        <v>0</v>
      </c>
      <c r="C32" s="187"/>
      <c r="D32" s="202"/>
      <c r="E32">
        <f t="shared" si="1"/>
        <v>0</v>
      </c>
      <c r="F32" t="str">
        <f>IFERROR(Tab_Compteur_6[[#This Row],[Quantité]]/Tab_Compteur_6[[#This Row],[Delta Jour]],"")</f>
        <v/>
      </c>
      <c r="G32" t="str">
        <f>IFERROR(Tab_Compteur_6[[#This Row],[Montant TTC]]/Tab_Compteur_6[[#This Row],[Delta Jour]],"")</f>
        <v/>
      </c>
      <c r="H32" s="42"/>
      <c r="I32" s="42"/>
      <c r="J32" s="42"/>
      <c r="K32" s="42"/>
      <c r="L32" s="42"/>
    </row>
    <row r="33" spans="1:12" x14ac:dyDescent="0.25">
      <c r="A33" s="61">
        <f t="shared" si="2"/>
        <v>1</v>
      </c>
      <c r="B33" s="3">
        <f>EDATE($B$3,Site!$I$38*(ROW(Tab_Compteur_6[[#This Row],[Début de période]])-3))</f>
        <v>0</v>
      </c>
      <c r="C33" s="187"/>
      <c r="D33" s="202"/>
      <c r="E33">
        <f t="shared" si="1"/>
        <v>0</v>
      </c>
      <c r="F33" t="str">
        <f>IFERROR(Tab_Compteur_6[[#This Row],[Quantité]]/Tab_Compteur_6[[#This Row],[Delta Jour]],"")</f>
        <v/>
      </c>
      <c r="G33" t="str">
        <f>IFERROR(Tab_Compteur_6[[#This Row],[Montant TTC]]/Tab_Compteur_6[[#This Row],[Delta Jour]],"")</f>
        <v/>
      </c>
      <c r="H33" s="42"/>
      <c r="I33" s="42"/>
      <c r="J33" s="42"/>
      <c r="K33" s="42"/>
      <c r="L33" s="42"/>
    </row>
    <row r="34" spans="1:12" x14ac:dyDescent="0.25">
      <c r="A34" s="61">
        <f t="shared" si="2"/>
        <v>1</v>
      </c>
      <c r="B34" s="3">
        <f>EDATE($B$3,Site!$I$38*(ROW(Tab_Compteur_6[[#This Row],[Début de période]])-3))</f>
        <v>0</v>
      </c>
      <c r="C34" s="187"/>
      <c r="D34" s="202"/>
      <c r="E34">
        <f t="shared" si="1"/>
        <v>0</v>
      </c>
      <c r="F34" t="str">
        <f>IFERROR(Tab_Compteur_6[[#This Row],[Quantité]]/Tab_Compteur_6[[#This Row],[Delta Jour]],"")</f>
        <v/>
      </c>
      <c r="G34" t="str">
        <f>IFERROR(Tab_Compteur_6[[#This Row],[Montant TTC]]/Tab_Compteur_6[[#This Row],[Delta Jour]],"")</f>
        <v/>
      </c>
      <c r="H34" s="42"/>
      <c r="I34" s="42"/>
      <c r="J34" s="42"/>
      <c r="K34" s="42"/>
      <c r="L34" s="42"/>
    </row>
    <row r="35" spans="1:12" x14ac:dyDescent="0.25">
      <c r="A35" s="61">
        <f t="shared" si="2"/>
        <v>1</v>
      </c>
      <c r="B35" s="3">
        <f>EDATE($B$3,Site!$I$38*(ROW(Tab_Compteur_6[[#This Row],[Début de période]])-3))</f>
        <v>0</v>
      </c>
      <c r="C35" s="187"/>
      <c r="D35" s="202"/>
      <c r="E35">
        <f t="shared" si="1"/>
        <v>0</v>
      </c>
      <c r="F35" t="str">
        <f>IFERROR(Tab_Compteur_6[[#This Row],[Quantité]]/Tab_Compteur_6[[#This Row],[Delta Jour]],"")</f>
        <v/>
      </c>
      <c r="G35" t="str">
        <f>IFERROR(Tab_Compteur_6[[#This Row],[Montant TTC]]/Tab_Compteur_6[[#This Row],[Delta Jour]],"")</f>
        <v/>
      </c>
      <c r="H35" s="42"/>
      <c r="I35" s="42"/>
      <c r="J35" s="42"/>
      <c r="K35" s="42"/>
      <c r="L35" s="42"/>
    </row>
    <row r="36" spans="1:12" x14ac:dyDescent="0.25">
      <c r="A36" s="61">
        <f t="shared" si="2"/>
        <v>1</v>
      </c>
      <c r="B36" s="3">
        <f>EDATE($B$3,Site!$I$38*(ROW(Tab_Compteur_6[[#This Row],[Début de période]])-3))</f>
        <v>0</v>
      </c>
      <c r="C36" s="187"/>
      <c r="D36" s="202"/>
      <c r="E36">
        <f t="shared" si="1"/>
        <v>0</v>
      </c>
      <c r="F36" t="str">
        <f>IFERROR(Tab_Compteur_6[[#This Row],[Quantité]]/Tab_Compteur_6[[#This Row],[Delta Jour]],"")</f>
        <v/>
      </c>
      <c r="G36" t="str">
        <f>IFERROR(Tab_Compteur_6[[#This Row],[Montant TTC]]/Tab_Compteur_6[[#This Row],[Delta Jour]],"")</f>
        <v/>
      </c>
      <c r="H36" s="42"/>
      <c r="I36" s="42"/>
      <c r="J36" s="42"/>
      <c r="K36" s="42"/>
      <c r="L36" s="42"/>
    </row>
    <row r="37" spans="1:12" x14ac:dyDescent="0.25">
      <c r="A37" s="61">
        <f t="shared" si="2"/>
        <v>1</v>
      </c>
      <c r="B37" s="3">
        <f>EDATE($B$3,Site!$I$38*(ROW(Tab_Compteur_6[[#This Row],[Début de période]])-3))</f>
        <v>0</v>
      </c>
      <c r="C37" s="187"/>
      <c r="D37" s="202"/>
      <c r="E37">
        <f t="shared" si="1"/>
        <v>0</v>
      </c>
      <c r="F37" t="str">
        <f>IFERROR(Tab_Compteur_6[[#This Row],[Quantité]]/Tab_Compteur_6[[#This Row],[Delta Jour]],"")</f>
        <v/>
      </c>
      <c r="G37" t="str">
        <f>IFERROR(Tab_Compteur_6[[#This Row],[Montant TTC]]/Tab_Compteur_6[[#This Row],[Delta Jour]],"")</f>
        <v/>
      </c>
      <c r="H37" s="42"/>
      <c r="I37" s="42"/>
      <c r="J37" s="42"/>
      <c r="K37" s="42"/>
      <c r="L37" s="42"/>
    </row>
    <row r="38" spans="1:12" x14ac:dyDescent="0.25">
      <c r="A38" s="61">
        <f t="shared" si="2"/>
        <v>1</v>
      </c>
      <c r="B38" s="3">
        <f>EDATE($B$3,Site!$I$38*(ROW(Tab_Compteur_6[[#This Row],[Début de période]])-3))</f>
        <v>0</v>
      </c>
      <c r="C38" s="187"/>
      <c r="D38" s="203"/>
      <c r="E38">
        <f t="shared" si="1"/>
        <v>0</v>
      </c>
      <c r="F38" t="str">
        <f>IFERROR(Tab_Compteur_6[[#This Row],[Quantité]]/Tab_Compteur_6[[#This Row],[Delta Jour]],"")</f>
        <v/>
      </c>
      <c r="G38" t="str">
        <f>IFERROR(Tab_Compteur_6[[#This Row],[Montant TTC]]/Tab_Compteur_6[[#This Row],[Delta Jour]],"")</f>
        <v/>
      </c>
      <c r="H38" s="42"/>
      <c r="I38" s="42"/>
      <c r="J38" s="42"/>
      <c r="K38" s="42"/>
      <c r="L38" s="42"/>
    </row>
    <row r="39" spans="1:12" x14ac:dyDescent="0.25">
      <c r="A39" s="61">
        <f t="shared" si="2"/>
        <v>1</v>
      </c>
      <c r="B39" s="3">
        <f>EDATE($B$3,Site!$I$38*(ROW(Tab_Compteur_6[[#This Row],[Début de période]])-3))</f>
        <v>0</v>
      </c>
      <c r="C39" s="187"/>
      <c r="D39" s="203"/>
      <c r="E39">
        <f t="shared" si="1"/>
        <v>0</v>
      </c>
      <c r="F39" t="str">
        <f>IFERROR(Tab_Compteur_6[[#This Row],[Quantité]]/Tab_Compteur_6[[#This Row],[Delta Jour]],"")</f>
        <v/>
      </c>
      <c r="G39" t="str">
        <f>IFERROR(Tab_Compteur_6[[#This Row],[Montant TTC]]/Tab_Compteur_6[[#This Row],[Delta Jour]],"")</f>
        <v/>
      </c>
      <c r="H39" s="42"/>
      <c r="I39" s="42"/>
      <c r="J39" s="42"/>
      <c r="K39" s="42"/>
      <c r="L39" s="42"/>
    </row>
    <row r="40" spans="1:12" x14ac:dyDescent="0.25">
      <c r="A40" s="61">
        <f t="shared" si="2"/>
        <v>1</v>
      </c>
      <c r="B40" s="3">
        <f>EDATE($B$3,Site!$I$38*(ROW(Tab_Compteur_6[[#This Row],[Début de période]])-3))</f>
        <v>0</v>
      </c>
      <c r="C40" s="292"/>
      <c r="D40" s="203"/>
      <c r="E40">
        <f t="shared" si="1"/>
        <v>0</v>
      </c>
      <c r="F40" t="str">
        <f>IFERROR(Tab_Compteur_6[[#This Row],[Quantité]]/Tab_Compteur_6[[#This Row],[Delta Jour]],"")</f>
        <v/>
      </c>
      <c r="G40" t="str">
        <f>IFERROR(Tab_Compteur_6[[#This Row],[Montant TTC]]/Tab_Compteur_6[[#This Row],[Delta Jour]],"")</f>
        <v/>
      </c>
      <c r="H40" s="42"/>
      <c r="I40" s="42"/>
      <c r="J40" s="42"/>
      <c r="K40" s="42"/>
      <c r="L40" s="42"/>
    </row>
    <row r="41" spans="1:12" x14ac:dyDescent="0.25">
      <c r="A41" s="61">
        <f t="shared" si="2"/>
        <v>1</v>
      </c>
      <c r="B41" s="3">
        <f>EDATE($B$3,Site!$I$38*(ROW(Tab_Compteur_6[[#This Row],[Début de période]])-3))</f>
        <v>0</v>
      </c>
      <c r="C41" s="292"/>
      <c r="D41" s="203"/>
      <c r="E41">
        <f t="shared" si="1"/>
        <v>0</v>
      </c>
      <c r="F41" t="str">
        <f>IFERROR(Tab_Compteur_6[[#This Row],[Quantité]]/Tab_Compteur_6[[#This Row],[Delta Jour]],"")</f>
        <v/>
      </c>
      <c r="G41" t="str">
        <f>IFERROR(Tab_Compteur_6[[#This Row],[Montant TTC]]/Tab_Compteur_6[[#This Row],[Delta Jour]],"")</f>
        <v/>
      </c>
      <c r="H41" s="42"/>
      <c r="I41" s="42"/>
      <c r="J41" s="42"/>
      <c r="K41" s="42"/>
      <c r="L41" s="42"/>
    </row>
    <row r="42" spans="1:12" x14ac:dyDescent="0.25">
      <c r="A42" s="61">
        <f t="shared" si="2"/>
        <v>1</v>
      </c>
      <c r="B42" s="3">
        <f>EDATE($B$3,Site!$I$38*(ROW(Tab_Compteur_6[[#This Row],[Début de période]])-3))</f>
        <v>0</v>
      </c>
      <c r="C42" s="187"/>
      <c r="D42" s="203"/>
      <c r="E42">
        <f t="shared" si="1"/>
        <v>0</v>
      </c>
      <c r="F42" t="str">
        <f>IFERROR(Tab_Compteur_6[[#This Row],[Quantité]]/Tab_Compteur_6[[#This Row],[Delta Jour]],"")</f>
        <v/>
      </c>
      <c r="G42" t="str">
        <f>IFERROR(Tab_Compteur_6[[#This Row],[Montant TTC]]/Tab_Compteur_6[[#This Row],[Delta Jour]],"")</f>
        <v/>
      </c>
      <c r="H42" s="42"/>
      <c r="I42" s="42"/>
      <c r="J42" s="42"/>
      <c r="K42" s="42"/>
      <c r="L42" s="42"/>
    </row>
    <row r="43" spans="1:12" x14ac:dyDescent="0.25">
      <c r="A43" s="61">
        <f t="shared" si="2"/>
        <v>1</v>
      </c>
      <c r="B43" s="3">
        <f>EDATE($B$3,Site!$I$38*(ROW(Tab_Compteur_6[[#This Row],[Début de période]])-3))</f>
        <v>0</v>
      </c>
      <c r="C43" s="187"/>
      <c r="D43" s="203"/>
      <c r="E43">
        <f t="shared" si="1"/>
        <v>0</v>
      </c>
      <c r="F43" t="str">
        <f>IFERROR(Tab_Compteur_6[[#This Row],[Quantité]]/Tab_Compteur_6[[#This Row],[Delta Jour]],"")</f>
        <v/>
      </c>
      <c r="G43" t="str">
        <f>IFERROR(Tab_Compteur_6[[#This Row],[Montant TTC]]/Tab_Compteur_6[[#This Row],[Delta Jour]],"")</f>
        <v/>
      </c>
      <c r="H43" s="42"/>
      <c r="I43" s="42"/>
      <c r="J43" s="42"/>
      <c r="K43" s="42"/>
      <c r="L43" s="42"/>
    </row>
    <row r="44" spans="1:12" x14ac:dyDescent="0.25">
      <c r="A44" s="61">
        <f t="shared" si="2"/>
        <v>1</v>
      </c>
      <c r="B44" s="3">
        <f>EDATE($B$3,Site!$I$38*(ROW(Tab_Compteur_6[[#This Row],[Début de période]])-3))</f>
        <v>0</v>
      </c>
      <c r="C44" s="187"/>
      <c r="D44" s="203"/>
      <c r="E44">
        <f t="shared" si="1"/>
        <v>0</v>
      </c>
      <c r="F44" t="str">
        <f>IFERROR(Tab_Compteur_6[[#This Row],[Quantité]]/Tab_Compteur_6[[#This Row],[Delta Jour]],"")</f>
        <v/>
      </c>
      <c r="G44" t="str">
        <f>IFERROR(Tab_Compteur_6[[#This Row],[Montant TTC]]/Tab_Compteur_6[[#This Row],[Delta Jour]],"")</f>
        <v/>
      </c>
      <c r="H44" s="42"/>
      <c r="I44" s="42"/>
      <c r="J44" s="42"/>
      <c r="K44" s="42"/>
      <c r="L44" s="42"/>
    </row>
    <row r="45" spans="1:12" x14ac:dyDescent="0.25">
      <c r="A45" s="61">
        <f t="shared" si="2"/>
        <v>1</v>
      </c>
      <c r="B45" s="3">
        <f>EDATE($B$3,Site!$I$38*(ROW(Tab_Compteur_6[[#This Row],[Début de période]])-3))</f>
        <v>0</v>
      </c>
      <c r="C45" s="187"/>
      <c r="D45" s="203"/>
      <c r="E45">
        <f t="shared" si="1"/>
        <v>0</v>
      </c>
      <c r="F45" t="str">
        <f>IFERROR(Tab_Compteur_6[[#This Row],[Quantité]]/Tab_Compteur_6[[#This Row],[Delta Jour]],"")</f>
        <v/>
      </c>
      <c r="G45" t="str">
        <f>IFERROR(Tab_Compteur_6[[#This Row],[Montant TTC]]/Tab_Compteur_6[[#This Row],[Delta Jour]],"")</f>
        <v/>
      </c>
      <c r="H45" s="42"/>
      <c r="I45" s="42"/>
      <c r="J45" s="42"/>
      <c r="K45" s="42"/>
      <c r="L45" s="42"/>
    </row>
    <row r="46" spans="1:12" x14ac:dyDescent="0.25">
      <c r="A46" s="61">
        <f t="shared" si="2"/>
        <v>1</v>
      </c>
      <c r="B46" s="3">
        <f>EDATE($B$3,Site!$I$38*(ROW(Tab_Compteur_6[[#This Row],[Début de période]])-3))</f>
        <v>0</v>
      </c>
      <c r="C46" s="187"/>
      <c r="D46" s="203"/>
      <c r="E46">
        <f t="shared" si="1"/>
        <v>0</v>
      </c>
      <c r="F46" t="str">
        <f>IFERROR(Tab_Compteur_6[[#This Row],[Quantité]]/Tab_Compteur_6[[#This Row],[Delta Jour]],"")</f>
        <v/>
      </c>
      <c r="G46" t="str">
        <f>IFERROR(Tab_Compteur_6[[#This Row],[Montant TTC]]/Tab_Compteur_6[[#This Row],[Delta Jour]],"")</f>
        <v/>
      </c>
      <c r="H46" s="42"/>
      <c r="I46" s="42"/>
      <c r="J46" s="42"/>
      <c r="K46" s="42"/>
      <c r="L46" s="42"/>
    </row>
    <row r="47" spans="1:12" x14ac:dyDescent="0.25">
      <c r="A47" s="61">
        <f t="shared" si="2"/>
        <v>1</v>
      </c>
      <c r="B47" s="3">
        <f>EDATE($B$3,Site!$I$38*(ROW(Tab_Compteur_6[[#This Row],[Début de période]])-3))</f>
        <v>0</v>
      </c>
      <c r="C47" s="187"/>
      <c r="D47" s="203"/>
      <c r="E47">
        <f t="shared" si="1"/>
        <v>0</v>
      </c>
      <c r="F47" t="str">
        <f>IFERROR(Tab_Compteur_6[[#This Row],[Quantité]]/Tab_Compteur_6[[#This Row],[Delta Jour]],"")</f>
        <v/>
      </c>
      <c r="G47" t="str">
        <f>IFERROR(Tab_Compteur_6[[#This Row],[Montant TTC]]/Tab_Compteur_6[[#This Row],[Delta Jour]],"")</f>
        <v/>
      </c>
      <c r="H47" s="42"/>
      <c r="I47" s="42"/>
      <c r="J47" s="42"/>
      <c r="K47" s="42"/>
      <c r="L47" s="42"/>
    </row>
    <row r="48" spans="1:12" x14ac:dyDescent="0.25">
      <c r="A48" s="61">
        <f t="shared" si="2"/>
        <v>1</v>
      </c>
      <c r="B48" s="3">
        <f>EDATE($B$3,Site!$I$38*(ROW(Tab_Compteur_6[[#This Row],[Début de période]])-3))</f>
        <v>0</v>
      </c>
      <c r="C48" s="187"/>
      <c r="D48" s="203"/>
      <c r="E48">
        <f t="shared" si="1"/>
        <v>0</v>
      </c>
      <c r="F48" t="str">
        <f>IFERROR(Tab_Compteur_6[[#This Row],[Quantité]]/Tab_Compteur_6[[#This Row],[Delta Jour]],"")</f>
        <v/>
      </c>
      <c r="G48" t="str">
        <f>IFERROR(Tab_Compteur_6[[#This Row],[Montant TTC]]/Tab_Compteur_6[[#This Row],[Delta Jour]],"")</f>
        <v/>
      </c>
      <c r="H48" s="42"/>
      <c r="I48" s="42"/>
      <c r="J48" s="42"/>
      <c r="K48" s="42"/>
      <c r="L48" s="42"/>
    </row>
    <row r="49" spans="1:12" x14ac:dyDescent="0.25">
      <c r="A49" s="61">
        <f t="shared" si="2"/>
        <v>1</v>
      </c>
      <c r="B49" s="3">
        <f>EDATE($B$3,Site!$I$38*(ROW(Tab_Compteur_6[[#This Row],[Début de période]])-3))</f>
        <v>0</v>
      </c>
      <c r="C49" s="187"/>
      <c r="D49" s="203"/>
      <c r="E49">
        <f t="shared" si="1"/>
        <v>0</v>
      </c>
      <c r="F49" t="str">
        <f>IFERROR(Tab_Compteur_6[[#This Row],[Quantité]]/Tab_Compteur_6[[#This Row],[Delta Jour]],"")</f>
        <v/>
      </c>
      <c r="G49" t="str">
        <f>IFERROR(Tab_Compteur_6[[#This Row],[Montant TTC]]/Tab_Compteur_6[[#This Row],[Delta Jour]],"")</f>
        <v/>
      </c>
      <c r="H49" s="42"/>
      <c r="I49" s="42"/>
      <c r="J49" s="42"/>
      <c r="K49" s="42"/>
      <c r="L49" s="42"/>
    </row>
    <row r="50" spans="1:12" x14ac:dyDescent="0.25">
      <c r="A50" s="61">
        <f t="shared" si="2"/>
        <v>1</v>
      </c>
      <c r="B50" s="3">
        <f>EDATE($B$3,Site!$I$38*(ROW(Tab_Compteur_6[[#This Row],[Début de période]])-3))</f>
        <v>0</v>
      </c>
      <c r="C50" s="187"/>
      <c r="D50" s="203"/>
      <c r="E50">
        <f t="shared" si="1"/>
        <v>0</v>
      </c>
      <c r="F50" t="str">
        <f>IFERROR(Tab_Compteur_6[[#This Row],[Quantité]]/Tab_Compteur_6[[#This Row],[Delta Jour]],"")</f>
        <v/>
      </c>
      <c r="G50" t="str">
        <f>IFERROR(Tab_Compteur_6[[#This Row],[Montant TTC]]/Tab_Compteur_6[[#This Row],[Delta Jour]],"")</f>
        <v/>
      </c>
      <c r="H50" s="42"/>
      <c r="I50" s="42"/>
      <c r="J50" s="42"/>
      <c r="K50" s="42"/>
      <c r="L50" s="42"/>
    </row>
    <row r="51" spans="1:12" x14ac:dyDescent="0.25">
      <c r="A51" s="61">
        <f t="shared" si="2"/>
        <v>1</v>
      </c>
      <c r="B51" s="3">
        <f>EDATE($B$3,Site!$I$38*(ROW(Tab_Compteur_6[[#This Row],[Début de période]])-3))</f>
        <v>0</v>
      </c>
      <c r="C51" s="292"/>
      <c r="D51" s="203"/>
      <c r="E51">
        <f t="shared" si="1"/>
        <v>0</v>
      </c>
      <c r="F51" t="str">
        <f>IFERROR(Tab_Compteur_6[[#This Row],[Quantité]]/Tab_Compteur_6[[#This Row],[Delta Jour]],"")</f>
        <v/>
      </c>
      <c r="G51" t="str">
        <f>IFERROR(Tab_Compteur_6[[#This Row],[Montant TTC]]/Tab_Compteur_6[[#This Row],[Delta Jour]],"")</f>
        <v/>
      </c>
      <c r="H51" s="42"/>
      <c r="I51" s="42"/>
      <c r="J51" s="42"/>
      <c r="K51" s="42"/>
      <c r="L51" s="42"/>
    </row>
    <row r="52" spans="1:12" x14ac:dyDescent="0.25">
      <c r="A52" s="61">
        <f t="shared" si="2"/>
        <v>1</v>
      </c>
      <c r="B52" s="3">
        <f>EDATE($B$3,Site!$I$38*(ROW(Tab_Compteur_6[[#This Row],[Début de période]])-3))</f>
        <v>0</v>
      </c>
      <c r="C52" s="292"/>
      <c r="D52" s="203"/>
      <c r="E52">
        <f t="shared" si="1"/>
        <v>0</v>
      </c>
      <c r="F52" t="str">
        <f>IFERROR(Tab_Compteur_6[[#This Row],[Quantité]]/Tab_Compteur_6[[#This Row],[Delta Jour]],"")</f>
        <v/>
      </c>
      <c r="G52" t="str">
        <f>IFERROR(Tab_Compteur_6[[#This Row],[Montant TTC]]/Tab_Compteur_6[[#This Row],[Delta Jour]],"")</f>
        <v/>
      </c>
      <c r="H52" s="42"/>
      <c r="I52" s="42"/>
      <c r="J52" s="42"/>
      <c r="K52" s="42"/>
      <c r="L52" s="42"/>
    </row>
    <row r="53" spans="1:12" x14ac:dyDescent="0.25">
      <c r="A53" s="61">
        <f t="shared" si="2"/>
        <v>1</v>
      </c>
      <c r="B53" s="3">
        <f>EDATE($B$3,Site!$I$38*(ROW(Tab_Compteur_6[[#This Row],[Début de période]])-3))</f>
        <v>0</v>
      </c>
      <c r="C53" s="292"/>
      <c r="D53" s="203"/>
      <c r="E53">
        <f t="shared" si="1"/>
        <v>0</v>
      </c>
      <c r="F53" t="str">
        <f>IFERROR(Tab_Compteur_6[[#This Row],[Quantité]]/Tab_Compteur_6[[#This Row],[Delta Jour]],"")</f>
        <v/>
      </c>
      <c r="G53" t="str">
        <f>IFERROR(Tab_Compteur_6[[#This Row],[Montant TTC]]/Tab_Compteur_6[[#This Row],[Delta Jour]],"")</f>
        <v/>
      </c>
      <c r="H53" s="42"/>
      <c r="I53" s="42"/>
      <c r="J53" s="42"/>
      <c r="K53" s="42"/>
      <c r="L53" s="42"/>
    </row>
    <row r="54" spans="1:12" x14ac:dyDescent="0.25">
      <c r="A54" s="61">
        <f t="shared" si="2"/>
        <v>1</v>
      </c>
      <c r="B54" s="3">
        <f>EDATE($B$3,Site!$I$38*(ROW(Tab_Compteur_6[[#This Row],[Début de période]])-3))</f>
        <v>0</v>
      </c>
      <c r="C54" s="187"/>
      <c r="D54" s="203"/>
      <c r="E54">
        <f t="shared" si="1"/>
        <v>0</v>
      </c>
      <c r="F54" t="str">
        <f>IFERROR(Tab_Compteur_6[[#This Row],[Quantité]]/Tab_Compteur_6[[#This Row],[Delta Jour]],"")</f>
        <v/>
      </c>
      <c r="G54" t="str">
        <f>IFERROR(Tab_Compteur_6[[#This Row],[Montant TTC]]/Tab_Compteur_6[[#This Row],[Delta Jour]],"")</f>
        <v/>
      </c>
      <c r="H54" s="42"/>
      <c r="I54" s="42"/>
      <c r="J54" s="42"/>
      <c r="K54" s="42"/>
      <c r="L54" s="42"/>
    </row>
    <row r="55" spans="1:12" x14ac:dyDescent="0.25">
      <c r="A55" s="61">
        <f t="shared" si="2"/>
        <v>1</v>
      </c>
      <c r="B55" s="3">
        <f>EDATE($B$3,Site!$I$38*(ROW(Tab_Compteur_6[[#This Row],[Début de période]])-3))</f>
        <v>0</v>
      </c>
      <c r="C55" s="187"/>
      <c r="D55" s="203"/>
      <c r="E55">
        <f t="shared" si="1"/>
        <v>0</v>
      </c>
      <c r="F55" t="str">
        <f>IFERROR(Tab_Compteur_6[[#This Row],[Quantité]]/Tab_Compteur_6[[#This Row],[Delta Jour]],"")</f>
        <v/>
      </c>
      <c r="G55" t="str">
        <f>IFERROR(Tab_Compteur_6[[#This Row],[Montant TTC]]/Tab_Compteur_6[[#This Row],[Delta Jour]],"")</f>
        <v/>
      </c>
      <c r="H55" s="42"/>
      <c r="I55" s="42"/>
      <c r="J55" s="42"/>
      <c r="K55" s="42"/>
      <c r="L55" s="42"/>
    </row>
    <row r="56" spans="1:12" x14ac:dyDescent="0.25">
      <c r="A56" s="61">
        <f t="shared" si="2"/>
        <v>1</v>
      </c>
      <c r="B56" s="3">
        <f>EDATE($B$3,Site!$I$38*(ROW(Tab_Compteur_6[[#This Row],[Début de période]])-3))</f>
        <v>0</v>
      </c>
      <c r="C56" s="187"/>
      <c r="D56" s="203"/>
      <c r="E56">
        <f t="shared" si="1"/>
        <v>0</v>
      </c>
      <c r="F56" t="str">
        <f>IFERROR(Tab_Compteur_6[[#This Row],[Quantité]]/Tab_Compteur_6[[#This Row],[Delta Jour]],"")</f>
        <v/>
      </c>
      <c r="G56" t="str">
        <f>IFERROR(Tab_Compteur_6[[#This Row],[Montant TTC]]/Tab_Compteur_6[[#This Row],[Delta Jour]],"")</f>
        <v/>
      </c>
      <c r="H56" s="42"/>
      <c r="I56" s="42"/>
      <c r="J56" s="42"/>
      <c r="K56" s="42"/>
      <c r="L56" s="42"/>
    </row>
    <row r="57" spans="1:12" x14ac:dyDescent="0.25">
      <c r="A57" s="61">
        <f t="shared" si="2"/>
        <v>1</v>
      </c>
      <c r="B57" s="3">
        <f>EDATE($B$3,Site!$I$38*(ROW(Tab_Compteur_6[[#This Row],[Début de période]])-3))</f>
        <v>0</v>
      </c>
      <c r="C57" s="187"/>
      <c r="D57" s="203"/>
      <c r="E57">
        <f t="shared" si="1"/>
        <v>0</v>
      </c>
      <c r="F57" t="str">
        <f>IFERROR(Tab_Compteur_6[[#This Row],[Quantité]]/Tab_Compteur_6[[#This Row],[Delta Jour]],"")</f>
        <v/>
      </c>
      <c r="G57" t="str">
        <f>IFERROR(Tab_Compteur_6[[#This Row],[Montant TTC]]/Tab_Compteur_6[[#This Row],[Delta Jour]],"")</f>
        <v/>
      </c>
      <c r="H57" s="42"/>
      <c r="I57" s="42"/>
      <c r="J57" s="42"/>
      <c r="K57" s="42"/>
      <c r="L57" s="42"/>
    </row>
    <row r="58" spans="1:12" x14ac:dyDescent="0.25">
      <c r="A58" s="61">
        <f t="shared" si="2"/>
        <v>1</v>
      </c>
      <c r="B58" s="3">
        <f>EDATE($B$3,Site!$I$38*(ROW(Tab_Compteur_6[[#This Row],[Début de période]])-3))</f>
        <v>0</v>
      </c>
      <c r="C58" s="187"/>
      <c r="D58" s="203"/>
      <c r="E58">
        <f t="shared" si="1"/>
        <v>0</v>
      </c>
      <c r="F58" t="str">
        <f>IFERROR(Tab_Compteur_6[[#This Row],[Quantité]]/Tab_Compteur_6[[#This Row],[Delta Jour]],"")</f>
        <v/>
      </c>
      <c r="G58" t="str">
        <f>IFERROR(Tab_Compteur_6[[#This Row],[Montant TTC]]/Tab_Compteur_6[[#This Row],[Delta Jour]],"")</f>
        <v/>
      </c>
      <c r="H58" s="42"/>
      <c r="I58" s="42"/>
      <c r="J58" s="42"/>
      <c r="K58" s="42"/>
      <c r="L58" s="42"/>
    </row>
    <row r="59" spans="1:12" x14ac:dyDescent="0.25">
      <c r="A59" s="61">
        <f t="shared" si="2"/>
        <v>1</v>
      </c>
      <c r="B59" s="3">
        <f>EDATE($B$3,Site!$I$38*(ROW(Tab_Compteur_6[[#This Row],[Début de période]])-3))</f>
        <v>0</v>
      </c>
      <c r="C59" s="185"/>
      <c r="E59">
        <f t="shared" si="1"/>
        <v>0</v>
      </c>
      <c r="F59" t="str">
        <f>IFERROR(Tab_Compteur_6[[#This Row],[Quantité]]/Tab_Compteur_6[[#This Row],[Delta Jour]],"")</f>
        <v/>
      </c>
      <c r="G59" t="str">
        <f>IFERROR(Tab_Compteur_6[[#This Row],[Montant TTC]]/Tab_Compteur_6[[#This Row],[Delta Jour]],"")</f>
        <v/>
      </c>
      <c r="H59" s="42"/>
      <c r="I59" s="42"/>
      <c r="J59" s="42"/>
      <c r="K59" s="42"/>
      <c r="L59" s="42"/>
    </row>
    <row r="60" spans="1:12" x14ac:dyDescent="0.25">
      <c r="A60" s="61">
        <f t="shared" si="2"/>
        <v>1</v>
      </c>
      <c r="B60" s="3">
        <f>EDATE($B$3,Site!$I$38*(ROW(Tab_Compteur_6[[#This Row],[Début de période]])-3))</f>
        <v>0</v>
      </c>
      <c r="C60" s="185"/>
      <c r="E60">
        <f t="shared" si="1"/>
        <v>0</v>
      </c>
      <c r="F60" t="str">
        <f>IFERROR(Tab_Compteur_6[[#This Row],[Quantité]]/Tab_Compteur_6[[#This Row],[Delta Jour]],"")</f>
        <v/>
      </c>
      <c r="G60" t="str">
        <f>IFERROR(Tab_Compteur_6[[#This Row],[Montant TTC]]/Tab_Compteur_6[[#This Row],[Delta Jour]],"")</f>
        <v/>
      </c>
      <c r="H60" s="42"/>
      <c r="I60" s="42"/>
      <c r="J60" s="42"/>
      <c r="K60" s="42"/>
      <c r="L60" s="42"/>
    </row>
    <row r="61" spans="1:12" x14ac:dyDescent="0.25">
      <c r="A61" s="61">
        <f t="shared" si="2"/>
        <v>1</v>
      </c>
      <c r="B61" s="3">
        <f>EDATE($B$3,Site!$I$38*(ROW(Tab_Compteur_6[[#This Row],[Début de période]])-3))</f>
        <v>0</v>
      </c>
      <c r="C61" s="185"/>
      <c r="E61">
        <f t="shared" si="1"/>
        <v>0</v>
      </c>
      <c r="F61" t="str">
        <f>IFERROR(Tab_Compteur_6[[#This Row],[Quantité]]/Tab_Compteur_6[[#This Row],[Delta Jour]],"")</f>
        <v/>
      </c>
      <c r="G61" t="str">
        <f>IFERROR(Tab_Compteur_6[[#This Row],[Montant TTC]]/Tab_Compteur_6[[#This Row],[Delta Jour]],"")</f>
        <v/>
      </c>
      <c r="H61" s="42"/>
      <c r="I61" s="42"/>
      <c r="J61" s="42"/>
      <c r="K61" s="42"/>
      <c r="L61" s="42"/>
    </row>
    <row r="62" spans="1:12" x14ac:dyDescent="0.25">
      <c r="A62" s="61">
        <f t="shared" si="2"/>
        <v>1</v>
      </c>
      <c r="B62" s="3">
        <f>EDATE($B$3,Site!$I$38*(ROW(Tab_Compteur_6[[#This Row],[Début de période]])-3))</f>
        <v>0</v>
      </c>
      <c r="C62" s="185"/>
      <c r="E62">
        <f t="shared" si="1"/>
        <v>0</v>
      </c>
      <c r="F62" t="str">
        <f>IFERROR(Tab_Compteur_6[[#This Row],[Quantité]]/Tab_Compteur_6[[#This Row],[Delta Jour]],"")</f>
        <v/>
      </c>
      <c r="G62" t="str">
        <f>IFERROR(Tab_Compteur_6[[#This Row],[Montant TTC]]/Tab_Compteur_6[[#This Row],[Delta Jour]],"")</f>
        <v/>
      </c>
      <c r="H62" s="42"/>
      <c r="I62" s="42"/>
      <c r="J62" s="42"/>
      <c r="K62" s="42"/>
      <c r="L62" s="42"/>
    </row>
    <row r="63" spans="1:12" x14ac:dyDescent="0.25">
      <c r="A63" s="61">
        <f t="shared" si="2"/>
        <v>1</v>
      </c>
      <c r="B63" s="3">
        <f>EDATE($B$3,Site!$I$38*(ROW(Tab_Compteur_6[[#This Row],[Début de période]])-3))</f>
        <v>0</v>
      </c>
      <c r="C63" s="185"/>
      <c r="E63">
        <f t="shared" si="1"/>
        <v>0</v>
      </c>
      <c r="F63" t="str">
        <f>IFERROR(Tab_Compteur_6[[#This Row],[Quantité]]/Tab_Compteur_6[[#This Row],[Delta Jour]],"")</f>
        <v/>
      </c>
      <c r="G63" t="str">
        <f>IFERROR(Tab_Compteur_6[[#This Row],[Montant TTC]]/Tab_Compteur_6[[#This Row],[Delta Jour]],"")</f>
        <v/>
      </c>
      <c r="H63" s="42"/>
      <c r="I63" s="42"/>
      <c r="J63" s="42"/>
      <c r="K63" s="42"/>
      <c r="L63" s="42"/>
    </row>
    <row r="64" spans="1:12" x14ac:dyDescent="0.25">
      <c r="A64" s="61">
        <f t="shared" si="2"/>
        <v>1</v>
      </c>
      <c r="B64" s="3">
        <f>EDATE($B$3,Site!$I$38*(ROW(Tab_Compteur_6[[#This Row],[Début de période]])-3))</f>
        <v>0</v>
      </c>
      <c r="C64" s="185"/>
      <c r="E64">
        <f t="shared" si="1"/>
        <v>0</v>
      </c>
      <c r="F64" t="str">
        <f>IFERROR(Tab_Compteur_6[[#This Row],[Quantité]]/Tab_Compteur_6[[#This Row],[Delta Jour]],"")</f>
        <v/>
      </c>
      <c r="G64" t="str">
        <f>IFERROR(Tab_Compteur_6[[#This Row],[Montant TTC]]/Tab_Compteur_6[[#This Row],[Delta Jour]],"")</f>
        <v/>
      </c>
      <c r="H64" s="42"/>
      <c r="I64" s="42"/>
      <c r="J64" s="42"/>
      <c r="K64" s="42"/>
      <c r="L64" s="42"/>
    </row>
    <row r="65" spans="1:12" x14ac:dyDescent="0.25">
      <c r="A65" s="61">
        <f t="shared" si="2"/>
        <v>1</v>
      </c>
      <c r="B65" s="3">
        <f>EDATE($B$3,Site!$I$38*(ROW(Tab_Compteur_6[[#This Row],[Début de période]])-3))</f>
        <v>0</v>
      </c>
      <c r="C65" s="185"/>
      <c r="E65">
        <f t="shared" si="1"/>
        <v>0</v>
      </c>
      <c r="F65" t="str">
        <f>IFERROR(Tab_Compteur_6[[#This Row],[Quantité]]/Tab_Compteur_6[[#This Row],[Delta Jour]],"")</f>
        <v/>
      </c>
      <c r="G65" t="str">
        <f>IFERROR(Tab_Compteur_6[[#This Row],[Montant TTC]]/Tab_Compteur_6[[#This Row],[Delta Jour]],"")</f>
        <v/>
      </c>
      <c r="H65" s="42"/>
      <c r="I65" s="42"/>
      <c r="J65" s="42"/>
      <c r="K65" s="42"/>
      <c r="L65" s="42"/>
    </row>
    <row r="66" spans="1:12" x14ac:dyDescent="0.25">
      <c r="A66" s="61">
        <f t="shared" si="2"/>
        <v>1</v>
      </c>
      <c r="B66" s="3">
        <f>EDATE($B$3,Site!$I$38*(ROW(Tab_Compteur_6[[#This Row],[Début de période]])-3))</f>
        <v>0</v>
      </c>
      <c r="C66" s="185"/>
      <c r="E66">
        <f t="shared" ref="E66:E129" si="3">IFERROR(B66-A66+1,"")</f>
        <v>0</v>
      </c>
      <c r="F66" t="str">
        <f>IFERROR(Tab_Compteur_6[[#This Row],[Quantité]]/Tab_Compteur_6[[#This Row],[Delta Jour]],"")</f>
        <v/>
      </c>
      <c r="G66" t="str">
        <f>IFERROR(Tab_Compteur_6[[#This Row],[Montant TTC]]/Tab_Compteur_6[[#This Row],[Delta Jour]],"")</f>
        <v/>
      </c>
      <c r="H66" s="42"/>
      <c r="I66" s="42"/>
      <c r="J66" s="42"/>
      <c r="K66" s="42"/>
      <c r="L66" s="42"/>
    </row>
    <row r="67" spans="1:12" x14ac:dyDescent="0.25">
      <c r="A67" s="61">
        <f t="shared" si="2"/>
        <v>1</v>
      </c>
      <c r="B67" s="3">
        <f>EDATE($B$3,Site!$I$38*(ROW(Tab_Compteur_6[[#This Row],[Début de période]])-3))</f>
        <v>0</v>
      </c>
      <c r="C67" s="185"/>
      <c r="E67">
        <f t="shared" si="3"/>
        <v>0</v>
      </c>
      <c r="F67" t="str">
        <f>IFERROR(Tab_Compteur_6[[#This Row],[Quantité]]/Tab_Compteur_6[[#This Row],[Delta Jour]],"")</f>
        <v/>
      </c>
      <c r="G67" t="str">
        <f>IFERROR(Tab_Compteur_6[[#This Row],[Montant TTC]]/Tab_Compteur_6[[#This Row],[Delta Jour]],"")</f>
        <v/>
      </c>
      <c r="H67" s="42"/>
      <c r="I67" s="42"/>
      <c r="J67" s="42"/>
      <c r="K67" s="42"/>
      <c r="L67" s="42"/>
    </row>
    <row r="68" spans="1:12" x14ac:dyDescent="0.25">
      <c r="A68" s="61">
        <f t="shared" si="2"/>
        <v>1</v>
      </c>
      <c r="B68" s="3">
        <f>EDATE($B$3,Site!$I$38*(ROW(Tab_Compteur_6[[#This Row],[Début de période]])-3))</f>
        <v>0</v>
      </c>
      <c r="C68" s="185"/>
      <c r="E68">
        <f t="shared" si="3"/>
        <v>0</v>
      </c>
      <c r="F68" t="str">
        <f>IFERROR(Tab_Compteur_6[[#This Row],[Quantité]]/Tab_Compteur_6[[#This Row],[Delta Jour]],"")</f>
        <v/>
      </c>
      <c r="G68" t="str">
        <f>IFERROR(Tab_Compteur_6[[#This Row],[Montant TTC]]/Tab_Compteur_6[[#This Row],[Delta Jour]],"")</f>
        <v/>
      </c>
      <c r="H68" s="42"/>
      <c r="I68" s="42"/>
      <c r="J68" s="42"/>
      <c r="K68" s="42"/>
      <c r="L68" s="42"/>
    </row>
    <row r="69" spans="1:12" x14ac:dyDescent="0.25">
      <c r="A69" s="61">
        <f t="shared" ref="A69:A132" si="4">B68+1</f>
        <v>1</v>
      </c>
      <c r="B69" s="3">
        <f>EDATE($B$3,Site!$I$38*(ROW(Tab_Compteur_6[[#This Row],[Début de période]])-3))</f>
        <v>0</v>
      </c>
      <c r="C69" s="185"/>
      <c r="E69">
        <f t="shared" si="3"/>
        <v>0</v>
      </c>
      <c r="F69" t="str">
        <f>IFERROR(Tab_Compteur_6[[#This Row],[Quantité]]/Tab_Compteur_6[[#This Row],[Delta Jour]],"")</f>
        <v/>
      </c>
      <c r="G69" t="str">
        <f>IFERROR(Tab_Compteur_6[[#This Row],[Montant TTC]]/Tab_Compteur_6[[#This Row],[Delta Jour]],"")</f>
        <v/>
      </c>
      <c r="H69" s="42"/>
      <c r="I69" s="42"/>
      <c r="J69" s="42"/>
      <c r="K69" s="42"/>
      <c r="L69" s="42"/>
    </row>
    <row r="70" spans="1:12" x14ac:dyDescent="0.25">
      <c r="A70" s="61">
        <f t="shared" si="4"/>
        <v>1</v>
      </c>
      <c r="B70" s="3">
        <f>EDATE($B$3,Site!$I$38*(ROW(Tab_Compteur_6[[#This Row],[Début de période]])-3))</f>
        <v>0</v>
      </c>
      <c r="C70" s="185"/>
      <c r="E70">
        <f t="shared" si="3"/>
        <v>0</v>
      </c>
      <c r="F70" t="str">
        <f>IFERROR(Tab_Compteur_6[[#This Row],[Quantité]]/Tab_Compteur_6[[#This Row],[Delta Jour]],"")</f>
        <v/>
      </c>
      <c r="G70" t="str">
        <f>IFERROR(Tab_Compteur_6[[#This Row],[Montant TTC]]/Tab_Compteur_6[[#This Row],[Delta Jour]],"")</f>
        <v/>
      </c>
      <c r="H70" s="42"/>
      <c r="I70" s="42"/>
      <c r="J70" s="42"/>
      <c r="K70" s="42"/>
      <c r="L70" s="42"/>
    </row>
    <row r="71" spans="1:12" x14ac:dyDescent="0.25">
      <c r="A71" s="61">
        <f t="shared" si="4"/>
        <v>1</v>
      </c>
      <c r="B71" s="3">
        <f>EDATE($B$3,Site!$I$38*(ROW(Tab_Compteur_6[[#This Row],[Début de période]])-3))</f>
        <v>0</v>
      </c>
      <c r="C71" s="185"/>
      <c r="E71">
        <f t="shared" si="3"/>
        <v>0</v>
      </c>
      <c r="F71" t="str">
        <f>IFERROR(Tab_Compteur_6[[#This Row],[Quantité]]/Tab_Compteur_6[[#This Row],[Delta Jour]],"")</f>
        <v/>
      </c>
      <c r="G71" t="str">
        <f>IFERROR(Tab_Compteur_6[[#This Row],[Montant TTC]]/Tab_Compteur_6[[#This Row],[Delta Jour]],"")</f>
        <v/>
      </c>
      <c r="H71" s="42"/>
      <c r="I71" s="42"/>
      <c r="J71" s="42"/>
      <c r="K71" s="42"/>
      <c r="L71" s="42"/>
    </row>
    <row r="72" spans="1:12" x14ac:dyDescent="0.25">
      <c r="A72" s="61">
        <f t="shared" si="4"/>
        <v>1</v>
      </c>
      <c r="B72" s="3">
        <f>EDATE($B$3,Site!$I$38*(ROW(Tab_Compteur_6[[#This Row],[Début de période]])-3))</f>
        <v>0</v>
      </c>
      <c r="C72" s="185"/>
      <c r="E72">
        <f t="shared" si="3"/>
        <v>0</v>
      </c>
      <c r="F72" t="str">
        <f>IFERROR(Tab_Compteur_6[[#This Row],[Quantité]]/Tab_Compteur_6[[#This Row],[Delta Jour]],"")</f>
        <v/>
      </c>
      <c r="G72" t="str">
        <f>IFERROR(Tab_Compteur_6[[#This Row],[Montant TTC]]/Tab_Compteur_6[[#This Row],[Delta Jour]],"")</f>
        <v/>
      </c>
      <c r="H72" s="42"/>
      <c r="I72" s="42"/>
      <c r="J72" s="42"/>
      <c r="K72" s="42"/>
      <c r="L72" s="42"/>
    </row>
    <row r="73" spans="1:12" x14ac:dyDescent="0.25">
      <c r="A73" s="61">
        <f t="shared" si="4"/>
        <v>1</v>
      </c>
      <c r="B73" s="3">
        <f>EDATE($B$3,Site!$I$38*(ROW(Tab_Compteur_6[[#This Row],[Début de période]])-3))</f>
        <v>0</v>
      </c>
      <c r="C73" s="185"/>
      <c r="E73">
        <f t="shared" si="3"/>
        <v>0</v>
      </c>
      <c r="F73" t="str">
        <f>IFERROR(Tab_Compteur_6[[#This Row],[Quantité]]/Tab_Compteur_6[[#This Row],[Delta Jour]],"")</f>
        <v/>
      </c>
      <c r="G73" t="str">
        <f>IFERROR(Tab_Compteur_6[[#This Row],[Montant TTC]]/Tab_Compteur_6[[#This Row],[Delta Jour]],"")</f>
        <v/>
      </c>
      <c r="H73" s="42"/>
      <c r="I73" s="42"/>
      <c r="J73" s="42"/>
      <c r="K73" s="42"/>
      <c r="L73" s="42"/>
    </row>
    <row r="74" spans="1:12" x14ac:dyDescent="0.25">
      <c r="A74" s="61">
        <f t="shared" si="4"/>
        <v>1</v>
      </c>
      <c r="B74" s="3">
        <f>EDATE($B$3,Site!$I$38*(ROW(Tab_Compteur_6[[#This Row],[Début de période]])-3))</f>
        <v>0</v>
      </c>
      <c r="C74" s="185"/>
      <c r="E74">
        <f t="shared" si="3"/>
        <v>0</v>
      </c>
      <c r="F74" t="str">
        <f>IFERROR(Tab_Compteur_6[[#This Row],[Quantité]]/Tab_Compteur_6[[#This Row],[Delta Jour]],"")</f>
        <v/>
      </c>
      <c r="G74" t="str">
        <f>IFERROR(Tab_Compteur_6[[#This Row],[Montant TTC]]/Tab_Compteur_6[[#This Row],[Delta Jour]],"")</f>
        <v/>
      </c>
      <c r="H74" s="42"/>
      <c r="I74" s="42"/>
      <c r="J74" s="42"/>
      <c r="K74" s="42"/>
      <c r="L74" s="42"/>
    </row>
    <row r="75" spans="1:12" x14ac:dyDescent="0.25">
      <c r="A75" s="61">
        <f t="shared" si="4"/>
        <v>1</v>
      </c>
      <c r="B75" s="3">
        <f>EDATE($B$3,Site!$I$38*(ROW(Tab_Compteur_6[[#This Row],[Début de période]])-3))</f>
        <v>0</v>
      </c>
      <c r="C75" s="185"/>
      <c r="E75">
        <f t="shared" si="3"/>
        <v>0</v>
      </c>
      <c r="F75" t="str">
        <f>IFERROR(Tab_Compteur_6[[#This Row],[Quantité]]/Tab_Compteur_6[[#This Row],[Delta Jour]],"")</f>
        <v/>
      </c>
      <c r="G75" t="str">
        <f>IFERROR(Tab_Compteur_6[[#This Row],[Montant TTC]]/Tab_Compteur_6[[#This Row],[Delta Jour]],"")</f>
        <v/>
      </c>
      <c r="H75" s="42"/>
      <c r="I75" s="42"/>
      <c r="J75" s="42"/>
      <c r="K75" s="42"/>
      <c r="L75" s="42"/>
    </row>
    <row r="76" spans="1:12" x14ac:dyDescent="0.25">
      <c r="A76" s="61">
        <f t="shared" si="4"/>
        <v>1</v>
      </c>
      <c r="B76" s="3">
        <f>EDATE($B$3,Site!$I$38*(ROW(Tab_Compteur_6[[#This Row],[Début de période]])-3))</f>
        <v>0</v>
      </c>
      <c r="C76" s="185"/>
      <c r="E76">
        <f t="shared" si="3"/>
        <v>0</v>
      </c>
      <c r="F76" t="str">
        <f>IFERROR(Tab_Compteur_6[[#This Row],[Quantité]]/Tab_Compteur_6[[#This Row],[Delta Jour]],"")</f>
        <v/>
      </c>
      <c r="G76" t="str">
        <f>IFERROR(Tab_Compteur_6[[#This Row],[Montant TTC]]/Tab_Compteur_6[[#This Row],[Delta Jour]],"")</f>
        <v/>
      </c>
      <c r="H76" s="42"/>
      <c r="I76" s="42"/>
      <c r="J76" s="42"/>
      <c r="K76" s="42"/>
      <c r="L76" s="42"/>
    </row>
    <row r="77" spans="1:12" x14ac:dyDescent="0.25">
      <c r="A77" s="61">
        <f t="shared" si="4"/>
        <v>1</v>
      </c>
      <c r="B77" s="3">
        <f>EDATE($B$3,Site!$I$38*(ROW(Tab_Compteur_6[[#This Row],[Début de période]])-3))</f>
        <v>0</v>
      </c>
      <c r="C77" s="185"/>
      <c r="E77">
        <f t="shared" si="3"/>
        <v>0</v>
      </c>
      <c r="F77" t="str">
        <f>IFERROR(Tab_Compteur_6[[#This Row],[Quantité]]/Tab_Compteur_6[[#This Row],[Delta Jour]],"")</f>
        <v/>
      </c>
      <c r="G77" t="str">
        <f>IFERROR(Tab_Compteur_6[[#This Row],[Montant TTC]]/Tab_Compteur_6[[#This Row],[Delta Jour]],"")</f>
        <v/>
      </c>
      <c r="H77" s="42"/>
      <c r="I77" s="42"/>
      <c r="J77" s="42"/>
      <c r="K77" s="42"/>
      <c r="L77" s="42"/>
    </row>
    <row r="78" spans="1:12" x14ac:dyDescent="0.25">
      <c r="A78" s="61">
        <f t="shared" si="4"/>
        <v>1</v>
      </c>
      <c r="B78" s="3">
        <f>EDATE($B$3,Site!$I$38*(ROW(Tab_Compteur_6[[#This Row],[Début de période]])-3))</f>
        <v>0</v>
      </c>
      <c r="C78" s="185"/>
      <c r="E78">
        <f t="shared" si="3"/>
        <v>0</v>
      </c>
      <c r="F78" t="str">
        <f>IFERROR(Tab_Compteur_6[[#This Row],[Quantité]]/Tab_Compteur_6[[#This Row],[Delta Jour]],"")</f>
        <v/>
      </c>
      <c r="G78" t="str">
        <f>IFERROR(Tab_Compteur_6[[#This Row],[Montant TTC]]/Tab_Compteur_6[[#This Row],[Delta Jour]],"")</f>
        <v/>
      </c>
      <c r="H78" s="42"/>
      <c r="I78" s="42"/>
      <c r="J78" s="42"/>
      <c r="K78" s="42"/>
      <c r="L78" s="42"/>
    </row>
    <row r="79" spans="1:12" x14ac:dyDescent="0.25">
      <c r="A79" s="61">
        <f t="shared" si="4"/>
        <v>1</v>
      </c>
      <c r="B79" s="3">
        <f>EDATE($B$3,Site!$I$38*(ROW(Tab_Compteur_6[[#This Row],[Début de période]])-3))</f>
        <v>0</v>
      </c>
      <c r="C79" s="185"/>
      <c r="E79">
        <f t="shared" si="3"/>
        <v>0</v>
      </c>
      <c r="F79" t="str">
        <f>IFERROR(Tab_Compteur_6[[#This Row],[Quantité]]/Tab_Compteur_6[[#This Row],[Delta Jour]],"")</f>
        <v/>
      </c>
      <c r="G79" t="str">
        <f>IFERROR(Tab_Compteur_6[[#This Row],[Montant TTC]]/Tab_Compteur_6[[#This Row],[Delta Jour]],"")</f>
        <v/>
      </c>
      <c r="H79" s="42"/>
      <c r="I79" s="42"/>
      <c r="J79" s="42"/>
      <c r="K79" s="42"/>
      <c r="L79" s="42"/>
    </row>
    <row r="80" spans="1:12" x14ac:dyDescent="0.25">
      <c r="A80" s="61">
        <f t="shared" si="4"/>
        <v>1</v>
      </c>
      <c r="B80" s="3">
        <f>EDATE($B$3,Site!$I$38*(ROW(Tab_Compteur_6[[#This Row],[Début de période]])-3))</f>
        <v>0</v>
      </c>
      <c r="C80" s="185"/>
      <c r="E80">
        <f t="shared" si="3"/>
        <v>0</v>
      </c>
      <c r="F80" t="str">
        <f>IFERROR(Tab_Compteur_6[[#This Row],[Quantité]]/Tab_Compteur_6[[#This Row],[Delta Jour]],"")</f>
        <v/>
      </c>
      <c r="G80" t="str">
        <f>IFERROR(Tab_Compteur_6[[#This Row],[Montant TTC]]/Tab_Compteur_6[[#This Row],[Delta Jour]],"")</f>
        <v/>
      </c>
      <c r="H80" s="42"/>
      <c r="I80" s="42"/>
      <c r="J80" s="42"/>
      <c r="K80" s="42"/>
      <c r="L80" s="42"/>
    </row>
    <row r="81" spans="1:12" x14ac:dyDescent="0.25">
      <c r="A81" s="61">
        <f t="shared" si="4"/>
        <v>1</v>
      </c>
      <c r="B81" s="3">
        <f>EDATE($B$3,Site!$I$38*(ROW(Tab_Compteur_6[[#This Row],[Début de période]])-3))</f>
        <v>0</v>
      </c>
      <c r="C81" s="185"/>
      <c r="E81">
        <f t="shared" si="3"/>
        <v>0</v>
      </c>
      <c r="F81" t="str">
        <f>IFERROR(Tab_Compteur_6[[#This Row],[Quantité]]/Tab_Compteur_6[[#This Row],[Delta Jour]],"")</f>
        <v/>
      </c>
      <c r="G81" t="str">
        <f>IFERROR(Tab_Compteur_6[[#This Row],[Montant TTC]]/Tab_Compteur_6[[#This Row],[Delta Jour]],"")</f>
        <v/>
      </c>
      <c r="H81" s="42"/>
      <c r="I81" s="42"/>
      <c r="J81" s="42"/>
      <c r="K81" s="42"/>
      <c r="L81" s="42"/>
    </row>
    <row r="82" spans="1:12" x14ac:dyDescent="0.25">
      <c r="A82" s="61">
        <f t="shared" si="4"/>
        <v>1</v>
      </c>
      <c r="B82" s="3">
        <f>EDATE($B$3,Site!$I$38*(ROW(Tab_Compteur_6[[#This Row],[Début de période]])-3))</f>
        <v>0</v>
      </c>
      <c r="C82" s="185"/>
      <c r="E82">
        <f t="shared" si="3"/>
        <v>0</v>
      </c>
      <c r="F82" t="str">
        <f>IFERROR(Tab_Compteur_6[[#This Row],[Quantité]]/Tab_Compteur_6[[#This Row],[Delta Jour]],"")</f>
        <v/>
      </c>
      <c r="G82" t="str">
        <f>IFERROR(Tab_Compteur_6[[#This Row],[Montant TTC]]/Tab_Compteur_6[[#This Row],[Delta Jour]],"")</f>
        <v/>
      </c>
      <c r="H82" s="42"/>
      <c r="I82" s="42"/>
      <c r="J82" s="42"/>
      <c r="K82" s="42"/>
      <c r="L82" s="42"/>
    </row>
    <row r="83" spans="1:12" x14ac:dyDescent="0.25">
      <c r="A83" s="61">
        <f t="shared" si="4"/>
        <v>1</v>
      </c>
      <c r="B83" s="3">
        <f>EDATE($B$3,Site!$I$38*(ROW(Tab_Compteur_6[[#This Row],[Début de période]])-3))</f>
        <v>0</v>
      </c>
      <c r="C83" s="185"/>
      <c r="E83">
        <f t="shared" si="3"/>
        <v>0</v>
      </c>
      <c r="F83" t="str">
        <f>IFERROR(Tab_Compteur_6[[#This Row],[Quantité]]/Tab_Compteur_6[[#This Row],[Delta Jour]],"")</f>
        <v/>
      </c>
      <c r="G83" t="str">
        <f>IFERROR(Tab_Compteur_6[[#This Row],[Montant TTC]]/Tab_Compteur_6[[#This Row],[Delta Jour]],"")</f>
        <v/>
      </c>
      <c r="H83" s="42"/>
      <c r="I83" s="42"/>
      <c r="J83" s="42"/>
      <c r="K83" s="42"/>
      <c r="L83" s="42"/>
    </row>
    <row r="84" spans="1:12" x14ac:dyDescent="0.25">
      <c r="A84" s="61">
        <f t="shared" si="4"/>
        <v>1</v>
      </c>
      <c r="B84" s="3">
        <f>EDATE($B$3,Site!$I$38*(ROW(Tab_Compteur_6[[#This Row],[Début de période]])-3))</f>
        <v>0</v>
      </c>
      <c r="C84" s="185"/>
      <c r="E84">
        <f t="shared" si="3"/>
        <v>0</v>
      </c>
      <c r="F84" t="str">
        <f>IFERROR(Tab_Compteur_6[[#This Row],[Quantité]]/Tab_Compteur_6[[#This Row],[Delta Jour]],"")</f>
        <v/>
      </c>
      <c r="G84" t="str">
        <f>IFERROR(Tab_Compteur_6[[#This Row],[Montant TTC]]/Tab_Compteur_6[[#This Row],[Delta Jour]],"")</f>
        <v/>
      </c>
      <c r="H84" s="42"/>
      <c r="I84" s="42"/>
      <c r="J84" s="42"/>
      <c r="K84" s="42"/>
      <c r="L84" s="42"/>
    </row>
    <row r="85" spans="1:12" x14ac:dyDescent="0.25">
      <c r="A85" s="61">
        <f t="shared" si="4"/>
        <v>1</v>
      </c>
      <c r="B85" s="3">
        <f>EDATE($B$3,Site!$I$38*(ROW(Tab_Compteur_6[[#This Row],[Début de période]])-3))</f>
        <v>0</v>
      </c>
      <c r="C85" s="185"/>
      <c r="E85">
        <f t="shared" si="3"/>
        <v>0</v>
      </c>
      <c r="F85" t="str">
        <f>IFERROR(Tab_Compteur_6[[#This Row],[Quantité]]/Tab_Compteur_6[[#This Row],[Delta Jour]],"")</f>
        <v/>
      </c>
      <c r="G85" t="str">
        <f>IFERROR(Tab_Compteur_6[[#This Row],[Montant TTC]]/Tab_Compteur_6[[#This Row],[Delta Jour]],"")</f>
        <v/>
      </c>
      <c r="H85" s="42"/>
      <c r="I85" s="42"/>
      <c r="J85" s="42"/>
      <c r="K85" s="42"/>
      <c r="L85" s="42"/>
    </row>
    <row r="86" spans="1:12" x14ac:dyDescent="0.25">
      <c r="A86" s="61">
        <f t="shared" si="4"/>
        <v>1</v>
      </c>
      <c r="B86" s="3">
        <f>EDATE($B$3,Site!$I$38*(ROW(Tab_Compteur_6[[#This Row],[Début de période]])-3))</f>
        <v>0</v>
      </c>
      <c r="C86" s="185"/>
      <c r="E86">
        <f t="shared" si="3"/>
        <v>0</v>
      </c>
      <c r="F86" t="str">
        <f>IFERROR(Tab_Compteur_6[[#This Row],[Quantité]]/Tab_Compteur_6[[#This Row],[Delta Jour]],"")</f>
        <v/>
      </c>
      <c r="G86" t="str">
        <f>IFERROR(Tab_Compteur_6[[#This Row],[Montant TTC]]/Tab_Compteur_6[[#This Row],[Delta Jour]],"")</f>
        <v/>
      </c>
      <c r="H86" s="42"/>
      <c r="I86" s="42"/>
      <c r="J86" s="42"/>
      <c r="K86" s="42"/>
      <c r="L86" s="42"/>
    </row>
    <row r="87" spans="1:12" x14ac:dyDescent="0.25">
      <c r="A87" s="61">
        <f t="shared" si="4"/>
        <v>1</v>
      </c>
      <c r="B87" s="3">
        <f>EDATE($B$3,Site!$I$38*(ROW(Tab_Compteur_6[[#This Row],[Début de période]])-3))</f>
        <v>0</v>
      </c>
      <c r="C87" s="185"/>
      <c r="E87">
        <f t="shared" si="3"/>
        <v>0</v>
      </c>
      <c r="F87" t="str">
        <f>IFERROR(Tab_Compteur_6[[#This Row],[Quantité]]/Tab_Compteur_6[[#This Row],[Delta Jour]],"")</f>
        <v/>
      </c>
      <c r="G87" t="str">
        <f>IFERROR(Tab_Compteur_6[[#This Row],[Montant TTC]]/Tab_Compteur_6[[#This Row],[Delta Jour]],"")</f>
        <v/>
      </c>
      <c r="H87" s="42"/>
      <c r="I87" s="42"/>
      <c r="J87" s="42"/>
      <c r="K87" s="42"/>
      <c r="L87" s="42"/>
    </row>
    <row r="88" spans="1:12" x14ac:dyDescent="0.25">
      <c r="A88" s="61">
        <f t="shared" si="4"/>
        <v>1</v>
      </c>
      <c r="B88" s="3">
        <f>EDATE($B$3,Site!$I$38*(ROW(Tab_Compteur_6[[#This Row],[Début de période]])-3))</f>
        <v>0</v>
      </c>
      <c r="C88" s="185"/>
      <c r="E88">
        <f t="shared" si="3"/>
        <v>0</v>
      </c>
      <c r="F88" t="str">
        <f>IFERROR(Tab_Compteur_6[[#This Row],[Quantité]]/Tab_Compteur_6[[#This Row],[Delta Jour]],"")</f>
        <v/>
      </c>
      <c r="G88" t="str">
        <f>IFERROR(Tab_Compteur_6[[#This Row],[Montant TTC]]/Tab_Compteur_6[[#This Row],[Delta Jour]],"")</f>
        <v/>
      </c>
      <c r="H88" s="42"/>
      <c r="I88" s="42"/>
      <c r="J88" s="42"/>
      <c r="K88" s="42"/>
      <c r="L88" s="42"/>
    </row>
    <row r="89" spans="1:12" x14ac:dyDescent="0.25">
      <c r="A89" s="61">
        <f t="shared" si="4"/>
        <v>1</v>
      </c>
      <c r="B89" s="3">
        <f>EDATE($B$3,Site!$I$38*(ROW(Tab_Compteur_6[[#This Row],[Début de période]])-3))</f>
        <v>0</v>
      </c>
      <c r="C89" s="185"/>
      <c r="E89">
        <f t="shared" si="3"/>
        <v>0</v>
      </c>
      <c r="F89" t="str">
        <f>IFERROR(Tab_Compteur_6[[#This Row],[Quantité]]/Tab_Compteur_6[[#This Row],[Delta Jour]],"")</f>
        <v/>
      </c>
      <c r="G89" t="str">
        <f>IFERROR(Tab_Compteur_6[[#This Row],[Montant TTC]]/Tab_Compteur_6[[#This Row],[Delta Jour]],"")</f>
        <v/>
      </c>
      <c r="H89" s="42"/>
      <c r="I89" s="42"/>
      <c r="J89" s="42"/>
      <c r="K89" s="42"/>
      <c r="L89" s="42"/>
    </row>
    <row r="90" spans="1:12" x14ac:dyDescent="0.25">
      <c r="A90" s="61">
        <f t="shared" si="4"/>
        <v>1</v>
      </c>
      <c r="B90" s="3">
        <f>EDATE($B$3,Site!$I$38*(ROW(Tab_Compteur_6[[#This Row],[Début de période]])-3))</f>
        <v>0</v>
      </c>
      <c r="C90" s="185"/>
      <c r="E90">
        <f t="shared" si="3"/>
        <v>0</v>
      </c>
      <c r="F90" t="str">
        <f>IFERROR(Tab_Compteur_6[[#This Row],[Quantité]]/Tab_Compteur_6[[#This Row],[Delta Jour]],"")</f>
        <v/>
      </c>
      <c r="G90" t="str">
        <f>IFERROR(Tab_Compteur_6[[#This Row],[Montant TTC]]/Tab_Compteur_6[[#This Row],[Delta Jour]],"")</f>
        <v/>
      </c>
      <c r="H90" s="42"/>
      <c r="I90" s="42"/>
      <c r="J90" s="42"/>
      <c r="K90" s="42"/>
      <c r="L90" s="42"/>
    </row>
    <row r="91" spans="1:12" x14ac:dyDescent="0.25">
      <c r="A91" s="61">
        <f t="shared" si="4"/>
        <v>1</v>
      </c>
      <c r="B91" s="3">
        <f>EDATE($B$3,Site!$I$38*(ROW(Tab_Compteur_6[[#This Row],[Début de période]])-3))</f>
        <v>0</v>
      </c>
      <c r="C91" s="185"/>
      <c r="E91">
        <f t="shared" si="3"/>
        <v>0</v>
      </c>
      <c r="F91" t="str">
        <f>IFERROR(Tab_Compteur_6[[#This Row],[Quantité]]/Tab_Compteur_6[[#This Row],[Delta Jour]],"")</f>
        <v/>
      </c>
      <c r="G91" t="str">
        <f>IFERROR(Tab_Compteur_6[[#This Row],[Montant TTC]]/Tab_Compteur_6[[#This Row],[Delta Jour]],"")</f>
        <v/>
      </c>
      <c r="H91" s="42"/>
      <c r="I91" s="42"/>
      <c r="J91" s="42"/>
      <c r="K91" s="42"/>
      <c r="L91" s="42"/>
    </row>
    <row r="92" spans="1:12" x14ac:dyDescent="0.25">
      <c r="A92" s="61">
        <f t="shared" si="4"/>
        <v>1</v>
      </c>
      <c r="B92" s="3">
        <f>EDATE($B$3,Site!$I$38*(ROW(Tab_Compteur_6[[#This Row],[Début de période]])-3))</f>
        <v>0</v>
      </c>
      <c r="C92" s="185"/>
      <c r="E92">
        <f t="shared" si="3"/>
        <v>0</v>
      </c>
      <c r="F92" t="str">
        <f>IFERROR(Tab_Compteur_6[[#This Row],[Quantité]]/Tab_Compteur_6[[#This Row],[Delta Jour]],"")</f>
        <v/>
      </c>
      <c r="G92" t="str">
        <f>IFERROR(Tab_Compteur_6[[#This Row],[Montant TTC]]/Tab_Compteur_6[[#This Row],[Delta Jour]],"")</f>
        <v/>
      </c>
      <c r="H92" s="42"/>
      <c r="I92" s="42"/>
      <c r="J92" s="42"/>
      <c r="K92" s="42"/>
      <c r="L92" s="42"/>
    </row>
    <row r="93" spans="1:12" x14ac:dyDescent="0.25">
      <c r="A93" s="61">
        <f t="shared" si="4"/>
        <v>1</v>
      </c>
      <c r="B93" s="3">
        <f>EDATE($B$3,Site!$I$38*(ROW(Tab_Compteur_6[[#This Row],[Début de période]])-3))</f>
        <v>0</v>
      </c>
      <c r="C93" s="185"/>
      <c r="E93">
        <f t="shared" si="3"/>
        <v>0</v>
      </c>
      <c r="F93" t="str">
        <f>IFERROR(Tab_Compteur_6[[#This Row],[Quantité]]/Tab_Compteur_6[[#This Row],[Delta Jour]],"")</f>
        <v/>
      </c>
      <c r="G93" t="str">
        <f>IFERROR(Tab_Compteur_6[[#This Row],[Montant TTC]]/Tab_Compteur_6[[#This Row],[Delta Jour]],"")</f>
        <v/>
      </c>
      <c r="H93" s="42"/>
      <c r="I93" s="42"/>
      <c r="J93" s="42"/>
      <c r="K93" s="42"/>
      <c r="L93" s="42"/>
    </row>
    <row r="94" spans="1:12" x14ac:dyDescent="0.25">
      <c r="A94" s="61">
        <f t="shared" si="4"/>
        <v>1</v>
      </c>
      <c r="B94" s="3">
        <f>EDATE($B$3,Site!$I$38*(ROW(Tab_Compteur_6[[#This Row],[Début de période]])-3))</f>
        <v>0</v>
      </c>
      <c r="C94" s="185"/>
      <c r="E94">
        <f t="shared" si="3"/>
        <v>0</v>
      </c>
      <c r="F94" t="str">
        <f>IFERROR(Tab_Compteur_6[[#This Row],[Quantité]]/Tab_Compteur_6[[#This Row],[Delta Jour]],"")</f>
        <v/>
      </c>
      <c r="G94" t="str">
        <f>IFERROR(Tab_Compteur_6[[#This Row],[Montant TTC]]/Tab_Compteur_6[[#This Row],[Delta Jour]],"")</f>
        <v/>
      </c>
      <c r="H94" s="42"/>
      <c r="I94" s="42"/>
      <c r="J94" s="42"/>
      <c r="K94" s="42"/>
      <c r="L94" s="42"/>
    </row>
    <row r="95" spans="1:12" x14ac:dyDescent="0.25">
      <c r="A95" s="61">
        <f t="shared" si="4"/>
        <v>1</v>
      </c>
      <c r="B95" s="3">
        <f>EDATE($B$3,Site!$I$38*(ROW(Tab_Compteur_6[[#This Row],[Début de période]])-3))</f>
        <v>0</v>
      </c>
      <c r="C95" s="185"/>
      <c r="E95">
        <f t="shared" si="3"/>
        <v>0</v>
      </c>
      <c r="F95" t="str">
        <f>IFERROR(Tab_Compteur_6[[#This Row],[Quantité]]/Tab_Compteur_6[[#This Row],[Delta Jour]],"")</f>
        <v/>
      </c>
      <c r="G95" t="str">
        <f>IFERROR(Tab_Compteur_6[[#This Row],[Montant TTC]]/Tab_Compteur_6[[#This Row],[Delta Jour]],"")</f>
        <v/>
      </c>
      <c r="H95" s="42"/>
      <c r="I95" s="42"/>
      <c r="J95" s="42"/>
      <c r="K95" s="42"/>
      <c r="L95" s="42"/>
    </row>
    <row r="96" spans="1:12" x14ac:dyDescent="0.25">
      <c r="A96" s="61">
        <f t="shared" si="4"/>
        <v>1</v>
      </c>
      <c r="B96" s="3">
        <f>EDATE($B$3,Site!$I$38*(ROW(Tab_Compteur_6[[#This Row],[Début de période]])-3))</f>
        <v>0</v>
      </c>
      <c r="C96" s="185"/>
      <c r="E96">
        <f t="shared" si="3"/>
        <v>0</v>
      </c>
      <c r="F96" t="str">
        <f>IFERROR(Tab_Compteur_6[[#This Row],[Quantité]]/Tab_Compteur_6[[#This Row],[Delta Jour]],"")</f>
        <v/>
      </c>
      <c r="G96" t="str">
        <f>IFERROR(Tab_Compteur_6[[#This Row],[Montant TTC]]/Tab_Compteur_6[[#This Row],[Delta Jour]],"")</f>
        <v/>
      </c>
      <c r="H96" s="42"/>
      <c r="I96" s="42"/>
      <c r="J96" s="42"/>
      <c r="K96" s="42"/>
      <c r="L96" s="42"/>
    </row>
    <row r="97" spans="1:12" x14ac:dyDescent="0.25">
      <c r="A97" s="61">
        <f t="shared" si="4"/>
        <v>1</v>
      </c>
      <c r="B97" s="3">
        <f>EDATE($B$3,Site!$I$38*(ROW(Tab_Compteur_6[[#This Row],[Début de période]])-3))</f>
        <v>0</v>
      </c>
      <c r="C97" s="185"/>
      <c r="E97">
        <f t="shared" si="3"/>
        <v>0</v>
      </c>
      <c r="F97" t="str">
        <f>IFERROR(Tab_Compteur_6[[#This Row],[Quantité]]/Tab_Compteur_6[[#This Row],[Delta Jour]],"")</f>
        <v/>
      </c>
      <c r="G97" t="str">
        <f>IFERROR(Tab_Compteur_6[[#This Row],[Montant TTC]]/Tab_Compteur_6[[#This Row],[Delta Jour]],"")</f>
        <v/>
      </c>
      <c r="H97" s="42"/>
      <c r="I97" s="42"/>
      <c r="J97" s="42"/>
      <c r="K97" s="42"/>
      <c r="L97" s="42"/>
    </row>
    <row r="98" spans="1:12" x14ac:dyDescent="0.25">
      <c r="A98" s="61">
        <f t="shared" si="4"/>
        <v>1</v>
      </c>
      <c r="B98" s="3">
        <f>EDATE($B$3,Site!$I$38*(ROW(Tab_Compteur_6[[#This Row],[Début de période]])-3))</f>
        <v>0</v>
      </c>
      <c r="C98" s="185"/>
      <c r="E98">
        <f t="shared" si="3"/>
        <v>0</v>
      </c>
      <c r="F98" t="str">
        <f>IFERROR(Tab_Compteur_6[[#This Row],[Quantité]]/Tab_Compteur_6[[#This Row],[Delta Jour]],"")</f>
        <v/>
      </c>
      <c r="G98" t="str">
        <f>IFERROR(Tab_Compteur_6[[#This Row],[Montant TTC]]/Tab_Compteur_6[[#This Row],[Delta Jour]],"")</f>
        <v/>
      </c>
      <c r="H98" s="42"/>
      <c r="I98" s="42"/>
      <c r="J98" s="42"/>
      <c r="K98" s="42"/>
      <c r="L98" s="42"/>
    </row>
    <row r="99" spans="1:12" x14ac:dyDescent="0.25">
      <c r="A99" s="61">
        <f t="shared" si="4"/>
        <v>1</v>
      </c>
      <c r="B99" s="3">
        <f>EDATE($B$3,Site!$I$38*(ROW(Tab_Compteur_6[[#This Row],[Début de période]])-3))</f>
        <v>0</v>
      </c>
      <c r="C99" s="185"/>
      <c r="E99">
        <f t="shared" si="3"/>
        <v>0</v>
      </c>
      <c r="F99" t="str">
        <f>IFERROR(Tab_Compteur_6[[#This Row],[Quantité]]/Tab_Compteur_6[[#This Row],[Delta Jour]],"")</f>
        <v/>
      </c>
      <c r="G99" t="str">
        <f>IFERROR(Tab_Compteur_6[[#This Row],[Montant TTC]]/Tab_Compteur_6[[#This Row],[Delta Jour]],"")</f>
        <v/>
      </c>
      <c r="H99" s="42"/>
      <c r="I99" s="42"/>
      <c r="J99" s="42"/>
      <c r="K99" s="42"/>
      <c r="L99" s="42"/>
    </row>
    <row r="100" spans="1:12" x14ac:dyDescent="0.25">
      <c r="A100" s="61">
        <f t="shared" si="4"/>
        <v>1</v>
      </c>
      <c r="B100" s="3">
        <f>EDATE($B$3,Site!$I$38*(ROW(Tab_Compteur_6[[#This Row],[Début de période]])-3))</f>
        <v>0</v>
      </c>
      <c r="C100" s="185"/>
      <c r="E100">
        <f t="shared" si="3"/>
        <v>0</v>
      </c>
      <c r="F100" t="str">
        <f>IFERROR(Tab_Compteur_6[[#This Row],[Quantité]]/Tab_Compteur_6[[#This Row],[Delta Jour]],"")</f>
        <v/>
      </c>
      <c r="G100" t="str">
        <f>IFERROR(Tab_Compteur_6[[#This Row],[Montant TTC]]/Tab_Compteur_6[[#This Row],[Delta Jour]],"")</f>
        <v/>
      </c>
      <c r="H100" s="42"/>
      <c r="I100" s="42"/>
      <c r="J100" s="42"/>
      <c r="K100" s="42"/>
      <c r="L100" s="42"/>
    </row>
    <row r="101" spans="1:12" x14ac:dyDescent="0.25">
      <c r="A101" s="61">
        <f t="shared" si="4"/>
        <v>1</v>
      </c>
      <c r="B101" s="3">
        <f>EDATE($B$3,Site!$I$38*(ROW(Tab_Compteur_6[[#This Row],[Début de période]])-3))</f>
        <v>0</v>
      </c>
      <c r="C101" s="185"/>
      <c r="E101">
        <f t="shared" si="3"/>
        <v>0</v>
      </c>
      <c r="F101" t="str">
        <f>IFERROR(Tab_Compteur_6[[#This Row],[Quantité]]/Tab_Compteur_6[[#This Row],[Delta Jour]],"")</f>
        <v/>
      </c>
      <c r="G101" t="str">
        <f>IFERROR(Tab_Compteur_6[[#This Row],[Montant TTC]]/Tab_Compteur_6[[#This Row],[Delta Jour]],"")</f>
        <v/>
      </c>
      <c r="H101" s="42"/>
      <c r="I101" s="42"/>
      <c r="J101" s="42"/>
      <c r="K101" s="42"/>
      <c r="L101" s="42"/>
    </row>
    <row r="102" spans="1:12" x14ac:dyDescent="0.25">
      <c r="A102" s="61">
        <f t="shared" si="4"/>
        <v>1</v>
      </c>
      <c r="B102" s="3">
        <f>EDATE($B$3,Site!$I$38*(ROW(Tab_Compteur_6[[#This Row],[Début de période]])-3))</f>
        <v>0</v>
      </c>
      <c r="C102" s="185"/>
      <c r="E102">
        <f t="shared" si="3"/>
        <v>0</v>
      </c>
      <c r="F102" t="str">
        <f>IFERROR(Tab_Compteur_6[[#This Row],[Quantité]]/Tab_Compteur_6[[#This Row],[Delta Jour]],"")</f>
        <v/>
      </c>
      <c r="G102" t="str">
        <f>IFERROR(Tab_Compteur_6[[#This Row],[Montant TTC]]/Tab_Compteur_6[[#This Row],[Delta Jour]],"")</f>
        <v/>
      </c>
      <c r="H102" s="42"/>
      <c r="I102" s="42"/>
      <c r="J102" s="42"/>
      <c r="K102" s="42"/>
      <c r="L102" s="42"/>
    </row>
    <row r="103" spans="1:12" x14ac:dyDescent="0.25">
      <c r="A103" s="61">
        <f t="shared" si="4"/>
        <v>1</v>
      </c>
      <c r="B103" s="3">
        <f>EDATE($B$3,Site!$I$38*(ROW(Tab_Compteur_6[[#This Row],[Début de période]])-3))</f>
        <v>0</v>
      </c>
      <c r="C103" s="185"/>
      <c r="E103">
        <f t="shared" si="3"/>
        <v>0</v>
      </c>
      <c r="F103" t="str">
        <f>IFERROR(Tab_Compteur_6[[#This Row],[Quantité]]/Tab_Compteur_6[[#This Row],[Delta Jour]],"")</f>
        <v/>
      </c>
      <c r="G103" t="str">
        <f>IFERROR(Tab_Compteur_6[[#This Row],[Montant TTC]]/Tab_Compteur_6[[#This Row],[Delta Jour]],"")</f>
        <v/>
      </c>
      <c r="H103" s="42"/>
      <c r="I103" s="42"/>
      <c r="J103" s="42"/>
      <c r="K103" s="42"/>
      <c r="L103" s="42"/>
    </row>
    <row r="104" spans="1:12" x14ac:dyDescent="0.25">
      <c r="A104" s="61">
        <f t="shared" si="4"/>
        <v>1</v>
      </c>
      <c r="B104" s="3">
        <f>EDATE($B$3,Site!$I$38*(ROW(Tab_Compteur_6[[#This Row],[Début de période]])-3))</f>
        <v>0</v>
      </c>
      <c r="C104" s="185"/>
      <c r="E104">
        <f t="shared" si="3"/>
        <v>0</v>
      </c>
      <c r="F104" t="str">
        <f>IFERROR(Tab_Compteur_6[[#This Row],[Quantité]]/Tab_Compteur_6[[#This Row],[Delta Jour]],"")</f>
        <v/>
      </c>
      <c r="G104" t="str">
        <f>IFERROR(Tab_Compteur_6[[#This Row],[Montant TTC]]/Tab_Compteur_6[[#This Row],[Delta Jour]],"")</f>
        <v/>
      </c>
      <c r="H104" s="42"/>
      <c r="I104" s="42"/>
      <c r="J104" s="42"/>
      <c r="K104" s="42"/>
      <c r="L104" s="42"/>
    </row>
    <row r="105" spans="1:12" x14ac:dyDescent="0.25">
      <c r="A105" s="61">
        <f t="shared" si="4"/>
        <v>1</v>
      </c>
      <c r="B105" s="3">
        <f>EDATE($B$3,Site!$I$38*(ROW(Tab_Compteur_6[[#This Row],[Début de période]])-3))</f>
        <v>0</v>
      </c>
      <c r="C105" s="185"/>
      <c r="E105">
        <f t="shared" si="3"/>
        <v>0</v>
      </c>
      <c r="F105" t="str">
        <f>IFERROR(Tab_Compteur_6[[#This Row],[Quantité]]/Tab_Compteur_6[[#This Row],[Delta Jour]],"")</f>
        <v/>
      </c>
      <c r="G105" t="str">
        <f>IFERROR(Tab_Compteur_6[[#This Row],[Montant TTC]]/Tab_Compteur_6[[#This Row],[Delta Jour]],"")</f>
        <v/>
      </c>
      <c r="H105" s="42"/>
      <c r="I105" s="42"/>
      <c r="J105" s="42"/>
      <c r="K105" s="42"/>
      <c r="L105" s="42"/>
    </row>
    <row r="106" spans="1:12" x14ac:dyDescent="0.25">
      <c r="A106" s="61">
        <f t="shared" si="4"/>
        <v>1</v>
      </c>
      <c r="B106" s="3">
        <f>EDATE($B$3,Site!$I$38*(ROW(Tab_Compteur_6[[#This Row],[Début de période]])-3))</f>
        <v>0</v>
      </c>
      <c r="C106" s="185"/>
      <c r="E106">
        <f t="shared" si="3"/>
        <v>0</v>
      </c>
      <c r="F106" t="str">
        <f>IFERROR(Tab_Compteur_6[[#This Row],[Quantité]]/Tab_Compteur_6[[#This Row],[Delta Jour]],"")</f>
        <v/>
      </c>
      <c r="G106" t="str">
        <f>IFERROR(Tab_Compteur_6[[#This Row],[Montant TTC]]/Tab_Compteur_6[[#This Row],[Delta Jour]],"")</f>
        <v/>
      </c>
      <c r="H106" s="42"/>
      <c r="I106" s="42"/>
      <c r="J106" s="42"/>
      <c r="K106" s="42"/>
      <c r="L106" s="42"/>
    </row>
    <row r="107" spans="1:12" x14ac:dyDescent="0.25">
      <c r="A107" s="61">
        <f t="shared" si="4"/>
        <v>1</v>
      </c>
      <c r="B107" s="3">
        <f>EDATE($B$3,Site!$I$38*(ROW(Tab_Compteur_6[[#This Row],[Début de période]])-3))</f>
        <v>0</v>
      </c>
      <c r="C107" s="185"/>
      <c r="E107">
        <f t="shared" si="3"/>
        <v>0</v>
      </c>
      <c r="F107" t="str">
        <f>IFERROR(Tab_Compteur_6[[#This Row],[Quantité]]/Tab_Compteur_6[[#This Row],[Delta Jour]],"")</f>
        <v/>
      </c>
      <c r="G107" t="str">
        <f>IFERROR(Tab_Compteur_6[[#This Row],[Montant TTC]]/Tab_Compteur_6[[#This Row],[Delta Jour]],"")</f>
        <v/>
      </c>
      <c r="H107" s="42"/>
      <c r="I107" s="42"/>
      <c r="J107" s="42"/>
      <c r="K107" s="42"/>
      <c r="L107" s="42"/>
    </row>
    <row r="108" spans="1:12" x14ac:dyDescent="0.25">
      <c r="A108" s="61">
        <f t="shared" si="4"/>
        <v>1</v>
      </c>
      <c r="B108" s="3">
        <f>EDATE($B$3,Site!$I$38*(ROW(Tab_Compteur_6[[#This Row],[Début de période]])-3))</f>
        <v>0</v>
      </c>
      <c r="C108" s="185"/>
      <c r="E108">
        <f t="shared" si="3"/>
        <v>0</v>
      </c>
      <c r="F108" t="str">
        <f>IFERROR(Tab_Compteur_6[[#This Row],[Quantité]]/Tab_Compteur_6[[#This Row],[Delta Jour]],"")</f>
        <v/>
      </c>
      <c r="G108" t="str">
        <f>IFERROR(Tab_Compteur_6[[#This Row],[Montant TTC]]/Tab_Compteur_6[[#This Row],[Delta Jour]],"")</f>
        <v/>
      </c>
      <c r="H108" s="42"/>
      <c r="I108" s="42"/>
      <c r="J108" s="42"/>
      <c r="K108" s="42"/>
      <c r="L108" s="42"/>
    </row>
    <row r="109" spans="1:12" x14ac:dyDescent="0.25">
      <c r="A109" s="61">
        <f t="shared" si="4"/>
        <v>1</v>
      </c>
      <c r="B109" s="3">
        <f>EDATE($B$3,Site!$I$38*(ROW(Tab_Compteur_6[[#This Row],[Début de période]])-3))</f>
        <v>0</v>
      </c>
      <c r="C109" s="185"/>
      <c r="E109">
        <f t="shared" si="3"/>
        <v>0</v>
      </c>
      <c r="F109" t="str">
        <f>IFERROR(Tab_Compteur_6[[#This Row],[Quantité]]/Tab_Compteur_6[[#This Row],[Delta Jour]],"")</f>
        <v/>
      </c>
      <c r="G109" t="str">
        <f>IFERROR(Tab_Compteur_6[[#This Row],[Montant TTC]]/Tab_Compteur_6[[#This Row],[Delta Jour]],"")</f>
        <v/>
      </c>
      <c r="H109" s="42"/>
      <c r="I109" s="42"/>
      <c r="J109" s="42"/>
      <c r="K109" s="42"/>
      <c r="L109" s="42"/>
    </row>
    <row r="110" spans="1:12" x14ac:dyDescent="0.25">
      <c r="A110" s="61">
        <f t="shared" si="4"/>
        <v>1</v>
      </c>
      <c r="B110" s="3">
        <f>EDATE($B$3,Site!$I$38*(ROW(Tab_Compteur_6[[#This Row],[Début de période]])-3))</f>
        <v>0</v>
      </c>
      <c r="C110" s="185"/>
      <c r="E110">
        <f t="shared" si="3"/>
        <v>0</v>
      </c>
      <c r="F110" t="str">
        <f>IFERROR(Tab_Compteur_6[[#This Row],[Quantité]]/Tab_Compteur_6[[#This Row],[Delta Jour]],"")</f>
        <v/>
      </c>
      <c r="G110" t="str">
        <f>IFERROR(Tab_Compteur_6[[#This Row],[Montant TTC]]/Tab_Compteur_6[[#This Row],[Delta Jour]],"")</f>
        <v/>
      </c>
      <c r="H110" s="42"/>
      <c r="I110" s="42"/>
      <c r="J110" s="42"/>
      <c r="K110" s="42"/>
      <c r="L110" s="42"/>
    </row>
    <row r="111" spans="1:12" x14ac:dyDescent="0.25">
      <c r="A111" s="61">
        <f t="shared" si="4"/>
        <v>1</v>
      </c>
      <c r="B111" s="3">
        <f>EDATE($B$3,Site!$I$38*(ROW(Tab_Compteur_6[[#This Row],[Début de période]])-3))</f>
        <v>0</v>
      </c>
      <c r="C111" s="185"/>
      <c r="E111">
        <f t="shared" si="3"/>
        <v>0</v>
      </c>
      <c r="F111" t="str">
        <f>IFERROR(Tab_Compteur_6[[#This Row],[Quantité]]/Tab_Compteur_6[[#This Row],[Delta Jour]],"")</f>
        <v/>
      </c>
      <c r="G111" t="str">
        <f>IFERROR(Tab_Compteur_6[[#This Row],[Montant TTC]]/Tab_Compteur_6[[#This Row],[Delta Jour]],"")</f>
        <v/>
      </c>
      <c r="H111" s="42"/>
      <c r="I111" s="42"/>
      <c r="J111" s="42"/>
      <c r="K111" s="42"/>
      <c r="L111" s="42"/>
    </row>
    <row r="112" spans="1:12" x14ac:dyDescent="0.25">
      <c r="A112" s="61">
        <f t="shared" si="4"/>
        <v>1</v>
      </c>
      <c r="B112" s="3">
        <f>EDATE($B$3,Site!$I$38*(ROW(Tab_Compteur_6[[#This Row],[Début de période]])-3))</f>
        <v>0</v>
      </c>
      <c r="C112" s="185"/>
      <c r="E112">
        <f t="shared" si="3"/>
        <v>0</v>
      </c>
      <c r="F112" t="str">
        <f>IFERROR(Tab_Compteur_6[[#This Row],[Quantité]]/Tab_Compteur_6[[#This Row],[Delta Jour]],"")</f>
        <v/>
      </c>
      <c r="G112" t="str">
        <f>IFERROR(Tab_Compteur_6[[#This Row],[Montant TTC]]/Tab_Compteur_6[[#This Row],[Delta Jour]],"")</f>
        <v/>
      </c>
      <c r="H112" s="42"/>
      <c r="I112" s="42"/>
      <c r="J112" s="42"/>
      <c r="K112" s="42"/>
      <c r="L112" s="42"/>
    </row>
    <row r="113" spans="1:12" x14ac:dyDescent="0.25">
      <c r="A113" s="61">
        <f t="shared" si="4"/>
        <v>1</v>
      </c>
      <c r="B113" s="3">
        <f>EDATE($B$3,Site!$I$38*(ROW(Tab_Compteur_6[[#This Row],[Début de période]])-3))</f>
        <v>0</v>
      </c>
      <c r="C113" s="185"/>
      <c r="E113">
        <f t="shared" si="3"/>
        <v>0</v>
      </c>
      <c r="F113" t="str">
        <f>IFERROR(Tab_Compteur_6[[#This Row],[Quantité]]/Tab_Compteur_6[[#This Row],[Delta Jour]],"")</f>
        <v/>
      </c>
      <c r="G113" t="str">
        <f>IFERROR(Tab_Compteur_6[[#This Row],[Montant TTC]]/Tab_Compteur_6[[#This Row],[Delta Jour]],"")</f>
        <v/>
      </c>
      <c r="H113" s="42"/>
      <c r="I113" s="42"/>
      <c r="J113" s="42"/>
      <c r="K113" s="42"/>
      <c r="L113" s="42"/>
    </row>
    <row r="114" spans="1:12" x14ac:dyDescent="0.25">
      <c r="A114" s="61">
        <f t="shared" si="4"/>
        <v>1</v>
      </c>
      <c r="B114" s="3">
        <f>EDATE($B$3,Site!$I$38*(ROW(Tab_Compteur_6[[#This Row],[Début de période]])-3))</f>
        <v>0</v>
      </c>
      <c r="C114" s="185"/>
      <c r="E114">
        <f t="shared" si="3"/>
        <v>0</v>
      </c>
      <c r="F114" t="str">
        <f>IFERROR(Tab_Compteur_6[[#This Row],[Quantité]]/Tab_Compteur_6[[#This Row],[Delta Jour]],"")</f>
        <v/>
      </c>
      <c r="G114" t="str">
        <f>IFERROR(Tab_Compteur_6[[#This Row],[Montant TTC]]/Tab_Compteur_6[[#This Row],[Delta Jour]],"")</f>
        <v/>
      </c>
      <c r="H114" s="42"/>
      <c r="I114" s="42"/>
      <c r="J114" s="42"/>
      <c r="K114" s="42"/>
      <c r="L114" s="42"/>
    </row>
    <row r="115" spans="1:12" x14ac:dyDescent="0.25">
      <c r="A115" s="61">
        <f t="shared" si="4"/>
        <v>1</v>
      </c>
      <c r="B115" s="3">
        <f>EDATE($B$3,Site!$I$38*(ROW(Tab_Compteur_6[[#This Row],[Début de période]])-3))</f>
        <v>0</v>
      </c>
      <c r="C115" s="185"/>
      <c r="E115">
        <f t="shared" si="3"/>
        <v>0</v>
      </c>
      <c r="F115" t="str">
        <f>IFERROR(Tab_Compteur_6[[#This Row],[Quantité]]/Tab_Compteur_6[[#This Row],[Delta Jour]],"")</f>
        <v/>
      </c>
      <c r="G115" t="str">
        <f>IFERROR(Tab_Compteur_6[[#This Row],[Montant TTC]]/Tab_Compteur_6[[#This Row],[Delta Jour]],"")</f>
        <v/>
      </c>
      <c r="H115" s="42"/>
      <c r="I115" s="42"/>
      <c r="J115" s="42"/>
      <c r="K115" s="42"/>
      <c r="L115" s="42"/>
    </row>
    <row r="116" spans="1:12" x14ac:dyDescent="0.25">
      <c r="A116" s="61">
        <f t="shared" si="4"/>
        <v>1</v>
      </c>
      <c r="B116" s="3">
        <f>EDATE($B$3,Site!$I$38*(ROW(Tab_Compteur_6[[#This Row],[Début de période]])-3))</f>
        <v>0</v>
      </c>
      <c r="C116" s="185"/>
      <c r="E116">
        <f t="shared" si="3"/>
        <v>0</v>
      </c>
      <c r="F116" t="str">
        <f>IFERROR(Tab_Compteur_6[[#This Row],[Quantité]]/Tab_Compteur_6[[#This Row],[Delta Jour]],"")</f>
        <v/>
      </c>
      <c r="G116" t="str">
        <f>IFERROR(Tab_Compteur_6[[#This Row],[Montant TTC]]/Tab_Compteur_6[[#This Row],[Delta Jour]],"")</f>
        <v/>
      </c>
      <c r="H116" s="42"/>
      <c r="I116" s="42"/>
      <c r="J116" s="42"/>
      <c r="K116" s="42"/>
      <c r="L116" s="42"/>
    </row>
    <row r="117" spans="1:12" x14ac:dyDescent="0.25">
      <c r="A117" s="61">
        <f t="shared" si="4"/>
        <v>1</v>
      </c>
      <c r="B117" s="3">
        <f>EDATE($B$3,Site!$I$38*(ROW(Tab_Compteur_6[[#This Row],[Début de période]])-3))</f>
        <v>0</v>
      </c>
      <c r="C117" s="185"/>
      <c r="E117">
        <f t="shared" si="3"/>
        <v>0</v>
      </c>
      <c r="F117" t="str">
        <f>IFERROR(Tab_Compteur_6[[#This Row],[Quantité]]/Tab_Compteur_6[[#This Row],[Delta Jour]],"")</f>
        <v/>
      </c>
      <c r="G117" t="str">
        <f>IFERROR(Tab_Compteur_6[[#This Row],[Montant TTC]]/Tab_Compteur_6[[#This Row],[Delta Jour]],"")</f>
        <v/>
      </c>
      <c r="H117" s="42"/>
      <c r="I117" s="42"/>
      <c r="J117" s="42"/>
      <c r="K117" s="42"/>
      <c r="L117" s="42"/>
    </row>
    <row r="118" spans="1:12" x14ac:dyDescent="0.25">
      <c r="A118" s="61">
        <f t="shared" si="4"/>
        <v>1</v>
      </c>
      <c r="B118" s="3">
        <f>EDATE($B$3,Site!$I$38*(ROW(Tab_Compteur_6[[#This Row],[Début de période]])-3))</f>
        <v>0</v>
      </c>
      <c r="C118" s="185"/>
      <c r="E118">
        <f t="shared" si="3"/>
        <v>0</v>
      </c>
      <c r="F118" t="str">
        <f>IFERROR(Tab_Compteur_6[[#This Row],[Quantité]]/Tab_Compteur_6[[#This Row],[Delta Jour]],"")</f>
        <v/>
      </c>
      <c r="G118" t="str">
        <f>IFERROR(Tab_Compteur_6[[#This Row],[Montant TTC]]/Tab_Compteur_6[[#This Row],[Delta Jour]],"")</f>
        <v/>
      </c>
      <c r="H118" s="42"/>
      <c r="I118" s="42"/>
      <c r="J118" s="42"/>
      <c r="K118" s="42"/>
      <c r="L118" s="42"/>
    </row>
    <row r="119" spans="1:12" x14ac:dyDescent="0.25">
      <c r="A119" s="61">
        <f t="shared" si="4"/>
        <v>1</v>
      </c>
      <c r="B119" s="3">
        <f>EDATE($B$3,Site!$I$38*(ROW(Tab_Compteur_6[[#This Row],[Début de période]])-3))</f>
        <v>0</v>
      </c>
      <c r="C119" s="185"/>
      <c r="E119">
        <f t="shared" si="3"/>
        <v>0</v>
      </c>
      <c r="F119" t="str">
        <f>IFERROR(Tab_Compteur_6[[#This Row],[Quantité]]/Tab_Compteur_6[[#This Row],[Delta Jour]],"")</f>
        <v/>
      </c>
      <c r="G119" t="str">
        <f>IFERROR(Tab_Compteur_6[[#This Row],[Montant TTC]]/Tab_Compteur_6[[#This Row],[Delta Jour]],"")</f>
        <v/>
      </c>
      <c r="H119" s="42"/>
      <c r="I119" s="42"/>
      <c r="J119" s="42"/>
      <c r="K119" s="42"/>
      <c r="L119" s="42"/>
    </row>
    <row r="120" spans="1:12" x14ac:dyDescent="0.25">
      <c r="A120" s="61">
        <f t="shared" si="4"/>
        <v>1</v>
      </c>
      <c r="B120" s="3">
        <f>EDATE($B$3,Site!$I$38*(ROW(Tab_Compteur_6[[#This Row],[Début de période]])-3))</f>
        <v>0</v>
      </c>
      <c r="C120" s="185"/>
      <c r="E120">
        <f t="shared" si="3"/>
        <v>0</v>
      </c>
      <c r="F120" t="str">
        <f>IFERROR(Tab_Compteur_6[[#This Row],[Quantité]]/Tab_Compteur_6[[#This Row],[Delta Jour]],"")</f>
        <v/>
      </c>
      <c r="G120" t="str">
        <f>IFERROR(Tab_Compteur_6[[#This Row],[Montant TTC]]/Tab_Compteur_6[[#This Row],[Delta Jour]],"")</f>
        <v/>
      </c>
      <c r="H120" s="42"/>
      <c r="I120" s="42"/>
      <c r="J120" s="42"/>
      <c r="K120" s="42"/>
      <c r="L120" s="42"/>
    </row>
    <row r="121" spans="1:12" x14ac:dyDescent="0.25">
      <c r="A121" s="61">
        <f t="shared" si="4"/>
        <v>1</v>
      </c>
      <c r="B121" s="3">
        <f>EDATE($B$3,Site!$I$38*(ROW(Tab_Compteur_6[[#This Row],[Début de période]])-3))</f>
        <v>0</v>
      </c>
      <c r="C121" s="185"/>
      <c r="E121">
        <f t="shared" si="3"/>
        <v>0</v>
      </c>
      <c r="F121" t="str">
        <f>IFERROR(Tab_Compteur_6[[#This Row],[Quantité]]/Tab_Compteur_6[[#This Row],[Delta Jour]],"")</f>
        <v/>
      </c>
      <c r="G121" t="str">
        <f>IFERROR(Tab_Compteur_6[[#This Row],[Montant TTC]]/Tab_Compteur_6[[#This Row],[Delta Jour]],"")</f>
        <v/>
      </c>
      <c r="H121" s="42"/>
      <c r="I121" s="42"/>
      <c r="J121" s="42"/>
      <c r="K121" s="42"/>
      <c r="L121" s="42"/>
    </row>
    <row r="122" spans="1:12" x14ac:dyDescent="0.25">
      <c r="A122" s="61">
        <f t="shared" si="4"/>
        <v>1</v>
      </c>
      <c r="B122" s="3">
        <f>EDATE($B$3,Site!$I$38*(ROW(Tab_Compteur_6[[#This Row],[Début de période]])-3))</f>
        <v>0</v>
      </c>
      <c r="C122" s="185"/>
      <c r="E122">
        <f t="shared" si="3"/>
        <v>0</v>
      </c>
      <c r="F122" t="str">
        <f>IFERROR(Tab_Compteur_6[[#This Row],[Quantité]]/Tab_Compteur_6[[#This Row],[Delta Jour]],"")</f>
        <v/>
      </c>
      <c r="G122" t="str">
        <f>IFERROR(Tab_Compteur_6[[#This Row],[Montant TTC]]/Tab_Compteur_6[[#This Row],[Delta Jour]],"")</f>
        <v/>
      </c>
      <c r="H122" s="42"/>
      <c r="I122" s="42"/>
      <c r="J122" s="42"/>
      <c r="K122" s="42"/>
      <c r="L122" s="42"/>
    </row>
    <row r="123" spans="1:12" x14ac:dyDescent="0.25">
      <c r="A123" s="61">
        <f t="shared" si="4"/>
        <v>1</v>
      </c>
      <c r="B123" s="3">
        <f>EDATE($B$3,Site!$I$38*(ROW(Tab_Compteur_6[[#This Row],[Début de période]])-3))</f>
        <v>0</v>
      </c>
      <c r="C123" s="185"/>
      <c r="E123">
        <f t="shared" si="3"/>
        <v>0</v>
      </c>
      <c r="F123" t="str">
        <f>IFERROR(Tab_Compteur_6[[#This Row],[Quantité]]/Tab_Compteur_6[[#This Row],[Delta Jour]],"")</f>
        <v/>
      </c>
      <c r="G123" t="str">
        <f>IFERROR(Tab_Compteur_6[[#This Row],[Montant TTC]]/Tab_Compteur_6[[#This Row],[Delta Jour]],"")</f>
        <v/>
      </c>
      <c r="H123" s="42"/>
      <c r="I123" s="42"/>
      <c r="J123" s="42"/>
      <c r="K123" s="42"/>
      <c r="L123" s="42"/>
    </row>
    <row r="124" spans="1:12" x14ac:dyDescent="0.25">
      <c r="A124" s="61">
        <f t="shared" si="4"/>
        <v>1</v>
      </c>
      <c r="B124" s="3">
        <f>EDATE($B$3,Site!$I$38*(ROW(Tab_Compteur_6[[#This Row],[Début de période]])-3))</f>
        <v>0</v>
      </c>
      <c r="C124" s="185"/>
      <c r="E124">
        <f t="shared" si="3"/>
        <v>0</v>
      </c>
      <c r="F124" t="str">
        <f>IFERROR(Tab_Compteur_6[[#This Row],[Quantité]]/Tab_Compteur_6[[#This Row],[Delta Jour]],"")</f>
        <v/>
      </c>
      <c r="G124" t="str">
        <f>IFERROR(Tab_Compteur_6[[#This Row],[Montant TTC]]/Tab_Compteur_6[[#This Row],[Delta Jour]],"")</f>
        <v/>
      </c>
      <c r="H124" s="42"/>
      <c r="I124" s="42"/>
      <c r="J124" s="42"/>
      <c r="K124" s="42"/>
      <c r="L124" s="42"/>
    </row>
    <row r="125" spans="1:12" x14ac:dyDescent="0.25">
      <c r="A125" s="61">
        <f t="shared" si="4"/>
        <v>1</v>
      </c>
      <c r="B125" s="3">
        <f>EDATE($B$3,Site!$I$38*(ROW(Tab_Compteur_6[[#This Row],[Début de période]])-3))</f>
        <v>0</v>
      </c>
      <c r="C125" s="185"/>
      <c r="E125">
        <f t="shared" si="3"/>
        <v>0</v>
      </c>
      <c r="F125" t="str">
        <f>IFERROR(Tab_Compteur_6[[#This Row],[Quantité]]/Tab_Compteur_6[[#This Row],[Delta Jour]],"")</f>
        <v/>
      </c>
      <c r="G125" t="str">
        <f>IFERROR(Tab_Compteur_6[[#This Row],[Montant TTC]]/Tab_Compteur_6[[#This Row],[Delta Jour]],"")</f>
        <v/>
      </c>
      <c r="H125" s="42"/>
      <c r="I125" s="42"/>
      <c r="J125" s="42"/>
      <c r="K125" s="42"/>
      <c r="L125" s="42"/>
    </row>
    <row r="126" spans="1:12" x14ac:dyDescent="0.25">
      <c r="A126" s="61">
        <f t="shared" si="4"/>
        <v>1</v>
      </c>
      <c r="B126" s="3">
        <f>EDATE($B$3,Site!$I$38*(ROW(Tab_Compteur_6[[#This Row],[Début de période]])-3))</f>
        <v>0</v>
      </c>
      <c r="C126" s="185"/>
      <c r="E126">
        <f t="shared" si="3"/>
        <v>0</v>
      </c>
      <c r="F126" t="str">
        <f>IFERROR(Tab_Compteur_6[[#This Row],[Quantité]]/Tab_Compteur_6[[#This Row],[Delta Jour]],"")</f>
        <v/>
      </c>
      <c r="G126" t="str">
        <f>IFERROR(Tab_Compteur_6[[#This Row],[Montant TTC]]/Tab_Compteur_6[[#This Row],[Delta Jour]],"")</f>
        <v/>
      </c>
      <c r="H126" s="42"/>
      <c r="I126" s="42"/>
      <c r="J126" s="42"/>
      <c r="K126" s="42"/>
      <c r="L126" s="42"/>
    </row>
    <row r="127" spans="1:12" x14ac:dyDescent="0.25">
      <c r="A127" s="61">
        <f t="shared" si="4"/>
        <v>1</v>
      </c>
      <c r="B127" s="3">
        <f>EDATE($B$3,Site!$I$38*(ROW(Tab_Compteur_6[[#This Row],[Début de période]])-3))</f>
        <v>0</v>
      </c>
      <c r="C127" s="185"/>
      <c r="E127">
        <f t="shared" si="3"/>
        <v>0</v>
      </c>
      <c r="F127" t="str">
        <f>IFERROR(Tab_Compteur_6[[#This Row],[Quantité]]/Tab_Compteur_6[[#This Row],[Delta Jour]],"")</f>
        <v/>
      </c>
      <c r="G127" t="str">
        <f>IFERROR(Tab_Compteur_6[[#This Row],[Montant TTC]]/Tab_Compteur_6[[#This Row],[Delta Jour]],"")</f>
        <v/>
      </c>
      <c r="H127" s="42"/>
      <c r="I127" s="42"/>
      <c r="J127" s="42"/>
      <c r="K127" s="42"/>
      <c r="L127" s="42"/>
    </row>
    <row r="128" spans="1:12" x14ac:dyDescent="0.25">
      <c r="A128" s="61">
        <f t="shared" si="4"/>
        <v>1</v>
      </c>
      <c r="B128" s="3">
        <f>EDATE($B$3,Site!$I$38*(ROW(Tab_Compteur_6[[#This Row],[Début de période]])-3))</f>
        <v>0</v>
      </c>
      <c r="C128" s="185"/>
      <c r="E128">
        <f t="shared" si="3"/>
        <v>0</v>
      </c>
      <c r="F128" t="str">
        <f>IFERROR(Tab_Compteur_6[[#This Row],[Quantité]]/Tab_Compteur_6[[#This Row],[Delta Jour]],"")</f>
        <v/>
      </c>
      <c r="G128" t="str">
        <f>IFERROR(Tab_Compteur_6[[#This Row],[Montant TTC]]/Tab_Compteur_6[[#This Row],[Delta Jour]],"")</f>
        <v/>
      </c>
      <c r="H128" s="42"/>
      <c r="I128" s="42"/>
      <c r="J128" s="42"/>
      <c r="K128" s="42"/>
      <c r="L128" s="42"/>
    </row>
    <row r="129" spans="1:12" x14ac:dyDescent="0.25">
      <c r="A129" s="61">
        <f t="shared" si="4"/>
        <v>1</v>
      </c>
      <c r="B129" s="3">
        <f>EDATE($B$3,Site!$I$38*(ROW(Tab_Compteur_6[[#This Row],[Début de période]])-3))</f>
        <v>0</v>
      </c>
      <c r="C129" s="185"/>
      <c r="E129">
        <f t="shared" si="3"/>
        <v>0</v>
      </c>
      <c r="F129" t="str">
        <f>IFERROR(Tab_Compteur_6[[#This Row],[Quantité]]/Tab_Compteur_6[[#This Row],[Delta Jour]],"")</f>
        <v/>
      </c>
      <c r="G129" t="str">
        <f>IFERROR(Tab_Compteur_6[[#This Row],[Montant TTC]]/Tab_Compteur_6[[#This Row],[Delta Jour]],"")</f>
        <v/>
      </c>
      <c r="H129" s="42"/>
      <c r="I129" s="42"/>
      <c r="J129" s="42"/>
      <c r="K129" s="42"/>
      <c r="L129" s="42"/>
    </row>
    <row r="130" spans="1:12" x14ac:dyDescent="0.25">
      <c r="A130" s="61">
        <f t="shared" si="4"/>
        <v>1</v>
      </c>
      <c r="B130" s="3">
        <f>EDATE($B$3,Site!$I$38*(ROW(Tab_Compteur_6[[#This Row],[Début de période]])-3))</f>
        <v>0</v>
      </c>
      <c r="C130" s="185"/>
      <c r="E130">
        <f t="shared" ref="E130:E193" si="5">IFERROR(B130-A130+1,"")</f>
        <v>0</v>
      </c>
      <c r="F130" t="str">
        <f>IFERROR(Tab_Compteur_6[[#This Row],[Quantité]]/Tab_Compteur_6[[#This Row],[Delta Jour]],"")</f>
        <v/>
      </c>
      <c r="G130" t="str">
        <f>IFERROR(Tab_Compteur_6[[#This Row],[Montant TTC]]/Tab_Compteur_6[[#This Row],[Delta Jour]],"")</f>
        <v/>
      </c>
      <c r="H130" s="42"/>
      <c r="I130" s="42"/>
      <c r="J130" s="42"/>
      <c r="K130" s="42"/>
      <c r="L130" s="42"/>
    </row>
    <row r="131" spans="1:12" x14ac:dyDescent="0.25">
      <c r="A131" s="61">
        <f t="shared" si="4"/>
        <v>1</v>
      </c>
      <c r="B131" s="3">
        <f>EDATE($B$3,Site!$I$38*(ROW(Tab_Compteur_6[[#This Row],[Début de période]])-3))</f>
        <v>0</v>
      </c>
      <c r="C131" s="185"/>
      <c r="E131">
        <f t="shared" si="5"/>
        <v>0</v>
      </c>
      <c r="F131" t="str">
        <f>IFERROR(Tab_Compteur_6[[#This Row],[Quantité]]/Tab_Compteur_6[[#This Row],[Delta Jour]],"")</f>
        <v/>
      </c>
      <c r="G131" t="str">
        <f>IFERROR(Tab_Compteur_6[[#This Row],[Montant TTC]]/Tab_Compteur_6[[#This Row],[Delta Jour]],"")</f>
        <v/>
      </c>
      <c r="H131" s="42"/>
      <c r="I131" s="42"/>
      <c r="J131" s="42"/>
      <c r="K131" s="42"/>
      <c r="L131" s="42"/>
    </row>
    <row r="132" spans="1:12" x14ac:dyDescent="0.25">
      <c r="A132" s="61">
        <f t="shared" si="4"/>
        <v>1</v>
      </c>
      <c r="B132" s="3">
        <f>EDATE($B$3,Site!$I$38*(ROW(Tab_Compteur_6[[#This Row],[Début de période]])-3))</f>
        <v>0</v>
      </c>
      <c r="C132" s="185"/>
      <c r="E132">
        <f t="shared" si="5"/>
        <v>0</v>
      </c>
      <c r="F132" t="str">
        <f>IFERROR(Tab_Compteur_6[[#This Row],[Quantité]]/Tab_Compteur_6[[#This Row],[Delta Jour]],"")</f>
        <v/>
      </c>
      <c r="G132" t="str">
        <f>IFERROR(Tab_Compteur_6[[#This Row],[Montant TTC]]/Tab_Compteur_6[[#This Row],[Delta Jour]],"")</f>
        <v/>
      </c>
      <c r="H132" s="42"/>
      <c r="I132" s="42"/>
      <c r="J132" s="42"/>
      <c r="K132" s="42"/>
      <c r="L132" s="42"/>
    </row>
    <row r="133" spans="1:12" x14ac:dyDescent="0.25">
      <c r="A133" s="61">
        <f t="shared" ref="A133:A196" si="6">B132+1</f>
        <v>1</v>
      </c>
      <c r="B133" s="3">
        <f>EDATE($B$3,Site!$I$38*(ROW(Tab_Compteur_6[[#This Row],[Début de période]])-3))</f>
        <v>0</v>
      </c>
      <c r="C133" s="185"/>
      <c r="E133">
        <f t="shared" si="5"/>
        <v>0</v>
      </c>
      <c r="F133" t="str">
        <f>IFERROR(Tab_Compteur_6[[#This Row],[Quantité]]/Tab_Compteur_6[[#This Row],[Delta Jour]],"")</f>
        <v/>
      </c>
      <c r="G133" t="str">
        <f>IFERROR(Tab_Compteur_6[[#This Row],[Montant TTC]]/Tab_Compteur_6[[#This Row],[Delta Jour]],"")</f>
        <v/>
      </c>
      <c r="H133" s="42"/>
      <c r="I133" s="42"/>
      <c r="J133" s="42"/>
      <c r="K133" s="42"/>
      <c r="L133" s="42"/>
    </row>
    <row r="134" spans="1:12" x14ac:dyDescent="0.25">
      <c r="A134" s="61">
        <f t="shared" si="6"/>
        <v>1</v>
      </c>
      <c r="B134" s="3">
        <f>EDATE($B$3,Site!$I$38*(ROW(Tab_Compteur_6[[#This Row],[Début de période]])-3))</f>
        <v>0</v>
      </c>
      <c r="C134" s="185"/>
      <c r="E134">
        <f t="shared" si="5"/>
        <v>0</v>
      </c>
      <c r="F134" t="str">
        <f>IFERROR(Tab_Compteur_6[[#This Row],[Quantité]]/Tab_Compteur_6[[#This Row],[Delta Jour]],"")</f>
        <v/>
      </c>
      <c r="G134" t="str">
        <f>IFERROR(Tab_Compteur_6[[#This Row],[Montant TTC]]/Tab_Compteur_6[[#This Row],[Delta Jour]],"")</f>
        <v/>
      </c>
      <c r="H134" s="42"/>
      <c r="I134" s="42"/>
      <c r="J134" s="42"/>
      <c r="K134" s="42"/>
      <c r="L134" s="42"/>
    </row>
    <row r="135" spans="1:12" x14ac:dyDescent="0.25">
      <c r="A135" s="61">
        <f t="shared" si="6"/>
        <v>1</v>
      </c>
      <c r="B135" s="3">
        <f>EDATE($B$3,Site!$I$38*(ROW(Tab_Compteur_6[[#This Row],[Début de période]])-3))</f>
        <v>0</v>
      </c>
      <c r="C135" s="185"/>
      <c r="E135">
        <f t="shared" si="5"/>
        <v>0</v>
      </c>
      <c r="F135" t="str">
        <f>IFERROR(Tab_Compteur_6[[#This Row],[Quantité]]/Tab_Compteur_6[[#This Row],[Delta Jour]],"")</f>
        <v/>
      </c>
      <c r="G135" t="str">
        <f>IFERROR(Tab_Compteur_6[[#This Row],[Montant TTC]]/Tab_Compteur_6[[#This Row],[Delta Jour]],"")</f>
        <v/>
      </c>
      <c r="H135" s="42"/>
      <c r="I135" s="42"/>
      <c r="J135" s="42"/>
      <c r="K135" s="42"/>
      <c r="L135" s="42"/>
    </row>
    <row r="136" spans="1:12" x14ac:dyDescent="0.25">
      <c r="A136" s="61">
        <f t="shared" si="6"/>
        <v>1</v>
      </c>
      <c r="B136" s="3">
        <f>EDATE($B$3,Site!$I$38*(ROW(Tab_Compteur_6[[#This Row],[Début de période]])-3))</f>
        <v>0</v>
      </c>
      <c r="C136" s="185"/>
      <c r="E136">
        <f t="shared" si="5"/>
        <v>0</v>
      </c>
      <c r="F136" t="str">
        <f>IFERROR(Tab_Compteur_6[[#This Row],[Quantité]]/Tab_Compteur_6[[#This Row],[Delta Jour]],"")</f>
        <v/>
      </c>
      <c r="G136" t="str">
        <f>IFERROR(Tab_Compteur_6[[#This Row],[Montant TTC]]/Tab_Compteur_6[[#This Row],[Delta Jour]],"")</f>
        <v/>
      </c>
      <c r="H136" s="42"/>
      <c r="I136" s="42"/>
      <c r="J136" s="42"/>
      <c r="K136" s="42"/>
      <c r="L136" s="42"/>
    </row>
    <row r="137" spans="1:12" x14ac:dyDescent="0.25">
      <c r="A137" s="61">
        <f t="shared" si="6"/>
        <v>1</v>
      </c>
      <c r="B137" s="3">
        <f>EDATE($B$3,Site!$I$38*(ROW(Tab_Compteur_6[[#This Row],[Début de période]])-3))</f>
        <v>0</v>
      </c>
      <c r="C137" s="185"/>
      <c r="E137">
        <f t="shared" si="5"/>
        <v>0</v>
      </c>
      <c r="F137" t="str">
        <f>IFERROR(Tab_Compteur_6[[#This Row],[Quantité]]/Tab_Compteur_6[[#This Row],[Delta Jour]],"")</f>
        <v/>
      </c>
      <c r="G137" t="str">
        <f>IFERROR(Tab_Compteur_6[[#This Row],[Montant TTC]]/Tab_Compteur_6[[#This Row],[Delta Jour]],"")</f>
        <v/>
      </c>
      <c r="H137" s="42"/>
      <c r="I137" s="42"/>
      <c r="J137" s="42"/>
      <c r="K137" s="42"/>
      <c r="L137" s="42"/>
    </row>
    <row r="138" spans="1:12" x14ac:dyDescent="0.25">
      <c r="A138" s="61">
        <f t="shared" si="6"/>
        <v>1</v>
      </c>
      <c r="B138" s="3">
        <f>EDATE($B$3,Site!$I$38*(ROW(Tab_Compteur_6[[#This Row],[Début de période]])-3))</f>
        <v>0</v>
      </c>
      <c r="C138" s="185"/>
      <c r="E138">
        <f t="shared" si="5"/>
        <v>0</v>
      </c>
      <c r="F138" t="str">
        <f>IFERROR(Tab_Compteur_6[[#This Row],[Quantité]]/Tab_Compteur_6[[#This Row],[Delta Jour]],"")</f>
        <v/>
      </c>
      <c r="G138" t="str">
        <f>IFERROR(Tab_Compteur_6[[#This Row],[Montant TTC]]/Tab_Compteur_6[[#This Row],[Delta Jour]],"")</f>
        <v/>
      </c>
      <c r="H138" s="42"/>
      <c r="I138" s="42"/>
      <c r="J138" s="42"/>
      <c r="K138" s="42"/>
      <c r="L138" s="42"/>
    </row>
    <row r="139" spans="1:12" x14ac:dyDescent="0.25">
      <c r="A139" s="61">
        <f t="shared" si="6"/>
        <v>1</v>
      </c>
      <c r="B139" s="3">
        <f>EDATE($B$3,Site!$I$38*(ROW(Tab_Compteur_6[[#This Row],[Début de période]])-3))</f>
        <v>0</v>
      </c>
      <c r="C139" s="185"/>
      <c r="E139">
        <f t="shared" si="5"/>
        <v>0</v>
      </c>
      <c r="F139" t="str">
        <f>IFERROR(Tab_Compteur_6[[#This Row],[Quantité]]/Tab_Compteur_6[[#This Row],[Delta Jour]],"")</f>
        <v/>
      </c>
      <c r="G139" t="str">
        <f>IFERROR(Tab_Compteur_6[[#This Row],[Montant TTC]]/Tab_Compteur_6[[#This Row],[Delta Jour]],"")</f>
        <v/>
      </c>
      <c r="H139" s="42"/>
      <c r="I139" s="42"/>
      <c r="J139" s="42"/>
      <c r="K139" s="42"/>
      <c r="L139" s="42"/>
    </row>
    <row r="140" spans="1:12" x14ac:dyDescent="0.25">
      <c r="A140" s="61">
        <f t="shared" si="6"/>
        <v>1</v>
      </c>
      <c r="B140" s="3">
        <f>EDATE($B$3,Site!$I$38*(ROW(Tab_Compteur_6[[#This Row],[Début de période]])-3))</f>
        <v>0</v>
      </c>
      <c r="C140" s="185"/>
      <c r="E140">
        <f t="shared" si="5"/>
        <v>0</v>
      </c>
      <c r="F140" t="str">
        <f>IFERROR(Tab_Compteur_6[[#This Row],[Quantité]]/Tab_Compteur_6[[#This Row],[Delta Jour]],"")</f>
        <v/>
      </c>
      <c r="G140" t="str">
        <f>IFERROR(Tab_Compteur_6[[#This Row],[Montant TTC]]/Tab_Compteur_6[[#This Row],[Delta Jour]],"")</f>
        <v/>
      </c>
      <c r="H140" s="42"/>
      <c r="I140" s="42"/>
      <c r="J140" s="42"/>
      <c r="K140" s="42"/>
      <c r="L140" s="42"/>
    </row>
    <row r="141" spans="1:12" x14ac:dyDescent="0.25">
      <c r="A141" s="61">
        <f t="shared" si="6"/>
        <v>1</v>
      </c>
      <c r="B141" s="3">
        <f>EDATE($B$3,Site!$I$38*(ROW(Tab_Compteur_6[[#This Row],[Début de période]])-3))</f>
        <v>0</v>
      </c>
      <c r="C141" s="185"/>
      <c r="E141">
        <f t="shared" si="5"/>
        <v>0</v>
      </c>
      <c r="F141" t="str">
        <f>IFERROR(Tab_Compteur_6[[#This Row],[Quantité]]/Tab_Compteur_6[[#This Row],[Delta Jour]],"")</f>
        <v/>
      </c>
      <c r="G141" t="str">
        <f>IFERROR(Tab_Compteur_6[[#This Row],[Montant TTC]]/Tab_Compteur_6[[#This Row],[Delta Jour]],"")</f>
        <v/>
      </c>
      <c r="H141" s="42"/>
      <c r="I141" s="42"/>
      <c r="J141" s="42"/>
      <c r="K141" s="42"/>
      <c r="L141" s="42"/>
    </row>
    <row r="142" spans="1:12" x14ac:dyDescent="0.25">
      <c r="A142" s="61">
        <f t="shared" si="6"/>
        <v>1</v>
      </c>
      <c r="B142" s="3">
        <f>EDATE($B$3,Site!$I$38*(ROW(Tab_Compteur_6[[#This Row],[Début de période]])-3))</f>
        <v>0</v>
      </c>
      <c r="C142" s="185"/>
      <c r="E142">
        <f t="shared" si="5"/>
        <v>0</v>
      </c>
      <c r="F142" t="str">
        <f>IFERROR(Tab_Compteur_6[[#This Row],[Quantité]]/Tab_Compteur_6[[#This Row],[Delta Jour]],"")</f>
        <v/>
      </c>
      <c r="G142" t="str">
        <f>IFERROR(Tab_Compteur_6[[#This Row],[Montant TTC]]/Tab_Compteur_6[[#This Row],[Delta Jour]],"")</f>
        <v/>
      </c>
      <c r="H142" s="42"/>
      <c r="I142" s="42"/>
      <c r="J142" s="42"/>
      <c r="K142" s="42"/>
      <c r="L142" s="42"/>
    </row>
    <row r="143" spans="1:12" x14ac:dyDescent="0.25">
      <c r="A143" s="61">
        <f t="shared" si="6"/>
        <v>1</v>
      </c>
      <c r="B143" s="3">
        <f>EDATE($B$3,Site!$I$38*(ROW(Tab_Compteur_6[[#This Row],[Début de période]])-3))</f>
        <v>0</v>
      </c>
      <c r="C143" s="185"/>
      <c r="E143">
        <f t="shared" si="5"/>
        <v>0</v>
      </c>
      <c r="F143" t="str">
        <f>IFERROR(Tab_Compteur_6[[#This Row],[Quantité]]/Tab_Compteur_6[[#This Row],[Delta Jour]],"")</f>
        <v/>
      </c>
      <c r="G143" t="str">
        <f>IFERROR(Tab_Compteur_6[[#This Row],[Montant TTC]]/Tab_Compteur_6[[#This Row],[Delta Jour]],"")</f>
        <v/>
      </c>
      <c r="H143" s="42"/>
      <c r="I143" s="42"/>
      <c r="J143" s="42"/>
      <c r="K143" s="42"/>
      <c r="L143" s="42"/>
    </row>
    <row r="144" spans="1:12" x14ac:dyDescent="0.25">
      <c r="A144" s="61">
        <f t="shared" si="6"/>
        <v>1</v>
      </c>
      <c r="B144" s="3">
        <f>EDATE($B$3,Site!$I$38*(ROW(Tab_Compteur_6[[#This Row],[Début de période]])-3))</f>
        <v>0</v>
      </c>
      <c r="C144" s="185"/>
      <c r="E144">
        <f t="shared" si="5"/>
        <v>0</v>
      </c>
      <c r="F144" t="str">
        <f>IFERROR(Tab_Compteur_6[[#This Row],[Quantité]]/Tab_Compteur_6[[#This Row],[Delta Jour]],"")</f>
        <v/>
      </c>
      <c r="G144" t="str">
        <f>IFERROR(Tab_Compteur_6[[#This Row],[Montant TTC]]/Tab_Compteur_6[[#This Row],[Delta Jour]],"")</f>
        <v/>
      </c>
      <c r="H144" s="42"/>
      <c r="I144" s="42"/>
      <c r="J144" s="42"/>
      <c r="K144" s="42"/>
      <c r="L144" s="42"/>
    </row>
    <row r="145" spans="1:12" x14ac:dyDescent="0.25">
      <c r="A145" s="61">
        <f t="shared" si="6"/>
        <v>1</v>
      </c>
      <c r="B145" s="3">
        <f>EDATE($B$3,Site!$I$38*(ROW(Tab_Compteur_6[[#This Row],[Début de période]])-3))</f>
        <v>0</v>
      </c>
      <c r="C145" s="185"/>
      <c r="E145">
        <f t="shared" si="5"/>
        <v>0</v>
      </c>
      <c r="F145" t="str">
        <f>IFERROR(Tab_Compteur_6[[#This Row],[Quantité]]/Tab_Compteur_6[[#This Row],[Delta Jour]],"")</f>
        <v/>
      </c>
      <c r="G145" t="str">
        <f>IFERROR(Tab_Compteur_6[[#This Row],[Montant TTC]]/Tab_Compteur_6[[#This Row],[Delta Jour]],"")</f>
        <v/>
      </c>
      <c r="H145" s="42"/>
      <c r="I145" s="42"/>
      <c r="J145" s="42"/>
      <c r="K145" s="42"/>
      <c r="L145" s="42"/>
    </row>
    <row r="146" spans="1:12" x14ac:dyDescent="0.25">
      <c r="A146" s="61">
        <f t="shared" si="6"/>
        <v>1</v>
      </c>
      <c r="B146" s="3">
        <f>EDATE($B$3,Site!$I$38*(ROW(Tab_Compteur_6[[#This Row],[Début de période]])-3))</f>
        <v>0</v>
      </c>
      <c r="C146" s="185"/>
      <c r="E146">
        <f t="shared" si="5"/>
        <v>0</v>
      </c>
      <c r="F146" t="str">
        <f>IFERROR(Tab_Compteur_6[[#This Row],[Quantité]]/Tab_Compteur_6[[#This Row],[Delta Jour]],"")</f>
        <v/>
      </c>
      <c r="G146" t="str">
        <f>IFERROR(Tab_Compteur_6[[#This Row],[Montant TTC]]/Tab_Compteur_6[[#This Row],[Delta Jour]],"")</f>
        <v/>
      </c>
      <c r="H146" s="42"/>
      <c r="I146" s="42"/>
      <c r="J146" s="42"/>
      <c r="K146" s="42"/>
      <c r="L146" s="42"/>
    </row>
    <row r="147" spans="1:12" x14ac:dyDescent="0.25">
      <c r="A147" s="61">
        <f t="shared" si="6"/>
        <v>1</v>
      </c>
      <c r="B147" s="3">
        <f>EDATE($B$3,Site!$I$38*(ROW(Tab_Compteur_6[[#This Row],[Début de période]])-3))</f>
        <v>0</v>
      </c>
      <c r="C147" s="185"/>
      <c r="E147">
        <f t="shared" si="5"/>
        <v>0</v>
      </c>
      <c r="F147" t="str">
        <f>IFERROR(Tab_Compteur_6[[#This Row],[Quantité]]/Tab_Compteur_6[[#This Row],[Delta Jour]],"")</f>
        <v/>
      </c>
      <c r="G147" t="str">
        <f>IFERROR(Tab_Compteur_6[[#This Row],[Montant TTC]]/Tab_Compteur_6[[#This Row],[Delta Jour]],"")</f>
        <v/>
      </c>
      <c r="H147" s="42"/>
      <c r="I147" s="42"/>
      <c r="J147" s="42"/>
      <c r="K147" s="42"/>
      <c r="L147" s="42"/>
    </row>
    <row r="148" spans="1:12" x14ac:dyDescent="0.25">
      <c r="A148" s="61">
        <f t="shared" si="6"/>
        <v>1</v>
      </c>
      <c r="B148" s="3">
        <f>EDATE($B$3,Site!$I$38*(ROW(Tab_Compteur_6[[#This Row],[Début de période]])-3))</f>
        <v>0</v>
      </c>
      <c r="C148" s="185"/>
      <c r="E148">
        <f t="shared" si="5"/>
        <v>0</v>
      </c>
      <c r="F148" t="str">
        <f>IFERROR(Tab_Compteur_6[[#This Row],[Quantité]]/Tab_Compteur_6[[#This Row],[Delta Jour]],"")</f>
        <v/>
      </c>
      <c r="G148" t="str">
        <f>IFERROR(Tab_Compteur_6[[#This Row],[Montant TTC]]/Tab_Compteur_6[[#This Row],[Delta Jour]],"")</f>
        <v/>
      </c>
      <c r="H148" s="42"/>
      <c r="I148" s="42"/>
      <c r="J148" s="42"/>
      <c r="K148" s="42"/>
      <c r="L148" s="42"/>
    </row>
    <row r="149" spans="1:12" x14ac:dyDescent="0.25">
      <c r="A149" s="61">
        <f t="shared" si="6"/>
        <v>1</v>
      </c>
      <c r="B149" s="3">
        <f>EDATE($B$3,Site!$I$38*(ROW(Tab_Compteur_6[[#This Row],[Début de période]])-3))</f>
        <v>0</v>
      </c>
      <c r="C149" s="185"/>
      <c r="E149">
        <f t="shared" si="5"/>
        <v>0</v>
      </c>
      <c r="F149" t="str">
        <f>IFERROR(Tab_Compteur_6[[#This Row],[Quantité]]/Tab_Compteur_6[[#This Row],[Delta Jour]],"")</f>
        <v/>
      </c>
      <c r="G149" t="str">
        <f>IFERROR(Tab_Compteur_6[[#This Row],[Montant TTC]]/Tab_Compteur_6[[#This Row],[Delta Jour]],"")</f>
        <v/>
      </c>
      <c r="H149" s="42"/>
      <c r="I149" s="42"/>
      <c r="J149" s="42"/>
      <c r="K149" s="42"/>
      <c r="L149" s="42"/>
    </row>
    <row r="150" spans="1:12" x14ac:dyDescent="0.25">
      <c r="A150" s="61">
        <f t="shared" si="6"/>
        <v>1</v>
      </c>
      <c r="B150" s="3">
        <f>EDATE($B$3,Site!$I$38*(ROW(Tab_Compteur_6[[#This Row],[Début de période]])-3))</f>
        <v>0</v>
      </c>
      <c r="C150" s="185"/>
      <c r="E150">
        <f t="shared" si="5"/>
        <v>0</v>
      </c>
      <c r="F150" t="str">
        <f>IFERROR(Tab_Compteur_6[[#This Row],[Quantité]]/Tab_Compteur_6[[#This Row],[Delta Jour]],"")</f>
        <v/>
      </c>
      <c r="G150" t="str">
        <f>IFERROR(Tab_Compteur_6[[#This Row],[Montant TTC]]/Tab_Compteur_6[[#This Row],[Delta Jour]],"")</f>
        <v/>
      </c>
      <c r="H150" s="42"/>
      <c r="I150" s="42"/>
      <c r="J150" s="42"/>
      <c r="K150" s="42"/>
      <c r="L150" s="42"/>
    </row>
    <row r="151" spans="1:12" x14ac:dyDescent="0.25">
      <c r="A151" s="61">
        <f t="shared" si="6"/>
        <v>1</v>
      </c>
      <c r="B151" s="3">
        <f>EDATE($B$3,Site!$I$38*(ROW(Tab_Compteur_6[[#This Row],[Début de période]])-3))</f>
        <v>0</v>
      </c>
      <c r="C151" s="185"/>
      <c r="E151">
        <f t="shared" si="5"/>
        <v>0</v>
      </c>
      <c r="F151" t="str">
        <f>IFERROR(Tab_Compteur_6[[#This Row],[Quantité]]/Tab_Compteur_6[[#This Row],[Delta Jour]],"")</f>
        <v/>
      </c>
      <c r="G151" t="str">
        <f>IFERROR(Tab_Compteur_6[[#This Row],[Montant TTC]]/Tab_Compteur_6[[#This Row],[Delta Jour]],"")</f>
        <v/>
      </c>
      <c r="H151" s="42"/>
      <c r="I151" s="42"/>
      <c r="J151" s="42"/>
      <c r="K151" s="42"/>
      <c r="L151" s="42"/>
    </row>
    <row r="152" spans="1:12" x14ac:dyDescent="0.25">
      <c r="A152" s="61">
        <f t="shared" si="6"/>
        <v>1</v>
      </c>
      <c r="B152" s="3">
        <f>EDATE($B$3,Site!$I$38*(ROW(Tab_Compteur_6[[#This Row],[Début de période]])-3))</f>
        <v>0</v>
      </c>
      <c r="C152" s="185"/>
      <c r="E152">
        <f t="shared" si="5"/>
        <v>0</v>
      </c>
      <c r="F152" t="str">
        <f>IFERROR(Tab_Compteur_6[[#This Row],[Quantité]]/Tab_Compteur_6[[#This Row],[Delta Jour]],"")</f>
        <v/>
      </c>
      <c r="G152" t="str">
        <f>IFERROR(Tab_Compteur_6[[#This Row],[Montant TTC]]/Tab_Compteur_6[[#This Row],[Delta Jour]],"")</f>
        <v/>
      </c>
      <c r="H152" s="42"/>
      <c r="I152" s="42"/>
      <c r="J152" s="42"/>
      <c r="K152" s="42"/>
      <c r="L152" s="42"/>
    </row>
    <row r="153" spans="1:12" x14ac:dyDescent="0.25">
      <c r="A153" s="61">
        <f t="shared" si="6"/>
        <v>1</v>
      </c>
      <c r="B153" s="3">
        <f>EDATE($B$3,Site!$I$38*(ROW(Tab_Compteur_6[[#This Row],[Début de période]])-3))</f>
        <v>0</v>
      </c>
      <c r="C153" s="185"/>
      <c r="E153">
        <f t="shared" si="5"/>
        <v>0</v>
      </c>
      <c r="F153" t="str">
        <f>IFERROR(Tab_Compteur_6[[#This Row],[Quantité]]/Tab_Compteur_6[[#This Row],[Delta Jour]],"")</f>
        <v/>
      </c>
      <c r="G153" t="str">
        <f>IFERROR(Tab_Compteur_6[[#This Row],[Montant TTC]]/Tab_Compteur_6[[#This Row],[Delta Jour]],"")</f>
        <v/>
      </c>
      <c r="H153" s="42"/>
      <c r="I153" s="42"/>
      <c r="J153" s="42"/>
      <c r="K153" s="42"/>
      <c r="L153" s="42"/>
    </row>
    <row r="154" spans="1:12" x14ac:dyDescent="0.25">
      <c r="A154" s="61">
        <f t="shared" si="6"/>
        <v>1</v>
      </c>
      <c r="B154" s="3">
        <f>EDATE($B$3,Site!$I$38*(ROW(Tab_Compteur_6[[#This Row],[Début de période]])-3))</f>
        <v>0</v>
      </c>
      <c r="C154" s="185"/>
      <c r="E154">
        <f t="shared" si="5"/>
        <v>0</v>
      </c>
      <c r="F154" t="str">
        <f>IFERROR(Tab_Compteur_6[[#This Row],[Quantité]]/Tab_Compteur_6[[#This Row],[Delta Jour]],"")</f>
        <v/>
      </c>
      <c r="G154" t="str">
        <f>IFERROR(Tab_Compteur_6[[#This Row],[Montant TTC]]/Tab_Compteur_6[[#This Row],[Delta Jour]],"")</f>
        <v/>
      </c>
      <c r="H154" s="42"/>
      <c r="I154" s="42"/>
      <c r="J154" s="42"/>
      <c r="K154" s="42"/>
      <c r="L154" s="42"/>
    </row>
    <row r="155" spans="1:12" x14ac:dyDescent="0.25">
      <c r="A155" s="61">
        <f t="shared" si="6"/>
        <v>1</v>
      </c>
      <c r="B155" s="3">
        <f>EDATE($B$3,Site!$I$38*(ROW(Tab_Compteur_6[[#This Row],[Début de période]])-3))</f>
        <v>0</v>
      </c>
      <c r="C155" s="185"/>
      <c r="E155">
        <f t="shared" si="5"/>
        <v>0</v>
      </c>
      <c r="F155" t="str">
        <f>IFERROR(Tab_Compteur_6[[#This Row],[Quantité]]/Tab_Compteur_6[[#This Row],[Delta Jour]],"")</f>
        <v/>
      </c>
      <c r="G155" t="str">
        <f>IFERROR(Tab_Compteur_6[[#This Row],[Montant TTC]]/Tab_Compteur_6[[#This Row],[Delta Jour]],"")</f>
        <v/>
      </c>
      <c r="H155" s="42"/>
      <c r="I155" s="42"/>
      <c r="J155" s="42"/>
      <c r="K155" s="42"/>
      <c r="L155" s="42"/>
    </row>
    <row r="156" spans="1:12" x14ac:dyDescent="0.25">
      <c r="A156" s="61">
        <f t="shared" si="6"/>
        <v>1</v>
      </c>
      <c r="B156" s="3">
        <f>EDATE($B$3,Site!$I$38*(ROW(Tab_Compteur_6[[#This Row],[Début de période]])-3))</f>
        <v>0</v>
      </c>
      <c r="C156" s="185"/>
      <c r="E156">
        <f t="shared" si="5"/>
        <v>0</v>
      </c>
      <c r="F156" t="str">
        <f>IFERROR(Tab_Compteur_6[[#This Row],[Quantité]]/Tab_Compteur_6[[#This Row],[Delta Jour]],"")</f>
        <v/>
      </c>
      <c r="G156" t="str">
        <f>IFERROR(Tab_Compteur_6[[#This Row],[Montant TTC]]/Tab_Compteur_6[[#This Row],[Delta Jour]],"")</f>
        <v/>
      </c>
      <c r="H156" s="42"/>
      <c r="I156" s="42"/>
      <c r="J156" s="42"/>
      <c r="K156" s="42"/>
      <c r="L156" s="42"/>
    </row>
    <row r="157" spans="1:12" x14ac:dyDescent="0.25">
      <c r="A157" s="61">
        <f t="shared" si="6"/>
        <v>1</v>
      </c>
      <c r="B157" s="3">
        <f>EDATE($B$3,Site!$I$38*(ROW(Tab_Compteur_6[[#This Row],[Début de période]])-3))</f>
        <v>0</v>
      </c>
      <c r="C157" s="185"/>
      <c r="E157">
        <f t="shared" si="5"/>
        <v>0</v>
      </c>
      <c r="F157" t="str">
        <f>IFERROR(Tab_Compteur_6[[#This Row],[Quantité]]/Tab_Compteur_6[[#This Row],[Delta Jour]],"")</f>
        <v/>
      </c>
      <c r="G157" t="str">
        <f>IFERROR(Tab_Compteur_6[[#This Row],[Montant TTC]]/Tab_Compteur_6[[#This Row],[Delta Jour]],"")</f>
        <v/>
      </c>
      <c r="H157" s="42"/>
      <c r="I157" s="42"/>
      <c r="J157" s="42"/>
      <c r="K157" s="42"/>
      <c r="L157" s="42"/>
    </row>
    <row r="158" spans="1:12" x14ac:dyDescent="0.25">
      <c r="A158" s="61">
        <f t="shared" si="6"/>
        <v>1</v>
      </c>
      <c r="B158" s="3">
        <f>EDATE($B$3,Site!$I$38*(ROW(Tab_Compteur_6[[#This Row],[Début de période]])-3))</f>
        <v>0</v>
      </c>
      <c r="C158" s="185"/>
      <c r="E158">
        <f t="shared" si="5"/>
        <v>0</v>
      </c>
      <c r="F158" t="str">
        <f>IFERROR(Tab_Compteur_6[[#This Row],[Quantité]]/Tab_Compteur_6[[#This Row],[Delta Jour]],"")</f>
        <v/>
      </c>
      <c r="G158" t="str">
        <f>IFERROR(Tab_Compteur_6[[#This Row],[Montant TTC]]/Tab_Compteur_6[[#This Row],[Delta Jour]],"")</f>
        <v/>
      </c>
      <c r="H158" s="42"/>
      <c r="I158" s="42"/>
      <c r="J158" s="42"/>
      <c r="K158" s="42"/>
      <c r="L158" s="42"/>
    </row>
    <row r="159" spans="1:12" x14ac:dyDescent="0.25">
      <c r="A159" s="61">
        <f t="shared" si="6"/>
        <v>1</v>
      </c>
      <c r="B159" s="3">
        <f>EDATE($B$3,Site!$I$38*(ROW(Tab_Compteur_6[[#This Row],[Début de période]])-3))</f>
        <v>0</v>
      </c>
      <c r="C159" s="185"/>
      <c r="E159">
        <f t="shared" si="5"/>
        <v>0</v>
      </c>
      <c r="F159" t="str">
        <f>IFERROR(Tab_Compteur_6[[#This Row],[Quantité]]/Tab_Compteur_6[[#This Row],[Delta Jour]],"")</f>
        <v/>
      </c>
      <c r="G159" t="str">
        <f>IFERROR(Tab_Compteur_6[[#This Row],[Montant TTC]]/Tab_Compteur_6[[#This Row],[Delta Jour]],"")</f>
        <v/>
      </c>
      <c r="H159" s="42"/>
      <c r="I159" s="42"/>
      <c r="J159" s="42"/>
      <c r="K159" s="42"/>
      <c r="L159" s="42"/>
    </row>
    <row r="160" spans="1:12" x14ac:dyDescent="0.25">
      <c r="A160" s="61">
        <f t="shared" si="6"/>
        <v>1</v>
      </c>
      <c r="B160" s="3">
        <f>EDATE($B$3,Site!$I$38*(ROW(Tab_Compteur_6[[#This Row],[Début de période]])-3))</f>
        <v>0</v>
      </c>
      <c r="C160" s="185"/>
      <c r="E160">
        <f t="shared" si="5"/>
        <v>0</v>
      </c>
      <c r="F160" t="str">
        <f>IFERROR(Tab_Compteur_6[[#This Row],[Quantité]]/Tab_Compteur_6[[#This Row],[Delta Jour]],"")</f>
        <v/>
      </c>
      <c r="G160" t="str">
        <f>IFERROR(Tab_Compteur_6[[#This Row],[Montant TTC]]/Tab_Compteur_6[[#This Row],[Delta Jour]],"")</f>
        <v/>
      </c>
      <c r="H160" s="42"/>
      <c r="I160" s="42"/>
      <c r="J160" s="42"/>
      <c r="K160" s="42"/>
      <c r="L160" s="42"/>
    </row>
    <row r="161" spans="1:12" x14ac:dyDescent="0.25">
      <c r="A161" s="61">
        <f t="shared" si="6"/>
        <v>1</v>
      </c>
      <c r="B161" s="3">
        <f>EDATE($B$3,Site!$I$38*(ROW(Tab_Compteur_6[[#This Row],[Début de période]])-3))</f>
        <v>0</v>
      </c>
      <c r="C161" s="185"/>
      <c r="E161">
        <f t="shared" si="5"/>
        <v>0</v>
      </c>
      <c r="F161" t="str">
        <f>IFERROR(Tab_Compteur_6[[#This Row],[Quantité]]/Tab_Compteur_6[[#This Row],[Delta Jour]],"")</f>
        <v/>
      </c>
      <c r="G161" t="str">
        <f>IFERROR(Tab_Compteur_6[[#This Row],[Montant TTC]]/Tab_Compteur_6[[#This Row],[Delta Jour]],"")</f>
        <v/>
      </c>
      <c r="H161" s="42"/>
      <c r="I161" s="42"/>
      <c r="J161" s="42"/>
      <c r="K161" s="42"/>
      <c r="L161" s="42"/>
    </row>
    <row r="162" spans="1:12" x14ac:dyDescent="0.25">
      <c r="A162" s="61">
        <f t="shared" si="6"/>
        <v>1</v>
      </c>
      <c r="B162" s="3">
        <f>EDATE($B$3,Site!$I$38*(ROW(Tab_Compteur_6[[#This Row],[Début de période]])-3))</f>
        <v>0</v>
      </c>
      <c r="C162" s="185"/>
      <c r="E162">
        <f t="shared" si="5"/>
        <v>0</v>
      </c>
      <c r="F162" t="str">
        <f>IFERROR(Tab_Compteur_6[[#This Row],[Quantité]]/Tab_Compteur_6[[#This Row],[Delta Jour]],"")</f>
        <v/>
      </c>
      <c r="G162" t="str">
        <f>IFERROR(Tab_Compteur_6[[#This Row],[Montant TTC]]/Tab_Compteur_6[[#This Row],[Delta Jour]],"")</f>
        <v/>
      </c>
      <c r="H162" s="42"/>
      <c r="I162" s="42"/>
      <c r="J162" s="42"/>
      <c r="K162" s="42"/>
      <c r="L162" s="42"/>
    </row>
    <row r="163" spans="1:12" x14ac:dyDescent="0.25">
      <c r="A163" s="61">
        <f t="shared" si="6"/>
        <v>1</v>
      </c>
      <c r="B163" s="3">
        <f>EDATE($B$3,Site!$I$38*(ROW(Tab_Compteur_6[[#This Row],[Début de période]])-3))</f>
        <v>0</v>
      </c>
      <c r="C163" s="185"/>
      <c r="E163">
        <f t="shared" si="5"/>
        <v>0</v>
      </c>
      <c r="F163" t="str">
        <f>IFERROR(Tab_Compteur_6[[#This Row],[Quantité]]/Tab_Compteur_6[[#This Row],[Delta Jour]],"")</f>
        <v/>
      </c>
      <c r="G163" t="str">
        <f>IFERROR(Tab_Compteur_6[[#This Row],[Montant TTC]]/Tab_Compteur_6[[#This Row],[Delta Jour]],"")</f>
        <v/>
      </c>
      <c r="H163" s="42"/>
      <c r="I163" s="42"/>
      <c r="J163" s="42"/>
      <c r="K163" s="42"/>
      <c r="L163" s="42"/>
    </row>
    <row r="164" spans="1:12" x14ac:dyDescent="0.25">
      <c r="A164" s="61">
        <f t="shared" si="6"/>
        <v>1</v>
      </c>
      <c r="B164" s="3">
        <f>EDATE($B$3,Site!$I$38*(ROW(Tab_Compteur_6[[#This Row],[Début de période]])-3))</f>
        <v>0</v>
      </c>
      <c r="C164" s="185"/>
      <c r="E164">
        <f t="shared" si="5"/>
        <v>0</v>
      </c>
      <c r="F164" t="str">
        <f>IFERROR(Tab_Compteur_6[[#This Row],[Quantité]]/Tab_Compteur_6[[#This Row],[Delta Jour]],"")</f>
        <v/>
      </c>
      <c r="G164" t="str">
        <f>IFERROR(Tab_Compteur_6[[#This Row],[Montant TTC]]/Tab_Compteur_6[[#This Row],[Delta Jour]],"")</f>
        <v/>
      </c>
      <c r="H164" s="42"/>
      <c r="I164" s="42"/>
      <c r="J164" s="42"/>
      <c r="K164" s="42"/>
      <c r="L164" s="42"/>
    </row>
    <row r="165" spans="1:12" x14ac:dyDescent="0.25">
      <c r="A165" s="61">
        <f t="shared" si="6"/>
        <v>1</v>
      </c>
      <c r="B165" s="3">
        <f>EDATE($B$3,Site!$I$38*(ROW(Tab_Compteur_6[[#This Row],[Début de période]])-3))</f>
        <v>0</v>
      </c>
      <c r="C165" s="185"/>
      <c r="E165">
        <f t="shared" si="5"/>
        <v>0</v>
      </c>
      <c r="F165" t="str">
        <f>IFERROR(Tab_Compteur_6[[#This Row],[Quantité]]/Tab_Compteur_6[[#This Row],[Delta Jour]],"")</f>
        <v/>
      </c>
      <c r="G165" t="str">
        <f>IFERROR(Tab_Compteur_6[[#This Row],[Montant TTC]]/Tab_Compteur_6[[#This Row],[Delta Jour]],"")</f>
        <v/>
      </c>
      <c r="H165" s="42"/>
      <c r="I165" s="42"/>
      <c r="J165" s="42"/>
      <c r="K165" s="42"/>
      <c r="L165" s="42"/>
    </row>
    <row r="166" spans="1:12" x14ac:dyDescent="0.25">
      <c r="A166" s="61">
        <f t="shared" si="6"/>
        <v>1</v>
      </c>
      <c r="B166" s="3">
        <f>EDATE($B$3,Site!$I$38*(ROW(Tab_Compteur_6[[#This Row],[Début de période]])-3))</f>
        <v>0</v>
      </c>
      <c r="C166" s="185"/>
      <c r="E166">
        <f t="shared" si="5"/>
        <v>0</v>
      </c>
      <c r="F166" t="str">
        <f>IFERROR(Tab_Compteur_6[[#This Row],[Quantité]]/Tab_Compteur_6[[#This Row],[Delta Jour]],"")</f>
        <v/>
      </c>
      <c r="G166" t="str">
        <f>IFERROR(Tab_Compteur_6[[#This Row],[Montant TTC]]/Tab_Compteur_6[[#This Row],[Delta Jour]],"")</f>
        <v/>
      </c>
      <c r="H166" s="42"/>
      <c r="I166" s="42"/>
      <c r="J166" s="42"/>
      <c r="K166" s="42"/>
      <c r="L166" s="42"/>
    </row>
    <row r="167" spans="1:12" x14ac:dyDescent="0.25">
      <c r="A167" s="61">
        <f t="shared" si="6"/>
        <v>1</v>
      </c>
      <c r="B167" s="3">
        <f>EDATE($B$3,Site!$I$38*(ROW(Tab_Compteur_6[[#This Row],[Début de période]])-3))</f>
        <v>0</v>
      </c>
      <c r="C167" s="185"/>
      <c r="E167">
        <f t="shared" si="5"/>
        <v>0</v>
      </c>
      <c r="F167" t="str">
        <f>IFERROR(Tab_Compteur_6[[#This Row],[Quantité]]/Tab_Compteur_6[[#This Row],[Delta Jour]],"")</f>
        <v/>
      </c>
      <c r="G167" t="str">
        <f>IFERROR(Tab_Compteur_6[[#This Row],[Montant TTC]]/Tab_Compteur_6[[#This Row],[Delta Jour]],"")</f>
        <v/>
      </c>
      <c r="H167" s="42"/>
      <c r="I167" s="42"/>
      <c r="J167" s="42"/>
      <c r="K167" s="42"/>
      <c r="L167" s="42"/>
    </row>
    <row r="168" spans="1:12" x14ac:dyDescent="0.25">
      <c r="A168" s="61">
        <f t="shared" si="6"/>
        <v>1</v>
      </c>
      <c r="B168" s="3">
        <f>EDATE($B$3,Site!$I$38*(ROW(Tab_Compteur_6[[#This Row],[Début de période]])-3))</f>
        <v>0</v>
      </c>
      <c r="C168" s="185"/>
      <c r="E168">
        <f t="shared" si="5"/>
        <v>0</v>
      </c>
      <c r="F168" t="str">
        <f>IFERROR(Tab_Compteur_6[[#This Row],[Quantité]]/Tab_Compteur_6[[#This Row],[Delta Jour]],"")</f>
        <v/>
      </c>
      <c r="G168" t="str">
        <f>IFERROR(Tab_Compteur_6[[#This Row],[Montant TTC]]/Tab_Compteur_6[[#This Row],[Delta Jour]],"")</f>
        <v/>
      </c>
      <c r="H168" s="42"/>
      <c r="I168" s="42"/>
      <c r="J168" s="42"/>
      <c r="K168" s="42"/>
      <c r="L168" s="42"/>
    </row>
    <row r="169" spans="1:12" x14ac:dyDescent="0.25">
      <c r="A169" s="61">
        <f t="shared" si="6"/>
        <v>1</v>
      </c>
      <c r="B169" s="3">
        <f>EDATE($B$3,Site!$I$38*(ROW(Tab_Compteur_6[[#This Row],[Début de période]])-3))</f>
        <v>0</v>
      </c>
      <c r="C169" s="185"/>
      <c r="E169">
        <f t="shared" si="5"/>
        <v>0</v>
      </c>
      <c r="F169" t="str">
        <f>IFERROR(Tab_Compteur_6[[#This Row],[Quantité]]/Tab_Compteur_6[[#This Row],[Delta Jour]],"")</f>
        <v/>
      </c>
      <c r="G169" t="str">
        <f>IFERROR(Tab_Compteur_6[[#This Row],[Montant TTC]]/Tab_Compteur_6[[#This Row],[Delta Jour]],"")</f>
        <v/>
      </c>
      <c r="H169" s="42"/>
      <c r="I169" s="42"/>
      <c r="J169" s="42"/>
      <c r="K169" s="42"/>
      <c r="L169" s="42"/>
    </row>
    <row r="170" spans="1:12" x14ac:dyDescent="0.25">
      <c r="A170" s="61">
        <f t="shared" si="6"/>
        <v>1</v>
      </c>
      <c r="B170" s="3">
        <f>EDATE($B$3,Site!$I$38*(ROW(Tab_Compteur_6[[#This Row],[Début de période]])-3))</f>
        <v>0</v>
      </c>
      <c r="C170" s="185"/>
      <c r="E170">
        <f t="shared" si="5"/>
        <v>0</v>
      </c>
      <c r="F170" t="str">
        <f>IFERROR(Tab_Compteur_6[[#This Row],[Quantité]]/Tab_Compteur_6[[#This Row],[Delta Jour]],"")</f>
        <v/>
      </c>
      <c r="G170" t="str">
        <f>IFERROR(Tab_Compteur_6[[#This Row],[Montant TTC]]/Tab_Compteur_6[[#This Row],[Delta Jour]],"")</f>
        <v/>
      </c>
      <c r="H170" s="42"/>
      <c r="I170" s="42"/>
      <c r="J170" s="42"/>
      <c r="K170" s="42"/>
      <c r="L170" s="42"/>
    </row>
    <row r="171" spans="1:12" x14ac:dyDescent="0.25">
      <c r="A171" s="61">
        <f t="shared" si="6"/>
        <v>1</v>
      </c>
      <c r="B171" s="3">
        <f>EDATE($B$3,Site!$I$38*(ROW(Tab_Compteur_6[[#This Row],[Début de période]])-3))</f>
        <v>0</v>
      </c>
      <c r="C171" s="185"/>
      <c r="E171">
        <f t="shared" si="5"/>
        <v>0</v>
      </c>
      <c r="F171" t="str">
        <f>IFERROR(Tab_Compteur_6[[#This Row],[Quantité]]/Tab_Compteur_6[[#This Row],[Delta Jour]],"")</f>
        <v/>
      </c>
      <c r="G171" t="str">
        <f>IFERROR(Tab_Compteur_6[[#This Row],[Montant TTC]]/Tab_Compteur_6[[#This Row],[Delta Jour]],"")</f>
        <v/>
      </c>
      <c r="H171" s="42"/>
      <c r="I171" s="42"/>
      <c r="J171" s="42"/>
      <c r="K171" s="42"/>
      <c r="L171" s="42"/>
    </row>
    <row r="172" spans="1:12" x14ac:dyDescent="0.25">
      <c r="A172" s="61">
        <f t="shared" si="6"/>
        <v>1</v>
      </c>
      <c r="B172" s="3">
        <f>EDATE($B$3,Site!$I$38*(ROW(Tab_Compteur_6[[#This Row],[Début de période]])-3))</f>
        <v>0</v>
      </c>
      <c r="C172" s="185"/>
      <c r="E172">
        <f t="shared" si="5"/>
        <v>0</v>
      </c>
      <c r="F172" t="str">
        <f>IFERROR(Tab_Compteur_6[[#This Row],[Quantité]]/Tab_Compteur_6[[#This Row],[Delta Jour]],"")</f>
        <v/>
      </c>
      <c r="G172" t="str">
        <f>IFERROR(Tab_Compteur_6[[#This Row],[Montant TTC]]/Tab_Compteur_6[[#This Row],[Delta Jour]],"")</f>
        <v/>
      </c>
      <c r="H172" s="42"/>
      <c r="I172" s="42"/>
      <c r="J172" s="42"/>
      <c r="K172" s="42"/>
      <c r="L172" s="42"/>
    </row>
    <row r="173" spans="1:12" x14ac:dyDescent="0.25">
      <c r="A173" s="61">
        <f t="shared" si="6"/>
        <v>1</v>
      </c>
      <c r="B173" s="3">
        <f>EDATE($B$3,Site!$I$38*(ROW(Tab_Compteur_6[[#This Row],[Début de période]])-3))</f>
        <v>0</v>
      </c>
      <c r="C173" s="185"/>
      <c r="E173">
        <f t="shared" si="5"/>
        <v>0</v>
      </c>
      <c r="F173" t="str">
        <f>IFERROR(Tab_Compteur_6[[#This Row],[Quantité]]/Tab_Compteur_6[[#This Row],[Delta Jour]],"")</f>
        <v/>
      </c>
      <c r="G173" t="str">
        <f>IFERROR(Tab_Compteur_6[[#This Row],[Montant TTC]]/Tab_Compteur_6[[#This Row],[Delta Jour]],"")</f>
        <v/>
      </c>
      <c r="H173" s="42"/>
      <c r="I173" s="42"/>
      <c r="J173" s="42"/>
      <c r="K173" s="42"/>
      <c r="L173" s="42"/>
    </row>
    <row r="174" spans="1:12" x14ac:dyDescent="0.25">
      <c r="A174" s="61">
        <f t="shared" si="6"/>
        <v>1</v>
      </c>
      <c r="B174" s="3">
        <f>EDATE($B$3,Site!$I$38*(ROW(Tab_Compteur_6[[#This Row],[Début de période]])-3))</f>
        <v>0</v>
      </c>
      <c r="C174" s="185"/>
      <c r="E174">
        <f t="shared" si="5"/>
        <v>0</v>
      </c>
      <c r="F174" t="str">
        <f>IFERROR(Tab_Compteur_6[[#This Row],[Quantité]]/Tab_Compteur_6[[#This Row],[Delta Jour]],"")</f>
        <v/>
      </c>
      <c r="G174" t="str">
        <f>IFERROR(Tab_Compteur_6[[#This Row],[Montant TTC]]/Tab_Compteur_6[[#This Row],[Delta Jour]],"")</f>
        <v/>
      </c>
      <c r="H174" s="42"/>
      <c r="I174" s="42"/>
      <c r="J174" s="42"/>
      <c r="K174" s="42"/>
      <c r="L174" s="42"/>
    </row>
    <row r="175" spans="1:12" x14ac:dyDescent="0.25">
      <c r="A175" s="61">
        <f t="shared" si="6"/>
        <v>1</v>
      </c>
      <c r="B175" s="3">
        <f>EDATE($B$3,Site!$I$38*(ROW(Tab_Compteur_6[[#This Row],[Début de période]])-3))</f>
        <v>0</v>
      </c>
      <c r="C175" s="185"/>
      <c r="E175">
        <f t="shared" si="5"/>
        <v>0</v>
      </c>
      <c r="F175" t="str">
        <f>IFERROR(Tab_Compteur_6[[#This Row],[Quantité]]/Tab_Compteur_6[[#This Row],[Delta Jour]],"")</f>
        <v/>
      </c>
      <c r="G175" t="str">
        <f>IFERROR(Tab_Compteur_6[[#This Row],[Montant TTC]]/Tab_Compteur_6[[#This Row],[Delta Jour]],"")</f>
        <v/>
      </c>
      <c r="H175" s="42"/>
      <c r="I175" s="42"/>
      <c r="J175" s="42"/>
      <c r="K175" s="42"/>
      <c r="L175" s="42"/>
    </row>
    <row r="176" spans="1:12" x14ac:dyDescent="0.25">
      <c r="A176" s="61">
        <f t="shared" si="6"/>
        <v>1</v>
      </c>
      <c r="B176" s="3">
        <f>EDATE($B$3,Site!$I$38*(ROW(Tab_Compteur_6[[#This Row],[Début de période]])-3))</f>
        <v>0</v>
      </c>
      <c r="C176" s="185"/>
      <c r="E176">
        <f t="shared" si="5"/>
        <v>0</v>
      </c>
      <c r="F176" t="str">
        <f>IFERROR(Tab_Compteur_6[[#This Row],[Quantité]]/Tab_Compteur_6[[#This Row],[Delta Jour]],"")</f>
        <v/>
      </c>
      <c r="G176" t="str">
        <f>IFERROR(Tab_Compteur_6[[#This Row],[Montant TTC]]/Tab_Compteur_6[[#This Row],[Delta Jour]],"")</f>
        <v/>
      </c>
      <c r="H176" s="42"/>
      <c r="I176" s="42"/>
      <c r="J176" s="42"/>
      <c r="K176" s="42"/>
      <c r="L176" s="42"/>
    </row>
    <row r="177" spans="1:12" x14ac:dyDescent="0.25">
      <c r="A177" s="61">
        <f t="shared" si="6"/>
        <v>1</v>
      </c>
      <c r="B177" s="3">
        <f>EDATE($B$3,Site!$I$38*(ROW(Tab_Compteur_6[[#This Row],[Début de période]])-3))</f>
        <v>0</v>
      </c>
      <c r="C177" s="185"/>
      <c r="E177">
        <f t="shared" si="5"/>
        <v>0</v>
      </c>
      <c r="F177" t="str">
        <f>IFERROR(Tab_Compteur_6[[#This Row],[Quantité]]/Tab_Compteur_6[[#This Row],[Delta Jour]],"")</f>
        <v/>
      </c>
      <c r="G177" t="str">
        <f>IFERROR(Tab_Compteur_6[[#This Row],[Montant TTC]]/Tab_Compteur_6[[#This Row],[Delta Jour]],"")</f>
        <v/>
      </c>
      <c r="H177" s="42"/>
      <c r="I177" s="42"/>
      <c r="J177" s="42"/>
      <c r="K177" s="42"/>
      <c r="L177" s="42"/>
    </row>
    <row r="178" spans="1:12" x14ac:dyDescent="0.25">
      <c r="A178" s="61">
        <f t="shared" si="6"/>
        <v>1</v>
      </c>
      <c r="B178" s="3">
        <f>EDATE($B$3,Site!$I$38*(ROW(Tab_Compteur_6[[#This Row],[Début de période]])-3))</f>
        <v>0</v>
      </c>
      <c r="C178" s="185"/>
      <c r="E178">
        <f t="shared" si="5"/>
        <v>0</v>
      </c>
      <c r="F178" t="str">
        <f>IFERROR(Tab_Compteur_6[[#This Row],[Quantité]]/Tab_Compteur_6[[#This Row],[Delta Jour]],"")</f>
        <v/>
      </c>
      <c r="G178" t="str">
        <f>IFERROR(Tab_Compteur_6[[#This Row],[Montant TTC]]/Tab_Compteur_6[[#This Row],[Delta Jour]],"")</f>
        <v/>
      </c>
      <c r="H178" s="42"/>
      <c r="I178" s="42"/>
      <c r="J178" s="42"/>
      <c r="K178" s="42"/>
      <c r="L178" s="42"/>
    </row>
    <row r="179" spans="1:12" x14ac:dyDescent="0.25">
      <c r="A179" s="61">
        <f t="shared" si="6"/>
        <v>1</v>
      </c>
      <c r="B179" s="3">
        <f>EDATE($B$3,Site!$I$38*(ROW(Tab_Compteur_6[[#This Row],[Début de période]])-3))</f>
        <v>0</v>
      </c>
      <c r="C179" s="185"/>
      <c r="E179">
        <f t="shared" si="5"/>
        <v>0</v>
      </c>
      <c r="F179" t="str">
        <f>IFERROR(Tab_Compteur_6[[#This Row],[Quantité]]/Tab_Compteur_6[[#This Row],[Delta Jour]],"")</f>
        <v/>
      </c>
      <c r="G179" t="str">
        <f>IFERROR(Tab_Compteur_6[[#This Row],[Montant TTC]]/Tab_Compteur_6[[#This Row],[Delta Jour]],"")</f>
        <v/>
      </c>
      <c r="H179" s="42"/>
      <c r="I179" s="42"/>
      <c r="J179" s="42"/>
      <c r="K179" s="42"/>
      <c r="L179" s="42"/>
    </row>
    <row r="180" spans="1:12" x14ac:dyDescent="0.25">
      <c r="A180" s="61">
        <f t="shared" si="6"/>
        <v>1</v>
      </c>
      <c r="B180" s="3">
        <f>EDATE($B$3,Site!$I$38*(ROW(Tab_Compteur_6[[#This Row],[Début de période]])-3))</f>
        <v>0</v>
      </c>
      <c r="C180" s="185"/>
      <c r="E180">
        <f t="shared" si="5"/>
        <v>0</v>
      </c>
      <c r="F180" t="str">
        <f>IFERROR(Tab_Compteur_6[[#This Row],[Quantité]]/Tab_Compteur_6[[#This Row],[Delta Jour]],"")</f>
        <v/>
      </c>
      <c r="G180" t="str">
        <f>IFERROR(Tab_Compteur_6[[#This Row],[Montant TTC]]/Tab_Compteur_6[[#This Row],[Delta Jour]],"")</f>
        <v/>
      </c>
      <c r="H180" s="42"/>
      <c r="I180" s="42"/>
      <c r="J180" s="42"/>
      <c r="K180" s="42"/>
      <c r="L180" s="42"/>
    </row>
    <row r="181" spans="1:12" x14ac:dyDescent="0.25">
      <c r="A181" s="61">
        <f t="shared" si="6"/>
        <v>1</v>
      </c>
      <c r="B181" s="3">
        <f>EDATE($B$3,Site!$I$38*(ROW(Tab_Compteur_6[[#This Row],[Début de période]])-3))</f>
        <v>0</v>
      </c>
      <c r="C181" s="185"/>
      <c r="E181">
        <f t="shared" si="5"/>
        <v>0</v>
      </c>
      <c r="F181" t="str">
        <f>IFERROR(Tab_Compteur_6[[#This Row],[Quantité]]/Tab_Compteur_6[[#This Row],[Delta Jour]],"")</f>
        <v/>
      </c>
      <c r="G181" t="str">
        <f>IFERROR(Tab_Compteur_6[[#This Row],[Montant TTC]]/Tab_Compteur_6[[#This Row],[Delta Jour]],"")</f>
        <v/>
      </c>
      <c r="H181" s="42"/>
      <c r="I181" s="42"/>
      <c r="J181" s="42"/>
      <c r="K181" s="42"/>
      <c r="L181" s="42"/>
    </row>
    <row r="182" spans="1:12" x14ac:dyDescent="0.25">
      <c r="A182" s="61">
        <f t="shared" si="6"/>
        <v>1</v>
      </c>
      <c r="B182" s="3">
        <f>EDATE($B$3,Site!$I$38*(ROW(Tab_Compteur_6[[#This Row],[Début de période]])-3))</f>
        <v>0</v>
      </c>
      <c r="C182" s="185"/>
      <c r="E182">
        <f t="shared" si="5"/>
        <v>0</v>
      </c>
      <c r="F182" t="str">
        <f>IFERROR(Tab_Compteur_6[[#This Row],[Quantité]]/Tab_Compteur_6[[#This Row],[Delta Jour]],"")</f>
        <v/>
      </c>
      <c r="G182" t="str">
        <f>IFERROR(Tab_Compteur_6[[#This Row],[Montant TTC]]/Tab_Compteur_6[[#This Row],[Delta Jour]],"")</f>
        <v/>
      </c>
      <c r="H182" s="42"/>
      <c r="I182" s="42"/>
      <c r="J182" s="42"/>
      <c r="K182" s="42"/>
      <c r="L182" s="42"/>
    </row>
    <row r="183" spans="1:12" x14ac:dyDescent="0.25">
      <c r="A183" s="61">
        <f t="shared" si="6"/>
        <v>1</v>
      </c>
      <c r="B183" s="3">
        <f>EDATE($B$3,Site!$I$38*(ROW(Tab_Compteur_6[[#This Row],[Début de période]])-3))</f>
        <v>0</v>
      </c>
      <c r="C183" s="185"/>
      <c r="E183">
        <f t="shared" si="5"/>
        <v>0</v>
      </c>
      <c r="F183" t="str">
        <f>IFERROR(Tab_Compteur_6[[#This Row],[Quantité]]/Tab_Compteur_6[[#This Row],[Delta Jour]],"")</f>
        <v/>
      </c>
      <c r="G183" t="str">
        <f>IFERROR(Tab_Compteur_6[[#This Row],[Montant TTC]]/Tab_Compteur_6[[#This Row],[Delta Jour]],"")</f>
        <v/>
      </c>
      <c r="H183" s="42"/>
      <c r="I183" s="42"/>
      <c r="J183" s="42"/>
      <c r="K183" s="42"/>
      <c r="L183" s="42"/>
    </row>
    <row r="184" spans="1:12" x14ac:dyDescent="0.25">
      <c r="A184" s="61">
        <f t="shared" si="6"/>
        <v>1</v>
      </c>
      <c r="B184" s="3">
        <f>EDATE($B$3,Site!$I$38*(ROW(Tab_Compteur_6[[#This Row],[Début de période]])-3))</f>
        <v>0</v>
      </c>
      <c r="C184" s="185"/>
      <c r="E184">
        <f t="shared" si="5"/>
        <v>0</v>
      </c>
      <c r="F184" t="str">
        <f>IFERROR(Tab_Compteur_6[[#This Row],[Quantité]]/Tab_Compteur_6[[#This Row],[Delta Jour]],"")</f>
        <v/>
      </c>
      <c r="G184" t="str">
        <f>IFERROR(Tab_Compteur_6[[#This Row],[Montant TTC]]/Tab_Compteur_6[[#This Row],[Delta Jour]],"")</f>
        <v/>
      </c>
      <c r="H184" s="42"/>
      <c r="I184" s="42"/>
      <c r="J184" s="42"/>
      <c r="K184" s="42"/>
      <c r="L184" s="42"/>
    </row>
    <row r="185" spans="1:12" x14ac:dyDescent="0.25">
      <c r="A185" s="61">
        <f t="shared" si="6"/>
        <v>1</v>
      </c>
      <c r="B185" s="3">
        <f>EDATE($B$3,Site!$I$38*(ROW(Tab_Compteur_6[[#This Row],[Début de période]])-3))</f>
        <v>0</v>
      </c>
      <c r="C185" s="185"/>
      <c r="E185">
        <f t="shared" si="5"/>
        <v>0</v>
      </c>
      <c r="F185" t="str">
        <f>IFERROR(Tab_Compteur_6[[#This Row],[Quantité]]/Tab_Compteur_6[[#This Row],[Delta Jour]],"")</f>
        <v/>
      </c>
      <c r="G185" t="str">
        <f>IFERROR(Tab_Compteur_6[[#This Row],[Montant TTC]]/Tab_Compteur_6[[#This Row],[Delta Jour]],"")</f>
        <v/>
      </c>
      <c r="H185" s="42"/>
      <c r="I185" s="42"/>
      <c r="J185" s="42"/>
      <c r="K185" s="42"/>
      <c r="L185" s="42"/>
    </row>
    <row r="186" spans="1:12" x14ac:dyDescent="0.25">
      <c r="A186" s="61">
        <f t="shared" si="6"/>
        <v>1</v>
      </c>
      <c r="B186" s="3">
        <f>EDATE($B$3,Site!$I$38*(ROW(Tab_Compteur_6[[#This Row],[Début de période]])-3))</f>
        <v>0</v>
      </c>
      <c r="C186" s="185"/>
      <c r="E186">
        <f t="shared" si="5"/>
        <v>0</v>
      </c>
      <c r="F186" t="str">
        <f>IFERROR(Tab_Compteur_6[[#This Row],[Quantité]]/Tab_Compteur_6[[#This Row],[Delta Jour]],"")</f>
        <v/>
      </c>
      <c r="G186" t="str">
        <f>IFERROR(Tab_Compteur_6[[#This Row],[Montant TTC]]/Tab_Compteur_6[[#This Row],[Delta Jour]],"")</f>
        <v/>
      </c>
      <c r="H186" s="42"/>
      <c r="I186" s="42"/>
      <c r="J186" s="42"/>
      <c r="K186" s="42"/>
      <c r="L186" s="42"/>
    </row>
    <row r="187" spans="1:12" x14ac:dyDescent="0.25">
      <c r="A187" s="61">
        <f t="shared" si="6"/>
        <v>1</v>
      </c>
      <c r="B187" s="3">
        <f>EDATE($B$3,Site!$I$38*(ROW(Tab_Compteur_6[[#This Row],[Début de période]])-3))</f>
        <v>0</v>
      </c>
      <c r="C187" s="185"/>
      <c r="E187">
        <f t="shared" si="5"/>
        <v>0</v>
      </c>
      <c r="F187" t="str">
        <f>IFERROR(Tab_Compteur_6[[#This Row],[Quantité]]/Tab_Compteur_6[[#This Row],[Delta Jour]],"")</f>
        <v/>
      </c>
      <c r="G187" t="str">
        <f>IFERROR(Tab_Compteur_6[[#This Row],[Montant TTC]]/Tab_Compteur_6[[#This Row],[Delta Jour]],"")</f>
        <v/>
      </c>
      <c r="H187" s="42"/>
      <c r="I187" s="42"/>
      <c r="J187" s="42"/>
      <c r="K187" s="42"/>
      <c r="L187" s="42"/>
    </row>
    <row r="188" spans="1:12" x14ac:dyDescent="0.25">
      <c r="A188" s="61">
        <f t="shared" si="6"/>
        <v>1</v>
      </c>
      <c r="B188" s="3">
        <f>EDATE($B$3,Site!$I$38*(ROW(Tab_Compteur_6[[#This Row],[Début de période]])-3))</f>
        <v>0</v>
      </c>
      <c r="C188" s="185"/>
      <c r="E188">
        <f t="shared" si="5"/>
        <v>0</v>
      </c>
      <c r="F188" t="str">
        <f>IFERROR(Tab_Compteur_6[[#This Row],[Quantité]]/Tab_Compteur_6[[#This Row],[Delta Jour]],"")</f>
        <v/>
      </c>
      <c r="G188" t="str">
        <f>IFERROR(Tab_Compteur_6[[#This Row],[Montant TTC]]/Tab_Compteur_6[[#This Row],[Delta Jour]],"")</f>
        <v/>
      </c>
      <c r="H188" s="42"/>
      <c r="I188" s="42"/>
      <c r="J188" s="42"/>
      <c r="K188" s="42"/>
      <c r="L188" s="42"/>
    </row>
    <row r="189" spans="1:12" x14ac:dyDescent="0.25">
      <c r="A189" s="61">
        <f t="shared" si="6"/>
        <v>1</v>
      </c>
      <c r="B189" s="3">
        <f>EDATE($B$3,Site!$I$38*(ROW(Tab_Compteur_6[[#This Row],[Début de période]])-3))</f>
        <v>0</v>
      </c>
      <c r="C189" s="185"/>
      <c r="E189">
        <f t="shared" si="5"/>
        <v>0</v>
      </c>
      <c r="F189" t="str">
        <f>IFERROR(Tab_Compteur_6[[#This Row],[Quantité]]/Tab_Compteur_6[[#This Row],[Delta Jour]],"")</f>
        <v/>
      </c>
      <c r="G189" t="str">
        <f>IFERROR(Tab_Compteur_6[[#This Row],[Montant TTC]]/Tab_Compteur_6[[#This Row],[Delta Jour]],"")</f>
        <v/>
      </c>
      <c r="H189" s="42"/>
      <c r="I189" s="42"/>
      <c r="J189" s="42"/>
      <c r="K189" s="42"/>
      <c r="L189" s="42"/>
    </row>
    <row r="190" spans="1:12" x14ac:dyDescent="0.25">
      <c r="A190" s="61">
        <f t="shared" si="6"/>
        <v>1</v>
      </c>
      <c r="B190" s="3">
        <f>EDATE($B$3,Site!$I$38*(ROW(Tab_Compteur_6[[#This Row],[Début de période]])-3))</f>
        <v>0</v>
      </c>
      <c r="C190" s="185"/>
      <c r="E190">
        <f t="shared" si="5"/>
        <v>0</v>
      </c>
      <c r="F190" t="str">
        <f>IFERROR(Tab_Compteur_6[[#This Row],[Quantité]]/Tab_Compteur_6[[#This Row],[Delta Jour]],"")</f>
        <v/>
      </c>
      <c r="G190" t="str">
        <f>IFERROR(Tab_Compteur_6[[#This Row],[Montant TTC]]/Tab_Compteur_6[[#This Row],[Delta Jour]],"")</f>
        <v/>
      </c>
      <c r="H190" s="42"/>
      <c r="I190" s="42"/>
      <c r="J190" s="42"/>
      <c r="K190" s="42"/>
      <c r="L190" s="42"/>
    </row>
    <row r="191" spans="1:12" x14ac:dyDescent="0.25">
      <c r="A191" s="61">
        <f t="shared" si="6"/>
        <v>1</v>
      </c>
      <c r="B191" s="3">
        <f>EDATE($B$3,Site!$I$38*(ROW(Tab_Compteur_6[[#This Row],[Début de période]])-3))</f>
        <v>0</v>
      </c>
      <c r="C191" s="185"/>
      <c r="E191">
        <f t="shared" si="5"/>
        <v>0</v>
      </c>
      <c r="F191" t="str">
        <f>IFERROR(Tab_Compteur_6[[#This Row],[Quantité]]/Tab_Compteur_6[[#This Row],[Delta Jour]],"")</f>
        <v/>
      </c>
      <c r="G191" t="str">
        <f>IFERROR(Tab_Compteur_6[[#This Row],[Montant TTC]]/Tab_Compteur_6[[#This Row],[Delta Jour]],"")</f>
        <v/>
      </c>
      <c r="H191" s="42"/>
      <c r="I191" s="42"/>
      <c r="J191" s="42"/>
      <c r="K191" s="42"/>
      <c r="L191" s="42"/>
    </row>
    <row r="192" spans="1:12" x14ac:dyDescent="0.25">
      <c r="A192" s="61">
        <f t="shared" si="6"/>
        <v>1</v>
      </c>
      <c r="B192" s="3">
        <f>EDATE($B$3,Site!$I$38*(ROW(Tab_Compteur_6[[#This Row],[Début de période]])-3))</f>
        <v>0</v>
      </c>
      <c r="C192" s="185"/>
      <c r="E192">
        <f t="shared" si="5"/>
        <v>0</v>
      </c>
      <c r="F192" t="str">
        <f>IFERROR(Tab_Compteur_6[[#This Row],[Quantité]]/Tab_Compteur_6[[#This Row],[Delta Jour]],"")</f>
        <v/>
      </c>
      <c r="G192" t="str">
        <f>IFERROR(Tab_Compteur_6[[#This Row],[Montant TTC]]/Tab_Compteur_6[[#This Row],[Delta Jour]],"")</f>
        <v/>
      </c>
      <c r="H192" s="42"/>
      <c r="I192" s="42"/>
      <c r="J192" s="42"/>
      <c r="K192" s="42"/>
      <c r="L192" s="42"/>
    </row>
    <row r="193" spans="1:12" x14ac:dyDescent="0.25">
      <c r="A193" s="61">
        <f t="shared" si="6"/>
        <v>1</v>
      </c>
      <c r="B193" s="3">
        <f>EDATE($B$3,Site!$I$38*(ROW(Tab_Compteur_6[[#This Row],[Début de période]])-3))</f>
        <v>0</v>
      </c>
      <c r="C193" s="185"/>
      <c r="E193">
        <f t="shared" si="5"/>
        <v>0</v>
      </c>
      <c r="F193" t="str">
        <f>IFERROR(Tab_Compteur_6[[#This Row],[Quantité]]/Tab_Compteur_6[[#This Row],[Delta Jour]],"")</f>
        <v/>
      </c>
      <c r="G193" t="str">
        <f>IFERROR(Tab_Compteur_6[[#This Row],[Montant TTC]]/Tab_Compteur_6[[#This Row],[Delta Jour]],"")</f>
        <v/>
      </c>
      <c r="H193" s="42"/>
      <c r="I193" s="42"/>
      <c r="J193" s="42"/>
      <c r="K193" s="42"/>
      <c r="L193" s="42"/>
    </row>
    <row r="194" spans="1:12" x14ac:dyDescent="0.25">
      <c r="A194" s="61">
        <f t="shared" si="6"/>
        <v>1</v>
      </c>
      <c r="B194" s="3">
        <f>EDATE($B$3,Site!$I$38*(ROW(Tab_Compteur_6[[#This Row],[Début de période]])-3))</f>
        <v>0</v>
      </c>
      <c r="C194" s="185"/>
      <c r="E194">
        <f t="shared" ref="E194:E242" si="7">IFERROR(B194-A194+1,"")</f>
        <v>0</v>
      </c>
      <c r="F194" t="str">
        <f>IFERROR(Tab_Compteur_6[[#This Row],[Quantité]]/Tab_Compteur_6[[#This Row],[Delta Jour]],"")</f>
        <v/>
      </c>
      <c r="G194" t="str">
        <f>IFERROR(Tab_Compteur_6[[#This Row],[Montant TTC]]/Tab_Compteur_6[[#This Row],[Delta Jour]],"")</f>
        <v/>
      </c>
      <c r="H194" s="42"/>
      <c r="I194" s="42"/>
      <c r="J194" s="42"/>
      <c r="K194" s="42"/>
      <c r="L194" s="42"/>
    </row>
    <row r="195" spans="1:12" x14ac:dyDescent="0.25">
      <c r="A195" s="61">
        <f t="shared" si="6"/>
        <v>1</v>
      </c>
      <c r="B195" s="3">
        <f>EDATE($B$3,Site!$I$38*(ROW(Tab_Compteur_6[[#This Row],[Début de période]])-3))</f>
        <v>0</v>
      </c>
      <c r="C195" s="185"/>
      <c r="E195">
        <f t="shared" si="7"/>
        <v>0</v>
      </c>
      <c r="F195" t="str">
        <f>IFERROR(Tab_Compteur_6[[#This Row],[Quantité]]/Tab_Compteur_6[[#This Row],[Delta Jour]],"")</f>
        <v/>
      </c>
      <c r="G195" t="str">
        <f>IFERROR(Tab_Compteur_6[[#This Row],[Montant TTC]]/Tab_Compteur_6[[#This Row],[Delta Jour]],"")</f>
        <v/>
      </c>
      <c r="H195" s="42"/>
      <c r="I195" s="42"/>
      <c r="J195" s="42"/>
      <c r="K195" s="42"/>
      <c r="L195" s="42"/>
    </row>
    <row r="196" spans="1:12" x14ac:dyDescent="0.25">
      <c r="A196" s="61">
        <f t="shared" si="6"/>
        <v>1</v>
      </c>
      <c r="B196" s="3">
        <f>EDATE($B$3,Site!$I$38*(ROW(Tab_Compteur_6[[#This Row],[Début de période]])-3))</f>
        <v>0</v>
      </c>
      <c r="C196" s="185"/>
      <c r="E196">
        <f t="shared" si="7"/>
        <v>0</v>
      </c>
      <c r="F196" t="str">
        <f>IFERROR(Tab_Compteur_6[[#This Row],[Quantité]]/Tab_Compteur_6[[#This Row],[Delta Jour]],"")</f>
        <v/>
      </c>
      <c r="G196" t="str">
        <f>IFERROR(Tab_Compteur_6[[#This Row],[Montant TTC]]/Tab_Compteur_6[[#This Row],[Delta Jour]],"")</f>
        <v/>
      </c>
      <c r="H196" s="42"/>
      <c r="I196" s="42"/>
      <c r="J196" s="42"/>
      <c r="K196" s="42"/>
      <c r="L196" s="42"/>
    </row>
    <row r="197" spans="1:12" x14ac:dyDescent="0.25">
      <c r="A197" s="61">
        <f t="shared" ref="A197:A242" si="8">B196+1</f>
        <v>1</v>
      </c>
      <c r="B197" s="3">
        <f>EDATE($B$3,Site!$I$38*(ROW(Tab_Compteur_6[[#This Row],[Début de période]])-3))</f>
        <v>0</v>
      </c>
      <c r="C197" s="185"/>
      <c r="E197">
        <f t="shared" si="7"/>
        <v>0</v>
      </c>
      <c r="F197" t="str">
        <f>IFERROR(Tab_Compteur_6[[#This Row],[Quantité]]/Tab_Compteur_6[[#This Row],[Delta Jour]],"")</f>
        <v/>
      </c>
      <c r="G197" t="str">
        <f>IFERROR(Tab_Compteur_6[[#This Row],[Montant TTC]]/Tab_Compteur_6[[#This Row],[Delta Jour]],"")</f>
        <v/>
      </c>
      <c r="H197" s="42"/>
      <c r="I197" s="42"/>
      <c r="J197" s="42"/>
      <c r="K197" s="42"/>
      <c r="L197" s="42"/>
    </row>
    <row r="198" spans="1:12" x14ac:dyDescent="0.25">
      <c r="A198" s="61">
        <f t="shared" si="8"/>
        <v>1</v>
      </c>
      <c r="B198" s="3">
        <f>EDATE($B$3,Site!$I$38*(ROW(Tab_Compteur_6[[#This Row],[Début de période]])-3))</f>
        <v>0</v>
      </c>
      <c r="C198" s="185"/>
      <c r="E198">
        <f t="shared" si="7"/>
        <v>0</v>
      </c>
      <c r="F198" t="str">
        <f>IFERROR(Tab_Compteur_6[[#This Row],[Quantité]]/Tab_Compteur_6[[#This Row],[Delta Jour]],"")</f>
        <v/>
      </c>
      <c r="G198" t="str">
        <f>IFERROR(Tab_Compteur_6[[#This Row],[Montant TTC]]/Tab_Compteur_6[[#This Row],[Delta Jour]],"")</f>
        <v/>
      </c>
      <c r="H198" s="42"/>
      <c r="I198" s="42"/>
      <c r="J198" s="42"/>
      <c r="K198" s="42"/>
      <c r="L198" s="42"/>
    </row>
    <row r="199" spans="1:12" x14ac:dyDescent="0.25">
      <c r="A199" s="61">
        <f t="shared" si="8"/>
        <v>1</v>
      </c>
      <c r="B199" s="3">
        <f>EDATE($B$3,Site!$I$38*(ROW(Tab_Compteur_6[[#This Row],[Début de période]])-3))</f>
        <v>0</v>
      </c>
      <c r="C199" s="185"/>
      <c r="E199">
        <f t="shared" si="7"/>
        <v>0</v>
      </c>
      <c r="F199" t="str">
        <f>IFERROR(Tab_Compteur_6[[#This Row],[Quantité]]/Tab_Compteur_6[[#This Row],[Delta Jour]],"")</f>
        <v/>
      </c>
      <c r="G199" t="str">
        <f>IFERROR(Tab_Compteur_6[[#This Row],[Montant TTC]]/Tab_Compteur_6[[#This Row],[Delta Jour]],"")</f>
        <v/>
      </c>
      <c r="H199" s="42"/>
      <c r="I199" s="42"/>
      <c r="J199" s="42"/>
      <c r="K199" s="42"/>
      <c r="L199" s="42"/>
    </row>
    <row r="200" spans="1:12" x14ac:dyDescent="0.25">
      <c r="A200" s="61">
        <f t="shared" si="8"/>
        <v>1</v>
      </c>
      <c r="B200" s="3">
        <f>EDATE($B$3,Site!$I$38*(ROW(Tab_Compteur_6[[#This Row],[Début de période]])-3))</f>
        <v>0</v>
      </c>
      <c r="C200" s="185"/>
      <c r="E200">
        <f t="shared" si="7"/>
        <v>0</v>
      </c>
      <c r="F200" t="str">
        <f>IFERROR(Tab_Compteur_6[[#This Row],[Quantité]]/Tab_Compteur_6[[#This Row],[Delta Jour]],"")</f>
        <v/>
      </c>
      <c r="G200" t="str">
        <f>IFERROR(Tab_Compteur_6[[#This Row],[Montant TTC]]/Tab_Compteur_6[[#This Row],[Delta Jour]],"")</f>
        <v/>
      </c>
      <c r="H200" s="42"/>
      <c r="I200" s="42"/>
      <c r="J200" s="42"/>
      <c r="K200" s="42"/>
      <c r="L200" s="42"/>
    </row>
    <row r="201" spans="1:12" x14ac:dyDescent="0.25">
      <c r="A201" s="61">
        <f t="shared" si="8"/>
        <v>1</v>
      </c>
      <c r="B201" s="3">
        <f>EDATE($B$3,Site!$I$38*(ROW(Tab_Compteur_6[[#This Row],[Début de période]])-3))</f>
        <v>0</v>
      </c>
      <c r="C201" s="185"/>
      <c r="E201">
        <f t="shared" si="7"/>
        <v>0</v>
      </c>
      <c r="F201" t="str">
        <f>IFERROR(Tab_Compteur_6[[#This Row],[Quantité]]/Tab_Compteur_6[[#This Row],[Delta Jour]],"")</f>
        <v/>
      </c>
      <c r="G201" t="str">
        <f>IFERROR(Tab_Compteur_6[[#This Row],[Montant TTC]]/Tab_Compteur_6[[#This Row],[Delta Jour]],"")</f>
        <v/>
      </c>
      <c r="H201" s="42"/>
      <c r="I201" s="42"/>
      <c r="J201" s="42"/>
      <c r="K201" s="42"/>
      <c r="L201" s="42"/>
    </row>
    <row r="202" spans="1:12" x14ac:dyDescent="0.25">
      <c r="A202" s="61">
        <f t="shared" si="8"/>
        <v>1</v>
      </c>
      <c r="B202" s="3">
        <f>EDATE($B$3,Site!$I$38*(ROW(Tab_Compteur_6[[#This Row],[Début de période]])-3))</f>
        <v>0</v>
      </c>
      <c r="C202" s="185"/>
      <c r="E202">
        <f t="shared" si="7"/>
        <v>0</v>
      </c>
      <c r="F202" t="str">
        <f>IFERROR(Tab_Compteur_6[[#This Row],[Quantité]]/Tab_Compteur_6[[#This Row],[Delta Jour]],"")</f>
        <v/>
      </c>
      <c r="G202" t="str">
        <f>IFERROR(Tab_Compteur_6[[#This Row],[Montant TTC]]/Tab_Compteur_6[[#This Row],[Delta Jour]],"")</f>
        <v/>
      </c>
      <c r="H202" s="42"/>
      <c r="I202" s="42"/>
      <c r="J202" s="42"/>
      <c r="K202" s="42"/>
      <c r="L202" s="42"/>
    </row>
    <row r="203" spans="1:12" x14ac:dyDescent="0.25">
      <c r="A203" s="61">
        <f t="shared" si="8"/>
        <v>1</v>
      </c>
      <c r="B203" s="3">
        <f>EDATE($B$3,Site!$I$38*(ROW(Tab_Compteur_6[[#This Row],[Début de période]])-3))</f>
        <v>0</v>
      </c>
      <c r="C203" s="185"/>
      <c r="E203">
        <f t="shared" si="7"/>
        <v>0</v>
      </c>
      <c r="F203" t="str">
        <f>IFERROR(Tab_Compteur_6[[#This Row],[Quantité]]/Tab_Compteur_6[[#This Row],[Delta Jour]],"")</f>
        <v/>
      </c>
      <c r="G203" t="str">
        <f>IFERROR(Tab_Compteur_6[[#This Row],[Montant TTC]]/Tab_Compteur_6[[#This Row],[Delta Jour]],"")</f>
        <v/>
      </c>
      <c r="H203" s="42"/>
      <c r="I203" s="42"/>
      <c r="J203" s="42"/>
      <c r="K203" s="42"/>
      <c r="L203" s="42"/>
    </row>
    <row r="204" spans="1:12" x14ac:dyDescent="0.25">
      <c r="A204" s="61">
        <f t="shared" si="8"/>
        <v>1</v>
      </c>
      <c r="B204" s="3">
        <f>EDATE($B$3,Site!$I$38*(ROW(Tab_Compteur_6[[#This Row],[Début de période]])-3))</f>
        <v>0</v>
      </c>
      <c r="C204" s="185"/>
      <c r="E204">
        <f t="shared" si="7"/>
        <v>0</v>
      </c>
      <c r="F204" t="str">
        <f>IFERROR(Tab_Compteur_6[[#This Row],[Quantité]]/Tab_Compteur_6[[#This Row],[Delta Jour]],"")</f>
        <v/>
      </c>
      <c r="G204" t="str">
        <f>IFERROR(Tab_Compteur_6[[#This Row],[Montant TTC]]/Tab_Compteur_6[[#This Row],[Delta Jour]],"")</f>
        <v/>
      </c>
      <c r="H204" s="42"/>
      <c r="I204" s="42"/>
      <c r="J204" s="42"/>
      <c r="K204" s="42"/>
      <c r="L204" s="42"/>
    </row>
    <row r="205" spans="1:12" x14ac:dyDescent="0.25">
      <c r="A205" s="61">
        <f t="shared" si="8"/>
        <v>1</v>
      </c>
      <c r="B205" s="3">
        <f>EDATE($B$3,Site!$I$38*(ROW(Tab_Compteur_6[[#This Row],[Début de période]])-3))</f>
        <v>0</v>
      </c>
      <c r="C205" s="185"/>
      <c r="E205">
        <f t="shared" si="7"/>
        <v>0</v>
      </c>
      <c r="F205" t="str">
        <f>IFERROR(Tab_Compteur_6[[#This Row],[Quantité]]/Tab_Compteur_6[[#This Row],[Delta Jour]],"")</f>
        <v/>
      </c>
      <c r="G205" t="str">
        <f>IFERROR(Tab_Compteur_6[[#This Row],[Montant TTC]]/Tab_Compteur_6[[#This Row],[Delta Jour]],"")</f>
        <v/>
      </c>
      <c r="H205" s="42"/>
      <c r="I205" s="42"/>
      <c r="J205" s="42"/>
      <c r="K205" s="42"/>
      <c r="L205" s="42"/>
    </row>
    <row r="206" spans="1:12" x14ac:dyDescent="0.25">
      <c r="A206" s="61">
        <f t="shared" si="8"/>
        <v>1</v>
      </c>
      <c r="B206" s="3">
        <f>EDATE($B$3,Site!$I$38*(ROW(Tab_Compteur_6[[#This Row],[Début de période]])-3))</f>
        <v>0</v>
      </c>
      <c r="C206" s="185"/>
      <c r="E206">
        <f t="shared" si="7"/>
        <v>0</v>
      </c>
      <c r="F206" t="str">
        <f>IFERROR(Tab_Compteur_6[[#This Row],[Quantité]]/Tab_Compteur_6[[#This Row],[Delta Jour]],"")</f>
        <v/>
      </c>
      <c r="G206" t="str">
        <f>IFERROR(Tab_Compteur_6[[#This Row],[Montant TTC]]/Tab_Compteur_6[[#This Row],[Delta Jour]],"")</f>
        <v/>
      </c>
      <c r="H206" s="42"/>
      <c r="I206" s="42"/>
      <c r="J206" s="42"/>
      <c r="K206" s="42"/>
      <c r="L206" s="42"/>
    </row>
    <row r="207" spans="1:12" x14ac:dyDescent="0.25">
      <c r="A207" s="61">
        <f t="shared" si="8"/>
        <v>1</v>
      </c>
      <c r="B207" s="3">
        <f>EDATE($B$3,Site!$I$38*(ROW(Tab_Compteur_6[[#This Row],[Début de période]])-3))</f>
        <v>0</v>
      </c>
      <c r="C207" s="185"/>
      <c r="E207">
        <f t="shared" si="7"/>
        <v>0</v>
      </c>
      <c r="F207" t="str">
        <f>IFERROR(Tab_Compteur_6[[#This Row],[Quantité]]/Tab_Compteur_6[[#This Row],[Delta Jour]],"")</f>
        <v/>
      </c>
      <c r="G207" t="str">
        <f>IFERROR(Tab_Compteur_6[[#This Row],[Montant TTC]]/Tab_Compteur_6[[#This Row],[Delta Jour]],"")</f>
        <v/>
      </c>
      <c r="H207" s="42"/>
      <c r="I207" s="42"/>
      <c r="J207" s="42"/>
      <c r="K207" s="42"/>
      <c r="L207" s="42"/>
    </row>
    <row r="208" spans="1:12" x14ac:dyDescent="0.25">
      <c r="A208" s="61">
        <f t="shared" si="8"/>
        <v>1</v>
      </c>
      <c r="B208" s="3">
        <f>EDATE($B$3,Site!$I$38*(ROW(Tab_Compteur_6[[#This Row],[Début de période]])-3))</f>
        <v>0</v>
      </c>
      <c r="C208" s="185"/>
      <c r="E208">
        <f t="shared" si="7"/>
        <v>0</v>
      </c>
      <c r="F208" t="str">
        <f>IFERROR(Tab_Compteur_6[[#This Row],[Quantité]]/Tab_Compteur_6[[#This Row],[Delta Jour]],"")</f>
        <v/>
      </c>
      <c r="G208" t="str">
        <f>IFERROR(Tab_Compteur_6[[#This Row],[Montant TTC]]/Tab_Compteur_6[[#This Row],[Delta Jour]],"")</f>
        <v/>
      </c>
      <c r="H208" s="42"/>
      <c r="I208" s="42"/>
      <c r="J208" s="42"/>
      <c r="K208" s="42"/>
      <c r="L208" s="42"/>
    </row>
    <row r="209" spans="1:12" x14ac:dyDescent="0.25">
      <c r="A209" s="61">
        <f t="shared" si="8"/>
        <v>1</v>
      </c>
      <c r="B209" s="3">
        <f>EDATE($B$3,Site!$I$38*(ROW(Tab_Compteur_6[[#This Row],[Début de période]])-3))</f>
        <v>0</v>
      </c>
      <c r="C209" s="185"/>
      <c r="E209">
        <f t="shared" si="7"/>
        <v>0</v>
      </c>
      <c r="F209" t="str">
        <f>IFERROR(Tab_Compteur_6[[#This Row],[Quantité]]/Tab_Compteur_6[[#This Row],[Delta Jour]],"")</f>
        <v/>
      </c>
      <c r="G209" t="str">
        <f>IFERROR(Tab_Compteur_6[[#This Row],[Montant TTC]]/Tab_Compteur_6[[#This Row],[Delta Jour]],"")</f>
        <v/>
      </c>
      <c r="H209" s="42"/>
      <c r="I209" s="42"/>
      <c r="J209" s="42"/>
      <c r="K209" s="42"/>
      <c r="L209" s="42"/>
    </row>
    <row r="210" spans="1:12" x14ac:dyDescent="0.25">
      <c r="A210" s="61">
        <f t="shared" si="8"/>
        <v>1</v>
      </c>
      <c r="B210" s="3">
        <f>EDATE($B$3,Site!$I$38*(ROW(Tab_Compteur_6[[#This Row],[Début de période]])-3))</f>
        <v>0</v>
      </c>
      <c r="C210" s="185"/>
      <c r="E210">
        <f t="shared" si="7"/>
        <v>0</v>
      </c>
      <c r="F210" t="str">
        <f>IFERROR(Tab_Compteur_6[[#This Row],[Quantité]]/Tab_Compteur_6[[#This Row],[Delta Jour]],"")</f>
        <v/>
      </c>
      <c r="G210" t="str">
        <f>IFERROR(Tab_Compteur_6[[#This Row],[Montant TTC]]/Tab_Compteur_6[[#This Row],[Delta Jour]],"")</f>
        <v/>
      </c>
      <c r="H210" s="42"/>
      <c r="I210" s="42"/>
      <c r="J210" s="42"/>
      <c r="K210" s="42"/>
      <c r="L210" s="42"/>
    </row>
    <row r="211" spans="1:12" x14ac:dyDescent="0.25">
      <c r="A211" s="61">
        <f t="shared" si="8"/>
        <v>1</v>
      </c>
      <c r="B211" s="3">
        <f>EDATE($B$3,Site!$I$38*(ROW(Tab_Compteur_6[[#This Row],[Début de période]])-3))</f>
        <v>0</v>
      </c>
      <c r="C211" s="185"/>
      <c r="E211">
        <f t="shared" si="7"/>
        <v>0</v>
      </c>
      <c r="F211" t="str">
        <f>IFERROR(Tab_Compteur_6[[#This Row],[Quantité]]/Tab_Compteur_6[[#This Row],[Delta Jour]],"")</f>
        <v/>
      </c>
      <c r="G211" t="str">
        <f>IFERROR(Tab_Compteur_6[[#This Row],[Montant TTC]]/Tab_Compteur_6[[#This Row],[Delta Jour]],"")</f>
        <v/>
      </c>
      <c r="H211" s="42"/>
      <c r="I211" s="42"/>
      <c r="J211" s="42"/>
      <c r="K211" s="42"/>
      <c r="L211" s="42"/>
    </row>
    <row r="212" spans="1:12" x14ac:dyDescent="0.25">
      <c r="A212" s="61">
        <f t="shared" si="8"/>
        <v>1</v>
      </c>
      <c r="B212" s="3">
        <f>EDATE($B$3,Site!$I$38*(ROW(Tab_Compteur_6[[#This Row],[Début de période]])-3))</f>
        <v>0</v>
      </c>
      <c r="C212" s="185"/>
      <c r="E212">
        <f t="shared" si="7"/>
        <v>0</v>
      </c>
      <c r="F212" t="str">
        <f>IFERROR(Tab_Compteur_6[[#This Row],[Quantité]]/Tab_Compteur_6[[#This Row],[Delta Jour]],"")</f>
        <v/>
      </c>
      <c r="G212" t="str">
        <f>IFERROR(Tab_Compteur_6[[#This Row],[Montant TTC]]/Tab_Compteur_6[[#This Row],[Delta Jour]],"")</f>
        <v/>
      </c>
      <c r="H212" s="42"/>
      <c r="I212" s="42"/>
      <c r="J212" s="42"/>
      <c r="K212" s="42"/>
      <c r="L212" s="42"/>
    </row>
    <row r="213" spans="1:12" x14ac:dyDescent="0.25">
      <c r="A213" s="61">
        <f t="shared" si="8"/>
        <v>1</v>
      </c>
      <c r="B213" s="3">
        <f>EDATE($B$3,Site!$I$38*(ROW(Tab_Compteur_6[[#This Row],[Début de période]])-3))</f>
        <v>0</v>
      </c>
      <c r="C213" s="185"/>
      <c r="E213">
        <f t="shared" si="7"/>
        <v>0</v>
      </c>
      <c r="F213" t="str">
        <f>IFERROR(Tab_Compteur_6[[#This Row],[Quantité]]/Tab_Compteur_6[[#This Row],[Delta Jour]],"")</f>
        <v/>
      </c>
      <c r="G213" t="str">
        <f>IFERROR(Tab_Compteur_6[[#This Row],[Montant TTC]]/Tab_Compteur_6[[#This Row],[Delta Jour]],"")</f>
        <v/>
      </c>
      <c r="H213" s="42"/>
      <c r="I213" s="42"/>
      <c r="J213" s="42"/>
      <c r="K213" s="42"/>
      <c r="L213" s="42"/>
    </row>
    <row r="214" spans="1:12" x14ac:dyDescent="0.25">
      <c r="A214" s="61">
        <f t="shared" si="8"/>
        <v>1</v>
      </c>
      <c r="B214" s="3">
        <f>EDATE($B$3,Site!$I$38*(ROW(Tab_Compteur_6[[#This Row],[Début de période]])-3))</f>
        <v>0</v>
      </c>
      <c r="C214" s="185"/>
      <c r="E214">
        <f t="shared" si="7"/>
        <v>0</v>
      </c>
      <c r="F214" t="str">
        <f>IFERROR(Tab_Compteur_6[[#This Row],[Quantité]]/Tab_Compteur_6[[#This Row],[Delta Jour]],"")</f>
        <v/>
      </c>
      <c r="G214" t="str">
        <f>IFERROR(Tab_Compteur_6[[#This Row],[Montant TTC]]/Tab_Compteur_6[[#This Row],[Delta Jour]],"")</f>
        <v/>
      </c>
      <c r="H214" s="42"/>
      <c r="I214" s="42"/>
      <c r="J214" s="42"/>
      <c r="K214" s="42"/>
      <c r="L214" s="42"/>
    </row>
    <row r="215" spans="1:12" x14ac:dyDescent="0.25">
      <c r="A215" s="61">
        <f t="shared" si="8"/>
        <v>1</v>
      </c>
      <c r="B215" s="3">
        <f>EDATE($B$3,Site!$I$38*(ROW(Tab_Compteur_6[[#This Row],[Début de période]])-3))</f>
        <v>0</v>
      </c>
      <c r="C215" s="185"/>
      <c r="E215">
        <f t="shared" si="7"/>
        <v>0</v>
      </c>
      <c r="F215" t="str">
        <f>IFERROR(Tab_Compteur_6[[#This Row],[Quantité]]/Tab_Compteur_6[[#This Row],[Delta Jour]],"")</f>
        <v/>
      </c>
      <c r="G215" t="str">
        <f>IFERROR(Tab_Compteur_6[[#This Row],[Montant TTC]]/Tab_Compteur_6[[#This Row],[Delta Jour]],"")</f>
        <v/>
      </c>
      <c r="H215" s="42"/>
      <c r="I215" s="42"/>
      <c r="J215" s="42"/>
      <c r="K215" s="42"/>
      <c r="L215" s="42"/>
    </row>
    <row r="216" spans="1:12" x14ac:dyDescent="0.25">
      <c r="A216" s="61">
        <f t="shared" si="8"/>
        <v>1</v>
      </c>
      <c r="B216" s="3">
        <f>EDATE($B$3,Site!$I$38*(ROW(Tab_Compteur_6[[#This Row],[Début de période]])-3))</f>
        <v>0</v>
      </c>
      <c r="C216" s="185"/>
      <c r="E216">
        <f t="shared" si="7"/>
        <v>0</v>
      </c>
      <c r="F216" t="str">
        <f>IFERROR(Tab_Compteur_6[[#This Row],[Quantité]]/Tab_Compteur_6[[#This Row],[Delta Jour]],"")</f>
        <v/>
      </c>
      <c r="G216" t="str">
        <f>IFERROR(Tab_Compteur_6[[#This Row],[Montant TTC]]/Tab_Compteur_6[[#This Row],[Delta Jour]],"")</f>
        <v/>
      </c>
      <c r="H216" s="42"/>
      <c r="I216" s="42"/>
      <c r="J216" s="42"/>
      <c r="K216" s="42"/>
      <c r="L216" s="42"/>
    </row>
    <row r="217" spans="1:12" x14ac:dyDescent="0.25">
      <c r="A217" s="61">
        <f t="shared" si="8"/>
        <v>1</v>
      </c>
      <c r="B217" s="3">
        <f>EDATE($B$3,Site!$I$38*(ROW(Tab_Compteur_6[[#This Row],[Début de période]])-3))</f>
        <v>0</v>
      </c>
      <c r="C217" s="185"/>
      <c r="E217">
        <f t="shared" si="7"/>
        <v>0</v>
      </c>
      <c r="F217" t="str">
        <f>IFERROR(Tab_Compteur_6[[#This Row],[Quantité]]/Tab_Compteur_6[[#This Row],[Delta Jour]],"")</f>
        <v/>
      </c>
      <c r="G217" t="str">
        <f>IFERROR(Tab_Compteur_6[[#This Row],[Montant TTC]]/Tab_Compteur_6[[#This Row],[Delta Jour]],"")</f>
        <v/>
      </c>
      <c r="H217" s="42"/>
      <c r="I217" s="42"/>
      <c r="J217" s="42"/>
      <c r="K217" s="42"/>
      <c r="L217" s="42"/>
    </row>
    <row r="218" spans="1:12" x14ac:dyDescent="0.25">
      <c r="A218" s="61">
        <f t="shared" si="8"/>
        <v>1</v>
      </c>
      <c r="B218" s="3">
        <f>EDATE($B$3,Site!$I$38*(ROW(Tab_Compteur_6[[#This Row],[Début de période]])-3))</f>
        <v>0</v>
      </c>
      <c r="C218" s="185"/>
      <c r="E218">
        <f t="shared" si="7"/>
        <v>0</v>
      </c>
      <c r="F218" t="str">
        <f>IFERROR(Tab_Compteur_6[[#This Row],[Quantité]]/Tab_Compteur_6[[#This Row],[Delta Jour]],"")</f>
        <v/>
      </c>
      <c r="G218" t="str">
        <f>IFERROR(Tab_Compteur_6[[#This Row],[Montant TTC]]/Tab_Compteur_6[[#This Row],[Delta Jour]],"")</f>
        <v/>
      </c>
      <c r="H218" s="42"/>
      <c r="I218" s="42"/>
      <c r="J218" s="42"/>
      <c r="K218" s="42"/>
      <c r="L218" s="42"/>
    </row>
    <row r="219" spans="1:12" x14ac:dyDescent="0.25">
      <c r="A219" s="61">
        <f t="shared" si="8"/>
        <v>1</v>
      </c>
      <c r="B219" s="3">
        <f>EDATE($B$3,Site!$I$38*(ROW(Tab_Compteur_6[[#This Row],[Début de période]])-3))</f>
        <v>0</v>
      </c>
      <c r="C219" s="185"/>
      <c r="E219">
        <f t="shared" si="7"/>
        <v>0</v>
      </c>
      <c r="F219" t="str">
        <f>IFERROR(Tab_Compteur_6[[#This Row],[Quantité]]/Tab_Compteur_6[[#This Row],[Delta Jour]],"")</f>
        <v/>
      </c>
      <c r="G219" t="str">
        <f>IFERROR(Tab_Compteur_6[[#This Row],[Montant TTC]]/Tab_Compteur_6[[#This Row],[Delta Jour]],"")</f>
        <v/>
      </c>
      <c r="H219" s="42"/>
      <c r="I219" s="42"/>
      <c r="J219" s="42"/>
      <c r="K219" s="42"/>
      <c r="L219" s="42"/>
    </row>
    <row r="220" spans="1:12" x14ac:dyDescent="0.25">
      <c r="A220" s="61">
        <f t="shared" si="8"/>
        <v>1</v>
      </c>
      <c r="B220" s="3">
        <f>EDATE($B$3,Site!$I$38*(ROW(Tab_Compteur_6[[#This Row],[Début de période]])-3))</f>
        <v>0</v>
      </c>
      <c r="C220" s="185"/>
      <c r="E220">
        <f t="shared" si="7"/>
        <v>0</v>
      </c>
      <c r="F220" t="str">
        <f>IFERROR(Tab_Compteur_6[[#This Row],[Quantité]]/Tab_Compteur_6[[#This Row],[Delta Jour]],"")</f>
        <v/>
      </c>
      <c r="G220" t="str">
        <f>IFERROR(Tab_Compteur_6[[#This Row],[Montant TTC]]/Tab_Compteur_6[[#This Row],[Delta Jour]],"")</f>
        <v/>
      </c>
      <c r="H220" s="42"/>
      <c r="I220" s="42"/>
      <c r="J220" s="42"/>
      <c r="K220" s="42"/>
      <c r="L220" s="42"/>
    </row>
    <row r="221" spans="1:12" x14ac:dyDescent="0.25">
      <c r="A221" s="61">
        <f t="shared" si="8"/>
        <v>1</v>
      </c>
      <c r="B221" s="3">
        <f>EDATE($B$3,Site!$I$38*(ROW(Tab_Compteur_6[[#This Row],[Début de période]])-3))</f>
        <v>0</v>
      </c>
      <c r="C221" s="185"/>
      <c r="E221">
        <f t="shared" si="7"/>
        <v>0</v>
      </c>
      <c r="F221" t="str">
        <f>IFERROR(Tab_Compteur_6[[#This Row],[Quantité]]/Tab_Compteur_6[[#This Row],[Delta Jour]],"")</f>
        <v/>
      </c>
      <c r="G221" t="str">
        <f>IFERROR(Tab_Compteur_6[[#This Row],[Montant TTC]]/Tab_Compteur_6[[#This Row],[Delta Jour]],"")</f>
        <v/>
      </c>
      <c r="H221" s="42"/>
      <c r="I221" s="42"/>
      <c r="J221" s="42"/>
      <c r="K221" s="42"/>
      <c r="L221" s="42"/>
    </row>
    <row r="222" spans="1:12" x14ac:dyDescent="0.25">
      <c r="A222" s="61">
        <f t="shared" si="8"/>
        <v>1</v>
      </c>
      <c r="B222" s="3">
        <f>EDATE($B$3,Site!$I$38*(ROW(Tab_Compteur_6[[#This Row],[Début de période]])-3))</f>
        <v>0</v>
      </c>
      <c r="C222" s="185"/>
      <c r="E222">
        <f t="shared" si="7"/>
        <v>0</v>
      </c>
      <c r="F222" t="str">
        <f>IFERROR(Tab_Compteur_6[[#This Row],[Quantité]]/Tab_Compteur_6[[#This Row],[Delta Jour]],"")</f>
        <v/>
      </c>
      <c r="G222" t="str">
        <f>IFERROR(Tab_Compteur_6[[#This Row],[Montant TTC]]/Tab_Compteur_6[[#This Row],[Delta Jour]],"")</f>
        <v/>
      </c>
      <c r="H222" s="42"/>
      <c r="I222" s="42"/>
      <c r="J222" s="42"/>
      <c r="K222" s="42"/>
      <c r="L222" s="42"/>
    </row>
    <row r="223" spans="1:12" x14ac:dyDescent="0.25">
      <c r="A223" s="61">
        <f t="shared" si="8"/>
        <v>1</v>
      </c>
      <c r="B223" s="3">
        <f>EDATE($B$3,Site!$I$38*(ROW(Tab_Compteur_6[[#This Row],[Début de période]])-3))</f>
        <v>0</v>
      </c>
      <c r="C223" s="185"/>
      <c r="E223">
        <f t="shared" si="7"/>
        <v>0</v>
      </c>
      <c r="F223" t="str">
        <f>IFERROR(Tab_Compteur_6[[#This Row],[Quantité]]/Tab_Compteur_6[[#This Row],[Delta Jour]],"")</f>
        <v/>
      </c>
      <c r="G223" t="str">
        <f>IFERROR(Tab_Compteur_6[[#This Row],[Montant TTC]]/Tab_Compteur_6[[#This Row],[Delta Jour]],"")</f>
        <v/>
      </c>
      <c r="H223" s="42"/>
      <c r="I223" s="42"/>
      <c r="J223" s="42"/>
      <c r="K223" s="42"/>
      <c r="L223" s="42"/>
    </row>
    <row r="224" spans="1:12" x14ac:dyDescent="0.25">
      <c r="A224" s="61">
        <f t="shared" si="8"/>
        <v>1</v>
      </c>
      <c r="B224" s="3">
        <f>EDATE($B$3,Site!$I$38*(ROW(Tab_Compteur_6[[#This Row],[Début de période]])-3))</f>
        <v>0</v>
      </c>
      <c r="C224" s="185"/>
      <c r="E224">
        <f t="shared" si="7"/>
        <v>0</v>
      </c>
      <c r="F224" t="str">
        <f>IFERROR(Tab_Compteur_6[[#This Row],[Quantité]]/Tab_Compteur_6[[#This Row],[Delta Jour]],"")</f>
        <v/>
      </c>
      <c r="G224" t="str">
        <f>IFERROR(Tab_Compteur_6[[#This Row],[Montant TTC]]/Tab_Compteur_6[[#This Row],[Delta Jour]],"")</f>
        <v/>
      </c>
      <c r="H224" s="42"/>
      <c r="I224" s="42"/>
      <c r="J224" s="42"/>
      <c r="K224" s="42"/>
      <c r="L224" s="42"/>
    </row>
    <row r="225" spans="1:12" x14ac:dyDescent="0.25">
      <c r="A225" s="61">
        <f t="shared" si="8"/>
        <v>1</v>
      </c>
      <c r="B225" s="3">
        <f>EDATE($B$3,Site!$I$38*(ROW(Tab_Compteur_6[[#This Row],[Début de période]])-3))</f>
        <v>0</v>
      </c>
      <c r="C225" s="185"/>
      <c r="E225">
        <f t="shared" si="7"/>
        <v>0</v>
      </c>
      <c r="F225" t="str">
        <f>IFERROR(Tab_Compteur_6[[#This Row],[Quantité]]/Tab_Compteur_6[[#This Row],[Delta Jour]],"")</f>
        <v/>
      </c>
      <c r="G225" t="str">
        <f>IFERROR(Tab_Compteur_6[[#This Row],[Montant TTC]]/Tab_Compteur_6[[#This Row],[Delta Jour]],"")</f>
        <v/>
      </c>
      <c r="H225" s="42"/>
      <c r="I225" s="42"/>
      <c r="J225" s="42"/>
      <c r="K225" s="42"/>
      <c r="L225" s="42"/>
    </row>
    <row r="226" spans="1:12" x14ac:dyDescent="0.25">
      <c r="A226" s="61">
        <f t="shared" si="8"/>
        <v>1</v>
      </c>
      <c r="B226" s="3">
        <f>EDATE($B$3,Site!$I$38*(ROW(Tab_Compteur_6[[#This Row],[Début de période]])-3))</f>
        <v>0</v>
      </c>
      <c r="C226" s="185"/>
      <c r="E226">
        <f t="shared" si="7"/>
        <v>0</v>
      </c>
      <c r="F226" t="str">
        <f>IFERROR(Tab_Compteur_6[[#This Row],[Quantité]]/Tab_Compteur_6[[#This Row],[Delta Jour]],"")</f>
        <v/>
      </c>
      <c r="G226" t="str">
        <f>IFERROR(Tab_Compteur_6[[#This Row],[Montant TTC]]/Tab_Compteur_6[[#This Row],[Delta Jour]],"")</f>
        <v/>
      </c>
      <c r="H226" s="42"/>
      <c r="I226" s="42"/>
      <c r="J226" s="42"/>
      <c r="K226" s="42"/>
      <c r="L226" s="42"/>
    </row>
    <row r="227" spans="1:12" x14ac:dyDescent="0.25">
      <c r="A227" s="61">
        <f t="shared" si="8"/>
        <v>1</v>
      </c>
      <c r="B227" s="3">
        <f>EDATE($B$3,Site!$I$38*(ROW(Tab_Compteur_6[[#This Row],[Début de période]])-3))</f>
        <v>0</v>
      </c>
      <c r="C227" s="185"/>
      <c r="E227">
        <f t="shared" si="7"/>
        <v>0</v>
      </c>
      <c r="F227" t="str">
        <f>IFERROR(Tab_Compteur_6[[#This Row],[Quantité]]/Tab_Compteur_6[[#This Row],[Delta Jour]],"")</f>
        <v/>
      </c>
      <c r="G227" t="str">
        <f>IFERROR(Tab_Compteur_6[[#This Row],[Montant TTC]]/Tab_Compteur_6[[#This Row],[Delta Jour]],"")</f>
        <v/>
      </c>
      <c r="H227" s="42"/>
      <c r="I227" s="42"/>
      <c r="J227" s="42"/>
      <c r="K227" s="42"/>
      <c r="L227" s="42"/>
    </row>
    <row r="228" spans="1:12" x14ac:dyDescent="0.25">
      <c r="A228" s="61">
        <f t="shared" si="8"/>
        <v>1</v>
      </c>
      <c r="B228" s="3">
        <f>EDATE($B$3,Site!$I$38*(ROW(Tab_Compteur_6[[#This Row],[Début de période]])-3))</f>
        <v>0</v>
      </c>
      <c r="C228" s="185"/>
      <c r="E228">
        <f t="shared" si="7"/>
        <v>0</v>
      </c>
      <c r="F228" t="str">
        <f>IFERROR(Tab_Compteur_6[[#This Row],[Quantité]]/Tab_Compteur_6[[#This Row],[Delta Jour]],"")</f>
        <v/>
      </c>
      <c r="G228" t="str">
        <f>IFERROR(Tab_Compteur_6[[#This Row],[Montant TTC]]/Tab_Compteur_6[[#This Row],[Delta Jour]],"")</f>
        <v/>
      </c>
      <c r="H228" s="42"/>
      <c r="I228" s="42"/>
      <c r="J228" s="42"/>
      <c r="K228" s="42"/>
      <c r="L228" s="42"/>
    </row>
    <row r="229" spans="1:12" x14ac:dyDescent="0.25">
      <c r="A229" s="61">
        <f t="shared" si="8"/>
        <v>1</v>
      </c>
      <c r="B229" s="3">
        <f>EDATE($B$3,Site!$I$38*(ROW(Tab_Compteur_6[[#This Row],[Début de période]])-3))</f>
        <v>0</v>
      </c>
      <c r="C229" s="185"/>
      <c r="E229">
        <f t="shared" si="7"/>
        <v>0</v>
      </c>
      <c r="F229" t="str">
        <f>IFERROR(Tab_Compteur_6[[#This Row],[Quantité]]/Tab_Compteur_6[[#This Row],[Delta Jour]],"")</f>
        <v/>
      </c>
      <c r="G229" t="str">
        <f>IFERROR(Tab_Compteur_6[[#This Row],[Montant TTC]]/Tab_Compteur_6[[#This Row],[Delta Jour]],"")</f>
        <v/>
      </c>
      <c r="H229" s="42"/>
      <c r="I229" s="42"/>
      <c r="J229" s="42"/>
      <c r="K229" s="42"/>
      <c r="L229" s="42"/>
    </row>
    <row r="230" spans="1:12" x14ac:dyDescent="0.25">
      <c r="A230" s="61">
        <f t="shared" si="8"/>
        <v>1</v>
      </c>
      <c r="B230" s="3">
        <f>EDATE($B$3,Site!$I$38*(ROW(Tab_Compteur_6[[#This Row],[Début de période]])-3))</f>
        <v>0</v>
      </c>
      <c r="C230" s="185"/>
      <c r="E230">
        <f t="shared" si="7"/>
        <v>0</v>
      </c>
      <c r="F230" t="str">
        <f>IFERROR(Tab_Compteur_6[[#This Row],[Quantité]]/Tab_Compteur_6[[#This Row],[Delta Jour]],"")</f>
        <v/>
      </c>
      <c r="G230" t="str">
        <f>IFERROR(Tab_Compteur_6[[#This Row],[Montant TTC]]/Tab_Compteur_6[[#This Row],[Delta Jour]],"")</f>
        <v/>
      </c>
      <c r="H230" s="42"/>
      <c r="I230" s="42"/>
      <c r="J230" s="42"/>
      <c r="K230" s="42"/>
      <c r="L230" s="42"/>
    </row>
    <row r="231" spans="1:12" x14ac:dyDescent="0.25">
      <c r="A231" s="61">
        <f t="shared" si="8"/>
        <v>1</v>
      </c>
      <c r="B231" s="3">
        <f>EDATE($B$3,Site!$I$38*(ROW(Tab_Compteur_6[[#This Row],[Début de période]])-3))</f>
        <v>0</v>
      </c>
      <c r="C231" s="185"/>
      <c r="E231">
        <f t="shared" si="7"/>
        <v>0</v>
      </c>
      <c r="F231" t="str">
        <f>IFERROR(Tab_Compteur_6[[#This Row],[Quantité]]/Tab_Compteur_6[[#This Row],[Delta Jour]],"")</f>
        <v/>
      </c>
      <c r="G231" t="str">
        <f>IFERROR(Tab_Compteur_6[[#This Row],[Montant TTC]]/Tab_Compteur_6[[#This Row],[Delta Jour]],"")</f>
        <v/>
      </c>
      <c r="H231" s="42"/>
      <c r="I231" s="42"/>
      <c r="J231" s="42"/>
      <c r="K231" s="42"/>
      <c r="L231" s="42"/>
    </row>
    <row r="232" spans="1:12" x14ac:dyDescent="0.25">
      <c r="A232" s="61">
        <f t="shared" si="8"/>
        <v>1</v>
      </c>
      <c r="B232" s="3">
        <f>EDATE($B$3,Site!$I$38*(ROW(Tab_Compteur_6[[#This Row],[Début de période]])-3))</f>
        <v>0</v>
      </c>
      <c r="C232" s="185"/>
      <c r="E232">
        <f t="shared" si="7"/>
        <v>0</v>
      </c>
      <c r="F232" t="str">
        <f>IFERROR(Tab_Compteur_6[[#This Row],[Quantité]]/Tab_Compteur_6[[#This Row],[Delta Jour]],"")</f>
        <v/>
      </c>
      <c r="G232" t="str">
        <f>IFERROR(Tab_Compteur_6[[#This Row],[Montant TTC]]/Tab_Compteur_6[[#This Row],[Delta Jour]],"")</f>
        <v/>
      </c>
      <c r="H232" s="42"/>
      <c r="I232" s="42"/>
      <c r="J232" s="42"/>
      <c r="K232" s="42"/>
      <c r="L232" s="42"/>
    </row>
    <row r="233" spans="1:12" x14ac:dyDescent="0.25">
      <c r="A233" s="61">
        <f t="shared" si="8"/>
        <v>1</v>
      </c>
      <c r="B233" s="3">
        <f>EDATE($B$3,Site!$I$38*(ROW(Tab_Compteur_6[[#This Row],[Début de période]])-3))</f>
        <v>0</v>
      </c>
      <c r="C233" s="185"/>
      <c r="E233">
        <f t="shared" si="7"/>
        <v>0</v>
      </c>
      <c r="F233" t="str">
        <f>IFERROR(Tab_Compteur_6[[#This Row],[Quantité]]/Tab_Compteur_6[[#This Row],[Delta Jour]],"")</f>
        <v/>
      </c>
      <c r="G233" t="str">
        <f>IFERROR(Tab_Compteur_6[[#This Row],[Montant TTC]]/Tab_Compteur_6[[#This Row],[Delta Jour]],"")</f>
        <v/>
      </c>
      <c r="H233" s="42"/>
      <c r="I233" s="42"/>
      <c r="J233" s="42"/>
      <c r="K233" s="42"/>
      <c r="L233" s="42"/>
    </row>
    <row r="234" spans="1:12" x14ac:dyDescent="0.25">
      <c r="A234" s="61">
        <f t="shared" si="8"/>
        <v>1</v>
      </c>
      <c r="B234" s="3">
        <f>EDATE($B$3,Site!$I$38*(ROW(Tab_Compteur_6[[#This Row],[Début de période]])-3))</f>
        <v>0</v>
      </c>
      <c r="C234" s="185"/>
      <c r="E234">
        <f t="shared" si="7"/>
        <v>0</v>
      </c>
      <c r="F234" t="str">
        <f>IFERROR(Tab_Compteur_6[[#This Row],[Quantité]]/Tab_Compteur_6[[#This Row],[Delta Jour]],"")</f>
        <v/>
      </c>
      <c r="G234" t="str">
        <f>IFERROR(Tab_Compteur_6[[#This Row],[Montant TTC]]/Tab_Compteur_6[[#This Row],[Delta Jour]],"")</f>
        <v/>
      </c>
      <c r="H234" s="42"/>
      <c r="I234" s="42"/>
      <c r="J234" s="42"/>
      <c r="K234" s="42"/>
      <c r="L234" s="42"/>
    </row>
    <row r="235" spans="1:12" x14ac:dyDescent="0.25">
      <c r="A235" s="61">
        <f t="shared" si="8"/>
        <v>1</v>
      </c>
      <c r="B235" s="3">
        <f>EDATE($B$3,Site!$I$38*(ROW(Tab_Compteur_6[[#This Row],[Début de période]])-3))</f>
        <v>0</v>
      </c>
      <c r="C235" s="185"/>
      <c r="E235">
        <f t="shared" si="7"/>
        <v>0</v>
      </c>
      <c r="F235" t="str">
        <f>IFERROR(Tab_Compteur_6[[#This Row],[Quantité]]/Tab_Compteur_6[[#This Row],[Delta Jour]],"")</f>
        <v/>
      </c>
      <c r="G235" t="str">
        <f>IFERROR(Tab_Compteur_6[[#This Row],[Montant TTC]]/Tab_Compteur_6[[#This Row],[Delta Jour]],"")</f>
        <v/>
      </c>
      <c r="H235" s="42"/>
      <c r="I235" s="42"/>
      <c r="J235" s="42"/>
      <c r="K235" s="42"/>
      <c r="L235" s="42"/>
    </row>
    <row r="236" spans="1:12" x14ac:dyDescent="0.25">
      <c r="A236" s="61">
        <f t="shared" si="8"/>
        <v>1</v>
      </c>
      <c r="B236" s="3">
        <f>EDATE($B$3,Site!$I$38*(ROW(Tab_Compteur_6[[#This Row],[Début de période]])-3))</f>
        <v>0</v>
      </c>
      <c r="C236" s="185"/>
      <c r="E236">
        <f t="shared" si="7"/>
        <v>0</v>
      </c>
      <c r="F236" t="str">
        <f>IFERROR(Tab_Compteur_6[[#This Row],[Quantité]]/Tab_Compteur_6[[#This Row],[Delta Jour]],"")</f>
        <v/>
      </c>
      <c r="G236" t="str">
        <f>IFERROR(Tab_Compteur_6[[#This Row],[Montant TTC]]/Tab_Compteur_6[[#This Row],[Delta Jour]],"")</f>
        <v/>
      </c>
      <c r="H236" s="42"/>
      <c r="I236" s="42"/>
      <c r="J236" s="42"/>
      <c r="K236" s="42"/>
      <c r="L236" s="42"/>
    </row>
    <row r="237" spans="1:12" x14ac:dyDescent="0.25">
      <c r="A237" s="61">
        <f t="shared" si="8"/>
        <v>1</v>
      </c>
      <c r="B237" s="3">
        <f>EDATE($B$3,Site!$I$38*(ROW(Tab_Compteur_6[[#This Row],[Début de période]])-3))</f>
        <v>0</v>
      </c>
      <c r="C237" s="185"/>
      <c r="E237">
        <f t="shared" si="7"/>
        <v>0</v>
      </c>
      <c r="F237" t="str">
        <f>IFERROR(Tab_Compteur_6[[#This Row],[Quantité]]/Tab_Compteur_6[[#This Row],[Delta Jour]],"")</f>
        <v/>
      </c>
      <c r="G237" t="str">
        <f>IFERROR(Tab_Compteur_6[[#This Row],[Montant TTC]]/Tab_Compteur_6[[#This Row],[Delta Jour]],"")</f>
        <v/>
      </c>
      <c r="H237" s="42"/>
      <c r="I237" s="42"/>
      <c r="J237" s="42"/>
      <c r="K237" s="42"/>
      <c r="L237" s="42"/>
    </row>
    <row r="238" spans="1:12" x14ac:dyDescent="0.25">
      <c r="A238" s="61">
        <f t="shared" si="8"/>
        <v>1</v>
      </c>
      <c r="B238" s="3">
        <f>EDATE($B$3,Site!$I$38*(ROW(Tab_Compteur_6[[#This Row],[Début de période]])-3))</f>
        <v>0</v>
      </c>
      <c r="C238" s="185"/>
      <c r="E238">
        <f t="shared" si="7"/>
        <v>0</v>
      </c>
      <c r="F238" t="str">
        <f>IFERROR(Tab_Compteur_6[[#This Row],[Quantité]]/Tab_Compteur_6[[#This Row],[Delta Jour]],"")</f>
        <v/>
      </c>
      <c r="G238" t="str">
        <f>IFERROR(Tab_Compteur_6[[#This Row],[Montant TTC]]/Tab_Compteur_6[[#This Row],[Delta Jour]],"")</f>
        <v/>
      </c>
      <c r="H238" s="42"/>
      <c r="I238" s="42"/>
      <c r="J238" s="42"/>
      <c r="K238" s="42"/>
      <c r="L238" s="42"/>
    </row>
    <row r="239" spans="1:12" x14ac:dyDescent="0.25">
      <c r="A239" s="61">
        <f t="shared" si="8"/>
        <v>1</v>
      </c>
      <c r="B239" s="3">
        <f>EDATE($B$3,Site!$I$38*(ROW(Tab_Compteur_6[[#This Row],[Début de période]])-3))</f>
        <v>0</v>
      </c>
      <c r="C239" s="185"/>
      <c r="E239">
        <f t="shared" si="7"/>
        <v>0</v>
      </c>
      <c r="F239" t="str">
        <f>IFERROR(Tab_Compteur_6[[#This Row],[Quantité]]/Tab_Compteur_6[[#This Row],[Delta Jour]],"")</f>
        <v/>
      </c>
      <c r="G239" t="str">
        <f>IFERROR(Tab_Compteur_6[[#This Row],[Montant TTC]]/Tab_Compteur_6[[#This Row],[Delta Jour]],"")</f>
        <v/>
      </c>
      <c r="H239" s="42"/>
      <c r="I239" s="42"/>
      <c r="J239" s="42"/>
      <c r="K239" s="42"/>
      <c r="L239" s="42"/>
    </row>
    <row r="240" spans="1:12" x14ac:dyDescent="0.25">
      <c r="A240" s="61">
        <f t="shared" si="8"/>
        <v>1</v>
      </c>
      <c r="B240" s="3">
        <f>EDATE($B$3,Site!$I$38*(ROW(Tab_Compteur_6[[#This Row],[Début de période]])-3))</f>
        <v>0</v>
      </c>
      <c r="C240" s="185"/>
      <c r="E240">
        <f t="shared" si="7"/>
        <v>0</v>
      </c>
      <c r="F240" t="str">
        <f>IFERROR(Tab_Compteur_6[[#This Row],[Quantité]]/Tab_Compteur_6[[#This Row],[Delta Jour]],"")</f>
        <v/>
      </c>
      <c r="G240" t="str">
        <f>IFERROR(Tab_Compteur_6[[#This Row],[Montant TTC]]/Tab_Compteur_6[[#This Row],[Delta Jour]],"")</f>
        <v/>
      </c>
      <c r="H240" s="42"/>
      <c r="I240" s="42"/>
      <c r="J240" s="42"/>
      <c r="K240" s="42"/>
      <c r="L240" s="42"/>
    </row>
    <row r="241" spans="1:12" x14ac:dyDescent="0.25">
      <c r="A241" s="61">
        <f t="shared" si="8"/>
        <v>1</v>
      </c>
      <c r="B241" s="3">
        <f>EDATE($B$3,Site!$I$38*(ROW(Tab_Compteur_6[[#This Row],[Début de période]])-3))</f>
        <v>0</v>
      </c>
      <c r="C241" s="185"/>
      <c r="E241">
        <f t="shared" si="7"/>
        <v>0</v>
      </c>
      <c r="F241" t="str">
        <f>IFERROR(Tab_Compteur_6[[#This Row],[Quantité]]/Tab_Compteur_6[[#This Row],[Delta Jour]],"")</f>
        <v/>
      </c>
      <c r="G241" t="str">
        <f>IFERROR(Tab_Compteur_6[[#This Row],[Montant TTC]]/Tab_Compteur_6[[#This Row],[Delta Jour]],"")</f>
        <v/>
      </c>
      <c r="H241" s="42"/>
      <c r="I241" s="42"/>
      <c r="J241" s="42"/>
      <c r="K241" s="42"/>
      <c r="L241" s="42"/>
    </row>
    <row r="242" spans="1:12" x14ac:dyDescent="0.25">
      <c r="A242" s="61">
        <f t="shared" si="8"/>
        <v>1</v>
      </c>
      <c r="B242" s="3">
        <f>EDATE($B$3,Site!$I$38*(ROW(Tab_Compteur_6[[#This Row],[Début de période]])-3))</f>
        <v>0</v>
      </c>
      <c r="C242" s="185"/>
      <c r="E242">
        <f t="shared" si="7"/>
        <v>0</v>
      </c>
      <c r="F242" t="str">
        <f>IFERROR(Tab_Compteur_6[[#This Row],[Quantité]]/Tab_Compteur_6[[#This Row],[Delta Jour]],"")</f>
        <v/>
      </c>
      <c r="G242" t="str">
        <f>IFERROR(Tab_Compteur_6[[#This Row],[Montant TTC]]/Tab_Compteur_6[[#This Row],[Delta Jour]],"")</f>
        <v/>
      </c>
      <c r="H242" s="42"/>
      <c r="I242" s="42"/>
      <c r="J242" s="42"/>
      <c r="K242" s="42"/>
      <c r="L242" s="42"/>
    </row>
  </sheetData>
  <sheetProtection sheet="1" objects="1" scenarios="1"/>
  <protectedRanges>
    <protectedRange sqref="C3:D58" name="Donnée_compteur1"/>
    <protectedRange sqref="A243:D1048576 H1:L1048576 B3:B58 B59:D242" name="Données_compteur6"/>
    <protectedRange sqref="A3:A242" name="Données_compteur3_1"/>
  </protectedRanges>
  <mergeCells count="1">
    <mergeCell ref="H7:L18"/>
  </mergeCells>
  <pageMargins left="0.7" right="0.7" top="0.75" bottom="0.75" header="0.3" footer="0.3"/>
  <pageSetup paperSize="9" orientation="portrait"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workbookViewId="0">
      <selection activeCell="C3" sqref="C3:D158"/>
    </sheetView>
  </sheetViews>
  <sheetFormatPr baseColWidth="10" defaultColWidth="0" defaultRowHeight="15" zeroHeight="1" x14ac:dyDescent="0.25"/>
  <cols>
    <col min="1" max="1" width="29.28515625" customWidth="1"/>
    <col min="2" max="2" width="14.140625" customWidth="1"/>
    <col min="3" max="3" width="13.85546875" customWidth="1"/>
    <col min="4" max="4" width="15.42578125" style="179" customWidth="1"/>
    <col min="5" max="5" width="11.5703125" hidden="1" customWidth="1"/>
    <col min="6" max="7" width="11.42578125" hidden="1" customWidth="1"/>
    <col min="8" max="12" width="11.42578125" customWidth="1"/>
    <col min="13" max="16384" width="11.42578125" hidden="1"/>
  </cols>
  <sheetData>
    <row r="1" spans="1:12" x14ac:dyDescent="0.25">
      <c r="A1" s="31" t="s">
        <v>119</v>
      </c>
      <c r="B1" s="1" t="s">
        <v>28</v>
      </c>
      <c r="C1" s="64" t="s">
        <v>30</v>
      </c>
      <c r="D1" s="201" t="s">
        <v>29</v>
      </c>
      <c r="E1" s="32" t="s">
        <v>0</v>
      </c>
      <c r="F1" s="47" t="s">
        <v>31</v>
      </c>
      <c r="G1" s="48" t="s">
        <v>32</v>
      </c>
      <c r="H1" s="42"/>
      <c r="I1" s="42"/>
      <c r="J1" s="42"/>
      <c r="K1" s="42"/>
      <c r="L1" s="42"/>
    </row>
    <row r="2" spans="1:12" hidden="1" x14ac:dyDescent="0.25">
      <c r="A2" s="3"/>
      <c r="B2" s="61">
        <f t="shared" ref="B2" si="0">A3-1</f>
        <v>0</v>
      </c>
      <c r="C2" s="62"/>
      <c r="E2">
        <f t="shared" ref="E2:E65" si="1">IFERROR(B2-A2+1,"")</f>
        <v>1</v>
      </c>
      <c r="F2">
        <f>IFERROR(Tab_Compteur_7[[#This Row],[Quantité]]/Tab_Compteur_7[[#This Row],[Delta Jour]],"")</f>
        <v>0</v>
      </c>
      <c r="G2">
        <f>IFERROR(Tab_Compteur_7[[#This Row],[Montant TTC]]/Tab_Compteur_7[[#This Row],[Delta Jour]],"")</f>
        <v>0</v>
      </c>
      <c r="H2" s="42"/>
      <c r="I2" s="42"/>
      <c r="J2" s="42"/>
      <c r="K2" s="42"/>
      <c r="L2" s="42"/>
    </row>
    <row r="3" spans="1:12" x14ac:dyDescent="0.25">
      <c r="A3" s="3">
        <f>EDATE(Tab_Compteur_7[[#This Row],[Fin de période]],-Site!I39)+1</f>
        <v>1</v>
      </c>
      <c r="B3" s="61">
        <f>Site!H39</f>
        <v>0</v>
      </c>
      <c r="C3" s="291"/>
      <c r="E3">
        <f t="shared" si="1"/>
        <v>0</v>
      </c>
      <c r="F3" t="str">
        <f>IFERROR(Tab_Compteur_7[[#This Row],[Quantité]]/Tab_Compteur_7[[#This Row],[Delta Jour]],"")</f>
        <v/>
      </c>
      <c r="G3" t="str">
        <f>IFERROR(Tab_Compteur_7[[#This Row],[Montant TTC]]/Tab_Compteur_7[[#This Row],[Delta Jour]],"")</f>
        <v/>
      </c>
      <c r="H3" s="42"/>
      <c r="I3" s="42"/>
      <c r="J3" s="42"/>
      <c r="K3" s="42"/>
      <c r="L3" s="42"/>
    </row>
    <row r="4" spans="1:12" x14ac:dyDescent="0.25">
      <c r="A4" s="3">
        <f>B3+1</f>
        <v>1</v>
      </c>
      <c r="B4" s="3">
        <f>EDATE($B$3,Site!$I$39*(ROW(Tab_Compteur_7[[#This Row],[Début de période]])-3))</f>
        <v>0</v>
      </c>
      <c r="C4" s="291"/>
      <c r="E4">
        <f t="shared" si="1"/>
        <v>0</v>
      </c>
      <c r="F4" t="str">
        <f>IFERROR(Tab_Compteur_7[[#This Row],[Quantité]]/Tab_Compteur_7[[#This Row],[Delta Jour]],"")</f>
        <v/>
      </c>
      <c r="G4" t="str">
        <f>IFERROR(Tab_Compteur_7[[#This Row],[Montant TTC]]/Tab_Compteur_7[[#This Row],[Delta Jour]],"")</f>
        <v/>
      </c>
      <c r="H4" s="42"/>
      <c r="I4" s="42"/>
      <c r="J4" s="42"/>
      <c r="K4" s="42"/>
      <c r="L4" s="42"/>
    </row>
    <row r="5" spans="1:12" x14ac:dyDescent="0.25">
      <c r="A5" s="3">
        <f t="shared" ref="A5:A68" si="2">B4+1</f>
        <v>1</v>
      </c>
      <c r="B5" s="3">
        <f>EDATE($B$3,Site!$I$39*(ROW(Tab_Compteur_7[[#This Row],[Début de période]])-3))</f>
        <v>0</v>
      </c>
      <c r="C5" s="291"/>
      <c r="E5">
        <f t="shared" si="1"/>
        <v>0</v>
      </c>
      <c r="F5" t="str">
        <f>IFERROR(Tab_Compteur_7[[#This Row],[Quantité]]/Tab_Compteur_7[[#This Row],[Delta Jour]],"")</f>
        <v/>
      </c>
      <c r="G5" t="str">
        <f>IFERROR(Tab_Compteur_7[[#This Row],[Montant TTC]]/Tab_Compteur_7[[#This Row],[Delta Jour]],"")</f>
        <v/>
      </c>
      <c r="H5" s="42"/>
      <c r="I5" s="42"/>
      <c r="J5" s="42"/>
      <c r="K5" s="42"/>
      <c r="L5" s="42"/>
    </row>
    <row r="6" spans="1:12" x14ac:dyDescent="0.25">
      <c r="A6" s="3">
        <f t="shared" si="2"/>
        <v>1</v>
      </c>
      <c r="B6" s="3">
        <f>EDATE($B$3,Site!$I$39*(ROW(Tab_Compteur_7[[#This Row],[Début de période]])-3))</f>
        <v>0</v>
      </c>
      <c r="C6" s="291"/>
      <c r="E6">
        <f t="shared" si="1"/>
        <v>0</v>
      </c>
      <c r="F6" t="str">
        <f>IFERROR(Tab_Compteur_7[[#This Row],[Quantité]]/Tab_Compteur_7[[#This Row],[Delta Jour]],"")</f>
        <v/>
      </c>
      <c r="G6" t="str">
        <f>IFERROR(Tab_Compteur_7[[#This Row],[Montant TTC]]/Tab_Compteur_7[[#This Row],[Delta Jour]],"")</f>
        <v/>
      </c>
      <c r="H6" s="42"/>
      <c r="I6" s="42"/>
      <c r="J6" s="42"/>
      <c r="K6" s="42"/>
      <c r="L6" s="42"/>
    </row>
    <row r="7" spans="1:12" x14ac:dyDescent="0.25">
      <c r="A7" s="3">
        <f t="shared" si="2"/>
        <v>1</v>
      </c>
      <c r="B7" s="3">
        <f>EDATE($B$3,Site!$I$39*(ROW(Tab_Compteur_7[[#This Row],[Début de période]])-3))</f>
        <v>0</v>
      </c>
      <c r="C7" s="291"/>
      <c r="E7">
        <f t="shared" si="1"/>
        <v>0</v>
      </c>
      <c r="F7" t="str">
        <f>IFERROR(Tab_Compteur_7[[#This Row],[Quantité]]/Tab_Compteur_7[[#This Row],[Delta Jour]],"")</f>
        <v/>
      </c>
      <c r="G7" t="str">
        <f>IFERROR(Tab_Compteur_7[[#This Row],[Montant TTC]]/Tab_Compteur_7[[#This Row],[Delta Jour]],"")</f>
        <v/>
      </c>
      <c r="H7" s="356" t="str">
        <f>Compteur_1!H9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I7" s="357"/>
      <c r="J7" s="357"/>
      <c r="K7" s="357"/>
      <c r="L7" s="357"/>
    </row>
    <row r="8" spans="1:12" x14ac:dyDescent="0.25">
      <c r="A8" s="3">
        <f t="shared" si="2"/>
        <v>1</v>
      </c>
      <c r="B8" s="3">
        <f>EDATE($B$3,Site!$I$39*(ROW(Tab_Compteur_7[[#This Row],[Début de période]])-3))</f>
        <v>0</v>
      </c>
      <c r="C8" s="291"/>
      <c r="E8">
        <f t="shared" si="1"/>
        <v>0</v>
      </c>
      <c r="F8" t="str">
        <f>IFERROR(Tab_Compteur_7[[#This Row],[Quantité]]/Tab_Compteur_7[[#This Row],[Delta Jour]],"")</f>
        <v/>
      </c>
      <c r="G8" t="str">
        <f>IFERROR(Tab_Compteur_7[[#This Row],[Montant TTC]]/Tab_Compteur_7[[#This Row],[Delta Jour]],"")</f>
        <v/>
      </c>
      <c r="H8" s="357"/>
      <c r="I8" s="357"/>
      <c r="J8" s="357"/>
      <c r="K8" s="357"/>
      <c r="L8" s="357"/>
    </row>
    <row r="9" spans="1:12" x14ac:dyDescent="0.25">
      <c r="A9" s="3">
        <f t="shared" si="2"/>
        <v>1</v>
      </c>
      <c r="B9" s="3">
        <f>EDATE($B$3,Site!$I$39*(ROW(Tab_Compteur_7[[#This Row],[Début de période]])-3))</f>
        <v>0</v>
      </c>
      <c r="C9" s="291"/>
      <c r="E9">
        <f t="shared" si="1"/>
        <v>0</v>
      </c>
      <c r="F9" t="str">
        <f>IFERROR(Tab_Compteur_7[[#This Row],[Quantité]]/Tab_Compteur_7[[#This Row],[Delta Jour]],"")</f>
        <v/>
      </c>
      <c r="G9" t="str">
        <f>IFERROR(Tab_Compteur_7[[#This Row],[Montant TTC]]/Tab_Compteur_7[[#This Row],[Delta Jour]],"")</f>
        <v/>
      </c>
      <c r="H9" s="357"/>
      <c r="I9" s="357"/>
      <c r="J9" s="357"/>
      <c r="K9" s="357"/>
      <c r="L9" s="357"/>
    </row>
    <row r="10" spans="1:12" x14ac:dyDescent="0.25">
      <c r="A10" s="3">
        <f t="shared" si="2"/>
        <v>1</v>
      </c>
      <c r="B10" s="3">
        <f>EDATE($B$3,Site!$I$39*(ROW(Tab_Compteur_7[[#This Row],[Début de période]])-3))</f>
        <v>0</v>
      </c>
      <c r="C10" s="291"/>
      <c r="E10">
        <f t="shared" si="1"/>
        <v>0</v>
      </c>
      <c r="F10" t="str">
        <f>IFERROR(Tab_Compteur_7[[#This Row],[Quantité]]/Tab_Compteur_7[[#This Row],[Delta Jour]],"")</f>
        <v/>
      </c>
      <c r="G10" t="str">
        <f>IFERROR(Tab_Compteur_7[[#This Row],[Montant TTC]]/Tab_Compteur_7[[#This Row],[Delta Jour]],"")</f>
        <v/>
      </c>
      <c r="H10" s="357"/>
      <c r="I10" s="357"/>
      <c r="J10" s="357"/>
      <c r="K10" s="357"/>
      <c r="L10" s="357"/>
    </row>
    <row r="11" spans="1:12" x14ac:dyDescent="0.25">
      <c r="A11" s="3">
        <f t="shared" si="2"/>
        <v>1</v>
      </c>
      <c r="B11" s="3">
        <f>EDATE($B$3,Site!$I$39*(ROW(Tab_Compteur_7[[#This Row],[Début de période]])-3))</f>
        <v>0</v>
      </c>
      <c r="C11" s="291"/>
      <c r="E11">
        <f t="shared" si="1"/>
        <v>0</v>
      </c>
      <c r="F11" t="str">
        <f>IFERROR(Tab_Compteur_7[[#This Row],[Quantité]]/Tab_Compteur_7[[#This Row],[Delta Jour]],"")</f>
        <v/>
      </c>
      <c r="G11" t="str">
        <f>IFERROR(Tab_Compteur_7[[#This Row],[Montant TTC]]/Tab_Compteur_7[[#This Row],[Delta Jour]],"")</f>
        <v/>
      </c>
      <c r="H11" s="357"/>
      <c r="I11" s="357"/>
      <c r="J11" s="357"/>
      <c r="K11" s="357"/>
      <c r="L11" s="357"/>
    </row>
    <row r="12" spans="1:12" x14ac:dyDescent="0.25">
      <c r="A12" s="3">
        <f t="shared" si="2"/>
        <v>1</v>
      </c>
      <c r="B12" s="3">
        <f>EDATE($B$3,Site!$I$39*(ROW(Tab_Compteur_7[[#This Row],[Début de période]])-3))</f>
        <v>0</v>
      </c>
      <c r="C12" s="291"/>
      <c r="E12">
        <f t="shared" si="1"/>
        <v>0</v>
      </c>
      <c r="F12" t="str">
        <f>IFERROR(Tab_Compteur_7[[#This Row],[Quantité]]/Tab_Compteur_7[[#This Row],[Delta Jour]],"")</f>
        <v/>
      </c>
      <c r="G12" t="str">
        <f>IFERROR(Tab_Compteur_7[[#This Row],[Montant TTC]]/Tab_Compteur_7[[#This Row],[Delta Jour]],"")</f>
        <v/>
      </c>
      <c r="H12" s="357"/>
      <c r="I12" s="357"/>
      <c r="J12" s="357"/>
      <c r="K12" s="357"/>
      <c r="L12" s="357"/>
    </row>
    <row r="13" spans="1:12" x14ac:dyDescent="0.25">
      <c r="A13" s="3">
        <f t="shared" si="2"/>
        <v>1</v>
      </c>
      <c r="B13" s="3">
        <f>EDATE($B$3,Site!$I$39*(ROW(Tab_Compteur_7[[#This Row],[Début de période]])-3))</f>
        <v>0</v>
      </c>
      <c r="C13" s="291"/>
      <c r="E13">
        <f t="shared" si="1"/>
        <v>0</v>
      </c>
      <c r="F13" t="str">
        <f>IFERROR(Tab_Compteur_7[[#This Row],[Quantité]]/Tab_Compteur_7[[#This Row],[Delta Jour]],"")</f>
        <v/>
      </c>
      <c r="G13" t="str">
        <f>IFERROR(Tab_Compteur_7[[#This Row],[Montant TTC]]/Tab_Compteur_7[[#This Row],[Delta Jour]],"")</f>
        <v/>
      </c>
      <c r="H13" s="357"/>
      <c r="I13" s="357"/>
      <c r="J13" s="357"/>
      <c r="K13" s="357"/>
      <c r="L13" s="357"/>
    </row>
    <row r="14" spans="1:12" x14ac:dyDescent="0.25">
      <c r="A14" s="3">
        <f t="shared" si="2"/>
        <v>1</v>
      </c>
      <c r="B14" s="3">
        <f>EDATE($B$3,Site!$I$39*(ROW(Tab_Compteur_7[[#This Row],[Début de période]])-3))</f>
        <v>0</v>
      </c>
      <c r="C14" s="291"/>
      <c r="E14">
        <f t="shared" si="1"/>
        <v>0</v>
      </c>
      <c r="F14" t="str">
        <f>IFERROR(Tab_Compteur_7[[#This Row],[Quantité]]/Tab_Compteur_7[[#This Row],[Delta Jour]],"")</f>
        <v/>
      </c>
      <c r="G14" t="str">
        <f>IFERROR(Tab_Compteur_7[[#This Row],[Montant TTC]]/Tab_Compteur_7[[#This Row],[Delta Jour]],"")</f>
        <v/>
      </c>
      <c r="H14" s="357"/>
      <c r="I14" s="357"/>
      <c r="J14" s="357"/>
      <c r="K14" s="357"/>
      <c r="L14" s="357"/>
    </row>
    <row r="15" spans="1:12" x14ac:dyDescent="0.25">
      <c r="A15" s="3">
        <f t="shared" si="2"/>
        <v>1</v>
      </c>
      <c r="B15" s="3">
        <f>EDATE($B$3,Site!$I$39*(ROW(Tab_Compteur_7[[#This Row],[Début de période]])-3))</f>
        <v>0</v>
      </c>
      <c r="C15" s="291"/>
      <c r="E15">
        <f t="shared" si="1"/>
        <v>0</v>
      </c>
      <c r="F15" t="str">
        <f>IFERROR(Tab_Compteur_7[[#This Row],[Quantité]]/Tab_Compteur_7[[#This Row],[Delta Jour]],"")</f>
        <v/>
      </c>
      <c r="G15" t="str">
        <f>IFERROR(Tab_Compteur_7[[#This Row],[Montant TTC]]/Tab_Compteur_7[[#This Row],[Delta Jour]],"")</f>
        <v/>
      </c>
      <c r="H15" s="357"/>
      <c r="I15" s="357"/>
      <c r="J15" s="357"/>
      <c r="K15" s="357"/>
      <c r="L15" s="357"/>
    </row>
    <row r="16" spans="1:12" x14ac:dyDescent="0.25">
      <c r="A16" s="3">
        <f t="shared" si="2"/>
        <v>1</v>
      </c>
      <c r="B16" s="3">
        <f>EDATE($B$3,Site!$I$39*(ROW(Tab_Compteur_7[[#This Row],[Début de période]])-3))</f>
        <v>0</v>
      </c>
      <c r="C16" s="291"/>
      <c r="E16">
        <f t="shared" si="1"/>
        <v>0</v>
      </c>
      <c r="F16" t="str">
        <f>IFERROR(Tab_Compteur_7[[#This Row],[Quantité]]/Tab_Compteur_7[[#This Row],[Delta Jour]],"")</f>
        <v/>
      </c>
      <c r="G16" t="str">
        <f>IFERROR(Tab_Compteur_7[[#This Row],[Montant TTC]]/Tab_Compteur_7[[#This Row],[Delta Jour]],"")</f>
        <v/>
      </c>
      <c r="H16" s="357"/>
      <c r="I16" s="357"/>
      <c r="J16" s="357"/>
      <c r="K16" s="357"/>
      <c r="L16" s="357"/>
    </row>
    <row r="17" spans="1:12" x14ac:dyDescent="0.25">
      <c r="A17" s="3">
        <f t="shared" si="2"/>
        <v>1</v>
      </c>
      <c r="B17" s="3">
        <f>EDATE($B$3,Site!$I$39*(ROW(Tab_Compteur_7[[#This Row],[Début de période]])-3))</f>
        <v>0</v>
      </c>
      <c r="C17" s="185"/>
      <c r="E17">
        <f t="shared" si="1"/>
        <v>0</v>
      </c>
      <c r="F17" t="str">
        <f>IFERROR(Tab_Compteur_7[[#This Row],[Quantité]]/Tab_Compteur_7[[#This Row],[Delta Jour]],"")</f>
        <v/>
      </c>
      <c r="G17" t="str">
        <f>IFERROR(Tab_Compteur_7[[#This Row],[Montant TTC]]/Tab_Compteur_7[[#This Row],[Delta Jour]],"")</f>
        <v/>
      </c>
      <c r="H17" s="357"/>
      <c r="I17" s="357"/>
      <c r="J17" s="357"/>
      <c r="K17" s="357"/>
      <c r="L17" s="357"/>
    </row>
    <row r="18" spans="1:12" x14ac:dyDescent="0.25">
      <c r="A18" s="3">
        <f t="shared" si="2"/>
        <v>1</v>
      </c>
      <c r="B18" s="3">
        <f>EDATE($B$3,Site!$I$39*(ROW(Tab_Compteur_7[[#This Row],[Début de période]])-3))</f>
        <v>0</v>
      </c>
      <c r="C18" s="292"/>
      <c r="D18" s="202"/>
      <c r="E18">
        <f t="shared" si="1"/>
        <v>0</v>
      </c>
      <c r="F18" t="str">
        <f>IFERROR(Tab_Compteur_7[[#This Row],[Quantité]]/Tab_Compteur_7[[#This Row],[Delta Jour]],"")</f>
        <v/>
      </c>
      <c r="G18" t="str">
        <f>IFERROR(Tab_Compteur_7[[#This Row],[Montant TTC]]/Tab_Compteur_7[[#This Row],[Delta Jour]],"")</f>
        <v/>
      </c>
      <c r="H18" s="357"/>
      <c r="I18" s="357"/>
      <c r="J18" s="357"/>
      <c r="K18" s="357"/>
      <c r="L18" s="357"/>
    </row>
    <row r="19" spans="1:12" x14ac:dyDescent="0.25">
      <c r="A19" s="3">
        <f t="shared" si="2"/>
        <v>1</v>
      </c>
      <c r="B19" s="3">
        <f>EDATE($B$3,Site!$I$39*(ROW(Tab_Compteur_7[[#This Row],[Début de période]])-3))</f>
        <v>0</v>
      </c>
      <c r="C19" s="187"/>
      <c r="D19" s="202"/>
      <c r="E19">
        <f t="shared" si="1"/>
        <v>0</v>
      </c>
      <c r="F19" t="str">
        <f>IFERROR(Tab_Compteur_7[[#This Row],[Quantité]]/Tab_Compteur_7[[#This Row],[Delta Jour]],"")</f>
        <v/>
      </c>
      <c r="G19" t="str">
        <f>IFERROR(Tab_Compteur_7[[#This Row],[Montant TTC]]/Tab_Compteur_7[[#This Row],[Delta Jour]],"")</f>
        <v/>
      </c>
      <c r="H19" s="42"/>
      <c r="I19" s="42"/>
      <c r="J19" s="42"/>
      <c r="K19" s="42"/>
      <c r="L19" s="42"/>
    </row>
    <row r="20" spans="1:12" x14ac:dyDescent="0.25">
      <c r="A20" s="3">
        <f t="shared" si="2"/>
        <v>1</v>
      </c>
      <c r="B20" s="3">
        <f>EDATE($B$3,Site!$I$39*(ROW(Tab_Compteur_7[[#This Row],[Début de période]])-3))</f>
        <v>0</v>
      </c>
      <c r="C20" s="187"/>
      <c r="D20" s="202"/>
      <c r="E20">
        <f t="shared" si="1"/>
        <v>0</v>
      </c>
      <c r="F20" t="str">
        <f>IFERROR(Tab_Compteur_7[[#This Row],[Quantité]]/Tab_Compteur_7[[#This Row],[Delta Jour]],"")</f>
        <v/>
      </c>
      <c r="G20" t="str">
        <f>IFERROR(Tab_Compteur_7[[#This Row],[Montant TTC]]/Tab_Compteur_7[[#This Row],[Delta Jour]],"")</f>
        <v/>
      </c>
      <c r="H20" s="42"/>
      <c r="I20" s="42"/>
      <c r="J20" s="42"/>
      <c r="K20" s="42"/>
      <c r="L20" s="42"/>
    </row>
    <row r="21" spans="1:12" x14ac:dyDescent="0.25">
      <c r="A21" s="3">
        <f t="shared" si="2"/>
        <v>1</v>
      </c>
      <c r="B21" s="3">
        <f>EDATE($B$3,Site!$I$39*(ROW(Tab_Compteur_7[[#This Row],[Début de période]])-3))</f>
        <v>0</v>
      </c>
      <c r="C21" s="187"/>
      <c r="D21" s="202"/>
      <c r="E21">
        <f t="shared" si="1"/>
        <v>0</v>
      </c>
      <c r="F21" t="str">
        <f>IFERROR(Tab_Compteur_7[[#This Row],[Quantité]]/Tab_Compteur_7[[#This Row],[Delta Jour]],"")</f>
        <v/>
      </c>
      <c r="G21" t="str">
        <f>IFERROR(Tab_Compteur_7[[#This Row],[Montant TTC]]/Tab_Compteur_7[[#This Row],[Delta Jour]],"")</f>
        <v/>
      </c>
      <c r="H21" s="42"/>
      <c r="I21" s="42"/>
      <c r="J21" s="42"/>
      <c r="K21" s="42"/>
      <c r="L21" s="42"/>
    </row>
    <row r="22" spans="1:12" x14ac:dyDescent="0.25">
      <c r="A22" s="3">
        <f t="shared" si="2"/>
        <v>1</v>
      </c>
      <c r="B22" s="3">
        <f>EDATE($B$3,Site!$I$39*(ROW(Tab_Compteur_7[[#This Row],[Début de période]])-3))</f>
        <v>0</v>
      </c>
      <c r="C22" s="187"/>
      <c r="D22" s="202"/>
      <c r="E22">
        <f t="shared" si="1"/>
        <v>0</v>
      </c>
      <c r="F22" t="str">
        <f>IFERROR(Tab_Compteur_7[[#This Row],[Quantité]]/Tab_Compteur_7[[#This Row],[Delta Jour]],"")</f>
        <v/>
      </c>
      <c r="G22" t="str">
        <f>IFERROR(Tab_Compteur_7[[#This Row],[Montant TTC]]/Tab_Compteur_7[[#This Row],[Delta Jour]],"")</f>
        <v/>
      </c>
      <c r="H22" s="42"/>
      <c r="I22" s="42"/>
      <c r="J22" s="42"/>
      <c r="K22" s="42"/>
      <c r="L22" s="42"/>
    </row>
    <row r="23" spans="1:12" x14ac:dyDescent="0.25">
      <c r="A23" s="3">
        <f t="shared" si="2"/>
        <v>1</v>
      </c>
      <c r="B23" s="3">
        <f>EDATE($B$3,Site!$I$39*(ROW(Tab_Compteur_7[[#This Row],[Début de période]])-3))</f>
        <v>0</v>
      </c>
      <c r="C23" s="187"/>
      <c r="D23" s="202"/>
      <c r="E23">
        <f t="shared" si="1"/>
        <v>0</v>
      </c>
      <c r="F23" t="str">
        <f>IFERROR(Tab_Compteur_7[[#This Row],[Quantité]]/Tab_Compteur_7[[#This Row],[Delta Jour]],"")</f>
        <v/>
      </c>
      <c r="G23" t="str">
        <f>IFERROR(Tab_Compteur_7[[#This Row],[Montant TTC]]/Tab_Compteur_7[[#This Row],[Delta Jour]],"")</f>
        <v/>
      </c>
      <c r="H23" s="42"/>
      <c r="I23" s="42"/>
      <c r="J23" s="42"/>
      <c r="K23" s="42"/>
      <c r="L23" s="42"/>
    </row>
    <row r="24" spans="1:12" x14ac:dyDescent="0.25">
      <c r="A24" s="3">
        <f t="shared" si="2"/>
        <v>1</v>
      </c>
      <c r="B24" s="3">
        <f>EDATE($B$3,Site!$I$39*(ROW(Tab_Compteur_7[[#This Row],[Début de période]])-3))</f>
        <v>0</v>
      </c>
      <c r="C24" s="187"/>
      <c r="D24" s="202"/>
      <c r="E24">
        <f t="shared" si="1"/>
        <v>0</v>
      </c>
      <c r="F24" t="str">
        <f>IFERROR(Tab_Compteur_7[[#This Row],[Quantité]]/Tab_Compteur_7[[#This Row],[Delta Jour]],"")</f>
        <v/>
      </c>
      <c r="G24" t="str">
        <f>IFERROR(Tab_Compteur_7[[#This Row],[Montant TTC]]/Tab_Compteur_7[[#This Row],[Delta Jour]],"")</f>
        <v/>
      </c>
      <c r="H24" s="42"/>
      <c r="I24" s="42"/>
      <c r="J24" s="42"/>
      <c r="K24" s="42"/>
      <c r="L24" s="42"/>
    </row>
    <row r="25" spans="1:12" x14ac:dyDescent="0.25">
      <c r="A25" s="3">
        <f t="shared" si="2"/>
        <v>1</v>
      </c>
      <c r="B25" s="3">
        <f>EDATE($B$3,Site!$I$39*(ROW(Tab_Compteur_7[[#This Row],[Début de période]])-3))</f>
        <v>0</v>
      </c>
      <c r="C25" s="187"/>
      <c r="D25" s="202"/>
      <c r="E25">
        <f t="shared" si="1"/>
        <v>0</v>
      </c>
      <c r="F25" t="str">
        <f>IFERROR(Tab_Compteur_7[[#This Row],[Quantité]]/Tab_Compteur_7[[#This Row],[Delta Jour]],"")</f>
        <v/>
      </c>
      <c r="G25" t="str">
        <f>IFERROR(Tab_Compteur_7[[#This Row],[Montant TTC]]/Tab_Compteur_7[[#This Row],[Delta Jour]],"")</f>
        <v/>
      </c>
      <c r="H25" s="42"/>
      <c r="I25" s="42"/>
      <c r="J25" s="42"/>
      <c r="K25" s="42"/>
      <c r="L25" s="42"/>
    </row>
    <row r="26" spans="1:12" x14ac:dyDescent="0.25">
      <c r="A26" s="3">
        <f t="shared" si="2"/>
        <v>1</v>
      </c>
      <c r="B26" s="3">
        <f>EDATE($B$3,Site!$I$39*(ROW(Tab_Compteur_7[[#This Row],[Début de période]])-3))</f>
        <v>0</v>
      </c>
      <c r="C26" s="187"/>
      <c r="D26" s="202"/>
      <c r="E26">
        <f t="shared" si="1"/>
        <v>0</v>
      </c>
      <c r="F26" t="str">
        <f>IFERROR(Tab_Compteur_7[[#This Row],[Quantité]]/Tab_Compteur_7[[#This Row],[Delta Jour]],"")</f>
        <v/>
      </c>
      <c r="G26" t="str">
        <f>IFERROR(Tab_Compteur_7[[#This Row],[Montant TTC]]/Tab_Compteur_7[[#This Row],[Delta Jour]],"")</f>
        <v/>
      </c>
      <c r="H26" s="42"/>
      <c r="I26" s="42"/>
      <c r="J26" s="42"/>
      <c r="K26" s="42"/>
      <c r="L26" s="42"/>
    </row>
    <row r="27" spans="1:12" x14ac:dyDescent="0.25">
      <c r="A27" s="3">
        <f t="shared" si="2"/>
        <v>1</v>
      </c>
      <c r="B27" s="3">
        <f>EDATE($B$3,Site!$I$39*(ROW(Tab_Compteur_7[[#This Row],[Début de période]])-3))</f>
        <v>0</v>
      </c>
      <c r="C27" s="187"/>
      <c r="D27" s="202"/>
      <c r="E27">
        <f t="shared" si="1"/>
        <v>0</v>
      </c>
      <c r="F27" t="str">
        <f>IFERROR(Tab_Compteur_7[[#This Row],[Quantité]]/Tab_Compteur_7[[#This Row],[Delta Jour]],"")</f>
        <v/>
      </c>
      <c r="G27" t="str">
        <f>IFERROR(Tab_Compteur_7[[#This Row],[Montant TTC]]/Tab_Compteur_7[[#This Row],[Delta Jour]],"")</f>
        <v/>
      </c>
      <c r="H27" s="42"/>
      <c r="I27" s="42"/>
      <c r="J27" s="42"/>
      <c r="K27" s="42"/>
      <c r="L27" s="42"/>
    </row>
    <row r="28" spans="1:12" x14ac:dyDescent="0.25">
      <c r="A28" s="3">
        <f t="shared" si="2"/>
        <v>1</v>
      </c>
      <c r="B28" s="3">
        <f>EDATE($B$3,Site!$I$39*(ROW(Tab_Compteur_7[[#This Row],[Début de période]])-3))</f>
        <v>0</v>
      </c>
      <c r="C28" s="292"/>
      <c r="D28" s="202"/>
      <c r="E28">
        <f t="shared" si="1"/>
        <v>0</v>
      </c>
      <c r="F28" t="str">
        <f>IFERROR(Tab_Compteur_7[[#This Row],[Quantité]]/Tab_Compteur_7[[#This Row],[Delta Jour]],"")</f>
        <v/>
      </c>
      <c r="G28" t="str">
        <f>IFERROR(Tab_Compteur_7[[#This Row],[Montant TTC]]/Tab_Compteur_7[[#This Row],[Delta Jour]],"")</f>
        <v/>
      </c>
      <c r="H28" s="42"/>
      <c r="I28" s="42"/>
      <c r="J28" s="42"/>
      <c r="K28" s="42"/>
      <c r="L28" s="42"/>
    </row>
    <row r="29" spans="1:12" x14ac:dyDescent="0.25">
      <c r="A29" s="3">
        <f t="shared" si="2"/>
        <v>1</v>
      </c>
      <c r="B29" s="3">
        <f>EDATE($B$3,Site!$I$39*(ROW(Tab_Compteur_7[[#This Row],[Début de période]])-3))</f>
        <v>0</v>
      </c>
      <c r="C29" s="292"/>
      <c r="D29" s="202"/>
      <c r="E29">
        <f t="shared" si="1"/>
        <v>0</v>
      </c>
      <c r="F29" t="str">
        <f>IFERROR(Tab_Compteur_7[[#This Row],[Quantité]]/Tab_Compteur_7[[#This Row],[Delta Jour]],"")</f>
        <v/>
      </c>
      <c r="G29" t="str">
        <f>IFERROR(Tab_Compteur_7[[#This Row],[Montant TTC]]/Tab_Compteur_7[[#This Row],[Delta Jour]],"")</f>
        <v/>
      </c>
      <c r="H29" s="42"/>
      <c r="I29" s="42"/>
      <c r="J29" s="42"/>
      <c r="K29" s="42"/>
      <c r="L29" s="42"/>
    </row>
    <row r="30" spans="1:12" x14ac:dyDescent="0.25">
      <c r="A30" s="3">
        <f t="shared" si="2"/>
        <v>1</v>
      </c>
      <c r="B30" s="3">
        <f>EDATE($B$3,Site!$I$39*(ROW(Tab_Compteur_7[[#This Row],[Début de période]])-3))</f>
        <v>0</v>
      </c>
      <c r="C30" s="292"/>
      <c r="D30" s="202"/>
      <c r="E30">
        <f t="shared" si="1"/>
        <v>0</v>
      </c>
      <c r="F30" t="str">
        <f>IFERROR(Tab_Compteur_7[[#This Row],[Quantité]]/Tab_Compteur_7[[#This Row],[Delta Jour]],"")</f>
        <v/>
      </c>
      <c r="G30" t="str">
        <f>IFERROR(Tab_Compteur_7[[#This Row],[Montant TTC]]/Tab_Compteur_7[[#This Row],[Delta Jour]],"")</f>
        <v/>
      </c>
      <c r="H30" s="42"/>
      <c r="I30" s="42"/>
      <c r="J30" s="42"/>
      <c r="K30" s="42"/>
      <c r="L30" s="42"/>
    </row>
    <row r="31" spans="1:12" x14ac:dyDescent="0.25">
      <c r="A31" s="3">
        <f t="shared" si="2"/>
        <v>1</v>
      </c>
      <c r="B31" s="3">
        <f>EDATE($B$3,Site!$I$39*(ROW(Tab_Compteur_7[[#This Row],[Début de période]])-3))</f>
        <v>0</v>
      </c>
      <c r="C31" s="187"/>
      <c r="D31" s="202"/>
      <c r="E31">
        <f t="shared" si="1"/>
        <v>0</v>
      </c>
      <c r="F31" t="str">
        <f>IFERROR(Tab_Compteur_7[[#This Row],[Quantité]]/Tab_Compteur_7[[#This Row],[Delta Jour]],"")</f>
        <v/>
      </c>
      <c r="G31" t="str">
        <f>IFERROR(Tab_Compteur_7[[#This Row],[Montant TTC]]/Tab_Compteur_7[[#This Row],[Delta Jour]],"")</f>
        <v/>
      </c>
      <c r="H31" s="42"/>
      <c r="I31" s="42"/>
      <c r="J31" s="42"/>
      <c r="K31" s="42"/>
      <c r="L31" s="42"/>
    </row>
    <row r="32" spans="1:12" x14ac:dyDescent="0.25">
      <c r="A32" s="3">
        <f t="shared" si="2"/>
        <v>1</v>
      </c>
      <c r="B32" s="3">
        <f>EDATE($B$3,Site!$I$39*(ROW(Tab_Compteur_7[[#This Row],[Début de période]])-3))</f>
        <v>0</v>
      </c>
      <c r="C32" s="187"/>
      <c r="D32" s="202"/>
      <c r="E32">
        <f t="shared" si="1"/>
        <v>0</v>
      </c>
      <c r="F32" t="str">
        <f>IFERROR(Tab_Compteur_7[[#This Row],[Quantité]]/Tab_Compteur_7[[#This Row],[Delta Jour]],"")</f>
        <v/>
      </c>
      <c r="G32" t="str">
        <f>IFERROR(Tab_Compteur_7[[#This Row],[Montant TTC]]/Tab_Compteur_7[[#This Row],[Delta Jour]],"")</f>
        <v/>
      </c>
      <c r="H32" s="42"/>
      <c r="I32" s="42"/>
      <c r="J32" s="42"/>
      <c r="K32" s="42"/>
      <c r="L32" s="42"/>
    </row>
    <row r="33" spans="1:12" x14ac:dyDescent="0.25">
      <c r="A33" s="3">
        <f t="shared" si="2"/>
        <v>1</v>
      </c>
      <c r="B33" s="3">
        <f>EDATE($B$3,Site!$I$39*(ROW(Tab_Compteur_7[[#This Row],[Début de période]])-3))</f>
        <v>0</v>
      </c>
      <c r="C33" s="187"/>
      <c r="D33" s="202"/>
      <c r="E33">
        <f t="shared" si="1"/>
        <v>0</v>
      </c>
      <c r="F33" t="str">
        <f>IFERROR(Tab_Compteur_7[[#This Row],[Quantité]]/Tab_Compteur_7[[#This Row],[Delta Jour]],"")</f>
        <v/>
      </c>
      <c r="G33" t="str">
        <f>IFERROR(Tab_Compteur_7[[#This Row],[Montant TTC]]/Tab_Compteur_7[[#This Row],[Delta Jour]],"")</f>
        <v/>
      </c>
      <c r="H33" s="42"/>
      <c r="I33" s="42"/>
      <c r="J33" s="42"/>
      <c r="K33" s="42"/>
      <c r="L33" s="42"/>
    </row>
    <row r="34" spans="1:12" x14ac:dyDescent="0.25">
      <c r="A34" s="3">
        <f t="shared" si="2"/>
        <v>1</v>
      </c>
      <c r="B34" s="3">
        <f>EDATE($B$3,Site!$I$39*(ROW(Tab_Compteur_7[[#This Row],[Début de période]])-3))</f>
        <v>0</v>
      </c>
      <c r="C34" s="187"/>
      <c r="D34" s="202"/>
      <c r="E34">
        <f t="shared" si="1"/>
        <v>0</v>
      </c>
      <c r="F34" t="str">
        <f>IFERROR(Tab_Compteur_7[[#This Row],[Quantité]]/Tab_Compteur_7[[#This Row],[Delta Jour]],"")</f>
        <v/>
      </c>
      <c r="G34" t="str">
        <f>IFERROR(Tab_Compteur_7[[#This Row],[Montant TTC]]/Tab_Compteur_7[[#This Row],[Delta Jour]],"")</f>
        <v/>
      </c>
      <c r="H34" s="42"/>
      <c r="I34" s="42"/>
      <c r="J34" s="42"/>
      <c r="K34" s="42"/>
      <c r="L34" s="42"/>
    </row>
    <row r="35" spans="1:12" x14ac:dyDescent="0.25">
      <c r="A35" s="3">
        <f t="shared" si="2"/>
        <v>1</v>
      </c>
      <c r="B35" s="3">
        <f>EDATE($B$3,Site!$I$39*(ROW(Tab_Compteur_7[[#This Row],[Début de période]])-3))</f>
        <v>0</v>
      </c>
      <c r="C35" s="187"/>
      <c r="D35" s="202"/>
      <c r="E35">
        <f t="shared" si="1"/>
        <v>0</v>
      </c>
      <c r="F35" t="str">
        <f>IFERROR(Tab_Compteur_7[[#This Row],[Quantité]]/Tab_Compteur_7[[#This Row],[Delta Jour]],"")</f>
        <v/>
      </c>
      <c r="G35" t="str">
        <f>IFERROR(Tab_Compteur_7[[#This Row],[Montant TTC]]/Tab_Compteur_7[[#This Row],[Delta Jour]],"")</f>
        <v/>
      </c>
      <c r="H35" s="42"/>
      <c r="I35" s="42"/>
      <c r="J35" s="42"/>
      <c r="K35" s="42"/>
      <c r="L35" s="42"/>
    </row>
    <row r="36" spans="1:12" x14ac:dyDescent="0.25">
      <c r="A36" s="3">
        <f t="shared" si="2"/>
        <v>1</v>
      </c>
      <c r="B36" s="3">
        <f>EDATE($B$3,Site!$I$39*(ROW(Tab_Compteur_7[[#This Row],[Début de période]])-3))</f>
        <v>0</v>
      </c>
      <c r="C36" s="187"/>
      <c r="D36" s="202"/>
      <c r="E36">
        <f t="shared" si="1"/>
        <v>0</v>
      </c>
      <c r="F36" t="str">
        <f>IFERROR(Tab_Compteur_7[[#This Row],[Quantité]]/Tab_Compteur_7[[#This Row],[Delta Jour]],"")</f>
        <v/>
      </c>
      <c r="G36" t="str">
        <f>IFERROR(Tab_Compteur_7[[#This Row],[Montant TTC]]/Tab_Compteur_7[[#This Row],[Delta Jour]],"")</f>
        <v/>
      </c>
      <c r="H36" s="42"/>
      <c r="I36" s="42"/>
      <c r="J36" s="42"/>
      <c r="K36" s="42"/>
      <c r="L36" s="42"/>
    </row>
    <row r="37" spans="1:12" x14ac:dyDescent="0.25">
      <c r="A37" s="3">
        <f t="shared" si="2"/>
        <v>1</v>
      </c>
      <c r="B37" s="3">
        <f>EDATE($B$3,Site!$I$39*(ROW(Tab_Compteur_7[[#This Row],[Début de période]])-3))</f>
        <v>0</v>
      </c>
      <c r="C37" s="187"/>
      <c r="D37" s="202"/>
      <c r="E37">
        <f t="shared" si="1"/>
        <v>0</v>
      </c>
      <c r="F37" t="str">
        <f>IFERROR(Tab_Compteur_7[[#This Row],[Quantité]]/Tab_Compteur_7[[#This Row],[Delta Jour]],"")</f>
        <v/>
      </c>
      <c r="G37" t="str">
        <f>IFERROR(Tab_Compteur_7[[#This Row],[Montant TTC]]/Tab_Compteur_7[[#This Row],[Delta Jour]],"")</f>
        <v/>
      </c>
      <c r="H37" s="42"/>
      <c r="I37" s="42"/>
      <c r="J37" s="42"/>
      <c r="K37" s="42"/>
      <c r="L37" s="42"/>
    </row>
    <row r="38" spans="1:12" x14ac:dyDescent="0.25">
      <c r="A38" s="3">
        <f t="shared" si="2"/>
        <v>1</v>
      </c>
      <c r="B38" s="3">
        <f>EDATE($B$3,Site!$I$39*(ROW(Tab_Compteur_7[[#This Row],[Début de période]])-3))</f>
        <v>0</v>
      </c>
      <c r="C38" s="187"/>
      <c r="D38" s="203"/>
      <c r="E38">
        <f t="shared" si="1"/>
        <v>0</v>
      </c>
      <c r="F38" t="str">
        <f>IFERROR(Tab_Compteur_7[[#This Row],[Quantité]]/Tab_Compteur_7[[#This Row],[Delta Jour]],"")</f>
        <v/>
      </c>
      <c r="G38" t="str">
        <f>IFERROR(Tab_Compteur_7[[#This Row],[Montant TTC]]/Tab_Compteur_7[[#This Row],[Delta Jour]],"")</f>
        <v/>
      </c>
      <c r="H38" s="42"/>
      <c r="I38" s="42"/>
      <c r="J38" s="42"/>
      <c r="K38" s="42"/>
      <c r="L38" s="42"/>
    </row>
    <row r="39" spans="1:12" x14ac:dyDescent="0.25">
      <c r="A39" s="3">
        <f t="shared" si="2"/>
        <v>1</v>
      </c>
      <c r="B39" s="3">
        <f>EDATE($B$3,Site!$I$39*(ROW(Tab_Compteur_7[[#This Row],[Début de période]])-3))</f>
        <v>0</v>
      </c>
      <c r="C39" s="187"/>
      <c r="D39" s="203"/>
      <c r="E39">
        <f t="shared" si="1"/>
        <v>0</v>
      </c>
      <c r="F39" t="str">
        <f>IFERROR(Tab_Compteur_7[[#This Row],[Quantité]]/Tab_Compteur_7[[#This Row],[Delta Jour]],"")</f>
        <v/>
      </c>
      <c r="G39" t="str">
        <f>IFERROR(Tab_Compteur_7[[#This Row],[Montant TTC]]/Tab_Compteur_7[[#This Row],[Delta Jour]],"")</f>
        <v/>
      </c>
      <c r="H39" s="42"/>
      <c r="I39" s="42"/>
      <c r="J39" s="42"/>
      <c r="K39" s="42"/>
      <c r="L39" s="42"/>
    </row>
    <row r="40" spans="1:12" x14ac:dyDescent="0.25">
      <c r="A40" s="3">
        <f t="shared" si="2"/>
        <v>1</v>
      </c>
      <c r="B40" s="3">
        <f>EDATE($B$3,Site!$I$39*(ROW(Tab_Compteur_7[[#This Row],[Début de période]])-3))</f>
        <v>0</v>
      </c>
      <c r="C40" s="292"/>
      <c r="D40" s="203"/>
      <c r="E40">
        <f t="shared" si="1"/>
        <v>0</v>
      </c>
      <c r="F40" t="str">
        <f>IFERROR(Tab_Compteur_7[[#This Row],[Quantité]]/Tab_Compteur_7[[#This Row],[Delta Jour]],"")</f>
        <v/>
      </c>
      <c r="G40" t="str">
        <f>IFERROR(Tab_Compteur_7[[#This Row],[Montant TTC]]/Tab_Compteur_7[[#This Row],[Delta Jour]],"")</f>
        <v/>
      </c>
      <c r="H40" s="42"/>
      <c r="I40" s="42"/>
      <c r="J40" s="42"/>
      <c r="K40" s="42"/>
      <c r="L40" s="42"/>
    </row>
    <row r="41" spans="1:12" x14ac:dyDescent="0.25">
      <c r="A41" s="3">
        <f t="shared" si="2"/>
        <v>1</v>
      </c>
      <c r="B41" s="3">
        <f>EDATE($B$3,Site!$I$39*(ROW(Tab_Compteur_7[[#This Row],[Début de période]])-3))</f>
        <v>0</v>
      </c>
      <c r="C41" s="292"/>
      <c r="D41" s="203"/>
      <c r="E41">
        <f t="shared" si="1"/>
        <v>0</v>
      </c>
      <c r="F41" t="str">
        <f>IFERROR(Tab_Compteur_7[[#This Row],[Quantité]]/Tab_Compteur_7[[#This Row],[Delta Jour]],"")</f>
        <v/>
      </c>
      <c r="G41" t="str">
        <f>IFERROR(Tab_Compteur_7[[#This Row],[Montant TTC]]/Tab_Compteur_7[[#This Row],[Delta Jour]],"")</f>
        <v/>
      </c>
      <c r="H41" s="42"/>
      <c r="I41" s="42"/>
      <c r="J41" s="42"/>
      <c r="K41" s="42"/>
      <c r="L41" s="42"/>
    </row>
    <row r="42" spans="1:12" x14ac:dyDescent="0.25">
      <c r="A42" s="3">
        <f t="shared" si="2"/>
        <v>1</v>
      </c>
      <c r="B42" s="3">
        <f>EDATE($B$3,Site!$I$39*(ROW(Tab_Compteur_7[[#This Row],[Début de période]])-3))</f>
        <v>0</v>
      </c>
      <c r="C42" s="187"/>
      <c r="D42" s="203"/>
      <c r="E42">
        <f t="shared" si="1"/>
        <v>0</v>
      </c>
      <c r="F42" t="str">
        <f>IFERROR(Tab_Compteur_7[[#This Row],[Quantité]]/Tab_Compteur_7[[#This Row],[Delta Jour]],"")</f>
        <v/>
      </c>
      <c r="G42" t="str">
        <f>IFERROR(Tab_Compteur_7[[#This Row],[Montant TTC]]/Tab_Compteur_7[[#This Row],[Delta Jour]],"")</f>
        <v/>
      </c>
      <c r="H42" s="42"/>
      <c r="I42" s="42"/>
      <c r="J42" s="42"/>
      <c r="K42" s="42"/>
      <c r="L42" s="42"/>
    </row>
    <row r="43" spans="1:12" x14ac:dyDescent="0.25">
      <c r="A43" s="3">
        <f t="shared" si="2"/>
        <v>1</v>
      </c>
      <c r="B43" s="3">
        <f>EDATE($B$3,Site!$I$39*(ROW(Tab_Compteur_7[[#This Row],[Début de période]])-3))</f>
        <v>0</v>
      </c>
      <c r="C43" s="187"/>
      <c r="D43" s="203"/>
      <c r="E43">
        <f t="shared" si="1"/>
        <v>0</v>
      </c>
      <c r="F43" t="str">
        <f>IFERROR(Tab_Compteur_7[[#This Row],[Quantité]]/Tab_Compteur_7[[#This Row],[Delta Jour]],"")</f>
        <v/>
      </c>
      <c r="G43" t="str">
        <f>IFERROR(Tab_Compteur_7[[#This Row],[Montant TTC]]/Tab_Compteur_7[[#This Row],[Delta Jour]],"")</f>
        <v/>
      </c>
      <c r="H43" s="42"/>
      <c r="I43" s="42"/>
      <c r="J43" s="42"/>
      <c r="K43" s="42"/>
      <c r="L43" s="42"/>
    </row>
    <row r="44" spans="1:12" x14ac:dyDescent="0.25">
      <c r="A44" s="3">
        <f t="shared" si="2"/>
        <v>1</v>
      </c>
      <c r="B44" s="3">
        <f>EDATE($B$3,Site!$I$39*(ROW(Tab_Compteur_7[[#This Row],[Début de période]])-3))</f>
        <v>0</v>
      </c>
      <c r="C44" s="187"/>
      <c r="D44" s="203"/>
      <c r="E44">
        <f t="shared" si="1"/>
        <v>0</v>
      </c>
      <c r="F44" t="str">
        <f>IFERROR(Tab_Compteur_7[[#This Row],[Quantité]]/Tab_Compteur_7[[#This Row],[Delta Jour]],"")</f>
        <v/>
      </c>
      <c r="G44" t="str">
        <f>IFERROR(Tab_Compteur_7[[#This Row],[Montant TTC]]/Tab_Compteur_7[[#This Row],[Delta Jour]],"")</f>
        <v/>
      </c>
      <c r="H44" s="42"/>
      <c r="I44" s="42"/>
      <c r="J44" s="42"/>
      <c r="K44" s="42"/>
      <c r="L44" s="42"/>
    </row>
    <row r="45" spans="1:12" x14ac:dyDescent="0.25">
      <c r="A45" s="3">
        <f t="shared" si="2"/>
        <v>1</v>
      </c>
      <c r="B45" s="3">
        <f>EDATE($B$3,Site!$I$39*(ROW(Tab_Compteur_7[[#This Row],[Début de période]])-3))</f>
        <v>0</v>
      </c>
      <c r="C45" s="187"/>
      <c r="D45" s="203"/>
      <c r="E45">
        <f t="shared" si="1"/>
        <v>0</v>
      </c>
      <c r="F45" t="str">
        <f>IFERROR(Tab_Compteur_7[[#This Row],[Quantité]]/Tab_Compteur_7[[#This Row],[Delta Jour]],"")</f>
        <v/>
      </c>
      <c r="G45" t="str">
        <f>IFERROR(Tab_Compteur_7[[#This Row],[Montant TTC]]/Tab_Compteur_7[[#This Row],[Delta Jour]],"")</f>
        <v/>
      </c>
      <c r="H45" s="42"/>
      <c r="I45" s="42"/>
      <c r="J45" s="42"/>
      <c r="K45" s="42"/>
      <c r="L45" s="42"/>
    </row>
    <row r="46" spans="1:12" x14ac:dyDescent="0.25">
      <c r="A46" s="3">
        <f t="shared" si="2"/>
        <v>1</v>
      </c>
      <c r="B46" s="3">
        <f>EDATE($B$3,Site!$I$39*(ROW(Tab_Compteur_7[[#This Row],[Début de période]])-3))</f>
        <v>0</v>
      </c>
      <c r="C46" s="187"/>
      <c r="D46" s="203"/>
      <c r="E46">
        <f t="shared" si="1"/>
        <v>0</v>
      </c>
      <c r="F46" t="str">
        <f>IFERROR(Tab_Compteur_7[[#This Row],[Quantité]]/Tab_Compteur_7[[#This Row],[Delta Jour]],"")</f>
        <v/>
      </c>
      <c r="G46" t="str">
        <f>IFERROR(Tab_Compteur_7[[#This Row],[Montant TTC]]/Tab_Compteur_7[[#This Row],[Delta Jour]],"")</f>
        <v/>
      </c>
      <c r="H46" s="42"/>
      <c r="I46" s="42"/>
      <c r="J46" s="42"/>
      <c r="K46" s="42"/>
      <c r="L46" s="42"/>
    </row>
    <row r="47" spans="1:12" x14ac:dyDescent="0.25">
      <c r="A47" s="3">
        <f t="shared" si="2"/>
        <v>1</v>
      </c>
      <c r="B47" s="3">
        <f>EDATE($B$3,Site!$I$39*(ROW(Tab_Compteur_7[[#This Row],[Début de période]])-3))</f>
        <v>0</v>
      </c>
      <c r="C47" s="187"/>
      <c r="D47" s="203"/>
      <c r="E47">
        <f t="shared" si="1"/>
        <v>0</v>
      </c>
      <c r="F47" t="str">
        <f>IFERROR(Tab_Compteur_7[[#This Row],[Quantité]]/Tab_Compteur_7[[#This Row],[Delta Jour]],"")</f>
        <v/>
      </c>
      <c r="G47" t="str">
        <f>IFERROR(Tab_Compteur_7[[#This Row],[Montant TTC]]/Tab_Compteur_7[[#This Row],[Delta Jour]],"")</f>
        <v/>
      </c>
      <c r="H47" s="42"/>
      <c r="I47" s="42"/>
      <c r="J47" s="42"/>
      <c r="K47" s="42"/>
      <c r="L47" s="42"/>
    </row>
    <row r="48" spans="1:12" x14ac:dyDescent="0.25">
      <c r="A48" s="3">
        <f t="shared" si="2"/>
        <v>1</v>
      </c>
      <c r="B48" s="3">
        <f>EDATE($B$3,Site!$I$39*(ROW(Tab_Compteur_7[[#This Row],[Début de période]])-3))</f>
        <v>0</v>
      </c>
      <c r="C48" s="187"/>
      <c r="D48" s="203"/>
      <c r="E48">
        <f t="shared" si="1"/>
        <v>0</v>
      </c>
      <c r="F48" t="str">
        <f>IFERROR(Tab_Compteur_7[[#This Row],[Quantité]]/Tab_Compteur_7[[#This Row],[Delta Jour]],"")</f>
        <v/>
      </c>
      <c r="G48" t="str">
        <f>IFERROR(Tab_Compteur_7[[#This Row],[Montant TTC]]/Tab_Compteur_7[[#This Row],[Delta Jour]],"")</f>
        <v/>
      </c>
      <c r="H48" s="42"/>
      <c r="I48" s="42"/>
      <c r="J48" s="42"/>
      <c r="K48" s="42"/>
      <c r="L48" s="42"/>
    </row>
    <row r="49" spans="1:12" x14ac:dyDescent="0.25">
      <c r="A49" s="3">
        <f t="shared" si="2"/>
        <v>1</v>
      </c>
      <c r="B49" s="3">
        <f>EDATE($B$3,Site!$I$39*(ROW(Tab_Compteur_7[[#This Row],[Début de période]])-3))</f>
        <v>0</v>
      </c>
      <c r="C49" s="187"/>
      <c r="D49" s="203"/>
      <c r="E49">
        <f t="shared" si="1"/>
        <v>0</v>
      </c>
      <c r="F49" t="str">
        <f>IFERROR(Tab_Compteur_7[[#This Row],[Quantité]]/Tab_Compteur_7[[#This Row],[Delta Jour]],"")</f>
        <v/>
      </c>
      <c r="G49" t="str">
        <f>IFERROR(Tab_Compteur_7[[#This Row],[Montant TTC]]/Tab_Compteur_7[[#This Row],[Delta Jour]],"")</f>
        <v/>
      </c>
      <c r="H49" s="42"/>
      <c r="I49" s="42"/>
      <c r="J49" s="42"/>
      <c r="K49" s="42"/>
      <c r="L49" s="42"/>
    </row>
    <row r="50" spans="1:12" x14ac:dyDescent="0.25">
      <c r="A50" s="3">
        <f t="shared" si="2"/>
        <v>1</v>
      </c>
      <c r="B50" s="3">
        <f>EDATE($B$3,Site!$I$39*(ROW(Tab_Compteur_7[[#This Row],[Début de période]])-3))</f>
        <v>0</v>
      </c>
      <c r="C50" s="187"/>
      <c r="D50" s="203"/>
      <c r="E50">
        <f t="shared" si="1"/>
        <v>0</v>
      </c>
      <c r="F50" t="str">
        <f>IFERROR(Tab_Compteur_7[[#This Row],[Quantité]]/Tab_Compteur_7[[#This Row],[Delta Jour]],"")</f>
        <v/>
      </c>
      <c r="G50" t="str">
        <f>IFERROR(Tab_Compteur_7[[#This Row],[Montant TTC]]/Tab_Compteur_7[[#This Row],[Delta Jour]],"")</f>
        <v/>
      </c>
      <c r="H50" s="42"/>
      <c r="I50" s="42"/>
      <c r="J50" s="42"/>
      <c r="K50" s="42"/>
      <c r="L50" s="42"/>
    </row>
    <row r="51" spans="1:12" x14ac:dyDescent="0.25">
      <c r="A51" s="3">
        <f t="shared" si="2"/>
        <v>1</v>
      </c>
      <c r="B51" s="3">
        <f>EDATE($B$3,Site!$I$39*(ROW(Tab_Compteur_7[[#This Row],[Début de période]])-3))</f>
        <v>0</v>
      </c>
      <c r="C51" s="292"/>
      <c r="D51" s="203"/>
      <c r="E51">
        <f t="shared" si="1"/>
        <v>0</v>
      </c>
      <c r="F51" t="str">
        <f>IFERROR(Tab_Compteur_7[[#This Row],[Quantité]]/Tab_Compteur_7[[#This Row],[Delta Jour]],"")</f>
        <v/>
      </c>
      <c r="G51" t="str">
        <f>IFERROR(Tab_Compteur_7[[#This Row],[Montant TTC]]/Tab_Compteur_7[[#This Row],[Delta Jour]],"")</f>
        <v/>
      </c>
      <c r="H51" s="42"/>
      <c r="I51" s="42"/>
      <c r="J51" s="42"/>
      <c r="K51" s="42"/>
      <c r="L51" s="42"/>
    </row>
    <row r="52" spans="1:12" x14ac:dyDescent="0.25">
      <c r="A52" s="3">
        <f t="shared" si="2"/>
        <v>1</v>
      </c>
      <c r="B52" s="3">
        <f>EDATE($B$3,Site!$I$39*(ROW(Tab_Compteur_7[[#This Row],[Début de période]])-3))</f>
        <v>0</v>
      </c>
      <c r="C52" s="292"/>
      <c r="D52" s="203"/>
      <c r="E52">
        <f t="shared" si="1"/>
        <v>0</v>
      </c>
      <c r="F52" t="str">
        <f>IFERROR(Tab_Compteur_7[[#This Row],[Quantité]]/Tab_Compteur_7[[#This Row],[Delta Jour]],"")</f>
        <v/>
      </c>
      <c r="G52" t="str">
        <f>IFERROR(Tab_Compteur_7[[#This Row],[Montant TTC]]/Tab_Compteur_7[[#This Row],[Delta Jour]],"")</f>
        <v/>
      </c>
      <c r="H52" s="42"/>
      <c r="I52" s="42"/>
      <c r="J52" s="42"/>
      <c r="K52" s="42"/>
      <c r="L52" s="42"/>
    </row>
    <row r="53" spans="1:12" x14ac:dyDescent="0.25">
      <c r="A53" s="3">
        <f t="shared" si="2"/>
        <v>1</v>
      </c>
      <c r="B53" s="3">
        <f>EDATE($B$3,Site!$I$39*(ROW(Tab_Compteur_7[[#This Row],[Début de période]])-3))</f>
        <v>0</v>
      </c>
      <c r="C53" s="292"/>
      <c r="D53" s="203"/>
      <c r="E53">
        <f t="shared" si="1"/>
        <v>0</v>
      </c>
      <c r="F53" t="str">
        <f>IFERROR(Tab_Compteur_7[[#This Row],[Quantité]]/Tab_Compteur_7[[#This Row],[Delta Jour]],"")</f>
        <v/>
      </c>
      <c r="G53" t="str">
        <f>IFERROR(Tab_Compteur_7[[#This Row],[Montant TTC]]/Tab_Compteur_7[[#This Row],[Delta Jour]],"")</f>
        <v/>
      </c>
      <c r="H53" s="42"/>
      <c r="I53" s="42"/>
      <c r="J53" s="42"/>
      <c r="K53" s="42"/>
      <c r="L53" s="42"/>
    </row>
    <row r="54" spans="1:12" x14ac:dyDescent="0.25">
      <c r="A54" s="3">
        <f t="shared" si="2"/>
        <v>1</v>
      </c>
      <c r="B54" s="3">
        <f>EDATE($B$3,Site!$I$39*(ROW(Tab_Compteur_7[[#This Row],[Début de période]])-3))</f>
        <v>0</v>
      </c>
      <c r="C54" s="187"/>
      <c r="D54" s="203"/>
      <c r="E54">
        <f t="shared" si="1"/>
        <v>0</v>
      </c>
      <c r="F54" t="str">
        <f>IFERROR(Tab_Compteur_7[[#This Row],[Quantité]]/Tab_Compteur_7[[#This Row],[Delta Jour]],"")</f>
        <v/>
      </c>
      <c r="G54" t="str">
        <f>IFERROR(Tab_Compteur_7[[#This Row],[Montant TTC]]/Tab_Compteur_7[[#This Row],[Delta Jour]],"")</f>
        <v/>
      </c>
      <c r="H54" s="42"/>
      <c r="I54" s="42"/>
      <c r="J54" s="42"/>
      <c r="K54" s="42"/>
      <c r="L54" s="42"/>
    </row>
    <row r="55" spans="1:12" x14ac:dyDescent="0.25">
      <c r="A55" s="3">
        <f t="shared" si="2"/>
        <v>1</v>
      </c>
      <c r="B55" s="3">
        <f>EDATE($B$3,Site!$I$39*(ROW(Tab_Compteur_7[[#This Row],[Début de période]])-3))</f>
        <v>0</v>
      </c>
      <c r="C55" s="187"/>
      <c r="D55" s="203"/>
      <c r="E55">
        <f t="shared" si="1"/>
        <v>0</v>
      </c>
      <c r="F55" t="str">
        <f>IFERROR(Tab_Compteur_7[[#This Row],[Quantité]]/Tab_Compteur_7[[#This Row],[Delta Jour]],"")</f>
        <v/>
      </c>
      <c r="G55" t="str">
        <f>IFERROR(Tab_Compteur_7[[#This Row],[Montant TTC]]/Tab_Compteur_7[[#This Row],[Delta Jour]],"")</f>
        <v/>
      </c>
      <c r="H55" s="42"/>
      <c r="I55" s="42"/>
      <c r="J55" s="42"/>
      <c r="K55" s="42"/>
      <c r="L55" s="42"/>
    </row>
    <row r="56" spans="1:12" x14ac:dyDescent="0.25">
      <c r="A56" s="3">
        <f t="shared" si="2"/>
        <v>1</v>
      </c>
      <c r="B56" s="3">
        <f>EDATE($B$3,Site!$I$39*(ROW(Tab_Compteur_7[[#This Row],[Début de période]])-3))</f>
        <v>0</v>
      </c>
      <c r="C56" s="187"/>
      <c r="D56" s="203"/>
      <c r="E56">
        <f t="shared" si="1"/>
        <v>0</v>
      </c>
      <c r="F56" t="str">
        <f>IFERROR(Tab_Compteur_7[[#This Row],[Quantité]]/Tab_Compteur_7[[#This Row],[Delta Jour]],"")</f>
        <v/>
      </c>
      <c r="G56" t="str">
        <f>IFERROR(Tab_Compteur_7[[#This Row],[Montant TTC]]/Tab_Compteur_7[[#This Row],[Delta Jour]],"")</f>
        <v/>
      </c>
      <c r="H56" s="42"/>
      <c r="I56" s="42"/>
      <c r="J56" s="42"/>
      <c r="K56" s="42"/>
      <c r="L56" s="42"/>
    </row>
    <row r="57" spans="1:12" x14ac:dyDescent="0.25">
      <c r="A57" s="3">
        <f t="shared" si="2"/>
        <v>1</v>
      </c>
      <c r="B57" s="3">
        <f>EDATE($B$3,Site!$I$39*(ROW(Tab_Compteur_7[[#This Row],[Début de période]])-3))</f>
        <v>0</v>
      </c>
      <c r="C57" s="187"/>
      <c r="D57" s="203"/>
      <c r="E57">
        <f t="shared" si="1"/>
        <v>0</v>
      </c>
      <c r="F57" t="str">
        <f>IFERROR(Tab_Compteur_7[[#This Row],[Quantité]]/Tab_Compteur_7[[#This Row],[Delta Jour]],"")</f>
        <v/>
      </c>
      <c r="G57" t="str">
        <f>IFERROR(Tab_Compteur_7[[#This Row],[Montant TTC]]/Tab_Compteur_7[[#This Row],[Delta Jour]],"")</f>
        <v/>
      </c>
      <c r="H57" s="42"/>
      <c r="I57" s="42"/>
      <c r="J57" s="42"/>
      <c r="K57" s="42"/>
      <c r="L57" s="42"/>
    </row>
    <row r="58" spans="1:12" x14ac:dyDescent="0.25">
      <c r="A58" s="3">
        <f t="shared" si="2"/>
        <v>1</v>
      </c>
      <c r="B58" s="3">
        <f>EDATE($B$3,Site!$I$39*(ROW(Tab_Compteur_7[[#This Row],[Début de période]])-3))</f>
        <v>0</v>
      </c>
      <c r="C58" s="187"/>
      <c r="D58" s="203"/>
      <c r="E58">
        <f t="shared" si="1"/>
        <v>0</v>
      </c>
      <c r="F58" t="str">
        <f>IFERROR(Tab_Compteur_7[[#This Row],[Quantité]]/Tab_Compteur_7[[#This Row],[Delta Jour]],"")</f>
        <v/>
      </c>
      <c r="G58" t="str">
        <f>IFERROR(Tab_Compteur_7[[#This Row],[Montant TTC]]/Tab_Compteur_7[[#This Row],[Delta Jour]],"")</f>
        <v/>
      </c>
      <c r="H58" s="42"/>
      <c r="I58" s="42"/>
      <c r="J58" s="42"/>
      <c r="K58" s="42"/>
      <c r="L58" s="42"/>
    </row>
    <row r="59" spans="1:12" x14ac:dyDescent="0.25">
      <c r="A59" s="3">
        <f t="shared" si="2"/>
        <v>1</v>
      </c>
      <c r="B59" s="3">
        <f>EDATE($B$3,Site!$I$39*(ROW(Tab_Compteur_7[[#This Row],[Début de période]])-3))</f>
        <v>0</v>
      </c>
      <c r="C59" s="185"/>
      <c r="E59">
        <f t="shared" si="1"/>
        <v>0</v>
      </c>
      <c r="F59" t="str">
        <f>IFERROR(Tab_Compteur_7[[#This Row],[Quantité]]/Tab_Compteur_7[[#This Row],[Delta Jour]],"")</f>
        <v/>
      </c>
      <c r="G59" t="str">
        <f>IFERROR(Tab_Compteur_7[[#This Row],[Montant TTC]]/Tab_Compteur_7[[#This Row],[Delta Jour]],"")</f>
        <v/>
      </c>
      <c r="H59" s="42"/>
      <c r="I59" s="42"/>
      <c r="J59" s="42"/>
      <c r="K59" s="42"/>
      <c r="L59" s="42"/>
    </row>
    <row r="60" spans="1:12" x14ac:dyDescent="0.25">
      <c r="A60" s="3">
        <f t="shared" si="2"/>
        <v>1</v>
      </c>
      <c r="B60" s="3">
        <f>EDATE($B$3,Site!$I$39*(ROW(Tab_Compteur_7[[#This Row],[Début de période]])-3))</f>
        <v>0</v>
      </c>
      <c r="C60" s="185"/>
      <c r="E60">
        <f t="shared" si="1"/>
        <v>0</v>
      </c>
      <c r="F60" t="str">
        <f>IFERROR(Tab_Compteur_7[[#This Row],[Quantité]]/Tab_Compteur_7[[#This Row],[Delta Jour]],"")</f>
        <v/>
      </c>
      <c r="G60" t="str">
        <f>IFERROR(Tab_Compteur_7[[#This Row],[Montant TTC]]/Tab_Compteur_7[[#This Row],[Delta Jour]],"")</f>
        <v/>
      </c>
      <c r="H60" s="42"/>
      <c r="I60" s="42"/>
      <c r="J60" s="42"/>
      <c r="K60" s="42"/>
      <c r="L60" s="42"/>
    </row>
    <row r="61" spans="1:12" x14ac:dyDescent="0.25">
      <c r="A61" s="3">
        <f t="shared" si="2"/>
        <v>1</v>
      </c>
      <c r="B61" s="3">
        <f>EDATE($B$3,Site!$I$39*(ROW(Tab_Compteur_7[[#This Row],[Début de période]])-3))</f>
        <v>0</v>
      </c>
      <c r="C61" s="185"/>
      <c r="E61">
        <f t="shared" si="1"/>
        <v>0</v>
      </c>
      <c r="F61" t="str">
        <f>IFERROR(Tab_Compteur_7[[#This Row],[Quantité]]/Tab_Compteur_7[[#This Row],[Delta Jour]],"")</f>
        <v/>
      </c>
      <c r="G61" t="str">
        <f>IFERROR(Tab_Compteur_7[[#This Row],[Montant TTC]]/Tab_Compteur_7[[#This Row],[Delta Jour]],"")</f>
        <v/>
      </c>
      <c r="H61" s="42"/>
      <c r="I61" s="42"/>
      <c r="J61" s="42"/>
      <c r="K61" s="42"/>
      <c r="L61" s="42"/>
    </row>
    <row r="62" spans="1:12" x14ac:dyDescent="0.25">
      <c r="A62" s="3">
        <f t="shared" si="2"/>
        <v>1</v>
      </c>
      <c r="B62" s="3">
        <f>EDATE($B$3,Site!$I$39*(ROW(Tab_Compteur_7[[#This Row],[Début de période]])-3))</f>
        <v>0</v>
      </c>
      <c r="C62" s="185"/>
      <c r="E62">
        <f t="shared" si="1"/>
        <v>0</v>
      </c>
      <c r="F62" t="str">
        <f>IFERROR(Tab_Compteur_7[[#This Row],[Quantité]]/Tab_Compteur_7[[#This Row],[Delta Jour]],"")</f>
        <v/>
      </c>
      <c r="G62" t="str">
        <f>IFERROR(Tab_Compteur_7[[#This Row],[Montant TTC]]/Tab_Compteur_7[[#This Row],[Delta Jour]],"")</f>
        <v/>
      </c>
      <c r="H62" s="42"/>
      <c r="I62" s="42"/>
      <c r="J62" s="42"/>
      <c r="K62" s="42"/>
      <c r="L62" s="42"/>
    </row>
    <row r="63" spans="1:12" x14ac:dyDescent="0.25">
      <c r="A63" s="3">
        <f t="shared" si="2"/>
        <v>1</v>
      </c>
      <c r="B63" s="3">
        <f>EDATE($B$3,Site!$I$39*(ROW(Tab_Compteur_7[[#This Row],[Début de période]])-3))</f>
        <v>0</v>
      </c>
      <c r="C63" s="185"/>
      <c r="E63">
        <f t="shared" si="1"/>
        <v>0</v>
      </c>
      <c r="F63" t="str">
        <f>IFERROR(Tab_Compteur_7[[#This Row],[Quantité]]/Tab_Compteur_7[[#This Row],[Delta Jour]],"")</f>
        <v/>
      </c>
      <c r="G63" t="str">
        <f>IFERROR(Tab_Compteur_7[[#This Row],[Montant TTC]]/Tab_Compteur_7[[#This Row],[Delta Jour]],"")</f>
        <v/>
      </c>
      <c r="H63" s="42"/>
      <c r="I63" s="42"/>
      <c r="J63" s="42"/>
      <c r="K63" s="42"/>
      <c r="L63" s="42"/>
    </row>
    <row r="64" spans="1:12" x14ac:dyDescent="0.25">
      <c r="A64" s="3">
        <f t="shared" si="2"/>
        <v>1</v>
      </c>
      <c r="B64" s="3">
        <f>EDATE($B$3,Site!$I$39*(ROW(Tab_Compteur_7[[#This Row],[Début de période]])-3))</f>
        <v>0</v>
      </c>
      <c r="C64" s="185"/>
      <c r="E64">
        <f t="shared" si="1"/>
        <v>0</v>
      </c>
      <c r="F64" t="str">
        <f>IFERROR(Tab_Compteur_7[[#This Row],[Quantité]]/Tab_Compteur_7[[#This Row],[Delta Jour]],"")</f>
        <v/>
      </c>
      <c r="G64" t="str">
        <f>IFERROR(Tab_Compteur_7[[#This Row],[Montant TTC]]/Tab_Compteur_7[[#This Row],[Delta Jour]],"")</f>
        <v/>
      </c>
      <c r="H64" s="42"/>
      <c r="I64" s="42"/>
      <c r="J64" s="42"/>
      <c r="K64" s="42"/>
      <c r="L64" s="42"/>
    </row>
    <row r="65" spans="1:12" x14ac:dyDescent="0.25">
      <c r="A65" s="3">
        <f t="shared" si="2"/>
        <v>1</v>
      </c>
      <c r="B65" s="3">
        <f>EDATE($B$3,Site!$I$39*(ROW(Tab_Compteur_7[[#This Row],[Début de période]])-3))</f>
        <v>0</v>
      </c>
      <c r="C65" s="185"/>
      <c r="E65">
        <f t="shared" si="1"/>
        <v>0</v>
      </c>
      <c r="F65" t="str">
        <f>IFERROR(Tab_Compteur_7[[#This Row],[Quantité]]/Tab_Compteur_7[[#This Row],[Delta Jour]],"")</f>
        <v/>
      </c>
      <c r="G65" t="str">
        <f>IFERROR(Tab_Compteur_7[[#This Row],[Montant TTC]]/Tab_Compteur_7[[#This Row],[Delta Jour]],"")</f>
        <v/>
      </c>
      <c r="H65" s="42"/>
      <c r="I65" s="42"/>
      <c r="J65" s="42"/>
      <c r="K65" s="42"/>
      <c r="L65" s="42"/>
    </row>
    <row r="66" spans="1:12" x14ac:dyDescent="0.25">
      <c r="A66" s="3">
        <f t="shared" si="2"/>
        <v>1</v>
      </c>
      <c r="B66" s="3">
        <f>EDATE($B$3,Site!$I$39*(ROW(Tab_Compteur_7[[#This Row],[Début de période]])-3))</f>
        <v>0</v>
      </c>
      <c r="C66" s="185"/>
      <c r="E66">
        <f t="shared" ref="E66:E129" si="3">IFERROR(B66-A66+1,"")</f>
        <v>0</v>
      </c>
      <c r="F66" t="str">
        <f>IFERROR(Tab_Compteur_7[[#This Row],[Quantité]]/Tab_Compteur_7[[#This Row],[Delta Jour]],"")</f>
        <v/>
      </c>
      <c r="G66" t="str">
        <f>IFERROR(Tab_Compteur_7[[#This Row],[Montant TTC]]/Tab_Compteur_7[[#This Row],[Delta Jour]],"")</f>
        <v/>
      </c>
      <c r="H66" s="42"/>
      <c r="I66" s="42"/>
      <c r="J66" s="42"/>
      <c r="K66" s="42"/>
      <c r="L66" s="42"/>
    </row>
    <row r="67" spans="1:12" x14ac:dyDescent="0.25">
      <c r="A67" s="3">
        <f t="shared" si="2"/>
        <v>1</v>
      </c>
      <c r="B67" s="3">
        <f>EDATE($B$3,Site!$I$39*(ROW(Tab_Compteur_7[[#This Row],[Début de période]])-3))</f>
        <v>0</v>
      </c>
      <c r="C67" s="185"/>
      <c r="E67">
        <f t="shared" si="3"/>
        <v>0</v>
      </c>
      <c r="F67" t="str">
        <f>IFERROR(Tab_Compteur_7[[#This Row],[Quantité]]/Tab_Compteur_7[[#This Row],[Delta Jour]],"")</f>
        <v/>
      </c>
      <c r="G67" t="str">
        <f>IFERROR(Tab_Compteur_7[[#This Row],[Montant TTC]]/Tab_Compteur_7[[#This Row],[Delta Jour]],"")</f>
        <v/>
      </c>
      <c r="H67" s="42"/>
      <c r="I67" s="42"/>
      <c r="J67" s="42"/>
      <c r="K67" s="42"/>
      <c r="L67" s="42"/>
    </row>
    <row r="68" spans="1:12" x14ac:dyDescent="0.25">
      <c r="A68" s="3">
        <f t="shared" si="2"/>
        <v>1</v>
      </c>
      <c r="B68" s="3">
        <f>EDATE($B$3,Site!$I$39*(ROW(Tab_Compteur_7[[#This Row],[Début de période]])-3))</f>
        <v>0</v>
      </c>
      <c r="C68" s="185"/>
      <c r="E68">
        <f t="shared" si="3"/>
        <v>0</v>
      </c>
      <c r="F68" t="str">
        <f>IFERROR(Tab_Compteur_7[[#This Row],[Quantité]]/Tab_Compteur_7[[#This Row],[Delta Jour]],"")</f>
        <v/>
      </c>
      <c r="G68" t="str">
        <f>IFERROR(Tab_Compteur_7[[#This Row],[Montant TTC]]/Tab_Compteur_7[[#This Row],[Delta Jour]],"")</f>
        <v/>
      </c>
      <c r="H68" s="42"/>
      <c r="I68" s="42"/>
      <c r="J68" s="42"/>
      <c r="K68" s="42"/>
      <c r="L68" s="42"/>
    </row>
    <row r="69" spans="1:12" x14ac:dyDescent="0.25">
      <c r="A69" s="3">
        <f t="shared" ref="A69:A132" si="4">B68+1</f>
        <v>1</v>
      </c>
      <c r="B69" s="3">
        <f>EDATE($B$3,Site!$I$39*(ROW(Tab_Compteur_7[[#This Row],[Début de période]])-3))</f>
        <v>0</v>
      </c>
      <c r="C69" s="185"/>
      <c r="E69">
        <f t="shared" si="3"/>
        <v>0</v>
      </c>
      <c r="F69" t="str">
        <f>IFERROR(Tab_Compteur_7[[#This Row],[Quantité]]/Tab_Compteur_7[[#This Row],[Delta Jour]],"")</f>
        <v/>
      </c>
      <c r="G69" t="str">
        <f>IFERROR(Tab_Compteur_7[[#This Row],[Montant TTC]]/Tab_Compteur_7[[#This Row],[Delta Jour]],"")</f>
        <v/>
      </c>
      <c r="H69" s="42"/>
      <c r="I69" s="42"/>
      <c r="J69" s="42"/>
      <c r="K69" s="42"/>
      <c r="L69" s="42"/>
    </row>
    <row r="70" spans="1:12" x14ac:dyDescent="0.25">
      <c r="A70" s="3">
        <f t="shared" si="4"/>
        <v>1</v>
      </c>
      <c r="B70" s="3">
        <f>EDATE($B$3,Site!$I$39*(ROW(Tab_Compteur_7[[#This Row],[Début de période]])-3))</f>
        <v>0</v>
      </c>
      <c r="C70" s="185"/>
      <c r="E70">
        <f t="shared" si="3"/>
        <v>0</v>
      </c>
      <c r="F70" t="str">
        <f>IFERROR(Tab_Compteur_7[[#This Row],[Quantité]]/Tab_Compteur_7[[#This Row],[Delta Jour]],"")</f>
        <v/>
      </c>
      <c r="G70" t="str">
        <f>IFERROR(Tab_Compteur_7[[#This Row],[Montant TTC]]/Tab_Compteur_7[[#This Row],[Delta Jour]],"")</f>
        <v/>
      </c>
      <c r="H70" s="42"/>
      <c r="I70" s="42"/>
      <c r="J70" s="42"/>
      <c r="K70" s="42"/>
      <c r="L70" s="42"/>
    </row>
    <row r="71" spans="1:12" x14ac:dyDescent="0.25">
      <c r="A71" s="3">
        <f t="shared" si="4"/>
        <v>1</v>
      </c>
      <c r="B71" s="3">
        <f>EDATE($B$3,Site!$I$39*(ROW(Tab_Compteur_7[[#This Row],[Début de période]])-3))</f>
        <v>0</v>
      </c>
      <c r="C71" s="185"/>
      <c r="E71">
        <f t="shared" si="3"/>
        <v>0</v>
      </c>
      <c r="F71" t="str">
        <f>IFERROR(Tab_Compteur_7[[#This Row],[Quantité]]/Tab_Compteur_7[[#This Row],[Delta Jour]],"")</f>
        <v/>
      </c>
      <c r="G71" t="str">
        <f>IFERROR(Tab_Compteur_7[[#This Row],[Montant TTC]]/Tab_Compteur_7[[#This Row],[Delta Jour]],"")</f>
        <v/>
      </c>
      <c r="H71" s="42"/>
      <c r="I71" s="42"/>
      <c r="J71" s="42"/>
      <c r="K71" s="42"/>
      <c r="L71" s="42"/>
    </row>
    <row r="72" spans="1:12" x14ac:dyDescent="0.25">
      <c r="A72" s="3">
        <f t="shared" si="4"/>
        <v>1</v>
      </c>
      <c r="B72" s="3">
        <f>EDATE($B$3,Site!$I$39*(ROW(Tab_Compteur_7[[#This Row],[Début de période]])-3))</f>
        <v>0</v>
      </c>
      <c r="C72" s="185"/>
      <c r="E72">
        <f t="shared" si="3"/>
        <v>0</v>
      </c>
      <c r="F72" t="str">
        <f>IFERROR(Tab_Compteur_7[[#This Row],[Quantité]]/Tab_Compteur_7[[#This Row],[Delta Jour]],"")</f>
        <v/>
      </c>
      <c r="G72" t="str">
        <f>IFERROR(Tab_Compteur_7[[#This Row],[Montant TTC]]/Tab_Compteur_7[[#This Row],[Delta Jour]],"")</f>
        <v/>
      </c>
      <c r="H72" s="42"/>
      <c r="I72" s="42"/>
      <c r="J72" s="42"/>
      <c r="K72" s="42"/>
      <c r="L72" s="42"/>
    </row>
    <row r="73" spans="1:12" x14ac:dyDescent="0.25">
      <c r="A73" s="3">
        <f t="shared" si="4"/>
        <v>1</v>
      </c>
      <c r="B73" s="3">
        <f>EDATE($B$3,Site!$I$39*(ROW(Tab_Compteur_7[[#This Row],[Début de période]])-3))</f>
        <v>0</v>
      </c>
      <c r="C73" s="185"/>
      <c r="E73">
        <f t="shared" si="3"/>
        <v>0</v>
      </c>
      <c r="F73" t="str">
        <f>IFERROR(Tab_Compteur_7[[#This Row],[Quantité]]/Tab_Compteur_7[[#This Row],[Delta Jour]],"")</f>
        <v/>
      </c>
      <c r="G73" t="str">
        <f>IFERROR(Tab_Compteur_7[[#This Row],[Montant TTC]]/Tab_Compteur_7[[#This Row],[Delta Jour]],"")</f>
        <v/>
      </c>
      <c r="H73" s="42"/>
      <c r="I73" s="42"/>
      <c r="J73" s="42"/>
      <c r="K73" s="42"/>
      <c r="L73" s="42"/>
    </row>
    <row r="74" spans="1:12" x14ac:dyDescent="0.25">
      <c r="A74" s="3">
        <f t="shared" si="4"/>
        <v>1</v>
      </c>
      <c r="B74" s="3">
        <f>EDATE($B$3,Site!$I$39*(ROW(Tab_Compteur_7[[#This Row],[Début de période]])-3))</f>
        <v>0</v>
      </c>
      <c r="C74" s="185"/>
      <c r="E74">
        <f t="shared" si="3"/>
        <v>0</v>
      </c>
      <c r="F74" t="str">
        <f>IFERROR(Tab_Compteur_7[[#This Row],[Quantité]]/Tab_Compteur_7[[#This Row],[Delta Jour]],"")</f>
        <v/>
      </c>
      <c r="G74" t="str">
        <f>IFERROR(Tab_Compteur_7[[#This Row],[Montant TTC]]/Tab_Compteur_7[[#This Row],[Delta Jour]],"")</f>
        <v/>
      </c>
      <c r="H74" s="42"/>
      <c r="I74" s="42"/>
      <c r="J74" s="42"/>
      <c r="K74" s="42"/>
      <c r="L74" s="42"/>
    </row>
    <row r="75" spans="1:12" x14ac:dyDescent="0.25">
      <c r="A75" s="3">
        <f t="shared" si="4"/>
        <v>1</v>
      </c>
      <c r="B75" s="3">
        <f>EDATE($B$3,Site!$I$39*(ROW(Tab_Compteur_7[[#This Row],[Début de période]])-3))</f>
        <v>0</v>
      </c>
      <c r="C75" s="185"/>
      <c r="E75">
        <f t="shared" si="3"/>
        <v>0</v>
      </c>
      <c r="F75" t="str">
        <f>IFERROR(Tab_Compteur_7[[#This Row],[Quantité]]/Tab_Compteur_7[[#This Row],[Delta Jour]],"")</f>
        <v/>
      </c>
      <c r="G75" t="str">
        <f>IFERROR(Tab_Compteur_7[[#This Row],[Montant TTC]]/Tab_Compteur_7[[#This Row],[Delta Jour]],"")</f>
        <v/>
      </c>
      <c r="H75" s="42"/>
      <c r="I75" s="42"/>
      <c r="J75" s="42"/>
      <c r="K75" s="42"/>
      <c r="L75" s="42"/>
    </row>
    <row r="76" spans="1:12" x14ac:dyDescent="0.25">
      <c r="A76" s="3">
        <f t="shared" si="4"/>
        <v>1</v>
      </c>
      <c r="B76" s="3">
        <f>EDATE($B$3,Site!$I$39*(ROW(Tab_Compteur_7[[#This Row],[Début de période]])-3))</f>
        <v>0</v>
      </c>
      <c r="C76" s="185"/>
      <c r="E76">
        <f t="shared" si="3"/>
        <v>0</v>
      </c>
      <c r="F76" t="str">
        <f>IFERROR(Tab_Compteur_7[[#This Row],[Quantité]]/Tab_Compteur_7[[#This Row],[Delta Jour]],"")</f>
        <v/>
      </c>
      <c r="G76" t="str">
        <f>IFERROR(Tab_Compteur_7[[#This Row],[Montant TTC]]/Tab_Compteur_7[[#This Row],[Delta Jour]],"")</f>
        <v/>
      </c>
      <c r="H76" s="42"/>
      <c r="I76" s="42"/>
      <c r="J76" s="42"/>
      <c r="K76" s="42"/>
      <c r="L76" s="42"/>
    </row>
    <row r="77" spans="1:12" x14ac:dyDescent="0.25">
      <c r="A77" s="3">
        <f t="shared" si="4"/>
        <v>1</v>
      </c>
      <c r="B77" s="3">
        <f>EDATE($B$3,Site!$I$39*(ROW(Tab_Compteur_7[[#This Row],[Début de période]])-3))</f>
        <v>0</v>
      </c>
      <c r="C77" s="185"/>
      <c r="E77">
        <f t="shared" si="3"/>
        <v>0</v>
      </c>
      <c r="F77" t="str">
        <f>IFERROR(Tab_Compteur_7[[#This Row],[Quantité]]/Tab_Compteur_7[[#This Row],[Delta Jour]],"")</f>
        <v/>
      </c>
      <c r="G77" t="str">
        <f>IFERROR(Tab_Compteur_7[[#This Row],[Montant TTC]]/Tab_Compteur_7[[#This Row],[Delta Jour]],"")</f>
        <v/>
      </c>
      <c r="H77" s="42"/>
      <c r="I77" s="42"/>
      <c r="J77" s="42"/>
      <c r="K77" s="42"/>
      <c r="L77" s="42"/>
    </row>
    <row r="78" spans="1:12" x14ac:dyDescent="0.25">
      <c r="A78" s="3">
        <f t="shared" si="4"/>
        <v>1</v>
      </c>
      <c r="B78" s="3">
        <f>EDATE($B$3,Site!$I$39*(ROW(Tab_Compteur_7[[#This Row],[Début de période]])-3))</f>
        <v>0</v>
      </c>
      <c r="C78" s="185"/>
      <c r="E78">
        <f t="shared" si="3"/>
        <v>0</v>
      </c>
      <c r="F78" t="str">
        <f>IFERROR(Tab_Compteur_7[[#This Row],[Quantité]]/Tab_Compteur_7[[#This Row],[Delta Jour]],"")</f>
        <v/>
      </c>
      <c r="G78" t="str">
        <f>IFERROR(Tab_Compteur_7[[#This Row],[Montant TTC]]/Tab_Compteur_7[[#This Row],[Delta Jour]],"")</f>
        <v/>
      </c>
      <c r="H78" s="42"/>
      <c r="I78" s="42"/>
      <c r="J78" s="42"/>
      <c r="K78" s="42"/>
      <c r="L78" s="42"/>
    </row>
    <row r="79" spans="1:12" x14ac:dyDescent="0.25">
      <c r="A79" s="3">
        <f t="shared" si="4"/>
        <v>1</v>
      </c>
      <c r="B79" s="3">
        <f>EDATE($B$3,Site!$I$39*(ROW(Tab_Compteur_7[[#This Row],[Début de période]])-3))</f>
        <v>0</v>
      </c>
      <c r="C79" s="185"/>
      <c r="E79">
        <f t="shared" si="3"/>
        <v>0</v>
      </c>
      <c r="F79" t="str">
        <f>IFERROR(Tab_Compteur_7[[#This Row],[Quantité]]/Tab_Compteur_7[[#This Row],[Delta Jour]],"")</f>
        <v/>
      </c>
      <c r="G79" t="str">
        <f>IFERROR(Tab_Compteur_7[[#This Row],[Montant TTC]]/Tab_Compteur_7[[#This Row],[Delta Jour]],"")</f>
        <v/>
      </c>
      <c r="H79" s="42"/>
      <c r="I79" s="42"/>
      <c r="J79" s="42"/>
      <c r="K79" s="42"/>
      <c r="L79" s="42"/>
    </row>
    <row r="80" spans="1:12" x14ac:dyDescent="0.25">
      <c r="A80" s="3">
        <f t="shared" si="4"/>
        <v>1</v>
      </c>
      <c r="B80" s="3">
        <f>EDATE($B$3,Site!$I$39*(ROW(Tab_Compteur_7[[#This Row],[Début de période]])-3))</f>
        <v>0</v>
      </c>
      <c r="C80" s="185"/>
      <c r="E80">
        <f t="shared" si="3"/>
        <v>0</v>
      </c>
      <c r="F80" t="str">
        <f>IFERROR(Tab_Compteur_7[[#This Row],[Quantité]]/Tab_Compteur_7[[#This Row],[Delta Jour]],"")</f>
        <v/>
      </c>
      <c r="G80" t="str">
        <f>IFERROR(Tab_Compteur_7[[#This Row],[Montant TTC]]/Tab_Compteur_7[[#This Row],[Delta Jour]],"")</f>
        <v/>
      </c>
      <c r="H80" s="42"/>
      <c r="I80" s="42"/>
      <c r="J80" s="42"/>
      <c r="K80" s="42"/>
      <c r="L80" s="42"/>
    </row>
    <row r="81" spans="1:12" x14ac:dyDescent="0.25">
      <c r="A81" s="3">
        <f t="shared" si="4"/>
        <v>1</v>
      </c>
      <c r="B81" s="3">
        <f>EDATE($B$3,Site!$I$39*(ROW(Tab_Compteur_7[[#This Row],[Début de période]])-3))</f>
        <v>0</v>
      </c>
      <c r="C81" s="185"/>
      <c r="E81">
        <f t="shared" si="3"/>
        <v>0</v>
      </c>
      <c r="F81" t="str">
        <f>IFERROR(Tab_Compteur_7[[#This Row],[Quantité]]/Tab_Compteur_7[[#This Row],[Delta Jour]],"")</f>
        <v/>
      </c>
      <c r="G81" t="str">
        <f>IFERROR(Tab_Compteur_7[[#This Row],[Montant TTC]]/Tab_Compteur_7[[#This Row],[Delta Jour]],"")</f>
        <v/>
      </c>
      <c r="H81" s="42"/>
      <c r="I81" s="42"/>
      <c r="J81" s="42"/>
      <c r="K81" s="42"/>
      <c r="L81" s="42"/>
    </row>
    <row r="82" spans="1:12" x14ac:dyDescent="0.25">
      <c r="A82" s="3">
        <f t="shared" si="4"/>
        <v>1</v>
      </c>
      <c r="B82" s="3">
        <f>EDATE($B$3,Site!$I$39*(ROW(Tab_Compteur_7[[#This Row],[Début de période]])-3))</f>
        <v>0</v>
      </c>
      <c r="C82" s="185"/>
      <c r="E82">
        <f t="shared" si="3"/>
        <v>0</v>
      </c>
      <c r="F82" t="str">
        <f>IFERROR(Tab_Compteur_7[[#This Row],[Quantité]]/Tab_Compteur_7[[#This Row],[Delta Jour]],"")</f>
        <v/>
      </c>
      <c r="G82" t="str">
        <f>IFERROR(Tab_Compteur_7[[#This Row],[Montant TTC]]/Tab_Compteur_7[[#This Row],[Delta Jour]],"")</f>
        <v/>
      </c>
      <c r="H82" s="42"/>
      <c r="I82" s="42"/>
      <c r="J82" s="42"/>
      <c r="K82" s="42"/>
      <c r="L82" s="42"/>
    </row>
    <row r="83" spans="1:12" x14ac:dyDescent="0.25">
      <c r="A83" s="3">
        <f t="shared" si="4"/>
        <v>1</v>
      </c>
      <c r="B83" s="3">
        <f>EDATE($B$3,Site!$I$39*(ROW(Tab_Compteur_7[[#This Row],[Début de période]])-3))</f>
        <v>0</v>
      </c>
      <c r="C83" s="185"/>
      <c r="E83">
        <f t="shared" si="3"/>
        <v>0</v>
      </c>
      <c r="F83" t="str">
        <f>IFERROR(Tab_Compteur_7[[#This Row],[Quantité]]/Tab_Compteur_7[[#This Row],[Delta Jour]],"")</f>
        <v/>
      </c>
      <c r="G83" t="str">
        <f>IFERROR(Tab_Compteur_7[[#This Row],[Montant TTC]]/Tab_Compteur_7[[#This Row],[Delta Jour]],"")</f>
        <v/>
      </c>
      <c r="H83" s="42"/>
      <c r="I83" s="42"/>
      <c r="J83" s="42"/>
      <c r="K83" s="42"/>
      <c r="L83" s="42"/>
    </row>
    <row r="84" spans="1:12" x14ac:dyDescent="0.25">
      <c r="A84" s="3">
        <f t="shared" si="4"/>
        <v>1</v>
      </c>
      <c r="B84" s="3">
        <f>EDATE($B$3,Site!$I$39*(ROW(Tab_Compteur_7[[#This Row],[Début de période]])-3))</f>
        <v>0</v>
      </c>
      <c r="C84" s="185"/>
      <c r="E84">
        <f t="shared" si="3"/>
        <v>0</v>
      </c>
      <c r="F84" t="str">
        <f>IFERROR(Tab_Compteur_7[[#This Row],[Quantité]]/Tab_Compteur_7[[#This Row],[Delta Jour]],"")</f>
        <v/>
      </c>
      <c r="G84" t="str">
        <f>IFERROR(Tab_Compteur_7[[#This Row],[Montant TTC]]/Tab_Compteur_7[[#This Row],[Delta Jour]],"")</f>
        <v/>
      </c>
      <c r="H84" s="42"/>
      <c r="I84" s="42"/>
      <c r="J84" s="42"/>
      <c r="K84" s="42"/>
      <c r="L84" s="42"/>
    </row>
    <row r="85" spans="1:12" x14ac:dyDescent="0.25">
      <c r="A85" s="3">
        <f t="shared" si="4"/>
        <v>1</v>
      </c>
      <c r="B85" s="3">
        <f>EDATE($B$3,Site!$I$39*(ROW(Tab_Compteur_7[[#This Row],[Début de période]])-3))</f>
        <v>0</v>
      </c>
      <c r="C85" s="185"/>
      <c r="E85">
        <f t="shared" si="3"/>
        <v>0</v>
      </c>
      <c r="F85" t="str">
        <f>IFERROR(Tab_Compteur_7[[#This Row],[Quantité]]/Tab_Compteur_7[[#This Row],[Delta Jour]],"")</f>
        <v/>
      </c>
      <c r="G85" t="str">
        <f>IFERROR(Tab_Compteur_7[[#This Row],[Montant TTC]]/Tab_Compteur_7[[#This Row],[Delta Jour]],"")</f>
        <v/>
      </c>
      <c r="H85" s="42"/>
      <c r="I85" s="42"/>
      <c r="J85" s="42"/>
      <c r="K85" s="42"/>
      <c r="L85" s="42"/>
    </row>
    <row r="86" spans="1:12" x14ac:dyDescent="0.25">
      <c r="A86" s="3">
        <f t="shared" si="4"/>
        <v>1</v>
      </c>
      <c r="B86" s="3">
        <f>EDATE($B$3,Site!$I$39*(ROW(Tab_Compteur_7[[#This Row],[Début de période]])-3))</f>
        <v>0</v>
      </c>
      <c r="C86" s="185"/>
      <c r="E86">
        <f t="shared" si="3"/>
        <v>0</v>
      </c>
      <c r="F86" t="str">
        <f>IFERROR(Tab_Compteur_7[[#This Row],[Quantité]]/Tab_Compteur_7[[#This Row],[Delta Jour]],"")</f>
        <v/>
      </c>
      <c r="G86" t="str">
        <f>IFERROR(Tab_Compteur_7[[#This Row],[Montant TTC]]/Tab_Compteur_7[[#This Row],[Delta Jour]],"")</f>
        <v/>
      </c>
      <c r="H86" s="42"/>
      <c r="I86" s="42"/>
      <c r="J86" s="42"/>
      <c r="K86" s="42"/>
      <c r="L86" s="42"/>
    </row>
    <row r="87" spans="1:12" x14ac:dyDescent="0.25">
      <c r="A87" s="3">
        <f t="shared" si="4"/>
        <v>1</v>
      </c>
      <c r="B87" s="3">
        <f>EDATE($B$3,Site!$I$39*(ROW(Tab_Compteur_7[[#This Row],[Début de période]])-3))</f>
        <v>0</v>
      </c>
      <c r="C87" s="185"/>
      <c r="E87">
        <f t="shared" si="3"/>
        <v>0</v>
      </c>
      <c r="F87" t="str">
        <f>IFERROR(Tab_Compteur_7[[#This Row],[Quantité]]/Tab_Compteur_7[[#This Row],[Delta Jour]],"")</f>
        <v/>
      </c>
      <c r="G87" t="str">
        <f>IFERROR(Tab_Compteur_7[[#This Row],[Montant TTC]]/Tab_Compteur_7[[#This Row],[Delta Jour]],"")</f>
        <v/>
      </c>
      <c r="H87" s="42"/>
      <c r="I87" s="42"/>
      <c r="J87" s="42"/>
      <c r="K87" s="42"/>
      <c r="L87" s="42"/>
    </row>
    <row r="88" spans="1:12" x14ac:dyDescent="0.25">
      <c r="A88" s="3">
        <f t="shared" si="4"/>
        <v>1</v>
      </c>
      <c r="B88" s="3">
        <f>EDATE($B$3,Site!$I$39*(ROW(Tab_Compteur_7[[#This Row],[Début de période]])-3))</f>
        <v>0</v>
      </c>
      <c r="C88" s="185"/>
      <c r="E88">
        <f t="shared" si="3"/>
        <v>0</v>
      </c>
      <c r="F88" t="str">
        <f>IFERROR(Tab_Compteur_7[[#This Row],[Quantité]]/Tab_Compteur_7[[#This Row],[Delta Jour]],"")</f>
        <v/>
      </c>
      <c r="G88" t="str">
        <f>IFERROR(Tab_Compteur_7[[#This Row],[Montant TTC]]/Tab_Compteur_7[[#This Row],[Delta Jour]],"")</f>
        <v/>
      </c>
      <c r="H88" s="42"/>
      <c r="I88" s="42"/>
      <c r="J88" s="42"/>
      <c r="K88" s="42"/>
      <c r="L88" s="42"/>
    </row>
    <row r="89" spans="1:12" x14ac:dyDescent="0.25">
      <c r="A89" s="3">
        <f t="shared" si="4"/>
        <v>1</v>
      </c>
      <c r="B89" s="3">
        <f>EDATE($B$3,Site!$I$39*(ROW(Tab_Compteur_7[[#This Row],[Début de période]])-3))</f>
        <v>0</v>
      </c>
      <c r="C89" s="185"/>
      <c r="E89">
        <f t="shared" si="3"/>
        <v>0</v>
      </c>
      <c r="F89" t="str">
        <f>IFERROR(Tab_Compteur_7[[#This Row],[Quantité]]/Tab_Compteur_7[[#This Row],[Delta Jour]],"")</f>
        <v/>
      </c>
      <c r="G89" t="str">
        <f>IFERROR(Tab_Compteur_7[[#This Row],[Montant TTC]]/Tab_Compteur_7[[#This Row],[Delta Jour]],"")</f>
        <v/>
      </c>
      <c r="H89" s="42"/>
      <c r="I89" s="42"/>
      <c r="J89" s="42"/>
      <c r="K89" s="42"/>
      <c r="L89" s="42"/>
    </row>
    <row r="90" spans="1:12" x14ac:dyDescent="0.25">
      <c r="A90" s="3">
        <f t="shared" si="4"/>
        <v>1</v>
      </c>
      <c r="B90" s="3">
        <f>EDATE($B$3,Site!$I$39*(ROW(Tab_Compteur_7[[#This Row],[Début de période]])-3))</f>
        <v>0</v>
      </c>
      <c r="C90" s="185"/>
      <c r="E90">
        <f t="shared" si="3"/>
        <v>0</v>
      </c>
      <c r="F90" t="str">
        <f>IFERROR(Tab_Compteur_7[[#This Row],[Quantité]]/Tab_Compteur_7[[#This Row],[Delta Jour]],"")</f>
        <v/>
      </c>
      <c r="G90" t="str">
        <f>IFERROR(Tab_Compteur_7[[#This Row],[Montant TTC]]/Tab_Compteur_7[[#This Row],[Delta Jour]],"")</f>
        <v/>
      </c>
      <c r="H90" s="42"/>
      <c r="I90" s="42"/>
      <c r="J90" s="42"/>
      <c r="K90" s="42"/>
      <c r="L90" s="42"/>
    </row>
    <row r="91" spans="1:12" x14ac:dyDescent="0.25">
      <c r="A91" s="3">
        <f t="shared" si="4"/>
        <v>1</v>
      </c>
      <c r="B91" s="3">
        <f>EDATE($B$3,Site!$I$39*(ROW(Tab_Compteur_7[[#This Row],[Début de période]])-3))</f>
        <v>0</v>
      </c>
      <c r="C91" s="185"/>
      <c r="E91">
        <f t="shared" si="3"/>
        <v>0</v>
      </c>
      <c r="F91" t="str">
        <f>IFERROR(Tab_Compteur_7[[#This Row],[Quantité]]/Tab_Compteur_7[[#This Row],[Delta Jour]],"")</f>
        <v/>
      </c>
      <c r="G91" t="str">
        <f>IFERROR(Tab_Compteur_7[[#This Row],[Montant TTC]]/Tab_Compteur_7[[#This Row],[Delta Jour]],"")</f>
        <v/>
      </c>
      <c r="H91" s="42"/>
      <c r="I91" s="42"/>
      <c r="J91" s="42"/>
      <c r="K91" s="42"/>
      <c r="L91" s="42"/>
    </row>
    <row r="92" spans="1:12" x14ac:dyDescent="0.25">
      <c r="A92" s="3">
        <f t="shared" si="4"/>
        <v>1</v>
      </c>
      <c r="B92" s="3">
        <f>EDATE($B$3,Site!$I$39*(ROW(Tab_Compteur_7[[#This Row],[Début de période]])-3))</f>
        <v>0</v>
      </c>
      <c r="C92" s="185"/>
      <c r="E92">
        <f t="shared" si="3"/>
        <v>0</v>
      </c>
      <c r="F92" t="str">
        <f>IFERROR(Tab_Compteur_7[[#This Row],[Quantité]]/Tab_Compteur_7[[#This Row],[Delta Jour]],"")</f>
        <v/>
      </c>
      <c r="G92" t="str">
        <f>IFERROR(Tab_Compteur_7[[#This Row],[Montant TTC]]/Tab_Compteur_7[[#This Row],[Delta Jour]],"")</f>
        <v/>
      </c>
      <c r="H92" s="42"/>
      <c r="I92" s="42"/>
      <c r="J92" s="42"/>
      <c r="K92" s="42"/>
      <c r="L92" s="42"/>
    </row>
    <row r="93" spans="1:12" x14ac:dyDescent="0.25">
      <c r="A93" s="3">
        <f t="shared" si="4"/>
        <v>1</v>
      </c>
      <c r="B93" s="3">
        <f>EDATE($B$3,Site!$I$39*(ROW(Tab_Compteur_7[[#This Row],[Début de période]])-3))</f>
        <v>0</v>
      </c>
      <c r="C93" s="185"/>
      <c r="E93">
        <f t="shared" si="3"/>
        <v>0</v>
      </c>
      <c r="F93" t="str">
        <f>IFERROR(Tab_Compteur_7[[#This Row],[Quantité]]/Tab_Compteur_7[[#This Row],[Delta Jour]],"")</f>
        <v/>
      </c>
      <c r="G93" t="str">
        <f>IFERROR(Tab_Compteur_7[[#This Row],[Montant TTC]]/Tab_Compteur_7[[#This Row],[Delta Jour]],"")</f>
        <v/>
      </c>
      <c r="H93" s="42"/>
      <c r="I93" s="42"/>
      <c r="J93" s="42"/>
      <c r="K93" s="42"/>
      <c r="L93" s="42"/>
    </row>
    <row r="94" spans="1:12" x14ac:dyDescent="0.25">
      <c r="A94" s="3">
        <f t="shared" si="4"/>
        <v>1</v>
      </c>
      <c r="B94" s="3">
        <f>EDATE($B$3,Site!$I$39*(ROW(Tab_Compteur_7[[#This Row],[Début de période]])-3))</f>
        <v>0</v>
      </c>
      <c r="C94" s="185"/>
      <c r="E94">
        <f t="shared" si="3"/>
        <v>0</v>
      </c>
      <c r="F94" t="str">
        <f>IFERROR(Tab_Compteur_7[[#This Row],[Quantité]]/Tab_Compteur_7[[#This Row],[Delta Jour]],"")</f>
        <v/>
      </c>
      <c r="G94" t="str">
        <f>IFERROR(Tab_Compteur_7[[#This Row],[Montant TTC]]/Tab_Compteur_7[[#This Row],[Delta Jour]],"")</f>
        <v/>
      </c>
      <c r="H94" s="42"/>
      <c r="I94" s="42"/>
      <c r="J94" s="42"/>
      <c r="K94" s="42"/>
      <c r="L94" s="42"/>
    </row>
    <row r="95" spans="1:12" x14ac:dyDescent="0.25">
      <c r="A95" s="3">
        <f t="shared" si="4"/>
        <v>1</v>
      </c>
      <c r="B95" s="3">
        <f>EDATE($B$3,Site!$I$39*(ROW(Tab_Compteur_7[[#This Row],[Début de période]])-3))</f>
        <v>0</v>
      </c>
      <c r="C95" s="185"/>
      <c r="E95">
        <f t="shared" si="3"/>
        <v>0</v>
      </c>
      <c r="F95" t="str">
        <f>IFERROR(Tab_Compteur_7[[#This Row],[Quantité]]/Tab_Compteur_7[[#This Row],[Delta Jour]],"")</f>
        <v/>
      </c>
      <c r="G95" t="str">
        <f>IFERROR(Tab_Compteur_7[[#This Row],[Montant TTC]]/Tab_Compteur_7[[#This Row],[Delta Jour]],"")</f>
        <v/>
      </c>
      <c r="H95" s="42"/>
      <c r="I95" s="42"/>
      <c r="J95" s="42"/>
      <c r="K95" s="42"/>
      <c r="L95" s="42"/>
    </row>
    <row r="96" spans="1:12" x14ac:dyDescent="0.25">
      <c r="A96" s="3">
        <f t="shared" si="4"/>
        <v>1</v>
      </c>
      <c r="B96" s="3">
        <f>EDATE($B$3,Site!$I$39*(ROW(Tab_Compteur_7[[#This Row],[Début de période]])-3))</f>
        <v>0</v>
      </c>
      <c r="C96" s="185"/>
      <c r="E96">
        <f t="shared" si="3"/>
        <v>0</v>
      </c>
      <c r="F96" t="str">
        <f>IFERROR(Tab_Compteur_7[[#This Row],[Quantité]]/Tab_Compteur_7[[#This Row],[Delta Jour]],"")</f>
        <v/>
      </c>
      <c r="G96" t="str">
        <f>IFERROR(Tab_Compteur_7[[#This Row],[Montant TTC]]/Tab_Compteur_7[[#This Row],[Delta Jour]],"")</f>
        <v/>
      </c>
      <c r="H96" s="42"/>
      <c r="I96" s="42"/>
      <c r="J96" s="42"/>
      <c r="K96" s="42"/>
      <c r="L96" s="42"/>
    </row>
    <row r="97" spans="1:12" x14ac:dyDescent="0.25">
      <c r="A97" s="3">
        <f t="shared" si="4"/>
        <v>1</v>
      </c>
      <c r="B97" s="3">
        <f>EDATE($B$3,Site!$I$39*(ROW(Tab_Compteur_7[[#This Row],[Début de période]])-3))</f>
        <v>0</v>
      </c>
      <c r="C97" s="185"/>
      <c r="E97">
        <f t="shared" si="3"/>
        <v>0</v>
      </c>
      <c r="F97" t="str">
        <f>IFERROR(Tab_Compteur_7[[#This Row],[Quantité]]/Tab_Compteur_7[[#This Row],[Delta Jour]],"")</f>
        <v/>
      </c>
      <c r="G97" t="str">
        <f>IFERROR(Tab_Compteur_7[[#This Row],[Montant TTC]]/Tab_Compteur_7[[#This Row],[Delta Jour]],"")</f>
        <v/>
      </c>
      <c r="H97" s="42"/>
      <c r="I97" s="42"/>
      <c r="J97" s="42"/>
      <c r="K97" s="42"/>
      <c r="L97" s="42"/>
    </row>
    <row r="98" spans="1:12" x14ac:dyDescent="0.25">
      <c r="A98" s="3">
        <f t="shared" si="4"/>
        <v>1</v>
      </c>
      <c r="B98" s="3">
        <f>EDATE($B$3,Site!$I$39*(ROW(Tab_Compteur_7[[#This Row],[Début de période]])-3))</f>
        <v>0</v>
      </c>
      <c r="C98" s="185"/>
      <c r="E98">
        <f t="shared" si="3"/>
        <v>0</v>
      </c>
      <c r="F98" t="str">
        <f>IFERROR(Tab_Compteur_7[[#This Row],[Quantité]]/Tab_Compteur_7[[#This Row],[Delta Jour]],"")</f>
        <v/>
      </c>
      <c r="G98" t="str">
        <f>IFERROR(Tab_Compteur_7[[#This Row],[Montant TTC]]/Tab_Compteur_7[[#This Row],[Delta Jour]],"")</f>
        <v/>
      </c>
      <c r="H98" s="42"/>
      <c r="I98" s="42"/>
      <c r="J98" s="42"/>
      <c r="K98" s="42"/>
      <c r="L98" s="42"/>
    </row>
    <row r="99" spans="1:12" x14ac:dyDescent="0.25">
      <c r="A99" s="3">
        <f t="shared" si="4"/>
        <v>1</v>
      </c>
      <c r="B99" s="3">
        <f>EDATE($B$3,Site!$I$39*(ROW(Tab_Compteur_7[[#This Row],[Début de période]])-3))</f>
        <v>0</v>
      </c>
      <c r="C99" s="185"/>
      <c r="E99">
        <f t="shared" si="3"/>
        <v>0</v>
      </c>
      <c r="F99" t="str">
        <f>IFERROR(Tab_Compteur_7[[#This Row],[Quantité]]/Tab_Compteur_7[[#This Row],[Delta Jour]],"")</f>
        <v/>
      </c>
      <c r="G99" t="str">
        <f>IFERROR(Tab_Compteur_7[[#This Row],[Montant TTC]]/Tab_Compteur_7[[#This Row],[Delta Jour]],"")</f>
        <v/>
      </c>
      <c r="H99" s="42"/>
      <c r="I99" s="42"/>
      <c r="J99" s="42"/>
      <c r="K99" s="42"/>
      <c r="L99" s="42"/>
    </row>
    <row r="100" spans="1:12" x14ac:dyDescent="0.25">
      <c r="A100" s="3">
        <f t="shared" si="4"/>
        <v>1</v>
      </c>
      <c r="B100" s="3">
        <f>EDATE($B$3,Site!$I$39*(ROW(Tab_Compteur_7[[#This Row],[Début de période]])-3))</f>
        <v>0</v>
      </c>
      <c r="C100" s="185"/>
      <c r="E100">
        <f t="shared" si="3"/>
        <v>0</v>
      </c>
      <c r="F100" t="str">
        <f>IFERROR(Tab_Compteur_7[[#This Row],[Quantité]]/Tab_Compteur_7[[#This Row],[Delta Jour]],"")</f>
        <v/>
      </c>
      <c r="G100" t="str">
        <f>IFERROR(Tab_Compteur_7[[#This Row],[Montant TTC]]/Tab_Compteur_7[[#This Row],[Delta Jour]],"")</f>
        <v/>
      </c>
      <c r="H100" s="42"/>
      <c r="I100" s="42"/>
      <c r="J100" s="42"/>
      <c r="K100" s="42"/>
      <c r="L100" s="42"/>
    </row>
    <row r="101" spans="1:12" x14ac:dyDescent="0.25">
      <c r="A101" s="3">
        <f t="shared" si="4"/>
        <v>1</v>
      </c>
      <c r="B101" s="3">
        <f>EDATE($B$3,Site!$I$39*(ROW(Tab_Compteur_7[[#This Row],[Début de période]])-3))</f>
        <v>0</v>
      </c>
      <c r="C101" s="185"/>
      <c r="E101">
        <f t="shared" si="3"/>
        <v>0</v>
      </c>
      <c r="F101" t="str">
        <f>IFERROR(Tab_Compteur_7[[#This Row],[Quantité]]/Tab_Compteur_7[[#This Row],[Delta Jour]],"")</f>
        <v/>
      </c>
      <c r="G101" t="str">
        <f>IFERROR(Tab_Compteur_7[[#This Row],[Montant TTC]]/Tab_Compteur_7[[#This Row],[Delta Jour]],"")</f>
        <v/>
      </c>
      <c r="H101" s="42"/>
      <c r="I101" s="42"/>
      <c r="J101" s="42"/>
      <c r="K101" s="42"/>
      <c r="L101" s="42"/>
    </row>
    <row r="102" spans="1:12" x14ac:dyDescent="0.25">
      <c r="A102" s="3">
        <f t="shared" si="4"/>
        <v>1</v>
      </c>
      <c r="B102" s="3">
        <f>EDATE($B$3,Site!$I$39*(ROW(Tab_Compteur_7[[#This Row],[Début de période]])-3))</f>
        <v>0</v>
      </c>
      <c r="C102" s="185"/>
      <c r="E102">
        <f t="shared" si="3"/>
        <v>0</v>
      </c>
      <c r="F102" t="str">
        <f>IFERROR(Tab_Compteur_7[[#This Row],[Quantité]]/Tab_Compteur_7[[#This Row],[Delta Jour]],"")</f>
        <v/>
      </c>
      <c r="G102" t="str">
        <f>IFERROR(Tab_Compteur_7[[#This Row],[Montant TTC]]/Tab_Compteur_7[[#This Row],[Delta Jour]],"")</f>
        <v/>
      </c>
      <c r="H102" s="42"/>
      <c r="I102" s="42"/>
      <c r="J102" s="42"/>
      <c r="K102" s="42"/>
      <c r="L102" s="42"/>
    </row>
    <row r="103" spans="1:12" x14ac:dyDescent="0.25">
      <c r="A103" s="3">
        <f t="shared" si="4"/>
        <v>1</v>
      </c>
      <c r="B103" s="3">
        <f>EDATE($B$3,Site!$I$39*(ROW(Tab_Compteur_7[[#This Row],[Début de période]])-3))</f>
        <v>0</v>
      </c>
      <c r="C103" s="185"/>
      <c r="E103">
        <f t="shared" si="3"/>
        <v>0</v>
      </c>
      <c r="F103" t="str">
        <f>IFERROR(Tab_Compteur_7[[#This Row],[Quantité]]/Tab_Compteur_7[[#This Row],[Delta Jour]],"")</f>
        <v/>
      </c>
      <c r="G103" t="str">
        <f>IFERROR(Tab_Compteur_7[[#This Row],[Montant TTC]]/Tab_Compteur_7[[#This Row],[Delta Jour]],"")</f>
        <v/>
      </c>
      <c r="H103" s="42"/>
      <c r="I103" s="42"/>
      <c r="J103" s="42"/>
      <c r="K103" s="42"/>
      <c r="L103" s="42"/>
    </row>
    <row r="104" spans="1:12" x14ac:dyDescent="0.25">
      <c r="A104" s="3">
        <f t="shared" si="4"/>
        <v>1</v>
      </c>
      <c r="B104" s="3">
        <f>EDATE($B$3,Site!$I$39*(ROW(Tab_Compteur_7[[#This Row],[Début de période]])-3))</f>
        <v>0</v>
      </c>
      <c r="C104" s="185"/>
      <c r="E104">
        <f t="shared" si="3"/>
        <v>0</v>
      </c>
      <c r="F104" t="str">
        <f>IFERROR(Tab_Compteur_7[[#This Row],[Quantité]]/Tab_Compteur_7[[#This Row],[Delta Jour]],"")</f>
        <v/>
      </c>
      <c r="G104" t="str">
        <f>IFERROR(Tab_Compteur_7[[#This Row],[Montant TTC]]/Tab_Compteur_7[[#This Row],[Delta Jour]],"")</f>
        <v/>
      </c>
      <c r="H104" s="42"/>
      <c r="I104" s="42"/>
      <c r="J104" s="42"/>
      <c r="K104" s="42"/>
      <c r="L104" s="42"/>
    </row>
    <row r="105" spans="1:12" x14ac:dyDescent="0.25">
      <c r="A105" s="3">
        <f t="shared" si="4"/>
        <v>1</v>
      </c>
      <c r="B105" s="3">
        <f>EDATE($B$3,Site!$I$39*(ROW(Tab_Compteur_7[[#This Row],[Début de période]])-3))</f>
        <v>0</v>
      </c>
      <c r="C105" s="185"/>
      <c r="E105">
        <f t="shared" si="3"/>
        <v>0</v>
      </c>
      <c r="F105" t="str">
        <f>IFERROR(Tab_Compteur_7[[#This Row],[Quantité]]/Tab_Compteur_7[[#This Row],[Delta Jour]],"")</f>
        <v/>
      </c>
      <c r="G105" t="str">
        <f>IFERROR(Tab_Compteur_7[[#This Row],[Montant TTC]]/Tab_Compteur_7[[#This Row],[Delta Jour]],"")</f>
        <v/>
      </c>
      <c r="H105" s="42"/>
      <c r="I105" s="42"/>
      <c r="J105" s="42"/>
      <c r="K105" s="42"/>
      <c r="L105" s="42"/>
    </row>
    <row r="106" spans="1:12" x14ac:dyDescent="0.25">
      <c r="A106" s="3">
        <f t="shared" si="4"/>
        <v>1</v>
      </c>
      <c r="B106" s="3">
        <f>EDATE($B$3,Site!$I$39*(ROW(Tab_Compteur_7[[#This Row],[Début de période]])-3))</f>
        <v>0</v>
      </c>
      <c r="C106" s="185"/>
      <c r="E106">
        <f t="shared" si="3"/>
        <v>0</v>
      </c>
      <c r="F106" t="str">
        <f>IFERROR(Tab_Compteur_7[[#This Row],[Quantité]]/Tab_Compteur_7[[#This Row],[Delta Jour]],"")</f>
        <v/>
      </c>
      <c r="G106" t="str">
        <f>IFERROR(Tab_Compteur_7[[#This Row],[Montant TTC]]/Tab_Compteur_7[[#This Row],[Delta Jour]],"")</f>
        <v/>
      </c>
      <c r="H106" s="42"/>
      <c r="I106" s="42"/>
      <c r="J106" s="42"/>
      <c r="K106" s="42"/>
      <c r="L106" s="42"/>
    </row>
    <row r="107" spans="1:12" x14ac:dyDescent="0.25">
      <c r="A107" s="3">
        <f t="shared" si="4"/>
        <v>1</v>
      </c>
      <c r="B107" s="3">
        <f>EDATE($B$3,Site!$I$39*(ROW(Tab_Compteur_7[[#This Row],[Début de période]])-3))</f>
        <v>0</v>
      </c>
      <c r="C107" s="185"/>
      <c r="E107">
        <f t="shared" si="3"/>
        <v>0</v>
      </c>
      <c r="F107" t="str">
        <f>IFERROR(Tab_Compteur_7[[#This Row],[Quantité]]/Tab_Compteur_7[[#This Row],[Delta Jour]],"")</f>
        <v/>
      </c>
      <c r="G107" t="str">
        <f>IFERROR(Tab_Compteur_7[[#This Row],[Montant TTC]]/Tab_Compteur_7[[#This Row],[Delta Jour]],"")</f>
        <v/>
      </c>
      <c r="H107" s="42"/>
      <c r="I107" s="42"/>
      <c r="J107" s="42"/>
      <c r="K107" s="42"/>
      <c r="L107" s="42"/>
    </row>
    <row r="108" spans="1:12" x14ac:dyDescent="0.25">
      <c r="A108" s="3">
        <f t="shared" si="4"/>
        <v>1</v>
      </c>
      <c r="B108" s="3">
        <f>EDATE($B$3,Site!$I$39*(ROW(Tab_Compteur_7[[#This Row],[Début de période]])-3))</f>
        <v>0</v>
      </c>
      <c r="C108" s="185"/>
      <c r="E108">
        <f t="shared" si="3"/>
        <v>0</v>
      </c>
      <c r="F108" t="str">
        <f>IFERROR(Tab_Compteur_7[[#This Row],[Quantité]]/Tab_Compteur_7[[#This Row],[Delta Jour]],"")</f>
        <v/>
      </c>
      <c r="G108" t="str">
        <f>IFERROR(Tab_Compteur_7[[#This Row],[Montant TTC]]/Tab_Compteur_7[[#This Row],[Delta Jour]],"")</f>
        <v/>
      </c>
      <c r="H108" s="42"/>
      <c r="I108" s="42"/>
      <c r="J108" s="42"/>
      <c r="K108" s="42"/>
      <c r="L108" s="42"/>
    </row>
    <row r="109" spans="1:12" x14ac:dyDescent="0.25">
      <c r="A109" s="3">
        <f t="shared" si="4"/>
        <v>1</v>
      </c>
      <c r="B109" s="3">
        <f>EDATE($B$3,Site!$I$39*(ROW(Tab_Compteur_7[[#This Row],[Début de période]])-3))</f>
        <v>0</v>
      </c>
      <c r="C109" s="185"/>
      <c r="E109">
        <f t="shared" si="3"/>
        <v>0</v>
      </c>
      <c r="F109" t="str">
        <f>IFERROR(Tab_Compteur_7[[#This Row],[Quantité]]/Tab_Compteur_7[[#This Row],[Delta Jour]],"")</f>
        <v/>
      </c>
      <c r="G109" t="str">
        <f>IFERROR(Tab_Compteur_7[[#This Row],[Montant TTC]]/Tab_Compteur_7[[#This Row],[Delta Jour]],"")</f>
        <v/>
      </c>
      <c r="H109" s="42"/>
      <c r="I109" s="42"/>
      <c r="J109" s="42"/>
      <c r="K109" s="42"/>
      <c r="L109" s="42"/>
    </row>
    <row r="110" spans="1:12" x14ac:dyDescent="0.25">
      <c r="A110" s="3">
        <f t="shared" si="4"/>
        <v>1</v>
      </c>
      <c r="B110" s="3">
        <f>EDATE($B$3,Site!$I$39*(ROW(Tab_Compteur_7[[#This Row],[Début de période]])-3))</f>
        <v>0</v>
      </c>
      <c r="C110" s="185"/>
      <c r="E110">
        <f t="shared" si="3"/>
        <v>0</v>
      </c>
      <c r="F110" t="str">
        <f>IFERROR(Tab_Compteur_7[[#This Row],[Quantité]]/Tab_Compteur_7[[#This Row],[Delta Jour]],"")</f>
        <v/>
      </c>
      <c r="G110" t="str">
        <f>IFERROR(Tab_Compteur_7[[#This Row],[Montant TTC]]/Tab_Compteur_7[[#This Row],[Delta Jour]],"")</f>
        <v/>
      </c>
      <c r="H110" s="42"/>
      <c r="I110" s="42"/>
      <c r="J110" s="42"/>
      <c r="K110" s="42"/>
      <c r="L110" s="42"/>
    </row>
    <row r="111" spans="1:12" x14ac:dyDescent="0.25">
      <c r="A111" s="3">
        <f t="shared" si="4"/>
        <v>1</v>
      </c>
      <c r="B111" s="3">
        <f>EDATE($B$3,Site!$I$39*(ROW(Tab_Compteur_7[[#This Row],[Début de période]])-3))</f>
        <v>0</v>
      </c>
      <c r="C111" s="185"/>
      <c r="E111">
        <f t="shared" si="3"/>
        <v>0</v>
      </c>
      <c r="F111" t="str">
        <f>IFERROR(Tab_Compteur_7[[#This Row],[Quantité]]/Tab_Compteur_7[[#This Row],[Delta Jour]],"")</f>
        <v/>
      </c>
      <c r="G111" t="str">
        <f>IFERROR(Tab_Compteur_7[[#This Row],[Montant TTC]]/Tab_Compteur_7[[#This Row],[Delta Jour]],"")</f>
        <v/>
      </c>
      <c r="H111" s="42"/>
      <c r="I111" s="42"/>
      <c r="J111" s="42"/>
      <c r="K111" s="42"/>
      <c r="L111" s="42"/>
    </row>
    <row r="112" spans="1:12" x14ac:dyDescent="0.25">
      <c r="A112" s="3">
        <f t="shared" si="4"/>
        <v>1</v>
      </c>
      <c r="B112" s="3">
        <f>EDATE($B$3,Site!$I$39*(ROW(Tab_Compteur_7[[#This Row],[Début de période]])-3))</f>
        <v>0</v>
      </c>
      <c r="C112" s="185"/>
      <c r="E112">
        <f t="shared" si="3"/>
        <v>0</v>
      </c>
      <c r="F112" t="str">
        <f>IFERROR(Tab_Compteur_7[[#This Row],[Quantité]]/Tab_Compteur_7[[#This Row],[Delta Jour]],"")</f>
        <v/>
      </c>
      <c r="G112" t="str">
        <f>IFERROR(Tab_Compteur_7[[#This Row],[Montant TTC]]/Tab_Compteur_7[[#This Row],[Delta Jour]],"")</f>
        <v/>
      </c>
      <c r="H112" s="42"/>
      <c r="I112" s="42"/>
      <c r="J112" s="42"/>
      <c r="K112" s="42"/>
      <c r="L112" s="42"/>
    </row>
    <row r="113" spans="1:12" x14ac:dyDescent="0.25">
      <c r="A113" s="3">
        <f t="shared" si="4"/>
        <v>1</v>
      </c>
      <c r="B113" s="3">
        <f>EDATE($B$3,Site!$I$39*(ROW(Tab_Compteur_7[[#This Row],[Début de période]])-3))</f>
        <v>0</v>
      </c>
      <c r="C113" s="185"/>
      <c r="E113">
        <f t="shared" si="3"/>
        <v>0</v>
      </c>
      <c r="F113" t="str">
        <f>IFERROR(Tab_Compteur_7[[#This Row],[Quantité]]/Tab_Compteur_7[[#This Row],[Delta Jour]],"")</f>
        <v/>
      </c>
      <c r="G113" t="str">
        <f>IFERROR(Tab_Compteur_7[[#This Row],[Montant TTC]]/Tab_Compteur_7[[#This Row],[Delta Jour]],"")</f>
        <v/>
      </c>
      <c r="H113" s="42"/>
      <c r="I113" s="42"/>
      <c r="J113" s="42"/>
      <c r="K113" s="42"/>
      <c r="L113" s="42"/>
    </row>
    <row r="114" spans="1:12" x14ac:dyDescent="0.25">
      <c r="A114" s="3">
        <f t="shared" si="4"/>
        <v>1</v>
      </c>
      <c r="B114" s="3">
        <f>EDATE($B$3,Site!$I$39*(ROW(Tab_Compteur_7[[#This Row],[Début de période]])-3))</f>
        <v>0</v>
      </c>
      <c r="C114" s="185"/>
      <c r="E114">
        <f t="shared" si="3"/>
        <v>0</v>
      </c>
      <c r="F114" t="str">
        <f>IFERROR(Tab_Compteur_7[[#This Row],[Quantité]]/Tab_Compteur_7[[#This Row],[Delta Jour]],"")</f>
        <v/>
      </c>
      <c r="G114" t="str">
        <f>IFERROR(Tab_Compteur_7[[#This Row],[Montant TTC]]/Tab_Compteur_7[[#This Row],[Delta Jour]],"")</f>
        <v/>
      </c>
      <c r="H114" s="42"/>
      <c r="I114" s="42"/>
      <c r="J114" s="42"/>
      <c r="K114" s="42"/>
      <c r="L114" s="42"/>
    </row>
    <row r="115" spans="1:12" x14ac:dyDescent="0.25">
      <c r="A115" s="3">
        <f t="shared" si="4"/>
        <v>1</v>
      </c>
      <c r="B115" s="3">
        <f>EDATE($B$3,Site!$I$39*(ROW(Tab_Compteur_7[[#This Row],[Début de période]])-3))</f>
        <v>0</v>
      </c>
      <c r="C115" s="185"/>
      <c r="E115">
        <f t="shared" si="3"/>
        <v>0</v>
      </c>
      <c r="F115" t="str">
        <f>IFERROR(Tab_Compteur_7[[#This Row],[Quantité]]/Tab_Compteur_7[[#This Row],[Delta Jour]],"")</f>
        <v/>
      </c>
      <c r="G115" t="str">
        <f>IFERROR(Tab_Compteur_7[[#This Row],[Montant TTC]]/Tab_Compteur_7[[#This Row],[Delta Jour]],"")</f>
        <v/>
      </c>
      <c r="H115" s="42"/>
      <c r="I115" s="42"/>
      <c r="J115" s="42"/>
      <c r="K115" s="42"/>
      <c r="L115" s="42"/>
    </row>
    <row r="116" spans="1:12" x14ac:dyDescent="0.25">
      <c r="A116" s="3">
        <f t="shared" si="4"/>
        <v>1</v>
      </c>
      <c r="B116" s="3">
        <f>EDATE($B$3,Site!$I$39*(ROW(Tab_Compteur_7[[#This Row],[Début de période]])-3))</f>
        <v>0</v>
      </c>
      <c r="C116" s="185"/>
      <c r="E116">
        <f t="shared" si="3"/>
        <v>0</v>
      </c>
      <c r="F116" t="str">
        <f>IFERROR(Tab_Compteur_7[[#This Row],[Quantité]]/Tab_Compteur_7[[#This Row],[Delta Jour]],"")</f>
        <v/>
      </c>
      <c r="G116" t="str">
        <f>IFERROR(Tab_Compteur_7[[#This Row],[Montant TTC]]/Tab_Compteur_7[[#This Row],[Delta Jour]],"")</f>
        <v/>
      </c>
      <c r="H116" s="42"/>
      <c r="I116" s="42"/>
      <c r="J116" s="42"/>
      <c r="K116" s="42"/>
      <c r="L116" s="42"/>
    </row>
    <row r="117" spans="1:12" x14ac:dyDescent="0.25">
      <c r="A117" s="3">
        <f t="shared" si="4"/>
        <v>1</v>
      </c>
      <c r="B117" s="3">
        <f>EDATE($B$3,Site!$I$39*(ROW(Tab_Compteur_7[[#This Row],[Début de période]])-3))</f>
        <v>0</v>
      </c>
      <c r="C117" s="185"/>
      <c r="E117">
        <f t="shared" si="3"/>
        <v>0</v>
      </c>
      <c r="F117" t="str">
        <f>IFERROR(Tab_Compteur_7[[#This Row],[Quantité]]/Tab_Compteur_7[[#This Row],[Delta Jour]],"")</f>
        <v/>
      </c>
      <c r="G117" t="str">
        <f>IFERROR(Tab_Compteur_7[[#This Row],[Montant TTC]]/Tab_Compteur_7[[#This Row],[Delta Jour]],"")</f>
        <v/>
      </c>
      <c r="H117" s="42"/>
      <c r="I117" s="42"/>
      <c r="J117" s="42"/>
      <c r="K117" s="42"/>
      <c r="L117" s="42"/>
    </row>
    <row r="118" spans="1:12" x14ac:dyDescent="0.25">
      <c r="A118" s="3">
        <f t="shared" si="4"/>
        <v>1</v>
      </c>
      <c r="B118" s="3">
        <f>EDATE($B$3,Site!$I$39*(ROW(Tab_Compteur_7[[#This Row],[Début de période]])-3))</f>
        <v>0</v>
      </c>
      <c r="C118" s="185"/>
      <c r="E118">
        <f t="shared" si="3"/>
        <v>0</v>
      </c>
      <c r="F118" t="str">
        <f>IFERROR(Tab_Compteur_7[[#This Row],[Quantité]]/Tab_Compteur_7[[#This Row],[Delta Jour]],"")</f>
        <v/>
      </c>
      <c r="G118" t="str">
        <f>IFERROR(Tab_Compteur_7[[#This Row],[Montant TTC]]/Tab_Compteur_7[[#This Row],[Delta Jour]],"")</f>
        <v/>
      </c>
      <c r="H118" s="42"/>
      <c r="I118" s="42"/>
      <c r="J118" s="42"/>
      <c r="K118" s="42"/>
      <c r="L118" s="42"/>
    </row>
    <row r="119" spans="1:12" x14ac:dyDescent="0.25">
      <c r="A119" s="3">
        <f t="shared" si="4"/>
        <v>1</v>
      </c>
      <c r="B119" s="3">
        <f>EDATE($B$3,Site!$I$39*(ROW(Tab_Compteur_7[[#This Row],[Début de période]])-3))</f>
        <v>0</v>
      </c>
      <c r="C119" s="185"/>
      <c r="E119">
        <f t="shared" si="3"/>
        <v>0</v>
      </c>
      <c r="F119" t="str">
        <f>IFERROR(Tab_Compteur_7[[#This Row],[Quantité]]/Tab_Compteur_7[[#This Row],[Delta Jour]],"")</f>
        <v/>
      </c>
      <c r="G119" t="str">
        <f>IFERROR(Tab_Compteur_7[[#This Row],[Montant TTC]]/Tab_Compteur_7[[#This Row],[Delta Jour]],"")</f>
        <v/>
      </c>
      <c r="H119" s="42"/>
      <c r="I119" s="42"/>
      <c r="J119" s="42"/>
      <c r="K119" s="42"/>
      <c r="L119" s="42"/>
    </row>
    <row r="120" spans="1:12" x14ac:dyDescent="0.25">
      <c r="A120" s="3">
        <f t="shared" si="4"/>
        <v>1</v>
      </c>
      <c r="B120" s="3">
        <f>EDATE($B$3,Site!$I$39*(ROW(Tab_Compteur_7[[#This Row],[Début de période]])-3))</f>
        <v>0</v>
      </c>
      <c r="C120" s="185"/>
      <c r="E120">
        <f t="shared" si="3"/>
        <v>0</v>
      </c>
      <c r="F120" t="str">
        <f>IFERROR(Tab_Compteur_7[[#This Row],[Quantité]]/Tab_Compteur_7[[#This Row],[Delta Jour]],"")</f>
        <v/>
      </c>
      <c r="G120" t="str">
        <f>IFERROR(Tab_Compteur_7[[#This Row],[Montant TTC]]/Tab_Compteur_7[[#This Row],[Delta Jour]],"")</f>
        <v/>
      </c>
      <c r="H120" s="42"/>
      <c r="I120" s="42"/>
      <c r="J120" s="42"/>
      <c r="K120" s="42"/>
      <c r="L120" s="42"/>
    </row>
    <row r="121" spans="1:12" x14ac:dyDescent="0.25">
      <c r="A121" s="3">
        <f t="shared" si="4"/>
        <v>1</v>
      </c>
      <c r="B121" s="3">
        <f>EDATE($B$3,Site!$I$39*(ROW(Tab_Compteur_7[[#This Row],[Début de période]])-3))</f>
        <v>0</v>
      </c>
      <c r="C121" s="185"/>
      <c r="E121">
        <f t="shared" si="3"/>
        <v>0</v>
      </c>
      <c r="F121" t="str">
        <f>IFERROR(Tab_Compteur_7[[#This Row],[Quantité]]/Tab_Compteur_7[[#This Row],[Delta Jour]],"")</f>
        <v/>
      </c>
      <c r="G121" t="str">
        <f>IFERROR(Tab_Compteur_7[[#This Row],[Montant TTC]]/Tab_Compteur_7[[#This Row],[Delta Jour]],"")</f>
        <v/>
      </c>
      <c r="H121" s="42"/>
      <c r="I121" s="42"/>
      <c r="J121" s="42"/>
      <c r="K121" s="42"/>
      <c r="L121" s="42"/>
    </row>
    <row r="122" spans="1:12" x14ac:dyDescent="0.25">
      <c r="A122" s="3">
        <f t="shared" si="4"/>
        <v>1</v>
      </c>
      <c r="B122" s="3">
        <f>EDATE($B$3,Site!$I$39*(ROW(Tab_Compteur_7[[#This Row],[Début de période]])-3))</f>
        <v>0</v>
      </c>
      <c r="C122" s="185"/>
      <c r="E122">
        <f t="shared" si="3"/>
        <v>0</v>
      </c>
      <c r="F122" t="str">
        <f>IFERROR(Tab_Compteur_7[[#This Row],[Quantité]]/Tab_Compteur_7[[#This Row],[Delta Jour]],"")</f>
        <v/>
      </c>
      <c r="G122" t="str">
        <f>IFERROR(Tab_Compteur_7[[#This Row],[Montant TTC]]/Tab_Compteur_7[[#This Row],[Delta Jour]],"")</f>
        <v/>
      </c>
      <c r="H122" s="42"/>
      <c r="I122" s="42"/>
      <c r="J122" s="42"/>
      <c r="K122" s="42"/>
      <c r="L122" s="42"/>
    </row>
    <row r="123" spans="1:12" x14ac:dyDescent="0.25">
      <c r="A123" s="3">
        <f t="shared" si="4"/>
        <v>1</v>
      </c>
      <c r="B123" s="3">
        <f>EDATE($B$3,Site!$I$39*(ROW(Tab_Compteur_7[[#This Row],[Début de période]])-3))</f>
        <v>0</v>
      </c>
      <c r="C123" s="185"/>
      <c r="E123">
        <f t="shared" si="3"/>
        <v>0</v>
      </c>
      <c r="F123" t="str">
        <f>IFERROR(Tab_Compteur_7[[#This Row],[Quantité]]/Tab_Compteur_7[[#This Row],[Delta Jour]],"")</f>
        <v/>
      </c>
      <c r="G123" t="str">
        <f>IFERROR(Tab_Compteur_7[[#This Row],[Montant TTC]]/Tab_Compteur_7[[#This Row],[Delta Jour]],"")</f>
        <v/>
      </c>
      <c r="H123" s="42"/>
      <c r="I123" s="42"/>
      <c r="J123" s="42"/>
      <c r="K123" s="42"/>
      <c r="L123" s="42"/>
    </row>
    <row r="124" spans="1:12" x14ac:dyDescent="0.25">
      <c r="A124" s="3">
        <f t="shared" si="4"/>
        <v>1</v>
      </c>
      <c r="B124" s="3">
        <f>EDATE($B$3,Site!$I$39*(ROW(Tab_Compteur_7[[#This Row],[Début de période]])-3))</f>
        <v>0</v>
      </c>
      <c r="C124" s="185"/>
      <c r="E124">
        <f t="shared" si="3"/>
        <v>0</v>
      </c>
      <c r="F124" t="str">
        <f>IFERROR(Tab_Compteur_7[[#This Row],[Quantité]]/Tab_Compteur_7[[#This Row],[Delta Jour]],"")</f>
        <v/>
      </c>
      <c r="G124" t="str">
        <f>IFERROR(Tab_Compteur_7[[#This Row],[Montant TTC]]/Tab_Compteur_7[[#This Row],[Delta Jour]],"")</f>
        <v/>
      </c>
      <c r="H124" s="42"/>
      <c r="I124" s="42"/>
      <c r="J124" s="42"/>
      <c r="K124" s="42"/>
      <c r="L124" s="42"/>
    </row>
    <row r="125" spans="1:12" x14ac:dyDescent="0.25">
      <c r="A125" s="3">
        <f t="shared" si="4"/>
        <v>1</v>
      </c>
      <c r="B125" s="3">
        <f>EDATE($B$3,Site!$I$39*(ROW(Tab_Compteur_7[[#This Row],[Début de période]])-3))</f>
        <v>0</v>
      </c>
      <c r="C125" s="185"/>
      <c r="E125">
        <f t="shared" si="3"/>
        <v>0</v>
      </c>
      <c r="F125" t="str">
        <f>IFERROR(Tab_Compteur_7[[#This Row],[Quantité]]/Tab_Compteur_7[[#This Row],[Delta Jour]],"")</f>
        <v/>
      </c>
      <c r="G125" t="str">
        <f>IFERROR(Tab_Compteur_7[[#This Row],[Montant TTC]]/Tab_Compteur_7[[#This Row],[Delta Jour]],"")</f>
        <v/>
      </c>
      <c r="H125" s="42"/>
      <c r="I125" s="42"/>
      <c r="J125" s="42"/>
      <c r="K125" s="42"/>
      <c r="L125" s="42"/>
    </row>
    <row r="126" spans="1:12" x14ac:dyDescent="0.25">
      <c r="A126" s="3">
        <f t="shared" si="4"/>
        <v>1</v>
      </c>
      <c r="B126" s="3">
        <f>EDATE($B$3,Site!$I$39*(ROW(Tab_Compteur_7[[#This Row],[Début de période]])-3))</f>
        <v>0</v>
      </c>
      <c r="C126" s="185"/>
      <c r="E126">
        <f t="shared" si="3"/>
        <v>0</v>
      </c>
      <c r="F126" t="str">
        <f>IFERROR(Tab_Compteur_7[[#This Row],[Quantité]]/Tab_Compteur_7[[#This Row],[Delta Jour]],"")</f>
        <v/>
      </c>
      <c r="G126" t="str">
        <f>IFERROR(Tab_Compteur_7[[#This Row],[Montant TTC]]/Tab_Compteur_7[[#This Row],[Delta Jour]],"")</f>
        <v/>
      </c>
      <c r="H126" s="42"/>
      <c r="I126" s="42"/>
      <c r="J126" s="42"/>
      <c r="K126" s="42"/>
      <c r="L126" s="42"/>
    </row>
    <row r="127" spans="1:12" x14ac:dyDescent="0.25">
      <c r="A127" s="3">
        <f t="shared" si="4"/>
        <v>1</v>
      </c>
      <c r="B127" s="3">
        <f>EDATE($B$3,Site!$I$39*(ROW(Tab_Compteur_7[[#This Row],[Début de période]])-3))</f>
        <v>0</v>
      </c>
      <c r="C127" s="185"/>
      <c r="E127">
        <f t="shared" si="3"/>
        <v>0</v>
      </c>
      <c r="F127" t="str">
        <f>IFERROR(Tab_Compteur_7[[#This Row],[Quantité]]/Tab_Compteur_7[[#This Row],[Delta Jour]],"")</f>
        <v/>
      </c>
      <c r="G127" t="str">
        <f>IFERROR(Tab_Compteur_7[[#This Row],[Montant TTC]]/Tab_Compteur_7[[#This Row],[Delta Jour]],"")</f>
        <v/>
      </c>
      <c r="H127" s="42"/>
      <c r="I127" s="42"/>
      <c r="J127" s="42"/>
      <c r="K127" s="42"/>
      <c r="L127" s="42"/>
    </row>
    <row r="128" spans="1:12" x14ac:dyDescent="0.25">
      <c r="A128" s="3">
        <f t="shared" si="4"/>
        <v>1</v>
      </c>
      <c r="B128" s="3">
        <f>EDATE($B$3,Site!$I$39*(ROW(Tab_Compteur_7[[#This Row],[Début de période]])-3))</f>
        <v>0</v>
      </c>
      <c r="C128" s="185"/>
      <c r="E128">
        <f t="shared" si="3"/>
        <v>0</v>
      </c>
      <c r="F128" t="str">
        <f>IFERROR(Tab_Compteur_7[[#This Row],[Quantité]]/Tab_Compteur_7[[#This Row],[Delta Jour]],"")</f>
        <v/>
      </c>
      <c r="G128" t="str">
        <f>IFERROR(Tab_Compteur_7[[#This Row],[Montant TTC]]/Tab_Compteur_7[[#This Row],[Delta Jour]],"")</f>
        <v/>
      </c>
      <c r="H128" s="42"/>
      <c r="I128" s="42"/>
      <c r="J128" s="42"/>
      <c r="K128" s="42"/>
      <c r="L128" s="42"/>
    </row>
    <row r="129" spans="1:12" x14ac:dyDescent="0.25">
      <c r="A129" s="3">
        <f t="shared" si="4"/>
        <v>1</v>
      </c>
      <c r="B129" s="3">
        <f>EDATE($B$3,Site!$I$39*(ROW(Tab_Compteur_7[[#This Row],[Début de période]])-3))</f>
        <v>0</v>
      </c>
      <c r="C129" s="185"/>
      <c r="E129">
        <f t="shared" si="3"/>
        <v>0</v>
      </c>
      <c r="F129" t="str">
        <f>IFERROR(Tab_Compteur_7[[#This Row],[Quantité]]/Tab_Compteur_7[[#This Row],[Delta Jour]],"")</f>
        <v/>
      </c>
      <c r="G129" t="str">
        <f>IFERROR(Tab_Compteur_7[[#This Row],[Montant TTC]]/Tab_Compteur_7[[#This Row],[Delta Jour]],"")</f>
        <v/>
      </c>
      <c r="H129" s="42"/>
      <c r="I129" s="42"/>
      <c r="J129" s="42"/>
      <c r="K129" s="42"/>
      <c r="L129" s="42"/>
    </row>
    <row r="130" spans="1:12" x14ac:dyDescent="0.25">
      <c r="A130" s="3">
        <f t="shared" si="4"/>
        <v>1</v>
      </c>
      <c r="B130" s="3">
        <f>EDATE($B$3,Site!$I$39*(ROW(Tab_Compteur_7[[#This Row],[Début de période]])-3))</f>
        <v>0</v>
      </c>
      <c r="C130" s="185"/>
      <c r="E130">
        <f t="shared" ref="E130:E193" si="5">IFERROR(B130-A130+1,"")</f>
        <v>0</v>
      </c>
      <c r="F130" t="str">
        <f>IFERROR(Tab_Compteur_7[[#This Row],[Quantité]]/Tab_Compteur_7[[#This Row],[Delta Jour]],"")</f>
        <v/>
      </c>
      <c r="G130" t="str">
        <f>IFERROR(Tab_Compteur_7[[#This Row],[Montant TTC]]/Tab_Compteur_7[[#This Row],[Delta Jour]],"")</f>
        <v/>
      </c>
      <c r="H130" s="42"/>
      <c r="I130" s="42"/>
      <c r="J130" s="42"/>
      <c r="K130" s="42"/>
      <c r="L130" s="42"/>
    </row>
    <row r="131" spans="1:12" x14ac:dyDescent="0.25">
      <c r="A131" s="3">
        <f t="shared" si="4"/>
        <v>1</v>
      </c>
      <c r="B131" s="3">
        <f>EDATE($B$3,Site!$I$39*(ROW(Tab_Compteur_7[[#This Row],[Début de période]])-3))</f>
        <v>0</v>
      </c>
      <c r="C131" s="185"/>
      <c r="E131">
        <f t="shared" si="5"/>
        <v>0</v>
      </c>
      <c r="F131" t="str">
        <f>IFERROR(Tab_Compteur_7[[#This Row],[Quantité]]/Tab_Compteur_7[[#This Row],[Delta Jour]],"")</f>
        <v/>
      </c>
      <c r="G131" t="str">
        <f>IFERROR(Tab_Compteur_7[[#This Row],[Montant TTC]]/Tab_Compteur_7[[#This Row],[Delta Jour]],"")</f>
        <v/>
      </c>
      <c r="H131" s="42"/>
      <c r="I131" s="42"/>
      <c r="J131" s="42"/>
      <c r="K131" s="42"/>
      <c r="L131" s="42"/>
    </row>
    <row r="132" spans="1:12" x14ac:dyDescent="0.25">
      <c r="A132" s="3">
        <f t="shared" si="4"/>
        <v>1</v>
      </c>
      <c r="B132" s="3">
        <f>EDATE($B$3,Site!$I$39*(ROW(Tab_Compteur_7[[#This Row],[Début de période]])-3))</f>
        <v>0</v>
      </c>
      <c r="C132" s="185"/>
      <c r="E132">
        <f t="shared" si="5"/>
        <v>0</v>
      </c>
      <c r="F132" t="str">
        <f>IFERROR(Tab_Compteur_7[[#This Row],[Quantité]]/Tab_Compteur_7[[#This Row],[Delta Jour]],"")</f>
        <v/>
      </c>
      <c r="G132" t="str">
        <f>IFERROR(Tab_Compteur_7[[#This Row],[Montant TTC]]/Tab_Compteur_7[[#This Row],[Delta Jour]],"")</f>
        <v/>
      </c>
      <c r="H132" s="42"/>
      <c r="I132" s="42"/>
      <c r="J132" s="42"/>
      <c r="K132" s="42"/>
      <c r="L132" s="42"/>
    </row>
    <row r="133" spans="1:12" x14ac:dyDescent="0.25">
      <c r="A133" s="3">
        <f t="shared" ref="A133:A196" si="6">B132+1</f>
        <v>1</v>
      </c>
      <c r="B133" s="3">
        <f>EDATE($B$3,Site!$I$39*(ROW(Tab_Compteur_7[[#This Row],[Début de période]])-3))</f>
        <v>0</v>
      </c>
      <c r="C133" s="185"/>
      <c r="E133">
        <f t="shared" si="5"/>
        <v>0</v>
      </c>
      <c r="F133" t="str">
        <f>IFERROR(Tab_Compteur_7[[#This Row],[Quantité]]/Tab_Compteur_7[[#This Row],[Delta Jour]],"")</f>
        <v/>
      </c>
      <c r="G133" t="str">
        <f>IFERROR(Tab_Compteur_7[[#This Row],[Montant TTC]]/Tab_Compteur_7[[#This Row],[Delta Jour]],"")</f>
        <v/>
      </c>
      <c r="H133" s="42"/>
      <c r="I133" s="42"/>
      <c r="J133" s="42"/>
      <c r="K133" s="42"/>
      <c r="L133" s="42"/>
    </row>
    <row r="134" spans="1:12" x14ac:dyDescent="0.25">
      <c r="A134" s="3">
        <f t="shared" si="6"/>
        <v>1</v>
      </c>
      <c r="B134" s="3">
        <f>EDATE($B$3,Site!$I$39*(ROW(Tab_Compteur_7[[#This Row],[Début de période]])-3))</f>
        <v>0</v>
      </c>
      <c r="C134" s="185"/>
      <c r="E134">
        <f t="shared" si="5"/>
        <v>0</v>
      </c>
      <c r="F134" t="str">
        <f>IFERROR(Tab_Compteur_7[[#This Row],[Quantité]]/Tab_Compteur_7[[#This Row],[Delta Jour]],"")</f>
        <v/>
      </c>
      <c r="G134" t="str">
        <f>IFERROR(Tab_Compteur_7[[#This Row],[Montant TTC]]/Tab_Compteur_7[[#This Row],[Delta Jour]],"")</f>
        <v/>
      </c>
      <c r="H134" s="42"/>
      <c r="I134" s="42"/>
      <c r="J134" s="42"/>
      <c r="K134" s="42"/>
      <c r="L134" s="42"/>
    </row>
    <row r="135" spans="1:12" x14ac:dyDescent="0.25">
      <c r="A135" s="3">
        <f t="shared" si="6"/>
        <v>1</v>
      </c>
      <c r="B135" s="3">
        <f>EDATE($B$3,Site!$I$39*(ROW(Tab_Compteur_7[[#This Row],[Début de période]])-3))</f>
        <v>0</v>
      </c>
      <c r="C135" s="185"/>
      <c r="E135">
        <f t="shared" si="5"/>
        <v>0</v>
      </c>
      <c r="F135" t="str">
        <f>IFERROR(Tab_Compteur_7[[#This Row],[Quantité]]/Tab_Compteur_7[[#This Row],[Delta Jour]],"")</f>
        <v/>
      </c>
      <c r="G135" t="str">
        <f>IFERROR(Tab_Compteur_7[[#This Row],[Montant TTC]]/Tab_Compteur_7[[#This Row],[Delta Jour]],"")</f>
        <v/>
      </c>
      <c r="H135" s="42"/>
      <c r="I135" s="42"/>
      <c r="J135" s="42"/>
      <c r="K135" s="42"/>
      <c r="L135" s="42"/>
    </row>
    <row r="136" spans="1:12" x14ac:dyDescent="0.25">
      <c r="A136" s="3">
        <f t="shared" si="6"/>
        <v>1</v>
      </c>
      <c r="B136" s="3">
        <f>EDATE($B$3,Site!$I$39*(ROW(Tab_Compteur_7[[#This Row],[Début de période]])-3))</f>
        <v>0</v>
      </c>
      <c r="C136" s="185"/>
      <c r="E136">
        <f t="shared" si="5"/>
        <v>0</v>
      </c>
      <c r="F136" t="str">
        <f>IFERROR(Tab_Compteur_7[[#This Row],[Quantité]]/Tab_Compteur_7[[#This Row],[Delta Jour]],"")</f>
        <v/>
      </c>
      <c r="G136" t="str">
        <f>IFERROR(Tab_Compteur_7[[#This Row],[Montant TTC]]/Tab_Compteur_7[[#This Row],[Delta Jour]],"")</f>
        <v/>
      </c>
      <c r="H136" s="42"/>
      <c r="I136" s="42"/>
      <c r="J136" s="42"/>
      <c r="K136" s="42"/>
      <c r="L136" s="42"/>
    </row>
    <row r="137" spans="1:12" x14ac:dyDescent="0.25">
      <c r="A137" s="3">
        <f t="shared" si="6"/>
        <v>1</v>
      </c>
      <c r="B137" s="3">
        <f>EDATE($B$3,Site!$I$39*(ROW(Tab_Compteur_7[[#This Row],[Début de période]])-3))</f>
        <v>0</v>
      </c>
      <c r="C137" s="185"/>
      <c r="E137">
        <f t="shared" si="5"/>
        <v>0</v>
      </c>
      <c r="F137" t="str">
        <f>IFERROR(Tab_Compteur_7[[#This Row],[Quantité]]/Tab_Compteur_7[[#This Row],[Delta Jour]],"")</f>
        <v/>
      </c>
      <c r="G137" t="str">
        <f>IFERROR(Tab_Compteur_7[[#This Row],[Montant TTC]]/Tab_Compteur_7[[#This Row],[Delta Jour]],"")</f>
        <v/>
      </c>
      <c r="H137" s="42"/>
      <c r="I137" s="42"/>
      <c r="J137" s="42"/>
      <c r="K137" s="42"/>
      <c r="L137" s="42"/>
    </row>
    <row r="138" spans="1:12" x14ac:dyDescent="0.25">
      <c r="A138" s="3">
        <f t="shared" si="6"/>
        <v>1</v>
      </c>
      <c r="B138" s="3">
        <f>EDATE($B$3,Site!$I$39*(ROW(Tab_Compteur_7[[#This Row],[Début de période]])-3))</f>
        <v>0</v>
      </c>
      <c r="C138" s="185"/>
      <c r="E138">
        <f t="shared" si="5"/>
        <v>0</v>
      </c>
      <c r="F138" t="str">
        <f>IFERROR(Tab_Compteur_7[[#This Row],[Quantité]]/Tab_Compteur_7[[#This Row],[Delta Jour]],"")</f>
        <v/>
      </c>
      <c r="G138" t="str">
        <f>IFERROR(Tab_Compteur_7[[#This Row],[Montant TTC]]/Tab_Compteur_7[[#This Row],[Delta Jour]],"")</f>
        <v/>
      </c>
      <c r="H138" s="42"/>
      <c r="I138" s="42"/>
      <c r="J138" s="42"/>
      <c r="K138" s="42"/>
      <c r="L138" s="42"/>
    </row>
    <row r="139" spans="1:12" x14ac:dyDescent="0.25">
      <c r="A139" s="3">
        <f t="shared" si="6"/>
        <v>1</v>
      </c>
      <c r="B139" s="3">
        <f>EDATE($B$3,Site!$I$39*(ROW(Tab_Compteur_7[[#This Row],[Début de période]])-3))</f>
        <v>0</v>
      </c>
      <c r="C139" s="185"/>
      <c r="E139">
        <f t="shared" si="5"/>
        <v>0</v>
      </c>
      <c r="F139" t="str">
        <f>IFERROR(Tab_Compteur_7[[#This Row],[Quantité]]/Tab_Compteur_7[[#This Row],[Delta Jour]],"")</f>
        <v/>
      </c>
      <c r="G139" t="str">
        <f>IFERROR(Tab_Compteur_7[[#This Row],[Montant TTC]]/Tab_Compteur_7[[#This Row],[Delta Jour]],"")</f>
        <v/>
      </c>
      <c r="H139" s="42"/>
      <c r="I139" s="42"/>
      <c r="J139" s="42"/>
      <c r="K139" s="42"/>
      <c r="L139" s="42"/>
    </row>
    <row r="140" spans="1:12" x14ac:dyDescent="0.25">
      <c r="A140" s="3">
        <f t="shared" si="6"/>
        <v>1</v>
      </c>
      <c r="B140" s="3">
        <f>EDATE($B$3,Site!$I$39*(ROW(Tab_Compteur_7[[#This Row],[Début de période]])-3))</f>
        <v>0</v>
      </c>
      <c r="C140" s="185"/>
      <c r="E140">
        <f t="shared" si="5"/>
        <v>0</v>
      </c>
      <c r="F140" t="str">
        <f>IFERROR(Tab_Compteur_7[[#This Row],[Quantité]]/Tab_Compteur_7[[#This Row],[Delta Jour]],"")</f>
        <v/>
      </c>
      <c r="G140" t="str">
        <f>IFERROR(Tab_Compteur_7[[#This Row],[Montant TTC]]/Tab_Compteur_7[[#This Row],[Delta Jour]],"")</f>
        <v/>
      </c>
      <c r="H140" s="42"/>
      <c r="I140" s="42"/>
      <c r="J140" s="42"/>
      <c r="K140" s="42"/>
      <c r="L140" s="42"/>
    </row>
    <row r="141" spans="1:12" x14ac:dyDescent="0.25">
      <c r="A141" s="3">
        <f t="shared" si="6"/>
        <v>1</v>
      </c>
      <c r="B141" s="3">
        <f>EDATE($B$3,Site!$I$39*(ROW(Tab_Compteur_7[[#This Row],[Début de période]])-3))</f>
        <v>0</v>
      </c>
      <c r="C141" s="185"/>
      <c r="E141">
        <f t="shared" si="5"/>
        <v>0</v>
      </c>
      <c r="F141" t="str">
        <f>IFERROR(Tab_Compteur_7[[#This Row],[Quantité]]/Tab_Compteur_7[[#This Row],[Delta Jour]],"")</f>
        <v/>
      </c>
      <c r="G141" t="str">
        <f>IFERROR(Tab_Compteur_7[[#This Row],[Montant TTC]]/Tab_Compteur_7[[#This Row],[Delta Jour]],"")</f>
        <v/>
      </c>
      <c r="H141" s="42"/>
      <c r="I141" s="42"/>
      <c r="J141" s="42"/>
      <c r="K141" s="42"/>
      <c r="L141" s="42"/>
    </row>
    <row r="142" spans="1:12" x14ac:dyDescent="0.25">
      <c r="A142" s="3">
        <f t="shared" si="6"/>
        <v>1</v>
      </c>
      <c r="B142" s="3">
        <f>EDATE($B$3,Site!$I$39*(ROW(Tab_Compteur_7[[#This Row],[Début de période]])-3))</f>
        <v>0</v>
      </c>
      <c r="C142" s="185"/>
      <c r="E142">
        <f t="shared" si="5"/>
        <v>0</v>
      </c>
      <c r="F142" t="str">
        <f>IFERROR(Tab_Compteur_7[[#This Row],[Quantité]]/Tab_Compteur_7[[#This Row],[Delta Jour]],"")</f>
        <v/>
      </c>
      <c r="G142" t="str">
        <f>IFERROR(Tab_Compteur_7[[#This Row],[Montant TTC]]/Tab_Compteur_7[[#This Row],[Delta Jour]],"")</f>
        <v/>
      </c>
      <c r="H142" s="42"/>
      <c r="I142" s="42"/>
      <c r="J142" s="42"/>
      <c r="K142" s="42"/>
      <c r="L142" s="42"/>
    </row>
    <row r="143" spans="1:12" x14ac:dyDescent="0.25">
      <c r="A143" s="3">
        <f t="shared" si="6"/>
        <v>1</v>
      </c>
      <c r="B143" s="3">
        <f>EDATE($B$3,Site!$I$39*(ROW(Tab_Compteur_7[[#This Row],[Début de période]])-3))</f>
        <v>0</v>
      </c>
      <c r="C143" s="185"/>
      <c r="E143">
        <f t="shared" si="5"/>
        <v>0</v>
      </c>
      <c r="F143" t="str">
        <f>IFERROR(Tab_Compteur_7[[#This Row],[Quantité]]/Tab_Compteur_7[[#This Row],[Delta Jour]],"")</f>
        <v/>
      </c>
      <c r="G143" t="str">
        <f>IFERROR(Tab_Compteur_7[[#This Row],[Montant TTC]]/Tab_Compteur_7[[#This Row],[Delta Jour]],"")</f>
        <v/>
      </c>
      <c r="H143" s="42"/>
      <c r="I143" s="42"/>
      <c r="J143" s="42"/>
      <c r="K143" s="42"/>
      <c r="L143" s="42"/>
    </row>
    <row r="144" spans="1:12" x14ac:dyDescent="0.25">
      <c r="A144" s="3">
        <f t="shared" si="6"/>
        <v>1</v>
      </c>
      <c r="B144" s="3">
        <f>EDATE($B$3,Site!$I$39*(ROW(Tab_Compteur_7[[#This Row],[Début de période]])-3))</f>
        <v>0</v>
      </c>
      <c r="C144" s="185"/>
      <c r="E144">
        <f t="shared" si="5"/>
        <v>0</v>
      </c>
      <c r="F144" t="str">
        <f>IFERROR(Tab_Compteur_7[[#This Row],[Quantité]]/Tab_Compteur_7[[#This Row],[Delta Jour]],"")</f>
        <v/>
      </c>
      <c r="G144" t="str">
        <f>IFERROR(Tab_Compteur_7[[#This Row],[Montant TTC]]/Tab_Compteur_7[[#This Row],[Delta Jour]],"")</f>
        <v/>
      </c>
      <c r="H144" s="42"/>
      <c r="I144" s="42"/>
      <c r="J144" s="42"/>
      <c r="K144" s="42"/>
      <c r="L144" s="42"/>
    </row>
    <row r="145" spans="1:12" x14ac:dyDescent="0.25">
      <c r="A145" s="3">
        <f t="shared" si="6"/>
        <v>1</v>
      </c>
      <c r="B145" s="3">
        <f>EDATE($B$3,Site!$I$39*(ROW(Tab_Compteur_7[[#This Row],[Début de période]])-3))</f>
        <v>0</v>
      </c>
      <c r="C145" s="185"/>
      <c r="E145">
        <f t="shared" si="5"/>
        <v>0</v>
      </c>
      <c r="F145" t="str">
        <f>IFERROR(Tab_Compteur_7[[#This Row],[Quantité]]/Tab_Compteur_7[[#This Row],[Delta Jour]],"")</f>
        <v/>
      </c>
      <c r="G145" t="str">
        <f>IFERROR(Tab_Compteur_7[[#This Row],[Montant TTC]]/Tab_Compteur_7[[#This Row],[Delta Jour]],"")</f>
        <v/>
      </c>
      <c r="H145" s="42"/>
      <c r="I145" s="42"/>
      <c r="J145" s="42"/>
      <c r="K145" s="42"/>
      <c r="L145" s="42"/>
    </row>
    <row r="146" spans="1:12" x14ac:dyDescent="0.25">
      <c r="A146" s="3">
        <f t="shared" si="6"/>
        <v>1</v>
      </c>
      <c r="B146" s="3">
        <f>EDATE($B$3,Site!$I$39*(ROW(Tab_Compteur_7[[#This Row],[Début de période]])-3))</f>
        <v>0</v>
      </c>
      <c r="C146" s="185"/>
      <c r="E146">
        <f t="shared" si="5"/>
        <v>0</v>
      </c>
      <c r="F146" t="str">
        <f>IFERROR(Tab_Compteur_7[[#This Row],[Quantité]]/Tab_Compteur_7[[#This Row],[Delta Jour]],"")</f>
        <v/>
      </c>
      <c r="G146" t="str">
        <f>IFERROR(Tab_Compteur_7[[#This Row],[Montant TTC]]/Tab_Compteur_7[[#This Row],[Delta Jour]],"")</f>
        <v/>
      </c>
      <c r="H146" s="42"/>
      <c r="I146" s="42"/>
      <c r="J146" s="42"/>
      <c r="K146" s="42"/>
      <c r="L146" s="42"/>
    </row>
    <row r="147" spans="1:12" x14ac:dyDescent="0.25">
      <c r="A147" s="3">
        <f t="shared" si="6"/>
        <v>1</v>
      </c>
      <c r="B147" s="3">
        <f>EDATE($B$3,Site!$I$39*(ROW(Tab_Compteur_7[[#This Row],[Début de période]])-3))</f>
        <v>0</v>
      </c>
      <c r="C147" s="185"/>
      <c r="E147">
        <f t="shared" si="5"/>
        <v>0</v>
      </c>
      <c r="F147" t="str">
        <f>IFERROR(Tab_Compteur_7[[#This Row],[Quantité]]/Tab_Compteur_7[[#This Row],[Delta Jour]],"")</f>
        <v/>
      </c>
      <c r="G147" t="str">
        <f>IFERROR(Tab_Compteur_7[[#This Row],[Montant TTC]]/Tab_Compteur_7[[#This Row],[Delta Jour]],"")</f>
        <v/>
      </c>
      <c r="H147" s="42"/>
      <c r="I147" s="42"/>
      <c r="J147" s="42"/>
      <c r="K147" s="42"/>
      <c r="L147" s="42"/>
    </row>
    <row r="148" spans="1:12" x14ac:dyDescent="0.25">
      <c r="A148" s="3">
        <f t="shared" si="6"/>
        <v>1</v>
      </c>
      <c r="B148" s="3">
        <f>EDATE($B$3,Site!$I$39*(ROW(Tab_Compteur_7[[#This Row],[Début de période]])-3))</f>
        <v>0</v>
      </c>
      <c r="C148" s="185"/>
      <c r="E148">
        <f t="shared" si="5"/>
        <v>0</v>
      </c>
      <c r="F148" t="str">
        <f>IFERROR(Tab_Compteur_7[[#This Row],[Quantité]]/Tab_Compteur_7[[#This Row],[Delta Jour]],"")</f>
        <v/>
      </c>
      <c r="G148" t="str">
        <f>IFERROR(Tab_Compteur_7[[#This Row],[Montant TTC]]/Tab_Compteur_7[[#This Row],[Delta Jour]],"")</f>
        <v/>
      </c>
      <c r="H148" s="42"/>
      <c r="I148" s="42"/>
      <c r="J148" s="42"/>
      <c r="K148" s="42"/>
      <c r="L148" s="42"/>
    </row>
    <row r="149" spans="1:12" x14ac:dyDescent="0.25">
      <c r="A149" s="3">
        <f t="shared" si="6"/>
        <v>1</v>
      </c>
      <c r="B149" s="3">
        <f>EDATE($B$3,Site!$I$39*(ROW(Tab_Compteur_7[[#This Row],[Début de période]])-3))</f>
        <v>0</v>
      </c>
      <c r="C149" s="185"/>
      <c r="E149">
        <f t="shared" si="5"/>
        <v>0</v>
      </c>
      <c r="F149" t="str">
        <f>IFERROR(Tab_Compteur_7[[#This Row],[Quantité]]/Tab_Compteur_7[[#This Row],[Delta Jour]],"")</f>
        <v/>
      </c>
      <c r="G149" t="str">
        <f>IFERROR(Tab_Compteur_7[[#This Row],[Montant TTC]]/Tab_Compteur_7[[#This Row],[Delta Jour]],"")</f>
        <v/>
      </c>
      <c r="H149" s="42"/>
      <c r="I149" s="42"/>
      <c r="J149" s="42"/>
      <c r="K149" s="42"/>
      <c r="L149" s="42"/>
    </row>
    <row r="150" spans="1:12" x14ac:dyDescent="0.25">
      <c r="A150" s="3">
        <f t="shared" si="6"/>
        <v>1</v>
      </c>
      <c r="B150" s="3">
        <f>EDATE($B$3,Site!$I$39*(ROW(Tab_Compteur_7[[#This Row],[Début de période]])-3))</f>
        <v>0</v>
      </c>
      <c r="C150" s="185"/>
      <c r="E150">
        <f t="shared" si="5"/>
        <v>0</v>
      </c>
      <c r="F150" t="str">
        <f>IFERROR(Tab_Compteur_7[[#This Row],[Quantité]]/Tab_Compteur_7[[#This Row],[Delta Jour]],"")</f>
        <v/>
      </c>
      <c r="G150" t="str">
        <f>IFERROR(Tab_Compteur_7[[#This Row],[Montant TTC]]/Tab_Compteur_7[[#This Row],[Delta Jour]],"")</f>
        <v/>
      </c>
      <c r="H150" s="42"/>
      <c r="I150" s="42"/>
      <c r="J150" s="42"/>
      <c r="K150" s="42"/>
      <c r="L150" s="42"/>
    </row>
    <row r="151" spans="1:12" x14ac:dyDescent="0.25">
      <c r="A151" s="3">
        <f t="shared" si="6"/>
        <v>1</v>
      </c>
      <c r="B151" s="3">
        <f>EDATE($B$3,Site!$I$39*(ROW(Tab_Compteur_7[[#This Row],[Début de période]])-3))</f>
        <v>0</v>
      </c>
      <c r="C151" s="185"/>
      <c r="E151">
        <f t="shared" si="5"/>
        <v>0</v>
      </c>
      <c r="F151" t="str">
        <f>IFERROR(Tab_Compteur_7[[#This Row],[Quantité]]/Tab_Compteur_7[[#This Row],[Delta Jour]],"")</f>
        <v/>
      </c>
      <c r="G151" t="str">
        <f>IFERROR(Tab_Compteur_7[[#This Row],[Montant TTC]]/Tab_Compteur_7[[#This Row],[Delta Jour]],"")</f>
        <v/>
      </c>
      <c r="H151" s="42"/>
      <c r="I151" s="42"/>
      <c r="J151" s="42"/>
      <c r="K151" s="42"/>
      <c r="L151" s="42"/>
    </row>
    <row r="152" spans="1:12" x14ac:dyDescent="0.25">
      <c r="A152" s="3">
        <f t="shared" si="6"/>
        <v>1</v>
      </c>
      <c r="B152" s="3">
        <f>EDATE($B$3,Site!$I$39*(ROW(Tab_Compteur_7[[#This Row],[Début de période]])-3))</f>
        <v>0</v>
      </c>
      <c r="C152" s="185"/>
      <c r="E152">
        <f t="shared" si="5"/>
        <v>0</v>
      </c>
      <c r="F152" t="str">
        <f>IFERROR(Tab_Compteur_7[[#This Row],[Quantité]]/Tab_Compteur_7[[#This Row],[Delta Jour]],"")</f>
        <v/>
      </c>
      <c r="G152" t="str">
        <f>IFERROR(Tab_Compteur_7[[#This Row],[Montant TTC]]/Tab_Compteur_7[[#This Row],[Delta Jour]],"")</f>
        <v/>
      </c>
      <c r="H152" s="42"/>
      <c r="I152" s="42"/>
      <c r="J152" s="42"/>
      <c r="K152" s="42"/>
      <c r="L152" s="42"/>
    </row>
    <row r="153" spans="1:12" x14ac:dyDescent="0.25">
      <c r="A153" s="3">
        <f t="shared" si="6"/>
        <v>1</v>
      </c>
      <c r="B153" s="3">
        <f>EDATE($B$3,Site!$I$39*(ROW(Tab_Compteur_7[[#This Row],[Début de période]])-3))</f>
        <v>0</v>
      </c>
      <c r="C153" s="185"/>
      <c r="E153">
        <f t="shared" si="5"/>
        <v>0</v>
      </c>
      <c r="F153" t="str">
        <f>IFERROR(Tab_Compteur_7[[#This Row],[Quantité]]/Tab_Compteur_7[[#This Row],[Delta Jour]],"")</f>
        <v/>
      </c>
      <c r="G153" t="str">
        <f>IFERROR(Tab_Compteur_7[[#This Row],[Montant TTC]]/Tab_Compteur_7[[#This Row],[Delta Jour]],"")</f>
        <v/>
      </c>
      <c r="H153" s="42"/>
      <c r="I153" s="42"/>
      <c r="J153" s="42"/>
      <c r="K153" s="42"/>
      <c r="L153" s="42"/>
    </row>
    <row r="154" spans="1:12" x14ac:dyDescent="0.25">
      <c r="A154" s="3">
        <f t="shared" si="6"/>
        <v>1</v>
      </c>
      <c r="B154" s="3">
        <f>EDATE($B$3,Site!$I$39*(ROW(Tab_Compteur_7[[#This Row],[Début de période]])-3))</f>
        <v>0</v>
      </c>
      <c r="C154" s="185"/>
      <c r="E154">
        <f t="shared" si="5"/>
        <v>0</v>
      </c>
      <c r="F154" t="str">
        <f>IFERROR(Tab_Compteur_7[[#This Row],[Quantité]]/Tab_Compteur_7[[#This Row],[Delta Jour]],"")</f>
        <v/>
      </c>
      <c r="G154" t="str">
        <f>IFERROR(Tab_Compteur_7[[#This Row],[Montant TTC]]/Tab_Compteur_7[[#This Row],[Delta Jour]],"")</f>
        <v/>
      </c>
      <c r="H154" s="42"/>
      <c r="I154" s="42"/>
      <c r="J154" s="42"/>
      <c r="K154" s="42"/>
      <c r="L154" s="42"/>
    </row>
    <row r="155" spans="1:12" x14ac:dyDescent="0.25">
      <c r="A155" s="3">
        <f t="shared" si="6"/>
        <v>1</v>
      </c>
      <c r="B155" s="3">
        <f>EDATE($B$3,Site!$I$39*(ROW(Tab_Compteur_7[[#This Row],[Début de période]])-3))</f>
        <v>0</v>
      </c>
      <c r="C155" s="185"/>
      <c r="E155">
        <f t="shared" si="5"/>
        <v>0</v>
      </c>
      <c r="F155" t="str">
        <f>IFERROR(Tab_Compteur_7[[#This Row],[Quantité]]/Tab_Compteur_7[[#This Row],[Delta Jour]],"")</f>
        <v/>
      </c>
      <c r="G155" t="str">
        <f>IFERROR(Tab_Compteur_7[[#This Row],[Montant TTC]]/Tab_Compteur_7[[#This Row],[Delta Jour]],"")</f>
        <v/>
      </c>
      <c r="H155" s="42"/>
      <c r="I155" s="42"/>
      <c r="J155" s="42"/>
      <c r="K155" s="42"/>
      <c r="L155" s="42"/>
    </row>
    <row r="156" spans="1:12" x14ac:dyDescent="0.25">
      <c r="A156" s="3">
        <f t="shared" si="6"/>
        <v>1</v>
      </c>
      <c r="B156" s="3">
        <f>EDATE($B$3,Site!$I$39*(ROW(Tab_Compteur_7[[#This Row],[Début de période]])-3))</f>
        <v>0</v>
      </c>
      <c r="C156" s="185"/>
      <c r="E156">
        <f t="shared" si="5"/>
        <v>0</v>
      </c>
      <c r="F156" t="str">
        <f>IFERROR(Tab_Compteur_7[[#This Row],[Quantité]]/Tab_Compteur_7[[#This Row],[Delta Jour]],"")</f>
        <v/>
      </c>
      <c r="G156" t="str">
        <f>IFERROR(Tab_Compteur_7[[#This Row],[Montant TTC]]/Tab_Compteur_7[[#This Row],[Delta Jour]],"")</f>
        <v/>
      </c>
      <c r="H156" s="42"/>
      <c r="I156" s="42"/>
      <c r="J156" s="42"/>
      <c r="K156" s="42"/>
      <c r="L156" s="42"/>
    </row>
    <row r="157" spans="1:12" x14ac:dyDescent="0.25">
      <c r="A157" s="3">
        <f t="shared" si="6"/>
        <v>1</v>
      </c>
      <c r="B157" s="3">
        <f>EDATE($B$3,Site!$I$39*(ROW(Tab_Compteur_7[[#This Row],[Début de période]])-3))</f>
        <v>0</v>
      </c>
      <c r="C157" s="185"/>
      <c r="E157">
        <f t="shared" si="5"/>
        <v>0</v>
      </c>
      <c r="F157" t="str">
        <f>IFERROR(Tab_Compteur_7[[#This Row],[Quantité]]/Tab_Compteur_7[[#This Row],[Delta Jour]],"")</f>
        <v/>
      </c>
      <c r="G157" t="str">
        <f>IFERROR(Tab_Compteur_7[[#This Row],[Montant TTC]]/Tab_Compteur_7[[#This Row],[Delta Jour]],"")</f>
        <v/>
      </c>
      <c r="H157" s="42"/>
      <c r="I157" s="42"/>
      <c r="J157" s="42"/>
      <c r="K157" s="42"/>
      <c r="L157" s="42"/>
    </row>
    <row r="158" spans="1:12" x14ac:dyDescent="0.25">
      <c r="A158" s="3">
        <f t="shared" si="6"/>
        <v>1</v>
      </c>
      <c r="B158" s="3">
        <f>EDATE($B$3,Site!$I$39*(ROW(Tab_Compteur_7[[#This Row],[Début de période]])-3))</f>
        <v>0</v>
      </c>
      <c r="C158" s="185"/>
      <c r="E158">
        <f t="shared" si="5"/>
        <v>0</v>
      </c>
      <c r="F158" t="str">
        <f>IFERROR(Tab_Compteur_7[[#This Row],[Quantité]]/Tab_Compteur_7[[#This Row],[Delta Jour]],"")</f>
        <v/>
      </c>
      <c r="G158" t="str">
        <f>IFERROR(Tab_Compteur_7[[#This Row],[Montant TTC]]/Tab_Compteur_7[[#This Row],[Delta Jour]],"")</f>
        <v/>
      </c>
      <c r="H158" s="42"/>
      <c r="I158" s="42"/>
      <c r="J158" s="42"/>
      <c r="K158" s="42"/>
      <c r="L158" s="42"/>
    </row>
    <row r="159" spans="1:12" x14ac:dyDescent="0.25">
      <c r="A159" s="3">
        <f t="shared" si="6"/>
        <v>1</v>
      </c>
      <c r="B159" s="3">
        <f>EDATE($B$3,Site!$I$39*(ROW(Tab_Compteur_7[[#This Row],[Début de période]])-3))</f>
        <v>0</v>
      </c>
      <c r="C159" s="185"/>
      <c r="E159">
        <f t="shared" si="5"/>
        <v>0</v>
      </c>
      <c r="F159" t="str">
        <f>IFERROR(Tab_Compteur_7[[#This Row],[Quantité]]/Tab_Compteur_7[[#This Row],[Delta Jour]],"")</f>
        <v/>
      </c>
      <c r="G159" t="str">
        <f>IFERROR(Tab_Compteur_7[[#This Row],[Montant TTC]]/Tab_Compteur_7[[#This Row],[Delta Jour]],"")</f>
        <v/>
      </c>
      <c r="H159" s="42"/>
      <c r="I159" s="42"/>
      <c r="J159" s="42"/>
      <c r="K159" s="42"/>
      <c r="L159" s="42"/>
    </row>
    <row r="160" spans="1:12" x14ac:dyDescent="0.25">
      <c r="A160" s="3">
        <f t="shared" si="6"/>
        <v>1</v>
      </c>
      <c r="B160" s="3">
        <f>EDATE($B$3,Site!$I$39*(ROW(Tab_Compteur_7[[#This Row],[Début de période]])-3))</f>
        <v>0</v>
      </c>
      <c r="C160" s="185"/>
      <c r="E160">
        <f t="shared" si="5"/>
        <v>0</v>
      </c>
      <c r="F160" t="str">
        <f>IFERROR(Tab_Compteur_7[[#This Row],[Quantité]]/Tab_Compteur_7[[#This Row],[Delta Jour]],"")</f>
        <v/>
      </c>
      <c r="G160" t="str">
        <f>IFERROR(Tab_Compteur_7[[#This Row],[Montant TTC]]/Tab_Compteur_7[[#This Row],[Delta Jour]],"")</f>
        <v/>
      </c>
      <c r="H160" s="42"/>
      <c r="I160" s="42"/>
      <c r="J160" s="42"/>
      <c r="K160" s="42"/>
      <c r="L160" s="42"/>
    </row>
    <row r="161" spans="1:12" x14ac:dyDescent="0.25">
      <c r="A161" s="3">
        <f t="shared" si="6"/>
        <v>1</v>
      </c>
      <c r="B161" s="3">
        <f>EDATE($B$3,Site!$I$39*(ROW(Tab_Compteur_7[[#This Row],[Début de période]])-3))</f>
        <v>0</v>
      </c>
      <c r="C161" s="185"/>
      <c r="E161">
        <f t="shared" si="5"/>
        <v>0</v>
      </c>
      <c r="F161" t="str">
        <f>IFERROR(Tab_Compteur_7[[#This Row],[Quantité]]/Tab_Compteur_7[[#This Row],[Delta Jour]],"")</f>
        <v/>
      </c>
      <c r="G161" t="str">
        <f>IFERROR(Tab_Compteur_7[[#This Row],[Montant TTC]]/Tab_Compteur_7[[#This Row],[Delta Jour]],"")</f>
        <v/>
      </c>
      <c r="H161" s="42"/>
      <c r="I161" s="42"/>
      <c r="J161" s="42"/>
      <c r="K161" s="42"/>
      <c r="L161" s="42"/>
    </row>
    <row r="162" spans="1:12" x14ac:dyDescent="0.25">
      <c r="A162" s="3">
        <f t="shared" si="6"/>
        <v>1</v>
      </c>
      <c r="B162" s="3">
        <f>EDATE($B$3,Site!$I$39*(ROW(Tab_Compteur_7[[#This Row],[Début de période]])-3))</f>
        <v>0</v>
      </c>
      <c r="C162" s="185"/>
      <c r="E162">
        <f t="shared" si="5"/>
        <v>0</v>
      </c>
      <c r="F162" t="str">
        <f>IFERROR(Tab_Compteur_7[[#This Row],[Quantité]]/Tab_Compteur_7[[#This Row],[Delta Jour]],"")</f>
        <v/>
      </c>
      <c r="G162" t="str">
        <f>IFERROR(Tab_Compteur_7[[#This Row],[Montant TTC]]/Tab_Compteur_7[[#This Row],[Delta Jour]],"")</f>
        <v/>
      </c>
      <c r="H162" s="42"/>
      <c r="I162" s="42"/>
      <c r="J162" s="42"/>
      <c r="K162" s="42"/>
      <c r="L162" s="42"/>
    </row>
    <row r="163" spans="1:12" x14ac:dyDescent="0.25">
      <c r="A163" s="3">
        <f t="shared" si="6"/>
        <v>1</v>
      </c>
      <c r="B163" s="3">
        <f>EDATE($B$3,Site!$I$39*(ROW(Tab_Compteur_7[[#This Row],[Début de période]])-3))</f>
        <v>0</v>
      </c>
      <c r="C163" s="185"/>
      <c r="E163">
        <f t="shared" si="5"/>
        <v>0</v>
      </c>
      <c r="F163" t="str">
        <f>IFERROR(Tab_Compteur_7[[#This Row],[Quantité]]/Tab_Compteur_7[[#This Row],[Delta Jour]],"")</f>
        <v/>
      </c>
      <c r="G163" t="str">
        <f>IFERROR(Tab_Compteur_7[[#This Row],[Montant TTC]]/Tab_Compteur_7[[#This Row],[Delta Jour]],"")</f>
        <v/>
      </c>
      <c r="H163" s="42"/>
      <c r="I163" s="42"/>
      <c r="J163" s="42"/>
      <c r="K163" s="42"/>
      <c r="L163" s="42"/>
    </row>
    <row r="164" spans="1:12" x14ac:dyDescent="0.25">
      <c r="A164" s="3">
        <f t="shared" si="6"/>
        <v>1</v>
      </c>
      <c r="B164" s="3">
        <f>EDATE($B$3,Site!$I$39*(ROW(Tab_Compteur_7[[#This Row],[Début de période]])-3))</f>
        <v>0</v>
      </c>
      <c r="C164" s="185"/>
      <c r="E164">
        <f t="shared" si="5"/>
        <v>0</v>
      </c>
      <c r="F164" t="str">
        <f>IFERROR(Tab_Compteur_7[[#This Row],[Quantité]]/Tab_Compteur_7[[#This Row],[Delta Jour]],"")</f>
        <v/>
      </c>
      <c r="G164" t="str">
        <f>IFERROR(Tab_Compteur_7[[#This Row],[Montant TTC]]/Tab_Compteur_7[[#This Row],[Delta Jour]],"")</f>
        <v/>
      </c>
      <c r="H164" s="42"/>
      <c r="I164" s="42"/>
      <c r="J164" s="42"/>
      <c r="K164" s="42"/>
      <c r="L164" s="42"/>
    </row>
    <row r="165" spans="1:12" x14ac:dyDescent="0.25">
      <c r="A165" s="3">
        <f t="shared" si="6"/>
        <v>1</v>
      </c>
      <c r="B165" s="3">
        <f>EDATE($B$3,Site!$I$39*(ROW(Tab_Compteur_7[[#This Row],[Début de période]])-3))</f>
        <v>0</v>
      </c>
      <c r="C165" s="185"/>
      <c r="E165">
        <f t="shared" si="5"/>
        <v>0</v>
      </c>
      <c r="F165" t="str">
        <f>IFERROR(Tab_Compteur_7[[#This Row],[Quantité]]/Tab_Compteur_7[[#This Row],[Delta Jour]],"")</f>
        <v/>
      </c>
      <c r="G165" t="str">
        <f>IFERROR(Tab_Compteur_7[[#This Row],[Montant TTC]]/Tab_Compteur_7[[#This Row],[Delta Jour]],"")</f>
        <v/>
      </c>
      <c r="H165" s="42"/>
      <c r="I165" s="42"/>
      <c r="J165" s="42"/>
      <c r="K165" s="42"/>
      <c r="L165" s="42"/>
    </row>
    <row r="166" spans="1:12" x14ac:dyDescent="0.25">
      <c r="A166" s="3">
        <f t="shared" si="6"/>
        <v>1</v>
      </c>
      <c r="B166" s="3">
        <f>EDATE($B$3,Site!$I$39*(ROW(Tab_Compteur_7[[#This Row],[Début de période]])-3))</f>
        <v>0</v>
      </c>
      <c r="C166" s="185"/>
      <c r="E166">
        <f t="shared" si="5"/>
        <v>0</v>
      </c>
      <c r="F166" t="str">
        <f>IFERROR(Tab_Compteur_7[[#This Row],[Quantité]]/Tab_Compteur_7[[#This Row],[Delta Jour]],"")</f>
        <v/>
      </c>
      <c r="G166" t="str">
        <f>IFERROR(Tab_Compteur_7[[#This Row],[Montant TTC]]/Tab_Compteur_7[[#This Row],[Delta Jour]],"")</f>
        <v/>
      </c>
      <c r="H166" s="42"/>
      <c r="I166" s="42"/>
      <c r="J166" s="42"/>
      <c r="K166" s="42"/>
      <c r="L166" s="42"/>
    </row>
    <row r="167" spans="1:12" x14ac:dyDescent="0.25">
      <c r="A167" s="3">
        <f t="shared" si="6"/>
        <v>1</v>
      </c>
      <c r="B167" s="3">
        <f>EDATE($B$3,Site!$I$39*(ROW(Tab_Compteur_7[[#This Row],[Début de période]])-3))</f>
        <v>0</v>
      </c>
      <c r="C167" s="185"/>
      <c r="E167">
        <f t="shared" si="5"/>
        <v>0</v>
      </c>
      <c r="F167" t="str">
        <f>IFERROR(Tab_Compteur_7[[#This Row],[Quantité]]/Tab_Compteur_7[[#This Row],[Delta Jour]],"")</f>
        <v/>
      </c>
      <c r="G167" t="str">
        <f>IFERROR(Tab_Compteur_7[[#This Row],[Montant TTC]]/Tab_Compteur_7[[#This Row],[Delta Jour]],"")</f>
        <v/>
      </c>
      <c r="H167" s="42"/>
      <c r="I167" s="42"/>
      <c r="J167" s="42"/>
      <c r="K167" s="42"/>
      <c r="L167" s="42"/>
    </row>
    <row r="168" spans="1:12" x14ac:dyDescent="0.25">
      <c r="A168" s="3">
        <f t="shared" si="6"/>
        <v>1</v>
      </c>
      <c r="B168" s="3">
        <f>EDATE($B$3,Site!$I$39*(ROW(Tab_Compteur_7[[#This Row],[Début de période]])-3))</f>
        <v>0</v>
      </c>
      <c r="C168" s="185"/>
      <c r="E168">
        <f t="shared" si="5"/>
        <v>0</v>
      </c>
      <c r="F168" t="str">
        <f>IFERROR(Tab_Compteur_7[[#This Row],[Quantité]]/Tab_Compteur_7[[#This Row],[Delta Jour]],"")</f>
        <v/>
      </c>
      <c r="G168" t="str">
        <f>IFERROR(Tab_Compteur_7[[#This Row],[Montant TTC]]/Tab_Compteur_7[[#This Row],[Delta Jour]],"")</f>
        <v/>
      </c>
      <c r="H168" s="42"/>
      <c r="I168" s="42"/>
      <c r="J168" s="42"/>
      <c r="K168" s="42"/>
      <c r="L168" s="42"/>
    </row>
    <row r="169" spans="1:12" x14ac:dyDescent="0.25">
      <c r="A169" s="3">
        <f t="shared" si="6"/>
        <v>1</v>
      </c>
      <c r="B169" s="3">
        <f>EDATE($B$3,Site!$I$39*(ROW(Tab_Compteur_7[[#This Row],[Début de période]])-3))</f>
        <v>0</v>
      </c>
      <c r="C169" s="185"/>
      <c r="E169">
        <f t="shared" si="5"/>
        <v>0</v>
      </c>
      <c r="F169" t="str">
        <f>IFERROR(Tab_Compteur_7[[#This Row],[Quantité]]/Tab_Compteur_7[[#This Row],[Delta Jour]],"")</f>
        <v/>
      </c>
      <c r="G169" t="str">
        <f>IFERROR(Tab_Compteur_7[[#This Row],[Montant TTC]]/Tab_Compteur_7[[#This Row],[Delta Jour]],"")</f>
        <v/>
      </c>
      <c r="H169" s="42"/>
      <c r="I169" s="42"/>
      <c r="J169" s="42"/>
      <c r="K169" s="42"/>
      <c r="L169" s="42"/>
    </row>
    <row r="170" spans="1:12" x14ac:dyDescent="0.25">
      <c r="A170" s="3">
        <f t="shared" si="6"/>
        <v>1</v>
      </c>
      <c r="B170" s="3">
        <f>EDATE($B$3,Site!$I$39*(ROW(Tab_Compteur_7[[#This Row],[Début de période]])-3))</f>
        <v>0</v>
      </c>
      <c r="C170" s="185"/>
      <c r="E170">
        <f t="shared" si="5"/>
        <v>0</v>
      </c>
      <c r="F170" t="str">
        <f>IFERROR(Tab_Compteur_7[[#This Row],[Quantité]]/Tab_Compteur_7[[#This Row],[Delta Jour]],"")</f>
        <v/>
      </c>
      <c r="G170" t="str">
        <f>IFERROR(Tab_Compteur_7[[#This Row],[Montant TTC]]/Tab_Compteur_7[[#This Row],[Delta Jour]],"")</f>
        <v/>
      </c>
      <c r="H170" s="42"/>
      <c r="I170" s="42"/>
      <c r="J170" s="42"/>
      <c r="K170" s="42"/>
      <c r="L170" s="42"/>
    </row>
    <row r="171" spans="1:12" x14ac:dyDescent="0.25">
      <c r="A171" s="3">
        <f t="shared" si="6"/>
        <v>1</v>
      </c>
      <c r="B171" s="3">
        <f>EDATE($B$3,Site!$I$39*(ROW(Tab_Compteur_7[[#This Row],[Début de période]])-3))</f>
        <v>0</v>
      </c>
      <c r="C171" s="185"/>
      <c r="E171">
        <f t="shared" si="5"/>
        <v>0</v>
      </c>
      <c r="F171" t="str">
        <f>IFERROR(Tab_Compteur_7[[#This Row],[Quantité]]/Tab_Compteur_7[[#This Row],[Delta Jour]],"")</f>
        <v/>
      </c>
      <c r="G171" t="str">
        <f>IFERROR(Tab_Compteur_7[[#This Row],[Montant TTC]]/Tab_Compteur_7[[#This Row],[Delta Jour]],"")</f>
        <v/>
      </c>
      <c r="H171" s="42"/>
      <c r="I171" s="42"/>
      <c r="J171" s="42"/>
      <c r="K171" s="42"/>
      <c r="L171" s="42"/>
    </row>
    <row r="172" spans="1:12" x14ac:dyDescent="0.25">
      <c r="A172" s="3">
        <f t="shared" si="6"/>
        <v>1</v>
      </c>
      <c r="B172" s="3">
        <f>EDATE($B$3,Site!$I$39*(ROW(Tab_Compteur_7[[#This Row],[Début de période]])-3))</f>
        <v>0</v>
      </c>
      <c r="C172" s="185"/>
      <c r="E172">
        <f t="shared" si="5"/>
        <v>0</v>
      </c>
      <c r="F172" t="str">
        <f>IFERROR(Tab_Compteur_7[[#This Row],[Quantité]]/Tab_Compteur_7[[#This Row],[Delta Jour]],"")</f>
        <v/>
      </c>
      <c r="G172" t="str">
        <f>IFERROR(Tab_Compteur_7[[#This Row],[Montant TTC]]/Tab_Compteur_7[[#This Row],[Delta Jour]],"")</f>
        <v/>
      </c>
      <c r="H172" s="42"/>
      <c r="I172" s="42"/>
      <c r="J172" s="42"/>
      <c r="K172" s="42"/>
      <c r="L172" s="42"/>
    </row>
    <row r="173" spans="1:12" x14ac:dyDescent="0.25">
      <c r="A173" s="3">
        <f t="shared" si="6"/>
        <v>1</v>
      </c>
      <c r="B173" s="3">
        <f>EDATE($B$3,Site!$I$39*(ROW(Tab_Compteur_7[[#This Row],[Début de période]])-3))</f>
        <v>0</v>
      </c>
      <c r="C173" s="185"/>
      <c r="E173">
        <f t="shared" si="5"/>
        <v>0</v>
      </c>
      <c r="F173" t="str">
        <f>IFERROR(Tab_Compteur_7[[#This Row],[Quantité]]/Tab_Compteur_7[[#This Row],[Delta Jour]],"")</f>
        <v/>
      </c>
      <c r="G173" t="str">
        <f>IFERROR(Tab_Compteur_7[[#This Row],[Montant TTC]]/Tab_Compteur_7[[#This Row],[Delta Jour]],"")</f>
        <v/>
      </c>
      <c r="H173" s="42"/>
      <c r="I173" s="42"/>
      <c r="J173" s="42"/>
      <c r="K173" s="42"/>
      <c r="L173" s="42"/>
    </row>
    <row r="174" spans="1:12" x14ac:dyDescent="0.25">
      <c r="A174" s="3">
        <f t="shared" si="6"/>
        <v>1</v>
      </c>
      <c r="B174" s="3">
        <f>EDATE($B$3,Site!$I$39*(ROW(Tab_Compteur_7[[#This Row],[Début de période]])-3))</f>
        <v>0</v>
      </c>
      <c r="C174" s="185"/>
      <c r="E174">
        <f t="shared" si="5"/>
        <v>0</v>
      </c>
      <c r="F174" t="str">
        <f>IFERROR(Tab_Compteur_7[[#This Row],[Quantité]]/Tab_Compteur_7[[#This Row],[Delta Jour]],"")</f>
        <v/>
      </c>
      <c r="G174" t="str">
        <f>IFERROR(Tab_Compteur_7[[#This Row],[Montant TTC]]/Tab_Compteur_7[[#This Row],[Delta Jour]],"")</f>
        <v/>
      </c>
      <c r="H174" s="42"/>
      <c r="I174" s="42"/>
      <c r="J174" s="42"/>
      <c r="K174" s="42"/>
      <c r="L174" s="42"/>
    </row>
    <row r="175" spans="1:12" x14ac:dyDescent="0.25">
      <c r="A175" s="3">
        <f t="shared" si="6"/>
        <v>1</v>
      </c>
      <c r="B175" s="3">
        <f>EDATE($B$3,Site!$I$39*(ROW(Tab_Compteur_7[[#This Row],[Début de période]])-3))</f>
        <v>0</v>
      </c>
      <c r="C175" s="185"/>
      <c r="E175">
        <f t="shared" si="5"/>
        <v>0</v>
      </c>
      <c r="F175" t="str">
        <f>IFERROR(Tab_Compteur_7[[#This Row],[Quantité]]/Tab_Compteur_7[[#This Row],[Delta Jour]],"")</f>
        <v/>
      </c>
      <c r="G175" t="str">
        <f>IFERROR(Tab_Compteur_7[[#This Row],[Montant TTC]]/Tab_Compteur_7[[#This Row],[Delta Jour]],"")</f>
        <v/>
      </c>
      <c r="H175" s="42"/>
      <c r="I175" s="42"/>
      <c r="J175" s="42"/>
      <c r="K175" s="42"/>
      <c r="L175" s="42"/>
    </row>
    <row r="176" spans="1:12" x14ac:dyDescent="0.25">
      <c r="A176" s="3">
        <f t="shared" si="6"/>
        <v>1</v>
      </c>
      <c r="B176" s="3">
        <f>EDATE($B$3,Site!$I$39*(ROW(Tab_Compteur_7[[#This Row],[Début de période]])-3))</f>
        <v>0</v>
      </c>
      <c r="C176" s="185"/>
      <c r="E176">
        <f t="shared" si="5"/>
        <v>0</v>
      </c>
      <c r="F176" t="str">
        <f>IFERROR(Tab_Compteur_7[[#This Row],[Quantité]]/Tab_Compteur_7[[#This Row],[Delta Jour]],"")</f>
        <v/>
      </c>
      <c r="G176" t="str">
        <f>IFERROR(Tab_Compteur_7[[#This Row],[Montant TTC]]/Tab_Compteur_7[[#This Row],[Delta Jour]],"")</f>
        <v/>
      </c>
      <c r="H176" s="42"/>
      <c r="I176" s="42"/>
      <c r="J176" s="42"/>
      <c r="K176" s="42"/>
      <c r="L176" s="42"/>
    </row>
    <row r="177" spans="1:12" x14ac:dyDescent="0.25">
      <c r="A177" s="3">
        <f t="shared" si="6"/>
        <v>1</v>
      </c>
      <c r="B177" s="3">
        <f>EDATE($B$3,Site!$I$39*(ROW(Tab_Compteur_7[[#This Row],[Début de période]])-3))</f>
        <v>0</v>
      </c>
      <c r="C177" s="185"/>
      <c r="E177">
        <f t="shared" si="5"/>
        <v>0</v>
      </c>
      <c r="F177" t="str">
        <f>IFERROR(Tab_Compteur_7[[#This Row],[Quantité]]/Tab_Compteur_7[[#This Row],[Delta Jour]],"")</f>
        <v/>
      </c>
      <c r="G177" t="str">
        <f>IFERROR(Tab_Compteur_7[[#This Row],[Montant TTC]]/Tab_Compteur_7[[#This Row],[Delta Jour]],"")</f>
        <v/>
      </c>
      <c r="H177" s="42"/>
      <c r="I177" s="42"/>
      <c r="J177" s="42"/>
      <c r="K177" s="42"/>
      <c r="L177" s="42"/>
    </row>
    <row r="178" spans="1:12" x14ac:dyDescent="0.25">
      <c r="A178" s="3">
        <f t="shared" si="6"/>
        <v>1</v>
      </c>
      <c r="B178" s="3">
        <f>EDATE($B$3,Site!$I$39*(ROW(Tab_Compteur_7[[#This Row],[Début de période]])-3))</f>
        <v>0</v>
      </c>
      <c r="C178" s="185"/>
      <c r="E178">
        <f t="shared" si="5"/>
        <v>0</v>
      </c>
      <c r="F178" t="str">
        <f>IFERROR(Tab_Compteur_7[[#This Row],[Quantité]]/Tab_Compteur_7[[#This Row],[Delta Jour]],"")</f>
        <v/>
      </c>
      <c r="G178" t="str">
        <f>IFERROR(Tab_Compteur_7[[#This Row],[Montant TTC]]/Tab_Compteur_7[[#This Row],[Delta Jour]],"")</f>
        <v/>
      </c>
      <c r="H178" s="42"/>
      <c r="I178" s="42"/>
      <c r="J178" s="42"/>
      <c r="K178" s="42"/>
      <c r="L178" s="42"/>
    </row>
    <row r="179" spans="1:12" x14ac:dyDescent="0.25">
      <c r="A179" s="3">
        <f t="shared" si="6"/>
        <v>1</v>
      </c>
      <c r="B179" s="3">
        <f>EDATE($B$3,Site!$I$39*(ROW(Tab_Compteur_7[[#This Row],[Début de période]])-3))</f>
        <v>0</v>
      </c>
      <c r="C179" s="185"/>
      <c r="E179">
        <f t="shared" si="5"/>
        <v>0</v>
      </c>
      <c r="F179" t="str">
        <f>IFERROR(Tab_Compteur_7[[#This Row],[Quantité]]/Tab_Compteur_7[[#This Row],[Delta Jour]],"")</f>
        <v/>
      </c>
      <c r="G179" t="str">
        <f>IFERROR(Tab_Compteur_7[[#This Row],[Montant TTC]]/Tab_Compteur_7[[#This Row],[Delta Jour]],"")</f>
        <v/>
      </c>
      <c r="H179" s="42"/>
      <c r="I179" s="42"/>
      <c r="J179" s="42"/>
      <c r="K179" s="42"/>
      <c r="L179" s="42"/>
    </row>
    <row r="180" spans="1:12" x14ac:dyDescent="0.25">
      <c r="A180" s="3">
        <f t="shared" si="6"/>
        <v>1</v>
      </c>
      <c r="B180" s="3">
        <f>EDATE($B$3,Site!$I$39*(ROW(Tab_Compteur_7[[#This Row],[Début de période]])-3))</f>
        <v>0</v>
      </c>
      <c r="C180" s="185"/>
      <c r="E180">
        <f t="shared" si="5"/>
        <v>0</v>
      </c>
      <c r="F180" t="str">
        <f>IFERROR(Tab_Compteur_7[[#This Row],[Quantité]]/Tab_Compteur_7[[#This Row],[Delta Jour]],"")</f>
        <v/>
      </c>
      <c r="G180" t="str">
        <f>IFERROR(Tab_Compteur_7[[#This Row],[Montant TTC]]/Tab_Compteur_7[[#This Row],[Delta Jour]],"")</f>
        <v/>
      </c>
      <c r="H180" s="42"/>
      <c r="I180" s="42"/>
      <c r="J180" s="42"/>
      <c r="K180" s="42"/>
      <c r="L180" s="42"/>
    </row>
    <row r="181" spans="1:12" x14ac:dyDescent="0.25">
      <c r="A181" s="3">
        <f t="shared" si="6"/>
        <v>1</v>
      </c>
      <c r="B181" s="3">
        <f>EDATE($B$3,Site!$I$39*(ROW(Tab_Compteur_7[[#This Row],[Début de période]])-3))</f>
        <v>0</v>
      </c>
      <c r="C181" s="185"/>
      <c r="E181">
        <f t="shared" si="5"/>
        <v>0</v>
      </c>
      <c r="F181" t="str">
        <f>IFERROR(Tab_Compteur_7[[#This Row],[Quantité]]/Tab_Compteur_7[[#This Row],[Delta Jour]],"")</f>
        <v/>
      </c>
      <c r="G181" t="str">
        <f>IFERROR(Tab_Compteur_7[[#This Row],[Montant TTC]]/Tab_Compteur_7[[#This Row],[Delta Jour]],"")</f>
        <v/>
      </c>
      <c r="H181" s="42"/>
      <c r="I181" s="42"/>
      <c r="J181" s="42"/>
      <c r="K181" s="42"/>
      <c r="L181" s="42"/>
    </row>
    <row r="182" spans="1:12" x14ac:dyDescent="0.25">
      <c r="A182" s="3">
        <f t="shared" si="6"/>
        <v>1</v>
      </c>
      <c r="B182" s="3">
        <f>EDATE($B$3,Site!$I$39*(ROW(Tab_Compteur_7[[#This Row],[Début de période]])-3))</f>
        <v>0</v>
      </c>
      <c r="C182" s="185"/>
      <c r="E182">
        <f t="shared" si="5"/>
        <v>0</v>
      </c>
      <c r="F182" t="str">
        <f>IFERROR(Tab_Compteur_7[[#This Row],[Quantité]]/Tab_Compteur_7[[#This Row],[Delta Jour]],"")</f>
        <v/>
      </c>
      <c r="G182" t="str">
        <f>IFERROR(Tab_Compteur_7[[#This Row],[Montant TTC]]/Tab_Compteur_7[[#This Row],[Delta Jour]],"")</f>
        <v/>
      </c>
      <c r="H182" s="42"/>
      <c r="I182" s="42"/>
      <c r="J182" s="42"/>
      <c r="K182" s="42"/>
      <c r="L182" s="42"/>
    </row>
    <row r="183" spans="1:12" x14ac:dyDescent="0.25">
      <c r="A183" s="3">
        <f t="shared" si="6"/>
        <v>1</v>
      </c>
      <c r="B183" s="3">
        <f>EDATE($B$3,Site!$I$39*(ROW(Tab_Compteur_7[[#This Row],[Début de période]])-3))</f>
        <v>0</v>
      </c>
      <c r="C183" s="185"/>
      <c r="E183">
        <f t="shared" si="5"/>
        <v>0</v>
      </c>
      <c r="F183" t="str">
        <f>IFERROR(Tab_Compteur_7[[#This Row],[Quantité]]/Tab_Compteur_7[[#This Row],[Delta Jour]],"")</f>
        <v/>
      </c>
      <c r="G183" t="str">
        <f>IFERROR(Tab_Compteur_7[[#This Row],[Montant TTC]]/Tab_Compteur_7[[#This Row],[Delta Jour]],"")</f>
        <v/>
      </c>
      <c r="H183" s="42"/>
      <c r="I183" s="42"/>
      <c r="J183" s="42"/>
      <c r="K183" s="42"/>
      <c r="L183" s="42"/>
    </row>
    <row r="184" spans="1:12" x14ac:dyDescent="0.25">
      <c r="A184" s="3">
        <f t="shared" si="6"/>
        <v>1</v>
      </c>
      <c r="B184" s="3">
        <f>EDATE($B$3,Site!$I$39*(ROW(Tab_Compteur_7[[#This Row],[Début de période]])-3))</f>
        <v>0</v>
      </c>
      <c r="C184" s="185"/>
      <c r="E184">
        <f t="shared" si="5"/>
        <v>0</v>
      </c>
      <c r="F184" t="str">
        <f>IFERROR(Tab_Compteur_7[[#This Row],[Quantité]]/Tab_Compteur_7[[#This Row],[Delta Jour]],"")</f>
        <v/>
      </c>
      <c r="G184" t="str">
        <f>IFERROR(Tab_Compteur_7[[#This Row],[Montant TTC]]/Tab_Compteur_7[[#This Row],[Delta Jour]],"")</f>
        <v/>
      </c>
      <c r="H184" s="42"/>
      <c r="I184" s="42"/>
      <c r="J184" s="42"/>
      <c r="K184" s="42"/>
      <c r="L184" s="42"/>
    </row>
    <row r="185" spans="1:12" x14ac:dyDescent="0.25">
      <c r="A185" s="3">
        <f t="shared" si="6"/>
        <v>1</v>
      </c>
      <c r="B185" s="3">
        <f>EDATE($B$3,Site!$I$39*(ROW(Tab_Compteur_7[[#This Row],[Début de période]])-3))</f>
        <v>0</v>
      </c>
      <c r="C185" s="185"/>
      <c r="E185">
        <f t="shared" si="5"/>
        <v>0</v>
      </c>
      <c r="F185" t="str">
        <f>IFERROR(Tab_Compteur_7[[#This Row],[Quantité]]/Tab_Compteur_7[[#This Row],[Delta Jour]],"")</f>
        <v/>
      </c>
      <c r="G185" t="str">
        <f>IFERROR(Tab_Compteur_7[[#This Row],[Montant TTC]]/Tab_Compteur_7[[#This Row],[Delta Jour]],"")</f>
        <v/>
      </c>
      <c r="H185" s="42"/>
      <c r="I185" s="42"/>
      <c r="J185" s="42"/>
      <c r="K185" s="42"/>
      <c r="L185" s="42"/>
    </row>
    <row r="186" spans="1:12" x14ac:dyDescent="0.25">
      <c r="A186" s="3">
        <f t="shared" si="6"/>
        <v>1</v>
      </c>
      <c r="B186" s="3">
        <f>EDATE($B$3,Site!$I$39*(ROW(Tab_Compteur_7[[#This Row],[Début de période]])-3))</f>
        <v>0</v>
      </c>
      <c r="C186" s="185"/>
      <c r="E186">
        <f t="shared" si="5"/>
        <v>0</v>
      </c>
      <c r="F186" t="str">
        <f>IFERROR(Tab_Compteur_7[[#This Row],[Quantité]]/Tab_Compteur_7[[#This Row],[Delta Jour]],"")</f>
        <v/>
      </c>
      <c r="G186" t="str">
        <f>IFERROR(Tab_Compteur_7[[#This Row],[Montant TTC]]/Tab_Compteur_7[[#This Row],[Delta Jour]],"")</f>
        <v/>
      </c>
      <c r="H186" s="42"/>
      <c r="I186" s="42"/>
      <c r="J186" s="42"/>
      <c r="K186" s="42"/>
      <c r="L186" s="42"/>
    </row>
    <row r="187" spans="1:12" x14ac:dyDescent="0.25">
      <c r="A187" s="3">
        <f t="shared" si="6"/>
        <v>1</v>
      </c>
      <c r="B187" s="3">
        <f>EDATE($B$3,Site!$I$39*(ROW(Tab_Compteur_7[[#This Row],[Début de période]])-3))</f>
        <v>0</v>
      </c>
      <c r="C187" s="185"/>
      <c r="E187">
        <f t="shared" si="5"/>
        <v>0</v>
      </c>
      <c r="F187" t="str">
        <f>IFERROR(Tab_Compteur_7[[#This Row],[Quantité]]/Tab_Compteur_7[[#This Row],[Delta Jour]],"")</f>
        <v/>
      </c>
      <c r="G187" t="str">
        <f>IFERROR(Tab_Compteur_7[[#This Row],[Montant TTC]]/Tab_Compteur_7[[#This Row],[Delta Jour]],"")</f>
        <v/>
      </c>
      <c r="H187" s="42"/>
      <c r="I187" s="42"/>
      <c r="J187" s="42"/>
      <c r="K187" s="42"/>
      <c r="L187" s="42"/>
    </row>
    <row r="188" spans="1:12" x14ac:dyDescent="0.25">
      <c r="A188" s="3">
        <f t="shared" si="6"/>
        <v>1</v>
      </c>
      <c r="B188" s="3">
        <f>EDATE($B$3,Site!$I$39*(ROW(Tab_Compteur_7[[#This Row],[Début de période]])-3))</f>
        <v>0</v>
      </c>
      <c r="C188" s="185"/>
      <c r="E188">
        <f t="shared" si="5"/>
        <v>0</v>
      </c>
      <c r="F188" t="str">
        <f>IFERROR(Tab_Compteur_7[[#This Row],[Quantité]]/Tab_Compteur_7[[#This Row],[Delta Jour]],"")</f>
        <v/>
      </c>
      <c r="G188" t="str">
        <f>IFERROR(Tab_Compteur_7[[#This Row],[Montant TTC]]/Tab_Compteur_7[[#This Row],[Delta Jour]],"")</f>
        <v/>
      </c>
      <c r="H188" s="42"/>
      <c r="I188" s="42"/>
      <c r="J188" s="42"/>
      <c r="K188" s="42"/>
      <c r="L188" s="42"/>
    </row>
    <row r="189" spans="1:12" x14ac:dyDescent="0.25">
      <c r="A189" s="3">
        <f t="shared" si="6"/>
        <v>1</v>
      </c>
      <c r="B189" s="3">
        <f>EDATE($B$3,Site!$I$39*(ROW(Tab_Compteur_7[[#This Row],[Début de période]])-3))</f>
        <v>0</v>
      </c>
      <c r="C189" s="185"/>
      <c r="E189">
        <f t="shared" si="5"/>
        <v>0</v>
      </c>
      <c r="F189" t="str">
        <f>IFERROR(Tab_Compteur_7[[#This Row],[Quantité]]/Tab_Compteur_7[[#This Row],[Delta Jour]],"")</f>
        <v/>
      </c>
      <c r="G189" t="str">
        <f>IFERROR(Tab_Compteur_7[[#This Row],[Montant TTC]]/Tab_Compteur_7[[#This Row],[Delta Jour]],"")</f>
        <v/>
      </c>
      <c r="H189" s="42"/>
      <c r="I189" s="42"/>
      <c r="J189" s="42"/>
      <c r="K189" s="42"/>
      <c r="L189" s="42"/>
    </row>
    <row r="190" spans="1:12" x14ac:dyDescent="0.25">
      <c r="A190" s="3">
        <f t="shared" si="6"/>
        <v>1</v>
      </c>
      <c r="B190" s="3">
        <f>EDATE($B$3,Site!$I$39*(ROW(Tab_Compteur_7[[#This Row],[Début de période]])-3))</f>
        <v>0</v>
      </c>
      <c r="C190" s="185"/>
      <c r="E190">
        <f t="shared" si="5"/>
        <v>0</v>
      </c>
      <c r="F190" t="str">
        <f>IFERROR(Tab_Compteur_7[[#This Row],[Quantité]]/Tab_Compteur_7[[#This Row],[Delta Jour]],"")</f>
        <v/>
      </c>
      <c r="G190" t="str">
        <f>IFERROR(Tab_Compteur_7[[#This Row],[Montant TTC]]/Tab_Compteur_7[[#This Row],[Delta Jour]],"")</f>
        <v/>
      </c>
      <c r="H190" s="42"/>
      <c r="I190" s="42"/>
      <c r="J190" s="42"/>
      <c r="K190" s="42"/>
      <c r="L190" s="42"/>
    </row>
    <row r="191" spans="1:12" x14ac:dyDescent="0.25">
      <c r="A191" s="3">
        <f t="shared" si="6"/>
        <v>1</v>
      </c>
      <c r="B191" s="3">
        <f>EDATE($B$3,Site!$I$39*(ROW(Tab_Compteur_7[[#This Row],[Début de période]])-3))</f>
        <v>0</v>
      </c>
      <c r="C191" s="185"/>
      <c r="E191">
        <f t="shared" si="5"/>
        <v>0</v>
      </c>
      <c r="F191" t="str">
        <f>IFERROR(Tab_Compteur_7[[#This Row],[Quantité]]/Tab_Compteur_7[[#This Row],[Delta Jour]],"")</f>
        <v/>
      </c>
      <c r="G191" t="str">
        <f>IFERROR(Tab_Compteur_7[[#This Row],[Montant TTC]]/Tab_Compteur_7[[#This Row],[Delta Jour]],"")</f>
        <v/>
      </c>
      <c r="H191" s="42"/>
      <c r="I191" s="42"/>
      <c r="J191" s="42"/>
      <c r="K191" s="42"/>
      <c r="L191" s="42"/>
    </row>
    <row r="192" spans="1:12" x14ac:dyDescent="0.25">
      <c r="A192" s="3">
        <f t="shared" si="6"/>
        <v>1</v>
      </c>
      <c r="B192" s="3">
        <f>EDATE($B$3,Site!$I$39*(ROW(Tab_Compteur_7[[#This Row],[Début de période]])-3))</f>
        <v>0</v>
      </c>
      <c r="C192" s="185"/>
      <c r="E192">
        <f t="shared" si="5"/>
        <v>0</v>
      </c>
      <c r="F192" t="str">
        <f>IFERROR(Tab_Compteur_7[[#This Row],[Quantité]]/Tab_Compteur_7[[#This Row],[Delta Jour]],"")</f>
        <v/>
      </c>
      <c r="G192" t="str">
        <f>IFERROR(Tab_Compteur_7[[#This Row],[Montant TTC]]/Tab_Compteur_7[[#This Row],[Delta Jour]],"")</f>
        <v/>
      </c>
      <c r="H192" s="42"/>
      <c r="I192" s="42"/>
      <c r="J192" s="42"/>
      <c r="K192" s="42"/>
      <c r="L192" s="42"/>
    </row>
    <row r="193" spans="1:12" x14ac:dyDescent="0.25">
      <c r="A193" s="3">
        <f t="shared" si="6"/>
        <v>1</v>
      </c>
      <c r="B193" s="3">
        <f>EDATE($B$3,Site!$I$39*(ROW(Tab_Compteur_7[[#This Row],[Début de période]])-3))</f>
        <v>0</v>
      </c>
      <c r="C193" s="185"/>
      <c r="E193">
        <f t="shared" si="5"/>
        <v>0</v>
      </c>
      <c r="F193" t="str">
        <f>IFERROR(Tab_Compteur_7[[#This Row],[Quantité]]/Tab_Compteur_7[[#This Row],[Delta Jour]],"")</f>
        <v/>
      </c>
      <c r="G193" t="str">
        <f>IFERROR(Tab_Compteur_7[[#This Row],[Montant TTC]]/Tab_Compteur_7[[#This Row],[Delta Jour]],"")</f>
        <v/>
      </c>
      <c r="H193" s="42"/>
      <c r="I193" s="42"/>
      <c r="J193" s="42"/>
      <c r="K193" s="42"/>
      <c r="L193" s="42"/>
    </row>
    <row r="194" spans="1:12" x14ac:dyDescent="0.25">
      <c r="A194" s="3">
        <f t="shared" si="6"/>
        <v>1</v>
      </c>
      <c r="B194" s="3">
        <f>EDATE($B$3,Site!$I$39*(ROW(Tab_Compteur_7[[#This Row],[Début de période]])-3))</f>
        <v>0</v>
      </c>
      <c r="C194" s="185"/>
      <c r="E194">
        <f t="shared" ref="E194:E242" si="7">IFERROR(B194-A194+1,"")</f>
        <v>0</v>
      </c>
      <c r="F194" t="str">
        <f>IFERROR(Tab_Compteur_7[[#This Row],[Quantité]]/Tab_Compteur_7[[#This Row],[Delta Jour]],"")</f>
        <v/>
      </c>
      <c r="G194" t="str">
        <f>IFERROR(Tab_Compteur_7[[#This Row],[Montant TTC]]/Tab_Compteur_7[[#This Row],[Delta Jour]],"")</f>
        <v/>
      </c>
      <c r="H194" s="42"/>
      <c r="I194" s="42"/>
      <c r="J194" s="42"/>
      <c r="K194" s="42"/>
      <c r="L194" s="42"/>
    </row>
    <row r="195" spans="1:12" x14ac:dyDescent="0.25">
      <c r="A195" s="3">
        <f t="shared" si="6"/>
        <v>1</v>
      </c>
      <c r="B195" s="3">
        <f>EDATE($B$3,Site!$I$39*(ROW(Tab_Compteur_7[[#This Row],[Début de période]])-3))</f>
        <v>0</v>
      </c>
      <c r="C195" s="185"/>
      <c r="E195">
        <f t="shared" si="7"/>
        <v>0</v>
      </c>
      <c r="F195" t="str">
        <f>IFERROR(Tab_Compteur_7[[#This Row],[Quantité]]/Tab_Compteur_7[[#This Row],[Delta Jour]],"")</f>
        <v/>
      </c>
      <c r="G195" t="str">
        <f>IFERROR(Tab_Compteur_7[[#This Row],[Montant TTC]]/Tab_Compteur_7[[#This Row],[Delta Jour]],"")</f>
        <v/>
      </c>
      <c r="H195" s="42"/>
      <c r="I195" s="42"/>
      <c r="J195" s="42"/>
      <c r="K195" s="42"/>
      <c r="L195" s="42"/>
    </row>
    <row r="196" spans="1:12" x14ac:dyDescent="0.25">
      <c r="A196" s="3">
        <f t="shared" si="6"/>
        <v>1</v>
      </c>
      <c r="B196" s="3">
        <f>EDATE($B$3,Site!$I$39*(ROW(Tab_Compteur_7[[#This Row],[Début de période]])-3))</f>
        <v>0</v>
      </c>
      <c r="C196" s="185"/>
      <c r="E196">
        <f t="shared" si="7"/>
        <v>0</v>
      </c>
      <c r="F196" t="str">
        <f>IFERROR(Tab_Compteur_7[[#This Row],[Quantité]]/Tab_Compteur_7[[#This Row],[Delta Jour]],"")</f>
        <v/>
      </c>
      <c r="G196" t="str">
        <f>IFERROR(Tab_Compteur_7[[#This Row],[Montant TTC]]/Tab_Compteur_7[[#This Row],[Delta Jour]],"")</f>
        <v/>
      </c>
      <c r="H196" s="42"/>
      <c r="I196" s="42"/>
      <c r="J196" s="42"/>
      <c r="K196" s="42"/>
      <c r="L196" s="42"/>
    </row>
    <row r="197" spans="1:12" x14ac:dyDescent="0.25">
      <c r="A197" s="3">
        <f t="shared" ref="A197:A242" si="8">B196+1</f>
        <v>1</v>
      </c>
      <c r="B197" s="3">
        <f>EDATE($B$3,Site!$I$39*(ROW(Tab_Compteur_7[[#This Row],[Début de période]])-3))</f>
        <v>0</v>
      </c>
      <c r="C197" s="185"/>
      <c r="E197">
        <f t="shared" si="7"/>
        <v>0</v>
      </c>
      <c r="F197" t="str">
        <f>IFERROR(Tab_Compteur_7[[#This Row],[Quantité]]/Tab_Compteur_7[[#This Row],[Delta Jour]],"")</f>
        <v/>
      </c>
      <c r="G197" t="str">
        <f>IFERROR(Tab_Compteur_7[[#This Row],[Montant TTC]]/Tab_Compteur_7[[#This Row],[Delta Jour]],"")</f>
        <v/>
      </c>
      <c r="H197" s="42"/>
      <c r="I197" s="42"/>
      <c r="J197" s="42"/>
      <c r="K197" s="42"/>
      <c r="L197" s="42"/>
    </row>
    <row r="198" spans="1:12" x14ac:dyDescent="0.25">
      <c r="A198" s="3">
        <f t="shared" si="8"/>
        <v>1</v>
      </c>
      <c r="B198" s="3">
        <f>EDATE($B$3,Site!$I$39*(ROW(Tab_Compteur_7[[#This Row],[Début de période]])-3))</f>
        <v>0</v>
      </c>
      <c r="C198" s="185"/>
      <c r="E198">
        <f t="shared" si="7"/>
        <v>0</v>
      </c>
      <c r="F198" t="str">
        <f>IFERROR(Tab_Compteur_7[[#This Row],[Quantité]]/Tab_Compteur_7[[#This Row],[Delta Jour]],"")</f>
        <v/>
      </c>
      <c r="G198" t="str">
        <f>IFERROR(Tab_Compteur_7[[#This Row],[Montant TTC]]/Tab_Compteur_7[[#This Row],[Delta Jour]],"")</f>
        <v/>
      </c>
      <c r="H198" s="42"/>
      <c r="I198" s="42"/>
      <c r="J198" s="42"/>
      <c r="K198" s="42"/>
      <c r="L198" s="42"/>
    </row>
    <row r="199" spans="1:12" x14ac:dyDescent="0.25">
      <c r="A199" s="3">
        <f t="shared" si="8"/>
        <v>1</v>
      </c>
      <c r="B199" s="3">
        <f>EDATE($B$3,Site!$I$39*(ROW(Tab_Compteur_7[[#This Row],[Début de période]])-3))</f>
        <v>0</v>
      </c>
      <c r="C199" s="185"/>
      <c r="E199">
        <f t="shared" si="7"/>
        <v>0</v>
      </c>
      <c r="F199" t="str">
        <f>IFERROR(Tab_Compteur_7[[#This Row],[Quantité]]/Tab_Compteur_7[[#This Row],[Delta Jour]],"")</f>
        <v/>
      </c>
      <c r="G199" t="str">
        <f>IFERROR(Tab_Compteur_7[[#This Row],[Montant TTC]]/Tab_Compteur_7[[#This Row],[Delta Jour]],"")</f>
        <v/>
      </c>
      <c r="H199" s="42"/>
      <c r="I199" s="42"/>
      <c r="J199" s="42"/>
      <c r="K199" s="42"/>
      <c r="L199" s="42"/>
    </row>
    <row r="200" spans="1:12" x14ac:dyDescent="0.25">
      <c r="A200" s="3">
        <f t="shared" si="8"/>
        <v>1</v>
      </c>
      <c r="B200" s="3">
        <f>EDATE($B$3,Site!$I$39*(ROW(Tab_Compteur_7[[#This Row],[Début de période]])-3))</f>
        <v>0</v>
      </c>
      <c r="C200" s="185"/>
      <c r="E200">
        <f t="shared" si="7"/>
        <v>0</v>
      </c>
      <c r="F200" t="str">
        <f>IFERROR(Tab_Compteur_7[[#This Row],[Quantité]]/Tab_Compteur_7[[#This Row],[Delta Jour]],"")</f>
        <v/>
      </c>
      <c r="G200" t="str">
        <f>IFERROR(Tab_Compteur_7[[#This Row],[Montant TTC]]/Tab_Compteur_7[[#This Row],[Delta Jour]],"")</f>
        <v/>
      </c>
      <c r="H200" s="42"/>
      <c r="I200" s="42"/>
      <c r="J200" s="42"/>
      <c r="K200" s="42"/>
      <c r="L200" s="42"/>
    </row>
    <row r="201" spans="1:12" x14ac:dyDescent="0.25">
      <c r="A201" s="3">
        <f t="shared" si="8"/>
        <v>1</v>
      </c>
      <c r="B201" s="3">
        <f>EDATE($B$3,Site!$I$39*(ROW(Tab_Compteur_7[[#This Row],[Début de période]])-3))</f>
        <v>0</v>
      </c>
      <c r="C201" s="185"/>
      <c r="E201">
        <f t="shared" si="7"/>
        <v>0</v>
      </c>
      <c r="F201" t="str">
        <f>IFERROR(Tab_Compteur_7[[#This Row],[Quantité]]/Tab_Compteur_7[[#This Row],[Delta Jour]],"")</f>
        <v/>
      </c>
      <c r="G201" t="str">
        <f>IFERROR(Tab_Compteur_7[[#This Row],[Montant TTC]]/Tab_Compteur_7[[#This Row],[Delta Jour]],"")</f>
        <v/>
      </c>
      <c r="H201" s="42"/>
      <c r="I201" s="42"/>
      <c r="J201" s="42"/>
      <c r="K201" s="42"/>
      <c r="L201" s="42"/>
    </row>
    <row r="202" spans="1:12" x14ac:dyDescent="0.25">
      <c r="A202" s="3">
        <f t="shared" si="8"/>
        <v>1</v>
      </c>
      <c r="B202" s="3">
        <f>EDATE($B$3,Site!$I$39*(ROW(Tab_Compteur_7[[#This Row],[Début de période]])-3))</f>
        <v>0</v>
      </c>
      <c r="C202" s="185"/>
      <c r="E202">
        <f t="shared" si="7"/>
        <v>0</v>
      </c>
      <c r="F202" t="str">
        <f>IFERROR(Tab_Compteur_7[[#This Row],[Quantité]]/Tab_Compteur_7[[#This Row],[Delta Jour]],"")</f>
        <v/>
      </c>
      <c r="G202" t="str">
        <f>IFERROR(Tab_Compteur_7[[#This Row],[Montant TTC]]/Tab_Compteur_7[[#This Row],[Delta Jour]],"")</f>
        <v/>
      </c>
      <c r="H202" s="42"/>
      <c r="I202" s="42"/>
      <c r="J202" s="42"/>
      <c r="K202" s="42"/>
      <c r="L202" s="42"/>
    </row>
    <row r="203" spans="1:12" x14ac:dyDescent="0.25">
      <c r="A203" s="3">
        <f t="shared" si="8"/>
        <v>1</v>
      </c>
      <c r="B203" s="3">
        <f>EDATE($B$3,Site!$I$39*(ROW(Tab_Compteur_7[[#This Row],[Début de période]])-3))</f>
        <v>0</v>
      </c>
      <c r="C203" s="185"/>
      <c r="E203">
        <f t="shared" si="7"/>
        <v>0</v>
      </c>
      <c r="F203" t="str">
        <f>IFERROR(Tab_Compteur_7[[#This Row],[Quantité]]/Tab_Compteur_7[[#This Row],[Delta Jour]],"")</f>
        <v/>
      </c>
      <c r="G203" t="str">
        <f>IFERROR(Tab_Compteur_7[[#This Row],[Montant TTC]]/Tab_Compteur_7[[#This Row],[Delta Jour]],"")</f>
        <v/>
      </c>
      <c r="H203" s="42"/>
      <c r="I203" s="42"/>
      <c r="J203" s="42"/>
      <c r="K203" s="42"/>
      <c r="L203" s="42"/>
    </row>
    <row r="204" spans="1:12" x14ac:dyDescent="0.25">
      <c r="A204" s="3">
        <f t="shared" si="8"/>
        <v>1</v>
      </c>
      <c r="B204" s="3">
        <f>EDATE($B$3,Site!$I$39*(ROW(Tab_Compteur_7[[#This Row],[Début de période]])-3))</f>
        <v>0</v>
      </c>
      <c r="C204" s="185"/>
      <c r="E204">
        <f t="shared" si="7"/>
        <v>0</v>
      </c>
      <c r="F204" t="str">
        <f>IFERROR(Tab_Compteur_7[[#This Row],[Quantité]]/Tab_Compteur_7[[#This Row],[Delta Jour]],"")</f>
        <v/>
      </c>
      <c r="G204" t="str">
        <f>IFERROR(Tab_Compteur_7[[#This Row],[Montant TTC]]/Tab_Compteur_7[[#This Row],[Delta Jour]],"")</f>
        <v/>
      </c>
      <c r="H204" s="42"/>
      <c r="I204" s="42"/>
      <c r="J204" s="42"/>
      <c r="K204" s="42"/>
      <c r="L204" s="42"/>
    </row>
    <row r="205" spans="1:12" x14ac:dyDescent="0.25">
      <c r="A205" s="3">
        <f t="shared" si="8"/>
        <v>1</v>
      </c>
      <c r="B205" s="3">
        <f>EDATE($B$3,Site!$I$39*(ROW(Tab_Compteur_7[[#This Row],[Début de période]])-3))</f>
        <v>0</v>
      </c>
      <c r="C205" s="185"/>
      <c r="E205">
        <f t="shared" si="7"/>
        <v>0</v>
      </c>
      <c r="F205" t="str">
        <f>IFERROR(Tab_Compteur_7[[#This Row],[Quantité]]/Tab_Compteur_7[[#This Row],[Delta Jour]],"")</f>
        <v/>
      </c>
      <c r="G205" t="str">
        <f>IFERROR(Tab_Compteur_7[[#This Row],[Montant TTC]]/Tab_Compteur_7[[#This Row],[Delta Jour]],"")</f>
        <v/>
      </c>
      <c r="H205" s="42"/>
      <c r="I205" s="42"/>
      <c r="J205" s="42"/>
      <c r="K205" s="42"/>
      <c r="L205" s="42"/>
    </row>
    <row r="206" spans="1:12" x14ac:dyDescent="0.25">
      <c r="A206" s="3">
        <f t="shared" si="8"/>
        <v>1</v>
      </c>
      <c r="B206" s="3">
        <f>EDATE($B$3,Site!$I$39*(ROW(Tab_Compteur_7[[#This Row],[Début de période]])-3))</f>
        <v>0</v>
      </c>
      <c r="C206" s="185"/>
      <c r="E206">
        <f t="shared" si="7"/>
        <v>0</v>
      </c>
      <c r="F206" t="str">
        <f>IFERROR(Tab_Compteur_7[[#This Row],[Quantité]]/Tab_Compteur_7[[#This Row],[Delta Jour]],"")</f>
        <v/>
      </c>
      <c r="G206" t="str">
        <f>IFERROR(Tab_Compteur_7[[#This Row],[Montant TTC]]/Tab_Compteur_7[[#This Row],[Delta Jour]],"")</f>
        <v/>
      </c>
      <c r="H206" s="42"/>
      <c r="I206" s="42"/>
      <c r="J206" s="42"/>
      <c r="K206" s="42"/>
      <c r="L206" s="42"/>
    </row>
    <row r="207" spans="1:12" x14ac:dyDescent="0.25">
      <c r="A207" s="3">
        <f t="shared" si="8"/>
        <v>1</v>
      </c>
      <c r="B207" s="3">
        <f>EDATE($B$3,Site!$I$39*(ROW(Tab_Compteur_7[[#This Row],[Début de période]])-3))</f>
        <v>0</v>
      </c>
      <c r="C207" s="185"/>
      <c r="E207">
        <f t="shared" si="7"/>
        <v>0</v>
      </c>
      <c r="F207" t="str">
        <f>IFERROR(Tab_Compteur_7[[#This Row],[Quantité]]/Tab_Compteur_7[[#This Row],[Delta Jour]],"")</f>
        <v/>
      </c>
      <c r="G207" t="str">
        <f>IFERROR(Tab_Compteur_7[[#This Row],[Montant TTC]]/Tab_Compteur_7[[#This Row],[Delta Jour]],"")</f>
        <v/>
      </c>
      <c r="H207" s="42"/>
      <c r="I207" s="42"/>
      <c r="J207" s="42"/>
      <c r="K207" s="42"/>
      <c r="L207" s="42"/>
    </row>
    <row r="208" spans="1:12" x14ac:dyDescent="0.25">
      <c r="A208" s="3">
        <f t="shared" si="8"/>
        <v>1</v>
      </c>
      <c r="B208" s="3">
        <f>EDATE($B$3,Site!$I$39*(ROW(Tab_Compteur_7[[#This Row],[Début de période]])-3))</f>
        <v>0</v>
      </c>
      <c r="C208" s="185"/>
      <c r="E208">
        <f t="shared" si="7"/>
        <v>0</v>
      </c>
      <c r="F208" t="str">
        <f>IFERROR(Tab_Compteur_7[[#This Row],[Quantité]]/Tab_Compteur_7[[#This Row],[Delta Jour]],"")</f>
        <v/>
      </c>
      <c r="G208" t="str">
        <f>IFERROR(Tab_Compteur_7[[#This Row],[Montant TTC]]/Tab_Compteur_7[[#This Row],[Delta Jour]],"")</f>
        <v/>
      </c>
      <c r="H208" s="42"/>
      <c r="I208" s="42"/>
      <c r="J208" s="42"/>
      <c r="K208" s="42"/>
      <c r="L208" s="42"/>
    </row>
    <row r="209" spans="1:12" x14ac:dyDescent="0.25">
      <c r="A209" s="3">
        <f t="shared" si="8"/>
        <v>1</v>
      </c>
      <c r="B209" s="3">
        <f>EDATE($B$3,Site!$I$39*(ROW(Tab_Compteur_7[[#This Row],[Début de période]])-3))</f>
        <v>0</v>
      </c>
      <c r="C209" s="185"/>
      <c r="E209">
        <f t="shared" si="7"/>
        <v>0</v>
      </c>
      <c r="F209" t="str">
        <f>IFERROR(Tab_Compteur_7[[#This Row],[Quantité]]/Tab_Compteur_7[[#This Row],[Delta Jour]],"")</f>
        <v/>
      </c>
      <c r="G209" t="str">
        <f>IFERROR(Tab_Compteur_7[[#This Row],[Montant TTC]]/Tab_Compteur_7[[#This Row],[Delta Jour]],"")</f>
        <v/>
      </c>
      <c r="H209" s="42"/>
      <c r="I209" s="42"/>
      <c r="J209" s="42"/>
      <c r="K209" s="42"/>
      <c r="L209" s="42"/>
    </row>
    <row r="210" spans="1:12" x14ac:dyDescent="0.25">
      <c r="A210" s="3">
        <f t="shared" si="8"/>
        <v>1</v>
      </c>
      <c r="B210" s="3">
        <f>EDATE($B$3,Site!$I$39*(ROW(Tab_Compteur_7[[#This Row],[Début de période]])-3))</f>
        <v>0</v>
      </c>
      <c r="C210" s="185"/>
      <c r="E210">
        <f t="shared" si="7"/>
        <v>0</v>
      </c>
      <c r="F210" t="str">
        <f>IFERROR(Tab_Compteur_7[[#This Row],[Quantité]]/Tab_Compteur_7[[#This Row],[Delta Jour]],"")</f>
        <v/>
      </c>
      <c r="G210" t="str">
        <f>IFERROR(Tab_Compteur_7[[#This Row],[Montant TTC]]/Tab_Compteur_7[[#This Row],[Delta Jour]],"")</f>
        <v/>
      </c>
      <c r="H210" s="42"/>
      <c r="I210" s="42"/>
      <c r="J210" s="42"/>
      <c r="K210" s="42"/>
      <c r="L210" s="42"/>
    </row>
    <row r="211" spans="1:12" x14ac:dyDescent="0.25">
      <c r="A211" s="3">
        <f t="shared" si="8"/>
        <v>1</v>
      </c>
      <c r="B211" s="3">
        <f>EDATE($B$3,Site!$I$39*(ROW(Tab_Compteur_7[[#This Row],[Début de période]])-3))</f>
        <v>0</v>
      </c>
      <c r="C211" s="185"/>
      <c r="E211">
        <f t="shared" si="7"/>
        <v>0</v>
      </c>
      <c r="F211" t="str">
        <f>IFERROR(Tab_Compteur_7[[#This Row],[Quantité]]/Tab_Compteur_7[[#This Row],[Delta Jour]],"")</f>
        <v/>
      </c>
      <c r="G211" t="str">
        <f>IFERROR(Tab_Compteur_7[[#This Row],[Montant TTC]]/Tab_Compteur_7[[#This Row],[Delta Jour]],"")</f>
        <v/>
      </c>
      <c r="H211" s="42"/>
      <c r="I211" s="42"/>
      <c r="J211" s="42"/>
      <c r="K211" s="42"/>
      <c r="L211" s="42"/>
    </row>
    <row r="212" spans="1:12" x14ac:dyDescent="0.25">
      <c r="A212" s="3">
        <f t="shared" si="8"/>
        <v>1</v>
      </c>
      <c r="B212" s="3">
        <f>EDATE($B$3,Site!$I$39*(ROW(Tab_Compteur_7[[#This Row],[Début de période]])-3))</f>
        <v>0</v>
      </c>
      <c r="C212" s="185"/>
      <c r="E212">
        <f t="shared" si="7"/>
        <v>0</v>
      </c>
      <c r="F212" t="str">
        <f>IFERROR(Tab_Compteur_7[[#This Row],[Quantité]]/Tab_Compteur_7[[#This Row],[Delta Jour]],"")</f>
        <v/>
      </c>
      <c r="G212" t="str">
        <f>IFERROR(Tab_Compteur_7[[#This Row],[Montant TTC]]/Tab_Compteur_7[[#This Row],[Delta Jour]],"")</f>
        <v/>
      </c>
      <c r="H212" s="42"/>
      <c r="I212" s="42"/>
      <c r="J212" s="42"/>
      <c r="K212" s="42"/>
      <c r="L212" s="42"/>
    </row>
    <row r="213" spans="1:12" x14ac:dyDescent="0.25">
      <c r="A213" s="3">
        <f t="shared" si="8"/>
        <v>1</v>
      </c>
      <c r="B213" s="3">
        <f>EDATE($B$3,Site!$I$39*(ROW(Tab_Compteur_7[[#This Row],[Début de période]])-3))</f>
        <v>0</v>
      </c>
      <c r="C213" s="185"/>
      <c r="E213">
        <f t="shared" si="7"/>
        <v>0</v>
      </c>
      <c r="F213" t="str">
        <f>IFERROR(Tab_Compteur_7[[#This Row],[Quantité]]/Tab_Compteur_7[[#This Row],[Delta Jour]],"")</f>
        <v/>
      </c>
      <c r="G213" t="str">
        <f>IFERROR(Tab_Compteur_7[[#This Row],[Montant TTC]]/Tab_Compteur_7[[#This Row],[Delta Jour]],"")</f>
        <v/>
      </c>
      <c r="H213" s="42"/>
      <c r="I213" s="42"/>
      <c r="J213" s="42"/>
      <c r="K213" s="42"/>
      <c r="L213" s="42"/>
    </row>
    <row r="214" spans="1:12" x14ac:dyDescent="0.25">
      <c r="A214" s="3">
        <f t="shared" si="8"/>
        <v>1</v>
      </c>
      <c r="B214" s="3">
        <f>EDATE($B$3,Site!$I$39*(ROW(Tab_Compteur_7[[#This Row],[Début de période]])-3))</f>
        <v>0</v>
      </c>
      <c r="C214" s="185"/>
      <c r="E214">
        <f t="shared" si="7"/>
        <v>0</v>
      </c>
      <c r="F214" t="str">
        <f>IFERROR(Tab_Compteur_7[[#This Row],[Quantité]]/Tab_Compteur_7[[#This Row],[Delta Jour]],"")</f>
        <v/>
      </c>
      <c r="G214" t="str">
        <f>IFERROR(Tab_Compteur_7[[#This Row],[Montant TTC]]/Tab_Compteur_7[[#This Row],[Delta Jour]],"")</f>
        <v/>
      </c>
      <c r="H214" s="42"/>
      <c r="I214" s="42"/>
      <c r="J214" s="42"/>
      <c r="K214" s="42"/>
      <c r="L214" s="42"/>
    </row>
    <row r="215" spans="1:12" x14ac:dyDescent="0.25">
      <c r="A215" s="3">
        <f t="shared" si="8"/>
        <v>1</v>
      </c>
      <c r="B215" s="3">
        <f>EDATE($B$3,Site!$I$39*(ROW(Tab_Compteur_7[[#This Row],[Début de période]])-3))</f>
        <v>0</v>
      </c>
      <c r="C215" s="185"/>
      <c r="E215">
        <f t="shared" si="7"/>
        <v>0</v>
      </c>
      <c r="F215" t="str">
        <f>IFERROR(Tab_Compteur_7[[#This Row],[Quantité]]/Tab_Compteur_7[[#This Row],[Delta Jour]],"")</f>
        <v/>
      </c>
      <c r="G215" t="str">
        <f>IFERROR(Tab_Compteur_7[[#This Row],[Montant TTC]]/Tab_Compteur_7[[#This Row],[Delta Jour]],"")</f>
        <v/>
      </c>
      <c r="H215" s="42"/>
      <c r="I215" s="42"/>
      <c r="J215" s="42"/>
      <c r="K215" s="42"/>
      <c r="L215" s="42"/>
    </row>
    <row r="216" spans="1:12" x14ac:dyDescent="0.25">
      <c r="A216" s="3">
        <f t="shared" si="8"/>
        <v>1</v>
      </c>
      <c r="B216" s="3">
        <f>EDATE($B$3,Site!$I$39*(ROW(Tab_Compteur_7[[#This Row],[Début de période]])-3))</f>
        <v>0</v>
      </c>
      <c r="C216" s="185"/>
      <c r="E216">
        <f t="shared" si="7"/>
        <v>0</v>
      </c>
      <c r="F216" t="str">
        <f>IFERROR(Tab_Compteur_7[[#This Row],[Quantité]]/Tab_Compteur_7[[#This Row],[Delta Jour]],"")</f>
        <v/>
      </c>
      <c r="G216" t="str">
        <f>IFERROR(Tab_Compteur_7[[#This Row],[Montant TTC]]/Tab_Compteur_7[[#This Row],[Delta Jour]],"")</f>
        <v/>
      </c>
      <c r="H216" s="42"/>
      <c r="I216" s="42"/>
      <c r="J216" s="42"/>
      <c r="K216" s="42"/>
      <c r="L216" s="42"/>
    </row>
    <row r="217" spans="1:12" x14ac:dyDescent="0.25">
      <c r="A217" s="3">
        <f t="shared" si="8"/>
        <v>1</v>
      </c>
      <c r="B217" s="3">
        <f>EDATE($B$3,Site!$I$39*(ROW(Tab_Compteur_7[[#This Row],[Début de période]])-3))</f>
        <v>0</v>
      </c>
      <c r="C217" s="185"/>
      <c r="E217">
        <f t="shared" si="7"/>
        <v>0</v>
      </c>
      <c r="F217" t="str">
        <f>IFERROR(Tab_Compteur_7[[#This Row],[Quantité]]/Tab_Compteur_7[[#This Row],[Delta Jour]],"")</f>
        <v/>
      </c>
      <c r="G217" t="str">
        <f>IFERROR(Tab_Compteur_7[[#This Row],[Montant TTC]]/Tab_Compteur_7[[#This Row],[Delta Jour]],"")</f>
        <v/>
      </c>
      <c r="H217" s="42"/>
      <c r="I217" s="42"/>
      <c r="J217" s="42"/>
      <c r="K217" s="42"/>
      <c r="L217" s="42"/>
    </row>
    <row r="218" spans="1:12" x14ac:dyDescent="0.25">
      <c r="A218" s="3">
        <f t="shared" si="8"/>
        <v>1</v>
      </c>
      <c r="B218" s="3">
        <f>EDATE($B$3,Site!$I$39*(ROW(Tab_Compteur_7[[#This Row],[Début de période]])-3))</f>
        <v>0</v>
      </c>
      <c r="C218" s="185"/>
      <c r="E218">
        <f t="shared" si="7"/>
        <v>0</v>
      </c>
      <c r="F218" t="str">
        <f>IFERROR(Tab_Compteur_7[[#This Row],[Quantité]]/Tab_Compteur_7[[#This Row],[Delta Jour]],"")</f>
        <v/>
      </c>
      <c r="G218" t="str">
        <f>IFERROR(Tab_Compteur_7[[#This Row],[Montant TTC]]/Tab_Compteur_7[[#This Row],[Delta Jour]],"")</f>
        <v/>
      </c>
      <c r="H218" s="42"/>
      <c r="I218" s="42"/>
      <c r="J218" s="42"/>
      <c r="K218" s="42"/>
      <c r="L218" s="42"/>
    </row>
    <row r="219" spans="1:12" x14ac:dyDescent="0.25">
      <c r="A219" s="3">
        <f t="shared" si="8"/>
        <v>1</v>
      </c>
      <c r="B219" s="3">
        <f>EDATE($B$3,Site!$I$39*(ROW(Tab_Compteur_7[[#This Row],[Début de période]])-3))</f>
        <v>0</v>
      </c>
      <c r="C219" s="185"/>
      <c r="E219">
        <f t="shared" si="7"/>
        <v>0</v>
      </c>
      <c r="F219" t="str">
        <f>IFERROR(Tab_Compteur_7[[#This Row],[Quantité]]/Tab_Compteur_7[[#This Row],[Delta Jour]],"")</f>
        <v/>
      </c>
      <c r="G219" t="str">
        <f>IFERROR(Tab_Compteur_7[[#This Row],[Montant TTC]]/Tab_Compteur_7[[#This Row],[Delta Jour]],"")</f>
        <v/>
      </c>
      <c r="H219" s="42"/>
      <c r="I219" s="42"/>
      <c r="J219" s="42"/>
      <c r="K219" s="42"/>
      <c r="L219" s="42"/>
    </row>
    <row r="220" spans="1:12" x14ac:dyDescent="0.25">
      <c r="A220" s="3">
        <f t="shared" si="8"/>
        <v>1</v>
      </c>
      <c r="B220" s="3">
        <f>EDATE($B$3,Site!$I$39*(ROW(Tab_Compteur_7[[#This Row],[Début de période]])-3))</f>
        <v>0</v>
      </c>
      <c r="C220" s="185"/>
      <c r="E220">
        <f t="shared" si="7"/>
        <v>0</v>
      </c>
      <c r="F220" t="str">
        <f>IFERROR(Tab_Compteur_7[[#This Row],[Quantité]]/Tab_Compteur_7[[#This Row],[Delta Jour]],"")</f>
        <v/>
      </c>
      <c r="G220" t="str">
        <f>IFERROR(Tab_Compteur_7[[#This Row],[Montant TTC]]/Tab_Compteur_7[[#This Row],[Delta Jour]],"")</f>
        <v/>
      </c>
      <c r="H220" s="42"/>
      <c r="I220" s="42"/>
      <c r="J220" s="42"/>
      <c r="K220" s="42"/>
      <c r="L220" s="42"/>
    </row>
    <row r="221" spans="1:12" x14ac:dyDescent="0.25">
      <c r="A221" s="3">
        <f t="shared" si="8"/>
        <v>1</v>
      </c>
      <c r="B221" s="3">
        <f>EDATE($B$3,Site!$I$39*(ROW(Tab_Compteur_7[[#This Row],[Début de période]])-3))</f>
        <v>0</v>
      </c>
      <c r="C221" s="185"/>
      <c r="E221">
        <f t="shared" si="7"/>
        <v>0</v>
      </c>
      <c r="F221" t="str">
        <f>IFERROR(Tab_Compteur_7[[#This Row],[Quantité]]/Tab_Compteur_7[[#This Row],[Delta Jour]],"")</f>
        <v/>
      </c>
      <c r="G221" t="str">
        <f>IFERROR(Tab_Compteur_7[[#This Row],[Montant TTC]]/Tab_Compteur_7[[#This Row],[Delta Jour]],"")</f>
        <v/>
      </c>
      <c r="H221" s="42"/>
      <c r="I221" s="42"/>
      <c r="J221" s="42"/>
      <c r="K221" s="42"/>
      <c r="L221" s="42"/>
    </row>
    <row r="222" spans="1:12" x14ac:dyDescent="0.25">
      <c r="A222" s="3">
        <f t="shared" si="8"/>
        <v>1</v>
      </c>
      <c r="B222" s="3">
        <f>EDATE($B$3,Site!$I$39*(ROW(Tab_Compteur_7[[#This Row],[Début de période]])-3))</f>
        <v>0</v>
      </c>
      <c r="C222" s="185"/>
      <c r="E222">
        <f t="shared" si="7"/>
        <v>0</v>
      </c>
      <c r="F222" t="str">
        <f>IFERROR(Tab_Compteur_7[[#This Row],[Quantité]]/Tab_Compteur_7[[#This Row],[Delta Jour]],"")</f>
        <v/>
      </c>
      <c r="G222" t="str">
        <f>IFERROR(Tab_Compteur_7[[#This Row],[Montant TTC]]/Tab_Compteur_7[[#This Row],[Delta Jour]],"")</f>
        <v/>
      </c>
      <c r="H222" s="42"/>
      <c r="I222" s="42"/>
      <c r="J222" s="42"/>
      <c r="K222" s="42"/>
      <c r="L222" s="42"/>
    </row>
    <row r="223" spans="1:12" x14ac:dyDescent="0.25">
      <c r="A223" s="3">
        <f t="shared" si="8"/>
        <v>1</v>
      </c>
      <c r="B223" s="3">
        <f>EDATE($B$3,Site!$I$39*(ROW(Tab_Compteur_7[[#This Row],[Début de période]])-3))</f>
        <v>0</v>
      </c>
      <c r="C223" s="185"/>
      <c r="E223">
        <f t="shared" si="7"/>
        <v>0</v>
      </c>
      <c r="F223" t="str">
        <f>IFERROR(Tab_Compteur_7[[#This Row],[Quantité]]/Tab_Compteur_7[[#This Row],[Delta Jour]],"")</f>
        <v/>
      </c>
      <c r="G223" t="str">
        <f>IFERROR(Tab_Compteur_7[[#This Row],[Montant TTC]]/Tab_Compteur_7[[#This Row],[Delta Jour]],"")</f>
        <v/>
      </c>
      <c r="H223" s="42"/>
      <c r="I223" s="42"/>
      <c r="J223" s="42"/>
      <c r="K223" s="42"/>
      <c r="L223" s="42"/>
    </row>
    <row r="224" spans="1:12" x14ac:dyDescent="0.25">
      <c r="A224" s="3">
        <f t="shared" si="8"/>
        <v>1</v>
      </c>
      <c r="B224" s="3">
        <f>EDATE($B$3,Site!$I$39*(ROW(Tab_Compteur_7[[#This Row],[Début de période]])-3))</f>
        <v>0</v>
      </c>
      <c r="C224" s="185"/>
      <c r="E224">
        <f t="shared" si="7"/>
        <v>0</v>
      </c>
      <c r="F224" t="str">
        <f>IFERROR(Tab_Compteur_7[[#This Row],[Quantité]]/Tab_Compteur_7[[#This Row],[Delta Jour]],"")</f>
        <v/>
      </c>
      <c r="G224" t="str">
        <f>IFERROR(Tab_Compteur_7[[#This Row],[Montant TTC]]/Tab_Compteur_7[[#This Row],[Delta Jour]],"")</f>
        <v/>
      </c>
      <c r="H224" s="42"/>
      <c r="I224" s="42"/>
      <c r="J224" s="42"/>
      <c r="K224" s="42"/>
      <c r="L224" s="42"/>
    </row>
    <row r="225" spans="1:12" x14ac:dyDescent="0.25">
      <c r="A225" s="3">
        <f t="shared" si="8"/>
        <v>1</v>
      </c>
      <c r="B225" s="3">
        <f>EDATE($B$3,Site!$I$39*(ROW(Tab_Compteur_7[[#This Row],[Début de période]])-3))</f>
        <v>0</v>
      </c>
      <c r="C225" s="185"/>
      <c r="E225">
        <f t="shared" si="7"/>
        <v>0</v>
      </c>
      <c r="F225" t="str">
        <f>IFERROR(Tab_Compteur_7[[#This Row],[Quantité]]/Tab_Compteur_7[[#This Row],[Delta Jour]],"")</f>
        <v/>
      </c>
      <c r="G225" t="str">
        <f>IFERROR(Tab_Compteur_7[[#This Row],[Montant TTC]]/Tab_Compteur_7[[#This Row],[Delta Jour]],"")</f>
        <v/>
      </c>
      <c r="H225" s="42"/>
      <c r="I225" s="42"/>
      <c r="J225" s="42"/>
      <c r="K225" s="42"/>
      <c r="L225" s="42"/>
    </row>
    <row r="226" spans="1:12" x14ac:dyDescent="0.25">
      <c r="A226" s="3">
        <f t="shared" si="8"/>
        <v>1</v>
      </c>
      <c r="B226" s="3">
        <f>EDATE($B$3,Site!$I$39*(ROW(Tab_Compteur_7[[#This Row],[Début de période]])-3))</f>
        <v>0</v>
      </c>
      <c r="C226" s="185"/>
      <c r="E226">
        <f t="shared" si="7"/>
        <v>0</v>
      </c>
      <c r="F226" t="str">
        <f>IFERROR(Tab_Compteur_7[[#This Row],[Quantité]]/Tab_Compteur_7[[#This Row],[Delta Jour]],"")</f>
        <v/>
      </c>
      <c r="G226" t="str">
        <f>IFERROR(Tab_Compteur_7[[#This Row],[Montant TTC]]/Tab_Compteur_7[[#This Row],[Delta Jour]],"")</f>
        <v/>
      </c>
      <c r="H226" s="42"/>
      <c r="I226" s="42"/>
      <c r="J226" s="42"/>
      <c r="K226" s="42"/>
      <c r="L226" s="42"/>
    </row>
    <row r="227" spans="1:12" x14ac:dyDescent="0.25">
      <c r="A227" s="3">
        <f t="shared" si="8"/>
        <v>1</v>
      </c>
      <c r="B227" s="3">
        <f>EDATE($B$3,Site!$I$39*(ROW(Tab_Compteur_7[[#This Row],[Début de période]])-3))</f>
        <v>0</v>
      </c>
      <c r="C227" s="185"/>
      <c r="E227">
        <f t="shared" si="7"/>
        <v>0</v>
      </c>
      <c r="F227" t="str">
        <f>IFERROR(Tab_Compteur_7[[#This Row],[Quantité]]/Tab_Compteur_7[[#This Row],[Delta Jour]],"")</f>
        <v/>
      </c>
      <c r="G227" t="str">
        <f>IFERROR(Tab_Compteur_7[[#This Row],[Montant TTC]]/Tab_Compteur_7[[#This Row],[Delta Jour]],"")</f>
        <v/>
      </c>
      <c r="H227" s="42"/>
      <c r="I227" s="42"/>
      <c r="J227" s="42"/>
      <c r="K227" s="42"/>
      <c r="L227" s="42"/>
    </row>
    <row r="228" spans="1:12" x14ac:dyDescent="0.25">
      <c r="A228" s="3">
        <f t="shared" si="8"/>
        <v>1</v>
      </c>
      <c r="B228" s="3">
        <f>EDATE($B$3,Site!$I$39*(ROW(Tab_Compteur_7[[#This Row],[Début de période]])-3))</f>
        <v>0</v>
      </c>
      <c r="C228" s="185"/>
      <c r="E228">
        <f t="shared" si="7"/>
        <v>0</v>
      </c>
      <c r="F228" t="str">
        <f>IFERROR(Tab_Compteur_7[[#This Row],[Quantité]]/Tab_Compteur_7[[#This Row],[Delta Jour]],"")</f>
        <v/>
      </c>
      <c r="G228" t="str">
        <f>IFERROR(Tab_Compteur_7[[#This Row],[Montant TTC]]/Tab_Compteur_7[[#This Row],[Delta Jour]],"")</f>
        <v/>
      </c>
      <c r="H228" s="42"/>
      <c r="I228" s="42"/>
      <c r="J228" s="42"/>
      <c r="K228" s="42"/>
      <c r="L228" s="42"/>
    </row>
    <row r="229" spans="1:12" x14ac:dyDescent="0.25">
      <c r="A229" s="3">
        <f t="shared" si="8"/>
        <v>1</v>
      </c>
      <c r="B229" s="3">
        <f>EDATE($B$3,Site!$I$39*(ROW(Tab_Compteur_7[[#This Row],[Début de période]])-3))</f>
        <v>0</v>
      </c>
      <c r="C229" s="185"/>
      <c r="E229">
        <f t="shared" si="7"/>
        <v>0</v>
      </c>
      <c r="F229" t="str">
        <f>IFERROR(Tab_Compteur_7[[#This Row],[Quantité]]/Tab_Compteur_7[[#This Row],[Delta Jour]],"")</f>
        <v/>
      </c>
      <c r="G229" t="str">
        <f>IFERROR(Tab_Compteur_7[[#This Row],[Montant TTC]]/Tab_Compteur_7[[#This Row],[Delta Jour]],"")</f>
        <v/>
      </c>
      <c r="H229" s="42"/>
      <c r="I229" s="42"/>
      <c r="J229" s="42"/>
      <c r="K229" s="42"/>
      <c r="L229" s="42"/>
    </row>
    <row r="230" spans="1:12" x14ac:dyDescent="0.25">
      <c r="A230" s="3">
        <f t="shared" si="8"/>
        <v>1</v>
      </c>
      <c r="B230" s="3">
        <f>EDATE($B$3,Site!$I$39*(ROW(Tab_Compteur_7[[#This Row],[Début de période]])-3))</f>
        <v>0</v>
      </c>
      <c r="C230" s="185"/>
      <c r="E230">
        <f t="shared" si="7"/>
        <v>0</v>
      </c>
      <c r="F230" t="str">
        <f>IFERROR(Tab_Compteur_7[[#This Row],[Quantité]]/Tab_Compteur_7[[#This Row],[Delta Jour]],"")</f>
        <v/>
      </c>
      <c r="G230" t="str">
        <f>IFERROR(Tab_Compteur_7[[#This Row],[Montant TTC]]/Tab_Compteur_7[[#This Row],[Delta Jour]],"")</f>
        <v/>
      </c>
      <c r="H230" s="42"/>
      <c r="I230" s="42"/>
      <c r="J230" s="42"/>
      <c r="K230" s="42"/>
      <c r="L230" s="42"/>
    </row>
    <row r="231" spans="1:12" x14ac:dyDescent="0.25">
      <c r="A231" s="3">
        <f t="shared" si="8"/>
        <v>1</v>
      </c>
      <c r="B231" s="3">
        <f>EDATE($B$3,Site!$I$39*(ROW(Tab_Compteur_7[[#This Row],[Début de période]])-3))</f>
        <v>0</v>
      </c>
      <c r="C231" s="185"/>
      <c r="E231">
        <f t="shared" si="7"/>
        <v>0</v>
      </c>
      <c r="F231" t="str">
        <f>IFERROR(Tab_Compteur_7[[#This Row],[Quantité]]/Tab_Compteur_7[[#This Row],[Delta Jour]],"")</f>
        <v/>
      </c>
      <c r="G231" t="str">
        <f>IFERROR(Tab_Compteur_7[[#This Row],[Montant TTC]]/Tab_Compteur_7[[#This Row],[Delta Jour]],"")</f>
        <v/>
      </c>
      <c r="H231" s="42"/>
      <c r="I231" s="42"/>
      <c r="J231" s="42"/>
      <c r="K231" s="42"/>
      <c r="L231" s="42"/>
    </row>
    <row r="232" spans="1:12" x14ac:dyDescent="0.25">
      <c r="A232" s="3">
        <f t="shared" si="8"/>
        <v>1</v>
      </c>
      <c r="B232" s="3">
        <f>EDATE($B$3,Site!$I$39*(ROW(Tab_Compteur_7[[#This Row],[Début de période]])-3))</f>
        <v>0</v>
      </c>
      <c r="C232" s="185"/>
      <c r="E232">
        <f t="shared" si="7"/>
        <v>0</v>
      </c>
      <c r="F232" t="str">
        <f>IFERROR(Tab_Compteur_7[[#This Row],[Quantité]]/Tab_Compteur_7[[#This Row],[Delta Jour]],"")</f>
        <v/>
      </c>
      <c r="G232" t="str">
        <f>IFERROR(Tab_Compteur_7[[#This Row],[Montant TTC]]/Tab_Compteur_7[[#This Row],[Delta Jour]],"")</f>
        <v/>
      </c>
      <c r="H232" s="42"/>
      <c r="I232" s="42"/>
      <c r="J232" s="42"/>
      <c r="K232" s="42"/>
      <c r="L232" s="42"/>
    </row>
    <row r="233" spans="1:12" x14ac:dyDescent="0.25">
      <c r="A233" s="3">
        <f t="shared" si="8"/>
        <v>1</v>
      </c>
      <c r="B233" s="3">
        <f>EDATE($B$3,Site!$I$39*(ROW(Tab_Compteur_7[[#This Row],[Début de période]])-3))</f>
        <v>0</v>
      </c>
      <c r="C233" s="185"/>
      <c r="E233">
        <f t="shared" si="7"/>
        <v>0</v>
      </c>
      <c r="F233" t="str">
        <f>IFERROR(Tab_Compteur_7[[#This Row],[Quantité]]/Tab_Compteur_7[[#This Row],[Delta Jour]],"")</f>
        <v/>
      </c>
      <c r="G233" t="str">
        <f>IFERROR(Tab_Compteur_7[[#This Row],[Montant TTC]]/Tab_Compteur_7[[#This Row],[Delta Jour]],"")</f>
        <v/>
      </c>
      <c r="H233" s="42"/>
      <c r="I233" s="42"/>
      <c r="J233" s="42"/>
      <c r="K233" s="42"/>
      <c r="L233" s="42"/>
    </row>
    <row r="234" spans="1:12" x14ac:dyDescent="0.25">
      <c r="A234" s="3">
        <f t="shared" si="8"/>
        <v>1</v>
      </c>
      <c r="B234" s="3">
        <f>EDATE($B$3,Site!$I$39*(ROW(Tab_Compteur_7[[#This Row],[Début de période]])-3))</f>
        <v>0</v>
      </c>
      <c r="C234" s="185"/>
      <c r="E234">
        <f t="shared" si="7"/>
        <v>0</v>
      </c>
      <c r="F234" t="str">
        <f>IFERROR(Tab_Compteur_7[[#This Row],[Quantité]]/Tab_Compteur_7[[#This Row],[Delta Jour]],"")</f>
        <v/>
      </c>
      <c r="G234" t="str">
        <f>IFERROR(Tab_Compteur_7[[#This Row],[Montant TTC]]/Tab_Compteur_7[[#This Row],[Delta Jour]],"")</f>
        <v/>
      </c>
      <c r="H234" s="42"/>
      <c r="I234" s="42"/>
      <c r="J234" s="42"/>
      <c r="K234" s="42"/>
      <c r="L234" s="42"/>
    </row>
    <row r="235" spans="1:12" x14ac:dyDescent="0.25">
      <c r="A235" s="3">
        <f t="shared" si="8"/>
        <v>1</v>
      </c>
      <c r="B235" s="3">
        <f>EDATE($B$3,Site!$I$39*(ROW(Tab_Compteur_7[[#This Row],[Début de période]])-3))</f>
        <v>0</v>
      </c>
      <c r="C235" s="185"/>
      <c r="E235">
        <f t="shared" si="7"/>
        <v>0</v>
      </c>
      <c r="F235" t="str">
        <f>IFERROR(Tab_Compteur_7[[#This Row],[Quantité]]/Tab_Compteur_7[[#This Row],[Delta Jour]],"")</f>
        <v/>
      </c>
      <c r="G235" t="str">
        <f>IFERROR(Tab_Compteur_7[[#This Row],[Montant TTC]]/Tab_Compteur_7[[#This Row],[Delta Jour]],"")</f>
        <v/>
      </c>
      <c r="H235" s="42"/>
      <c r="I235" s="42"/>
      <c r="J235" s="42"/>
      <c r="K235" s="42"/>
      <c r="L235" s="42"/>
    </row>
    <row r="236" spans="1:12" x14ac:dyDescent="0.25">
      <c r="A236" s="3">
        <f t="shared" si="8"/>
        <v>1</v>
      </c>
      <c r="B236" s="3">
        <f>EDATE($B$3,Site!$I$39*(ROW(Tab_Compteur_7[[#This Row],[Début de période]])-3))</f>
        <v>0</v>
      </c>
      <c r="C236" s="185"/>
      <c r="E236">
        <f t="shared" si="7"/>
        <v>0</v>
      </c>
      <c r="F236" t="str">
        <f>IFERROR(Tab_Compteur_7[[#This Row],[Quantité]]/Tab_Compteur_7[[#This Row],[Delta Jour]],"")</f>
        <v/>
      </c>
      <c r="G236" t="str">
        <f>IFERROR(Tab_Compteur_7[[#This Row],[Montant TTC]]/Tab_Compteur_7[[#This Row],[Delta Jour]],"")</f>
        <v/>
      </c>
      <c r="H236" s="42"/>
      <c r="I236" s="42"/>
      <c r="J236" s="42"/>
      <c r="K236" s="42"/>
      <c r="L236" s="42"/>
    </row>
    <row r="237" spans="1:12" x14ac:dyDescent="0.25">
      <c r="A237" s="3">
        <f t="shared" si="8"/>
        <v>1</v>
      </c>
      <c r="B237" s="3">
        <f>EDATE($B$3,Site!$I$39*(ROW(Tab_Compteur_7[[#This Row],[Début de période]])-3))</f>
        <v>0</v>
      </c>
      <c r="C237" s="185"/>
      <c r="E237">
        <f t="shared" si="7"/>
        <v>0</v>
      </c>
      <c r="F237" t="str">
        <f>IFERROR(Tab_Compteur_7[[#This Row],[Quantité]]/Tab_Compteur_7[[#This Row],[Delta Jour]],"")</f>
        <v/>
      </c>
      <c r="G237" t="str">
        <f>IFERROR(Tab_Compteur_7[[#This Row],[Montant TTC]]/Tab_Compteur_7[[#This Row],[Delta Jour]],"")</f>
        <v/>
      </c>
      <c r="H237" s="42"/>
      <c r="I237" s="42"/>
      <c r="J237" s="42"/>
      <c r="K237" s="42"/>
      <c r="L237" s="42"/>
    </row>
    <row r="238" spans="1:12" x14ac:dyDescent="0.25">
      <c r="A238" s="3">
        <f t="shared" si="8"/>
        <v>1</v>
      </c>
      <c r="B238" s="3">
        <f>EDATE($B$3,Site!$I$39*(ROW(Tab_Compteur_7[[#This Row],[Début de période]])-3))</f>
        <v>0</v>
      </c>
      <c r="C238" s="185"/>
      <c r="E238">
        <f t="shared" si="7"/>
        <v>0</v>
      </c>
      <c r="F238" t="str">
        <f>IFERROR(Tab_Compteur_7[[#This Row],[Quantité]]/Tab_Compteur_7[[#This Row],[Delta Jour]],"")</f>
        <v/>
      </c>
      <c r="G238" t="str">
        <f>IFERROR(Tab_Compteur_7[[#This Row],[Montant TTC]]/Tab_Compteur_7[[#This Row],[Delta Jour]],"")</f>
        <v/>
      </c>
      <c r="H238" s="42"/>
      <c r="I238" s="42"/>
      <c r="J238" s="42"/>
      <c r="K238" s="42"/>
      <c r="L238" s="42"/>
    </row>
    <row r="239" spans="1:12" x14ac:dyDescent="0.25">
      <c r="A239" s="3">
        <f t="shared" si="8"/>
        <v>1</v>
      </c>
      <c r="B239" s="3">
        <f>EDATE($B$3,Site!$I$39*(ROW(Tab_Compteur_7[[#This Row],[Début de période]])-3))</f>
        <v>0</v>
      </c>
      <c r="C239" s="185"/>
      <c r="E239">
        <f t="shared" si="7"/>
        <v>0</v>
      </c>
      <c r="F239" t="str">
        <f>IFERROR(Tab_Compteur_7[[#This Row],[Quantité]]/Tab_Compteur_7[[#This Row],[Delta Jour]],"")</f>
        <v/>
      </c>
      <c r="G239" t="str">
        <f>IFERROR(Tab_Compteur_7[[#This Row],[Montant TTC]]/Tab_Compteur_7[[#This Row],[Delta Jour]],"")</f>
        <v/>
      </c>
      <c r="H239" s="42"/>
      <c r="I239" s="42"/>
      <c r="J239" s="42"/>
      <c r="K239" s="42"/>
      <c r="L239" s="42"/>
    </row>
    <row r="240" spans="1:12" x14ac:dyDescent="0.25">
      <c r="A240" s="3">
        <f t="shared" si="8"/>
        <v>1</v>
      </c>
      <c r="B240" s="3">
        <f>EDATE($B$3,Site!$I$39*(ROW(Tab_Compteur_7[[#This Row],[Début de période]])-3))</f>
        <v>0</v>
      </c>
      <c r="C240" s="185"/>
      <c r="E240">
        <f t="shared" si="7"/>
        <v>0</v>
      </c>
      <c r="F240" t="str">
        <f>IFERROR(Tab_Compteur_7[[#This Row],[Quantité]]/Tab_Compteur_7[[#This Row],[Delta Jour]],"")</f>
        <v/>
      </c>
      <c r="G240" t="str">
        <f>IFERROR(Tab_Compteur_7[[#This Row],[Montant TTC]]/Tab_Compteur_7[[#This Row],[Delta Jour]],"")</f>
        <v/>
      </c>
      <c r="H240" s="42"/>
      <c r="I240" s="42"/>
      <c r="J240" s="42"/>
      <c r="K240" s="42"/>
      <c r="L240" s="42"/>
    </row>
    <row r="241" spans="1:12" x14ac:dyDescent="0.25">
      <c r="A241" s="3">
        <f t="shared" si="8"/>
        <v>1</v>
      </c>
      <c r="B241" s="3">
        <f>EDATE($B$3,Site!$I$39*(ROW(Tab_Compteur_7[[#This Row],[Début de période]])-3))</f>
        <v>0</v>
      </c>
      <c r="C241" s="185"/>
      <c r="E241">
        <f t="shared" si="7"/>
        <v>0</v>
      </c>
      <c r="F241" t="str">
        <f>IFERROR(Tab_Compteur_7[[#This Row],[Quantité]]/Tab_Compteur_7[[#This Row],[Delta Jour]],"")</f>
        <v/>
      </c>
      <c r="G241" t="str">
        <f>IFERROR(Tab_Compteur_7[[#This Row],[Montant TTC]]/Tab_Compteur_7[[#This Row],[Delta Jour]],"")</f>
        <v/>
      </c>
      <c r="H241" s="42"/>
      <c r="I241" s="42"/>
      <c r="J241" s="42"/>
      <c r="K241" s="42"/>
      <c r="L241" s="42"/>
    </row>
    <row r="242" spans="1:12" x14ac:dyDescent="0.25">
      <c r="A242" s="3">
        <f t="shared" si="8"/>
        <v>1</v>
      </c>
      <c r="B242" s="3">
        <f>EDATE($B$3,Site!$I$39*(ROW(Tab_Compteur_7[[#This Row],[Début de période]])-3))</f>
        <v>0</v>
      </c>
      <c r="C242" s="185"/>
      <c r="E242">
        <f t="shared" si="7"/>
        <v>0</v>
      </c>
      <c r="F242" t="str">
        <f>IFERROR(Tab_Compteur_7[[#This Row],[Quantité]]/Tab_Compteur_7[[#This Row],[Delta Jour]],"")</f>
        <v/>
      </c>
      <c r="G242" t="str">
        <f>IFERROR(Tab_Compteur_7[[#This Row],[Montant TTC]]/Tab_Compteur_7[[#This Row],[Delta Jour]],"")</f>
        <v/>
      </c>
      <c r="H242" s="42"/>
      <c r="I242" s="42"/>
      <c r="J242" s="42"/>
      <c r="K242" s="42"/>
      <c r="L242" s="42"/>
    </row>
  </sheetData>
  <sheetProtection sheet="1" objects="1" scenarios="1"/>
  <protectedRanges>
    <protectedRange sqref="C3:D58" name="Donnée_compteur1"/>
    <protectedRange sqref="A59:D242 A3:B58 H1:L1048576" name="Données_compteur7"/>
  </protectedRanges>
  <mergeCells count="1">
    <mergeCell ref="H7:L18"/>
  </mergeCells>
  <pageMargins left="0.7" right="0.7" top="0.75" bottom="0.75" header="0.3" footer="0.3"/>
  <pageSetup paperSize="9" orientation="portrait"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workbookViewId="0">
      <selection activeCell="C3" sqref="C3:D158"/>
    </sheetView>
  </sheetViews>
  <sheetFormatPr baseColWidth="10" defaultColWidth="0" defaultRowHeight="15" zeroHeight="1" x14ac:dyDescent="0.25"/>
  <cols>
    <col min="1" max="1" width="29.28515625" customWidth="1"/>
    <col min="2" max="2" width="16.5703125" customWidth="1"/>
    <col min="3" max="3" width="13.85546875" customWidth="1"/>
    <col min="4" max="4" width="15.42578125" style="179" customWidth="1"/>
    <col min="5" max="5" width="11.5703125" hidden="1" customWidth="1"/>
    <col min="6" max="7" width="11.42578125" hidden="1" customWidth="1"/>
    <col min="8" max="12" width="11.42578125" customWidth="1"/>
    <col min="13" max="16384" width="11.42578125" hidden="1"/>
  </cols>
  <sheetData>
    <row r="1" spans="1:12" x14ac:dyDescent="0.25">
      <c r="A1" s="31" t="s">
        <v>119</v>
      </c>
      <c r="B1" s="1" t="s">
        <v>28</v>
      </c>
      <c r="C1" s="64" t="s">
        <v>30</v>
      </c>
      <c r="D1" s="201" t="s">
        <v>29</v>
      </c>
      <c r="E1" s="32" t="s">
        <v>0</v>
      </c>
      <c r="F1" s="47" t="s">
        <v>31</v>
      </c>
      <c r="G1" s="48" t="s">
        <v>32</v>
      </c>
      <c r="H1" s="42"/>
      <c r="I1" s="42"/>
      <c r="J1" s="42"/>
      <c r="K1" s="42"/>
      <c r="L1" s="42"/>
    </row>
    <row r="2" spans="1:12" hidden="1" x14ac:dyDescent="0.25">
      <c r="A2" s="3"/>
      <c r="B2" s="61">
        <f t="shared" ref="B2" si="0">A3-1</f>
        <v>0</v>
      </c>
      <c r="C2" s="62"/>
      <c r="E2">
        <f t="shared" ref="E2:E3" si="1">IFERROR(B2-A2+1,"")</f>
        <v>1</v>
      </c>
      <c r="F2">
        <f>IFERROR(Tab_Compteur_8[[#This Row],[Quantité]]/Tab_Compteur_8[[#This Row],[Delta Jour]],"")</f>
        <v>0</v>
      </c>
      <c r="G2">
        <f>IFERROR(Tab_Compteur_8[[#This Row],[Montant TTC]]/Tab_Compteur_8[[#This Row],[Delta Jour]],"")</f>
        <v>0</v>
      </c>
      <c r="H2" s="42"/>
      <c r="I2" s="42"/>
      <c r="J2" s="42"/>
      <c r="K2" s="42"/>
      <c r="L2" s="42"/>
    </row>
    <row r="3" spans="1:12" x14ac:dyDescent="0.25">
      <c r="A3" s="3">
        <f>EDATE(Tab_Compteur_8[[#This Row],[Fin de période]],-Site!I40)+1</f>
        <v>1</v>
      </c>
      <c r="B3" s="61">
        <f>Site!H40</f>
        <v>0</v>
      </c>
      <c r="C3" s="291"/>
      <c r="E3">
        <f t="shared" si="1"/>
        <v>0</v>
      </c>
      <c r="F3" t="str">
        <f>IFERROR(Tab_Compteur_8[[#This Row],[Quantité]]/Tab_Compteur_8[[#This Row],[Delta Jour]],"")</f>
        <v/>
      </c>
      <c r="G3" t="str">
        <f>IFERROR(Tab_Compteur_8[[#This Row],[Montant TTC]]/Tab_Compteur_8[[#This Row],[Delta Jour]],"")</f>
        <v/>
      </c>
      <c r="H3" s="42"/>
      <c r="I3" s="42"/>
      <c r="J3" s="42"/>
      <c r="K3" s="42"/>
      <c r="L3" s="42"/>
    </row>
    <row r="4" spans="1:12" x14ac:dyDescent="0.25">
      <c r="A4" s="3">
        <f>B3+1</f>
        <v>1</v>
      </c>
      <c r="B4" s="3">
        <f>EDATE($B$3,Site!$I$40*(ROW(Tab_Compteur_8[[#This Row],[Début de période]])-3))</f>
        <v>0</v>
      </c>
      <c r="C4" s="291"/>
      <c r="E4">
        <f t="shared" ref="E4:E67" si="2">IFERROR(B4-A4+1,"")</f>
        <v>0</v>
      </c>
      <c r="F4" t="str">
        <f>IFERROR(Tab_Compteur_8[[#This Row],[Quantité]]/Tab_Compteur_8[[#This Row],[Delta Jour]],"")</f>
        <v/>
      </c>
      <c r="G4" t="str">
        <f>IFERROR(Tab_Compteur_8[[#This Row],[Montant TTC]]/Tab_Compteur_8[[#This Row],[Delta Jour]],"")</f>
        <v/>
      </c>
      <c r="H4" s="42"/>
      <c r="I4" s="42"/>
      <c r="J4" s="42"/>
      <c r="K4" s="42"/>
      <c r="L4" s="42"/>
    </row>
    <row r="5" spans="1:12" x14ac:dyDescent="0.25">
      <c r="A5" s="3">
        <f t="shared" ref="A5:A68" si="3">B4+1</f>
        <v>1</v>
      </c>
      <c r="B5" s="3">
        <f>EDATE($B$3,Site!$I$40*(ROW(Tab_Compteur_8[[#This Row],[Début de période]])-3))</f>
        <v>0</v>
      </c>
      <c r="C5" s="291"/>
      <c r="E5">
        <f t="shared" si="2"/>
        <v>0</v>
      </c>
      <c r="F5" t="str">
        <f>IFERROR(Tab_Compteur_8[[#This Row],[Quantité]]/Tab_Compteur_8[[#This Row],[Delta Jour]],"")</f>
        <v/>
      </c>
      <c r="G5" t="str">
        <f>IFERROR(Tab_Compteur_8[[#This Row],[Montant TTC]]/Tab_Compteur_8[[#This Row],[Delta Jour]],"")</f>
        <v/>
      </c>
      <c r="H5" s="42"/>
      <c r="I5" s="42"/>
      <c r="J5" s="42"/>
      <c r="K5" s="42"/>
      <c r="L5" s="42"/>
    </row>
    <row r="6" spans="1:12" x14ac:dyDescent="0.25">
      <c r="A6" s="3">
        <f t="shared" si="3"/>
        <v>1</v>
      </c>
      <c r="B6" s="3">
        <f>EDATE($B$3,Site!$I$40*(ROW(Tab_Compteur_8[[#This Row],[Début de période]])-3))</f>
        <v>0</v>
      </c>
      <c r="C6" s="291"/>
      <c r="E6">
        <f t="shared" si="2"/>
        <v>0</v>
      </c>
      <c r="F6" t="str">
        <f>IFERROR(Tab_Compteur_8[[#This Row],[Quantité]]/Tab_Compteur_8[[#This Row],[Delta Jour]],"")</f>
        <v/>
      </c>
      <c r="G6" t="str">
        <f>IFERROR(Tab_Compteur_8[[#This Row],[Montant TTC]]/Tab_Compteur_8[[#This Row],[Delta Jour]],"")</f>
        <v/>
      </c>
      <c r="H6" s="42"/>
      <c r="I6" s="42"/>
      <c r="J6" s="42"/>
      <c r="K6" s="42"/>
      <c r="L6" s="42"/>
    </row>
    <row r="7" spans="1:12" x14ac:dyDescent="0.25">
      <c r="A7" s="3">
        <f t="shared" si="3"/>
        <v>1</v>
      </c>
      <c r="B7" s="3">
        <f>EDATE($B$3,Site!$I$40*(ROW(Tab_Compteur_8[[#This Row],[Début de période]])-3))</f>
        <v>0</v>
      </c>
      <c r="C7" s="291"/>
      <c r="E7">
        <f t="shared" si="2"/>
        <v>0</v>
      </c>
      <c r="F7" t="str">
        <f>IFERROR(Tab_Compteur_8[[#This Row],[Quantité]]/Tab_Compteur_8[[#This Row],[Delta Jour]],"")</f>
        <v/>
      </c>
      <c r="G7" t="str">
        <f>IFERROR(Tab_Compteur_8[[#This Row],[Montant TTC]]/Tab_Compteur_8[[#This Row],[Delta Jour]],"")</f>
        <v/>
      </c>
      <c r="H7" s="356" t="str">
        <f>Compteur_1!H9</f>
        <v>Pour le bon fonctionnement des calculs, il est nécessaire de respecter l'ordre chonologique des données 
Dans le cas des consommations, la quantité doit correspondre à l'unité indiquée dans "Site". Pour les données de production l'unité par défaut est le kWh et pour l'eau, le m3.  
Dans le cas d'un manque de donnée sur une période donnée, indiquez les dates de début et de fin de cette période en laissant les cellules de Quantité et Montant vide
Une fois toutes vos données de comptage complétées, Cliquez sur le bouton "Actualiser tout" la barre d'outils "Données" ou avec  le raccourcis clavier Ctrl+alt+F5</v>
      </c>
      <c r="I7" s="357"/>
      <c r="J7" s="357"/>
      <c r="K7" s="357"/>
      <c r="L7" s="357"/>
    </row>
    <row r="8" spans="1:12" x14ac:dyDescent="0.25">
      <c r="A8" s="3">
        <f t="shared" si="3"/>
        <v>1</v>
      </c>
      <c r="B8" s="3">
        <f>EDATE($B$3,Site!$I$40*(ROW(Tab_Compteur_8[[#This Row],[Début de période]])-3))</f>
        <v>0</v>
      </c>
      <c r="C8" s="291"/>
      <c r="E8">
        <f t="shared" si="2"/>
        <v>0</v>
      </c>
      <c r="F8" t="str">
        <f>IFERROR(Tab_Compteur_8[[#This Row],[Quantité]]/Tab_Compteur_8[[#This Row],[Delta Jour]],"")</f>
        <v/>
      </c>
      <c r="G8" t="str">
        <f>IFERROR(Tab_Compteur_8[[#This Row],[Montant TTC]]/Tab_Compteur_8[[#This Row],[Delta Jour]],"")</f>
        <v/>
      </c>
      <c r="H8" s="357"/>
      <c r="I8" s="357"/>
      <c r="J8" s="357"/>
      <c r="K8" s="357"/>
      <c r="L8" s="357"/>
    </row>
    <row r="9" spans="1:12" x14ac:dyDescent="0.25">
      <c r="A9" s="3">
        <f t="shared" si="3"/>
        <v>1</v>
      </c>
      <c r="B9" s="3">
        <f>EDATE($B$3,Site!$I$40*(ROW(Tab_Compteur_8[[#This Row],[Début de période]])-3))</f>
        <v>0</v>
      </c>
      <c r="C9" s="291"/>
      <c r="E9">
        <f t="shared" si="2"/>
        <v>0</v>
      </c>
      <c r="F9" t="str">
        <f>IFERROR(Tab_Compteur_8[[#This Row],[Quantité]]/Tab_Compteur_8[[#This Row],[Delta Jour]],"")</f>
        <v/>
      </c>
      <c r="G9" t="str">
        <f>IFERROR(Tab_Compteur_8[[#This Row],[Montant TTC]]/Tab_Compteur_8[[#This Row],[Delta Jour]],"")</f>
        <v/>
      </c>
      <c r="H9" s="357"/>
      <c r="I9" s="357"/>
      <c r="J9" s="357"/>
      <c r="K9" s="357"/>
      <c r="L9" s="357"/>
    </row>
    <row r="10" spans="1:12" x14ac:dyDescent="0.25">
      <c r="A10" s="3">
        <f t="shared" si="3"/>
        <v>1</v>
      </c>
      <c r="B10" s="3">
        <f>EDATE($B$3,Site!$I$40*(ROW(Tab_Compteur_8[[#This Row],[Début de période]])-3))</f>
        <v>0</v>
      </c>
      <c r="C10" s="291"/>
      <c r="E10">
        <f t="shared" si="2"/>
        <v>0</v>
      </c>
      <c r="F10" t="str">
        <f>IFERROR(Tab_Compteur_8[[#This Row],[Quantité]]/Tab_Compteur_8[[#This Row],[Delta Jour]],"")</f>
        <v/>
      </c>
      <c r="G10" t="str">
        <f>IFERROR(Tab_Compteur_8[[#This Row],[Montant TTC]]/Tab_Compteur_8[[#This Row],[Delta Jour]],"")</f>
        <v/>
      </c>
      <c r="H10" s="357"/>
      <c r="I10" s="357"/>
      <c r="J10" s="357"/>
      <c r="K10" s="357"/>
      <c r="L10" s="357"/>
    </row>
    <row r="11" spans="1:12" x14ac:dyDescent="0.25">
      <c r="A11" s="3">
        <f t="shared" si="3"/>
        <v>1</v>
      </c>
      <c r="B11" s="3">
        <f>EDATE($B$3,Site!$I$40*(ROW(Tab_Compteur_8[[#This Row],[Début de période]])-3))</f>
        <v>0</v>
      </c>
      <c r="C11" s="291"/>
      <c r="E11">
        <f t="shared" si="2"/>
        <v>0</v>
      </c>
      <c r="F11" t="str">
        <f>IFERROR(Tab_Compteur_8[[#This Row],[Quantité]]/Tab_Compteur_8[[#This Row],[Delta Jour]],"")</f>
        <v/>
      </c>
      <c r="G11" t="str">
        <f>IFERROR(Tab_Compteur_8[[#This Row],[Montant TTC]]/Tab_Compteur_8[[#This Row],[Delta Jour]],"")</f>
        <v/>
      </c>
      <c r="H11" s="357"/>
      <c r="I11" s="357"/>
      <c r="J11" s="357"/>
      <c r="K11" s="357"/>
      <c r="L11" s="357"/>
    </row>
    <row r="12" spans="1:12" x14ac:dyDescent="0.25">
      <c r="A12" s="3">
        <f t="shared" si="3"/>
        <v>1</v>
      </c>
      <c r="B12" s="3">
        <f>EDATE($B$3,Site!$I$40*(ROW(Tab_Compteur_8[[#This Row],[Début de période]])-3))</f>
        <v>0</v>
      </c>
      <c r="C12" s="291"/>
      <c r="E12">
        <f t="shared" si="2"/>
        <v>0</v>
      </c>
      <c r="F12" t="str">
        <f>IFERROR(Tab_Compteur_8[[#This Row],[Quantité]]/Tab_Compteur_8[[#This Row],[Delta Jour]],"")</f>
        <v/>
      </c>
      <c r="G12" t="str">
        <f>IFERROR(Tab_Compteur_8[[#This Row],[Montant TTC]]/Tab_Compteur_8[[#This Row],[Delta Jour]],"")</f>
        <v/>
      </c>
      <c r="H12" s="357"/>
      <c r="I12" s="357"/>
      <c r="J12" s="357"/>
      <c r="K12" s="357"/>
      <c r="L12" s="357"/>
    </row>
    <row r="13" spans="1:12" x14ac:dyDescent="0.25">
      <c r="A13" s="3">
        <f t="shared" si="3"/>
        <v>1</v>
      </c>
      <c r="B13" s="3">
        <f>EDATE($B$3,Site!$I$40*(ROW(Tab_Compteur_8[[#This Row],[Début de période]])-3))</f>
        <v>0</v>
      </c>
      <c r="C13" s="291"/>
      <c r="E13">
        <f t="shared" si="2"/>
        <v>0</v>
      </c>
      <c r="F13" t="str">
        <f>IFERROR(Tab_Compteur_8[[#This Row],[Quantité]]/Tab_Compteur_8[[#This Row],[Delta Jour]],"")</f>
        <v/>
      </c>
      <c r="G13" t="str">
        <f>IFERROR(Tab_Compteur_8[[#This Row],[Montant TTC]]/Tab_Compteur_8[[#This Row],[Delta Jour]],"")</f>
        <v/>
      </c>
      <c r="H13" s="357"/>
      <c r="I13" s="357"/>
      <c r="J13" s="357"/>
      <c r="K13" s="357"/>
      <c r="L13" s="357"/>
    </row>
    <row r="14" spans="1:12" x14ac:dyDescent="0.25">
      <c r="A14" s="3">
        <f t="shared" si="3"/>
        <v>1</v>
      </c>
      <c r="B14" s="3">
        <f>EDATE($B$3,Site!$I$40*(ROW(Tab_Compteur_8[[#This Row],[Début de période]])-3))</f>
        <v>0</v>
      </c>
      <c r="C14" s="291"/>
      <c r="E14">
        <f t="shared" si="2"/>
        <v>0</v>
      </c>
      <c r="F14" t="str">
        <f>IFERROR(Tab_Compteur_8[[#This Row],[Quantité]]/Tab_Compteur_8[[#This Row],[Delta Jour]],"")</f>
        <v/>
      </c>
      <c r="G14" t="str">
        <f>IFERROR(Tab_Compteur_8[[#This Row],[Montant TTC]]/Tab_Compteur_8[[#This Row],[Delta Jour]],"")</f>
        <v/>
      </c>
      <c r="H14" s="357"/>
      <c r="I14" s="357"/>
      <c r="J14" s="357"/>
      <c r="K14" s="357"/>
      <c r="L14" s="357"/>
    </row>
    <row r="15" spans="1:12" x14ac:dyDescent="0.25">
      <c r="A15" s="3">
        <f t="shared" si="3"/>
        <v>1</v>
      </c>
      <c r="B15" s="3">
        <f>EDATE($B$3,Site!$I$40*(ROW(Tab_Compteur_8[[#This Row],[Début de période]])-3))</f>
        <v>0</v>
      </c>
      <c r="C15" s="291"/>
      <c r="E15">
        <f t="shared" si="2"/>
        <v>0</v>
      </c>
      <c r="F15" t="str">
        <f>IFERROR(Tab_Compteur_8[[#This Row],[Quantité]]/Tab_Compteur_8[[#This Row],[Delta Jour]],"")</f>
        <v/>
      </c>
      <c r="G15" t="str">
        <f>IFERROR(Tab_Compteur_8[[#This Row],[Montant TTC]]/Tab_Compteur_8[[#This Row],[Delta Jour]],"")</f>
        <v/>
      </c>
      <c r="H15" s="357"/>
      <c r="I15" s="357"/>
      <c r="J15" s="357"/>
      <c r="K15" s="357"/>
      <c r="L15" s="357"/>
    </row>
    <row r="16" spans="1:12" x14ac:dyDescent="0.25">
      <c r="A16" s="3">
        <f t="shared" si="3"/>
        <v>1</v>
      </c>
      <c r="B16" s="3">
        <f>EDATE($B$3,Site!$I$40*(ROW(Tab_Compteur_8[[#This Row],[Début de période]])-3))</f>
        <v>0</v>
      </c>
      <c r="C16" s="291"/>
      <c r="E16">
        <f t="shared" si="2"/>
        <v>0</v>
      </c>
      <c r="F16" t="str">
        <f>IFERROR(Tab_Compteur_8[[#This Row],[Quantité]]/Tab_Compteur_8[[#This Row],[Delta Jour]],"")</f>
        <v/>
      </c>
      <c r="G16" t="str">
        <f>IFERROR(Tab_Compteur_8[[#This Row],[Montant TTC]]/Tab_Compteur_8[[#This Row],[Delta Jour]],"")</f>
        <v/>
      </c>
      <c r="H16" s="357"/>
      <c r="I16" s="357"/>
      <c r="J16" s="357"/>
      <c r="K16" s="357"/>
      <c r="L16" s="357"/>
    </row>
    <row r="17" spans="1:12" x14ac:dyDescent="0.25">
      <c r="A17" s="3">
        <f t="shared" si="3"/>
        <v>1</v>
      </c>
      <c r="B17" s="3">
        <f>EDATE($B$3,Site!$I$40*(ROW(Tab_Compteur_8[[#This Row],[Début de période]])-3))</f>
        <v>0</v>
      </c>
      <c r="C17" s="185"/>
      <c r="E17">
        <f t="shared" si="2"/>
        <v>0</v>
      </c>
      <c r="F17" t="str">
        <f>IFERROR(Tab_Compteur_8[[#This Row],[Quantité]]/Tab_Compteur_8[[#This Row],[Delta Jour]],"")</f>
        <v/>
      </c>
      <c r="G17" t="str">
        <f>IFERROR(Tab_Compteur_8[[#This Row],[Montant TTC]]/Tab_Compteur_8[[#This Row],[Delta Jour]],"")</f>
        <v/>
      </c>
      <c r="H17" s="357"/>
      <c r="I17" s="357"/>
      <c r="J17" s="357"/>
      <c r="K17" s="357"/>
      <c r="L17" s="357"/>
    </row>
    <row r="18" spans="1:12" x14ac:dyDescent="0.25">
      <c r="A18" s="3">
        <f t="shared" si="3"/>
        <v>1</v>
      </c>
      <c r="B18" s="3">
        <f>EDATE($B$3,Site!$I$40*(ROW(Tab_Compteur_8[[#This Row],[Début de période]])-3))</f>
        <v>0</v>
      </c>
      <c r="C18" s="292"/>
      <c r="D18" s="202"/>
      <c r="E18">
        <f t="shared" si="2"/>
        <v>0</v>
      </c>
      <c r="F18" t="str">
        <f>IFERROR(Tab_Compteur_8[[#This Row],[Quantité]]/Tab_Compteur_8[[#This Row],[Delta Jour]],"")</f>
        <v/>
      </c>
      <c r="G18" t="str">
        <f>IFERROR(Tab_Compteur_8[[#This Row],[Montant TTC]]/Tab_Compteur_8[[#This Row],[Delta Jour]],"")</f>
        <v/>
      </c>
      <c r="H18" s="357"/>
      <c r="I18" s="357"/>
      <c r="J18" s="357"/>
      <c r="K18" s="357"/>
      <c r="L18" s="357"/>
    </row>
    <row r="19" spans="1:12" x14ac:dyDescent="0.25">
      <c r="A19" s="3">
        <f t="shared" si="3"/>
        <v>1</v>
      </c>
      <c r="B19" s="3">
        <f>EDATE($B$3,Site!$I$40*(ROW(Tab_Compteur_8[[#This Row],[Début de période]])-3))</f>
        <v>0</v>
      </c>
      <c r="C19" s="187"/>
      <c r="D19" s="202"/>
      <c r="E19">
        <f t="shared" si="2"/>
        <v>0</v>
      </c>
      <c r="F19" t="str">
        <f>IFERROR(Tab_Compteur_8[[#This Row],[Quantité]]/Tab_Compteur_8[[#This Row],[Delta Jour]],"")</f>
        <v/>
      </c>
      <c r="G19" t="str">
        <f>IFERROR(Tab_Compteur_8[[#This Row],[Montant TTC]]/Tab_Compteur_8[[#This Row],[Delta Jour]],"")</f>
        <v/>
      </c>
      <c r="H19" s="42"/>
      <c r="I19" s="42"/>
      <c r="J19" s="42"/>
      <c r="K19" s="42"/>
      <c r="L19" s="42"/>
    </row>
    <row r="20" spans="1:12" x14ac:dyDescent="0.25">
      <c r="A20" s="3">
        <f t="shared" si="3"/>
        <v>1</v>
      </c>
      <c r="B20" s="3">
        <f>EDATE($B$3,Site!$I$40*(ROW(Tab_Compteur_8[[#This Row],[Début de période]])-3))</f>
        <v>0</v>
      </c>
      <c r="C20" s="187"/>
      <c r="D20" s="202"/>
      <c r="E20">
        <f t="shared" si="2"/>
        <v>0</v>
      </c>
      <c r="F20" t="str">
        <f>IFERROR(Tab_Compteur_8[[#This Row],[Quantité]]/Tab_Compteur_8[[#This Row],[Delta Jour]],"")</f>
        <v/>
      </c>
      <c r="G20" t="str">
        <f>IFERROR(Tab_Compteur_8[[#This Row],[Montant TTC]]/Tab_Compteur_8[[#This Row],[Delta Jour]],"")</f>
        <v/>
      </c>
      <c r="H20" s="42"/>
      <c r="I20" s="42"/>
      <c r="J20" s="42"/>
      <c r="K20" s="42"/>
      <c r="L20" s="42"/>
    </row>
    <row r="21" spans="1:12" x14ac:dyDescent="0.25">
      <c r="A21" s="3">
        <f t="shared" si="3"/>
        <v>1</v>
      </c>
      <c r="B21" s="3">
        <f>EDATE($B$3,Site!$I$40*(ROW(Tab_Compteur_8[[#This Row],[Début de période]])-3))</f>
        <v>0</v>
      </c>
      <c r="C21" s="187"/>
      <c r="D21" s="202"/>
      <c r="E21">
        <f t="shared" si="2"/>
        <v>0</v>
      </c>
      <c r="F21" t="str">
        <f>IFERROR(Tab_Compteur_8[[#This Row],[Quantité]]/Tab_Compteur_8[[#This Row],[Delta Jour]],"")</f>
        <v/>
      </c>
      <c r="G21" t="str">
        <f>IFERROR(Tab_Compteur_8[[#This Row],[Montant TTC]]/Tab_Compteur_8[[#This Row],[Delta Jour]],"")</f>
        <v/>
      </c>
      <c r="H21" s="42"/>
      <c r="I21" s="42"/>
      <c r="J21" s="42"/>
      <c r="K21" s="42"/>
      <c r="L21" s="42"/>
    </row>
    <row r="22" spans="1:12" x14ac:dyDescent="0.25">
      <c r="A22" s="3">
        <f t="shared" si="3"/>
        <v>1</v>
      </c>
      <c r="B22" s="3">
        <f>EDATE($B$3,Site!$I$40*(ROW(Tab_Compteur_8[[#This Row],[Début de période]])-3))</f>
        <v>0</v>
      </c>
      <c r="C22" s="187"/>
      <c r="D22" s="202"/>
      <c r="E22">
        <f t="shared" si="2"/>
        <v>0</v>
      </c>
      <c r="F22" t="str">
        <f>IFERROR(Tab_Compteur_8[[#This Row],[Quantité]]/Tab_Compteur_8[[#This Row],[Delta Jour]],"")</f>
        <v/>
      </c>
      <c r="G22" t="str">
        <f>IFERROR(Tab_Compteur_8[[#This Row],[Montant TTC]]/Tab_Compteur_8[[#This Row],[Delta Jour]],"")</f>
        <v/>
      </c>
      <c r="H22" s="42"/>
      <c r="I22" s="42"/>
      <c r="J22" s="42"/>
      <c r="K22" s="42"/>
      <c r="L22" s="42"/>
    </row>
    <row r="23" spans="1:12" x14ac:dyDescent="0.25">
      <c r="A23" s="3">
        <f t="shared" si="3"/>
        <v>1</v>
      </c>
      <c r="B23" s="3">
        <f>EDATE($B$3,Site!$I$40*(ROW(Tab_Compteur_8[[#This Row],[Début de période]])-3))</f>
        <v>0</v>
      </c>
      <c r="C23" s="187"/>
      <c r="D23" s="202"/>
      <c r="E23">
        <f t="shared" si="2"/>
        <v>0</v>
      </c>
      <c r="F23" t="str">
        <f>IFERROR(Tab_Compteur_8[[#This Row],[Quantité]]/Tab_Compteur_8[[#This Row],[Delta Jour]],"")</f>
        <v/>
      </c>
      <c r="G23" t="str">
        <f>IFERROR(Tab_Compteur_8[[#This Row],[Montant TTC]]/Tab_Compteur_8[[#This Row],[Delta Jour]],"")</f>
        <v/>
      </c>
      <c r="H23" s="42"/>
      <c r="I23" s="42"/>
      <c r="J23" s="42"/>
      <c r="K23" s="42"/>
      <c r="L23" s="42"/>
    </row>
    <row r="24" spans="1:12" x14ac:dyDescent="0.25">
      <c r="A24" s="3">
        <f t="shared" si="3"/>
        <v>1</v>
      </c>
      <c r="B24" s="3">
        <f>EDATE($B$3,Site!$I$40*(ROW(Tab_Compteur_8[[#This Row],[Début de période]])-3))</f>
        <v>0</v>
      </c>
      <c r="C24" s="187"/>
      <c r="D24" s="202"/>
      <c r="E24">
        <f t="shared" si="2"/>
        <v>0</v>
      </c>
      <c r="F24" t="str">
        <f>IFERROR(Tab_Compteur_8[[#This Row],[Quantité]]/Tab_Compteur_8[[#This Row],[Delta Jour]],"")</f>
        <v/>
      </c>
      <c r="G24" t="str">
        <f>IFERROR(Tab_Compteur_8[[#This Row],[Montant TTC]]/Tab_Compteur_8[[#This Row],[Delta Jour]],"")</f>
        <v/>
      </c>
      <c r="H24" s="42"/>
      <c r="I24" s="42"/>
      <c r="J24" s="42"/>
      <c r="K24" s="42"/>
      <c r="L24" s="42"/>
    </row>
    <row r="25" spans="1:12" x14ac:dyDescent="0.25">
      <c r="A25" s="3">
        <f t="shared" si="3"/>
        <v>1</v>
      </c>
      <c r="B25" s="3">
        <f>EDATE($B$3,Site!$I$40*(ROW(Tab_Compteur_8[[#This Row],[Début de période]])-3))</f>
        <v>0</v>
      </c>
      <c r="C25" s="187"/>
      <c r="D25" s="202"/>
      <c r="E25">
        <f t="shared" si="2"/>
        <v>0</v>
      </c>
      <c r="F25" t="str">
        <f>IFERROR(Tab_Compteur_8[[#This Row],[Quantité]]/Tab_Compteur_8[[#This Row],[Delta Jour]],"")</f>
        <v/>
      </c>
      <c r="G25" t="str">
        <f>IFERROR(Tab_Compteur_8[[#This Row],[Montant TTC]]/Tab_Compteur_8[[#This Row],[Delta Jour]],"")</f>
        <v/>
      </c>
      <c r="H25" s="42"/>
      <c r="I25" s="42"/>
      <c r="J25" s="42"/>
      <c r="K25" s="42"/>
      <c r="L25" s="42"/>
    </row>
    <row r="26" spans="1:12" x14ac:dyDescent="0.25">
      <c r="A26" s="3">
        <f t="shared" si="3"/>
        <v>1</v>
      </c>
      <c r="B26" s="3">
        <f>EDATE($B$3,Site!$I$40*(ROW(Tab_Compteur_8[[#This Row],[Début de période]])-3))</f>
        <v>0</v>
      </c>
      <c r="C26" s="187"/>
      <c r="D26" s="202"/>
      <c r="E26">
        <f t="shared" si="2"/>
        <v>0</v>
      </c>
      <c r="F26" t="str">
        <f>IFERROR(Tab_Compteur_8[[#This Row],[Quantité]]/Tab_Compteur_8[[#This Row],[Delta Jour]],"")</f>
        <v/>
      </c>
      <c r="G26" t="str">
        <f>IFERROR(Tab_Compteur_8[[#This Row],[Montant TTC]]/Tab_Compteur_8[[#This Row],[Delta Jour]],"")</f>
        <v/>
      </c>
      <c r="H26" s="42"/>
      <c r="I26" s="42"/>
      <c r="J26" s="42"/>
      <c r="K26" s="42"/>
      <c r="L26" s="42"/>
    </row>
    <row r="27" spans="1:12" x14ac:dyDescent="0.25">
      <c r="A27" s="3">
        <f t="shared" si="3"/>
        <v>1</v>
      </c>
      <c r="B27" s="3">
        <f>EDATE($B$3,Site!$I$40*(ROW(Tab_Compteur_8[[#This Row],[Début de période]])-3))</f>
        <v>0</v>
      </c>
      <c r="C27" s="187"/>
      <c r="D27" s="202"/>
      <c r="E27">
        <f t="shared" si="2"/>
        <v>0</v>
      </c>
      <c r="F27" t="str">
        <f>IFERROR(Tab_Compteur_8[[#This Row],[Quantité]]/Tab_Compteur_8[[#This Row],[Delta Jour]],"")</f>
        <v/>
      </c>
      <c r="G27" t="str">
        <f>IFERROR(Tab_Compteur_8[[#This Row],[Montant TTC]]/Tab_Compteur_8[[#This Row],[Delta Jour]],"")</f>
        <v/>
      </c>
      <c r="H27" s="42"/>
      <c r="I27" s="42"/>
      <c r="J27" s="42"/>
      <c r="K27" s="42"/>
      <c r="L27" s="42"/>
    </row>
    <row r="28" spans="1:12" x14ac:dyDescent="0.25">
      <c r="A28" s="3">
        <f t="shared" si="3"/>
        <v>1</v>
      </c>
      <c r="B28" s="3">
        <f>EDATE($B$3,Site!$I$40*(ROW(Tab_Compteur_8[[#This Row],[Début de période]])-3))</f>
        <v>0</v>
      </c>
      <c r="C28" s="292"/>
      <c r="D28" s="202"/>
      <c r="E28">
        <f t="shared" si="2"/>
        <v>0</v>
      </c>
      <c r="F28" t="str">
        <f>IFERROR(Tab_Compteur_8[[#This Row],[Quantité]]/Tab_Compteur_8[[#This Row],[Delta Jour]],"")</f>
        <v/>
      </c>
      <c r="G28" t="str">
        <f>IFERROR(Tab_Compteur_8[[#This Row],[Montant TTC]]/Tab_Compteur_8[[#This Row],[Delta Jour]],"")</f>
        <v/>
      </c>
      <c r="H28" s="42"/>
      <c r="I28" s="42"/>
      <c r="J28" s="42"/>
      <c r="K28" s="42"/>
      <c r="L28" s="42"/>
    </row>
    <row r="29" spans="1:12" x14ac:dyDescent="0.25">
      <c r="A29" s="3">
        <f t="shared" si="3"/>
        <v>1</v>
      </c>
      <c r="B29" s="3">
        <f>EDATE($B$3,Site!$I$40*(ROW(Tab_Compteur_8[[#This Row],[Début de période]])-3))</f>
        <v>0</v>
      </c>
      <c r="C29" s="292"/>
      <c r="D29" s="202"/>
      <c r="E29">
        <f t="shared" si="2"/>
        <v>0</v>
      </c>
      <c r="F29" t="str">
        <f>IFERROR(Tab_Compteur_8[[#This Row],[Quantité]]/Tab_Compteur_8[[#This Row],[Delta Jour]],"")</f>
        <v/>
      </c>
      <c r="G29" t="str">
        <f>IFERROR(Tab_Compteur_8[[#This Row],[Montant TTC]]/Tab_Compteur_8[[#This Row],[Delta Jour]],"")</f>
        <v/>
      </c>
      <c r="H29" s="42"/>
      <c r="I29" s="42"/>
      <c r="J29" s="42"/>
      <c r="K29" s="42"/>
      <c r="L29" s="42"/>
    </row>
    <row r="30" spans="1:12" x14ac:dyDescent="0.25">
      <c r="A30" s="3">
        <f t="shared" si="3"/>
        <v>1</v>
      </c>
      <c r="B30" s="3">
        <f>EDATE($B$3,Site!$I$40*(ROW(Tab_Compteur_8[[#This Row],[Début de période]])-3))</f>
        <v>0</v>
      </c>
      <c r="C30" s="292"/>
      <c r="D30" s="202"/>
      <c r="E30">
        <f t="shared" si="2"/>
        <v>0</v>
      </c>
      <c r="F30" t="str">
        <f>IFERROR(Tab_Compteur_8[[#This Row],[Quantité]]/Tab_Compteur_8[[#This Row],[Delta Jour]],"")</f>
        <v/>
      </c>
      <c r="G30" t="str">
        <f>IFERROR(Tab_Compteur_8[[#This Row],[Montant TTC]]/Tab_Compteur_8[[#This Row],[Delta Jour]],"")</f>
        <v/>
      </c>
      <c r="H30" s="42"/>
      <c r="I30" s="42"/>
      <c r="J30" s="42"/>
      <c r="K30" s="42"/>
      <c r="L30" s="42"/>
    </row>
    <row r="31" spans="1:12" x14ac:dyDescent="0.25">
      <c r="A31" s="3">
        <f t="shared" si="3"/>
        <v>1</v>
      </c>
      <c r="B31" s="3">
        <f>EDATE($B$3,Site!$I$40*(ROW(Tab_Compteur_8[[#This Row],[Début de période]])-3))</f>
        <v>0</v>
      </c>
      <c r="C31" s="187"/>
      <c r="D31" s="202"/>
      <c r="E31">
        <f t="shared" si="2"/>
        <v>0</v>
      </c>
      <c r="F31" t="str">
        <f>IFERROR(Tab_Compteur_8[[#This Row],[Quantité]]/Tab_Compteur_8[[#This Row],[Delta Jour]],"")</f>
        <v/>
      </c>
      <c r="G31" t="str">
        <f>IFERROR(Tab_Compteur_8[[#This Row],[Montant TTC]]/Tab_Compteur_8[[#This Row],[Delta Jour]],"")</f>
        <v/>
      </c>
      <c r="H31" s="42"/>
      <c r="I31" s="42"/>
      <c r="J31" s="42"/>
      <c r="K31" s="42"/>
      <c r="L31" s="42"/>
    </row>
    <row r="32" spans="1:12" x14ac:dyDescent="0.25">
      <c r="A32" s="3">
        <f t="shared" si="3"/>
        <v>1</v>
      </c>
      <c r="B32" s="3">
        <f>EDATE($B$3,Site!$I$40*(ROW(Tab_Compteur_8[[#This Row],[Début de période]])-3))</f>
        <v>0</v>
      </c>
      <c r="C32" s="187"/>
      <c r="D32" s="202"/>
      <c r="E32">
        <f t="shared" si="2"/>
        <v>0</v>
      </c>
      <c r="F32" t="str">
        <f>IFERROR(Tab_Compteur_8[[#This Row],[Quantité]]/Tab_Compteur_8[[#This Row],[Delta Jour]],"")</f>
        <v/>
      </c>
      <c r="G32" t="str">
        <f>IFERROR(Tab_Compteur_8[[#This Row],[Montant TTC]]/Tab_Compteur_8[[#This Row],[Delta Jour]],"")</f>
        <v/>
      </c>
      <c r="H32" s="42"/>
      <c r="I32" s="42"/>
      <c r="J32" s="42"/>
      <c r="K32" s="42"/>
      <c r="L32" s="42"/>
    </row>
    <row r="33" spans="1:12" x14ac:dyDescent="0.25">
      <c r="A33" s="3">
        <f t="shared" si="3"/>
        <v>1</v>
      </c>
      <c r="B33" s="3">
        <f>EDATE($B$3,Site!$I$40*(ROW(Tab_Compteur_8[[#This Row],[Début de période]])-3))</f>
        <v>0</v>
      </c>
      <c r="C33" s="187"/>
      <c r="D33" s="202"/>
      <c r="E33">
        <f t="shared" si="2"/>
        <v>0</v>
      </c>
      <c r="F33" t="str">
        <f>IFERROR(Tab_Compteur_8[[#This Row],[Quantité]]/Tab_Compteur_8[[#This Row],[Delta Jour]],"")</f>
        <v/>
      </c>
      <c r="G33" t="str">
        <f>IFERROR(Tab_Compteur_8[[#This Row],[Montant TTC]]/Tab_Compteur_8[[#This Row],[Delta Jour]],"")</f>
        <v/>
      </c>
      <c r="H33" s="42"/>
      <c r="I33" s="42"/>
      <c r="J33" s="42"/>
      <c r="K33" s="42"/>
      <c r="L33" s="42"/>
    </row>
    <row r="34" spans="1:12" x14ac:dyDescent="0.25">
      <c r="A34" s="3">
        <f t="shared" si="3"/>
        <v>1</v>
      </c>
      <c r="B34" s="3">
        <f>EDATE($B$3,Site!$I$40*(ROW(Tab_Compteur_8[[#This Row],[Début de période]])-3))</f>
        <v>0</v>
      </c>
      <c r="C34" s="187"/>
      <c r="D34" s="202"/>
      <c r="E34">
        <f t="shared" si="2"/>
        <v>0</v>
      </c>
      <c r="F34" t="str">
        <f>IFERROR(Tab_Compteur_8[[#This Row],[Quantité]]/Tab_Compteur_8[[#This Row],[Delta Jour]],"")</f>
        <v/>
      </c>
      <c r="G34" t="str">
        <f>IFERROR(Tab_Compteur_8[[#This Row],[Montant TTC]]/Tab_Compteur_8[[#This Row],[Delta Jour]],"")</f>
        <v/>
      </c>
      <c r="H34" s="42"/>
      <c r="I34" s="42"/>
      <c r="J34" s="42"/>
      <c r="K34" s="42"/>
      <c r="L34" s="42"/>
    </row>
    <row r="35" spans="1:12" x14ac:dyDescent="0.25">
      <c r="A35" s="3">
        <f t="shared" si="3"/>
        <v>1</v>
      </c>
      <c r="B35" s="3">
        <f>EDATE($B$3,Site!$I$40*(ROW(Tab_Compteur_8[[#This Row],[Début de période]])-3))</f>
        <v>0</v>
      </c>
      <c r="C35" s="187"/>
      <c r="D35" s="202"/>
      <c r="E35">
        <f t="shared" si="2"/>
        <v>0</v>
      </c>
      <c r="F35" t="str">
        <f>IFERROR(Tab_Compteur_8[[#This Row],[Quantité]]/Tab_Compteur_8[[#This Row],[Delta Jour]],"")</f>
        <v/>
      </c>
      <c r="G35" t="str">
        <f>IFERROR(Tab_Compteur_8[[#This Row],[Montant TTC]]/Tab_Compteur_8[[#This Row],[Delta Jour]],"")</f>
        <v/>
      </c>
      <c r="H35" s="42"/>
      <c r="I35" s="42"/>
      <c r="J35" s="42"/>
      <c r="K35" s="42"/>
      <c r="L35" s="42"/>
    </row>
    <row r="36" spans="1:12" x14ac:dyDescent="0.25">
      <c r="A36" s="3">
        <f t="shared" si="3"/>
        <v>1</v>
      </c>
      <c r="B36" s="3">
        <f>EDATE($B$3,Site!$I$40*(ROW(Tab_Compteur_8[[#This Row],[Début de période]])-3))</f>
        <v>0</v>
      </c>
      <c r="C36" s="187"/>
      <c r="D36" s="202"/>
      <c r="E36">
        <f t="shared" si="2"/>
        <v>0</v>
      </c>
      <c r="F36" t="str">
        <f>IFERROR(Tab_Compteur_8[[#This Row],[Quantité]]/Tab_Compteur_8[[#This Row],[Delta Jour]],"")</f>
        <v/>
      </c>
      <c r="G36" t="str">
        <f>IFERROR(Tab_Compteur_8[[#This Row],[Montant TTC]]/Tab_Compteur_8[[#This Row],[Delta Jour]],"")</f>
        <v/>
      </c>
      <c r="H36" s="42"/>
      <c r="I36" s="42"/>
      <c r="J36" s="42"/>
      <c r="K36" s="42"/>
      <c r="L36" s="42"/>
    </row>
    <row r="37" spans="1:12" x14ac:dyDescent="0.25">
      <c r="A37" s="3">
        <f t="shared" si="3"/>
        <v>1</v>
      </c>
      <c r="B37" s="3">
        <f>EDATE($B$3,Site!$I$40*(ROW(Tab_Compteur_8[[#This Row],[Début de période]])-3))</f>
        <v>0</v>
      </c>
      <c r="C37" s="187"/>
      <c r="D37" s="202"/>
      <c r="E37">
        <f t="shared" si="2"/>
        <v>0</v>
      </c>
      <c r="F37" t="str">
        <f>IFERROR(Tab_Compteur_8[[#This Row],[Quantité]]/Tab_Compteur_8[[#This Row],[Delta Jour]],"")</f>
        <v/>
      </c>
      <c r="G37" t="str">
        <f>IFERROR(Tab_Compteur_8[[#This Row],[Montant TTC]]/Tab_Compteur_8[[#This Row],[Delta Jour]],"")</f>
        <v/>
      </c>
      <c r="H37" s="42"/>
      <c r="I37" s="42"/>
      <c r="J37" s="42"/>
      <c r="K37" s="42"/>
      <c r="L37" s="42"/>
    </row>
    <row r="38" spans="1:12" x14ac:dyDescent="0.25">
      <c r="A38" s="3">
        <f t="shared" si="3"/>
        <v>1</v>
      </c>
      <c r="B38" s="3">
        <f>EDATE($B$3,Site!$I$40*(ROW(Tab_Compteur_8[[#This Row],[Début de période]])-3))</f>
        <v>0</v>
      </c>
      <c r="C38" s="187"/>
      <c r="D38" s="203"/>
      <c r="E38">
        <f t="shared" si="2"/>
        <v>0</v>
      </c>
      <c r="F38" t="str">
        <f>IFERROR(Tab_Compteur_8[[#This Row],[Quantité]]/Tab_Compteur_8[[#This Row],[Delta Jour]],"")</f>
        <v/>
      </c>
      <c r="G38" t="str">
        <f>IFERROR(Tab_Compteur_8[[#This Row],[Montant TTC]]/Tab_Compteur_8[[#This Row],[Delta Jour]],"")</f>
        <v/>
      </c>
      <c r="H38" s="42"/>
      <c r="I38" s="42"/>
      <c r="J38" s="42"/>
      <c r="K38" s="42"/>
      <c r="L38" s="42"/>
    </row>
    <row r="39" spans="1:12" x14ac:dyDescent="0.25">
      <c r="A39" s="3">
        <f t="shared" si="3"/>
        <v>1</v>
      </c>
      <c r="B39" s="3">
        <f>EDATE($B$3,Site!$I$40*(ROW(Tab_Compteur_8[[#This Row],[Début de période]])-3))</f>
        <v>0</v>
      </c>
      <c r="C39" s="187"/>
      <c r="D39" s="203"/>
      <c r="E39">
        <f t="shared" si="2"/>
        <v>0</v>
      </c>
      <c r="F39" t="str">
        <f>IFERROR(Tab_Compteur_8[[#This Row],[Quantité]]/Tab_Compteur_8[[#This Row],[Delta Jour]],"")</f>
        <v/>
      </c>
      <c r="G39" t="str">
        <f>IFERROR(Tab_Compteur_8[[#This Row],[Montant TTC]]/Tab_Compteur_8[[#This Row],[Delta Jour]],"")</f>
        <v/>
      </c>
      <c r="H39" s="42"/>
      <c r="I39" s="42"/>
      <c r="J39" s="42"/>
      <c r="K39" s="42"/>
      <c r="L39" s="42"/>
    </row>
    <row r="40" spans="1:12" x14ac:dyDescent="0.25">
      <c r="A40" s="3">
        <f t="shared" si="3"/>
        <v>1</v>
      </c>
      <c r="B40" s="3">
        <f>EDATE($B$3,Site!$I$40*(ROW(Tab_Compteur_8[[#This Row],[Début de période]])-3))</f>
        <v>0</v>
      </c>
      <c r="C40" s="292"/>
      <c r="D40" s="203"/>
      <c r="E40">
        <f t="shared" si="2"/>
        <v>0</v>
      </c>
      <c r="F40" t="str">
        <f>IFERROR(Tab_Compteur_8[[#This Row],[Quantité]]/Tab_Compteur_8[[#This Row],[Delta Jour]],"")</f>
        <v/>
      </c>
      <c r="G40" t="str">
        <f>IFERROR(Tab_Compteur_8[[#This Row],[Montant TTC]]/Tab_Compteur_8[[#This Row],[Delta Jour]],"")</f>
        <v/>
      </c>
      <c r="H40" s="42"/>
      <c r="I40" s="42"/>
      <c r="J40" s="42"/>
      <c r="K40" s="42"/>
      <c r="L40" s="42"/>
    </row>
    <row r="41" spans="1:12" x14ac:dyDescent="0.25">
      <c r="A41" s="3">
        <f t="shared" si="3"/>
        <v>1</v>
      </c>
      <c r="B41" s="3">
        <f>EDATE($B$3,Site!$I$40*(ROW(Tab_Compteur_8[[#This Row],[Début de période]])-3))</f>
        <v>0</v>
      </c>
      <c r="C41" s="292"/>
      <c r="D41" s="203"/>
      <c r="E41">
        <f t="shared" si="2"/>
        <v>0</v>
      </c>
      <c r="F41" t="str">
        <f>IFERROR(Tab_Compteur_8[[#This Row],[Quantité]]/Tab_Compteur_8[[#This Row],[Delta Jour]],"")</f>
        <v/>
      </c>
      <c r="G41" t="str">
        <f>IFERROR(Tab_Compteur_8[[#This Row],[Montant TTC]]/Tab_Compteur_8[[#This Row],[Delta Jour]],"")</f>
        <v/>
      </c>
      <c r="H41" s="42"/>
      <c r="I41" s="42"/>
      <c r="J41" s="42"/>
      <c r="K41" s="42"/>
      <c r="L41" s="42"/>
    </row>
    <row r="42" spans="1:12" x14ac:dyDescent="0.25">
      <c r="A42" s="3">
        <f t="shared" si="3"/>
        <v>1</v>
      </c>
      <c r="B42" s="3">
        <f>EDATE($B$3,Site!$I$40*(ROW(Tab_Compteur_8[[#This Row],[Début de période]])-3))</f>
        <v>0</v>
      </c>
      <c r="C42" s="187"/>
      <c r="D42" s="203"/>
      <c r="E42">
        <f t="shared" si="2"/>
        <v>0</v>
      </c>
      <c r="F42" t="str">
        <f>IFERROR(Tab_Compteur_8[[#This Row],[Quantité]]/Tab_Compteur_8[[#This Row],[Delta Jour]],"")</f>
        <v/>
      </c>
      <c r="G42" t="str">
        <f>IFERROR(Tab_Compteur_8[[#This Row],[Montant TTC]]/Tab_Compteur_8[[#This Row],[Delta Jour]],"")</f>
        <v/>
      </c>
      <c r="H42" s="42"/>
      <c r="I42" s="42"/>
      <c r="J42" s="42"/>
      <c r="K42" s="42"/>
      <c r="L42" s="42"/>
    </row>
    <row r="43" spans="1:12" x14ac:dyDescent="0.25">
      <c r="A43" s="3">
        <f t="shared" si="3"/>
        <v>1</v>
      </c>
      <c r="B43" s="3">
        <f>EDATE($B$3,Site!$I$40*(ROW(Tab_Compteur_8[[#This Row],[Début de période]])-3))</f>
        <v>0</v>
      </c>
      <c r="C43" s="187"/>
      <c r="D43" s="203"/>
      <c r="E43">
        <f t="shared" si="2"/>
        <v>0</v>
      </c>
      <c r="F43" t="str">
        <f>IFERROR(Tab_Compteur_8[[#This Row],[Quantité]]/Tab_Compteur_8[[#This Row],[Delta Jour]],"")</f>
        <v/>
      </c>
      <c r="G43" t="str">
        <f>IFERROR(Tab_Compteur_8[[#This Row],[Montant TTC]]/Tab_Compteur_8[[#This Row],[Delta Jour]],"")</f>
        <v/>
      </c>
      <c r="H43" s="42"/>
      <c r="I43" s="42"/>
      <c r="J43" s="42"/>
      <c r="K43" s="42"/>
      <c r="L43" s="42"/>
    </row>
    <row r="44" spans="1:12" x14ac:dyDescent="0.25">
      <c r="A44" s="3">
        <f t="shared" si="3"/>
        <v>1</v>
      </c>
      <c r="B44" s="3">
        <f>EDATE($B$3,Site!$I$40*(ROW(Tab_Compteur_8[[#This Row],[Début de période]])-3))</f>
        <v>0</v>
      </c>
      <c r="C44" s="187"/>
      <c r="D44" s="203"/>
      <c r="E44">
        <f t="shared" si="2"/>
        <v>0</v>
      </c>
      <c r="F44" t="str">
        <f>IFERROR(Tab_Compteur_8[[#This Row],[Quantité]]/Tab_Compteur_8[[#This Row],[Delta Jour]],"")</f>
        <v/>
      </c>
      <c r="G44" t="str">
        <f>IFERROR(Tab_Compteur_8[[#This Row],[Montant TTC]]/Tab_Compteur_8[[#This Row],[Delta Jour]],"")</f>
        <v/>
      </c>
      <c r="H44" s="42"/>
      <c r="I44" s="42"/>
      <c r="J44" s="42"/>
      <c r="K44" s="42"/>
      <c r="L44" s="42"/>
    </row>
    <row r="45" spans="1:12" x14ac:dyDescent="0.25">
      <c r="A45" s="3">
        <f t="shared" si="3"/>
        <v>1</v>
      </c>
      <c r="B45" s="3">
        <f>EDATE($B$3,Site!$I$40*(ROW(Tab_Compteur_8[[#This Row],[Début de période]])-3))</f>
        <v>0</v>
      </c>
      <c r="C45" s="187"/>
      <c r="D45" s="203"/>
      <c r="E45">
        <f t="shared" si="2"/>
        <v>0</v>
      </c>
      <c r="F45" t="str">
        <f>IFERROR(Tab_Compteur_8[[#This Row],[Quantité]]/Tab_Compteur_8[[#This Row],[Delta Jour]],"")</f>
        <v/>
      </c>
      <c r="G45" t="str">
        <f>IFERROR(Tab_Compteur_8[[#This Row],[Montant TTC]]/Tab_Compteur_8[[#This Row],[Delta Jour]],"")</f>
        <v/>
      </c>
      <c r="H45" s="42"/>
      <c r="I45" s="42"/>
      <c r="J45" s="42"/>
      <c r="K45" s="42"/>
      <c r="L45" s="42"/>
    </row>
    <row r="46" spans="1:12" x14ac:dyDescent="0.25">
      <c r="A46" s="3">
        <f t="shared" si="3"/>
        <v>1</v>
      </c>
      <c r="B46" s="3">
        <f>EDATE($B$3,Site!$I$40*(ROW(Tab_Compteur_8[[#This Row],[Début de période]])-3))</f>
        <v>0</v>
      </c>
      <c r="C46" s="187"/>
      <c r="D46" s="203"/>
      <c r="E46">
        <f t="shared" si="2"/>
        <v>0</v>
      </c>
      <c r="F46" t="str">
        <f>IFERROR(Tab_Compteur_8[[#This Row],[Quantité]]/Tab_Compteur_8[[#This Row],[Delta Jour]],"")</f>
        <v/>
      </c>
      <c r="G46" t="str">
        <f>IFERROR(Tab_Compteur_8[[#This Row],[Montant TTC]]/Tab_Compteur_8[[#This Row],[Delta Jour]],"")</f>
        <v/>
      </c>
      <c r="H46" s="42"/>
      <c r="I46" s="42"/>
      <c r="J46" s="42"/>
      <c r="K46" s="42"/>
      <c r="L46" s="42"/>
    </row>
    <row r="47" spans="1:12" x14ac:dyDescent="0.25">
      <c r="A47" s="3">
        <f t="shared" si="3"/>
        <v>1</v>
      </c>
      <c r="B47" s="3">
        <f>EDATE($B$3,Site!$I$40*(ROW(Tab_Compteur_8[[#This Row],[Début de période]])-3))</f>
        <v>0</v>
      </c>
      <c r="C47" s="187"/>
      <c r="D47" s="203"/>
      <c r="E47">
        <f t="shared" si="2"/>
        <v>0</v>
      </c>
      <c r="F47" t="str">
        <f>IFERROR(Tab_Compteur_8[[#This Row],[Quantité]]/Tab_Compteur_8[[#This Row],[Delta Jour]],"")</f>
        <v/>
      </c>
      <c r="G47" t="str">
        <f>IFERROR(Tab_Compteur_8[[#This Row],[Montant TTC]]/Tab_Compteur_8[[#This Row],[Delta Jour]],"")</f>
        <v/>
      </c>
      <c r="H47" s="42"/>
      <c r="I47" s="42"/>
      <c r="J47" s="42"/>
      <c r="K47" s="42"/>
      <c r="L47" s="42"/>
    </row>
    <row r="48" spans="1:12" x14ac:dyDescent="0.25">
      <c r="A48" s="3">
        <f t="shared" si="3"/>
        <v>1</v>
      </c>
      <c r="B48" s="3">
        <f>EDATE($B$3,Site!$I$40*(ROW(Tab_Compteur_8[[#This Row],[Début de période]])-3))</f>
        <v>0</v>
      </c>
      <c r="C48" s="187"/>
      <c r="D48" s="203"/>
      <c r="E48">
        <f t="shared" si="2"/>
        <v>0</v>
      </c>
      <c r="F48" t="str">
        <f>IFERROR(Tab_Compteur_8[[#This Row],[Quantité]]/Tab_Compteur_8[[#This Row],[Delta Jour]],"")</f>
        <v/>
      </c>
      <c r="G48" t="str">
        <f>IFERROR(Tab_Compteur_8[[#This Row],[Montant TTC]]/Tab_Compteur_8[[#This Row],[Delta Jour]],"")</f>
        <v/>
      </c>
      <c r="H48" s="42"/>
      <c r="I48" s="42"/>
      <c r="J48" s="42"/>
      <c r="K48" s="42"/>
      <c r="L48" s="42"/>
    </row>
    <row r="49" spans="1:12" x14ac:dyDescent="0.25">
      <c r="A49" s="3">
        <f t="shared" si="3"/>
        <v>1</v>
      </c>
      <c r="B49" s="3">
        <f>EDATE($B$3,Site!$I$40*(ROW(Tab_Compteur_8[[#This Row],[Début de période]])-3))</f>
        <v>0</v>
      </c>
      <c r="C49" s="187"/>
      <c r="D49" s="203"/>
      <c r="E49">
        <f t="shared" si="2"/>
        <v>0</v>
      </c>
      <c r="F49" t="str">
        <f>IFERROR(Tab_Compteur_8[[#This Row],[Quantité]]/Tab_Compteur_8[[#This Row],[Delta Jour]],"")</f>
        <v/>
      </c>
      <c r="G49" t="str">
        <f>IFERROR(Tab_Compteur_8[[#This Row],[Montant TTC]]/Tab_Compteur_8[[#This Row],[Delta Jour]],"")</f>
        <v/>
      </c>
      <c r="H49" s="42"/>
      <c r="I49" s="42"/>
      <c r="J49" s="42"/>
      <c r="K49" s="42"/>
      <c r="L49" s="42"/>
    </row>
    <row r="50" spans="1:12" x14ac:dyDescent="0.25">
      <c r="A50" s="3">
        <f t="shared" si="3"/>
        <v>1</v>
      </c>
      <c r="B50" s="3">
        <f>EDATE($B$3,Site!$I$40*(ROW(Tab_Compteur_8[[#This Row],[Début de période]])-3))</f>
        <v>0</v>
      </c>
      <c r="C50" s="187"/>
      <c r="D50" s="203"/>
      <c r="E50">
        <f t="shared" si="2"/>
        <v>0</v>
      </c>
      <c r="F50" t="str">
        <f>IFERROR(Tab_Compteur_8[[#This Row],[Quantité]]/Tab_Compteur_8[[#This Row],[Delta Jour]],"")</f>
        <v/>
      </c>
      <c r="G50" t="str">
        <f>IFERROR(Tab_Compteur_8[[#This Row],[Montant TTC]]/Tab_Compteur_8[[#This Row],[Delta Jour]],"")</f>
        <v/>
      </c>
      <c r="H50" s="42"/>
      <c r="I50" s="42"/>
      <c r="J50" s="42"/>
      <c r="K50" s="42"/>
      <c r="L50" s="42"/>
    </row>
    <row r="51" spans="1:12" x14ac:dyDescent="0.25">
      <c r="A51" s="3">
        <f t="shared" si="3"/>
        <v>1</v>
      </c>
      <c r="B51" s="3">
        <f>EDATE($B$3,Site!$I$40*(ROW(Tab_Compteur_8[[#This Row],[Début de période]])-3))</f>
        <v>0</v>
      </c>
      <c r="C51" s="292"/>
      <c r="D51" s="203"/>
      <c r="E51">
        <f t="shared" si="2"/>
        <v>0</v>
      </c>
      <c r="F51" t="str">
        <f>IFERROR(Tab_Compteur_8[[#This Row],[Quantité]]/Tab_Compteur_8[[#This Row],[Delta Jour]],"")</f>
        <v/>
      </c>
      <c r="G51" t="str">
        <f>IFERROR(Tab_Compteur_8[[#This Row],[Montant TTC]]/Tab_Compteur_8[[#This Row],[Delta Jour]],"")</f>
        <v/>
      </c>
      <c r="H51" s="42"/>
      <c r="I51" s="42"/>
      <c r="J51" s="42"/>
      <c r="K51" s="42"/>
      <c r="L51" s="42"/>
    </row>
    <row r="52" spans="1:12" x14ac:dyDescent="0.25">
      <c r="A52" s="3">
        <f t="shared" si="3"/>
        <v>1</v>
      </c>
      <c r="B52" s="3">
        <f>EDATE($B$3,Site!$I$40*(ROW(Tab_Compteur_8[[#This Row],[Début de période]])-3))</f>
        <v>0</v>
      </c>
      <c r="C52" s="292"/>
      <c r="D52" s="203"/>
      <c r="E52">
        <f t="shared" si="2"/>
        <v>0</v>
      </c>
      <c r="F52" t="str">
        <f>IFERROR(Tab_Compteur_8[[#This Row],[Quantité]]/Tab_Compteur_8[[#This Row],[Delta Jour]],"")</f>
        <v/>
      </c>
      <c r="G52" t="str">
        <f>IFERROR(Tab_Compteur_8[[#This Row],[Montant TTC]]/Tab_Compteur_8[[#This Row],[Delta Jour]],"")</f>
        <v/>
      </c>
      <c r="H52" s="42"/>
      <c r="I52" s="42"/>
      <c r="J52" s="42"/>
      <c r="K52" s="42"/>
      <c r="L52" s="42"/>
    </row>
    <row r="53" spans="1:12" x14ac:dyDescent="0.25">
      <c r="A53" s="3">
        <f t="shared" si="3"/>
        <v>1</v>
      </c>
      <c r="B53" s="3">
        <f>EDATE($B$3,Site!$I$40*(ROW(Tab_Compteur_8[[#This Row],[Début de période]])-3))</f>
        <v>0</v>
      </c>
      <c r="C53" s="292"/>
      <c r="D53" s="203"/>
      <c r="E53">
        <f t="shared" si="2"/>
        <v>0</v>
      </c>
      <c r="F53" t="str">
        <f>IFERROR(Tab_Compteur_8[[#This Row],[Quantité]]/Tab_Compteur_8[[#This Row],[Delta Jour]],"")</f>
        <v/>
      </c>
      <c r="G53" t="str">
        <f>IFERROR(Tab_Compteur_8[[#This Row],[Montant TTC]]/Tab_Compteur_8[[#This Row],[Delta Jour]],"")</f>
        <v/>
      </c>
      <c r="H53" s="42"/>
      <c r="I53" s="42"/>
      <c r="J53" s="42"/>
      <c r="K53" s="42"/>
      <c r="L53" s="42"/>
    </row>
    <row r="54" spans="1:12" x14ac:dyDescent="0.25">
      <c r="A54" s="3">
        <f t="shared" si="3"/>
        <v>1</v>
      </c>
      <c r="B54" s="3">
        <f>EDATE($B$3,Site!$I$40*(ROW(Tab_Compteur_8[[#This Row],[Début de période]])-3))</f>
        <v>0</v>
      </c>
      <c r="C54" s="187"/>
      <c r="D54" s="203"/>
      <c r="E54">
        <f t="shared" si="2"/>
        <v>0</v>
      </c>
      <c r="F54" t="str">
        <f>IFERROR(Tab_Compteur_8[[#This Row],[Quantité]]/Tab_Compteur_8[[#This Row],[Delta Jour]],"")</f>
        <v/>
      </c>
      <c r="G54" t="str">
        <f>IFERROR(Tab_Compteur_8[[#This Row],[Montant TTC]]/Tab_Compteur_8[[#This Row],[Delta Jour]],"")</f>
        <v/>
      </c>
      <c r="H54" s="42"/>
      <c r="I54" s="42"/>
      <c r="J54" s="42"/>
      <c r="K54" s="42"/>
      <c r="L54" s="42"/>
    </row>
    <row r="55" spans="1:12" x14ac:dyDescent="0.25">
      <c r="A55" s="3">
        <f t="shared" si="3"/>
        <v>1</v>
      </c>
      <c r="B55" s="3">
        <f>EDATE($B$3,Site!$I$40*(ROW(Tab_Compteur_8[[#This Row],[Début de période]])-3))</f>
        <v>0</v>
      </c>
      <c r="C55" s="187"/>
      <c r="D55" s="203"/>
      <c r="E55">
        <f t="shared" si="2"/>
        <v>0</v>
      </c>
      <c r="F55" t="str">
        <f>IFERROR(Tab_Compteur_8[[#This Row],[Quantité]]/Tab_Compteur_8[[#This Row],[Delta Jour]],"")</f>
        <v/>
      </c>
      <c r="G55" t="str">
        <f>IFERROR(Tab_Compteur_8[[#This Row],[Montant TTC]]/Tab_Compteur_8[[#This Row],[Delta Jour]],"")</f>
        <v/>
      </c>
      <c r="H55" s="42"/>
      <c r="I55" s="42"/>
      <c r="J55" s="42"/>
      <c r="K55" s="42"/>
      <c r="L55" s="42"/>
    </row>
    <row r="56" spans="1:12" x14ac:dyDescent="0.25">
      <c r="A56" s="3">
        <f t="shared" si="3"/>
        <v>1</v>
      </c>
      <c r="B56" s="3">
        <f>EDATE($B$3,Site!$I$40*(ROW(Tab_Compteur_8[[#This Row],[Début de période]])-3))</f>
        <v>0</v>
      </c>
      <c r="C56" s="187"/>
      <c r="D56" s="203"/>
      <c r="E56">
        <f t="shared" si="2"/>
        <v>0</v>
      </c>
      <c r="F56" t="str">
        <f>IFERROR(Tab_Compteur_8[[#This Row],[Quantité]]/Tab_Compteur_8[[#This Row],[Delta Jour]],"")</f>
        <v/>
      </c>
      <c r="G56" t="str">
        <f>IFERROR(Tab_Compteur_8[[#This Row],[Montant TTC]]/Tab_Compteur_8[[#This Row],[Delta Jour]],"")</f>
        <v/>
      </c>
      <c r="H56" s="42"/>
      <c r="I56" s="42"/>
      <c r="J56" s="42"/>
      <c r="K56" s="42"/>
      <c r="L56" s="42"/>
    </row>
    <row r="57" spans="1:12" x14ac:dyDescent="0.25">
      <c r="A57" s="3">
        <f t="shared" si="3"/>
        <v>1</v>
      </c>
      <c r="B57" s="3">
        <f>EDATE($B$3,Site!$I$40*(ROW(Tab_Compteur_8[[#This Row],[Début de période]])-3))</f>
        <v>0</v>
      </c>
      <c r="C57" s="187"/>
      <c r="D57" s="203"/>
      <c r="E57">
        <f t="shared" si="2"/>
        <v>0</v>
      </c>
      <c r="F57" t="str">
        <f>IFERROR(Tab_Compteur_8[[#This Row],[Quantité]]/Tab_Compteur_8[[#This Row],[Delta Jour]],"")</f>
        <v/>
      </c>
      <c r="G57" t="str">
        <f>IFERROR(Tab_Compteur_8[[#This Row],[Montant TTC]]/Tab_Compteur_8[[#This Row],[Delta Jour]],"")</f>
        <v/>
      </c>
      <c r="H57" s="42"/>
      <c r="I57" s="42"/>
      <c r="J57" s="42"/>
      <c r="K57" s="42"/>
      <c r="L57" s="42"/>
    </row>
    <row r="58" spans="1:12" x14ac:dyDescent="0.25">
      <c r="A58" s="3">
        <f t="shared" si="3"/>
        <v>1</v>
      </c>
      <c r="B58" s="3">
        <f>EDATE($B$3,Site!$I$40*(ROW(Tab_Compteur_8[[#This Row],[Début de période]])-3))</f>
        <v>0</v>
      </c>
      <c r="C58" s="187"/>
      <c r="D58" s="203"/>
      <c r="E58">
        <f t="shared" si="2"/>
        <v>0</v>
      </c>
      <c r="F58" t="str">
        <f>IFERROR(Tab_Compteur_8[[#This Row],[Quantité]]/Tab_Compteur_8[[#This Row],[Delta Jour]],"")</f>
        <v/>
      </c>
      <c r="G58" t="str">
        <f>IFERROR(Tab_Compteur_8[[#This Row],[Montant TTC]]/Tab_Compteur_8[[#This Row],[Delta Jour]],"")</f>
        <v/>
      </c>
      <c r="H58" s="42"/>
      <c r="I58" s="42"/>
      <c r="J58" s="42"/>
      <c r="K58" s="42"/>
      <c r="L58" s="42"/>
    </row>
    <row r="59" spans="1:12" x14ac:dyDescent="0.25">
      <c r="A59" s="3">
        <f t="shared" si="3"/>
        <v>1</v>
      </c>
      <c r="B59" s="3">
        <f>EDATE($B$3,Site!$I$40*(ROW(Tab_Compteur_8[[#This Row],[Début de période]])-3))</f>
        <v>0</v>
      </c>
      <c r="C59" s="185"/>
      <c r="E59">
        <f t="shared" si="2"/>
        <v>0</v>
      </c>
      <c r="F59" t="str">
        <f>IFERROR(Tab_Compteur_8[[#This Row],[Quantité]]/Tab_Compteur_8[[#This Row],[Delta Jour]],"")</f>
        <v/>
      </c>
      <c r="G59" t="str">
        <f>IFERROR(Tab_Compteur_8[[#This Row],[Montant TTC]]/Tab_Compteur_8[[#This Row],[Delta Jour]],"")</f>
        <v/>
      </c>
      <c r="H59" s="42"/>
      <c r="I59" s="42"/>
      <c r="J59" s="42"/>
      <c r="K59" s="42"/>
      <c r="L59" s="42"/>
    </row>
    <row r="60" spans="1:12" x14ac:dyDescent="0.25">
      <c r="A60" s="3">
        <f t="shared" si="3"/>
        <v>1</v>
      </c>
      <c r="B60" s="3">
        <f>EDATE($B$3,Site!$I$40*(ROW(Tab_Compteur_8[[#This Row],[Début de période]])-3))</f>
        <v>0</v>
      </c>
      <c r="C60" s="185"/>
      <c r="E60">
        <f t="shared" si="2"/>
        <v>0</v>
      </c>
      <c r="F60" t="str">
        <f>IFERROR(Tab_Compteur_8[[#This Row],[Quantité]]/Tab_Compteur_8[[#This Row],[Delta Jour]],"")</f>
        <v/>
      </c>
      <c r="G60" t="str">
        <f>IFERROR(Tab_Compteur_8[[#This Row],[Montant TTC]]/Tab_Compteur_8[[#This Row],[Delta Jour]],"")</f>
        <v/>
      </c>
      <c r="H60" s="42"/>
      <c r="I60" s="42"/>
      <c r="J60" s="42"/>
      <c r="K60" s="42"/>
      <c r="L60" s="42"/>
    </row>
    <row r="61" spans="1:12" x14ac:dyDescent="0.25">
      <c r="A61" s="3">
        <f t="shared" si="3"/>
        <v>1</v>
      </c>
      <c r="B61" s="3">
        <f>EDATE($B$3,Site!$I$40*(ROW(Tab_Compteur_8[[#This Row],[Début de période]])-3))</f>
        <v>0</v>
      </c>
      <c r="C61" s="185"/>
      <c r="E61">
        <f t="shared" si="2"/>
        <v>0</v>
      </c>
      <c r="F61" t="str">
        <f>IFERROR(Tab_Compteur_8[[#This Row],[Quantité]]/Tab_Compteur_8[[#This Row],[Delta Jour]],"")</f>
        <v/>
      </c>
      <c r="G61" t="str">
        <f>IFERROR(Tab_Compteur_8[[#This Row],[Montant TTC]]/Tab_Compteur_8[[#This Row],[Delta Jour]],"")</f>
        <v/>
      </c>
      <c r="H61" s="42"/>
      <c r="I61" s="42"/>
      <c r="J61" s="42"/>
      <c r="K61" s="42"/>
      <c r="L61" s="42"/>
    </row>
    <row r="62" spans="1:12" x14ac:dyDescent="0.25">
      <c r="A62" s="3">
        <f t="shared" si="3"/>
        <v>1</v>
      </c>
      <c r="B62" s="3">
        <f>EDATE($B$3,Site!$I$40*(ROW(Tab_Compteur_8[[#This Row],[Début de période]])-3))</f>
        <v>0</v>
      </c>
      <c r="C62" s="185"/>
      <c r="E62">
        <f t="shared" si="2"/>
        <v>0</v>
      </c>
      <c r="F62" t="str">
        <f>IFERROR(Tab_Compteur_8[[#This Row],[Quantité]]/Tab_Compteur_8[[#This Row],[Delta Jour]],"")</f>
        <v/>
      </c>
      <c r="G62" t="str">
        <f>IFERROR(Tab_Compteur_8[[#This Row],[Montant TTC]]/Tab_Compteur_8[[#This Row],[Delta Jour]],"")</f>
        <v/>
      </c>
      <c r="H62" s="42"/>
      <c r="I62" s="42"/>
      <c r="J62" s="42"/>
      <c r="K62" s="42"/>
      <c r="L62" s="42"/>
    </row>
    <row r="63" spans="1:12" x14ac:dyDescent="0.25">
      <c r="A63" s="3">
        <f t="shared" si="3"/>
        <v>1</v>
      </c>
      <c r="B63" s="3">
        <f>EDATE($B$3,Site!$I$40*(ROW(Tab_Compteur_8[[#This Row],[Début de période]])-3))</f>
        <v>0</v>
      </c>
      <c r="C63" s="185"/>
      <c r="E63">
        <f t="shared" si="2"/>
        <v>0</v>
      </c>
      <c r="F63" t="str">
        <f>IFERROR(Tab_Compteur_8[[#This Row],[Quantité]]/Tab_Compteur_8[[#This Row],[Delta Jour]],"")</f>
        <v/>
      </c>
      <c r="G63" t="str">
        <f>IFERROR(Tab_Compteur_8[[#This Row],[Montant TTC]]/Tab_Compteur_8[[#This Row],[Delta Jour]],"")</f>
        <v/>
      </c>
      <c r="H63" s="42"/>
      <c r="I63" s="42"/>
      <c r="J63" s="42"/>
      <c r="K63" s="42"/>
      <c r="L63" s="42"/>
    </row>
    <row r="64" spans="1:12" x14ac:dyDescent="0.25">
      <c r="A64" s="3">
        <f t="shared" si="3"/>
        <v>1</v>
      </c>
      <c r="B64" s="3">
        <f>EDATE($B$3,Site!$I$40*(ROW(Tab_Compteur_8[[#This Row],[Début de période]])-3))</f>
        <v>0</v>
      </c>
      <c r="C64" s="185"/>
      <c r="E64">
        <f t="shared" si="2"/>
        <v>0</v>
      </c>
      <c r="F64" t="str">
        <f>IFERROR(Tab_Compteur_8[[#This Row],[Quantité]]/Tab_Compteur_8[[#This Row],[Delta Jour]],"")</f>
        <v/>
      </c>
      <c r="G64" t="str">
        <f>IFERROR(Tab_Compteur_8[[#This Row],[Montant TTC]]/Tab_Compteur_8[[#This Row],[Delta Jour]],"")</f>
        <v/>
      </c>
      <c r="H64" s="42"/>
      <c r="I64" s="42"/>
      <c r="J64" s="42"/>
      <c r="K64" s="42"/>
      <c r="L64" s="42"/>
    </row>
    <row r="65" spans="1:12" x14ac:dyDescent="0.25">
      <c r="A65" s="3">
        <f t="shared" si="3"/>
        <v>1</v>
      </c>
      <c r="B65" s="3">
        <f>EDATE($B$3,Site!$I$40*(ROW(Tab_Compteur_8[[#This Row],[Début de période]])-3))</f>
        <v>0</v>
      </c>
      <c r="C65" s="185"/>
      <c r="E65">
        <f t="shared" si="2"/>
        <v>0</v>
      </c>
      <c r="F65" t="str">
        <f>IFERROR(Tab_Compteur_8[[#This Row],[Quantité]]/Tab_Compteur_8[[#This Row],[Delta Jour]],"")</f>
        <v/>
      </c>
      <c r="G65" t="str">
        <f>IFERROR(Tab_Compteur_8[[#This Row],[Montant TTC]]/Tab_Compteur_8[[#This Row],[Delta Jour]],"")</f>
        <v/>
      </c>
      <c r="H65" s="42"/>
      <c r="I65" s="42"/>
      <c r="J65" s="42"/>
      <c r="K65" s="42"/>
      <c r="L65" s="42"/>
    </row>
    <row r="66" spans="1:12" x14ac:dyDescent="0.25">
      <c r="A66" s="3">
        <f t="shared" si="3"/>
        <v>1</v>
      </c>
      <c r="B66" s="3">
        <f>EDATE($B$3,Site!$I$40*(ROW(Tab_Compteur_8[[#This Row],[Début de période]])-3))</f>
        <v>0</v>
      </c>
      <c r="C66" s="185"/>
      <c r="E66">
        <f t="shared" si="2"/>
        <v>0</v>
      </c>
      <c r="F66" t="str">
        <f>IFERROR(Tab_Compteur_8[[#This Row],[Quantité]]/Tab_Compteur_8[[#This Row],[Delta Jour]],"")</f>
        <v/>
      </c>
      <c r="G66" t="str">
        <f>IFERROR(Tab_Compteur_8[[#This Row],[Montant TTC]]/Tab_Compteur_8[[#This Row],[Delta Jour]],"")</f>
        <v/>
      </c>
      <c r="H66" s="42"/>
      <c r="I66" s="42"/>
      <c r="J66" s="42"/>
      <c r="K66" s="42"/>
      <c r="L66" s="42"/>
    </row>
    <row r="67" spans="1:12" x14ac:dyDescent="0.25">
      <c r="A67" s="3">
        <f t="shared" si="3"/>
        <v>1</v>
      </c>
      <c r="B67" s="3">
        <f>EDATE($B$3,Site!$I$40*(ROW(Tab_Compteur_8[[#This Row],[Début de période]])-3))</f>
        <v>0</v>
      </c>
      <c r="C67" s="185"/>
      <c r="E67">
        <f t="shared" si="2"/>
        <v>0</v>
      </c>
      <c r="F67" t="str">
        <f>IFERROR(Tab_Compteur_8[[#This Row],[Quantité]]/Tab_Compteur_8[[#This Row],[Delta Jour]],"")</f>
        <v/>
      </c>
      <c r="G67" t="str">
        <f>IFERROR(Tab_Compteur_8[[#This Row],[Montant TTC]]/Tab_Compteur_8[[#This Row],[Delta Jour]],"")</f>
        <v/>
      </c>
      <c r="H67" s="42"/>
      <c r="I67" s="42"/>
      <c r="J67" s="42"/>
      <c r="K67" s="42"/>
      <c r="L67" s="42"/>
    </row>
    <row r="68" spans="1:12" x14ac:dyDescent="0.25">
      <c r="A68" s="3">
        <f t="shared" si="3"/>
        <v>1</v>
      </c>
      <c r="B68" s="3">
        <f>EDATE($B$3,Site!$I$40*(ROW(Tab_Compteur_8[[#This Row],[Début de période]])-3))</f>
        <v>0</v>
      </c>
      <c r="C68" s="185"/>
      <c r="E68">
        <f t="shared" ref="E68:E131" si="4">IFERROR(B68-A68+1,"")</f>
        <v>0</v>
      </c>
      <c r="F68" t="str">
        <f>IFERROR(Tab_Compteur_8[[#This Row],[Quantité]]/Tab_Compteur_8[[#This Row],[Delta Jour]],"")</f>
        <v/>
      </c>
      <c r="G68" t="str">
        <f>IFERROR(Tab_Compteur_8[[#This Row],[Montant TTC]]/Tab_Compteur_8[[#This Row],[Delta Jour]],"")</f>
        <v/>
      </c>
      <c r="H68" s="42"/>
      <c r="I68" s="42"/>
      <c r="J68" s="42"/>
      <c r="K68" s="42"/>
      <c r="L68" s="42"/>
    </row>
    <row r="69" spans="1:12" x14ac:dyDescent="0.25">
      <c r="A69" s="3">
        <f t="shared" ref="A69:A132" si="5">B68+1</f>
        <v>1</v>
      </c>
      <c r="B69" s="3">
        <f>EDATE($B$3,Site!$I$40*(ROW(Tab_Compteur_8[[#This Row],[Début de période]])-3))</f>
        <v>0</v>
      </c>
      <c r="C69" s="185"/>
      <c r="E69">
        <f t="shared" si="4"/>
        <v>0</v>
      </c>
      <c r="F69" t="str">
        <f>IFERROR(Tab_Compteur_8[[#This Row],[Quantité]]/Tab_Compteur_8[[#This Row],[Delta Jour]],"")</f>
        <v/>
      </c>
      <c r="G69" t="str">
        <f>IFERROR(Tab_Compteur_8[[#This Row],[Montant TTC]]/Tab_Compteur_8[[#This Row],[Delta Jour]],"")</f>
        <v/>
      </c>
      <c r="H69" s="42"/>
      <c r="I69" s="42"/>
      <c r="J69" s="42"/>
      <c r="K69" s="42"/>
      <c r="L69" s="42"/>
    </row>
    <row r="70" spans="1:12" x14ac:dyDescent="0.25">
      <c r="A70" s="3">
        <f t="shared" si="5"/>
        <v>1</v>
      </c>
      <c r="B70" s="3">
        <f>EDATE($B$3,Site!$I$40*(ROW(Tab_Compteur_8[[#This Row],[Début de période]])-3))</f>
        <v>0</v>
      </c>
      <c r="C70" s="185"/>
      <c r="E70">
        <f t="shared" si="4"/>
        <v>0</v>
      </c>
      <c r="F70" t="str">
        <f>IFERROR(Tab_Compteur_8[[#This Row],[Quantité]]/Tab_Compteur_8[[#This Row],[Delta Jour]],"")</f>
        <v/>
      </c>
      <c r="G70" t="str">
        <f>IFERROR(Tab_Compteur_8[[#This Row],[Montant TTC]]/Tab_Compteur_8[[#This Row],[Delta Jour]],"")</f>
        <v/>
      </c>
      <c r="H70" s="42"/>
      <c r="I70" s="42"/>
      <c r="J70" s="42"/>
      <c r="K70" s="42"/>
      <c r="L70" s="42"/>
    </row>
    <row r="71" spans="1:12" x14ac:dyDescent="0.25">
      <c r="A71" s="3">
        <f t="shared" si="5"/>
        <v>1</v>
      </c>
      <c r="B71" s="3">
        <f>EDATE($B$3,Site!$I$40*(ROW(Tab_Compteur_8[[#This Row],[Début de période]])-3))</f>
        <v>0</v>
      </c>
      <c r="C71" s="185"/>
      <c r="E71">
        <f t="shared" si="4"/>
        <v>0</v>
      </c>
      <c r="F71" t="str">
        <f>IFERROR(Tab_Compteur_8[[#This Row],[Quantité]]/Tab_Compteur_8[[#This Row],[Delta Jour]],"")</f>
        <v/>
      </c>
      <c r="G71" t="str">
        <f>IFERROR(Tab_Compteur_8[[#This Row],[Montant TTC]]/Tab_Compteur_8[[#This Row],[Delta Jour]],"")</f>
        <v/>
      </c>
      <c r="H71" s="42"/>
      <c r="I71" s="42"/>
      <c r="J71" s="42"/>
      <c r="K71" s="42"/>
      <c r="L71" s="42"/>
    </row>
    <row r="72" spans="1:12" x14ac:dyDescent="0.25">
      <c r="A72" s="3">
        <f t="shared" si="5"/>
        <v>1</v>
      </c>
      <c r="B72" s="3">
        <f>EDATE($B$3,Site!$I$40*(ROW(Tab_Compteur_8[[#This Row],[Début de période]])-3))</f>
        <v>0</v>
      </c>
      <c r="C72" s="185"/>
      <c r="E72">
        <f t="shared" si="4"/>
        <v>0</v>
      </c>
      <c r="F72" t="str">
        <f>IFERROR(Tab_Compteur_8[[#This Row],[Quantité]]/Tab_Compteur_8[[#This Row],[Delta Jour]],"")</f>
        <v/>
      </c>
      <c r="G72" t="str">
        <f>IFERROR(Tab_Compteur_8[[#This Row],[Montant TTC]]/Tab_Compteur_8[[#This Row],[Delta Jour]],"")</f>
        <v/>
      </c>
      <c r="H72" s="42"/>
      <c r="I72" s="42"/>
      <c r="J72" s="42"/>
      <c r="K72" s="42"/>
      <c r="L72" s="42"/>
    </row>
    <row r="73" spans="1:12" x14ac:dyDescent="0.25">
      <c r="A73" s="3">
        <f t="shared" si="5"/>
        <v>1</v>
      </c>
      <c r="B73" s="3">
        <f>EDATE($B$3,Site!$I$40*(ROW(Tab_Compteur_8[[#This Row],[Début de période]])-3))</f>
        <v>0</v>
      </c>
      <c r="C73" s="185"/>
      <c r="E73">
        <f t="shared" si="4"/>
        <v>0</v>
      </c>
      <c r="F73" t="str">
        <f>IFERROR(Tab_Compteur_8[[#This Row],[Quantité]]/Tab_Compteur_8[[#This Row],[Delta Jour]],"")</f>
        <v/>
      </c>
      <c r="G73" t="str">
        <f>IFERROR(Tab_Compteur_8[[#This Row],[Montant TTC]]/Tab_Compteur_8[[#This Row],[Delta Jour]],"")</f>
        <v/>
      </c>
      <c r="H73" s="42"/>
      <c r="I73" s="42"/>
      <c r="J73" s="42"/>
      <c r="K73" s="42"/>
      <c r="L73" s="42"/>
    </row>
    <row r="74" spans="1:12" x14ac:dyDescent="0.25">
      <c r="A74" s="3">
        <f t="shared" si="5"/>
        <v>1</v>
      </c>
      <c r="B74" s="3">
        <f>EDATE($B$3,Site!$I$40*(ROW(Tab_Compteur_8[[#This Row],[Début de période]])-3))</f>
        <v>0</v>
      </c>
      <c r="C74" s="185"/>
      <c r="E74">
        <f t="shared" si="4"/>
        <v>0</v>
      </c>
      <c r="F74" t="str">
        <f>IFERROR(Tab_Compteur_8[[#This Row],[Quantité]]/Tab_Compteur_8[[#This Row],[Delta Jour]],"")</f>
        <v/>
      </c>
      <c r="G74" t="str">
        <f>IFERROR(Tab_Compteur_8[[#This Row],[Montant TTC]]/Tab_Compteur_8[[#This Row],[Delta Jour]],"")</f>
        <v/>
      </c>
      <c r="H74" s="42"/>
      <c r="I74" s="42"/>
      <c r="J74" s="42"/>
      <c r="K74" s="42"/>
      <c r="L74" s="42"/>
    </row>
    <row r="75" spans="1:12" x14ac:dyDescent="0.25">
      <c r="A75" s="3">
        <f t="shared" si="5"/>
        <v>1</v>
      </c>
      <c r="B75" s="3">
        <f>EDATE($B$3,Site!$I$40*(ROW(Tab_Compteur_8[[#This Row],[Début de période]])-3))</f>
        <v>0</v>
      </c>
      <c r="C75" s="185"/>
      <c r="E75">
        <f t="shared" si="4"/>
        <v>0</v>
      </c>
      <c r="F75" t="str">
        <f>IFERROR(Tab_Compteur_8[[#This Row],[Quantité]]/Tab_Compteur_8[[#This Row],[Delta Jour]],"")</f>
        <v/>
      </c>
      <c r="G75" t="str">
        <f>IFERROR(Tab_Compteur_8[[#This Row],[Montant TTC]]/Tab_Compteur_8[[#This Row],[Delta Jour]],"")</f>
        <v/>
      </c>
      <c r="H75" s="42"/>
      <c r="I75" s="42"/>
      <c r="J75" s="42"/>
      <c r="K75" s="42"/>
      <c r="L75" s="42"/>
    </row>
    <row r="76" spans="1:12" x14ac:dyDescent="0.25">
      <c r="A76" s="3">
        <f t="shared" si="5"/>
        <v>1</v>
      </c>
      <c r="B76" s="3">
        <f>EDATE($B$3,Site!$I$40*(ROW(Tab_Compteur_8[[#This Row],[Début de période]])-3))</f>
        <v>0</v>
      </c>
      <c r="C76" s="185"/>
      <c r="E76">
        <f t="shared" si="4"/>
        <v>0</v>
      </c>
      <c r="F76" t="str">
        <f>IFERROR(Tab_Compteur_8[[#This Row],[Quantité]]/Tab_Compteur_8[[#This Row],[Delta Jour]],"")</f>
        <v/>
      </c>
      <c r="G76" t="str">
        <f>IFERROR(Tab_Compteur_8[[#This Row],[Montant TTC]]/Tab_Compteur_8[[#This Row],[Delta Jour]],"")</f>
        <v/>
      </c>
      <c r="H76" s="42"/>
      <c r="I76" s="42"/>
      <c r="J76" s="42"/>
      <c r="K76" s="42"/>
      <c r="L76" s="42"/>
    </row>
    <row r="77" spans="1:12" x14ac:dyDescent="0.25">
      <c r="A77" s="3">
        <f t="shared" si="5"/>
        <v>1</v>
      </c>
      <c r="B77" s="3">
        <f>EDATE($B$3,Site!$I$40*(ROW(Tab_Compteur_8[[#This Row],[Début de période]])-3))</f>
        <v>0</v>
      </c>
      <c r="C77" s="185"/>
      <c r="E77">
        <f t="shared" si="4"/>
        <v>0</v>
      </c>
      <c r="F77" t="str">
        <f>IFERROR(Tab_Compteur_8[[#This Row],[Quantité]]/Tab_Compteur_8[[#This Row],[Delta Jour]],"")</f>
        <v/>
      </c>
      <c r="G77" t="str">
        <f>IFERROR(Tab_Compteur_8[[#This Row],[Montant TTC]]/Tab_Compteur_8[[#This Row],[Delta Jour]],"")</f>
        <v/>
      </c>
      <c r="H77" s="42"/>
      <c r="I77" s="42"/>
      <c r="J77" s="42"/>
      <c r="K77" s="42"/>
      <c r="L77" s="42"/>
    </row>
    <row r="78" spans="1:12" x14ac:dyDescent="0.25">
      <c r="A78" s="3">
        <f t="shared" si="5"/>
        <v>1</v>
      </c>
      <c r="B78" s="3">
        <f>EDATE($B$3,Site!$I$40*(ROW(Tab_Compteur_8[[#This Row],[Début de période]])-3))</f>
        <v>0</v>
      </c>
      <c r="C78" s="185"/>
      <c r="E78">
        <f t="shared" si="4"/>
        <v>0</v>
      </c>
      <c r="F78" t="str">
        <f>IFERROR(Tab_Compteur_8[[#This Row],[Quantité]]/Tab_Compteur_8[[#This Row],[Delta Jour]],"")</f>
        <v/>
      </c>
      <c r="G78" t="str">
        <f>IFERROR(Tab_Compteur_8[[#This Row],[Montant TTC]]/Tab_Compteur_8[[#This Row],[Delta Jour]],"")</f>
        <v/>
      </c>
      <c r="H78" s="42"/>
      <c r="I78" s="42"/>
      <c r="J78" s="42"/>
      <c r="K78" s="42"/>
      <c r="L78" s="42"/>
    </row>
    <row r="79" spans="1:12" x14ac:dyDescent="0.25">
      <c r="A79" s="3">
        <f t="shared" si="5"/>
        <v>1</v>
      </c>
      <c r="B79" s="3">
        <f>EDATE($B$3,Site!$I$40*(ROW(Tab_Compteur_8[[#This Row],[Début de période]])-3))</f>
        <v>0</v>
      </c>
      <c r="C79" s="185"/>
      <c r="E79">
        <f t="shared" si="4"/>
        <v>0</v>
      </c>
      <c r="F79" t="str">
        <f>IFERROR(Tab_Compteur_8[[#This Row],[Quantité]]/Tab_Compteur_8[[#This Row],[Delta Jour]],"")</f>
        <v/>
      </c>
      <c r="G79" t="str">
        <f>IFERROR(Tab_Compteur_8[[#This Row],[Montant TTC]]/Tab_Compteur_8[[#This Row],[Delta Jour]],"")</f>
        <v/>
      </c>
      <c r="H79" s="42"/>
      <c r="I79" s="42"/>
      <c r="J79" s="42"/>
      <c r="K79" s="42"/>
      <c r="L79" s="42"/>
    </row>
    <row r="80" spans="1:12" x14ac:dyDescent="0.25">
      <c r="A80" s="3">
        <f t="shared" si="5"/>
        <v>1</v>
      </c>
      <c r="B80" s="3">
        <f>EDATE($B$3,Site!$I$40*(ROW(Tab_Compteur_8[[#This Row],[Début de période]])-3))</f>
        <v>0</v>
      </c>
      <c r="C80" s="185"/>
      <c r="E80">
        <f t="shared" si="4"/>
        <v>0</v>
      </c>
      <c r="F80" t="str">
        <f>IFERROR(Tab_Compteur_8[[#This Row],[Quantité]]/Tab_Compteur_8[[#This Row],[Delta Jour]],"")</f>
        <v/>
      </c>
      <c r="G80" t="str">
        <f>IFERROR(Tab_Compteur_8[[#This Row],[Montant TTC]]/Tab_Compteur_8[[#This Row],[Delta Jour]],"")</f>
        <v/>
      </c>
      <c r="H80" s="42"/>
      <c r="I80" s="42"/>
      <c r="J80" s="42"/>
      <c r="K80" s="42"/>
      <c r="L80" s="42"/>
    </row>
    <row r="81" spans="1:12" x14ac:dyDescent="0.25">
      <c r="A81" s="3">
        <f t="shared" si="5"/>
        <v>1</v>
      </c>
      <c r="B81" s="3">
        <f>EDATE($B$3,Site!$I$40*(ROW(Tab_Compteur_8[[#This Row],[Début de période]])-3))</f>
        <v>0</v>
      </c>
      <c r="C81" s="185"/>
      <c r="E81">
        <f t="shared" si="4"/>
        <v>0</v>
      </c>
      <c r="F81" t="str">
        <f>IFERROR(Tab_Compteur_8[[#This Row],[Quantité]]/Tab_Compteur_8[[#This Row],[Delta Jour]],"")</f>
        <v/>
      </c>
      <c r="G81" t="str">
        <f>IFERROR(Tab_Compteur_8[[#This Row],[Montant TTC]]/Tab_Compteur_8[[#This Row],[Delta Jour]],"")</f>
        <v/>
      </c>
      <c r="H81" s="42"/>
      <c r="I81" s="42"/>
      <c r="J81" s="42"/>
      <c r="K81" s="42"/>
      <c r="L81" s="42"/>
    </row>
    <row r="82" spans="1:12" x14ac:dyDescent="0.25">
      <c r="A82" s="3">
        <f t="shared" si="5"/>
        <v>1</v>
      </c>
      <c r="B82" s="3">
        <f>EDATE($B$3,Site!$I$40*(ROW(Tab_Compteur_8[[#This Row],[Début de période]])-3))</f>
        <v>0</v>
      </c>
      <c r="C82" s="185"/>
      <c r="E82">
        <f t="shared" si="4"/>
        <v>0</v>
      </c>
      <c r="F82" t="str">
        <f>IFERROR(Tab_Compteur_8[[#This Row],[Quantité]]/Tab_Compteur_8[[#This Row],[Delta Jour]],"")</f>
        <v/>
      </c>
      <c r="G82" t="str">
        <f>IFERROR(Tab_Compteur_8[[#This Row],[Montant TTC]]/Tab_Compteur_8[[#This Row],[Delta Jour]],"")</f>
        <v/>
      </c>
      <c r="H82" s="42"/>
      <c r="I82" s="42"/>
      <c r="J82" s="42"/>
      <c r="K82" s="42"/>
      <c r="L82" s="42"/>
    </row>
    <row r="83" spans="1:12" x14ac:dyDescent="0.25">
      <c r="A83" s="3">
        <f t="shared" si="5"/>
        <v>1</v>
      </c>
      <c r="B83" s="3">
        <f>EDATE($B$3,Site!$I$40*(ROW(Tab_Compteur_8[[#This Row],[Début de période]])-3))</f>
        <v>0</v>
      </c>
      <c r="C83" s="185"/>
      <c r="E83">
        <f t="shared" si="4"/>
        <v>0</v>
      </c>
      <c r="F83" t="str">
        <f>IFERROR(Tab_Compteur_8[[#This Row],[Quantité]]/Tab_Compteur_8[[#This Row],[Delta Jour]],"")</f>
        <v/>
      </c>
      <c r="G83" t="str">
        <f>IFERROR(Tab_Compteur_8[[#This Row],[Montant TTC]]/Tab_Compteur_8[[#This Row],[Delta Jour]],"")</f>
        <v/>
      </c>
      <c r="H83" s="42"/>
      <c r="I83" s="42"/>
      <c r="J83" s="42"/>
      <c r="K83" s="42"/>
      <c r="L83" s="42"/>
    </row>
    <row r="84" spans="1:12" x14ac:dyDescent="0.25">
      <c r="A84" s="3">
        <f t="shared" si="5"/>
        <v>1</v>
      </c>
      <c r="B84" s="3">
        <f>EDATE($B$3,Site!$I$40*(ROW(Tab_Compteur_8[[#This Row],[Début de période]])-3))</f>
        <v>0</v>
      </c>
      <c r="C84" s="185"/>
      <c r="E84">
        <f t="shared" si="4"/>
        <v>0</v>
      </c>
      <c r="F84" t="str">
        <f>IFERROR(Tab_Compteur_8[[#This Row],[Quantité]]/Tab_Compteur_8[[#This Row],[Delta Jour]],"")</f>
        <v/>
      </c>
      <c r="G84" t="str">
        <f>IFERROR(Tab_Compteur_8[[#This Row],[Montant TTC]]/Tab_Compteur_8[[#This Row],[Delta Jour]],"")</f>
        <v/>
      </c>
      <c r="H84" s="42"/>
      <c r="I84" s="42"/>
      <c r="J84" s="42"/>
      <c r="K84" s="42"/>
      <c r="L84" s="42"/>
    </row>
    <row r="85" spans="1:12" x14ac:dyDescent="0.25">
      <c r="A85" s="3">
        <f t="shared" si="5"/>
        <v>1</v>
      </c>
      <c r="B85" s="3">
        <f>EDATE($B$3,Site!$I$40*(ROW(Tab_Compteur_8[[#This Row],[Début de période]])-3))</f>
        <v>0</v>
      </c>
      <c r="C85" s="185"/>
      <c r="E85">
        <f t="shared" si="4"/>
        <v>0</v>
      </c>
      <c r="F85" t="str">
        <f>IFERROR(Tab_Compteur_8[[#This Row],[Quantité]]/Tab_Compteur_8[[#This Row],[Delta Jour]],"")</f>
        <v/>
      </c>
      <c r="G85" t="str">
        <f>IFERROR(Tab_Compteur_8[[#This Row],[Montant TTC]]/Tab_Compteur_8[[#This Row],[Delta Jour]],"")</f>
        <v/>
      </c>
      <c r="H85" s="42"/>
      <c r="I85" s="42"/>
      <c r="J85" s="42"/>
      <c r="K85" s="42"/>
      <c r="L85" s="42"/>
    </row>
    <row r="86" spans="1:12" x14ac:dyDescent="0.25">
      <c r="A86" s="3">
        <f t="shared" si="5"/>
        <v>1</v>
      </c>
      <c r="B86" s="3">
        <f>EDATE($B$3,Site!$I$40*(ROW(Tab_Compteur_8[[#This Row],[Début de période]])-3))</f>
        <v>0</v>
      </c>
      <c r="C86" s="185"/>
      <c r="E86">
        <f t="shared" si="4"/>
        <v>0</v>
      </c>
      <c r="F86" t="str">
        <f>IFERROR(Tab_Compteur_8[[#This Row],[Quantité]]/Tab_Compteur_8[[#This Row],[Delta Jour]],"")</f>
        <v/>
      </c>
      <c r="G86" t="str">
        <f>IFERROR(Tab_Compteur_8[[#This Row],[Montant TTC]]/Tab_Compteur_8[[#This Row],[Delta Jour]],"")</f>
        <v/>
      </c>
      <c r="H86" s="42"/>
      <c r="I86" s="42"/>
      <c r="J86" s="42"/>
      <c r="K86" s="42"/>
      <c r="L86" s="42"/>
    </row>
    <row r="87" spans="1:12" x14ac:dyDescent="0.25">
      <c r="A87" s="3">
        <f t="shared" si="5"/>
        <v>1</v>
      </c>
      <c r="B87" s="3">
        <f>EDATE($B$3,Site!$I$40*(ROW(Tab_Compteur_8[[#This Row],[Début de période]])-3))</f>
        <v>0</v>
      </c>
      <c r="C87" s="185"/>
      <c r="E87">
        <f t="shared" si="4"/>
        <v>0</v>
      </c>
      <c r="F87" t="str">
        <f>IFERROR(Tab_Compteur_8[[#This Row],[Quantité]]/Tab_Compteur_8[[#This Row],[Delta Jour]],"")</f>
        <v/>
      </c>
      <c r="G87" t="str">
        <f>IFERROR(Tab_Compteur_8[[#This Row],[Montant TTC]]/Tab_Compteur_8[[#This Row],[Delta Jour]],"")</f>
        <v/>
      </c>
      <c r="H87" s="42"/>
      <c r="I87" s="42"/>
      <c r="J87" s="42"/>
      <c r="K87" s="42"/>
      <c r="L87" s="42"/>
    </row>
    <row r="88" spans="1:12" x14ac:dyDescent="0.25">
      <c r="A88" s="3">
        <f t="shared" si="5"/>
        <v>1</v>
      </c>
      <c r="B88" s="3">
        <f>EDATE($B$3,Site!$I$40*(ROW(Tab_Compteur_8[[#This Row],[Début de période]])-3))</f>
        <v>0</v>
      </c>
      <c r="C88" s="185"/>
      <c r="E88">
        <f t="shared" si="4"/>
        <v>0</v>
      </c>
      <c r="F88" t="str">
        <f>IFERROR(Tab_Compteur_8[[#This Row],[Quantité]]/Tab_Compteur_8[[#This Row],[Delta Jour]],"")</f>
        <v/>
      </c>
      <c r="G88" t="str">
        <f>IFERROR(Tab_Compteur_8[[#This Row],[Montant TTC]]/Tab_Compteur_8[[#This Row],[Delta Jour]],"")</f>
        <v/>
      </c>
      <c r="H88" s="42"/>
      <c r="I88" s="42"/>
      <c r="J88" s="42"/>
      <c r="K88" s="42"/>
      <c r="L88" s="42"/>
    </row>
    <row r="89" spans="1:12" x14ac:dyDescent="0.25">
      <c r="A89" s="3">
        <f t="shared" si="5"/>
        <v>1</v>
      </c>
      <c r="B89" s="3">
        <f>EDATE($B$3,Site!$I$40*(ROW(Tab_Compteur_8[[#This Row],[Début de période]])-3))</f>
        <v>0</v>
      </c>
      <c r="C89" s="185"/>
      <c r="E89">
        <f t="shared" si="4"/>
        <v>0</v>
      </c>
      <c r="F89" t="str">
        <f>IFERROR(Tab_Compteur_8[[#This Row],[Quantité]]/Tab_Compteur_8[[#This Row],[Delta Jour]],"")</f>
        <v/>
      </c>
      <c r="G89" t="str">
        <f>IFERROR(Tab_Compteur_8[[#This Row],[Montant TTC]]/Tab_Compteur_8[[#This Row],[Delta Jour]],"")</f>
        <v/>
      </c>
      <c r="H89" s="42"/>
      <c r="I89" s="42"/>
      <c r="J89" s="42"/>
      <c r="K89" s="42"/>
      <c r="L89" s="42"/>
    </row>
    <row r="90" spans="1:12" x14ac:dyDescent="0.25">
      <c r="A90" s="3">
        <f t="shared" si="5"/>
        <v>1</v>
      </c>
      <c r="B90" s="3">
        <f>EDATE($B$3,Site!$I$40*(ROW(Tab_Compteur_8[[#This Row],[Début de période]])-3))</f>
        <v>0</v>
      </c>
      <c r="C90" s="185"/>
      <c r="E90">
        <f t="shared" si="4"/>
        <v>0</v>
      </c>
      <c r="F90" t="str">
        <f>IFERROR(Tab_Compteur_8[[#This Row],[Quantité]]/Tab_Compteur_8[[#This Row],[Delta Jour]],"")</f>
        <v/>
      </c>
      <c r="G90" t="str">
        <f>IFERROR(Tab_Compteur_8[[#This Row],[Montant TTC]]/Tab_Compteur_8[[#This Row],[Delta Jour]],"")</f>
        <v/>
      </c>
      <c r="H90" s="42"/>
      <c r="I90" s="42"/>
      <c r="J90" s="42"/>
      <c r="K90" s="42"/>
      <c r="L90" s="42"/>
    </row>
    <row r="91" spans="1:12" x14ac:dyDescent="0.25">
      <c r="A91" s="3">
        <f t="shared" si="5"/>
        <v>1</v>
      </c>
      <c r="B91" s="3">
        <f>EDATE($B$3,Site!$I$40*(ROW(Tab_Compteur_8[[#This Row],[Début de période]])-3))</f>
        <v>0</v>
      </c>
      <c r="C91" s="185"/>
      <c r="E91">
        <f t="shared" si="4"/>
        <v>0</v>
      </c>
      <c r="F91" t="str">
        <f>IFERROR(Tab_Compteur_8[[#This Row],[Quantité]]/Tab_Compteur_8[[#This Row],[Delta Jour]],"")</f>
        <v/>
      </c>
      <c r="G91" t="str">
        <f>IFERROR(Tab_Compteur_8[[#This Row],[Montant TTC]]/Tab_Compteur_8[[#This Row],[Delta Jour]],"")</f>
        <v/>
      </c>
      <c r="H91" s="42"/>
      <c r="I91" s="42"/>
      <c r="J91" s="42"/>
      <c r="K91" s="42"/>
      <c r="L91" s="42"/>
    </row>
    <row r="92" spans="1:12" x14ac:dyDescent="0.25">
      <c r="A92" s="3">
        <f t="shared" si="5"/>
        <v>1</v>
      </c>
      <c r="B92" s="3">
        <f>EDATE($B$3,Site!$I$40*(ROW(Tab_Compteur_8[[#This Row],[Début de période]])-3))</f>
        <v>0</v>
      </c>
      <c r="C92" s="185"/>
      <c r="E92">
        <f t="shared" si="4"/>
        <v>0</v>
      </c>
      <c r="F92" t="str">
        <f>IFERROR(Tab_Compteur_8[[#This Row],[Quantité]]/Tab_Compteur_8[[#This Row],[Delta Jour]],"")</f>
        <v/>
      </c>
      <c r="G92" t="str">
        <f>IFERROR(Tab_Compteur_8[[#This Row],[Montant TTC]]/Tab_Compteur_8[[#This Row],[Delta Jour]],"")</f>
        <v/>
      </c>
      <c r="H92" s="42"/>
      <c r="I92" s="42"/>
      <c r="J92" s="42"/>
      <c r="K92" s="42"/>
      <c r="L92" s="42"/>
    </row>
    <row r="93" spans="1:12" x14ac:dyDescent="0.25">
      <c r="A93" s="3">
        <f t="shared" si="5"/>
        <v>1</v>
      </c>
      <c r="B93" s="3">
        <f>EDATE($B$3,Site!$I$40*(ROW(Tab_Compteur_8[[#This Row],[Début de période]])-3))</f>
        <v>0</v>
      </c>
      <c r="C93" s="185"/>
      <c r="E93">
        <f t="shared" si="4"/>
        <v>0</v>
      </c>
      <c r="F93" t="str">
        <f>IFERROR(Tab_Compteur_8[[#This Row],[Quantité]]/Tab_Compteur_8[[#This Row],[Delta Jour]],"")</f>
        <v/>
      </c>
      <c r="G93" t="str">
        <f>IFERROR(Tab_Compteur_8[[#This Row],[Montant TTC]]/Tab_Compteur_8[[#This Row],[Delta Jour]],"")</f>
        <v/>
      </c>
      <c r="H93" s="42"/>
      <c r="I93" s="42"/>
      <c r="J93" s="42"/>
      <c r="K93" s="42"/>
      <c r="L93" s="42"/>
    </row>
    <row r="94" spans="1:12" x14ac:dyDescent="0.25">
      <c r="A94" s="3">
        <f t="shared" si="5"/>
        <v>1</v>
      </c>
      <c r="B94" s="3">
        <f>EDATE($B$3,Site!$I$40*(ROW(Tab_Compteur_8[[#This Row],[Début de période]])-3))</f>
        <v>0</v>
      </c>
      <c r="C94" s="185"/>
      <c r="E94">
        <f t="shared" si="4"/>
        <v>0</v>
      </c>
      <c r="F94" t="str">
        <f>IFERROR(Tab_Compteur_8[[#This Row],[Quantité]]/Tab_Compteur_8[[#This Row],[Delta Jour]],"")</f>
        <v/>
      </c>
      <c r="G94" t="str">
        <f>IFERROR(Tab_Compteur_8[[#This Row],[Montant TTC]]/Tab_Compteur_8[[#This Row],[Delta Jour]],"")</f>
        <v/>
      </c>
      <c r="H94" s="42"/>
      <c r="I94" s="42"/>
      <c r="J94" s="42"/>
      <c r="K94" s="42"/>
      <c r="L94" s="42"/>
    </row>
    <row r="95" spans="1:12" x14ac:dyDescent="0.25">
      <c r="A95" s="3">
        <f t="shared" si="5"/>
        <v>1</v>
      </c>
      <c r="B95" s="3">
        <f>EDATE($B$3,Site!$I$40*(ROW(Tab_Compteur_8[[#This Row],[Début de période]])-3))</f>
        <v>0</v>
      </c>
      <c r="C95" s="185"/>
      <c r="E95">
        <f t="shared" si="4"/>
        <v>0</v>
      </c>
      <c r="F95" t="str">
        <f>IFERROR(Tab_Compteur_8[[#This Row],[Quantité]]/Tab_Compteur_8[[#This Row],[Delta Jour]],"")</f>
        <v/>
      </c>
      <c r="G95" t="str">
        <f>IFERROR(Tab_Compteur_8[[#This Row],[Montant TTC]]/Tab_Compteur_8[[#This Row],[Delta Jour]],"")</f>
        <v/>
      </c>
      <c r="H95" s="42"/>
      <c r="I95" s="42"/>
      <c r="J95" s="42"/>
      <c r="K95" s="42"/>
      <c r="L95" s="42"/>
    </row>
    <row r="96" spans="1:12" x14ac:dyDescent="0.25">
      <c r="A96" s="3">
        <f t="shared" si="5"/>
        <v>1</v>
      </c>
      <c r="B96" s="3">
        <f>EDATE($B$3,Site!$I$40*(ROW(Tab_Compteur_8[[#This Row],[Début de période]])-3))</f>
        <v>0</v>
      </c>
      <c r="C96" s="185"/>
      <c r="E96">
        <f t="shared" si="4"/>
        <v>0</v>
      </c>
      <c r="F96" t="str">
        <f>IFERROR(Tab_Compteur_8[[#This Row],[Quantité]]/Tab_Compteur_8[[#This Row],[Delta Jour]],"")</f>
        <v/>
      </c>
      <c r="G96" t="str">
        <f>IFERROR(Tab_Compteur_8[[#This Row],[Montant TTC]]/Tab_Compteur_8[[#This Row],[Delta Jour]],"")</f>
        <v/>
      </c>
      <c r="H96" s="42"/>
      <c r="I96" s="42"/>
      <c r="J96" s="42"/>
      <c r="K96" s="42"/>
      <c r="L96" s="42"/>
    </row>
    <row r="97" spans="1:12" x14ac:dyDescent="0.25">
      <c r="A97" s="3">
        <f t="shared" si="5"/>
        <v>1</v>
      </c>
      <c r="B97" s="3">
        <f>EDATE($B$3,Site!$I$40*(ROW(Tab_Compteur_8[[#This Row],[Début de période]])-3))</f>
        <v>0</v>
      </c>
      <c r="C97" s="185"/>
      <c r="E97">
        <f t="shared" si="4"/>
        <v>0</v>
      </c>
      <c r="F97" t="str">
        <f>IFERROR(Tab_Compteur_8[[#This Row],[Quantité]]/Tab_Compteur_8[[#This Row],[Delta Jour]],"")</f>
        <v/>
      </c>
      <c r="G97" t="str">
        <f>IFERROR(Tab_Compteur_8[[#This Row],[Montant TTC]]/Tab_Compteur_8[[#This Row],[Delta Jour]],"")</f>
        <v/>
      </c>
      <c r="H97" s="42"/>
      <c r="I97" s="42"/>
      <c r="J97" s="42"/>
      <c r="K97" s="42"/>
      <c r="L97" s="42"/>
    </row>
    <row r="98" spans="1:12" x14ac:dyDescent="0.25">
      <c r="A98" s="3">
        <f t="shared" si="5"/>
        <v>1</v>
      </c>
      <c r="B98" s="3">
        <f>EDATE($B$3,Site!$I$40*(ROW(Tab_Compteur_8[[#This Row],[Début de période]])-3))</f>
        <v>0</v>
      </c>
      <c r="C98" s="185"/>
      <c r="E98">
        <f t="shared" si="4"/>
        <v>0</v>
      </c>
      <c r="F98" t="str">
        <f>IFERROR(Tab_Compteur_8[[#This Row],[Quantité]]/Tab_Compteur_8[[#This Row],[Delta Jour]],"")</f>
        <v/>
      </c>
      <c r="G98" t="str">
        <f>IFERROR(Tab_Compteur_8[[#This Row],[Montant TTC]]/Tab_Compteur_8[[#This Row],[Delta Jour]],"")</f>
        <v/>
      </c>
      <c r="H98" s="42"/>
      <c r="I98" s="42"/>
      <c r="J98" s="42"/>
      <c r="K98" s="42"/>
      <c r="L98" s="42"/>
    </row>
    <row r="99" spans="1:12" x14ac:dyDescent="0.25">
      <c r="A99" s="3">
        <f t="shared" si="5"/>
        <v>1</v>
      </c>
      <c r="B99" s="3">
        <f>EDATE($B$3,Site!$I$40*(ROW(Tab_Compteur_8[[#This Row],[Début de période]])-3))</f>
        <v>0</v>
      </c>
      <c r="C99" s="185"/>
      <c r="E99">
        <f t="shared" si="4"/>
        <v>0</v>
      </c>
      <c r="F99" t="str">
        <f>IFERROR(Tab_Compteur_8[[#This Row],[Quantité]]/Tab_Compteur_8[[#This Row],[Delta Jour]],"")</f>
        <v/>
      </c>
      <c r="G99" t="str">
        <f>IFERROR(Tab_Compteur_8[[#This Row],[Montant TTC]]/Tab_Compteur_8[[#This Row],[Delta Jour]],"")</f>
        <v/>
      </c>
      <c r="H99" s="42"/>
      <c r="I99" s="42"/>
      <c r="J99" s="42"/>
      <c r="K99" s="42"/>
      <c r="L99" s="42"/>
    </row>
    <row r="100" spans="1:12" x14ac:dyDescent="0.25">
      <c r="A100" s="3">
        <f t="shared" si="5"/>
        <v>1</v>
      </c>
      <c r="B100" s="3">
        <f>EDATE($B$3,Site!$I$40*(ROW(Tab_Compteur_8[[#This Row],[Début de période]])-3))</f>
        <v>0</v>
      </c>
      <c r="C100" s="185"/>
      <c r="E100">
        <f t="shared" si="4"/>
        <v>0</v>
      </c>
      <c r="F100" t="str">
        <f>IFERROR(Tab_Compteur_8[[#This Row],[Quantité]]/Tab_Compteur_8[[#This Row],[Delta Jour]],"")</f>
        <v/>
      </c>
      <c r="G100" t="str">
        <f>IFERROR(Tab_Compteur_8[[#This Row],[Montant TTC]]/Tab_Compteur_8[[#This Row],[Delta Jour]],"")</f>
        <v/>
      </c>
      <c r="H100" s="42"/>
      <c r="I100" s="42"/>
      <c r="J100" s="42"/>
      <c r="K100" s="42"/>
      <c r="L100" s="42"/>
    </row>
    <row r="101" spans="1:12" x14ac:dyDescent="0.25">
      <c r="A101" s="3">
        <f t="shared" si="5"/>
        <v>1</v>
      </c>
      <c r="B101" s="3">
        <f>EDATE($B$3,Site!$I$40*(ROW(Tab_Compteur_8[[#This Row],[Début de période]])-3))</f>
        <v>0</v>
      </c>
      <c r="C101" s="185"/>
      <c r="E101">
        <f t="shared" si="4"/>
        <v>0</v>
      </c>
      <c r="F101" t="str">
        <f>IFERROR(Tab_Compteur_8[[#This Row],[Quantité]]/Tab_Compteur_8[[#This Row],[Delta Jour]],"")</f>
        <v/>
      </c>
      <c r="G101" t="str">
        <f>IFERROR(Tab_Compteur_8[[#This Row],[Montant TTC]]/Tab_Compteur_8[[#This Row],[Delta Jour]],"")</f>
        <v/>
      </c>
      <c r="H101" s="42"/>
      <c r="I101" s="42"/>
      <c r="J101" s="42"/>
      <c r="K101" s="42"/>
      <c r="L101" s="42"/>
    </row>
    <row r="102" spans="1:12" x14ac:dyDescent="0.25">
      <c r="A102" s="3">
        <f t="shared" si="5"/>
        <v>1</v>
      </c>
      <c r="B102" s="3">
        <f>EDATE($B$3,Site!$I$40*(ROW(Tab_Compteur_8[[#This Row],[Début de période]])-3))</f>
        <v>0</v>
      </c>
      <c r="C102" s="185"/>
      <c r="E102">
        <f t="shared" si="4"/>
        <v>0</v>
      </c>
      <c r="F102" t="str">
        <f>IFERROR(Tab_Compteur_8[[#This Row],[Quantité]]/Tab_Compteur_8[[#This Row],[Delta Jour]],"")</f>
        <v/>
      </c>
      <c r="G102" t="str">
        <f>IFERROR(Tab_Compteur_8[[#This Row],[Montant TTC]]/Tab_Compteur_8[[#This Row],[Delta Jour]],"")</f>
        <v/>
      </c>
      <c r="H102" s="42"/>
      <c r="I102" s="42"/>
      <c r="J102" s="42"/>
      <c r="K102" s="42"/>
      <c r="L102" s="42"/>
    </row>
    <row r="103" spans="1:12" x14ac:dyDescent="0.25">
      <c r="A103" s="3">
        <f t="shared" si="5"/>
        <v>1</v>
      </c>
      <c r="B103" s="3">
        <f>EDATE($B$3,Site!$I$40*(ROW(Tab_Compteur_8[[#This Row],[Début de période]])-3))</f>
        <v>0</v>
      </c>
      <c r="C103" s="185"/>
      <c r="E103">
        <f t="shared" si="4"/>
        <v>0</v>
      </c>
      <c r="F103" t="str">
        <f>IFERROR(Tab_Compteur_8[[#This Row],[Quantité]]/Tab_Compteur_8[[#This Row],[Delta Jour]],"")</f>
        <v/>
      </c>
      <c r="G103" t="str">
        <f>IFERROR(Tab_Compteur_8[[#This Row],[Montant TTC]]/Tab_Compteur_8[[#This Row],[Delta Jour]],"")</f>
        <v/>
      </c>
      <c r="H103" s="42"/>
      <c r="I103" s="42"/>
      <c r="J103" s="42"/>
      <c r="K103" s="42"/>
      <c r="L103" s="42"/>
    </row>
    <row r="104" spans="1:12" x14ac:dyDescent="0.25">
      <c r="A104" s="3">
        <f t="shared" si="5"/>
        <v>1</v>
      </c>
      <c r="B104" s="3">
        <f>EDATE($B$3,Site!$I$40*(ROW(Tab_Compteur_8[[#This Row],[Début de période]])-3))</f>
        <v>0</v>
      </c>
      <c r="C104" s="185"/>
      <c r="E104">
        <f t="shared" si="4"/>
        <v>0</v>
      </c>
      <c r="F104" t="str">
        <f>IFERROR(Tab_Compteur_8[[#This Row],[Quantité]]/Tab_Compteur_8[[#This Row],[Delta Jour]],"")</f>
        <v/>
      </c>
      <c r="G104" t="str">
        <f>IFERROR(Tab_Compteur_8[[#This Row],[Montant TTC]]/Tab_Compteur_8[[#This Row],[Delta Jour]],"")</f>
        <v/>
      </c>
      <c r="H104" s="42"/>
      <c r="I104" s="42"/>
      <c r="J104" s="42"/>
      <c r="K104" s="42"/>
      <c r="L104" s="42"/>
    </row>
    <row r="105" spans="1:12" x14ac:dyDescent="0.25">
      <c r="A105" s="3">
        <f t="shared" si="5"/>
        <v>1</v>
      </c>
      <c r="B105" s="3">
        <f>EDATE($B$3,Site!$I$40*(ROW(Tab_Compteur_8[[#This Row],[Début de période]])-3))</f>
        <v>0</v>
      </c>
      <c r="C105" s="185"/>
      <c r="E105">
        <f t="shared" si="4"/>
        <v>0</v>
      </c>
      <c r="F105" t="str">
        <f>IFERROR(Tab_Compteur_8[[#This Row],[Quantité]]/Tab_Compteur_8[[#This Row],[Delta Jour]],"")</f>
        <v/>
      </c>
      <c r="G105" t="str">
        <f>IFERROR(Tab_Compteur_8[[#This Row],[Montant TTC]]/Tab_Compteur_8[[#This Row],[Delta Jour]],"")</f>
        <v/>
      </c>
      <c r="H105" s="42"/>
      <c r="I105" s="42"/>
      <c r="J105" s="42"/>
      <c r="K105" s="42"/>
      <c r="L105" s="42"/>
    </row>
    <row r="106" spans="1:12" x14ac:dyDescent="0.25">
      <c r="A106" s="3">
        <f t="shared" si="5"/>
        <v>1</v>
      </c>
      <c r="B106" s="3">
        <f>EDATE($B$3,Site!$I$40*(ROW(Tab_Compteur_8[[#This Row],[Début de période]])-3))</f>
        <v>0</v>
      </c>
      <c r="C106" s="185"/>
      <c r="E106">
        <f t="shared" si="4"/>
        <v>0</v>
      </c>
      <c r="F106" t="str">
        <f>IFERROR(Tab_Compteur_8[[#This Row],[Quantité]]/Tab_Compteur_8[[#This Row],[Delta Jour]],"")</f>
        <v/>
      </c>
      <c r="G106" t="str">
        <f>IFERROR(Tab_Compteur_8[[#This Row],[Montant TTC]]/Tab_Compteur_8[[#This Row],[Delta Jour]],"")</f>
        <v/>
      </c>
      <c r="H106" s="42"/>
      <c r="I106" s="42"/>
      <c r="J106" s="42"/>
      <c r="K106" s="42"/>
      <c r="L106" s="42"/>
    </row>
    <row r="107" spans="1:12" x14ac:dyDescent="0.25">
      <c r="A107" s="3">
        <f t="shared" si="5"/>
        <v>1</v>
      </c>
      <c r="B107" s="3">
        <f>EDATE($B$3,Site!$I$40*(ROW(Tab_Compteur_8[[#This Row],[Début de période]])-3))</f>
        <v>0</v>
      </c>
      <c r="C107" s="185"/>
      <c r="E107">
        <f t="shared" si="4"/>
        <v>0</v>
      </c>
      <c r="F107" t="str">
        <f>IFERROR(Tab_Compteur_8[[#This Row],[Quantité]]/Tab_Compteur_8[[#This Row],[Delta Jour]],"")</f>
        <v/>
      </c>
      <c r="G107" t="str">
        <f>IFERROR(Tab_Compteur_8[[#This Row],[Montant TTC]]/Tab_Compteur_8[[#This Row],[Delta Jour]],"")</f>
        <v/>
      </c>
      <c r="H107" s="42"/>
      <c r="I107" s="42"/>
      <c r="J107" s="42"/>
      <c r="K107" s="42"/>
      <c r="L107" s="42"/>
    </row>
    <row r="108" spans="1:12" x14ac:dyDescent="0.25">
      <c r="A108" s="3">
        <f t="shared" si="5"/>
        <v>1</v>
      </c>
      <c r="B108" s="3">
        <f>EDATE($B$3,Site!$I$40*(ROW(Tab_Compteur_8[[#This Row],[Début de période]])-3))</f>
        <v>0</v>
      </c>
      <c r="C108" s="185"/>
      <c r="E108">
        <f t="shared" si="4"/>
        <v>0</v>
      </c>
      <c r="F108" t="str">
        <f>IFERROR(Tab_Compteur_8[[#This Row],[Quantité]]/Tab_Compteur_8[[#This Row],[Delta Jour]],"")</f>
        <v/>
      </c>
      <c r="G108" t="str">
        <f>IFERROR(Tab_Compteur_8[[#This Row],[Montant TTC]]/Tab_Compteur_8[[#This Row],[Delta Jour]],"")</f>
        <v/>
      </c>
      <c r="H108" s="42"/>
      <c r="I108" s="42"/>
      <c r="J108" s="42"/>
      <c r="K108" s="42"/>
      <c r="L108" s="42"/>
    </row>
    <row r="109" spans="1:12" x14ac:dyDescent="0.25">
      <c r="A109" s="3">
        <f t="shared" si="5"/>
        <v>1</v>
      </c>
      <c r="B109" s="3">
        <f>EDATE($B$3,Site!$I$40*(ROW(Tab_Compteur_8[[#This Row],[Début de période]])-3))</f>
        <v>0</v>
      </c>
      <c r="C109" s="185"/>
      <c r="E109">
        <f t="shared" si="4"/>
        <v>0</v>
      </c>
      <c r="F109" t="str">
        <f>IFERROR(Tab_Compteur_8[[#This Row],[Quantité]]/Tab_Compteur_8[[#This Row],[Delta Jour]],"")</f>
        <v/>
      </c>
      <c r="G109" t="str">
        <f>IFERROR(Tab_Compteur_8[[#This Row],[Montant TTC]]/Tab_Compteur_8[[#This Row],[Delta Jour]],"")</f>
        <v/>
      </c>
      <c r="H109" s="42"/>
      <c r="I109" s="42"/>
      <c r="J109" s="42"/>
      <c r="K109" s="42"/>
      <c r="L109" s="42"/>
    </row>
    <row r="110" spans="1:12" x14ac:dyDescent="0.25">
      <c r="A110" s="3">
        <f t="shared" si="5"/>
        <v>1</v>
      </c>
      <c r="B110" s="3">
        <f>EDATE($B$3,Site!$I$40*(ROW(Tab_Compteur_8[[#This Row],[Début de période]])-3))</f>
        <v>0</v>
      </c>
      <c r="C110" s="185"/>
      <c r="E110">
        <f t="shared" si="4"/>
        <v>0</v>
      </c>
      <c r="F110" t="str">
        <f>IFERROR(Tab_Compteur_8[[#This Row],[Quantité]]/Tab_Compteur_8[[#This Row],[Delta Jour]],"")</f>
        <v/>
      </c>
      <c r="G110" t="str">
        <f>IFERROR(Tab_Compteur_8[[#This Row],[Montant TTC]]/Tab_Compteur_8[[#This Row],[Delta Jour]],"")</f>
        <v/>
      </c>
      <c r="H110" s="42"/>
      <c r="I110" s="42"/>
      <c r="J110" s="42"/>
      <c r="K110" s="42"/>
      <c r="L110" s="42"/>
    </row>
    <row r="111" spans="1:12" x14ac:dyDescent="0.25">
      <c r="A111" s="3">
        <f t="shared" si="5"/>
        <v>1</v>
      </c>
      <c r="B111" s="3">
        <f>EDATE($B$3,Site!$I$40*(ROW(Tab_Compteur_8[[#This Row],[Début de période]])-3))</f>
        <v>0</v>
      </c>
      <c r="C111" s="185"/>
      <c r="E111">
        <f t="shared" si="4"/>
        <v>0</v>
      </c>
      <c r="F111" t="str">
        <f>IFERROR(Tab_Compteur_8[[#This Row],[Quantité]]/Tab_Compteur_8[[#This Row],[Delta Jour]],"")</f>
        <v/>
      </c>
      <c r="G111" t="str">
        <f>IFERROR(Tab_Compteur_8[[#This Row],[Montant TTC]]/Tab_Compteur_8[[#This Row],[Delta Jour]],"")</f>
        <v/>
      </c>
      <c r="H111" s="42"/>
      <c r="I111" s="42"/>
      <c r="J111" s="42"/>
      <c r="K111" s="42"/>
      <c r="L111" s="42"/>
    </row>
    <row r="112" spans="1:12" x14ac:dyDescent="0.25">
      <c r="A112" s="3">
        <f t="shared" si="5"/>
        <v>1</v>
      </c>
      <c r="B112" s="3">
        <f>EDATE($B$3,Site!$I$40*(ROW(Tab_Compteur_8[[#This Row],[Début de période]])-3))</f>
        <v>0</v>
      </c>
      <c r="C112" s="185"/>
      <c r="E112">
        <f t="shared" si="4"/>
        <v>0</v>
      </c>
      <c r="F112" t="str">
        <f>IFERROR(Tab_Compteur_8[[#This Row],[Quantité]]/Tab_Compteur_8[[#This Row],[Delta Jour]],"")</f>
        <v/>
      </c>
      <c r="G112" t="str">
        <f>IFERROR(Tab_Compteur_8[[#This Row],[Montant TTC]]/Tab_Compteur_8[[#This Row],[Delta Jour]],"")</f>
        <v/>
      </c>
      <c r="H112" s="42"/>
      <c r="I112" s="42"/>
      <c r="J112" s="42"/>
      <c r="K112" s="42"/>
      <c r="L112" s="42"/>
    </row>
    <row r="113" spans="1:12" x14ac:dyDescent="0.25">
      <c r="A113" s="3">
        <f t="shared" si="5"/>
        <v>1</v>
      </c>
      <c r="B113" s="3">
        <f>EDATE($B$3,Site!$I$40*(ROW(Tab_Compteur_8[[#This Row],[Début de période]])-3))</f>
        <v>0</v>
      </c>
      <c r="C113" s="185"/>
      <c r="E113">
        <f t="shared" si="4"/>
        <v>0</v>
      </c>
      <c r="F113" t="str">
        <f>IFERROR(Tab_Compteur_8[[#This Row],[Quantité]]/Tab_Compteur_8[[#This Row],[Delta Jour]],"")</f>
        <v/>
      </c>
      <c r="G113" t="str">
        <f>IFERROR(Tab_Compteur_8[[#This Row],[Montant TTC]]/Tab_Compteur_8[[#This Row],[Delta Jour]],"")</f>
        <v/>
      </c>
      <c r="H113" s="42"/>
      <c r="I113" s="42"/>
      <c r="J113" s="42"/>
      <c r="K113" s="42"/>
      <c r="L113" s="42"/>
    </row>
    <row r="114" spans="1:12" x14ac:dyDescent="0.25">
      <c r="A114" s="3">
        <f t="shared" si="5"/>
        <v>1</v>
      </c>
      <c r="B114" s="3">
        <f>EDATE($B$3,Site!$I$40*(ROW(Tab_Compteur_8[[#This Row],[Début de période]])-3))</f>
        <v>0</v>
      </c>
      <c r="C114" s="185"/>
      <c r="E114">
        <f t="shared" si="4"/>
        <v>0</v>
      </c>
      <c r="F114" t="str">
        <f>IFERROR(Tab_Compteur_8[[#This Row],[Quantité]]/Tab_Compteur_8[[#This Row],[Delta Jour]],"")</f>
        <v/>
      </c>
      <c r="G114" t="str">
        <f>IFERROR(Tab_Compteur_8[[#This Row],[Montant TTC]]/Tab_Compteur_8[[#This Row],[Delta Jour]],"")</f>
        <v/>
      </c>
      <c r="H114" s="42"/>
      <c r="I114" s="42"/>
      <c r="J114" s="42"/>
      <c r="K114" s="42"/>
      <c r="L114" s="42"/>
    </row>
    <row r="115" spans="1:12" x14ac:dyDescent="0.25">
      <c r="A115" s="3">
        <f t="shared" si="5"/>
        <v>1</v>
      </c>
      <c r="B115" s="3">
        <f>EDATE($B$3,Site!$I$40*(ROW(Tab_Compteur_8[[#This Row],[Début de période]])-3))</f>
        <v>0</v>
      </c>
      <c r="C115" s="185"/>
      <c r="E115">
        <f t="shared" si="4"/>
        <v>0</v>
      </c>
      <c r="F115" t="str">
        <f>IFERROR(Tab_Compteur_8[[#This Row],[Quantité]]/Tab_Compteur_8[[#This Row],[Delta Jour]],"")</f>
        <v/>
      </c>
      <c r="G115" t="str">
        <f>IFERROR(Tab_Compteur_8[[#This Row],[Montant TTC]]/Tab_Compteur_8[[#This Row],[Delta Jour]],"")</f>
        <v/>
      </c>
      <c r="H115" s="42"/>
      <c r="I115" s="42"/>
      <c r="J115" s="42"/>
      <c r="K115" s="42"/>
      <c r="L115" s="42"/>
    </row>
    <row r="116" spans="1:12" x14ac:dyDescent="0.25">
      <c r="A116" s="3">
        <f t="shared" si="5"/>
        <v>1</v>
      </c>
      <c r="B116" s="3">
        <f>EDATE($B$3,Site!$I$40*(ROW(Tab_Compteur_8[[#This Row],[Début de période]])-3))</f>
        <v>0</v>
      </c>
      <c r="C116" s="185"/>
      <c r="E116">
        <f t="shared" si="4"/>
        <v>0</v>
      </c>
      <c r="F116" t="str">
        <f>IFERROR(Tab_Compteur_8[[#This Row],[Quantité]]/Tab_Compteur_8[[#This Row],[Delta Jour]],"")</f>
        <v/>
      </c>
      <c r="G116" t="str">
        <f>IFERROR(Tab_Compteur_8[[#This Row],[Montant TTC]]/Tab_Compteur_8[[#This Row],[Delta Jour]],"")</f>
        <v/>
      </c>
      <c r="H116" s="42"/>
      <c r="I116" s="42"/>
      <c r="J116" s="42"/>
      <c r="K116" s="42"/>
      <c r="L116" s="42"/>
    </row>
    <row r="117" spans="1:12" x14ac:dyDescent="0.25">
      <c r="A117" s="3">
        <f t="shared" si="5"/>
        <v>1</v>
      </c>
      <c r="B117" s="3">
        <f>EDATE($B$3,Site!$I$40*(ROW(Tab_Compteur_8[[#This Row],[Début de période]])-3))</f>
        <v>0</v>
      </c>
      <c r="C117" s="185"/>
      <c r="E117">
        <f t="shared" si="4"/>
        <v>0</v>
      </c>
      <c r="F117" t="str">
        <f>IFERROR(Tab_Compteur_8[[#This Row],[Quantité]]/Tab_Compteur_8[[#This Row],[Delta Jour]],"")</f>
        <v/>
      </c>
      <c r="G117" t="str">
        <f>IFERROR(Tab_Compteur_8[[#This Row],[Montant TTC]]/Tab_Compteur_8[[#This Row],[Delta Jour]],"")</f>
        <v/>
      </c>
      <c r="H117" s="42"/>
      <c r="I117" s="42"/>
      <c r="J117" s="42"/>
      <c r="K117" s="42"/>
      <c r="L117" s="42"/>
    </row>
    <row r="118" spans="1:12" x14ac:dyDescent="0.25">
      <c r="A118" s="3">
        <f t="shared" si="5"/>
        <v>1</v>
      </c>
      <c r="B118" s="3">
        <f>EDATE($B$3,Site!$I$40*(ROW(Tab_Compteur_8[[#This Row],[Début de période]])-3))</f>
        <v>0</v>
      </c>
      <c r="C118" s="185"/>
      <c r="E118">
        <f t="shared" si="4"/>
        <v>0</v>
      </c>
      <c r="F118" t="str">
        <f>IFERROR(Tab_Compteur_8[[#This Row],[Quantité]]/Tab_Compteur_8[[#This Row],[Delta Jour]],"")</f>
        <v/>
      </c>
      <c r="G118" t="str">
        <f>IFERROR(Tab_Compteur_8[[#This Row],[Montant TTC]]/Tab_Compteur_8[[#This Row],[Delta Jour]],"")</f>
        <v/>
      </c>
      <c r="H118" s="42"/>
      <c r="I118" s="42"/>
      <c r="J118" s="42"/>
      <c r="K118" s="42"/>
      <c r="L118" s="42"/>
    </row>
    <row r="119" spans="1:12" x14ac:dyDescent="0.25">
      <c r="A119" s="3">
        <f t="shared" si="5"/>
        <v>1</v>
      </c>
      <c r="B119" s="3">
        <f>EDATE($B$3,Site!$I$40*(ROW(Tab_Compteur_8[[#This Row],[Début de période]])-3))</f>
        <v>0</v>
      </c>
      <c r="C119" s="185"/>
      <c r="E119">
        <f t="shared" si="4"/>
        <v>0</v>
      </c>
      <c r="F119" t="str">
        <f>IFERROR(Tab_Compteur_8[[#This Row],[Quantité]]/Tab_Compteur_8[[#This Row],[Delta Jour]],"")</f>
        <v/>
      </c>
      <c r="G119" t="str">
        <f>IFERROR(Tab_Compteur_8[[#This Row],[Montant TTC]]/Tab_Compteur_8[[#This Row],[Delta Jour]],"")</f>
        <v/>
      </c>
      <c r="H119" s="42"/>
      <c r="I119" s="42"/>
      <c r="J119" s="42"/>
      <c r="K119" s="42"/>
      <c r="L119" s="42"/>
    </row>
    <row r="120" spans="1:12" x14ac:dyDescent="0.25">
      <c r="A120" s="3">
        <f t="shared" si="5"/>
        <v>1</v>
      </c>
      <c r="B120" s="3">
        <f>EDATE($B$3,Site!$I$40*(ROW(Tab_Compteur_8[[#This Row],[Début de période]])-3))</f>
        <v>0</v>
      </c>
      <c r="C120" s="185"/>
      <c r="E120">
        <f t="shared" si="4"/>
        <v>0</v>
      </c>
      <c r="F120" t="str">
        <f>IFERROR(Tab_Compteur_8[[#This Row],[Quantité]]/Tab_Compteur_8[[#This Row],[Delta Jour]],"")</f>
        <v/>
      </c>
      <c r="G120" t="str">
        <f>IFERROR(Tab_Compteur_8[[#This Row],[Montant TTC]]/Tab_Compteur_8[[#This Row],[Delta Jour]],"")</f>
        <v/>
      </c>
      <c r="H120" s="42"/>
      <c r="I120" s="42"/>
      <c r="J120" s="42"/>
      <c r="K120" s="42"/>
      <c r="L120" s="42"/>
    </row>
    <row r="121" spans="1:12" x14ac:dyDescent="0.25">
      <c r="A121" s="3">
        <f t="shared" si="5"/>
        <v>1</v>
      </c>
      <c r="B121" s="3">
        <f>EDATE($B$3,Site!$I$40*(ROW(Tab_Compteur_8[[#This Row],[Début de période]])-3))</f>
        <v>0</v>
      </c>
      <c r="C121" s="185"/>
      <c r="E121">
        <f t="shared" si="4"/>
        <v>0</v>
      </c>
      <c r="F121" t="str">
        <f>IFERROR(Tab_Compteur_8[[#This Row],[Quantité]]/Tab_Compteur_8[[#This Row],[Delta Jour]],"")</f>
        <v/>
      </c>
      <c r="G121" t="str">
        <f>IFERROR(Tab_Compteur_8[[#This Row],[Montant TTC]]/Tab_Compteur_8[[#This Row],[Delta Jour]],"")</f>
        <v/>
      </c>
      <c r="H121" s="42"/>
      <c r="I121" s="42"/>
      <c r="J121" s="42"/>
      <c r="K121" s="42"/>
      <c r="L121" s="42"/>
    </row>
    <row r="122" spans="1:12" x14ac:dyDescent="0.25">
      <c r="A122" s="3">
        <f t="shared" si="5"/>
        <v>1</v>
      </c>
      <c r="B122" s="3">
        <f>EDATE($B$3,Site!$I$40*(ROW(Tab_Compteur_8[[#This Row],[Début de période]])-3))</f>
        <v>0</v>
      </c>
      <c r="C122" s="185"/>
      <c r="E122">
        <f t="shared" si="4"/>
        <v>0</v>
      </c>
      <c r="F122" t="str">
        <f>IFERROR(Tab_Compteur_8[[#This Row],[Quantité]]/Tab_Compteur_8[[#This Row],[Delta Jour]],"")</f>
        <v/>
      </c>
      <c r="G122" t="str">
        <f>IFERROR(Tab_Compteur_8[[#This Row],[Montant TTC]]/Tab_Compteur_8[[#This Row],[Delta Jour]],"")</f>
        <v/>
      </c>
      <c r="H122" s="42"/>
      <c r="I122" s="42"/>
      <c r="J122" s="42"/>
      <c r="K122" s="42"/>
      <c r="L122" s="42"/>
    </row>
    <row r="123" spans="1:12" x14ac:dyDescent="0.25">
      <c r="A123" s="3">
        <f t="shared" si="5"/>
        <v>1</v>
      </c>
      <c r="B123" s="3">
        <f>EDATE($B$3,Site!$I$40*(ROW(Tab_Compteur_8[[#This Row],[Début de période]])-3))</f>
        <v>0</v>
      </c>
      <c r="C123" s="185"/>
      <c r="E123">
        <f t="shared" si="4"/>
        <v>0</v>
      </c>
      <c r="F123" t="str">
        <f>IFERROR(Tab_Compteur_8[[#This Row],[Quantité]]/Tab_Compteur_8[[#This Row],[Delta Jour]],"")</f>
        <v/>
      </c>
      <c r="G123" t="str">
        <f>IFERROR(Tab_Compteur_8[[#This Row],[Montant TTC]]/Tab_Compteur_8[[#This Row],[Delta Jour]],"")</f>
        <v/>
      </c>
      <c r="H123" s="42"/>
      <c r="I123" s="42"/>
      <c r="J123" s="42"/>
      <c r="K123" s="42"/>
      <c r="L123" s="42"/>
    </row>
    <row r="124" spans="1:12" x14ac:dyDescent="0.25">
      <c r="A124" s="3">
        <f t="shared" si="5"/>
        <v>1</v>
      </c>
      <c r="B124" s="3">
        <f>EDATE($B$3,Site!$I$40*(ROW(Tab_Compteur_8[[#This Row],[Début de période]])-3))</f>
        <v>0</v>
      </c>
      <c r="C124" s="185"/>
      <c r="E124">
        <f t="shared" si="4"/>
        <v>0</v>
      </c>
      <c r="F124" t="str">
        <f>IFERROR(Tab_Compteur_8[[#This Row],[Quantité]]/Tab_Compteur_8[[#This Row],[Delta Jour]],"")</f>
        <v/>
      </c>
      <c r="G124" t="str">
        <f>IFERROR(Tab_Compteur_8[[#This Row],[Montant TTC]]/Tab_Compteur_8[[#This Row],[Delta Jour]],"")</f>
        <v/>
      </c>
      <c r="H124" s="42"/>
      <c r="I124" s="42"/>
      <c r="J124" s="42"/>
      <c r="K124" s="42"/>
      <c r="L124" s="42"/>
    </row>
    <row r="125" spans="1:12" x14ac:dyDescent="0.25">
      <c r="A125" s="3">
        <f t="shared" si="5"/>
        <v>1</v>
      </c>
      <c r="B125" s="3">
        <f>EDATE($B$3,Site!$I$40*(ROW(Tab_Compteur_8[[#This Row],[Début de période]])-3))</f>
        <v>0</v>
      </c>
      <c r="C125" s="185"/>
      <c r="E125">
        <f t="shared" si="4"/>
        <v>0</v>
      </c>
      <c r="F125" t="str">
        <f>IFERROR(Tab_Compteur_8[[#This Row],[Quantité]]/Tab_Compteur_8[[#This Row],[Delta Jour]],"")</f>
        <v/>
      </c>
      <c r="G125" t="str">
        <f>IFERROR(Tab_Compteur_8[[#This Row],[Montant TTC]]/Tab_Compteur_8[[#This Row],[Delta Jour]],"")</f>
        <v/>
      </c>
      <c r="H125" s="42"/>
      <c r="I125" s="42"/>
      <c r="J125" s="42"/>
      <c r="K125" s="42"/>
      <c r="L125" s="42"/>
    </row>
    <row r="126" spans="1:12" x14ac:dyDescent="0.25">
      <c r="A126" s="3">
        <f t="shared" si="5"/>
        <v>1</v>
      </c>
      <c r="B126" s="3">
        <f>EDATE($B$3,Site!$I$40*(ROW(Tab_Compteur_8[[#This Row],[Début de période]])-3))</f>
        <v>0</v>
      </c>
      <c r="C126" s="185"/>
      <c r="E126">
        <f t="shared" si="4"/>
        <v>0</v>
      </c>
      <c r="F126" t="str">
        <f>IFERROR(Tab_Compteur_8[[#This Row],[Quantité]]/Tab_Compteur_8[[#This Row],[Delta Jour]],"")</f>
        <v/>
      </c>
      <c r="G126" t="str">
        <f>IFERROR(Tab_Compteur_8[[#This Row],[Montant TTC]]/Tab_Compteur_8[[#This Row],[Delta Jour]],"")</f>
        <v/>
      </c>
      <c r="H126" s="42"/>
      <c r="I126" s="42"/>
      <c r="J126" s="42"/>
      <c r="K126" s="42"/>
      <c r="L126" s="42"/>
    </row>
    <row r="127" spans="1:12" x14ac:dyDescent="0.25">
      <c r="A127" s="3">
        <f t="shared" si="5"/>
        <v>1</v>
      </c>
      <c r="B127" s="3">
        <f>EDATE($B$3,Site!$I$40*(ROW(Tab_Compteur_8[[#This Row],[Début de période]])-3))</f>
        <v>0</v>
      </c>
      <c r="C127" s="185"/>
      <c r="E127">
        <f t="shared" si="4"/>
        <v>0</v>
      </c>
      <c r="F127" t="str">
        <f>IFERROR(Tab_Compteur_8[[#This Row],[Quantité]]/Tab_Compteur_8[[#This Row],[Delta Jour]],"")</f>
        <v/>
      </c>
      <c r="G127" t="str">
        <f>IFERROR(Tab_Compteur_8[[#This Row],[Montant TTC]]/Tab_Compteur_8[[#This Row],[Delta Jour]],"")</f>
        <v/>
      </c>
      <c r="H127" s="42"/>
      <c r="I127" s="42"/>
      <c r="J127" s="42"/>
      <c r="K127" s="42"/>
      <c r="L127" s="42"/>
    </row>
    <row r="128" spans="1:12" x14ac:dyDescent="0.25">
      <c r="A128" s="3">
        <f t="shared" si="5"/>
        <v>1</v>
      </c>
      <c r="B128" s="3">
        <f>EDATE($B$3,Site!$I$40*(ROW(Tab_Compteur_8[[#This Row],[Début de période]])-3))</f>
        <v>0</v>
      </c>
      <c r="C128" s="185"/>
      <c r="E128">
        <f t="shared" si="4"/>
        <v>0</v>
      </c>
      <c r="F128" t="str">
        <f>IFERROR(Tab_Compteur_8[[#This Row],[Quantité]]/Tab_Compteur_8[[#This Row],[Delta Jour]],"")</f>
        <v/>
      </c>
      <c r="G128" t="str">
        <f>IFERROR(Tab_Compteur_8[[#This Row],[Montant TTC]]/Tab_Compteur_8[[#This Row],[Delta Jour]],"")</f>
        <v/>
      </c>
      <c r="H128" s="42"/>
      <c r="I128" s="42"/>
      <c r="J128" s="42"/>
      <c r="K128" s="42"/>
      <c r="L128" s="42"/>
    </row>
    <row r="129" spans="1:12" x14ac:dyDescent="0.25">
      <c r="A129" s="3">
        <f t="shared" si="5"/>
        <v>1</v>
      </c>
      <c r="B129" s="3">
        <f>EDATE($B$3,Site!$I$40*(ROW(Tab_Compteur_8[[#This Row],[Début de période]])-3))</f>
        <v>0</v>
      </c>
      <c r="C129" s="185"/>
      <c r="E129">
        <f t="shared" si="4"/>
        <v>0</v>
      </c>
      <c r="F129" t="str">
        <f>IFERROR(Tab_Compteur_8[[#This Row],[Quantité]]/Tab_Compteur_8[[#This Row],[Delta Jour]],"")</f>
        <v/>
      </c>
      <c r="G129" t="str">
        <f>IFERROR(Tab_Compteur_8[[#This Row],[Montant TTC]]/Tab_Compteur_8[[#This Row],[Delta Jour]],"")</f>
        <v/>
      </c>
      <c r="H129" s="42"/>
      <c r="I129" s="42"/>
      <c r="J129" s="42"/>
      <c r="K129" s="42"/>
      <c r="L129" s="42"/>
    </row>
    <row r="130" spans="1:12" x14ac:dyDescent="0.25">
      <c r="A130" s="3">
        <f t="shared" si="5"/>
        <v>1</v>
      </c>
      <c r="B130" s="3">
        <f>EDATE($B$3,Site!$I$40*(ROW(Tab_Compteur_8[[#This Row],[Début de période]])-3))</f>
        <v>0</v>
      </c>
      <c r="C130" s="185"/>
      <c r="E130">
        <f t="shared" si="4"/>
        <v>0</v>
      </c>
      <c r="F130" t="str">
        <f>IFERROR(Tab_Compteur_8[[#This Row],[Quantité]]/Tab_Compteur_8[[#This Row],[Delta Jour]],"")</f>
        <v/>
      </c>
      <c r="G130" t="str">
        <f>IFERROR(Tab_Compteur_8[[#This Row],[Montant TTC]]/Tab_Compteur_8[[#This Row],[Delta Jour]],"")</f>
        <v/>
      </c>
      <c r="H130" s="42"/>
      <c r="I130" s="42"/>
      <c r="J130" s="42"/>
      <c r="K130" s="42"/>
      <c r="L130" s="42"/>
    </row>
    <row r="131" spans="1:12" x14ac:dyDescent="0.25">
      <c r="A131" s="3">
        <f t="shared" si="5"/>
        <v>1</v>
      </c>
      <c r="B131" s="3">
        <f>EDATE($B$3,Site!$I$40*(ROW(Tab_Compteur_8[[#This Row],[Début de période]])-3))</f>
        <v>0</v>
      </c>
      <c r="C131" s="185"/>
      <c r="E131">
        <f t="shared" si="4"/>
        <v>0</v>
      </c>
      <c r="F131" t="str">
        <f>IFERROR(Tab_Compteur_8[[#This Row],[Quantité]]/Tab_Compteur_8[[#This Row],[Delta Jour]],"")</f>
        <v/>
      </c>
      <c r="G131" t="str">
        <f>IFERROR(Tab_Compteur_8[[#This Row],[Montant TTC]]/Tab_Compteur_8[[#This Row],[Delta Jour]],"")</f>
        <v/>
      </c>
      <c r="H131" s="42"/>
      <c r="I131" s="42"/>
      <c r="J131" s="42"/>
      <c r="K131" s="42"/>
      <c r="L131" s="42"/>
    </row>
    <row r="132" spans="1:12" x14ac:dyDescent="0.25">
      <c r="A132" s="3">
        <f t="shared" si="5"/>
        <v>1</v>
      </c>
      <c r="B132" s="3">
        <f>EDATE($B$3,Site!$I$40*(ROW(Tab_Compteur_8[[#This Row],[Début de période]])-3))</f>
        <v>0</v>
      </c>
      <c r="C132" s="185"/>
      <c r="E132">
        <f t="shared" ref="E132:E195" si="6">IFERROR(B132-A132+1,"")</f>
        <v>0</v>
      </c>
      <c r="F132" t="str">
        <f>IFERROR(Tab_Compteur_8[[#This Row],[Quantité]]/Tab_Compteur_8[[#This Row],[Delta Jour]],"")</f>
        <v/>
      </c>
      <c r="G132" t="str">
        <f>IFERROR(Tab_Compteur_8[[#This Row],[Montant TTC]]/Tab_Compteur_8[[#This Row],[Delta Jour]],"")</f>
        <v/>
      </c>
      <c r="H132" s="42"/>
      <c r="I132" s="42"/>
      <c r="J132" s="42"/>
      <c r="K132" s="42"/>
      <c r="L132" s="42"/>
    </row>
    <row r="133" spans="1:12" x14ac:dyDescent="0.25">
      <c r="A133" s="3">
        <f t="shared" ref="A133:A196" si="7">B132+1</f>
        <v>1</v>
      </c>
      <c r="B133" s="3">
        <f>EDATE($B$3,Site!$I$40*(ROW(Tab_Compteur_8[[#This Row],[Début de période]])-3))</f>
        <v>0</v>
      </c>
      <c r="C133" s="185"/>
      <c r="E133">
        <f t="shared" si="6"/>
        <v>0</v>
      </c>
      <c r="F133" t="str">
        <f>IFERROR(Tab_Compteur_8[[#This Row],[Quantité]]/Tab_Compteur_8[[#This Row],[Delta Jour]],"")</f>
        <v/>
      </c>
      <c r="G133" t="str">
        <f>IFERROR(Tab_Compteur_8[[#This Row],[Montant TTC]]/Tab_Compteur_8[[#This Row],[Delta Jour]],"")</f>
        <v/>
      </c>
      <c r="H133" s="42"/>
      <c r="I133" s="42"/>
      <c r="J133" s="42"/>
      <c r="K133" s="42"/>
      <c r="L133" s="42"/>
    </row>
    <row r="134" spans="1:12" x14ac:dyDescent="0.25">
      <c r="A134" s="3">
        <f t="shared" si="7"/>
        <v>1</v>
      </c>
      <c r="B134" s="3">
        <f>EDATE($B$3,Site!$I$40*(ROW(Tab_Compteur_8[[#This Row],[Début de période]])-3))</f>
        <v>0</v>
      </c>
      <c r="C134" s="185"/>
      <c r="E134">
        <f t="shared" si="6"/>
        <v>0</v>
      </c>
      <c r="F134" t="str">
        <f>IFERROR(Tab_Compteur_8[[#This Row],[Quantité]]/Tab_Compteur_8[[#This Row],[Delta Jour]],"")</f>
        <v/>
      </c>
      <c r="G134" t="str">
        <f>IFERROR(Tab_Compteur_8[[#This Row],[Montant TTC]]/Tab_Compteur_8[[#This Row],[Delta Jour]],"")</f>
        <v/>
      </c>
      <c r="H134" s="42"/>
      <c r="I134" s="42"/>
      <c r="J134" s="42"/>
      <c r="K134" s="42"/>
      <c r="L134" s="42"/>
    </row>
    <row r="135" spans="1:12" x14ac:dyDescent="0.25">
      <c r="A135" s="3">
        <f t="shared" si="7"/>
        <v>1</v>
      </c>
      <c r="B135" s="3">
        <f>EDATE($B$3,Site!$I$40*(ROW(Tab_Compteur_8[[#This Row],[Début de période]])-3))</f>
        <v>0</v>
      </c>
      <c r="C135" s="185"/>
      <c r="E135">
        <f t="shared" si="6"/>
        <v>0</v>
      </c>
      <c r="F135" t="str">
        <f>IFERROR(Tab_Compteur_8[[#This Row],[Quantité]]/Tab_Compteur_8[[#This Row],[Delta Jour]],"")</f>
        <v/>
      </c>
      <c r="G135" t="str">
        <f>IFERROR(Tab_Compteur_8[[#This Row],[Montant TTC]]/Tab_Compteur_8[[#This Row],[Delta Jour]],"")</f>
        <v/>
      </c>
      <c r="H135" s="42"/>
      <c r="I135" s="42"/>
      <c r="J135" s="42"/>
      <c r="K135" s="42"/>
      <c r="L135" s="42"/>
    </row>
    <row r="136" spans="1:12" x14ac:dyDescent="0.25">
      <c r="A136" s="3">
        <f t="shared" si="7"/>
        <v>1</v>
      </c>
      <c r="B136" s="3">
        <f>EDATE($B$3,Site!$I$40*(ROW(Tab_Compteur_8[[#This Row],[Début de période]])-3))</f>
        <v>0</v>
      </c>
      <c r="C136" s="185"/>
      <c r="E136">
        <f t="shared" si="6"/>
        <v>0</v>
      </c>
      <c r="F136" t="str">
        <f>IFERROR(Tab_Compteur_8[[#This Row],[Quantité]]/Tab_Compteur_8[[#This Row],[Delta Jour]],"")</f>
        <v/>
      </c>
      <c r="G136" t="str">
        <f>IFERROR(Tab_Compteur_8[[#This Row],[Montant TTC]]/Tab_Compteur_8[[#This Row],[Delta Jour]],"")</f>
        <v/>
      </c>
      <c r="H136" s="42"/>
      <c r="I136" s="42"/>
      <c r="J136" s="42"/>
      <c r="K136" s="42"/>
      <c r="L136" s="42"/>
    </row>
    <row r="137" spans="1:12" x14ac:dyDescent="0.25">
      <c r="A137" s="3">
        <f t="shared" si="7"/>
        <v>1</v>
      </c>
      <c r="B137" s="3">
        <f>EDATE($B$3,Site!$I$40*(ROW(Tab_Compteur_8[[#This Row],[Début de période]])-3))</f>
        <v>0</v>
      </c>
      <c r="C137" s="185"/>
      <c r="E137">
        <f t="shared" si="6"/>
        <v>0</v>
      </c>
      <c r="F137" t="str">
        <f>IFERROR(Tab_Compteur_8[[#This Row],[Quantité]]/Tab_Compteur_8[[#This Row],[Delta Jour]],"")</f>
        <v/>
      </c>
      <c r="G137" t="str">
        <f>IFERROR(Tab_Compteur_8[[#This Row],[Montant TTC]]/Tab_Compteur_8[[#This Row],[Delta Jour]],"")</f>
        <v/>
      </c>
      <c r="H137" s="42"/>
      <c r="I137" s="42"/>
      <c r="J137" s="42"/>
      <c r="K137" s="42"/>
      <c r="L137" s="42"/>
    </row>
    <row r="138" spans="1:12" x14ac:dyDescent="0.25">
      <c r="A138" s="3">
        <f t="shared" si="7"/>
        <v>1</v>
      </c>
      <c r="B138" s="3">
        <f>EDATE($B$3,Site!$I$40*(ROW(Tab_Compteur_8[[#This Row],[Début de période]])-3))</f>
        <v>0</v>
      </c>
      <c r="C138" s="185"/>
      <c r="E138">
        <f t="shared" si="6"/>
        <v>0</v>
      </c>
      <c r="F138" t="str">
        <f>IFERROR(Tab_Compteur_8[[#This Row],[Quantité]]/Tab_Compteur_8[[#This Row],[Delta Jour]],"")</f>
        <v/>
      </c>
      <c r="G138" t="str">
        <f>IFERROR(Tab_Compteur_8[[#This Row],[Montant TTC]]/Tab_Compteur_8[[#This Row],[Delta Jour]],"")</f>
        <v/>
      </c>
      <c r="H138" s="42"/>
      <c r="I138" s="42"/>
      <c r="J138" s="42"/>
      <c r="K138" s="42"/>
      <c r="L138" s="42"/>
    </row>
    <row r="139" spans="1:12" x14ac:dyDescent="0.25">
      <c r="A139" s="3">
        <f t="shared" si="7"/>
        <v>1</v>
      </c>
      <c r="B139" s="3">
        <f>EDATE($B$3,Site!$I$40*(ROW(Tab_Compteur_8[[#This Row],[Début de période]])-3))</f>
        <v>0</v>
      </c>
      <c r="C139" s="185"/>
      <c r="E139">
        <f t="shared" si="6"/>
        <v>0</v>
      </c>
      <c r="F139" t="str">
        <f>IFERROR(Tab_Compteur_8[[#This Row],[Quantité]]/Tab_Compteur_8[[#This Row],[Delta Jour]],"")</f>
        <v/>
      </c>
      <c r="G139" t="str">
        <f>IFERROR(Tab_Compteur_8[[#This Row],[Montant TTC]]/Tab_Compteur_8[[#This Row],[Delta Jour]],"")</f>
        <v/>
      </c>
      <c r="H139" s="42"/>
      <c r="I139" s="42"/>
      <c r="J139" s="42"/>
      <c r="K139" s="42"/>
      <c r="L139" s="42"/>
    </row>
    <row r="140" spans="1:12" x14ac:dyDescent="0.25">
      <c r="A140" s="3">
        <f t="shared" si="7"/>
        <v>1</v>
      </c>
      <c r="B140" s="3">
        <f>EDATE($B$3,Site!$I$40*(ROW(Tab_Compteur_8[[#This Row],[Début de période]])-3))</f>
        <v>0</v>
      </c>
      <c r="C140" s="185"/>
      <c r="E140">
        <f t="shared" si="6"/>
        <v>0</v>
      </c>
      <c r="F140" t="str">
        <f>IFERROR(Tab_Compteur_8[[#This Row],[Quantité]]/Tab_Compteur_8[[#This Row],[Delta Jour]],"")</f>
        <v/>
      </c>
      <c r="G140" t="str">
        <f>IFERROR(Tab_Compteur_8[[#This Row],[Montant TTC]]/Tab_Compteur_8[[#This Row],[Delta Jour]],"")</f>
        <v/>
      </c>
      <c r="H140" s="42"/>
      <c r="I140" s="42"/>
      <c r="J140" s="42"/>
      <c r="K140" s="42"/>
      <c r="L140" s="42"/>
    </row>
    <row r="141" spans="1:12" x14ac:dyDescent="0.25">
      <c r="A141" s="3">
        <f t="shared" si="7"/>
        <v>1</v>
      </c>
      <c r="B141" s="3">
        <f>EDATE($B$3,Site!$I$40*(ROW(Tab_Compteur_8[[#This Row],[Début de période]])-3))</f>
        <v>0</v>
      </c>
      <c r="C141" s="185"/>
      <c r="E141">
        <f t="shared" si="6"/>
        <v>0</v>
      </c>
      <c r="F141" t="str">
        <f>IFERROR(Tab_Compteur_8[[#This Row],[Quantité]]/Tab_Compteur_8[[#This Row],[Delta Jour]],"")</f>
        <v/>
      </c>
      <c r="G141" t="str">
        <f>IFERROR(Tab_Compteur_8[[#This Row],[Montant TTC]]/Tab_Compteur_8[[#This Row],[Delta Jour]],"")</f>
        <v/>
      </c>
      <c r="H141" s="42"/>
      <c r="I141" s="42"/>
      <c r="J141" s="42"/>
      <c r="K141" s="42"/>
      <c r="L141" s="42"/>
    </row>
    <row r="142" spans="1:12" x14ac:dyDescent="0.25">
      <c r="A142" s="3">
        <f t="shared" si="7"/>
        <v>1</v>
      </c>
      <c r="B142" s="3">
        <f>EDATE($B$3,Site!$I$40*(ROW(Tab_Compteur_8[[#This Row],[Début de période]])-3))</f>
        <v>0</v>
      </c>
      <c r="C142" s="185"/>
      <c r="E142">
        <f t="shared" si="6"/>
        <v>0</v>
      </c>
      <c r="F142" t="str">
        <f>IFERROR(Tab_Compteur_8[[#This Row],[Quantité]]/Tab_Compteur_8[[#This Row],[Delta Jour]],"")</f>
        <v/>
      </c>
      <c r="G142" t="str">
        <f>IFERROR(Tab_Compteur_8[[#This Row],[Montant TTC]]/Tab_Compteur_8[[#This Row],[Delta Jour]],"")</f>
        <v/>
      </c>
      <c r="H142" s="42"/>
      <c r="I142" s="42"/>
      <c r="J142" s="42"/>
      <c r="K142" s="42"/>
      <c r="L142" s="42"/>
    </row>
    <row r="143" spans="1:12" x14ac:dyDescent="0.25">
      <c r="A143" s="3">
        <f t="shared" si="7"/>
        <v>1</v>
      </c>
      <c r="B143" s="3">
        <f>EDATE($B$3,Site!$I$40*(ROW(Tab_Compteur_8[[#This Row],[Début de période]])-3))</f>
        <v>0</v>
      </c>
      <c r="C143" s="185"/>
      <c r="E143">
        <f t="shared" si="6"/>
        <v>0</v>
      </c>
      <c r="F143" t="str">
        <f>IFERROR(Tab_Compteur_8[[#This Row],[Quantité]]/Tab_Compteur_8[[#This Row],[Delta Jour]],"")</f>
        <v/>
      </c>
      <c r="G143" t="str">
        <f>IFERROR(Tab_Compteur_8[[#This Row],[Montant TTC]]/Tab_Compteur_8[[#This Row],[Delta Jour]],"")</f>
        <v/>
      </c>
      <c r="H143" s="42"/>
      <c r="I143" s="42"/>
      <c r="J143" s="42"/>
      <c r="K143" s="42"/>
      <c r="L143" s="42"/>
    </row>
    <row r="144" spans="1:12" x14ac:dyDescent="0.25">
      <c r="A144" s="3">
        <f t="shared" si="7"/>
        <v>1</v>
      </c>
      <c r="B144" s="3">
        <f>EDATE($B$3,Site!$I$40*(ROW(Tab_Compteur_8[[#This Row],[Début de période]])-3))</f>
        <v>0</v>
      </c>
      <c r="C144" s="185"/>
      <c r="E144">
        <f t="shared" si="6"/>
        <v>0</v>
      </c>
      <c r="F144" t="str">
        <f>IFERROR(Tab_Compteur_8[[#This Row],[Quantité]]/Tab_Compteur_8[[#This Row],[Delta Jour]],"")</f>
        <v/>
      </c>
      <c r="G144" t="str">
        <f>IFERROR(Tab_Compteur_8[[#This Row],[Montant TTC]]/Tab_Compteur_8[[#This Row],[Delta Jour]],"")</f>
        <v/>
      </c>
      <c r="H144" s="42"/>
      <c r="I144" s="42"/>
      <c r="J144" s="42"/>
      <c r="K144" s="42"/>
      <c r="L144" s="42"/>
    </row>
    <row r="145" spans="1:12" x14ac:dyDescent="0.25">
      <c r="A145" s="3">
        <f t="shared" si="7"/>
        <v>1</v>
      </c>
      <c r="B145" s="3">
        <f>EDATE($B$3,Site!$I$40*(ROW(Tab_Compteur_8[[#This Row],[Début de période]])-3))</f>
        <v>0</v>
      </c>
      <c r="C145" s="185"/>
      <c r="E145">
        <f t="shared" si="6"/>
        <v>0</v>
      </c>
      <c r="F145" t="str">
        <f>IFERROR(Tab_Compteur_8[[#This Row],[Quantité]]/Tab_Compteur_8[[#This Row],[Delta Jour]],"")</f>
        <v/>
      </c>
      <c r="G145" t="str">
        <f>IFERROR(Tab_Compteur_8[[#This Row],[Montant TTC]]/Tab_Compteur_8[[#This Row],[Delta Jour]],"")</f>
        <v/>
      </c>
      <c r="H145" s="42"/>
      <c r="I145" s="42"/>
      <c r="J145" s="42"/>
      <c r="K145" s="42"/>
      <c r="L145" s="42"/>
    </row>
    <row r="146" spans="1:12" x14ac:dyDescent="0.25">
      <c r="A146" s="3">
        <f t="shared" si="7"/>
        <v>1</v>
      </c>
      <c r="B146" s="3">
        <f>EDATE($B$3,Site!$I$40*(ROW(Tab_Compteur_8[[#This Row],[Début de période]])-3))</f>
        <v>0</v>
      </c>
      <c r="C146" s="185"/>
      <c r="E146">
        <f t="shared" si="6"/>
        <v>0</v>
      </c>
      <c r="F146" t="str">
        <f>IFERROR(Tab_Compteur_8[[#This Row],[Quantité]]/Tab_Compteur_8[[#This Row],[Delta Jour]],"")</f>
        <v/>
      </c>
      <c r="G146" t="str">
        <f>IFERROR(Tab_Compteur_8[[#This Row],[Montant TTC]]/Tab_Compteur_8[[#This Row],[Delta Jour]],"")</f>
        <v/>
      </c>
      <c r="H146" s="42"/>
      <c r="I146" s="42"/>
      <c r="J146" s="42"/>
      <c r="K146" s="42"/>
      <c r="L146" s="42"/>
    </row>
    <row r="147" spans="1:12" x14ac:dyDescent="0.25">
      <c r="A147" s="3">
        <f t="shared" si="7"/>
        <v>1</v>
      </c>
      <c r="B147" s="3">
        <f>EDATE($B$3,Site!$I$40*(ROW(Tab_Compteur_8[[#This Row],[Début de période]])-3))</f>
        <v>0</v>
      </c>
      <c r="C147" s="185"/>
      <c r="E147">
        <f t="shared" si="6"/>
        <v>0</v>
      </c>
      <c r="F147" t="str">
        <f>IFERROR(Tab_Compteur_8[[#This Row],[Quantité]]/Tab_Compteur_8[[#This Row],[Delta Jour]],"")</f>
        <v/>
      </c>
      <c r="G147" t="str">
        <f>IFERROR(Tab_Compteur_8[[#This Row],[Montant TTC]]/Tab_Compteur_8[[#This Row],[Delta Jour]],"")</f>
        <v/>
      </c>
      <c r="H147" s="42"/>
      <c r="I147" s="42"/>
      <c r="J147" s="42"/>
      <c r="K147" s="42"/>
      <c r="L147" s="42"/>
    </row>
    <row r="148" spans="1:12" x14ac:dyDescent="0.25">
      <c r="A148" s="3">
        <f t="shared" si="7"/>
        <v>1</v>
      </c>
      <c r="B148" s="3">
        <f>EDATE($B$3,Site!$I$40*(ROW(Tab_Compteur_8[[#This Row],[Début de période]])-3))</f>
        <v>0</v>
      </c>
      <c r="C148" s="185"/>
      <c r="E148">
        <f t="shared" si="6"/>
        <v>0</v>
      </c>
      <c r="F148" t="str">
        <f>IFERROR(Tab_Compteur_8[[#This Row],[Quantité]]/Tab_Compteur_8[[#This Row],[Delta Jour]],"")</f>
        <v/>
      </c>
      <c r="G148" t="str">
        <f>IFERROR(Tab_Compteur_8[[#This Row],[Montant TTC]]/Tab_Compteur_8[[#This Row],[Delta Jour]],"")</f>
        <v/>
      </c>
      <c r="H148" s="42"/>
      <c r="I148" s="42"/>
      <c r="J148" s="42"/>
      <c r="K148" s="42"/>
      <c r="L148" s="42"/>
    </row>
    <row r="149" spans="1:12" x14ac:dyDescent="0.25">
      <c r="A149" s="3">
        <f t="shared" si="7"/>
        <v>1</v>
      </c>
      <c r="B149" s="3">
        <f>EDATE($B$3,Site!$I$40*(ROW(Tab_Compteur_8[[#This Row],[Début de période]])-3))</f>
        <v>0</v>
      </c>
      <c r="C149" s="185"/>
      <c r="E149">
        <f t="shared" si="6"/>
        <v>0</v>
      </c>
      <c r="F149" t="str">
        <f>IFERROR(Tab_Compteur_8[[#This Row],[Quantité]]/Tab_Compteur_8[[#This Row],[Delta Jour]],"")</f>
        <v/>
      </c>
      <c r="G149" t="str">
        <f>IFERROR(Tab_Compteur_8[[#This Row],[Montant TTC]]/Tab_Compteur_8[[#This Row],[Delta Jour]],"")</f>
        <v/>
      </c>
      <c r="H149" s="42"/>
      <c r="I149" s="42"/>
      <c r="J149" s="42"/>
      <c r="K149" s="42"/>
      <c r="L149" s="42"/>
    </row>
    <row r="150" spans="1:12" x14ac:dyDescent="0.25">
      <c r="A150" s="3">
        <f t="shared" si="7"/>
        <v>1</v>
      </c>
      <c r="B150" s="3">
        <f>EDATE($B$3,Site!$I$40*(ROW(Tab_Compteur_8[[#This Row],[Début de période]])-3))</f>
        <v>0</v>
      </c>
      <c r="C150" s="185"/>
      <c r="E150">
        <f t="shared" si="6"/>
        <v>0</v>
      </c>
      <c r="F150" t="str">
        <f>IFERROR(Tab_Compteur_8[[#This Row],[Quantité]]/Tab_Compteur_8[[#This Row],[Delta Jour]],"")</f>
        <v/>
      </c>
      <c r="G150" t="str">
        <f>IFERROR(Tab_Compteur_8[[#This Row],[Montant TTC]]/Tab_Compteur_8[[#This Row],[Delta Jour]],"")</f>
        <v/>
      </c>
      <c r="H150" s="42"/>
      <c r="I150" s="42"/>
      <c r="J150" s="42"/>
      <c r="K150" s="42"/>
      <c r="L150" s="42"/>
    </row>
    <row r="151" spans="1:12" x14ac:dyDescent="0.25">
      <c r="A151" s="3">
        <f t="shared" si="7"/>
        <v>1</v>
      </c>
      <c r="B151" s="3">
        <f>EDATE($B$3,Site!$I$40*(ROW(Tab_Compteur_8[[#This Row],[Début de période]])-3))</f>
        <v>0</v>
      </c>
      <c r="C151" s="185"/>
      <c r="E151">
        <f t="shared" si="6"/>
        <v>0</v>
      </c>
      <c r="F151" t="str">
        <f>IFERROR(Tab_Compteur_8[[#This Row],[Quantité]]/Tab_Compteur_8[[#This Row],[Delta Jour]],"")</f>
        <v/>
      </c>
      <c r="G151" t="str">
        <f>IFERROR(Tab_Compteur_8[[#This Row],[Montant TTC]]/Tab_Compteur_8[[#This Row],[Delta Jour]],"")</f>
        <v/>
      </c>
      <c r="H151" s="42"/>
      <c r="I151" s="42"/>
      <c r="J151" s="42"/>
      <c r="K151" s="42"/>
      <c r="L151" s="42"/>
    </row>
    <row r="152" spans="1:12" x14ac:dyDescent="0.25">
      <c r="A152" s="3">
        <f t="shared" si="7"/>
        <v>1</v>
      </c>
      <c r="B152" s="3">
        <f>EDATE($B$3,Site!$I$40*(ROW(Tab_Compteur_8[[#This Row],[Début de période]])-3))</f>
        <v>0</v>
      </c>
      <c r="C152" s="185"/>
      <c r="E152">
        <f t="shared" si="6"/>
        <v>0</v>
      </c>
      <c r="F152" t="str">
        <f>IFERROR(Tab_Compteur_8[[#This Row],[Quantité]]/Tab_Compteur_8[[#This Row],[Delta Jour]],"")</f>
        <v/>
      </c>
      <c r="G152" t="str">
        <f>IFERROR(Tab_Compteur_8[[#This Row],[Montant TTC]]/Tab_Compteur_8[[#This Row],[Delta Jour]],"")</f>
        <v/>
      </c>
      <c r="H152" s="42"/>
      <c r="I152" s="42"/>
      <c r="J152" s="42"/>
      <c r="K152" s="42"/>
      <c r="L152" s="42"/>
    </row>
    <row r="153" spans="1:12" x14ac:dyDescent="0.25">
      <c r="A153" s="3">
        <f t="shared" si="7"/>
        <v>1</v>
      </c>
      <c r="B153" s="3">
        <f>EDATE($B$3,Site!$I$40*(ROW(Tab_Compteur_8[[#This Row],[Début de période]])-3))</f>
        <v>0</v>
      </c>
      <c r="C153" s="185"/>
      <c r="E153">
        <f t="shared" si="6"/>
        <v>0</v>
      </c>
      <c r="F153" t="str">
        <f>IFERROR(Tab_Compteur_8[[#This Row],[Quantité]]/Tab_Compteur_8[[#This Row],[Delta Jour]],"")</f>
        <v/>
      </c>
      <c r="G153" t="str">
        <f>IFERROR(Tab_Compteur_8[[#This Row],[Montant TTC]]/Tab_Compteur_8[[#This Row],[Delta Jour]],"")</f>
        <v/>
      </c>
      <c r="H153" s="42"/>
      <c r="I153" s="42"/>
      <c r="J153" s="42"/>
      <c r="K153" s="42"/>
      <c r="L153" s="42"/>
    </row>
    <row r="154" spans="1:12" x14ac:dyDescent="0.25">
      <c r="A154" s="3">
        <f t="shared" si="7"/>
        <v>1</v>
      </c>
      <c r="B154" s="3">
        <f>EDATE($B$3,Site!$I$40*(ROW(Tab_Compteur_8[[#This Row],[Début de période]])-3))</f>
        <v>0</v>
      </c>
      <c r="C154" s="185"/>
      <c r="E154">
        <f t="shared" si="6"/>
        <v>0</v>
      </c>
      <c r="F154" t="str">
        <f>IFERROR(Tab_Compteur_8[[#This Row],[Quantité]]/Tab_Compteur_8[[#This Row],[Delta Jour]],"")</f>
        <v/>
      </c>
      <c r="G154" t="str">
        <f>IFERROR(Tab_Compteur_8[[#This Row],[Montant TTC]]/Tab_Compteur_8[[#This Row],[Delta Jour]],"")</f>
        <v/>
      </c>
      <c r="H154" s="42"/>
      <c r="I154" s="42"/>
      <c r="J154" s="42"/>
      <c r="K154" s="42"/>
      <c r="L154" s="42"/>
    </row>
    <row r="155" spans="1:12" x14ac:dyDescent="0.25">
      <c r="A155" s="3">
        <f t="shared" si="7"/>
        <v>1</v>
      </c>
      <c r="B155" s="3">
        <f>EDATE($B$3,Site!$I$40*(ROW(Tab_Compteur_8[[#This Row],[Début de période]])-3))</f>
        <v>0</v>
      </c>
      <c r="C155" s="185"/>
      <c r="E155">
        <f t="shared" si="6"/>
        <v>0</v>
      </c>
      <c r="F155" t="str">
        <f>IFERROR(Tab_Compteur_8[[#This Row],[Quantité]]/Tab_Compteur_8[[#This Row],[Delta Jour]],"")</f>
        <v/>
      </c>
      <c r="G155" t="str">
        <f>IFERROR(Tab_Compteur_8[[#This Row],[Montant TTC]]/Tab_Compteur_8[[#This Row],[Delta Jour]],"")</f>
        <v/>
      </c>
      <c r="H155" s="42"/>
      <c r="I155" s="42"/>
      <c r="J155" s="42"/>
      <c r="K155" s="42"/>
      <c r="L155" s="42"/>
    </row>
    <row r="156" spans="1:12" x14ac:dyDescent="0.25">
      <c r="A156" s="3">
        <f t="shared" si="7"/>
        <v>1</v>
      </c>
      <c r="B156" s="3">
        <f>EDATE($B$3,Site!$I$40*(ROW(Tab_Compteur_8[[#This Row],[Début de période]])-3))</f>
        <v>0</v>
      </c>
      <c r="C156" s="185"/>
      <c r="E156">
        <f t="shared" si="6"/>
        <v>0</v>
      </c>
      <c r="F156" t="str">
        <f>IFERROR(Tab_Compteur_8[[#This Row],[Quantité]]/Tab_Compteur_8[[#This Row],[Delta Jour]],"")</f>
        <v/>
      </c>
      <c r="G156" t="str">
        <f>IFERROR(Tab_Compteur_8[[#This Row],[Montant TTC]]/Tab_Compteur_8[[#This Row],[Delta Jour]],"")</f>
        <v/>
      </c>
      <c r="H156" s="42"/>
      <c r="I156" s="42"/>
      <c r="J156" s="42"/>
      <c r="K156" s="42"/>
      <c r="L156" s="42"/>
    </row>
    <row r="157" spans="1:12" x14ac:dyDescent="0.25">
      <c r="A157" s="3">
        <f t="shared" si="7"/>
        <v>1</v>
      </c>
      <c r="B157" s="3">
        <f>EDATE($B$3,Site!$I$40*(ROW(Tab_Compteur_8[[#This Row],[Début de période]])-3))</f>
        <v>0</v>
      </c>
      <c r="C157" s="185"/>
      <c r="E157">
        <f t="shared" si="6"/>
        <v>0</v>
      </c>
      <c r="F157" t="str">
        <f>IFERROR(Tab_Compteur_8[[#This Row],[Quantité]]/Tab_Compteur_8[[#This Row],[Delta Jour]],"")</f>
        <v/>
      </c>
      <c r="G157" t="str">
        <f>IFERROR(Tab_Compteur_8[[#This Row],[Montant TTC]]/Tab_Compteur_8[[#This Row],[Delta Jour]],"")</f>
        <v/>
      </c>
      <c r="H157" s="42"/>
      <c r="I157" s="42"/>
      <c r="J157" s="42"/>
      <c r="K157" s="42"/>
      <c r="L157" s="42"/>
    </row>
    <row r="158" spans="1:12" x14ac:dyDescent="0.25">
      <c r="A158" s="3">
        <f t="shared" si="7"/>
        <v>1</v>
      </c>
      <c r="B158" s="3">
        <f>EDATE($B$3,Site!$I$40*(ROW(Tab_Compteur_8[[#This Row],[Début de période]])-3))</f>
        <v>0</v>
      </c>
      <c r="C158" s="185"/>
      <c r="E158">
        <f t="shared" si="6"/>
        <v>0</v>
      </c>
      <c r="F158" t="str">
        <f>IFERROR(Tab_Compteur_8[[#This Row],[Quantité]]/Tab_Compteur_8[[#This Row],[Delta Jour]],"")</f>
        <v/>
      </c>
      <c r="G158" t="str">
        <f>IFERROR(Tab_Compteur_8[[#This Row],[Montant TTC]]/Tab_Compteur_8[[#This Row],[Delta Jour]],"")</f>
        <v/>
      </c>
      <c r="H158" s="42"/>
      <c r="I158" s="42"/>
      <c r="J158" s="42"/>
      <c r="K158" s="42"/>
      <c r="L158" s="42"/>
    </row>
    <row r="159" spans="1:12" x14ac:dyDescent="0.25">
      <c r="A159" s="3">
        <f t="shared" si="7"/>
        <v>1</v>
      </c>
      <c r="B159" s="3">
        <f>EDATE($B$3,Site!$I$40*(ROW(Tab_Compteur_8[[#This Row],[Début de période]])-3))</f>
        <v>0</v>
      </c>
      <c r="C159" s="185"/>
      <c r="E159">
        <f t="shared" si="6"/>
        <v>0</v>
      </c>
      <c r="F159" t="str">
        <f>IFERROR(Tab_Compteur_8[[#This Row],[Quantité]]/Tab_Compteur_8[[#This Row],[Delta Jour]],"")</f>
        <v/>
      </c>
      <c r="G159" t="str">
        <f>IFERROR(Tab_Compteur_8[[#This Row],[Montant TTC]]/Tab_Compteur_8[[#This Row],[Delta Jour]],"")</f>
        <v/>
      </c>
      <c r="H159" s="42"/>
      <c r="I159" s="42"/>
      <c r="J159" s="42"/>
      <c r="K159" s="42"/>
      <c r="L159" s="42"/>
    </row>
    <row r="160" spans="1:12" x14ac:dyDescent="0.25">
      <c r="A160" s="3">
        <f t="shared" si="7"/>
        <v>1</v>
      </c>
      <c r="B160" s="3">
        <f>EDATE($B$3,Site!$I$40*(ROW(Tab_Compteur_8[[#This Row],[Début de période]])-3))</f>
        <v>0</v>
      </c>
      <c r="C160" s="185"/>
      <c r="E160">
        <f t="shared" si="6"/>
        <v>0</v>
      </c>
      <c r="F160" t="str">
        <f>IFERROR(Tab_Compteur_8[[#This Row],[Quantité]]/Tab_Compteur_8[[#This Row],[Delta Jour]],"")</f>
        <v/>
      </c>
      <c r="G160" t="str">
        <f>IFERROR(Tab_Compteur_8[[#This Row],[Montant TTC]]/Tab_Compteur_8[[#This Row],[Delta Jour]],"")</f>
        <v/>
      </c>
      <c r="H160" s="42"/>
      <c r="I160" s="42"/>
      <c r="J160" s="42"/>
      <c r="K160" s="42"/>
      <c r="L160" s="42"/>
    </row>
    <row r="161" spans="1:12" x14ac:dyDescent="0.25">
      <c r="A161" s="3">
        <f t="shared" si="7"/>
        <v>1</v>
      </c>
      <c r="B161" s="3">
        <f>EDATE($B$3,Site!$I$40*(ROW(Tab_Compteur_8[[#This Row],[Début de période]])-3))</f>
        <v>0</v>
      </c>
      <c r="C161" s="185"/>
      <c r="E161">
        <f t="shared" si="6"/>
        <v>0</v>
      </c>
      <c r="F161" t="str">
        <f>IFERROR(Tab_Compteur_8[[#This Row],[Quantité]]/Tab_Compteur_8[[#This Row],[Delta Jour]],"")</f>
        <v/>
      </c>
      <c r="G161" t="str">
        <f>IFERROR(Tab_Compteur_8[[#This Row],[Montant TTC]]/Tab_Compteur_8[[#This Row],[Delta Jour]],"")</f>
        <v/>
      </c>
      <c r="H161" s="42"/>
      <c r="I161" s="42"/>
      <c r="J161" s="42"/>
      <c r="K161" s="42"/>
      <c r="L161" s="42"/>
    </row>
    <row r="162" spans="1:12" x14ac:dyDescent="0.25">
      <c r="A162" s="3">
        <f t="shared" si="7"/>
        <v>1</v>
      </c>
      <c r="B162" s="3">
        <f>EDATE($B$3,Site!$I$40*(ROW(Tab_Compteur_8[[#This Row],[Début de période]])-3))</f>
        <v>0</v>
      </c>
      <c r="C162" s="185"/>
      <c r="E162">
        <f t="shared" si="6"/>
        <v>0</v>
      </c>
      <c r="F162" t="str">
        <f>IFERROR(Tab_Compteur_8[[#This Row],[Quantité]]/Tab_Compteur_8[[#This Row],[Delta Jour]],"")</f>
        <v/>
      </c>
      <c r="G162" t="str">
        <f>IFERROR(Tab_Compteur_8[[#This Row],[Montant TTC]]/Tab_Compteur_8[[#This Row],[Delta Jour]],"")</f>
        <v/>
      </c>
      <c r="H162" s="42"/>
      <c r="I162" s="42"/>
      <c r="J162" s="42"/>
      <c r="K162" s="42"/>
      <c r="L162" s="42"/>
    </row>
    <row r="163" spans="1:12" x14ac:dyDescent="0.25">
      <c r="A163" s="3">
        <f t="shared" si="7"/>
        <v>1</v>
      </c>
      <c r="B163" s="3">
        <f>EDATE($B$3,Site!$I$40*(ROW(Tab_Compteur_8[[#This Row],[Début de période]])-3))</f>
        <v>0</v>
      </c>
      <c r="C163" s="185"/>
      <c r="E163">
        <f t="shared" si="6"/>
        <v>0</v>
      </c>
      <c r="F163" t="str">
        <f>IFERROR(Tab_Compteur_8[[#This Row],[Quantité]]/Tab_Compteur_8[[#This Row],[Delta Jour]],"")</f>
        <v/>
      </c>
      <c r="G163" t="str">
        <f>IFERROR(Tab_Compteur_8[[#This Row],[Montant TTC]]/Tab_Compteur_8[[#This Row],[Delta Jour]],"")</f>
        <v/>
      </c>
      <c r="H163" s="42"/>
      <c r="I163" s="42"/>
      <c r="J163" s="42"/>
      <c r="K163" s="42"/>
      <c r="L163" s="42"/>
    </row>
    <row r="164" spans="1:12" x14ac:dyDescent="0.25">
      <c r="A164" s="3">
        <f t="shared" si="7"/>
        <v>1</v>
      </c>
      <c r="B164" s="3">
        <f>EDATE($B$3,Site!$I$40*(ROW(Tab_Compteur_8[[#This Row],[Début de période]])-3))</f>
        <v>0</v>
      </c>
      <c r="C164" s="185"/>
      <c r="E164">
        <f t="shared" si="6"/>
        <v>0</v>
      </c>
      <c r="F164" t="str">
        <f>IFERROR(Tab_Compteur_8[[#This Row],[Quantité]]/Tab_Compteur_8[[#This Row],[Delta Jour]],"")</f>
        <v/>
      </c>
      <c r="G164" t="str">
        <f>IFERROR(Tab_Compteur_8[[#This Row],[Montant TTC]]/Tab_Compteur_8[[#This Row],[Delta Jour]],"")</f>
        <v/>
      </c>
      <c r="H164" s="42"/>
      <c r="I164" s="42"/>
      <c r="J164" s="42"/>
      <c r="K164" s="42"/>
      <c r="L164" s="42"/>
    </row>
    <row r="165" spans="1:12" x14ac:dyDescent="0.25">
      <c r="A165" s="3">
        <f t="shared" si="7"/>
        <v>1</v>
      </c>
      <c r="B165" s="3">
        <f>EDATE($B$3,Site!$I$40*(ROW(Tab_Compteur_8[[#This Row],[Début de période]])-3))</f>
        <v>0</v>
      </c>
      <c r="C165" s="185"/>
      <c r="E165">
        <f t="shared" si="6"/>
        <v>0</v>
      </c>
      <c r="F165" t="str">
        <f>IFERROR(Tab_Compteur_8[[#This Row],[Quantité]]/Tab_Compteur_8[[#This Row],[Delta Jour]],"")</f>
        <v/>
      </c>
      <c r="G165" t="str">
        <f>IFERROR(Tab_Compteur_8[[#This Row],[Montant TTC]]/Tab_Compteur_8[[#This Row],[Delta Jour]],"")</f>
        <v/>
      </c>
      <c r="H165" s="42"/>
      <c r="I165" s="42"/>
      <c r="J165" s="42"/>
      <c r="K165" s="42"/>
      <c r="L165" s="42"/>
    </row>
    <row r="166" spans="1:12" x14ac:dyDescent="0.25">
      <c r="A166" s="3">
        <f t="shared" si="7"/>
        <v>1</v>
      </c>
      <c r="B166" s="3">
        <f>EDATE($B$3,Site!$I$40*(ROW(Tab_Compteur_8[[#This Row],[Début de période]])-3))</f>
        <v>0</v>
      </c>
      <c r="C166" s="185"/>
      <c r="E166">
        <f t="shared" si="6"/>
        <v>0</v>
      </c>
      <c r="F166" t="str">
        <f>IFERROR(Tab_Compteur_8[[#This Row],[Quantité]]/Tab_Compteur_8[[#This Row],[Delta Jour]],"")</f>
        <v/>
      </c>
      <c r="G166" t="str">
        <f>IFERROR(Tab_Compteur_8[[#This Row],[Montant TTC]]/Tab_Compteur_8[[#This Row],[Delta Jour]],"")</f>
        <v/>
      </c>
      <c r="H166" s="42"/>
      <c r="I166" s="42"/>
      <c r="J166" s="42"/>
      <c r="K166" s="42"/>
      <c r="L166" s="42"/>
    </row>
    <row r="167" spans="1:12" x14ac:dyDescent="0.25">
      <c r="A167" s="3">
        <f t="shared" si="7"/>
        <v>1</v>
      </c>
      <c r="B167" s="3">
        <f>EDATE($B$3,Site!$I$40*(ROW(Tab_Compteur_8[[#This Row],[Début de période]])-3))</f>
        <v>0</v>
      </c>
      <c r="C167" s="185"/>
      <c r="E167">
        <f t="shared" si="6"/>
        <v>0</v>
      </c>
      <c r="F167" t="str">
        <f>IFERROR(Tab_Compteur_8[[#This Row],[Quantité]]/Tab_Compteur_8[[#This Row],[Delta Jour]],"")</f>
        <v/>
      </c>
      <c r="G167" t="str">
        <f>IFERROR(Tab_Compteur_8[[#This Row],[Montant TTC]]/Tab_Compteur_8[[#This Row],[Delta Jour]],"")</f>
        <v/>
      </c>
      <c r="H167" s="42"/>
      <c r="I167" s="42"/>
      <c r="J167" s="42"/>
      <c r="K167" s="42"/>
      <c r="L167" s="42"/>
    </row>
    <row r="168" spans="1:12" x14ac:dyDescent="0.25">
      <c r="A168" s="3">
        <f t="shared" si="7"/>
        <v>1</v>
      </c>
      <c r="B168" s="3">
        <f>EDATE($B$3,Site!$I$40*(ROW(Tab_Compteur_8[[#This Row],[Début de période]])-3))</f>
        <v>0</v>
      </c>
      <c r="C168" s="185"/>
      <c r="E168">
        <f t="shared" si="6"/>
        <v>0</v>
      </c>
      <c r="F168" t="str">
        <f>IFERROR(Tab_Compteur_8[[#This Row],[Quantité]]/Tab_Compteur_8[[#This Row],[Delta Jour]],"")</f>
        <v/>
      </c>
      <c r="G168" t="str">
        <f>IFERROR(Tab_Compteur_8[[#This Row],[Montant TTC]]/Tab_Compteur_8[[#This Row],[Delta Jour]],"")</f>
        <v/>
      </c>
      <c r="H168" s="42"/>
      <c r="I168" s="42"/>
      <c r="J168" s="42"/>
      <c r="K168" s="42"/>
      <c r="L168" s="42"/>
    </row>
    <row r="169" spans="1:12" x14ac:dyDescent="0.25">
      <c r="A169" s="3">
        <f t="shared" si="7"/>
        <v>1</v>
      </c>
      <c r="B169" s="3">
        <f>EDATE($B$3,Site!$I$40*(ROW(Tab_Compteur_8[[#This Row],[Début de période]])-3))</f>
        <v>0</v>
      </c>
      <c r="C169" s="185"/>
      <c r="E169">
        <f t="shared" si="6"/>
        <v>0</v>
      </c>
      <c r="F169" t="str">
        <f>IFERROR(Tab_Compteur_8[[#This Row],[Quantité]]/Tab_Compteur_8[[#This Row],[Delta Jour]],"")</f>
        <v/>
      </c>
      <c r="G169" t="str">
        <f>IFERROR(Tab_Compteur_8[[#This Row],[Montant TTC]]/Tab_Compteur_8[[#This Row],[Delta Jour]],"")</f>
        <v/>
      </c>
      <c r="H169" s="42"/>
      <c r="I169" s="42"/>
      <c r="J169" s="42"/>
      <c r="K169" s="42"/>
      <c r="L169" s="42"/>
    </row>
    <row r="170" spans="1:12" x14ac:dyDescent="0.25">
      <c r="A170" s="3">
        <f t="shared" si="7"/>
        <v>1</v>
      </c>
      <c r="B170" s="3">
        <f>EDATE($B$3,Site!$I$40*(ROW(Tab_Compteur_8[[#This Row],[Début de période]])-3))</f>
        <v>0</v>
      </c>
      <c r="C170" s="185"/>
      <c r="E170">
        <f t="shared" si="6"/>
        <v>0</v>
      </c>
      <c r="F170" t="str">
        <f>IFERROR(Tab_Compteur_8[[#This Row],[Quantité]]/Tab_Compteur_8[[#This Row],[Delta Jour]],"")</f>
        <v/>
      </c>
      <c r="G170" t="str">
        <f>IFERROR(Tab_Compteur_8[[#This Row],[Montant TTC]]/Tab_Compteur_8[[#This Row],[Delta Jour]],"")</f>
        <v/>
      </c>
      <c r="H170" s="42"/>
      <c r="I170" s="42"/>
      <c r="J170" s="42"/>
      <c r="K170" s="42"/>
      <c r="L170" s="42"/>
    </row>
    <row r="171" spans="1:12" x14ac:dyDescent="0.25">
      <c r="A171" s="3">
        <f t="shared" si="7"/>
        <v>1</v>
      </c>
      <c r="B171" s="3">
        <f>EDATE($B$3,Site!$I$40*(ROW(Tab_Compteur_8[[#This Row],[Début de période]])-3))</f>
        <v>0</v>
      </c>
      <c r="C171" s="185"/>
      <c r="E171">
        <f t="shared" si="6"/>
        <v>0</v>
      </c>
      <c r="F171" t="str">
        <f>IFERROR(Tab_Compteur_8[[#This Row],[Quantité]]/Tab_Compteur_8[[#This Row],[Delta Jour]],"")</f>
        <v/>
      </c>
      <c r="G171" t="str">
        <f>IFERROR(Tab_Compteur_8[[#This Row],[Montant TTC]]/Tab_Compteur_8[[#This Row],[Delta Jour]],"")</f>
        <v/>
      </c>
      <c r="H171" s="42"/>
      <c r="I171" s="42"/>
      <c r="J171" s="42"/>
      <c r="K171" s="42"/>
      <c r="L171" s="42"/>
    </row>
    <row r="172" spans="1:12" x14ac:dyDescent="0.25">
      <c r="A172" s="3">
        <f t="shared" si="7"/>
        <v>1</v>
      </c>
      <c r="B172" s="3">
        <f>EDATE($B$3,Site!$I$40*(ROW(Tab_Compteur_8[[#This Row],[Début de période]])-3))</f>
        <v>0</v>
      </c>
      <c r="C172" s="185"/>
      <c r="E172">
        <f t="shared" si="6"/>
        <v>0</v>
      </c>
      <c r="F172" t="str">
        <f>IFERROR(Tab_Compteur_8[[#This Row],[Quantité]]/Tab_Compteur_8[[#This Row],[Delta Jour]],"")</f>
        <v/>
      </c>
      <c r="G172" t="str">
        <f>IFERROR(Tab_Compteur_8[[#This Row],[Montant TTC]]/Tab_Compteur_8[[#This Row],[Delta Jour]],"")</f>
        <v/>
      </c>
      <c r="H172" s="42"/>
      <c r="I172" s="42"/>
      <c r="J172" s="42"/>
      <c r="K172" s="42"/>
      <c r="L172" s="42"/>
    </row>
    <row r="173" spans="1:12" x14ac:dyDescent="0.25">
      <c r="A173" s="3">
        <f t="shared" si="7"/>
        <v>1</v>
      </c>
      <c r="B173" s="3">
        <f>EDATE($B$3,Site!$I$40*(ROW(Tab_Compteur_8[[#This Row],[Début de période]])-3))</f>
        <v>0</v>
      </c>
      <c r="C173" s="185"/>
      <c r="E173">
        <f t="shared" si="6"/>
        <v>0</v>
      </c>
      <c r="F173" t="str">
        <f>IFERROR(Tab_Compteur_8[[#This Row],[Quantité]]/Tab_Compteur_8[[#This Row],[Delta Jour]],"")</f>
        <v/>
      </c>
      <c r="G173" t="str">
        <f>IFERROR(Tab_Compteur_8[[#This Row],[Montant TTC]]/Tab_Compteur_8[[#This Row],[Delta Jour]],"")</f>
        <v/>
      </c>
      <c r="H173" s="42"/>
      <c r="I173" s="42"/>
      <c r="J173" s="42"/>
      <c r="K173" s="42"/>
      <c r="L173" s="42"/>
    </row>
    <row r="174" spans="1:12" x14ac:dyDescent="0.25">
      <c r="A174" s="3">
        <f t="shared" si="7"/>
        <v>1</v>
      </c>
      <c r="B174" s="3">
        <f>EDATE($B$3,Site!$I$40*(ROW(Tab_Compteur_8[[#This Row],[Début de période]])-3))</f>
        <v>0</v>
      </c>
      <c r="C174" s="185"/>
      <c r="E174">
        <f t="shared" si="6"/>
        <v>0</v>
      </c>
      <c r="F174" t="str">
        <f>IFERROR(Tab_Compteur_8[[#This Row],[Quantité]]/Tab_Compteur_8[[#This Row],[Delta Jour]],"")</f>
        <v/>
      </c>
      <c r="G174" t="str">
        <f>IFERROR(Tab_Compteur_8[[#This Row],[Montant TTC]]/Tab_Compteur_8[[#This Row],[Delta Jour]],"")</f>
        <v/>
      </c>
      <c r="H174" s="42"/>
      <c r="I174" s="42"/>
      <c r="J174" s="42"/>
      <c r="K174" s="42"/>
      <c r="L174" s="42"/>
    </row>
    <row r="175" spans="1:12" x14ac:dyDescent="0.25">
      <c r="A175" s="3">
        <f t="shared" si="7"/>
        <v>1</v>
      </c>
      <c r="B175" s="3">
        <f>EDATE($B$3,Site!$I$40*(ROW(Tab_Compteur_8[[#This Row],[Début de période]])-3))</f>
        <v>0</v>
      </c>
      <c r="C175" s="185"/>
      <c r="E175">
        <f t="shared" si="6"/>
        <v>0</v>
      </c>
      <c r="F175" t="str">
        <f>IFERROR(Tab_Compteur_8[[#This Row],[Quantité]]/Tab_Compteur_8[[#This Row],[Delta Jour]],"")</f>
        <v/>
      </c>
      <c r="G175" t="str">
        <f>IFERROR(Tab_Compteur_8[[#This Row],[Montant TTC]]/Tab_Compteur_8[[#This Row],[Delta Jour]],"")</f>
        <v/>
      </c>
      <c r="H175" s="42"/>
      <c r="I175" s="42"/>
      <c r="J175" s="42"/>
      <c r="K175" s="42"/>
      <c r="L175" s="42"/>
    </row>
    <row r="176" spans="1:12" x14ac:dyDescent="0.25">
      <c r="A176" s="3">
        <f t="shared" si="7"/>
        <v>1</v>
      </c>
      <c r="B176" s="3">
        <f>EDATE($B$3,Site!$I$40*(ROW(Tab_Compteur_8[[#This Row],[Début de période]])-3))</f>
        <v>0</v>
      </c>
      <c r="C176" s="185"/>
      <c r="E176">
        <f t="shared" si="6"/>
        <v>0</v>
      </c>
      <c r="F176" t="str">
        <f>IFERROR(Tab_Compteur_8[[#This Row],[Quantité]]/Tab_Compteur_8[[#This Row],[Delta Jour]],"")</f>
        <v/>
      </c>
      <c r="G176" t="str">
        <f>IFERROR(Tab_Compteur_8[[#This Row],[Montant TTC]]/Tab_Compteur_8[[#This Row],[Delta Jour]],"")</f>
        <v/>
      </c>
      <c r="H176" s="42"/>
      <c r="I176" s="42"/>
      <c r="J176" s="42"/>
      <c r="K176" s="42"/>
      <c r="L176" s="42"/>
    </row>
    <row r="177" spans="1:12" x14ac:dyDescent="0.25">
      <c r="A177" s="3">
        <f t="shared" si="7"/>
        <v>1</v>
      </c>
      <c r="B177" s="3">
        <f>EDATE($B$3,Site!$I$40*(ROW(Tab_Compteur_8[[#This Row],[Début de période]])-3))</f>
        <v>0</v>
      </c>
      <c r="C177" s="185"/>
      <c r="E177">
        <f t="shared" si="6"/>
        <v>0</v>
      </c>
      <c r="F177" t="str">
        <f>IFERROR(Tab_Compteur_8[[#This Row],[Quantité]]/Tab_Compteur_8[[#This Row],[Delta Jour]],"")</f>
        <v/>
      </c>
      <c r="G177" t="str">
        <f>IFERROR(Tab_Compteur_8[[#This Row],[Montant TTC]]/Tab_Compteur_8[[#This Row],[Delta Jour]],"")</f>
        <v/>
      </c>
      <c r="H177" s="42"/>
      <c r="I177" s="42"/>
      <c r="J177" s="42"/>
      <c r="K177" s="42"/>
      <c r="L177" s="42"/>
    </row>
    <row r="178" spans="1:12" x14ac:dyDescent="0.25">
      <c r="A178" s="3">
        <f t="shared" si="7"/>
        <v>1</v>
      </c>
      <c r="B178" s="3">
        <f>EDATE($B$3,Site!$I$40*(ROW(Tab_Compteur_8[[#This Row],[Début de période]])-3))</f>
        <v>0</v>
      </c>
      <c r="C178" s="185"/>
      <c r="E178">
        <f t="shared" si="6"/>
        <v>0</v>
      </c>
      <c r="F178" t="str">
        <f>IFERROR(Tab_Compteur_8[[#This Row],[Quantité]]/Tab_Compteur_8[[#This Row],[Delta Jour]],"")</f>
        <v/>
      </c>
      <c r="G178" t="str">
        <f>IFERROR(Tab_Compteur_8[[#This Row],[Montant TTC]]/Tab_Compteur_8[[#This Row],[Delta Jour]],"")</f>
        <v/>
      </c>
      <c r="H178" s="42"/>
      <c r="I178" s="42"/>
      <c r="J178" s="42"/>
      <c r="K178" s="42"/>
      <c r="L178" s="42"/>
    </row>
    <row r="179" spans="1:12" x14ac:dyDescent="0.25">
      <c r="A179" s="3">
        <f t="shared" si="7"/>
        <v>1</v>
      </c>
      <c r="B179" s="3">
        <f>EDATE($B$3,Site!$I$40*(ROW(Tab_Compteur_8[[#This Row],[Début de période]])-3))</f>
        <v>0</v>
      </c>
      <c r="C179" s="185"/>
      <c r="E179">
        <f t="shared" si="6"/>
        <v>0</v>
      </c>
      <c r="F179" t="str">
        <f>IFERROR(Tab_Compteur_8[[#This Row],[Quantité]]/Tab_Compteur_8[[#This Row],[Delta Jour]],"")</f>
        <v/>
      </c>
      <c r="G179" t="str">
        <f>IFERROR(Tab_Compteur_8[[#This Row],[Montant TTC]]/Tab_Compteur_8[[#This Row],[Delta Jour]],"")</f>
        <v/>
      </c>
      <c r="H179" s="42"/>
      <c r="I179" s="42"/>
      <c r="J179" s="42"/>
      <c r="K179" s="42"/>
      <c r="L179" s="42"/>
    </row>
    <row r="180" spans="1:12" x14ac:dyDescent="0.25">
      <c r="A180" s="3">
        <f t="shared" si="7"/>
        <v>1</v>
      </c>
      <c r="B180" s="3">
        <f>EDATE($B$3,Site!$I$40*(ROW(Tab_Compteur_8[[#This Row],[Début de période]])-3))</f>
        <v>0</v>
      </c>
      <c r="C180" s="185"/>
      <c r="E180">
        <f t="shared" si="6"/>
        <v>0</v>
      </c>
      <c r="F180" t="str">
        <f>IFERROR(Tab_Compteur_8[[#This Row],[Quantité]]/Tab_Compteur_8[[#This Row],[Delta Jour]],"")</f>
        <v/>
      </c>
      <c r="G180" t="str">
        <f>IFERROR(Tab_Compteur_8[[#This Row],[Montant TTC]]/Tab_Compteur_8[[#This Row],[Delta Jour]],"")</f>
        <v/>
      </c>
      <c r="H180" s="42"/>
      <c r="I180" s="42"/>
      <c r="J180" s="42"/>
      <c r="K180" s="42"/>
      <c r="L180" s="42"/>
    </row>
    <row r="181" spans="1:12" x14ac:dyDescent="0.25">
      <c r="A181" s="3">
        <f t="shared" si="7"/>
        <v>1</v>
      </c>
      <c r="B181" s="3">
        <f>EDATE($B$3,Site!$I$40*(ROW(Tab_Compteur_8[[#This Row],[Début de période]])-3))</f>
        <v>0</v>
      </c>
      <c r="C181" s="185"/>
      <c r="E181">
        <f t="shared" si="6"/>
        <v>0</v>
      </c>
      <c r="F181" t="str">
        <f>IFERROR(Tab_Compteur_8[[#This Row],[Quantité]]/Tab_Compteur_8[[#This Row],[Delta Jour]],"")</f>
        <v/>
      </c>
      <c r="G181" t="str">
        <f>IFERROR(Tab_Compteur_8[[#This Row],[Montant TTC]]/Tab_Compteur_8[[#This Row],[Delta Jour]],"")</f>
        <v/>
      </c>
      <c r="H181" s="42"/>
      <c r="I181" s="42"/>
      <c r="J181" s="42"/>
      <c r="K181" s="42"/>
      <c r="L181" s="42"/>
    </row>
    <row r="182" spans="1:12" x14ac:dyDescent="0.25">
      <c r="A182" s="3">
        <f t="shared" si="7"/>
        <v>1</v>
      </c>
      <c r="B182" s="3">
        <f>EDATE($B$3,Site!$I$40*(ROW(Tab_Compteur_8[[#This Row],[Début de période]])-3))</f>
        <v>0</v>
      </c>
      <c r="C182" s="185"/>
      <c r="E182">
        <f t="shared" si="6"/>
        <v>0</v>
      </c>
      <c r="F182" t="str">
        <f>IFERROR(Tab_Compteur_8[[#This Row],[Quantité]]/Tab_Compteur_8[[#This Row],[Delta Jour]],"")</f>
        <v/>
      </c>
      <c r="G182" t="str">
        <f>IFERROR(Tab_Compteur_8[[#This Row],[Montant TTC]]/Tab_Compteur_8[[#This Row],[Delta Jour]],"")</f>
        <v/>
      </c>
      <c r="H182" s="42"/>
      <c r="I182" s="42"/>
      <c r="J182" s="42"/>
      <c r="K182" s="42"/>
      <c r="L182" s="42"/>
    </row>
    <row r="183" spans="1:12" x14ac:dyDescent="0.25">
      <c r="A183" s="3">
        <f t="shared" si="7"/>
        <v>1</v>
      </c>
      <c r="B183" s="3">
        <f>EDATE($B$3,Site!$I$40*(ROW(Tab_Compteur_8[[#This Row],[Début de période]])-3))</f>
        <v>0</v>
      </c>
      <c r="C183" s="185"/>
      <c r="E183">
        <f t="shared" si="6"/>
        <v>0</v>
      </c>
      <c r="F183" t="str">
        <f>IFERROR(Tab_Compteur_8[[#This Row],[Quantité]]/Tab_Compteur_8[[#This Row],[Delta Jour]],"")</f>
        <v/>
      </c>
      <c r="G183" t="str">
        <f>IFERROR(Tab_Compteur_8[[#This Row],[Montant TTC]]/Tab_Compteur_8[[#This Row],[Delta Jour]],"")</f>
        <v/>
      </c>
      <c r="H183" s="42"/>
      <c r="I183" s="42"/>
      <c r="J183" s="42"/>
      <c r="K183" s="42"/>
      <c r="L183" s="42"/>
    </row>
    <row r="184" spans="1:12" x14ac:dyDescent="0.25">
      <c r="A184" s="3">
        <f t="shared" si="7"/>
        <v>1</v>
      </c>
      <c r="B184" s="3">
        <f>EDATE($B$3,Site!$I$40*(ROW(Tab_Compteur_8[[#This Row],[Début de période]])-3))</f>
        <v>0</v>
      </c>
      <c r="C184" s="185"/>
      <c r="E184">
        <f t="shared" si="6"/>
        <v>0</v>
      </c>
      <c r="F184" t="str">
        <f>IFERROR(Tab_Compteur_8[[#This Row],[Quantité]]/Tab_Compteur_8[[#This Row],[Delta Jour]],"")</f>
        <v/>
      </c>
      <c r="G184" t="str">
        <f>IFERROR(Tab_Compteur_8[[#This Row],[Montant TTC]]/Tab_Compteur_8[[#This Row],[Delta Jour]],"")</f>
        <v/>
      </c>
      <c r="H184" s="42"/>
      <c r="I184" s="42"/>
      <c r="J184" s="42"/>
      <c r="K184" s="42"/>
      <c r="L184" s="42"/>
    </row>
    <row r="185" spans="1:12" x14ac:dyDescent="0.25">
      <c r="A185" s="3">
        <f t="shared" si="7"/>
        <v>1</v>
      </c>
      <c r="B185" s="3">
        <f>EDATE($B$3,Site!$I$40*(ROW(Tab_Compteur_8[[#This Row],[Début de période]])-3))</f>
        <v>0</v>
      </c>
      <c r="C185" s="185"/>
      <c r="E185">
        <f t="shared" si="6"/>
        <v>0</v>
      </c>
      <c r="F185" t="str">
        <f>IFERROR(Tab_Compteur_8[[#This Row],[Quantité]]/Tab_Compteur_8[[#This Row],[Delta Jour]],"")</f>
        <v/>
      </c>
      <c r="G185" t="str">
        <f>IFERROR(Tab_Compteur_8[[#This Row],[Montant TTC]]/Tab_Compteur_8[[#This Row],[Delta Jour]],"")</f>
        <v/>
      </c>
      <c r="H185" s="42"/>
      <c r="I185" s="42"/>
      <c r="J185" s="42"/>
      <c r="K185" s="42"/>
      <c r="L185" s="42"/>
    </row>
    <row r="186" spans="1:12" x14ac:dyDescent="0.25">
      <c r="A186" s="3">
        <f t="shared" si="7"/>
        <v>1</v>
      </c>
      <c r="B186" s="3">
        <f>EDATE($B$3,Site!$I$40*(ROW(Tab_Compteur_8[[#This Row],[Début de période]])-3))</f>
        <v>0</v>
      </c>
      <c r="C186" s="185"/>
      <c r="E186">
        <f t="shared" si="6"/>
        <v>0</v>
      </c>
      <c r="F186" t="str">
        <f>IFERROR(Tab_Compteur_8[[#This Row],[Quantité]]/Tab_Compteur_8[[#This Row],[Delta Jour]],"")</f>
        <v/>
      </c>
      <c r="G186" t="str">
        <f>IFERROR(Tab_Compteur_8[[#This Row],[Montant TTC]]/Tab_Compteur_8[[#This Row],[Delta Jour]],"")</f>
        <v/>
      </c>
      <c r="H186" s="42"/>
      <c r="I186" s="42"/>
      <c r="J186" s="42"/>
      <c r="K186" s="42"/>
      <c r="L186" s="42"/>
    </row>
    <row r="187" spans="1:12" x14ac:dyDescent="0.25">
      <c r="A187" s="3">
        <f t="shared" si="7"/>
        <v>1</v>
      </c>
      <c r="B187" s="3">
        <f>EDATE($B$3,Site!$I$40*(ROW(Tab_Compteur_8[[#This Row],[Début de période]])-3))</f>
        <v>0</v>
      </c>
      <c r="C187" s="185"/>
      <c r="E187">
        <f t="shared" si="6"/>
        <v>0</v>
      </c>
      <c r="F187" t="str">
        <f>IFERROR(Tab_Compteur_8[[#This Row],[Quantité]]/Tab_Compteur_8[[#This Row],[Delta Jour]],"")</f>
        <v/>
      </c>
      <c r="G187" t="str">
        <f>IFERROR(Tab_Compteur_8[[#This Row],[Montant TTC]]/Tab_Compteur_8[[#This Row],[Delta Jour]],"")</f>
        <v/>
      </c>
      <c r="H187" s="42"/>
      <c r="I187" s="42"/>
      <c r="J187" s="42"/>
      <c r="K187" s="42"/>
      <c r="L187" s="42"/>
    </row>
    <row r="188" spans="1:12" x14ac:dyDescent="0.25">
      <c r="A188" s="3">
        <f t="shared" si="7"/>
        <v>1</v>
      </c>
      <c r="B188" s="3">
        <f>EDATE($B$3,Site!$I$40*(ROW(Tab_Compteur_8[[#This Row],[Début de période]])-3))</f>
        <v>0</v>
      </c>
      <c r="C188" s="185"/>
      <c r="E188">
        <f t="shared" si="6"/>
        <v>0</v>
      </c>
      <c r="F188" t="str">
        <f>IFERROR(Tab_Compteur_8[[#This Row],[Quantité]]/Tab_Compteur_8[[#This Row],[Delta Jour]],"")</f>
        <v/>
      </c>
      <c r="G188" t="str">
        <f>IFERROR(Tab_Compteur_8[[#This Row],[Montant TTC]]/Tab_Compteur_8[[#This Row],[Delta Jour]],"")</f>
        <v/>
      </c>
      <c r="H188" s="42"/>
      <c r="I188" s="42"/>
      <c r="J188" s="42"/>
      <c r="K188" s="42"/>
      <c r="L188" s="42"/>
    </row>
    <row r="189" spans="1:12" x14ac:dyDescent="0.25">
      <c r="A189" s="3">
        <f t="shared" si="7"/>
        <v>1</v>
      </c>
      <c r="B189" s="3">
        <f>EDATE($B$3,Site!$I$40*(ROW(Tab_Compteur_8[[#This Row],[Début de période]])-3))</f>
        <v>0</v>
      </c>
      <c r="C189" s="185"/>
      <c r="E189">
        <f t="shared" si="6"/>
        <v>0</v>
      </c>
      <c r="F189" t="str">
        <f>IFERROR(Tab_Compteur_8[[#This Row],[Quantité]]/Tab_Compteur_8[[#This Row],[Delta Jour]],"")</f>
        <v/>
      </c>
      <c r="G189" t="str">
        <f>IFERROR(Tab_Compteur_8[[#This Row],[Montant TTC]]/Tab_Compteur_8[[#This Row],[Delta Jour]],"")</f>
        <v/>
      </c>
      <c r="H189" s="42"/>
      <c r="I189" s="42"/>
      <c r="J189" s="42"/>
      <c r="K189" s="42"/>
      <c r="L189" s="42"/>
    </row>
    <row r="190" spans="1:12" x14ac:dyDescent="0.25">
      <c r="A190" s="3">
        <f t="shared" si="7"/>
        <v>1</v>
      </c>
      <c r="B190" s="3">
        <f>EDATE($B$3,Site!$I$40*(ROW(Tab_Compteur_8[[#This Row],[Début de période]])-3))</f>
        <v>0</v>
      </c>
      <c r="C190" s="185"/>
      <c r="E190">
        <f t="shared" si="6"/>
        <v>0</v>
      </c>
      <c r="F190" t="str">
        <f>IFERROR(Tab_Compteur_8[[#This Row],[Quantité]]/Tab_Compteur_8[[#This Row],[Delta Jour]],"")</f>
        <v/>
      </c>
      <c r="G190" t="str">
        <f>IFERROR(Tab_Compteur_8[[#This Row],[Montant TTC]]/Tab_Compteur_8[[#This Row],[Delta Jour]],"")</f>
        <v/>
      </c>
      <c r="H190" s="42"/>
      <c r="I190" s="42"/>
      <c r="J190" s="42"/>
      <c r="K190" s="42"/>
      <c r="L190" s="42"/>
    </row>
    <row r="191" spans="1:12" x14ac:dyDescent="0.25">
      <c r="A191" s="3">
        <f t="shared" si="7"/>
        <v>1</v>
      </c>
      <c r="B191" s="3">
        <f>EDATE($B$3,Site!$I$40*(ROW(Tab_Compteur_8[[#This Row],[Début de période]])-3))</f>
        <v>0</v>
      </c>
      <c r="C191" s="185"/>
      <c r="E191">
        <f t="shared" si="6"/>
        <v>0</v>
      </c>
      <c r="F191" t="str">
        <f>IFERROR(Tab_Compteur_8[[#This Row],[Quantité]]/Tab_Compteur_8[[#This Row],[Delta Jour]],"")</f>
        <v/>
      </c>
      <c r="G191" t="str">
        <f>IFERROR(Tab_Compteur_8[[#This Row],[Montant TTC]]/Tab_Compteur_8[[#This Row],[Delta Jour]],"")</f>
        <v/>
      </c>
      <c r="H191" s="42"/>
      <c r="I191" s="42"/>
      <c r="J191" s="42"/>
      <c r="K191" s="42"/>
      <c r="L191" s="42"/>
    </row>
    <row r="192" spans="1:12" x14ac:dyDescent="0.25">
      <c r="A192" s="3">
        <f t="shared" si="7"/>
        <v>1</v>
      </c>
      <c r="B192" s="3">
        <f>EDATE($B$3,Site!$I$40*(ROW(Tab_Compteur_8[[#This Row],[Début de période]])-3))</f>
        <v>0</v>
      </c>
      <c r="C192" s="185"/>
      <c r="E192">
        <f t="shared" si="6"/>
        <v>0</v>
      </c>
      <c r="F192" t="str">
        <f>IFERROR(Tab_Compteur_8[[#This Row],[Quantité]]/Tab_Compteur_8[[#This Row],[Delta Jour]],"")</f>
        <v/>
      </c>
      <c r="G192" t="str">
        <f>IFERROR(Tab_Compteur_8[[#This Row],[Montant TTC]]/Tab_Compteur_8[[#This Row],[Delta Jour]],"")</f>
        <v/>
      </c>
      <c r="H192" s="42"/>
      <c r="I192" s="42"/>
      <c r="J192" s="42"/>
      <c r="K192" s="42"/>
      <c r="L192" s="42"/>
    </row>
    <row r="193" spans="1:12" x14ac:dyDescent="0.25">
      <c r="A193" s="3">
        <f t="shared" si="7"/>
        <v>1</v>
      </c>
      <c r="B193" s="3">
        <f>EDATE($B$3,Site!$I$40*(ROW(Tab_Compteur_8[[#This Row],[Début de période]])-3))</f>
        <v>0</v>
      </c>
      <c r="C193" s="185"/>
      <c r="E193">
        <f t="shared" si="6"/>
        <v>0</v>
      </c>
      <c r="F193" t="str">
        <f>IFERROR(Tab_Compteur_8[[#This Row],[Quantité]]/Tab_Compteur_8[[#This Row],[Delta Jour]],"")</f>
        <v/>
      </c>
      <c r="G193" t="str">
        <f>IFERROR(Tab_Compteur_8[[#This Row],[Montant TTC]]/Tab_Compteur_8[[#This Row],[Delta Jour]],"")</f>
        <v/>
      </c>
      <c r="H193" s="42"/>
      <c r="I193" s="42"/>
      <c r="J193" s="42"/>
      <c r="K193" s="42"/>
      <c r="L193" s="42"/>
    </row>
    <row r="194" spans="1:12" x14ac:dyDescent="0.25">
      <c r="A194" s="3">
        <f t="shared" si="7"/>
        <v>1</v>
      </c>
      <c r="B194" s="3">
        <f>EDATE($B$3,Site!$I$40*(ROW(Tab_Compteur_8[[#This Row],[Début de période]])-3))</f>
        <v>0</v>
      </c>
      <c r="C194" s="185"/>
      <c r="E194">
        <f t="shared" si="6"/>
        <v>0</v>
      </c>
      <c r="F194" t="str">
        <f>IFERROR(Tab_Compteur_8[[#This Row],[Quantité]]/Tab_Compteur_8[[#This Row],[Delta Jour]],"")</f>
        <v/>
      </c>
      <c r="G194" t="str">
        <f>IFERROR(Tab_Compteur_8[[#This Row],[Montant TTC]]/Tab_Compteur_8[[#This Row],[Delta Jour]],"")</f>
        <v/>
      </c>
      <c r="H194" s="42"/>
      <c r="I194" s="42"/>
      <c r="J194" s="42"/>
      <c r="K194" s="42"/>
      <c r="L194" s="42"/>
    </row>
    <row r="195" spans="1:12" x14ac:dyDescent="0.25">
      <c r="A195" s="3">
        <f t="shared" si="7"/>
        <v>1</v>
      </c>
      <c r="B195" s="3">
        <f>EDATE($B$3,Site!$I$40*(ROW(Tab_Compteur_8[[#This Row],[Début de période]])-3))</f>
        <v>0</v>
      </c>
      <c r="C195" s="185"/>
      <c r="E195">
        <f t="shared" si="6"/>
        <v>0</v>
      </c>
      <c r="F195" t="str">
        <f>IFERROR(Tab_Compteur_8[[#This Row],[Quantité]]/Tab_Compteur_8[[#This Row],[Delta Jour]],"")</f>
        <v/>
      </c>
      <c r="G195" t="str">
        <f>IFERROR(Tab_Compteur_8[[#This Row],[Montant TTC]]/Tab_Compteur_8[[#This Row],[Delta Jour]],"")</f>
        <v/>
      </c>
      <c r="H195" s="42"/>
      <c r="I195" s="42"/>
      <c r="J195" s="42"/>
      <c r="K195" s="42"/>
      <c r="L195" s="42"/>
    </row>
    <row r="196" spans="1:12" x14ac:dyDescent="0.25">
      <c r="A196" s="3">
        <f t="shared" si="7"/>
        <v>1</v>
      </c>
      <c r="B196" s="3">
        <f>EDATE($B$3,Site!$I$40*(ROW(Tab_Compteur_8[[#This Row],[Début de période]])-3))</f>
        <v>0</v>
      </c>
      <c r="C196" s="185"/>
      <c r="E196">
        <f t="shared" ref="E196:E242" si="8">IFERROR(B196-A196+1,"")</f>
        <v>0</v>
      </c>
      <c r="F196" t="str">
        <f>IFERROR(Tab_Compteur_8[[#This Row],[Quantité]]/Tab_Compteur_8[[#This Row],[Delta Jour]],"")</f>
        <v/>
      </c>
      <c r="G196" t="str">
        <f>IFERROR(Tab_Compteur_8[[#This Row],[Montant TTC]]/Tab_Compteur_8[[#This Row],[Delta Jour]],"")</f>
        <v/>
      </c>
      <c r="H196" s="42"/>
      <c r="I196" s="42"/>
      <c r="J196" s="42"/>
      <c r="K196" s="42"/>
      <c r="L196" s="42"/>
    </row>
    <row r="197" spans="1:12" x14ac:dyDescent="0.25">
      <c r="A197" s="3">
        <f t="shared" ref="A197:A242" si="9">B196+1</f>
        <v>1</v>
      </c>
      <c r="B197" s="3">
        <f>EDATE($B$3,Site!$I$40*(ROW(Tab_Compteur_8[[#This Row],[Début de période]])-3))</f>
        <v>0</v>
      </c>
      <c r="C197" s="185"/>
      <c r="E197">
        <f t="shared" si="8"/>
        <v>0</v>
      </c>
      <c r="F197" t="str">
        <f>IFERROR(Tab_Compteur_8[[#This Row],[Quantité]]/Tab_Compteur_8[[#This Row],[Delta Jour]],"")</f>
        <v/>
      </c>
      <c r="G197" t="str">
        <f>IFERROR(Tab_Compteur_8[[#This Row],[Montant TTC]]/Tab_Compteur_8[[#This Row],[Delta Jour]],"")</f>
        <v/>
      </c>
      <c r="H197" s="42"/>
      <c r="I197" s="42"/>
      <c r="J197" s="42"/>
      <c r="K197" s="42"/>
      <c r="L197" s="42"/>
    </row>
    <row r="198" spans="1:12" x14ac:dyDescent="0.25">
      <c r="A198" s="3">
        <f t="shared" si="9"/>
        <v>1</v>
      </c>
      <c r="B198" s="3">
        <f>EDATE($B$3,Site!$I$40*(ROW(Tab_Compteur_8[[#This Row],[Début de période]])-3))</f>
        <v>0</v>
      </c>
      <c r="C198" s="185"/>
      <c r="E198">
        <f t="shared" si="8"/>
        <v>0</v>
      </c>
      <c r="F198" t="str">
        <f>IFERROR(Tab_Compteur_8[[#This Row],[Quantité]]/Tab_Compteur_8[[#This Row],[Delta Jour]],"")</f>
        <v/>
      </c>
      <c r="G198" t="str">
        <f>IFERROR(Tab_Compteur_8[[#This Row],[Montant TTC]]/Tab_Compteur_8[[#This Row],[Delta Jour]],"")</f>
        <v/>
      </c>
      <c r="H198" s="42"/>
      <c r="I198" s="42"/>
      <c r="J198" s="42"/>
      <c r="K198" s="42"/>
      <c r="L198" s="42"/>
    </row>
    <row r="199" spans="1:12" x14ac:dyDescent="0.25">
      <c r="A199" s="3">
        <f t="shared" si="9"/>
        <v>1</v>
      </c>
      <c r="B199" s="3">
        <f>EDATE($B$3,Site!$I$40*(ROW(Tab_Compteur_8[[#This Row],[Début de période]])-3))</f>
        <v>0</v>
      </c>
      <c r="C199" s="185"/>
      <c r="E199">
        <f t="shared" si="8"/>
        <v>0</v>
      </c>
      <c r="F199" t="str">
        <f>IFERROR(Tab_Compteur_8[[#This Row],[Quantité]]/Tab_Compteur_8[[#This Row],[Delta Jour]],"")</f>
        <v/>
      </c>
      <c r="G199" t="str">
        <f>IFERROR(Tab_Compteur_8[[#This Row],[Montant TTC]]/Tab_Compteur_8[[#This Row],[Delta Jour]],"")</f>
        <v/>
      </c>
      <c r="H199" s="42"/>
      <c r="I199" s="42"/>
      <c r="J199" s="42"/>
      <c r="K199" s="42"/>
      <c r="L199" s="42"/>
    </row>
    <row r="200" spans="1:12" x14ac:dyDescent="0.25">
      <c r="A200" s="3">
        <f t="shared" si="9"/>
        <v>1</v>
      </c>
      <c r="B200" s="3">
        <f>EDATE($B$3,Site!$I$40*(ROW(Tab_Compteur_8[[#This Row],[Début de période]])-3))</f>
        <v>0</v>
      </c>
      <c r="C200" s="185"/>
      <c r="E200">
        <f t="shared" si="8"/>
        <v>0</v>
      </c>
      <c r="F200" t="str">
        <f>IFERROR(Tab_Compteur_8[[#This Row],[Quantité]]/Tab_Compteur_8[[#This Row],[Delta Jour]],"")</f>
        <v/>
      </c>
      <c r="G200" t="str">
        <f>IFERROR(Tab_Compteur_8[[#This Row],[Montant TTC]]/Tab_Compteur_8[[#This Row],[Delta Jour]],"")</f>
        <v/>
      </c>
      <c r="H200" s="42"/>
      <c r="I200" s="42"/>
      <c r="J200" s="42"/>
      <c r="K200" s="42"/>
      <c r="L200" s="42"/>
    </row>
    <row r="201" spans="1:12" x14ac:dyDescent="0.25">
      <c r="A201" s="3">
        <f t="shared" si="9"/>
        <v>1</v>
      </c>
      <c r="B201" s="3">
        <f>EDATE($B$3,Site!$I$40*(ROW(Tab_Compteur_8[[#This Row],[Début de période]])-3))</f>
        <v>0</v>
      </c>
      <c r="C201" s="185"/>
      <c r="E201">
        <f t="shared" si="8"/>
        <v>0</v>
      </c>
      <c r="F201" t="str">
        <f>IFERROR(Tab_Compteur_8[[#This Row],[Quantité]]/Tab_Compteur_8[[#This Row],[Delta Jour]],"")</f>
        <v/>
      </c>
      <c r="G201" t="str">
        <f>IFERROR(Tab_Compteur_8[[#This Row],[Montant TTC]]/Tab_Compteur_8[[#This Row],[Delta Jour]],"")</f>
        <v/>
      </c>
      <c r="H201" s="42"/>
      <c r="I201" s="42"/>
      <c r="J201" s="42"/>
      <c r="K201" s="42"/>
      <c r="L201" s="42"/>
    </row>
    <row r="202" spans="1:12" x14ac:dyDescent="0.25">
      <c r="A202" s="3">
        <f t="shared" si="9"/>
        <v>1</v>
      </c>
      <c r="B202" s="3">
        <f>EDATE($B$3,Site!$I$40*(ROW(Tab_Compteur_8[[#This Row],[Début de période]])-3))</f>
        <v>0</v>
      </c>
      <c r="C202" s="185"/>
      <c r="E202">
        <f t="shared" si="8"/>
        <v>0</v>
      </c>
      <c r="F202" t="str">
        <f>IFERROR(Tab_Compteur_8[[#This Row],[Quantité]]/Tab_Compteur_8[[#This Row],[Delta Jour]],"")</f>
        <v/>
      </c>
      <c r="G202" t="str">
        <f>IFERROR(Tab_Compteur_8[[#This Row],[Montant TTC]]/Tab_Compteur_8[[#This Row],[Delta Jour]],"")</f>
        <v/>
      </c>
      <c r="H202" s="42"/>
      <c r="I202" s="42"/>
      <c r="J202" s="42"/>
      <c r="K202" s="42"/>
      <c r="L202" s="42"/>
    </row>
    <row r="203" spans="1:12" x14ac:dyDescent="0.25">
      <c r="A203" s="3">
        <f t="shared" si="9"/>
        <v>1</v>
      </c>
      <c r="B203" s="3">
        <f>EDATE($B$3,Site!$I$40*(ROW(Tab_Compteur_8[[#This Row],[Début de période]])-3))</f>
        <v>0</v>
      </c>
      <c r="C203" s="185"/>
      <c r="E203">
        <f t="shared" si="8"/>
        <v>0</v>
      </c>
      <c r="F203" t="str">
        <f>IFERROR(Tab_Compteur_8[[#This Row],[Quantité]]/Tab_Compteur_8[[#This Row],[Delta Jour]],"")</f>
        <v/>
      </c>
      <c r="G203" t="str">
        <f>IFERROR(Tab_Compteur_8[[#This Row],[Montant TTC]]/Tab_Compteur_8[[#This Row],[Delta Jour]],"")</f>
        <v/>
      </c>
      <c r="H203" s="42"/>
      <c r="I203" s="42"/>
      <c r="J203" s="42"/>
      <c r="K203" s="42"/>
      <c r="L203" s="42"/>
    </row>
    <row r="204" spans="1:12" x14ac:dyDescent="0.25">
      <c r="A204" s="3">
        <f t="shared" si="9"/>
        <v>1</v>
      </c>
      <c r="B204" s="3">
        <f>EDATE($B$3,Site!$I$40*(ROW(Tab_Compteur_8[[#This Row],[Début de période]])-3))</f>
        <v>0</v>
      </c>
      <c r="C204" s="185"/>
      <c r="E204">
        <f t="shared" si="8"/>
        <v>0</v>
      </c>
      <c r="F204" t="str">
        <f>IFERROR(Tab_Compteur_8[[#This Row],[Quantité]]/Tab_Compteur_8[[#This Row],[Delta Jour]],"")</f>
        <v/>
      </c>
      <c r="G204" t="str">
        <f>IFERROR(Tab_Compteur_8[[#This Row],[Montant TTC]]/Tab_Compteur_8[[#This Row],[Delta Jour]],"")</f>
        <v/>
      </c>
      <c r="H204" s="42"/>
      <c r="I204" s="42"/>
      <c r="J204" s="42"/>
      <c r="K204" s="42"/>
      <c r="L204" s="42"/>
    </row>
    <row r="205" spans="1:12" x14ac:dyDescent="0.25">
      <c r="A205" s="3">
        <f t="shared" si="9"/>
        <v>1</v>
      </c>
      <c r="B205" s="3">
        <f>EDATE($B$3,Site!$I$40*(ROW(Tab_Compteur_8[[#This Row],[Début de période]])-3))</f>
        <v>0</v>
      </c>
      <c r="C205" s="185"/>
      <c r="E205">
        <f t="shared" si="8"/>
        <v>0</v>
      </c>
      <c r="F205" t="str">
        <f>IFERROR(Tab_Compteur_8[[#This Row],[Quantité]]/Tab_Compteur_8[[#This Row],[Delta Jour]],"")</f>
        <v/>
      </c>
      <c r="G205" t="str">
        <f>IFERROR(Tab_Compteur_8[[#This Row],[Montant TTC]]/Tab_Compteur_8[[#This Row],[Delta Jour]],"")</f>
        <v/>
      </c>
      <c r="H205" s="42"/>
      <c r="I205" s="42"/>
      <c r="J205" s="42"/>
      <c r="K205" s="42"/>
      <c r="L205" s="42"/>
    </row>
    <row r="206" spans="1:12" x14ac:dyDescent="0.25">
      <c r="A206" s="3">
        <f t="shared" si="9"/>
        <v>1</v>
      </c>
      <c r="B206" s="3">
        <f>EDATE($B$3,Site!$I$40*(ROW(Tab_Compteur_8[[#This Row],[Début de période]])-3))</f>
        <v>0</v>
      </c>
      <c r="C206" s="185"/>
      <c r="E206">
        <f t="shared" si="8"/>
        <v>0</v>
      </c>
      <c r="F206" t="str">
        <f>IFERROR(Tab_Compteur_8[[#This Row],[Quantité]]/Tab_Compteur_8[[#This Row],[Delta Jour]],"")</f>
        <v/>
      </c>
      <c r="G206" t="str">
        <f>IFERROR(Tab_Compteur_8[[#This Row],[Montant TTC]]/Tab_Compteur_8[[#This Row],[Delta Jour]],"")</f>
        <v/>
      </c>
      <c r="H206" s="42"/>
      <c r="I206" s="42"/>
      <c r="J206" s="42"/>
      <c r="K206" s="42"/>
      <c r="L206" s="42"/>
    </row>
    <row r="207" spans="1:12" x14ac:dyDescent="0.25">
      <c r="A207" s="3">
        <f t="shared" si="9"/>
        <v>1</v>
      </c>
      <c r="B207" s="3">
        <f>EDATE($B$3,Site!$I$40*(ROW(Tab_Compteur_8[[#This Row],[Début de période]])-3))</f>
        <v>0</v>
      </c>
      <c r="C207" s="185"/>
      <c r="E207">
        <f t="shared" si="8"/>
        <v>0</v>
      </c>
      <c r="F207" t="str">
        <f>IFERROR(Tab_Compteur_8[[#This Row],[Quantité]]/Tab_Compteur_8[[#This Row],[Delta Jour]],"")</f>
        <v/>
      </c>
      <c r="G207" t="str">
        <f>IFERROR(Tab_Compteur_8[[#This Row],[Montant TTC]]/Tab_Compteur_8[[#This Row],[Delta Jour]],"")</f>
        <v/>
      </c>
      <c r="H207" s="42"/>
      <c r="I207" s="42"/>
      <c r="J207" s="42"/>
      <c r="K207" s="42"/>
      <c r="L207" s="42"/>
    </row>
    <row r="208" spans="1:12" x14ac:dyDescent="0.25">
      <c r="A208" s="3">
        <f t="shared" si="9"/>
        <v>1</v>
      </c>
      <c r="B208" s="3">
        <f>EDATE($B$3,Site!$I$40*(ROW(Tab_Compteur_8[[#This Row],[Début de période]])-3))</f>
        <v>0</v>
      </c>
      <c r="C208" s="185"/>
      <c r="E208">
        <f t="shared" si="8"/>
        <v>0</v>
      </c>
      <c r="F208" t="str">
        <f>IFERROR(Tab_Compteur_8[[#This Row],[Quantité]]/Tab_Compteur_8[[#This Row],[Delta Jour]],"")</f>
        <v/>
      </c>
      <c r="G208" t="str">
        <f>IFERROR(Tab_Compteur_8[[#This Row],[Montant TTC]]/Tab_Compteur_8[[#This Row],[Delta Jour]],"")</f>
        <v/>
      </c>
      <c r="H208" s="42"/>
      <c r="I208" s="42"/>
      <c r="J208" s="42"/>
      <c r="K208" s="42"/>
      <c r="L208" s="42"/>
    </row>
    <row r="209" spans="1:12" x14ac:dyDescent="0.25">
      <c r="A209" s="3">
        <f t="shared" si="9"/>
        <v>1</v>
      </c>
      <c r="B209" s="3">
        <f>EDATE($B$3,Site!$I$40*(ROW(Tab_Compteur_8[[#This Row],[Début de période]])-3))</f>
        <v>0</v>
      </c>
      <c r="C209" s="185"/>
      <c r="E209">
        <f t="shared" si="8"/>
        <v>0</v>
      </c>
      <c r="F209" t="str">
        <f>IFERROR(Tab_Compteur_8[[#This Row],[Quantité]]/Tab_Compteur_8[[#This Row],[Delta Jour]],"")</f>
        <v/>
      </c>
      <c r="G209" t="str">
        <f>IFERROR(Tab_Compteur_8[[#This Row],[Montant TTC]]/Tab_Compteur_8[[#This Row],[Delta Jour]],"")</f>
        <v/>
      </c>
      <c r="H209" s="42"/>
      <c r="I209" s="42"/>
      <c r="J209" s="42"/>
      <c r="K209" s="42"/>
      <c r="L209" s="42"/>
    </row>
    <row r="210" spans="1:12" x14ac:dyDescent="0.25">
      <c r="A210" s="3">
        <f t="shared" si="9"/>
        <v>1</v>
      </c>
      <c r="B210" s="3">
        <f>EDATE($B$3,Site!$I$40*(ROW(Tab_Compteur_8[[#This Row],[Début de période]])-3))</f>
        <v>0</v>
      </c>
      <c r="C210" s="185"/>
      <c r="E210">
        <f t="shared" si="8"/>
        <v>0</v>
      </c>
      <c r="F210" t="str">
        <f>IFERROR(Tab_Compteur_8[[#This Row],[Quantité]]/Tab_Compteur_8[[#This Row],[Delta Jour]],"")</f>
        <v/>
      </c>
      <c r="G210" t="str">
        <f>IFERROR(Tab_Compteur_8[[#This Row],[Montant TTC]]/Tab_Compteur_8[[#This Row],[Delta Jour]],"")</f>
        <v/>
      </c>
      <c r="H210" s="42"/>
      <c r="I210" s="42"/>
      <c r="J210" s="42"/>
      <c r="K210" s="42"/>
      <c r="L210" s="42"/>
    </row>
    <row r="211" spans="1:12" x14ac:dyDescent="0.25">
      <c r="A211" s="3">
        <f t="shared" si="9"/>
        <v>1</v>
      </c>
      <c r="B211" s="3">
        <f>EDATE($B$3,Site!$I$40*(ROW(Tab_Compteur_8[[#This Row],[Début de période]])-3))</f>
        <v>0</v>
      </c>
      <c r="C211" s="185"/>
      <c r="E211">
        <f t="shared" si="8"/>
        <v>0</v>
      </c>
      <c r="F211" t="str">
        <f>IFERROR(Tab_Compteur_8[[#This Row],[Quantité]]/Tab_Compteur_8[[#This Row],[Delta Jour]],"")</f>
        <v/>
      </c>
      <c r="G211" t="str">
        <f>IFERROR(Tab_Compteur_8[[#This Row],[Montant TTC]]/Tab_Compteur_8[[#This Row],[Delta Jour]],"")</f>
        <v/>
      </c>
      <c r="H211" s="42"/>
      <c r="I211" s="42"/>
      <c r="J211" s="42"/>
      <c r="K211" s="42"/>
      <c r="L211" s="42"/>
    </row>
    <row r="212" spans="1:12" x14ac:dyDescent="0.25">
      <c r="A212" s="3">
        <f t="shared" si="9"/>
        <v>1</v>
      </c>
      <c r="B212" s="3">
        <f>EDATE($B$3,Site!$I$40*(ROW(Tab_Compteur_8[[#This Row],[Début de période]])-3))</f>
        <v>0</v>
      </c>
      <c r="C212" s="185"/>
      <c r="E212">
        <f t="shared" si="8"/>
        <v>0</v>
      </c>
      <c r="F212" t="str">
        <f>IFERROR(Tab_Compteur_8[[#This Row],[Quantité]]/Tab_Compteur_8[[#This Row],[Delta Jour]],"")</f>
        <v/>
      </c>
      <c r="G212" t="str">
        <f>IFERROR(Tab_Compteur_8[[#This Row],[Montant TTC]]/Tab_Compteur_8[[#This Row],[Delta Jour]],"")</f>
        <v/>
      </c>
      <c r="H212" s="42"/>
      <c r="I212" s="42"/>
      <c r="J212" s="42"/>
      <c r="K212" s="42"/>
      <c r="L212" s="42"/>
    </row>
    <row r="213" spans="1:12" x14ac:dyDescent="0.25">
      <c r="A213" s="3">
        <f t="shared" si="9"/>
        <v>1</v>
      </c>
      <c r="B213" s="3">
        <f>EDATE($B$3,Site!$I$40*(ROW(Tab_Compteur_8[[#This Row],[Début de période]])-3))</f>
        <v>0</v>
      </c>
      <c r="C213" s="185"/>
      <c r="E213">
        <f t="shared" si="8"/>
        <v>0</v>
      </c>
      <c r="F213" t="str">
        <f>IFERROR(Tab_Compteur_8[[#This Row],[Quantité]]/Tab_Compteur_8[[#This Row],[Delta Jour]],"")</f>
        <v/>
      </c>
      <c r="G213" t="str">
        <f>IFERROR(Tab_Compteur_8[[#This Row],[Montant TTC]]/Tab_Compteur_8[[#This Row],[Delta Jour]],"")</f>
        <v/>
      </c>
      <c r="H213" s="42"/>
      <c r="I213" s="42"/>
      <c r="J213" s="42"/>
      <c r="K213" s="42"/>
      <c r="L213" s="42"/>
    </row>
    <row r="214" spans="1:12" x14ac:dyDescent="0.25">
      <c r="A214" s="3">
        <f t="shared" si="9"/>
        <v>1</v>
      </c>
      <c r="B214" s="3">
        <f>EDATE($B$3,Site!$I$40*(ROW(Tab_Compteur_8[[#This Row],[Début de période]])-3))</f>
        <v>0</v>
      </c>
      <c r="C214" s="185"/>
      <c r="E214">
        <f t="shared" si="8"/>
        <v>0</v>
      </c>
      <c r="F214" t="str">
        <f>IFERROR(Tab_Compteur_8[[#This Row],[Quantité]]/Tab_Compteur_8[[#This Row],[Delta Jour]],"")</f>
        <v/>
      </c>
      <c r="G214" t="str">
        <f>IFERROR(Tab_Compteur_8[[#This Row],[Montant TTC]]/Tab_Compteur_8[[#This Row],[Delta Jour]],"")</f>
        <v/>
      </c>
      <c r="H214" s="42"/>
      <c r="I214" s="42"/>
      <c r="J214" s="42"/>
      <c r="K214" s="42"/>
      <c r="L214" s="42"/>
    </row>
    <row r="215" spans="1:12" x14ac:dyDescent="0.25">
      <c r="A215" s="3">
        <f t="shared" si="9"/>
        <v>1</v>
      </c>
      <c r="B215" s="3">
        <f>EDATE($B$3,Site!$I$40*(ROW(Tab_Compteur_8[[#This Row],[Début de période]])-3))</f>
        <v>0</v>
      </c>
      <c r="C215" s="185"/>
      <c r="E215">
        <f t="shared" si="8"/>
        <v>0</v>
      </c>
      <c r="F215" t="str">
        <f>IFERROR(Tab_Compteur_8[[#This Row],[Quantité]]/Tab_Compteur_8[[#This Row],[Delta Jour]],"")</f>
        <v/>
      </c>
      <c r="G215" t="str">
        <f>IFERROR(Tab_Compteur_8[[#This Row],[Montant TTC]]/Tab_Compteur_8[[#This Row],[Delta Jour]],"")</f>
        <v/>
      </c>
      <c r="H215" s="42"/>
      <c r="I215" s="42"/>
      <c r="J215" s="42"/>
      <c r="K215" s="42"/>
      <c r="L215" s="42"/>
    </row>
    <row r="216" spans="1:12" x14ac:dyDescent="0.25">
      <c r="A216" s="3">
        <f t="shared" si="9"/>
        <v>1</v>
      </c>
      <c r="B216" s="3">
        <f>EDATE($B$3,Site!$I$40*(ROW(Tab_Compteur_8[[#This Row],[Début de période]])-3))</f>
        <v>0</v>
      </c>
      <c r="C216" s="185"/>
      <c r="E216">
        <f t="shared" si="8"/>
        <v>0</v>
      </c>
      <c r="F216" t="str">
        <f>IFERROR(Tab_Compteur_8[[#This Row],[Quantité]]/Tab_Compteur_8[[#This Row],[Delta Jour]],"")</f>
        <v/>
      </c>
      <c r="G216" t="str">
        <f>IFERROR(Tab_Compteur_8[[#This Row],[Montant TTC]]/Tab_Compteur_8[[#This Row],[Delta Jour]],"")</f>
        <v/>
      </c>
      <c r="H216" s="42"/>
      <c r="I216" s="42"/>
      <c r="J216" s="42"/>
      <c r="K216" s="42"/>
      <c r="L216" s="42"/>
    </row>
    <row r="217" spans="1:12" x14ac:dyDescent="0.25">
      <c r="A217" s="3">
        <f t="shared" si="9"/>
        <v>1</v>
      </c>
      <c r="B217" s="3">
        <f>EDATE($B$3,Site!$I$40*(ROW(Tab_Compteur_8[[#This Row],[Début de période]])-3))</f>
        <v>0</v>
      </c>
      <c r="C217" s="185"/>
      <c r="E217">
        <f t="shared" si="8"/>
        <v>0</v>
      </c>
      <c r="F217" t="str">
        <f>IFERROR(Tab_Compteur_8[[#This Row],[Quantité]]/Tab_Compteur_8[[#This Row],[Delta Jour]],"")</f>
        <v/>
      </c>
      <c r="G217" t="str">
        <f>IFERROR(Tab_Compteur_8[[#This Row],[Montant TTC]]/Tab_Compteur_8[[#This Row],[Delta Jour]],"")</f>
        <v/>
      </c>
      <c r="H217" s="42"/>
      <c r="I217" s="42"/>
      <c r="J217" s="42"/>
      <c r="K217" s="42"/>
      <c r="L217" s="42"/>
    </row>
    <row r="218" spans="1:12" x14ac:dyDescent="0.25">
      <c r="A218" s="3">
        <f t="shared" si="9"/>
        <v>1</v>
      </c>
      <c r="B218" s="3">
        <f>EDATE($B$3,Site!$I$40*(ROW(Tab_Compteur_8[[#This Row],[Début de période]])-3))</f>
        <v>0</v>
      </c>
      <c r="C218" s="185"/>
      <c r="E218">
        <f t="shared" si="8"/>
        <v>0</v>
      </c>
      <c r="F218" t="str">
        <f>IFERROR(Tab_Compteur_8[[#This Row],[Quantité]]/Tab_Compteur_8[[#This Row],[Delta Jour]],"")</f>
        <v/>
      </c>
      <c r="G218" t="str">
        <f>IFERROR(Tab_Compteur_8[[#This Row],[Montant TTC]]/Tab_Compteur_8[[#This Row],[Delta Jour]],"")</f>
        <v/>
      </c>
      <c r="H218" s="42"/>
      <c r="I218" s="42"/>
      <c r="J218" s="42"/>
      <c r="K218" s="42"/>
      <c r="L218" s="42"/>
    </row>
    <row r="219" spans="1:12" x14ac:dyDescent="0.25">
      <c r="A219" s="3">
        <f t="shared" si="9"/>
        <v>1</v>
      </c>
      <c r="B219" s="3">
        <f>EDATE($B$3,Site!$I$40*(ROW(Tab_Compteur_8[[#This Row],[Début de période]])-3))</f>
        <v>0</v>
      </c>
      <c r="C219" s="185"/>
      <c r="E219">
        <f t="shared" si="8"/>
        <v>0</v>
      </c>
      <c r="F219" t="str">
        <f>IFERROR(Tab_Compteur_8[[#This Row],[Quantité]]/Tab_Compteur_8[[#This Row],[Delta Jour]],"")</f>
        <v/>
      </c>
      <c r="G219" t="str">
        <f>IFERROR(Tab_Compteur_8[[#This Row],[Montant TTC]]/Tab_Compteur_8[[#This Row],[Delta Jour]],"")</f>
        <v/>
      </c>
      <c r="H219" s="42"/>
      <c r="I219" s="42"/>
      <c r="J219" s="42"/>
      <c r="K219" s="42"/>
      <c r="L219" s="42"/>
    </row>
    <row r="220" spans="1:12" x14ac:dyDescent="0.25">
      <c r="A220" s="3">
        <f t="shared" si="9"/>
        <v>1</v>
      </c>
      <c r="B220" s="3">
        <f>EDATE($B$3,Site!$I$40*(ROW(Tab_Compteur_8[[#This Row],[Début de période]])-3))</f>
        <v>0</v>
      </c>
      <c r="C220" s="185"/>
      <c r="E220">
        <f t="shared" si="8"/>
        <v>0</v>
      </c>
      <c r="F220" t="str">
        <f>IFERROR(Tab_Compteur_8[[#This Row],[Quantité]]/Tab_Compteur_8[[#This Row],[Delta Jour]],"")</f>
        <v/>
      </c>
      <c r="G220" t="str">
        <f>IFERROR(Tab_Compteur_8[[#This Row],[Montant TTC]]/Tab_Compteur_8[[#This Row],[Delta Jour]],"")</f>
        <v/>
      </c>
      <c r="H220" s="42"/>
      <c r="I220" s="42"/>
      <c r="J220" s="42"/>
      <c r="K220" s="42"/>
      <c r="L220" s="42"/>
    </row>
    <row r="221" spans="1:12" x14ac:dyDescent="0.25">
      <c r="A221" s="3">
        <f t="shared" si="9"/>
        <v>1</v>
      </c>
      <c r="B221" s="3">
        <f>EDATE($B$3,Site!$I$40*(ROW(Tab_Compteur_8[[#This Row],[Début de période]])-3))</f>
        <v>0</v>
      </c>
      <c r="C221" s="185"/>
      <c r="E221">
        <f t="shared" si="8"/>
        <v>0</v>
      </c>
      <c r="F221" t="str">
        <f>IFERROR(Tab_Compteur_8[[#This Row],[Quantité]]/Tab_Compteur_8[[#This Row],[Delta Jour]],"")</f>
        <v/>
      </c>
      <c r="G221" t="str">
        <f>IFERROR(Tab_Compteur_8[[#This Row],[Montant TTC]]/Tab_Compteur_8[[#This Row],[Delta Jour]],"")</f>
        <v/>
      </c>
      <c r="H221" s="42"/>
      <c r="I221" s="42"/>
      <c r="J221" s="42"/>
      <c r="K221" s="42"/>
      <c r="L221" s="42"/>
    </row>
    <row r="222" spans="1:12" x14ac:dyDescent="0.25">
      <c r="A222" s="3">
        <f t="shared" si="9"/>
        <v>1</v>
      </c>
      <c r="B222" s="3">
        <f>EDATE($B$3,Site!$I$40*(ROW(Tab_Compteur_8[[#This Row],[Début de période]])-3))</f>
        <v>0</v>
      </c>
      <c r="C222" s="185"/>
      <c r="E222">
        <f t="shared" si="8"/>
        <v>0</v>
      </c>
      <c r="F222" t="str">
        <f>IFERROR(Tab_Compteur_8[[#This Row],[Quantité]]/Tab_Compteur_8[[#This Row],[Delta Jour]],"")</f>
        <v/>
      </c>
      <c r="G222" t="str">
        <f>IFERROR(Tab_Compteur_8[[#This Row],[Montant TTC]]/Tab_Compteur_8[[#This Row],[Delta Jour]],"")</f>
        <v/>
      </c>
      <c r="H222" s="42"/>
      <c r="I222" s="42"/>
      <c r="J222" s="42"/>
      <c r="K222" s="42"/>
      <c r="L222" s="42"/>
    </row>
    <row r="223" spans="1:12" x14ac:dyDescent="0.25">
      <c r="A223" s="3">
        <f t="shared" si="9"/>
        <v>1</v>
      </c>
      <c r="B223" s="3">
        <f>EDATE($B$3,Site!$I$40*(ROW(Tab_Compteur_8[[#This Row],[Début de période]])-3))</f>
        <v>0</v>
      </c>
      <c r="C223" s="185"/>
      <c r="E223">
        <f t="shared" si="8"/>
        <v>0</v>
      </c>
      <c r="F223" t="str">
        <f>IFERROR(Tab_Compteur_8[[#This Row],[Quantité]]/Tab_Compteur_8[[#This Row],[Delta Jour]],"")</f>
        <v/>
      </c>
      <c r="G223" t="str">
        <f>IFERROR(Tab_Compteur_8[[#This Row],[Montant TTC]]/Tab_Compteur_8[[#This Row],[Delta Jour]],"")</f>
        <v/>
      </c>
      <c r="H223" s="42"/>
      <c r="I223" s="42"/>
      <c r="J223" s="42"/>
      <c r="K223" s="42"/>
      <c r="L223" s="42"/>
    </row>
    <row r="224" spans="1:12" x14ac:dyDescent="0.25">
      <c r="A224" s="3">
        <f t="shared" si="9"/>
        <v>1</v>
      </c>
      <c r="B224" s="3">
        <f>EDATE($B$3,Site!$I$40*(ROW(Tab_Compteur_8[[#This Row],[Début de période]])-3))</f>
        <v>0</v>
      </c>
      <c r="C224" s="185"/>
      <c r="E224">
        <f t="shared" si="8"/>
        <v>0</v>
      </c>
      <c r="F224" t="str">
        <f>IFERROR(Tab_Compteur_8[[#This Row],[Quantité]]/Tab_Compteur_8[[#This Row],[Delta Jour]],"")</f>
        <v/>
      </c>
      <c r="G224" t="str">
        <f>IFERROR(Tab_Compteur_8[[#This Row],[Montant TTC]]/Tab_Compteur_8[[#This Row],[Delta Jour]],"")</f>
        <v/>
      </c>
      <c r="H224" s="42"/>
      <c r="I224" s="42"/>
      <c r="J224" s="42"/>
      <c r="K224" s="42"/>
      <c r="L224" s="42"/>
    </row>
    <row r="225" spans="1:12" x14ac:dyDescent="0.25">
      <c r="A225" s="3">
        <f t="shared" si="9"/>
        <v>1</v>
      </c>
      <c r="B225" s="3">
        <f>EDATE($B$3,Site!$I$40*(ROW(Tab_Compteur_8[[#This Row],[Début de période]])-3))</f>
        <v>0</v>
      </c>
      <c r="C225" s="185"/>
      <c r="E225">
        <f t="shared" si="8"/>
        <v>0</v>
      </c>
      <c r="F225" t="str">
        <f>IFERROR(Tab_Compteur_8[[#This Row],[Quantité]]/Tab_Compteur_8[[#This Row],[Delta Jour]],"")</f>
        <v/>
      </c>
      <c r="G225" t="str">
        <f>IFERROR(Tab_Compteur_8[[#This Row],[Montant TTC]]/Tab_Compteur_8[[#This Row],[Delta Jour]],"")</f>
        <v/>
      </c>
      <c r="H225" s="42"/>
      <c r="I225" s="42"/>
      <c r="J225" s="42"/>
      <c r="K225" s="42"/>
      <c r="L225" s="42"/>
    </row>
    <row r="226" spans="1:12" x14ac:dyDescent="0.25">
      <c r="A226" s="3">
        <f t="shared" si="9"/>
        <v>1</v>
      </c>
      <c r="B226" s="3">
        <f>EDATE($B$3,Site!$I$40*(ROW(Tab_Compteur_8[[#This Row],[Début de période]])-3))</f>
        <v>0</v>
      </c>
      <c r="C226" s="185"/>
      <c r="E226">
        <f t="shared" si="8"/>
        <v>0</v>
      </c>
      <c r="F226" t="str">
        <f>IFERROR(Tab_Compteur_8[[#This Row],[Quantité]]/Tab_Compteur_8[[#This Row],[Delta Jour]],"")</f>
        <v/>
      </c>
      <c r="G226" t="str">
        <f>IFERROR(Tab_Compteur_8[[#This Row],[Montant TTC]]/Tab_Compteur_8[[#This Row],[Delta Jour]],"")</f>
        <v/>
      </c>
      <c r="H226" s="42"/>
      <c r="I226" s="42"/>
      <c r="J226" s="42"/>
      <c r="K226" s="42"/>
      <c r="L226" s="42"/>
    </row>
    <row r="227" spans="1:12" x14ac:dyDescent="0.25">
      <c r="A227" s="3">
        <f t="shared" si="9"/>
        <v>1</v>
      </c>
      <c r="B227" s="3">
        <f>EDATE($B$3,Site!$I$40*(ROW(Tab_Compteur_8[[#This Row],[Début de période]])-3))</f>
        <v>0</v>
      </c>
      <c r="C227" s="185"/>
      <c r="E227">
        <f t="shared" si="8"/>
        <v>0</v>
      </c>
      <c r="F227" t="str">
        <f>IFERROR(Tab_Compteur_8[[#This Row],[Quantité]]/Tab_Compteur_8[[#This Row],[Delta Jour]],"")</f>
        <v/>
      </c>
      <c r="G227" t="str">
        <f>IFERROR(Tab_Compteur_8[[#This Row],[Montant TTC]]/Tab_Compteur_8[[#This Row],[Delta Jour]],"")</f>
        <v/>
      </c>
      <c r="H227" s="42"/>
      <c r="I227" s="42"/>
      <c r="J227" s="42"/>
      <c r="K227" s="42"/>
      <c r="L227" s="42"/>
    </row>
    <row r="228" spans="1:12" x14ac:dyDescent="0.25">
      <c r="A228" s="3">
        <f t="shared" si="9"/>
        <v>1</v>
      </c>
      <c r="B228" s="3">
        <f>EDATE($B$3,Site!$I$40*(ROW(Tab_Compteur_8[[#This Row],[Début de période]])-3))</f>
        <v>0</v>
      </c>
      <c r="C228" s="185"/>
      <c r="E228">
        <f t="shared" si="8"/>
        <v>0</v>
      </c>
      <c r="F228" t="str">
        <f>IFERROR(Tab_Compteur_8[[#This Row],[Quantité]]/Tab_Compteur_8[[#This Row],[Delta Jour]],"")</f>
        <v/>
      </c>
      <c r="G228" t="str">
        <f>IFERROR(Tab_Compteur_8[[#This Row],[Montant TTC]]/Tab_Compteur_8[[#This Row],[Delta Jour]],"")</f>
        <v/>
      </c>
      <c r="H228" s="42"/>
      <c r="I228" s="42"/>
      <c r="J228" s="42"/>
      <c r="K228" s="42"/>
      <c r="L228" s="42"/>
    </row>
    <row r="229" spans="1:12" x14ac:dyDescent="0.25">
      <c r="A229" s="3">
        <f t="shared" si="9"/>
        <v>1</v>
      </c>
      <c r="B229" s="3">
        <f>EDATE($B$3,Site!$I$40*(ROW(Tab_Compteur_8[[#This Row],[Début de période]])-3))</f>
        <v>0</v>
      </c>
      <c r="C229" s="185"/>
      <c r="E229">
        <f t="shared" si="8"/>
        <v>0</v>
      </c>
      <c r="F229" t="str">
        <f>IFERROR(Tab_Compteur_8[[#This Row],[Quantité]]/Tab_Compteur_8[[#This Row],[Delta Jour]],"")</f>
        <v/>
      </c>
      <c r="G229" t="str">
        <f>IFERROR(Tab_Compteur_8[[#This Row],[Montant TTC]]/Tab_Compteur_8[[#This Row],[Delta Jour]],"")</f>
        <v/>
      </c>
      <c r="H229" s="42"/>
      <c r="I229" s="42"/>
      <c r="J229" s="42"/>
      <c r="K229" s="42"/>
      <c r="L229" s="42"/>
    </row>
    <row r="230" spans="1:12" x14ac:dyDescent="0.25">
      <c r="A230" s="3">
        <f t="shared" si="9"/>
        <v>1</v>
      </c>
      <c r="B230" s="3">
        <f>EDATE($B$3,Site!$I$40*(ROW(Tab_Compteur_8[[#This Row],[Début de période]])-3))</f>
        <v>0</v>
      </c>
      <c r="C230" s="185"/>
      <c r="E230">
        <f t="shared" si="8"/>
        <v>0</v>
      </c>
      <c r="F230" t="str">
        <f>IFERROR(Tab_Compteur_8[[#This Row],[Quantité]]/Tab_Compteur_8[[#This Row],[Delta Jour]],"")</f>
        <v/>
      </c>
      <c r="G230" t="str">
        <f>IFERROR(Tab_Compteur_8[[#This Row],[Montant TTC]]/Tab_Compteur_8[[#This Row],[Delta Jour]],"")</f>
        <v/>
      </c>
      <c r="H230" s="42"/>
      <c r="I230" s="42"/>
      <c r="J230" s="42"/>
      <c r="K230" s="42"/>
      <c r="L230" s="42"/>
    </row>
    <row r="231" spans="1:12" x14ac:dyDescent="0.25">
      <c r="A231" s="3">
        <f t="shared" si="9"/>
        <v>1</v>
      </c>
      <c r="B231" s="3">
        <f>EDATE($B$3,Site!$I$40*(ROW(Tab_Compteur_8[[#This Row],[Début de période]])-3))</f>
        <v>0</v>
      </c>
      <c r="C231" s="185"/>
      <c r="E231">
        <f t="shared" si="8"/>
        <v>0</v>
      </c>
      <c r="F231" t="str">
        <f>IFERROR(Tab_Compteur_8[[#This Row],[Quantité]]/Tab_Compteur_8[[#This Row],[Delta Jour]],"")</f>
        <v/>
      </c>
      <c r="G231" t="str">
        <f>IFERROR(Tab_Compteur_8[[#This Row],[Montant TTC]]/Tab_Compteur_8[[#This Row],[Delta Jour]],"")</f>
        <v/>
      </c>
      <c r="H231" s="42"/>
      <c r="I231" s="42"/>
      <c r="J231" s="42"/>
      <c r="K231" s="42"/>
      <c r="L231" s="42"/>
    </row>
    <row r="232" spans="1:12" x14ac:dyDescent="0.25">
      <c r="A232" s="3">
        <f t="shared" si="9"/>
        <v>1</v>
      </c>
      <c r="B232" s="3">
        <f>EDATE($B$3,Site!$I$40*(ROW(Tab_Compteur_8[[#This Row],[Début de période]])-3))</f>
        <v>0</v>
      </c>
      <c r="C232" s="185"/>
      <c r="E232">
        <f t="shared" si="8"/>
        <v>0</v>
      </c>
      <c r="F232" t="str">
        <f>IFERROR(Tab_Compteur_8[[#This Row],[Quantité]]/Tab_Compteur_8[[#This Row],[Delta Jour]],"")</f>
        <v/>
      </c>
      <c r="G232" t="str">
        <f>IFERROR(Tab_Compteur_8[[#This Row],[Montant TTC]]/Tab_Compteur_8[[#This Row],[Delta Jour]],"")</f>
        <v/>
      </c>
      <c r="H232" s="42"/>
      <c r="I232" s="42"/>
      <c r="J232" s="42"/>
      <c r="K232" s="42"/>
      <c r="L232" s="42"/>
    </row>
    <row r="233" spans="1:12" x14ac:dyDescent="0.25">
      <c r="A233" s="3">
        <f t="shared" si="9"/>
        <v>1</v>
      </c>
      <c r="B233" s="3">
        <f>EDATE($B$3,Site!$I$40*(ROW(Tab_Compteur_8[[#This Row],[Début de période]])-3))</f>
        <v>0</v>
      </c>
      <c r="C233" s="185"/>
      <c r="E233">
        <f t="shared" si="8"/>
        <v>0</v>
      </c>
      <c r="F233" t="str">
        <f>IFERROR(Tab_Compteur_8[[#This Row],[Quantité]]/Tab_Compteur_8[[#This Row],[Delta Jour]],"")</f>
        <v/>
      </c>
      <c r="G233" t="str">
        <f>IFERROR(Tab_Compteur_8[[#This Row],[Montant TTC]]/Tab_Compteur_8[[#This Row],[Delta Jour]],"")</f>
        <v/>
      </c>
      <c r="H233" s="42"/>
      <c r="I233" s="42"/>
      <c r="J233" s="42"/>
      <c r="K233" s="42"/>
      <c r="L233" s="42"/>
    </row>
    <row r="234" spans="1:12" x14ac:dyDescent="0.25">
      <c r="A234" s="3">
        <f t="shared" si="9"/>
        <v>1</v>
      </c>
      <c r="B234" s="3">
        <f>EDATE($B$3,Site!$I$40*(ROW(Tab_Compteur_8[[#This Row],[Début de période]])-3))</f>
        <v>0</v>
      </c>
      <c r="C234" s="185"/>
      <c r="E234">
        <f t="shared" si="8"/>
        <v>0</v>
      </c>
      <c r="F234" t="str">
        <f>IFERROR(Tab_Compteur_8[[#This Row],[Quantité]]/Tab_Compteur_8[[#This Row],[Delta Jour]],"")</f>
        <v/>
      </c>
      <c r="G234" t="str">
        <f>IFERROR(Tab_Compteur_8[[#This Row],[Montant TTC]]/Tab_Compteur_8[[#This Row],[Delta Jour]],"")</f>
        <v/>
      </c>
      <c r="H234" s="42"/>
      <c r="I234" s="42"/>
      <c r="J234" s="42"/>
      <c r="K234" s="42"/>
      <c r="L234" s="42"/>
    </row>
    <row r="235" spans="1:12" x14ac:dyDescent="0.25">
      <c r="A235" s="3">
        <f t="shared" si="9"/>
        <v>1</v>
      </c>
      <c r="B235" s="3">
        <f>EDATE($B$3,Site!$I$40*(ROW(Tab_Compteur_8[[#This Row],[Début de période]])-3))</f>
        <v>0</v>
      </c>
      <c r="C235" s="185"/>
      <c r="E235">
        <f t="shared" si="8"/>
        <v>0</v>
      </c>
      <c r="F235" t="str">
        <f>IFERROR(Tab_Compteur_8[[#This Row],[Quantité]]/Tab_Compteur_8[[#This Row],[Delta Jour]],"")</f>
        <v/>
      </c>
      <c r="G235" t="str">
        <f>IFERROR(Tab_Compteur_8[[#This Row],[Montant TTC]]/Tab_Compteur_8[[#This Row],[Delta Jour]],"")</f>
        <v/>
      </c>
      <c r="H235" s="42"/>
      <c r="I235" s="42"/>
      <c r="J235" s="42"/>
      <c r="K235" s="42"/>
      <c r="L235" s="42"/>
    </row>
    <row r="236" spans="1:12" x14ac:dyDescent="0.25">
      <c r="A236" s="3">
        <f t="shared" si="9"/>
        <v>1</v>
      </c>
      <c r="B236" s="3">
        <f>EDATE($B$3,Site!$I$40*(ROW(Tab_Compteur_8[[#This Row],[Début de période]])-3))</f>
        <v>0</v>
      </c>
      <c r="C236" s="185"/>
      <c r="E236">
        <f t="shared" si="8"/>
        <v>0</v>
      </c>
      <c r="F236" t="str">
        <f>IFERROR(Tab_Compteur_8[[#This Row],[Quantité]]/Tab_Compteur_8[[#This Row],[Delta Jour]],"")</f>
        <v/>
      </c>
      <c r="G236" t="str">
        <f>IFERROR(Tab_Compteur_8[[#This Row],[Montant TTC]]/Tab_Compteur_8[[#This Row],[Delta Jour]],"")</f>
        <v/>
      </c>
      <c r="H236" s="42"/>
      <c r="I236" s="42"/>
      <c r="J236" s="42"/>
      <c r="K236" s="42"/>
      <c r="L236" s="42"/>
    </row>
    <row r="237" spans="1:12" x14ac:dyDescent="0.25">
      <c r="A237" s="3">
        <f t="shared" si="9"/>
        <v>1</v>
      </c>
      <c r="B237" s="3">
        <f>EDATE($B$3,Site!$I$40*(ROW(Tab_Compteur_8[[#This Row],[Début de période]])-3))</f>
        <v>0</v>
      </c>
      <c r="C237" s="185"/>
      <c r="E237">
        <f t="shared" si="8"/>
        <v>0</v>
      </c>
      <c r="F237" t="str">
        <f>IFERROR(Tab_Compteur_8[[#This Row],[Quantité]]/Tab_Compteur_8[[#This Row],[Delta Jour]],"")</f>
        <v/>
      </c>
      <c r="G237" t="str">
        <f>IFERROR(Tab_Compteur_8[[#This Row],[Montant TTC]]/Tab_Compteur_8[[#This Row],[Delta Jour]],"")</f>
        <v/>
      </c>
      <c r="H237" s="42"/>
      <c r="I237" s="42"/>
      <c r="J237" s="42"/>
      <c r="K237" s="42"/>
      <c r="L237" s="42"/>
    </row>
    <row r="238" spans="1:12" x14ac:dyDescent="0.25">
      <c r="A238" s="3">
        <f t="shared" si="9"/>
        <v>1</v>
      </c>
      <c r="B238" s="3">
        <f>EDATE($B$3,Site!$I$40*(ROW(Tab_Compteur_8[[#This Row],[Début de période]])-3))</f>
        <v>0</v>
      </c>
      <c r="C238" s="185"/>
      <c r="E238">
        <f t="shared" si="8"/>
        <v>0</v>
      </c>
      <c r="F238" t="str">
        <f>IFERROR(Tab_Compteur_8[[#This Row],[Quantité]]/Tab_Compteur_8[[#This Row],[Delta Jour]],"")</f>
        <v/>
      </c>
      <c r="G238" t="str">
        <f>IFERROR(Tab_Compteur_8[[#This Row],[Montant TTC]]/Tab_Compteur_8[[#This Row],[Delta Jour]],"")</f>
        <v/>
      </c>
      <c r="H238" s="42"/>
      <c r="I238" s="42"/>
      <c r="J238" s="42"/>
      <c r="K238" s="42"/>
      <c r="L238" s="42"/>
    </row>
    <row r="239" spans="1:12" x14ac:dyDescent="0.25">
      <c r="A239" s="3">
        <f t="shared" si="9"/>
        <v>1</v>
      </c>
      <c r="B239" s="3">
        <f>EDATE($B$3,Site!$I$40*(ROW(Tab_Compteur_8[[#This Row],[Début de période]])-3))</f>
        <v>0</v>
      </c>
      <c r="C239" s="185"/>
      <c r="E239">
        <f t="shared" si="8"/>
        <v>0</v>
      </c>
      <c r="F239" t="str">
        <f>IFERROR(Tab_Compteur_8[[#This Row],[Quantité]]/Tab_Compteur_8[[#This Row],[Delta Jour]],"")</f>
        <v/>
      </c>
      <c r="G239" t="str">
        <f>IFERROR(Tab_Compteur_8[[#This Row],[Montant TTC]]/Tab_Compteur_8[[#This Row],[Delta Jour]],"")</f>
        <v/>
      </c>
      <c r="H239" s="42"/>
      <c r="I239" s="42"/>
      <c r="J239" s="42"/>
      <c r="K239" s="42"/>
      <c r="L239" s="42"/>
    </row>
    <row r="240" spans="1:12" x14ac:dyDescent="0.25">
      <c r="A240" s="3">
        <f t="shared" si="9"/>
        <v>1</v>
      </c>
      <c r="B240" s="3">
        <f>EDATE($B$3,Site!$I$40*(ROW(Tab_Compteur_8[[#This Row],[Début de période]])-3))</f>
        <v>0</v>
      </c>
      <c r="C240" s="185"/>
      <c r="E240">
        <f t="shared" si="8"/>
        <v>0</v>
      </c>
      <c r="F240" t="str">
        <f>IFERROR(Tab_Compteur_8[[#This Row],[Quantité]]/Tab_Compteur_8[[#This Row],[Delta Jour]],"")</f>
        <v/>
      </c>
      <c r="G240" t="str">
        <f>IFERROR(Tab_Compteur_8[[#This Row],[Montant TTC]]/Tab_Compteur_8[[#This Row],[Delta Jour]],"")</f>
        <v/>
      </c>
      <c r="H240" s="42"/>
      <c r="I240" s="42"/>
      <c r="J240" s="42"/>
      <c r="K240" s="42"/>
      <c r="L240" s="42"/>
    </row>
    <row r="241" spans="1:12" x14ac:dyDescent="0.25">
      <c r="A241" s="3">
        <f t="shared" si="9"/>
        <v>1</v>
      </c>
      <c r="B241" s="3">
        <f>EDATE($B$3,Site!$I$40*(ROW(Tab_Compteur_8[[#This Row],[Début de période]])-3))</f>
        <v>0</v>
      </c>
      <c r="C241" s="185"/>
      <c r="E241">
        <f t="shared" si="8"/>
        <v>0</v>
      </c>
      <c r="F241" t="str">
        <f>IFERROR(Tab_Compteur_8[[#This Row],[Quantité]]/Tab_Compteur_8[[#This Row],[Delta Jour]],"")</f>
        <v/>
      </c>
      <c r="G241" t="str">
        <f>IFERROR(Tab_Compteur_8[[#This Row],[Montant TTC]]/Tab_Compteur_8[[#This Row],[Delta Jour]],"")</f>
        <v/>
      </c>
      <c r="H241" s="42"/>
      <c r="I241" s="42"/>
      <c r="J241" s="42"/>
      <c r="K241" s="42"/>
      <c r="L241" s="42"/>
    </row>
    <row r="242" spans="1:12" x14ac:dyDescent="0.25">
      <c r="A242" s="3">
        <f t="shared" si="9"/>
        <v>1</v>
      </c>
      <c r="B242" s="3">
        <f>EDATE($B$3,Site!$I$40*(ROW(Tab_Compteur_8[[#This Row],[Début de période]])-3))</f>
        <v>0</v>
      </c>
      <c r="C242" s="185"/>
      <c r="E242">
        <f t="shared" si="8"/>
        <v>0</v>
      </c>
      <c r="F242" t="str">
        <f>IFERROR(Tab_Compteur_8[[#This Row],[Quantité]]/Tab_Compteur_8[[#This Row],[Delta Jour]],"")</f>
        <v/>
      </c>
      <c r="G242" t="str">
        <f>IFERROR(Tab_Compteur_8[[#This Row],[Montant TTC]]/Tab_Compteur_8[[#This Row],[Delta Jour]],"")</f>
        <v/>
      </c>
      <c r="H242" s="42"/>
      <c r="I242" s="42"/>
      <c r="J242" s="42"/>
      <c r="K242" s="42"/>
      <c r="L242" s="42"/>
    </row>
  </sheetData>
  <sheetProtection sheet="1" objects="1" scenarios="1"/>
  <protectedRanges>
    <protectedRange sqref="H1:H1048576" name="Plage3"/>
    <protectedRange sqref="C3:D58" name="Donnée_compteur1"/>
    <protectedRange sqref="A59:D242 A3:B58" name="Données_compteur"/>
  </protectedRanges>
  <mergeCells count="1">
    <mergeCell ref="H7:L18"/>
  </mergeCells>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K33"/>
  <sheetViews>
    <sheetView workbookViewId="0"/>
  </sheetViews>
  <sheetFormatPr baseColWidth="10" defaultColWidth="0" defaultRowHeight="15" customHeight="1" zeroHeight="1" x14ac:dyDescent="0.25"/>
  <cols>
    <col min="1" max="11" width="11.42578125" customWidth="1"/>
    <col min="12" max="16384" width="11.42578125" hidden="1"/>
  </cols>
  <sheetData>
    <row r="1" spans="1:11" x14ac:dyDescent="0.25">
      <c r="A1" s="42"/>
      <c r="B1" s="42"/>
      <c r="C1" s="42"/>
      <c r="D1" s="42"/>
      <c r="E1" s="42"/>
      <c r="F1" s="42"/>
      <c r="G1" s="42"/>
      <c r="H1" s="42"/>
      <c r="I1" s="42"/>
      <c r="J1" s="42"/>
      <c r="K1" s="42"/>
    </row>
    <row r="2" spans="1:11" x14ac:dyDescent="0.25">
      <c r="A2" s="42"/>
      <c r="B2" s="42"/>
      <c r="C2" s="42"/>
      <c r="D2" s="42"/>
      <c r="E2" s="42"/>
      <c r="F2" s="42"/>
      <c r="G2" s="42"/>
      <c r="H2" s="42"/>
      <c r="I2" s="42"/>
      <c r="J2" s="42"/>
      <c r="K2" s="42"/>
    </row>
    <row r="3" spans="1:11" x14ac:dyDescent="0.25">
      <c r="A3" s="42"/>
      <c r="B3" s="147" t="s">
        <v>198</v>
      </c>
      <c r="C3" s="323">
        <f>Site!C2</f>
        <v>0</v>
      </c>
      <c r="D3" s="323"/>
      <c r="E3" s="323"/>
      <c r="F3" s="42"/>
      <c r="G3" s="42"/>
      <c r="H3" s="42"/>
      <c r="I3" s="42"/>
      <c r="J3" s="42"/>
      <c r="K3" s="42"/>
    </row>
    <row r="4" spans="1:11" x14ac:dyDescent="0.25">
      <c r="A4" s="42"/>
      <c r="B4" s="42"/>
      <c r="C4" s="42"/>
      <c r="D4" s="42"/>
      <c r="E4" s="42"/>
      <c r="F4" s="42"/>
      <c r="G4" s="42"/>
      <c r="H4" s="42"/>
      <c r="I4" s="42"/>
      <c r="J4" s="42"/>
      <c r="K4" s="42"/>
    </row>
    <row r="5" spans="1:11" x14ac:dyDescent="0.25">
      <c r="A5" s="42"/>
      <c r="B5" s="146"/>
      <c r="C5" s="146" t="s">
        <v>162</v>
      </c>
      <c r="D5" s="92" t="str">
        <f>BDD_DJU!$I$11</f>
        <v>Le Mans</v>
      </c>
      <c r="E5" s="42"/>
      <c r="F5" s="42"/>
      <c r="G5" s="42"/>
      <c r="H5" s="42"/>
      <c r="I5" s="42"/>
      <c r="J5" s="42"/>
      <c r="K5" s="42"/>
    </row>
    <row r="6" spans="1:11" x14ac:dyDescent="0.25">
      <c r="A6" s="42"/>
      <c r="B6" s="42"/>
      <c r="C6" s="42"/>
      <c r="D6" s="42"/>
      <c r="E6" s="42"/>
      <c r="F6" s="42"/>
      <c r="G6" s="42"/>
      <c r="H6" s="42"/>
      <c r="I6" s="42"/>
      <c r="J6" s="42"/>
      <c r="K6" s="42"/>
    </row>
    <row r="7" spans="1:11" x14ac:dyDescent="0.25">
      <c r="A7" s="42"/>
      <c r="B7" s="42"/>
      <c r="C7" s="42"/>
      <c r="D7" s="42"/>
      <c r="E7" s="42"/>
      <c r="F7" s="42"/>
      <c r="G7" s="42"/>
      <c r="H7" s="42"/>
      <c r="I7" s="42"/>
      <c r="J7" s="42"/>
      <c r="K7" s="42"/>
    </row>
    <row r="8" spans="1:11" x14ac:dyDescent="0.25">
      <c r="A8" s="42"/>
      <c r="B8" s="42"/>
      <c r="C8" s="42"/>
      <c r="D8" s="42"/>
      <c r="E8" s="42"/>
      <c r="F8" s="42"/>
      <c r="G8" s="42"/>
      <c r="H8" s="42"/>
      <c r="I8" s="42"/>
      <c r="J8" s="42"/>
      <c r="K8" s="42"/>
    </row>
    <row r="9" spans="1:11" x14ac:dyDescent="0.25">
      <c r="A9" s="42"/>
      <c r="B9" s="42"/>
      <c r="C9" s="42"/>
      <c r="D9" s="42"/>
      <c r="E9" s="42"/>
      <c r="F9" s="42"/>
      <c r="G9" s="42"/>
      <c r="H9" s="42"/>
      <c r="I9" s="42"/>
      <c r="J9" s="42"/>
      <c r="K9" s="42"/>
    </row>
    <row r="10" spans="1:11" x14ac:dyDescent="0.25">
      <c r="A10" s="42"/>
      <c r="B10" s="42"/>
      <c r="C10" s="42"/>
      <c r="D10" s="42"/>
      <c r="E10" s="42"/>
      <c r="F10" s="42"/>
      <c r="G10" s="42"/>
      <c r="H10" s="42"/>
      <c r="I10" s="42"/>
      <c r="J10" s="42"/>
      <c r="K10" s="42"/>
    </row>
    <row r="11" spans="1:11" x14ac:dyDescent="0.25">
      <c r="A11" s="42"/>
      <c r="B11" s="42"/>
      <c r="C11" s="42"/>
      <c r="D11" s="42"/>
      <c r="E11" s="42"/>
      <c r="F11" s="42"/>
      <c r="G11" s="42"/>
      <c r="H11" s="42"/>
      <c r="I11" s="42"/>
      <c r="J11" s="42"/>
      <c r="K11" s="42"/>
    </row>
    <row r="12" spans="1:11" x14ac:dyDescent="0.25">
      <c r="A12" s="42"/>
      <c r="B12" s="42"/>
      <c r="C12" s="42"/>
      <c r="D12" s="42"/>
      <c r="E12" s="42"/>
      <c r="F12" s="42"/>
      <c r="G12" s="42"/>
      <c r="H12" s="42"/>
      <c r="I12" s="42"/>
      <c r="J12" s="42"/>
      <c r="K12" s="42"/>
    </row>
    <row r="13" spans="1:11" x14ac:dyDescent="0.25">
      <c r="A13" s="42"/>
      <c r="B13" s="42"/>
      <c r="C13" s="42"/>
      <c r="D13" s="42"/>
      <c r="E13" s="42"/>
      <c r="F13" s="42"/>
      <c r="G13" s="42"/>
      <c r="H13" s="42"/>
      <c r="I13" s="42"/>
      <c r="J13" s="42"/>
      <c r="K13" s="42"/>
    </row>
    <row r="14" spans="1:11" x14ac:dyDescent="0.25">
      <c r="A14" s="42"/>
      <c r="B14" s="42"/>
      <c r="C14" s="42"/>
      <c r="D14" s="42"/>
      <c r="E14" s="42"/>
      <c r="F14" s="42"/>
      <c r="G14" s="42"/>
      <c r="H14" s="42"/>
      <c r="I14" s="42"/>
      <c r="J14" s="42"/>
      <c r="K14" s="42"/>
    </row>
    <row r="15" spans="1:11" x14ac:dyDescent="0.25">
      <c r="A15" s="42"/>
      <c r="B15" s="42"/>
      <c r="C15" s="42"/>
      <c r="D15" s="42"/>
      <c r="E15" s="42"/>
      <c r="F15" s="42"/>
      <c r="G15" s="42"/>
      <c r="H15" s="42"/>
      <c r="I15" s="42"/>
      <c r="J15" s="42"/>
      <c r="K15" s="42"/>
    </row>
    <row r="16" spans="1:11" x14ac:dyDescent="0.25">
      <c r="A16" s="42"/>
      <c r="B16" s="42"/>
      <c r="C16" s="42"/>
      <c r="D16" s="42"/>
      <c r="E16" s="42"/>
      <c r="F16" s="42"/>
      <c r="G16" s="42"/>
      <c r="H16" s="42"/>
      <c r="I16" s="42"/>
      <c r="J16" s="42"/>
      <c r="K16" s="42"/>
    </row>
    <row r="17" spans="1:11" x14ac:dyDescent="0.25">
      <c r="A17" s="42"/>
      <c r="B17" s="42"/>
      <c r="C17" s="42"/>
      <c r="D17" s="42"/>
      <c r="E17" s="42"/>
      <c r="F17" s="42"/>
      <c r="G17" s="42"/>
      <c r="H17" s="42"/>
      <c r="I17" s="42"/>
      <c r="J17" s="42"/>
      <c r="K17" s="42"/>
    </row>
    <row r="18" spans="1:11" x14ac:dyDescent="0.25">
      <c r="A18" s="42"/>
      <c r="B18" s="42"/>
      <c r="C18" s="42"/>
      <c r="D18" s="42"/>
      <c r="E18" s="42"/>
      <c r="F18" s="42"/>
      <c r="G18" s="42"/>
      <c r="H18" s="42"/>
      <c r="I18" s="42"/>
      <c r="J18" s="42"/>
      <c r="K18" s="42"/>
    </row>
    <row r="19" spans="1:11" x14ac:dyDescent="0.25">
      <c r="A19" s="42"/>
      <c r="B19" s="42"/>
      <c r="C19" s="42"/>
      <c r="D19" s="42"/>
      <c r="E19" s="42"/>
      <c r="F19" s="42"/>
      <c r="G19" s="42"/>
      <c r="H19" s="42"/>
      <c r="I19" s="42"/>
      <c r="J19" s="42"/>
      <c r="K19" s="42"/>
    </row>
    <row r="20" spans="1:11" x14ac:dyDescent="0.25">
      <c r="A20" s="42"/>
      <c r="B20" s="42"/>
      <c r="C20" s="42"/>
      <c r="D20" s="42"/>
      <c r="E20" s="42"/>
      <c r="F20" s="42"/>
      <c r="G20" s="42"/>
      <c r="H20" s="42"/>
      <c r="I20" s="42"/>
      <c r="J20" s="42"/>
      <c r="K20" s="42"/>
    </row>
    <row r="21" spans="1:11" x14ac:dyDescent="0.25">
      <c r="A21" s="42"/>
      <c r="B21" s="42"/>
      <c r="C21" s="42"/>
      <c r="D21" s="42"/>
      <c r="E21" s="42"/>
      <c r="F21" s="42"/>
      <c r="G21" s="42"/>
      <c r="H21" s="42"/>
      <c r="I21" s="42"/>
      <c r="J21" s="42"/>
      <c r="K21" s="42"/>
    </row>
    <row r="22" spans="1:11" x14ac:dyDescent="0.25">
      <c r="A22" s="42"/>
      <c r="B22" s="42"/>
      <c r="C22" s="42"/>
      <c r="D22" s="42"/>
      <c r="E22" s="42"/>
      <c r="F22" s="42"/>
      <c r="G22" s="42"/>
      <c r="H22" s="42"/>
      <c r="I22" s="42"/>
      <c r="J22" s="42"/>
      <c r="K22" s="42"/>
    </row>
    <row r="23" spans="1:11" x14ac:dyDescent="0.25">
      <c r="A23" s="42"/>
      <c r="B23" s="42"/>
      <c r="C23" s="42"/>
      <c r="D23" s="42"/>
      <c r="E23" s="42"/>
      <c r="F23" s="42"/>
      <c r="G23" s="42"/>
      <c r="H23" s="42"/>
      <c r="I23" s="42"/>
      <c r="J23" s="42"/>
      <c r="K23" s="42"/>
    </row>
    <row r="24" spans="1:11" x14ac:dyDescent="0.25">
      <c r="A24" s="42"/>
      <c r="B24" s="42"/>
      <c r="C24" s="42"/>
      <c r="D24" s="42"/>
      <c r="E24" s="42"/>
      <c r="F24" s="42"/>
      <c r="G24" s="42"/>
      <c r="H24" s="42"/>
      <c r="I24" s="42"/>
      <c r="J24" s="42"/>
      <c r="K24" s="42"/>
    </row>
    <row r="25" spans="1:11" x14ac:dyDescent="0.25">
      <c r="A25" s="42"/>
      <c r="B25" s="42"/>
      <c r="C25" s="42"/>
      <c r="D25" s="42"/>
      <c r="E25" s="42"/>
      <c r="F25" s="42"/>
      <c r="G25" s="42"/>
      <c r="H25" s="42"/>
      <c r="I25" s="42"/>
      <c r="J25" s="42"/>
      <c r="K25" s="42"/>
    </row>
    <row r="26" spans="1:11" x14ac:dyDescent="0.25">
      <c r="A26" s="42"/>
      <c r="B26" s="42"/>
      <c r="C26" s="42"/>
      <c r="D26" s="42"/>
      <c r="E26" s="42"/>
      <c r="F26" s="42"/>
      <c r="G26" s="42"/>
      <c r="H26" s="42"/>
      <c r="I26" s="42"/>
      <c r="J26" s="42"/>
      <c r="K26" s="42"/>
    </row>
    <row r="27" spans="1:11" x14ac:dyDescent="0.25">
      <c r="A27" s="42"/>
      <c r="B27" s="42"/>
      <c r="C27" s="42"/>
      <c r="D27" s="42"/>
      <c r="E27" s="42"/>
      <c r="F27" s="42"/>
      <c r="G27" s="42"/>
      <c r="H27" s="42"/>
      <c r="I27" s="42"/>
      <c r="J27" s="42"/>
      <c r="K27" s="42"/>
    </row>
    <row r="28" spans="1:11" x14ac:dyDescent="0.25">
      <c r="A28" s="42"/>
      <c r="B28" s="42"/>
      <c r="C28" s="42"/>
      <c r="D28" s="42"/>
      <c r="E28" s="42"/>
      <c r="F28" s="42"/>
      <c r="G28" s="42"/>
      <c r="H28" s="42"/>
      <c r="I28" s="42"/>
      <c r="J28" s="42"/>
      <c r="K28" s="42"/>
    </row>
    <row r="29" spans="1:11" x14ac:dyDescent="0.25">
      <c r="A29" s="42"/>
      <c r="B29" s="42"/>
      <c r="C29" s="42"/>
      <c r="D29" s="42"/>
      <c r="E29" s="42"/>
      <c r="F29" s="42"/>
      <c r="G29" s="42"/>
      <c r="H29" s="42"/>
      <c r="I29" s="42"/>
      <c r="J29" s="42"/>
      <c r="K29" s="42"/>
    </row>
    <row r="30" spans="1:11" x14ac:dyDescent="0.25">
      <c r="A30" s="42"/>
      <c r="B30" s="42"/>
      <c r="C30" s="42"/>
      <c r="D30" s="42"/>
      <c r="E30" s="42"/>
      <c r="F30" s="42"/>
      <c r="G30" s="42"/>
      <c r="H30" s="42"/>
      <c r="I30" s="42"/>
      <c r="J30" s="42"/>
      <c r="K30" s="42"/>
    </row>
    <row r="31" spans="1:11" x14ac:dyDescent="0.25">
      <c r="A31" s="42"/>
      <c r="B31" s="42"/>
      <c r="C31" s="42"/>
      <c r="D31" s="42"/>
      <c r="E31" s="42"/>
      <c r="F31" s="42"/>
      <c r="G31" s="42"/>
      <c r="H31" s="42"/>
      <c r="I31" s="42"/>
      <c r="J31" s="42"/>
      <c r="K31" s="42"/>
    </row>
    <row r="32" spans="1:11" x14ac:dyDescent="0.25">
      <c r="A32" s="42"/>
      <c r="B32" s="42"/>
      <c r="C32" s="42"/>
      <c r="D32" s="42"/>
      <c r="E32" s="42"/>
      <c r="F32" s="42"/>
      <c r="G32" s="42"/>
      <c r="H32" s="42"/>
      <c r="I32" s="42"/>
      <c r="J32" s="42"/>
      <c r="K32" s="42"/>
    </row>
    <row r="33" spans="1:11" x14ac:dyDescent="0.25">
      <c r="A33" s="42"/>
      <c r="B33" s="42"/>
      <c r="C33" s="42"/>
      <c r="D33" s="42"/>
      <c r="E33" s="42"/>
      <c r="F33" s="42"/>
      <c r="G33" s="42" t="s">
        <v>364</v>
      </c>
      <c r="H33" s="42"/>
      <c r="I33" s="42"/>
      <c r="J33" s="42"/>
      <c r="K33" s="42"/>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opLeftCell="A9" workbookViewId="0">
      <selection activeCell="B11" sqref="B11"/>
    </sheetView>
  </sheetViews>
  <sheetFormatPr baseColWidth="10" defaultRowHeight="15" x14ac:dyDescent="0.25"/>
  <cols>
    <col min="1" max="1" width="11.42578125" style="211"/>
    <col min="2" max="2" width="134.28515625" customWidth="1"/>
  </cols>
  <sheetData>
    <row r="1" spans="1:5" ht="30" x14ac:dyDescent="0.25">
      <c r="B1" s="97" t="s">
        <v>437</v>
      </c>
      <c r="D1" t="s">
        <v>401</v>
      </c>
    </row>
    <row r="2" spans="1:5" x14ac:dyDescent="0.25">
      <c r="D2" t="s">
        <v>402</v>
      </c>
      <c r="E2" t="s">
        <v>436</v>
      </c>
    </row>
    <row r="3" spans="1:5" x14ac:dyDescent="0.25">
      <c r="A3" s="211" t="s">
        <v>215</v>
      </c>
      <c r="B3" t="s">
        <v>216</v>
      </c>
    </row>
    <row r="4" spans="1:5" ht="90" x14ac:dyDescent="0.25">
      <c r="A4" s="211" t="s">
        <v>217</v>
      </c>
      <c r="B4" s="95" t="s">
        <v>229</v>
      </c>
    </row>
    <row r="5" spans="1:5" ht="44.25" customHeight="1" x14ac:dyDescent="0.25">
      <c r="A5" s="211" t="s">
        <v>231</v>
      </c>
      <c r="B5" s="95" t="s">
        <v>238</v>
      </c>
    </row>
    <row r="6" spans="1:5" ht="135" x14ac:dyDescent="0.25">
      <c r="A6" s="211" t="s">
        <v>274</v>
      </c>
      <c r="B6" s="95" t="s">
        <v>327</v>
      </c>
    </row>
    <row r="7" spans="1:5" ht="120" x14ac:dyDescent="0.25">
      <c r="A7" s="211" t="s">
        <v>309</v>
      </c>
      <c r="B7" s="95" t="s">
        <v>326</v>
      </c>
    </row>
    <row r="8" spans="1:5" ht="165" x14ac:dyDescent="0.25">
      <c r="A8" s="211" t="s">
        <v>397</v>
      </c>
      <c r="B8" s="95" t="s">
        <v>453</v>
      </c>
    </row>
    <row r="9" spans="1:5" ht="300" x14ac:dyDescent="0.25">
      <c r="A9" s="211" t="s">
        <v>454</v>
      </c>
      <c r="B9" s="97" t="s">
        <v>499</v>
      </c>
    </row>
  </sheetData>
  <pageMargins left="0.7" right="0.7" top="0.75" bottom="0.75" header="0.3" footer="0.3"/>
  <pageSetup paperSize="9" orientation="portrait" horizontalDpi="4294967293"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94"/>
  <sheetViews>
    <sheetView workbookViewId="0"/>
  </sheetViews>
  <sheetFormatPr baseColWidth="10" defaultRowHeight="15" x14ac:dyDescent="0.25"/>
  <cols>
    <col min="1" max="1" width="22.85546875" customWidth="1"/>
    <col min="5" max="5" width="18.85546875" customWidth="1"/>
    <col min="6" max="6" width="17.7109375" customWidth="1"/>
    <col min="8" max="8" width="21.5703125" customWidth="1"/>
    <col min="9" max="9" width="27" customWidth="1"/>
    <col min="10" max="10" width="25.7109375" bestFit="1" customWidth="1"/>
    <col min="11" max="11" width="7.7109375" bestFit="1" customWidth="1"/>
    <col min="12" max="12" width="21.5703125" customWidth="1"/>
    <col min="13" max="13" width="25.7109375" customWidth="1"/>
    <col min="14" max="14" width="25.7109375" bestFit="1" customWidth="1"/>
    <col min="15" max="15" width="7.7109375" bestFit="1" customWidth="1"/>
    <col min="16" max="16" width="21.5703125" customWidth="1"/>
    <col min="17" max="17" width="27" customWidth="1"/>
    <col min="18" max="28" width="7.7109375" bestFit="1" customWidth="1"/>
    <col min="29" max="29" width="6.7109375" bestFit="1" customWidth="1"/>
    <col min="30" max="32" width="7.7109375" bestFit="1" customWidth="1"/>
    <col min="33" max="33" width="18.42578125" bestFit="1" customWidth="1"/>
    <col min="34" max="34" width="11.7109375" bestFit="1" customWidth="1"/>
  </cols>
  <sheetData>
    <row r="1" spans="1:17" x14ac:dyDescent="0.25">
      <c r="A1" s="32" t="s">
        <v>434</v>
      </c>
      <c r="B1" s="32" t="s">
        <v>94</v>
      </c>
      <c r="C1" s="32" t="s">
        <v>95</v>
      </c>
      <c r="D1" s="32" t="s">
        <v>219</v>
      </c>
      <c r="E1" s="32" t="s">
        <v>96</v>
      </c>
      <c r="F1" s="32" t="s">
        <v>97</v>
      </c>
    </row>
    <row r="2" spans="1:17" hidden="1" x14ac:dyDescent="0.25">
      <c r="A2" s="30" t="s">
        <v>98</v>
      </c>
      <c r="B2" s="30">
        <v>2000</v>
      </c>
      <c r="C2" s="30" t="s">
        <v>99</v>
      </c>
      <c r="D2" s="30">
        <v>1</v>
      </c>
      <c r="E2" s="30">
        <v>376.6</v>
      </c>
      <c r="F2" s="30">
        <v>0</v>
      </c>
    </row>
    <row r="3" spans="1:17" hidden="1" x14ac:dyDescent="0.25">
      <c r="A3" s="30" t="s">
        <v>98</v>
      </c>
      <c r="B3" s="30">
        <v>2000</v>
      </c>
      <c r="C3" s="30" t="s">
        <v>100</v>
      </c>
      <c r="D3" s="30">
        <v>2</v>
      </c>
      <c r="E3" s="30">
        <v>285.3</v>
      </c>
      <c r="F3" s="30">
        <v>0</v>
      </c>
    </row>
    <row r="4" spans="1:17" hidden="1" x14ac:dyDescent="0.25">
      <c r="A4" s="30" t="s">
        <v>98</v>
      </c>
      <c r="B4" s="30">
        <v>2000</v>
      </c>
      <c r="C4" s="30" t="s">
        <v>101</v>
      </c>
      <c r="D4" s="30">
        <v>3</v>
      </c>
      <c r="E4" s="30">
        <v>321.10000000000002</v>
      </c>
      <c r="F4" s="30">
        <v>0</v>
      </c>
    </row>
    <row r="5" spans="1:17" hidden="1" x14ac:dyDescent="0.25">
      <c r="A5" s="30" t="s">
        <v>98</v>
      </c>
      <c r="B5" s="30">
        <v>2000</v>
      </c>
      <c r="C5" s="30" t="s">
        <v>102</v>
      </c>
      <c r="D5" s="30">
        <v>4</v>
      </c>
      <c r="E5" s="30">
        <v>290.2</v>
      </c>
      <c r="F5" s="30">
        <v>0</v>
      </c>
      <c r="H5" s="104"/>
    </row>
    <row r="6" spans="1:17" hidden="1" x14ac:dyDescent="0.25">
      <c r="A6" s="30" t="s">
        <v>98</v>
      </c>
      <c r="B6" s="30">
        <v>2000</v>
      </c>
      <c r="C6" s="30" t="s">
        <v>103</v>
      </c>
      <c r="D6" s="30">
        <v>5</v>
      </c>
      <c r="E6" s="30">
        <v>172.5</v>
      </c>
      <c r="F6" s="30">
        <v>4.5999999999999996</v>
      </c>
      <c r="H6" s="104"/>
    </row>
    <row r="7" spans="1:17" hidden="1" x14ac:dyDescent="0.25">
      <c r="A7" s="30" t="s">
        <v>98</v>
      </c>
      <c r="B7" s="30">
        <v>2000</v>
      </c>
      <c r="C7" s="30" t="s">
        <v>104</v>
      </c>
      <c r="D7" s="30">
        <v>6</v>
      </c>
      <c r="E7" s="30">
        <v>90</v>
      </c>
      <c r="F7" s="30">
        <v>24.2</v>
      </c>
    </row>
    <row r="8" spans="1:17" hidden="1" x14ac:dyDescent="0.25">
      <c r="A8" s="30" t="s">
        <v>98</v>
      </c>
      <c r="B8" s="30">
        <v>2000</v>
      </c>
      <c r="C8" s="30" t="s">
        <v>105</v>
      </c>
      <c r="D8" s="30">
        <v>7</v>
      </c>
      <c r="E8" s="30">
        <v>78.7</v>
      </c>
      <c r="F8" s="30">
        <v>14</v>
      </c>
    </row>
    <row r="9" spans="1:17" hidden="1" x14ac:dyDescent="0.25">
      <c r="A9" s="30" t="s">
        <v>98</v>
      </c>
      <c r="B9" s="30">
        <v>2000</v>
      </c>
      <c r="C9" s="30" t="s">
        <v>106</v>
      </c>
      <c r="D9" s="30">
        <v>8</v>
      </c>
      <c r="E9" s="30">
        <v>52.8</v>
      </c>
      <c r="F9" s="30">
        <v>30.2</v>
      </c>
    </row>
    <row r="10" spans="1:17" hidden="1" x14ac:dyDescent="0.25">
      <c r="A10" s="30" t="s">
        <v>98</v>
      </c>
      <c r="B10" s="30">
        <v>2000</v>
      </c>
      <c r="C10" s="30" t="s">
        <v>107</v>
      </c>
      <c r="D10" s="30">
        <v>9</v>
      </c>
      <c r="E10" s="30">
        <v>78</v>
      </c>
      <c r="F10" s="30">
        <v>20.8</v>
      </c>
    </row>
    <row r="11" spans="1:17" hidden="1" x14ac:dyDescent="0.25">
      <c r="A11" s="30" t="s">
        <v>98</v>
      </c>
      <c r="B11" s="30">
        <v>2000</v>
      </c>
      <c r="C11" s="30" t="s">
        <v>108</v>
      </c>
      <c r="D11" s="30">
        <v>10</v>
      </c>
      <c r="E11" s="30">
        <v>204.2</v>
      </c>
      <c r="F11" s="30">
        <v>0</v>
      </c>
      <c r="H11" s="232" t="s">
        <v>434</v>
      </c>
      <c r="I11" s="231" t="s">
        <v>269</v>
      </c>
      <c r="L11" s="232" t="s">
        <v>434</v>
      </c>
      <c r="M11" s="231" t="s">
        <v>269</v>
      </c>
      <c r="P11" s="232" t="s">
        <v>434</v>
      </c>
      <c r="Q11" s="231" t="s">
        <v>269</v>
      </c>
    </row>
    <row r="12" spans="1:17" hidden="1" x14ac:dyDescent="0.25">
      <c r="A12" s="30" t="s">
        <v>98</v>
      </c>
      <c r="B12" s="30">
        <v>2000</v>
      </c>
      <c r="C12" s="30" t="s">
        <v>109</v>
      </c>
      <c r="D12" s="30">
        <v>11</v>
      </c>
      <c r="E12" s="30">
        <v>283.2</v>
      </c>
      <c r="F12" s="30">
        <v>0</v>
      </c>
    </row>
    <row r="13" spans="1:17" hidden="1" x14ac:dyDescent="0.25">
      <c r="A13" s="30" t="s">
        <v>98</v>
      </c>
      <c r="B13" s="30">
        <v>2000</v>
      </c>
      <c r="C13" s="30" t="s">
        <v>110</v>
      </c>
      <c r="D13" s="30">
        <v>12</v>
      </c>
      <c r="E13" s="30">
        <v>307.5</v>
      </c>
      <c r="F13" s="30">
        <v>0</v>
      </c>
      <c r="H13" s="232" t="s">
        <v>34</v>
      </c>
      <c r="I13" t="s">
        <v>117</v>
      </c>
      <c r="L13" s="232" t="s">
        <v>34</v>
      </c>
      <c r="M13" t="s">
        <v>118</v>
      </c>
      <c r="P13" s="232" t="s">
        <v>34</v>
      </c>
      <c r="Q13" t="s">
        <v>117</v>
      </c>
    </row>
    <row r="14" spans="1:17" hidden="1" x14ac:dyDescent="0.25">
      <c r="A14" s="30" t="s">
        <v>111</v>
      </c>
      <c r="B14" s="30">
        <v>2000</v>
      </c>
      <c r="C14" s="30" t="s">
        <v>99</v>
      </c>
      <c r="D14" s="30">
        <v>1</v>
      </c>
      <c r="E14" s="30">
        <v>353.1</v>
      </c>
      <c r="F14" s="30">
        <v>0</v>
      </c>
      <c r="H14" s="233">
        <v>2001</v>
      </c>
      <c r="I14" s="221">
        <v>2179.8000000000002</v>
      </c>
      <c r="L14" s="233">
        <v>2001</v>
      </c>
      <c r="M14" s="221">
        <v>262.8</v>
      </c>
      <c r="P14" s="233">
        <v>2001</v>
      </c>
      <c r="Q14" s="221">
        <v>2429.5000000000005</v>
      </c>
    </row>
    <row r="15" spans="1:17" hidden="1" x14ac:dyDescent="0.25">
      <c r="A15" s="30" t="s">
        <v>111</v>
      </c>
      <c r="B15" s="30">
        <v>2000</v>
      </c>
      <c r="C15" s="30" t="s">
        <v>100</v>
      </c>
      <c r="D15" s="30">
        <v>2</v>
      </c>
      <c r="E15" s="30">
        <v>272.3</v>
      </c>
      <c r="F15" s="30">
        <v>0</v>
      </c>
      <c r="H15" s="234">
        <v>1</v>
      </c>
      <c r="I15" s="221">
        <v>382.8</v>
      </c>
      <c r="L15" s="234" t="s">
        <v>104</v>
      </c>
      <c r="M15" s="221">
        <v>60.2</v>
      </c>
      <c r="P15" s="234">
        <v>1</v>
      </c>
      <c r="Q15" s="221">
        <v>382.8</v>
      </c>
    </row>
    <row r="16" spans="1:17" hidden="1" x14ac:dyDescent="0.25">
      <c r="A16" s="30" t="s">
        <v>111</v>
      </c>
      <c r="B16" s="30">
        <v>2000</v>
      </c>
      <c r="C16" s="30" t="s">
        <v>101</v>
      </c>
      <c r="D16" s="30">
        <v>3</v>
      </c>
      <c r="E16" s="30">
        <v>312.10000000000002</v>
      </c>
      <c r="F16" s="30">
        <v>0</v>
      </c>
      <c r="H16" s="234">
        <v>2</v>
      </c>
      <c r="I16" s="221">
        <v>323.10000000000002</v>
      </c>
      <c r="L16" s="234" t="s">
        <v>105</v>
      </c>
      <c r="M16" s="221">
        <v>92.3</v>
      </c>
      <c r="P16" s="234">
        <v>2</v>
      </c>
      <c r="Q16" s="221">
        <v>323.10000000000002</v>
      </c>
    </row>
    <row r="17" spans="1:17" hidden="1" x14ac:dyDescent="0.25">
      <c r="A17" s="30" t="s">
        <v>111</v>
      </c>
      <c r="B17" s="30">
        <v>2000</v>
      </c>
      <c r="C17" s="30" t="s">
        <v>102</v>
      </c>
      <c r="D17" s="30">
        <v>4</v>
      </c>
      <c r="E17" s="30">
        <v>279.3</v>
      </c>
      <c r="F17" s="30">
        <v>0.6</v>
      </c>
      <c r="H17" s="234">
        <v>3</v>
      </c>
      <c r="I17" s="221">
        <v>260.2</v>
      </c>
      <c r="L17" s="234" t="s">
        <v>106</v>
      </c>
      <c r="M17" s="221">
        <v>99.7</v>
      </c>
      <c r="P17" s="234">
        <v>3</v>
      </c>
      <c r="Q17" s="221">
        <v>260.2</v>
      </c>
    </row>
    <row r="18" spans="1:17" hidden="1" x14ac:dyDescent="0.25">
      <c r="A18" s="30" t="s">
        <v>111</v>
      </c>
      <c r="B18" s="30">
        <v>2000</v>
      </c>
      <c r="C18" s="30" t="s">
        <v>103</v>
      </c>
      <c r="D18" s="30">
        <v>5</v>
      </c>
      <c r="E18" s="30">
        <v>163.19999999999999</v>
      </c>
      <c r="F18" s="30">
        <v>4.2</v>
      </c>
      <c r="H18" s="234">
        <v>4</v>
      </c>
      <c r="I18" s="221">
        <v>246.3</v>
      </c>
      <c r="L18" s="234" t="s">
        <v>107</v>
      </c>
      <c r="M18" s="221">
        <v>10.6</v>
      </c>
      <c r="P18" s="234">
        <v>4</v>
      </c>
      <c r="Q18" s="221">
        <v>246.3</v>
      </c>
    </row>
    <row r="19" spans="1:17" hidden="1" x14ac:dyDescent="0.25">
      <c r="A19" s="30" t="s">
        <v>111</v>
      </c>
      <c r="B19" s="30">
        <v>2000</v>
      </c>
      <c r="C19" s="30" t="s">
        <v>104</v>
      </c>
      <c r="D19" s="30">
        <v>6</v>
      </c>
      <c r="E19" s="30">
        <v>96.1</v>
      </c>
      <c r="F19" s="30">
        <v>24.3</v>
      </c>
      <c r="H19" s="234">
        <v>5</v>
      </c>
      <c r="I19" s="221">
        <v>106.2</v>
      </c>
      <c r="L19" s="233">
        <v>2002</v>
      </c>
      <c r="M19" s="221">
        <v>211.89999999999998</v>
      </c>
      <c r="P19" s="234">
        <v>5</v>
      </c>
      <c r="Q19" s="221">
        <v>106.2</v>
      </c>
    </row>
    <row r="20" spans="1:17" hidden="1" x14ac:dyDescent="0.25">
      <c r="A20" s="30" t="s">
        <v>111</v>
      </c>
      <c r="B20" s="30">
        <v>2000</v>
      </c>
      <c r="C20" s="30" t="s">
        <v>105</v>
      </c>
      <c r="D20" s="30">
        <v>7</v>
      </c>
      <c r="E20" s="30">
        <v>73.900000000000006</v>
      </c>
      <c r="F20" s="30">
        <v>16.600000000000001</v>
      </c>
      <c r="H20" s="234">
        <v>10</v>
      </c>
      <c r="I20" s="221">
        <v>87</v>
      </c>
      <c r="L20" s="234" t="s">
        <v>104</v>
      </c>
      <c r="M20" s="221">
        <v>55</v>
      </c>
      <c r="P20" s="234">
        <v>6</v>
      </c>
      <c r="Q20" s="221">
        <v>70.3</v>
      </c>
    </row>
    <row r="21" spans="1:17" hidden="1" x14ac:dyDescent="0.25">
      <c r="A21" s="30" t="s">
        <v>111</v>
      </c>
      <c r="B21" s="30">
        <v>2000</v>
      </c>
      <c r="C21" s="30" t="s">
        <v>106</v>
      </c>
      <c r="D21" s="30">
        <v>8</v>
      </c>
      <c r="E21" s="30">
        <v>51.8</v>
      </c>
      <c r="F21" s="30">
        <v>25.1</v>
      </c>
      <c r="H21" s="234">
        <v>11</v>
      </c>
      <c r="I21" s="221">
        <v>330.9</v>
      </c>
      <c r="L21" s="234" t="s">
        <v>105</v>
      </c>
      <c r="M21" s="221">
        <v>66.5</v>
      </c>
      <c r="P21" s="234">
        <v>7</v>
      </c>
      <c r="Q21" s="221">
        <v>32.9</v>
      </c>
    </row>
    <row r="22" spans="1:17" hidden="1" x14ac:dyDescent="0.25">
      <c r="A22" s="30" t="s">
        <v>111</v>
      </c>
      <c r="B22" s="30">
        <v>2000</v>
      </c>
      <c r="C22" s="30" t="s">
        <v>107</v>
      </c>
      <c r="D22" s="30">
        <v>9</v>
      </c>
      <c r="E22" s="30">
        <v>77.3</v>
      </c>
      <c r="F22" s="30">
        <v>16.5</v>
      </c>
      <c r="H22" s="234">
        <v>12</v>
      </c>
      <c r="I22" s="221">
        <v>443.3</v>
      </c>
      <c r="L22" s="234" t="s">
        <v>106</v>
      </c>
      <c r="M22" s="221">
        <v>62.7</v>
      </c>
      <c r="P22" s="234">
        <v>8</v>
      </c>
      <c r="Q22" s="221">
        <v>30.2</v>
      </c>
    </row>
    <row r="23" spans="1:17" hidden="1" x14ac:dyDescent="0.25">
      <c r="A23" s="30" t="s">
        <v>111</v>
      </c>
      <c r="B23" s="30">
        <v>2000</v>
      </c>
      <c r="C23" s="30" t="s">
        <v>108</v>
      </c>
      <c r="D23" s="30">
        <v>10</v>
      </c>
      <c r="E23" s="30">
        <v>197.5</v>
      </c>
      <c r="F23" s="30">
        <v>0</v>
      </c>
      <c r="H23" s="233">
        <v>2002</v>
      </c>
      <c r="I23" s="221">
        <v>1958.6</v>
      </c>
      <c r="L23" s="234" t="s">
        <v>107</v>
      </c>
      <c r="M23" s="221">
        <v>27.7</v>
      </c>
      <c r="P23" s="234">
        <v>9</v>
      </c>
      <c r="Q23" s="221">
        <v>116.3</v>
      </c>
    </row>
    <row r="24" spans="1:17" hidden="1" x14ac:dyDescent="0.25">
      <c r="A24" s="30" t="s">
        <v>111</v>
      </c>
      <c r="B24" s="30">
        <v>2000</v>
      </c>
      <c r="C24" s="30" t="s">
        <v>109</v>
      </c>
      <c r="D24" s="30">
        <v>11</v>
      </c>
      <c r="E24" s="30">
        <v>270.5</v>
      </c>
      <c r="F24" s="30">
        <v>0</v>
      </c>
      <c r="H24" s="234">
        <v>1</v>
      </c>
      <c r="I24" s="221">
        <v>342.4</v>
      </c>
      <c r="L24" s="233">
        <v>2003</v>
      </c>
      <c r="M24" s="221">
        <v>471.3</v>
      </c>
      <c r="P24" s="234">
        <v>10</v>
      </c>
      <c r="Q24" s="221">
        <v>87</v>
      </c>
    </row>
    <row r="25" spans="1:17" hidden="1" x14ac:dyDescent="0.25">
      <c r="A25" s="30" t="s">
        <v>111</v>
      </c>
      <c r="B25" s="30">
        <v>2000</v>
      </c>
      <c r="C25" s="30" t="s">
        <v>110</v>
      </c>
      <c r="D25" s="30">
        <v>12</v>
      </c>
      <c r="E25" s="30">
        <v>287.39999999999998</v>
      </c>
      <c r="F25" s="30">
        <v>0</v>
      </c>
      <c r="H25" s="234">
        <v>2</v>
      </c>
      <c r="I25" s="221">
        <v>262.3</v>
      </c>
      <c r="L25" s="234" t="s">
        <v>104</v>
      </c>
      <c r="M25" s="221">
        <v>111.8</v>
      </c>
      <c r="P25" s="234">
        <v>11</v>
      </c>
      <c r="Q25" s="221">
        <v>330.9</v>
      </c>
    </row>
    <row r="26" spans="1:17" hidden="1" x14ac:dyDescent="0.25">
      <c r="A26" s="30" t="s">
        <v>112</v>
      </c>
      <c r="B26" s="30">
        <v>2000</v>
      </c>
      <c r="C26" s="30" t="s">
        <v>99</v>
      </c>
      <c r="D26" s="30">
        <v>1</v>
      </c>
      <c r="E26" s="30">
        <v>363</v>
      </c>
      <c r="F26" s="30">
        <v>0</v>
      </c>
      <c r="H26" s="234">
        <v>3</v>
      </c>
      <c r="I26" s="221">
        <v>281.8</v>
      </c>
      <c r="L26" s="234" t="s">
        <v>105</v>
      </c>
      <c r="M26" s="221">
        <v>102.2</v>
      </c>
      <c r="P26" s="234">
        <v>12</v>
      </c>
      <c r="Q26" s="221">
        <v>443.3</v>
      </c>
    </row>
    <row r="27" spans="1:17" hidden="1" x14ac:dyDescent="0.25">
      <c r="A27" s="30" t="s">
        <v>112</v>
      </c>
      <c r="B27" s="30">
        <v>2000</v>
      </c>
      <c r="C27" s="30" t="s">
        <v>100</v>
      </c>
      <c r="D27" s="30">
        <v>2</v>
      </c>
      <c r="E27" s="30">
        <v>269.7</v>
      </c>
      <c r="F27" s="30">
        <v>0</v>
      </c>
      <c r="H27" s="234">
        <v>4</v>
      </c>
      <c r="I27" s="221">
        <v>202.1</v>
      </c>
      <c r="L27" s="234" t="s">
        <v>106</v>
      </c>
      <c r="M27" s="221">
        <v>205.7</v>
      </c>
      <c r="P27" s="233">
        <v>2002</v>
      </c>
      <c r="Q27" s="221">
        <v>2198.3000000000002</v>
      </c>
    </row>
    <row r="28" spans="1:17" hidden="1" x14ac:dyDescent="0.25">
      <c r="A28" s="30" t="s">
        <v>112</v>
      </c>
      <c r="B28" s="30">
        <v>2000</v>
      </c>
      <c r="C28" s="30" t="s">
        <v>101</v>
      </c>
      <c r="D28" s="30">
        <v>3</v>
      </c>
      <c r="E28" s="30">
        <v>303.8</v>
      </c>
      <c r="F28" s="30">
        <v>0</v>
      </c>
      <c r="H28" s="234">
        <v>5</v>
      </c>
      <c r="I28" s="221">
        <v>146.69999999999999</v>
      </c>
      <c r="L28" s="234" t="s">
        <v>107</v>
      </c>
      <c r="M28" s="221">
        <v>51.6</v>
      </c>
      <c r="P28" s="234">
        <v>1</v>
      </c>
      <c r="Q28" s="221">
        <v>342.4</v>
      </c>
    </row>
    <row r="29" spans="1:17" hidden="1" x14ac:dyDescent="0.25">
      <c r="A29" s="30" t="s">
        <v>112</v>
      </c>
      <c r="B29" s="30">
        <v>2000</v>
      </c>
      <c r="C29" s="30" t="s">
        <v>102</v>
      </c>
      <c r="D29" s="30">
        <v>4</v>
      </c>
      <c r="E29" s="30">
        <v>266.8</v>
      </c>
      <c r="F29" s="30">
        <v>0.8</v>
      </c>
      <c r="H29" s="234">
        <v>10</v>
      </c>
      <c r="I29" s="221">
        <v>158.9</v>
      </c>
      <c r="L29" s="233">
        <v>2004</v>
      </c>
      <c r="M29" s="221">
        <v>307.3</v>
      </c>
      <c r="P29" s="234">
        <v>2</v>
      </c>
      <c r="Q29" s="221">
        <v>262.3</v>
      </c>
    </row>
    <row r="30" spans="1:17" hidden="1" x14ac:dyDescent="0.25">
      <c r="A30" s="30" t="s">
        <v>112</v>
      </c>
      <c r="B30" s="30">
        <v>2000</v>
      </c>
      <c r="C30" s="30" t="s">
        <v>103</v>
      </c>
      <c r="D30" s="30">
        <v>5</v>
      </c>
      <c r="E30" s="30">
        <v>146.80000000000001</v>
      </c>
      <c r="F30" s="30">
        <v>6.2</v>
      </c>
      <c r="H30" s="234">
        <v>11</v>
      </c>
      <c r="I30" s="221">
        <v>249.3</v>
      </c>
      <c r="L30" s="234" t="s">
        <v>104</v>
      </c>
      <c r="M30" s="221">
        <v>70.599999999999994</v>
      </c>
      <c r="P30" s="234">
        <v>3</v>
      </c>
      <c r="Q30" s="221">
        <v>281.8</v>
      </c>
    </row>
    <row r="31" spans="1:17" hidden="1" x14ac:dyDescent="0.25">
      <c r="A31" s="30" t="s">
        <v>112</v>
      </c>
      <c r="B31" s="30">
        <v>2000</v>
      </c>
      <c r="C31" s="30" t="s">
        <v>104</v>
      </c>
      <c r="D31" s="30">
        <v>6</v>
      </c>
      <c r="E31" s="30">
        <v>88.4</v>
      </c>
      <c r="F31" s="30">
        <v>19.8</v>
      </c>
      <c r="H31" s="234">
        <v>12</v>
      </c>
      <c r="I31" s="221">
        <v>315.10000000000002</v>
      </c>
      <c r="L31" s="234" t="s">
        <v>105</v>
      </c>
      <c r="M31" s="221">
        <v>80.400000000000006</v>
      </c>
      <c r="P31" s="234">
        <v>4</v>
      </c>
      <c r="Q31" s="221">
        <v>202.1</v>
      </c>
    </row>
    <row r="32" spans="1:17" hidden="1" x14ac:dyDescent="0.25">
      <c r="A32" s="30" t="s">
        <v>112</v>
      </c>
      <c r="B32" s="30">
        <v>2000</v>
      </c>
      <c r="C32" s="30" t="s">
        <v>105</v>
      </c>
      <c r="D32" s="30">
        <v>7</v>
      </c>
      <c r="E32" s="30">
        <v>66.2</v>
      </c>
      <c r="F32" s="30">
        <v>20</v>
      </c>
      <c r="H32" s="233">
        <v>2003</v>
      </c>
      <c r="I32" s="221">
        <v>2255.8999999999996</v>
      </c>
      <c r="L32" s="234" t="s">
        <v>106</v>
      </c>
      <c r="M32" s="221">
        <v>96.3</v>
      </c>
      <c r="P32" s="234">
        <v>5</v>
      </c>
      <c r="Q32" s="221">
        <v>146.69999999999999</v>
      </c>
    </row>
    <row r="33" spans="1:17" hidden="1" x14ac:dyDescent="0.25">
      <c r="A33" s="30" t="s">
        <v>112</v>
      </c>
      <c r="B33" s="30">
        <v>2000</v>
      </c>
      <c r="C33" s="30" t="s">
        <v>106</v>
      </c>
      <c r="D33" s="30">
        <v>8</v>
      </c>
      <c r="E33" s="30">
        <v>47.7</v>
      </c>
      <c r="F33" s="30">
        <v>30.7</v>
      </c>
      <c r="H33" s="234">
        <v>1</v>
      </c>
      <c r="I33" s="221">
        <v>452</v>
      </c>
      <c r="L33" s="234" t="s">
        <v>107</v>
      </c>
      <c r="M33" s="221">
        <v>60</v>
      </c>
      <c r="P33" s="234">
        <v>6</v>
      </c>
      <c r="Q33" s="221">
        <v>58.7</v>
      </c>
    </row>
    <row r="34" spans="1:17" hidden="1" x14ac:dyDescent="0.25">
      <c r="A34" s="30" t="s">
        <v>112</v>
      </c>
      <c r="B34" s="30">
        <v>2000</v>
      </c>
      <c r="C34" s="30" t="s">
        <v>107</v>
      </c>
      <c r="D34" s="30">
        <v>9</v>
      </c>
      <c r="E34" s="30">
        <v>86.9</v>
      </c>
      <c r="F34" s="30">
        <v>15.2</v>
      </c>
      <c r="H34" s="234">
        <v>2</v>
      </c>
      <c r="I34" s="221">
        <v>368.6</v>
      </c>
      <c r="L34" s="233">
        <v>2005</v>
      </c>
      <c r="M34" s="221">
        <v>355.29999999999995</v>
      </c>
      <c r="P34" s="234">
        <v>7</v>
      </c>
      <c r="Q34" s="221">
        <v>50.1</v>
      </c>
    </row>
    <row r="35" spans="1:17" hidden="1" x14ac:dyDescent="0.25">
      <c r="A35" s="30" t="s">
        <v>112</v>
      </c>
      <c r="B35" s="30">
        <v>2000</v>
      </c>
      <c r="C35" s="30" t="s">
        <v>108</v>
      </c>
      <c r="D35" s="30">
        <v>10</v>
      </c>
      <c r="E35" s="30">
        <v>191.4</v>
      </c>
      <c r="F35" s="30">
        <v>0</v>
      </c>
      <c r="H35" s="234">
        <v>3</v>
      </c>
      <c r="I35" s="221">
        <v>234.7</v>
      </c>
      <c r="L35" s="234" t="s">
        <v>104</v>
      </c>
      <c r="M35" s="221">
        <v>110.8</v>
      </c>
      <c r="P35" s="234">
        <v>8</v>
      </c>
      <c r="Q35" s="221">
        <v>38.700000000000003</v>
      </c>
    </row>
    <row r="36" spans="1:17" hidden="1" x14ac:dyDescent="0.25">
      <c r="A36" s="30" t="s">
        <v>112</v>
      </c>
      <c r="B36" s="30">
        <v>2000</v>
      </c>
      <c r="C36" s="30" t="s">
        <v>109</v>
      </c>
      <c r="D36" s="30">
        <v>11</v>
      </c>
      <c r="E36" s="30">
        <v>261.3</v>
      </c>
      <c r="F36" s="30">
        <v>0</v>
      </c>
      <c r="H36" s="234">
        <v>4</v>
      </c>
      <c r="I36" s="221">
        <v>199.3</v>
      </c>
      <c r="L36" s="234" t="s">
        <v>105</v>
      </c>
      <c r="M36" s="221">
        <v>102.1</v>
      </c>
      <c r="P36" s="234">
        <v>9</v>
      </c>
      <c r="Q36" s="221">
        <v>92.2</v>
      </c>
    </row>
    <row r="37" spans="1:17" hidden="1" x14ac:dyDescent="0.25">
      <c r="A37" s="30" t="s">
        <v>112</v>
      </c>
      <c r="B37" s="30">
        <v>2000</v>
      </c>
      <c r="C37" s="30" t="s">
        <v>110</v>
      </c>
      <c r="D37" s="30">
        <v>12</v>
      </c>
      <c r="E37" s="30">
        <v>293.60000000000002</v>
      </c>
      <c r="F37" s="30">
        <v>0</v>
      </c>
      <c r="H37" s="234">
        <v>5</v>
      </c>
      <c r="I37" s="221">
        <v>127.3</v>
      </c>
      <c r="L37" s="234" t="s">
        <v>106</v>
      </c>
      <c r="M37" s="221">
        <v>81.400000000000006</v>
      </c>
      <c r="P37" s="234">
        <v>10</v>
      </c>
      <c r="Q37" s="221">
        <v>158.9</v>
      </c>
    </row>
    <row r="38" spans="1:17" hidden="1" x14ac:dyDescent="0.25">
      <c r="A38" s="30" t="s">
        <v>113</v>
      </c>
      <c r="B38" s="30">
        <v>2000</v>
      </c>
      <c r="C38" s="30" t="s">
        <v>99</v>
      </c>
      <c r="D38" s="30">
        <v>1</v>
      </c>
      <c r="E38" s="30">
        <v>392.9</v>
      </c>
      <c r="F38" s="30">
        <v>0</v>
      </c>
      <c r="H38" s="234">
        <v>10</v>
      </c>
      <c r="I38" s="221">
        <v>235</v>
      </c>
      <c r="L38" s="234" t="s">
        <v>107</v>
      </c>
      <c r="M38" s="221">
        <v>61</v>
      </c>
      <c r="P38" s="234">
        <v>11</v>
      </c>
      <c r="Q38" s="221">
        <v>249.3</v>
      </c>
    </row>
    <row r="39" spans="1:17" hidden="1" x14ac:dyDescent="0.25">
      <c r="A39" s="30" t="s">
        <v>113</v>
      </c>
      <c r="B39" s="30">
        <v>2000</v>
      </c>
      <c r="C39" s="30" t="s">
        <v>100</v>
      </c>
      <c r="D39" s="30">
        <v>2</v>
      </c>
      <c r="E39" s="30">
        <v>279.5</v>
      </c>
      <c r="F39" s="30">
        <v>0</v>
      </c>
      <c r="H39" s="234">
        <v>11</v>
      </c>
      <c r="I39" s="221">
        <v>257.8</v>
      </c>
      <c r="L39" s="233">
        <v>2006</v>
      </c>
      <c r="M39" s="221">
        <v>418.9</v>
      </c>
      <c r="P39" s="234">
        <v>12</v>
      </c>
      <c r="Q39" s="221">
        <v>315.10000000000002</v>
      </c>
    </row>
    <row r="40" spans="1:17" hidden="1" x14ac:dyDescent="0.25">
      <c r="A40" s="30" t="s">
        <v>113</v>
      </c>
      <c r="B40" s="30">
        <v>2000</v>
      </c>
      <c r="C40" s="30" t="s">
        <v>101</v>
      </c>
      <c r="D40" s="30">
        <v>3</v>
      </c>
      <c r="E40" s="30">
        <v>305.10000000000002</v>
      </c>
      <c r="F40" s="30">
        <v>0</v>
      </c>
      <c r="H40" s="234">
        <v>12</v>
      </c>
      <c r="I40" s="221">
        <v>381.2</v>
      </c>
      <c r="L40" s="234" t="s">
        <v>104</v>
      </c>
      <c r="M40" s="221">
        <v>92.5</v>
      </c>
      <c r="P40" s="233">
        <v>2003</v>
      </c>
      <c r="Q40" s="221">
        <v>2390.6999999999994</v>
      </c>
    </row>
    <row r="41" spans="1:17" hidden="1" x14ac:dyDescent="0.25">
      <c r="A41" s="30" t="s">
        <v>113</v>
      </c>
      <c r="B41" s="30">
        <v>2000</v>
      </c>
      <c r="C41" s="30" t="s">
        <v>102</v>
      </c>
      <c r="D41" s="30">
        <v>4</v>
      </c>
      <c r="E41" s="30">
        <v>243.5</v>
      </c>
      <c r="F41" s="30">
        <v>0.8</v>
      </c>
      <c r="H41" s="233">
        <v>2004</v>
      </c>
      <c r="I41" s="221">
        <v>2286.9</v>
      </c>
      <c r="L41" s="234" t="s">
        <v>105</v>
      </c>
      <c r="M41" s="221">
        <v>192.2</v>
      </c>
      <c r="P41" s="234">
        <v>1</v>
      </c>
      <c r="Q41" s="221">
        <v>452</v>
      </c>
    </row>
    <row r="42" spans="1:17" hidden="1" x14ac:dyDescent="0.25">
      <c r="A42" s="30" t="s">
        <v>113</v>
      </c>
      <c r="B42" s="30">
        <v>2000</v>
      </c>
      <c r="C42" s="30" t="s">
        <v>103</v>
      </c>
      <c r="D42" s="30">
        <v>5</v>
      </c>
      <c r="E42" s="30">
        <v>102</v>
      </c>
      <c r="F42" s="30">
        <v>17.7</v>
      </c>
      <c r="H42" s="234">
        <v>1</v>
      </c>
      <c r="I42" s="221">
        <v>372.3</v>
      </c>
      <c r="L42" s="234" t="s">
        <v>106</v>
      </c>
      <c r="M42" s="221">
        <v>53.4</v>
      </c>
      <c r="P42" s="234">
        <v>2</v>
      </c>
      <c r="Q42" s="221">
        <v>368.6</v>
      </c>
    </row>
    <row r="43" spans="1:17" hidden="1" x14ac:dyDescent="0.25">
      <c r="A43" s="30" t="s">
        <v>113</v>
      </c>
      <c r="B43" s="30">
        <v>2000</v>
      </c>
      <c r="C43" s="30" t="s">
        <v>104</v>
      </c>
      <c r="D43" s="30">
        <v>6</v>
      </c>
      <c r="E43" s="30">
        <v>53.4</v>
      </c>
      <c r="F43" s="30">
        <v>57.1</v>
      </c>
      <c r="H43" s="234">
        <v>2</v>
      </c>
      <c r="I43" s="221">
        <v>346.4</v>
      </c>
      <c r="L43" s="234" t="s">
        <v>107</v>
      </c>
      <c r="M43" s="221">
        <v>80.8</v>
      </c>
      <c r="P43" s="234">
        <v>3</v>
      </c>
      <c r="Q43" s="221">
        <v>234.7</v>
      </c>
    </row>
    <row r="44" spans="1:17" hidden="1" x14ac:dyDescent="0.25">
      <c r="A44" s="30" t="s">
        <v>113</v>
      </c>
      <c r="B44" s="30">
        <v>2000</v>
      </c>
      <c r="C44" s="30" t="s">
        <v>105</v>
      </c>
      <c r="D44" s="30">
        <v>7</v>
      </c>
      <c r="E44" s="30">
        <v>47.4</v>
      </c>
      <c r="F44" s="30">
        <v>48</v>
      </c>
      <c r="H44" s="234">
        <v>3</v>
      </c>
      <c r="I44" s="221">
        <v>336.2</v>
      </c>
      <c r="L44" s="233">
        <v>2007</v>
      </c>
      <c r="M44" s="221">
        <v>167.8</v>
      </c>
      <c r="P44" s="234">
        <v>4</v>
      </c>
      <c r="Q44" s="221">
        <v>199.3</v>
      </c>
    </row>
    <row r="45" spans="1:17" hidden="1" x14ac:dyDescent="0.25">
      <c r="A45" s="30" t="s">
        <v>113</v>
      </c>
      <c r="B45" s="30">
        <v>2000</v>
      </c>
      <c r="C45" s="30" t="s">
        <v>106</v>
      </c>
      <c r="D45" s="30">
        <v>8</v>
      </c>
      <c r="E45" s="30">
        <v>29.4</v>
      </c>
      <c r="F45" s="30">
        <v>80.400000000000006</v>
      </c>
      <c r="H45" s="234">
        <v>4</v>
      </c>
      <c r="I45" s="221">
        <v>210.9</v>
      </c>
      <c r="L45" s="234" t="s">
        <v>104</v>
      </c>
      <c r="M45" s="221">
        <v>46</v>
      </c>
      <c r="P45" s="234">
        <v>5</v>
      </c>
      <c r="Q45" s="221">
        <v>127.3</v>
      </c>
    </row>
    <row r="46" spans="1:17" hidden="1" x14ac:dyDescent="0.25">
      <c r="A46" s="30" t="s">
        <v>113</v>
      </c>
      <c r="B46" s="30">
        <v>2000</v>
      </c>
      <c r="C46" s="30" t="s">
        <v>107</v>
      </c>
      <c r="D46" s="30">
        <v>9</v>
      </c>
      <c r="E46" s="30">
        <v>57.3</v>
      </c>
      <c r="F46" s="30">
        <v>44.9</v>
      </c>
      <c r="H46" s="234">
        <v>5</v>
      </c>
      <c r="I46" s="221">
        <v>141</v>
      </c>
      <c r="L46" s="234" t="s">
        <v>105</v>
      </c>
      <c r="M46" s="221">
        <v>50.5</v>
      </c>
      <c r="P46" s="234">
        <v>6</v>
      </c>
      <c r="Q46" s="221">
        <v>17.8</v>
      </c>
    </row>
    <row r="47" spans="1:17" hidden="1" x14ac:dyDescent="0.25">
      <c r="A47" s="30" t="s">
        <v>113</v>
      </c>
      <c r="B47" s="30">
        <v>2000</v>
      </c>
      <c r="C47" s="30" t="s">
        <v>108</v>
      </c>
      <c r="D47" s="30">
        <v>10</v>
      </c>
      <c r="E47" s="30">
        <v>173.4</v>
      </c>
      <c r="F47" s="30">
        <v>0.1</v>
      </c>
      <c r="H47" s="234">
        <v>10</v>
      </c>
      <c r="I47" s="221">
        <v>156.69999999999999</v>
      </c>
      <c r="L47" s="234" t="s">
        <v>106</v>
      </c>
      <c r="M47" s="221">
        <v>47.5</v>
      </c>
      <c r="P47" s="234">
        <v>7</v>
      </c>
      <c r="Q47" s="221">
        <v>21.8</v>
      </c>
    </row>
    <row r="48" spans="1:17" hidden="1" x14ac:dyDescent="0.25">
      <c r="A48" s="30" t="s">
        <v>113</v>
      </c>
      <c r="B48" s="30">
        <v>2000</v>
      </c>
      <c r="C48" s="30" t="s">
        <v>109</v>
      </c>
      <c r="D48" s="30">
        <v>11</v>
      </c>
      <c r="E48" s="30">
        <v>260.2</v>
      </c>
      <c r="F48" s="30">
        <v>0</v>
      </c>
      <c r="H48" s="234">
        <v>11</v>
      </c>
      <c r="I48" s="221">
        <v>298.3</v>
      </c>
      <c r="L48" s="234" t="s">
        <v>107</v>
      </c>
      <c r="M48" s="221">
        <v>23.8</v>
      </c>
      <c r="P48" s="234">
        <v>8</v>
      </c>
      <c r="Q48" s="221">
        <v>17.100000000000001</v>
      </c>
    </row>
    <row r="49" spans="1:17" hidden="1" x14ac:dyDescent="0.25">
      <c r="A49" s="30" t="s">
        <v>113</v>
      </c>
      <c r="B49" s="30">
        <v>2000</v>
      </c>
      <c r="C49" s="30" t="s">
        <v>110</v>
      </c>
      <c r="D49" s="30">
        <v>12</v>
      </c>
      <c r="E49" s="30">
        <v>285.8</v>
      </c>
      <c r="F49" s="30">
        <v>0</v>
      </c>
      <c r="H49" s="234">
        <v>12</v>
      </c>
      <c r="I49" s="221">
        <v>425.1</v>
      </c>
      <c r="L49" s="233">
        <v>2008</v>
      </c>
      <c r="M49" s="221">
        <v>217.1</v>
      </c>
      <c r="P49" s="234">
        <v>9</v>
      </c>
      <c r="Q49" s="221">
        <v>78.099999999999994</v>
      </c>
    </row>
    <row r="50" spans="1:17" hidden="1" x14ac:dyDescent="0.25">
      <c r="A50" s="30" t="s">
        <v>114</v>
      </c>
      <c r="B50" s="30">
        <v>2000</v>
      </c>
      <c r="C50" s="30" t="s">
        <v>99</v>
      </c>
      <c r="D50" s="30">
        <v>1</v>
      </c>
      <c r="E50" s="30">
        <v>374.8</v>
      </c>
      <c r="F50" s="30">
        <v>0</v>
      </c>
      <c r="H50" s="233">
        <v>2005</v>
      </c>
      <c r="I50" s="221">
        <v>2241.1</v>
      </c>
      <c r="L50" s="234" t="s">
        <v>104</v>
      </c>
      <c r="M50" s="221">
        <v>55.1</v>
      </c>
      <c r="P50" s="234">
        <v>10</v>
      </c>
      <c r="Q50" s="221">
        <v>235</v>
      </c>
    </row>
    <row r="51" spans="1:17" hidden="1" x14ac:dyDescent="0.25">
      <c r="A51" s="30" t="s">
        <v>114</v>
      </c>
      <c r="B51" s="30">
        <v>2000</v>
      </c>
      <c r="C51" s="30" t="s">
        <v>100</v>
      </c>
      <c r="D51" s="30">
        <v>2</v>
      </c>
      <c r="E51" s="30">
        <v>286.3</v>
      </c>
      <c r="F51" s="30">
        <v>0</v>
      </c>
      <c r="H51" s="234">
        <v>1</v>
      </c>
      <c r="I51" s="221">
        <v>362.2</v>
      </c>
      <c r="L51" s="234" t="s">
        <v>105</v>
      </c>
      <c r="M51" s="221">
        <v>81.900000000000006</v>
      </c>
      <c r="P51" s="234">
        <v>11</v>
      </c>
      <c r="Q51" s="221">
        <v>257.8</v>
      </c>
    </row>
    <row r="52" spans="1:17" hidden="1" x14ac:dyDescent="0.25">
      <c r="A52" s="30" t="s">
        <v>114</v>
      </c>
      <c r="B52" s="30">
        <v>2000</v>
      </c>
      <c r="C52" s="30" t="s">
        <v>101</v>
      </c>
      <c r="D52" s="30">
        <v>3</v>
      </c>
      <c r="E52" s="30">
        <v>312.5</v>
      </c>
      <c r="F52" s="30">
        <v>0</v>
      </c>
      <c r="H52" s="234">
        <v>2</v>
      </c>
      <c r="I52" s="221">
        <v>387.2</v>
      </c>
      <c r="L52" s="234" t="s">
        <v>106</v>
      </c>
      <c r="M52" s="221">
        <v>64.5</v>
      </c>
      <c r="P52" s="234">
        <v>12</v>
      </c>
      <c r="Q52" s="221">
        <v>381.2</v>
      </c>
    </row>
    <row r="53" spans="1:17" hidden="1" x14ac:dyDescent="0.25">
      <c r="A53" s="30" t="s">
        <v>114</v>
      </c>
      <c r="B53" s="30">
        <v>2000</v>
      </c>
      <c r="C53" s="30" t="s">
        <v>102</v>
      </c>
      <c r="D53" s="30">
        <v>4</v>
      </c>
      <c r="E53" s="30">
        <v>267</v>
      </c>
      <c r="F53" s="30">
        <v>0.2</v>
      </c>
      <c r="H53" s="234">
        <v>3</v>
      </c>
      <c r="I53" s="221">
        <v>312.39999999999998</v>
      </c>
      <c r="L53" s="234" t="s">
        <v>107</v>
      </c>
      <c r="M53" s="221">
        <v>15.6</v>
      </c>
      <c r="P53" s="233">
        <v>2004</v>
      </c>
      <c r="Q53" s="221">
        <v>2476.7000000000003</v>
      </c>
    </row>
    <row r="54" spans="1:17" hidden="1" x14ac:dyDescent="0.25">
      <c r="A54" s="30" t="s">
        <v>114</v>
      </c>
      <c r="B54" s="30">
        <v>2000</v>
      </c>
      <c r="C54" s="30" t="s">
        <v>103</v>
      </c>
      <c r="D54" s="30">
        <v>5</v>
      </c>
      <c r="E54" s="30">
        <v>147</v>
      </c>
      <c r="F54" s="30">
        <v>6.8</v>
      </c>
      <c r="H54" s="234">
        <v>4</v>
      </c>
      <c r="I54" s="221">
        <v>205.8</v>
      </c>
      <c r="L54" s="233">
        <v>2009</v>
      </c>
      <c r="M54" s="221">
        <v>314.90000000000003</v>
      </c>
      <c r="P54" s="234">
        <v>1</v>
      </c>
      <c r="Q54" s="221">
        <v>372.3</v>
      </c>
    </row>
    <row r="55" spans="1:17" hidden="1" x14ac:dyDescent="0.25">
      <c r="A55" s="30" t="s">
        <v>114</v>
      </c>
      <c r="B55" s="30">
        <v>2000</v>
      </c>
      <c r="C55" s="30" t="s">
        <v>104</v>
      </c>
      <c r="D55" s="30">
        <v>6</v>
      </c>
      <c r="E55" s="30">
        <v>78.3</v>
      </c>
      <c r="F55" s="30">
        <v>26.1</v>
      </c>
      <c r="H55" s="234">
        <v>5</v>
      </c>
      <c r="I55" s="221">
        <v>129.80000000000001</v>
      </c>
      <c r="L55" s="234" t="s">
        <v>104</v>
      </c>
      <c r="M55" s="221">
        <v>64.400000000000006</v>
      </c>
      <c r="P55" s="234">
        <v>2</v>
      </c>
      <c r="Q55" s="221">
        <v>346.4</v>
      </c>
    </row>
    <row r="56" spans="1:17" hidden="1" x14ac:dyDescent="0.25">
      <c r="A56" s="30" t="s">
        <v>114</v>
      </c>
      <c r="B56" s="30">
        <v>2000</v>
      </c>
      <c r="C56" s="30" t="s">
        <v>105</v>
      </c>
      <c r="D56" s="30">
        <v>7</v>
      </c>
      <c r="E56" s="30">
        <v>66.5</v>
      </c>
      <c r="F56" s="30">
        <v>20.2</v>
      </c>
      <c r="H56" s="234">
        <v>10</v>
      </c>
      <c r="I56" s="221">
        <v>74.3</v>
      </c>
      <c r="L56" s="234" t="s">
        <v>105</v>
      </c>
      <c r="M56" s="221">
        <v>88.8</v>
      </c>
      <c r="P56" s="234">
        <v>3</v>
      </c>
      <c r="Q56" s="221">
        <v>336.2</v>
      </c>
    </row>
    <row r="57" spans="1:17" hidden="1" x14ac:dyDescent="0.25">
      <c r="A57" s="30" t="s">
        <v>114</v>
      </c>
      <c r="B57" s="30">
        <v>2000</v>
      </c>
      <c r="C57" s="30" t="s">
        <v>106</v>
      </c>
      <c r="D57" s="30">
        <v>8</v>
      </c>
      <c r="E57" s="30">
        <v>44.6</v>
      </c>
      <c r="F57" s="30">
        <v>38.6</v>
      </c>
      <c r="H57" s="234">
        <v>11</v>
      </c>
      <c r="I57" s="221">
        <v>328</v>
      </c>
      <c r="L57" s="234" t="s">
        <v>106</v>
      </c>
      <c r="M57" s="221">
        <v>115.9</v>
      </c>
      <c r="P57" s="234">
        <v>4</v>
      </c>
      <c r="Q57" s="221">
        <v>210.9</v>
      </c>
    </row>
    <row r="58" spans="1:17" hidden="1" x14ac:dyDescent="0.25">
      <c r="A58" s="30" t="s">
        <v>114</v>
      </c>
      <c r="B58" s="30">
        <v>2000</v>
      </c>
      <c r="C58" s="30" t="s">
        <v>107</v>
      </c>
      <c r="D58" s="30">
        <v>9</v>
      </c>
      <c r="E58" s="30">
        <v>75.2</v>
      </c>
      <c r="F58" s="30">
        <v>23.7</v>
      </c>
      <c r="H58" s="234">
        <v>12</v>
      </c>
      <c r="I58" s="221">
        <v>441.4</v>
      </c>
      <c r="L58" s="234" t="s">
        <v>107</v>
      </c>
      <c r="M58" s="221">
        <v>45.8</v>
      </c>
      <c r="P58" s="234">
        <v>5</v>
      </c>
      <c r="Q58" s="221">
        <v>141</v>
      </c>
    </row>
    <row r="59" spans="1:17" hidden="1" x14ac:dyDescent="0.25">
      <c r="A59" s="30" t="s">
        <v>114</v>
      </c>
      <c r="B59" s="30">
        <v>2000</v>
      </c>
      <c r="C59" s="30" t="s">
        <v>108</v>
      </c>
      <c r="D59" s="30">
        <v>10</v>
      </c>
      <c r="E59" s="30">
        <v>189.1</v>
      </c>
      <c r="F59" s="30">
        <v>0</v>
      </c>
      <c r="H59" s="233">
        <v>2006</v>
      </c>
      <c r="I59" s="221">
        <v>2230.7999999999997</v>
      </c>
      <c r="L59" s="233">
        <v>2010</v>
      </c>
      <c r="M59" s="221">
        <v>306.40000000000003</v>
      </c>
      <c r="P59" s="234">
        <v>6</v>
      </c>
      <c r="Q59" s="221">
        <v>53</v>
      </c>
    </row>
    <row r="60" spans="1:17" hidden="1" x14ac:dyDescent="0.25">
      <c r="A60" s="30" t="s">
        <v>114</v>
      </c>
      <c r="B60" s="30">
        <v>2000</v>
      </c>
      <c r="C60" s="30" t="s">
        <v>109</v>
      </c>
      <c r="D60" s="30">
        <v>11</v>
      </c>
      <c r="E60" s="30">
        <v>272.5</v>
      </c>
      <c r="F60" s="30">
        <v>0</v>
      </c>
      <c r="H60" s="234">
        <v>1</v>
      </c>
      <c r="I60" s="221">
        <v>432.6</v>
      </c>
      <c r="L60" s="234" t="s">
        <v>104</v>
      </c>
      <c r="M60" s="221">
        <v>66.5</v>
      </c>
      <c r="P60" s="234">
        <v>7</v>
      </c>
      <c r="Q60" s="221">
        <v>41.2</v>
      </c>
    </row>
    <row r="61" spans="1:17" hidden="1" x14ac:dyDescent="0.25">
      <c r="A61" s="30" t="s">
        <v>114</v>
      </c>
      <c r="B61" s="30">
        <v>2000</v>
      </c>
      <c r="C61" s="30" t="s">
        <v>110</v>
      </c>
      <c r="D61" s="30">
        <v>12</v>
      </c>
      <c r="E61" s="30">
        <v>296.10000000000002</v>
      </c>
      <c r="F61" s="30">
        <v>0</v>
      </c>
      <c r="H61" s="234">
        <v>2</v>
      </c>
      <c r="I61" s="221">
        <v>396.9</v>
      </c>
      <c r="L61" s="234" t="s">
        <v>105</v>
      </c>
      <c r="M61" s="221">
        <v>128.80000000000001</v>
      </c>
      <c r="P61" s="234">
        <v>8</v>
      </c>
      <c r="Q61" s="221">
        <v>24.7</v>
      </c>
    </row>
    <row r="62" spans="1:17" hidden="1" x14ac:dyDescent="0.25">
      <c r="A62" s="30" t="s">
        <v>115</v>
      </c>
      <c r="B62" s="30">
        <v>2000</v>
      </c>
      <c r="C62" s="30" t="s">
        <v>99</v>
      </c>
      <c r="D62" s="30">
        <v>1</v>
      </c>
      <c r="E62" s="30">
        <v>364.4</v>
      </c>
      <c r="F62" s="30">
        <v>0</v>
      </c>
      <c r="H62" s="234">
        <v>3</v>
      </c>
      <c r="I62" s="221">
        <v>333.1</v>
      </c>
      <c r="L62" s="234" t="s">
        <v>106</v>
      </c>
      <c r="M62" s="221">
        <v>73.400000000000006</v>
      </c>
      <c r="P62" s="234">
        <v>9</v>
      </c>
      <c r="Q62" s="221">
        <v>70.900000000000006</v>
      </c>
    </row>
    <row r="63" spans="1:17" hidden="1" x14ac:dyDescent="0.25">
      <c r="A63" s="30" t="s">
        <v>115</v>
      </c>
      <c r="B63" s="30">
        <v>2000</v>
      </c>
      <c r="C63" s="30" t="s">
        <v>100</v>
      </c>
      <c r="D63" s="30">
        <v>2</v>
      </c>
      <c r="E63" s="30">
        <v>267.7</v>
      </c>
      <c r="F63" s="30">
        <v>0</v>
      </c>
      <c r="H63" s="234">
        <v>4</v>
      </c>
      <c r="I63" s="221">
        <v>217.8</v>
      </c>
      <c r="L63" s="234" t="s">
        <v>107</v>
      </c>
      <c r="M63" s="221">
        <v>37.700000000000003</v>
      </c>
      <c r="P63" s="234">
        <v>10</v>
      </c>
      <c r="Q63" s="221">
        <v>156.69999999999999</v>
      </c>
    </row>
    <row r="64" spans="1:17" hidden="1" x14ac:dyDescent="0.25">
      <c r="A64" s="30" t="s">
        <v>115</v>
      </c>
      <c r="B64" s="30">
        <v>2000</v>
      </c>
      <c r="C64" s="30" t="s">
        <v>101</v>
      </c>
      <c r="D64" s="30">
        <v>3</v>
      </c>
      <c r="E64" s="30">
        <v>305.5</v>
      </c>
      <c r="F64" s="30">
        <v>0</v>
      </c>
      <c r="H64" s="234">
        <v>5</v>
      </c>
      <c r="I64" s="221">
        <v>114.2</v>
      </c>
      <c r="L64" s="233">
        <v>2011</v>
      </c>
      <c r="M64" s="221">
        <v>255.9</v>
      </c>
      <c r="P64" s="234">
        <v>11</v>
      </c>
      <c r="Q64" s="221">
        <v>298.3</v>
      </c>
    </row>
    <row r="65" spans="1:17" hidden="1" x14ac:dyDescent="0.25">
      <c r="A65" s="30" t="s">
        <v>115</v>
      </c>
      <c r="B65" s="30">
        <v>2000</v>
      </c>
      <c r="C65" s="30" t="s">
        <v>102</v>
      </c>
      <c r="D65" s="30">
        <v>4</v>
      </c>
      <c r="E65" s="30">
        <v>256.5</v>
      </c>
      <c r="F65" s="30">
        <v>1.1000000000000001</v>
      </c>
      <c r="H65" s="234">
        <v>10</v>
      </c>
      <c r="I65" s="221">
        <v>95.5</v>
      </c>
      <c r="L65" s="234" t="s">
        <v>104</v>
      </c>
      <c r="M65" s="221">
        <v>62.8</v>
      </c>
      <c r="P65" s="234">
        <v>12</v>
      </c>
      <c r="Q65" s="221">
        <v>425.1</v>
      </c>
    </row>
    <row r="66" spans="1:17" hidden="1" x14ac:dyDescent="0.25">
      <c r="A66" s="30" t="s">
        <v>115</v>
      </c>
      <c r="B66" s="30">
        <v>2000</v>
      </c>
      <c r="C66" s="30" t="s">
        <v>103</v>
      </c>
      <c r="D66" s="30">
        <v>5</v>
      </c>
      <c r="E66" s="30">
        <v>133.30000000000001</v>
      </c>
      <c r="F66" s="30">
        <v>8.1999999999999993</v>
      </c>
      <c r="H66" s="234">
        <v>11</v>
      </c>
      <c r="I66" s="221">
        <v>252.5</v>
      </c>
      <c r="L66" s="234" t="s">
        <v>105</v>
      </c>
      <c r="M66" s="221">
        <v>53.8</v>
      </c>
      <c r="P66" s="233">
        <v>2005</v>
      </c>
      <c r="Q66" s="221">
        <v>2432.5</v>
      </c>
    </row>
    <row r="67" spans="1:17" hidden="1" x14ac:dyDescent="0.25">
      <c r="A67" s="30" t="s">
        <v>115</v>
      </c>
      <c r="B67" s="30">
        <v>2000</v>
      </c>
      <c r="C67" s="30" t="s">
        <v>104</v>
      </c>
      <c r="D67" s="30">
        <v>6</v>
      </c>
      <c r="E67" s="30">
        <v>78.8</v>
      </c>
      <c r="F67" s="30">
        <v>26</v>
      </c>
      <c r="H67" s="234">
        <v>12</v>
      </c>
      <c r="I67" s="221">
        <v>388.2</v>
      </c>
      <c r="L67" s="234" t="s">
        <v>106</v>
      </c>
      <c r="M67" s="221">
        <v>81.2</v>
      </c>
      <c r="P67" s="234">
        <v>1</v>
      </c>
      <c r="Q67" s="221">
        <v>362.2</v>
      </c>
    </row>
    <row r="68" spans="1:17" hidden="1" x14ac:dyDescent="0.25">
      <c r="A68" s="30" t="s">
        <v>115</v>
      </c>
      <c r="B68" s="30">
        <v>2000</v>
      </c>
      <c r="C68" s="30" t="s">
        <v>105</v>
      </c>
      <c r="D68" s="30">
        <v>7</v>
      </c>
      <c r="E68" s="30">
        <v>55.8</v>
      </c>
      <c r="F68" s="30">
        <v>31.4</v>
      </c>
      <c r="H68" s="233">
        <v>2007</v>
      </c>
      <c r="I68" s="221">
        <v>2021.3000000000002</v>
      </c>
      <c r="L68" s="234" t="s">
        <v>107</v>
      </c>
      <c r="M68" s="221">
        <v>58.1</v>
      </c>
      <c r="P68" s="234">
        <v>2</v>
      </c>
      <c r="Q68" s="221">
        <v>387.2</v>
      </c>
    </row>
    <row r="69" spans="1:17" hidden="1" x14ac:dyDescent="0.25">
      <c r="A69" s="30" t="s">
        <v>115</v>
      </c>
      <c r="B69" s="30">
        <v>2000</v>
      </c>
      <c r="C69" s="30" t="s">
        <v>106</v>
      </c>
      <c r="D69" s="30">
        <v>8</v>
      </c>
      <c r="E69" s="30">
        <v>44.6</v>
      </c>
      <c r="F69" s="30">
        <v>51.8</v>
      </c>
      <c r="H69" s="234">
        <v>1</v>
      </c>
      <c r="I69" s="221">
        <v>320.60000000000002</v>
      </c>
      <c r="L69" s="233">
        <v>2012</v>
      </c>
      <c r="M69" s="221">
        <v>243.09999999999997</v>
      </c>
      <c r="P69" s="234">
        <v>3</v>
      </c>
      <c r="Q69" s="221">
        <v>312.39999999999998</v>
      </c>
    </row>
    <row r="70" spans="1:17" hidden="1" x14ac:dyDescent="0.25">
      <c r="A70" s="30" t="s">
        <v>115</v>
      </c>
      <c r="B70" s="30">
        <v>2000</v>
      </c>
      <c r="C70" s="30" t="s">
        <v>107</v>
      </c>
      <c r="D70" s="30">
        <v>9</v>
      </c>
      <c r="E70" s="30">
        <v>63.2</v>
      </c>
      <c r="F70" s="30">
        <v>30.3</v>
      </c>
      <c r="H70" s="234">
        <v>2</v>
      </c>
      <c r="I70" s="221">
        <v>264.3</v>
      </c>
      <c r="L70" s="234" t="s">
        <v>104</v>
      </c>
      <c r="M70" s="221">
        <v>40.5</v>
      </c>
      <c r="P70" s="234">
        <v>4</v>
      </c>
      <c r="Q70" s="221">
        <v>205.8</v>
      </c>
    </row>
    <row r="71" spans="1:17" hidden="1" x14ac:dyDescent="0.25">
      <c r="A71" s="30" t="s">
        <v>115</v>
      </c>
      <c r="B71" s="30">
        <v>2000</v>
      </c>
      <c r="C71" s="30" t="s">
        <v>108</v>
      </c>
      <c r="D71" s="30">
        <v>10</v>
      </c>
      <c r="E71" s="30">
        <v>178</v>
      </c>
      <c r="F71" s="30">
        <v>0.1</v>
      </c>
      <c r="H71" s="234">
        <v>3</v>
      </c>
      <c r="I71" s="221">
        <v>309.7</v>
      </c>
      <c r="L71" s="234" t="s">
        <v>105</v>
      </c>
      <c r="M71" s="221">
        <v>62.3</v>
      </c>
      <c r="P71" s="234">
        <v>5</v>
      </c>
      <c r="Q71" s="221">
        <v>129.80000000000001</v>
      </c>
    </row>
    <row r="72" spans="1:17" hidden="1" x14ac:dyDescent="0.25">
      <c r="A72" s="30" t="s">
        <v>115</v>
      </c>
      <c r="B72" s="30">
        <v>2000</v>
      </c>
      <c r="C72" s="30" t="s">
        <v>109</v>
      </c>
      <c r="D72" s="30">
        <v>11</v>
      </c>
      <c r="E72" s="30">
        <v>256.7</v>
      </c>
      <c r="F72" s="30">
        <v>0</v>
      </c>
      <c r="H72" s="234">
        <v>4</v>
      </c>
      <c r="I72" s="221">
        <v>123.2</v>
      </c>
      <c r="L72" s="234" t="s">
        <v>106</v>
      </c>
      <c r="M72" s="221">
        <v>105.1</v>
      </c>
      <c r="P72" s="234">
        <v>6</v>
      </c>
      <c r="Q72" s="221">
        <v>46.7</v>
      </c>
    </row>
    <row r="73" spans="1:17" hidden="1" x14ac:dyDescent="0.25">
      <c r="A73" s="30" t="s">
        <v>115</v>
      </c>
      <c r="B73" s="30">
        <v>2000</v>
      </c>
      <c r="C73" s="30" t="s">
        <v>110</v>
      </c>
      <c r="D73" s="30">
        <v>12</v>
      </c>
      <c r="E73" s="30">
        <v>276</v>
      </c>
      <c r="F73" s="30">
        <v>0</v>
      </c>
      <c r="H73" s="234">
        <v>5</v>
      </c>
      <c r="I73" s="221">
        <v>94.8</v>
      </c>
      <c r="L73" s="234" t="s">
        <v>107</v>
      </c>
      <c r="M73" s="221">
        <v>35.200000000000003</v>
      </c>
      <c r="P73" s="234">
        <v>7</v>
      </c>
      <c r="Q73" s="221">
        <v>23.4</v>
      </c>
    </row>
    <row r="74" spans="1:17" x14ac:dyDescent="0.25">
      <c r="A74" s="30" t="s">
        <v>116</v>
      </c>
      <c r="B74" s="30">
        <v>2000</v>
      </c>
      <c r="C74" s="30" t="s">
        <v>99</v>
      </c>
      <c r="D74" s="30">
        <v>1</v>
      </c>
      <c r="E74" s="30">
        <v>378.6</v>
      </c>
      <c r="F74" s="30">
        <v>0</v>
      </c>
      <c r="H74" s="234">
        <v>10</v>
      </c>
      <c r="I74" s="221">
        <v>188</v>
      </c>
      <c r="L74" s="233">
        <v>2013</v>
      </c>
      <c r="M74" s="221">
        <v>331.9</v>
      </c>
      <c r="P74" s="234">
        <v>8</v>
      </c>
      <c r="Q74" s="221">
        <v>52.1</v>
      </c>
    </row>
    <row r="75" spans="1:17" x14ac:dyDescent="0.25">
      <c r="A75" s="30" t="s">
        <v>116</v>
      </c>
      <c r="B75" s="30">
        <v>2000</v>
      </c>
      <c r="C75" s="30" t="s">
        <v>100</v>
      </c>
      <c r="D75" s="30">
        <v>2</v>
      </c>
      <c r="E75" s="30">
        <v>275.8</v>
      </c>
      <c r="F75" s="30">
        <v>0</v>
      </c>
      <c r="H75" s="234">
        <v>11</v>
      </c>
      <c r="I75" s="221">
        <v>317</v>
      </c>
      <c r="L75" s="234" t="s">
        <v>104</v>
      </c>
      <c r="M75" s="221">
        <v>37.799999999999997</v>
      </c>
      <c r="P75" s="234">
        <v>9</v>
      </c>
      <c r="Q75" s="221">
        <v>69.2</v>
      </c>
    </row>
    <row r="76" spans="1:17" x14ac:dyDescent="0.25">
      <c r="A76" s="30" t="s">
        <v>116</v>
      </c>
      <c r="B76" s="30">
        <v>2000</v>
      </c>
      <c r="C76" s="30" t="s">
        <v>101</v>
      </c>
      <c r="D76" s="30">
        <v>3</v>
      </c>
      <c r="E76" s="30">
        <v>310.2</v>
      </c>
      <c r="F76" s="30">
        <v>0</v>
      </c>
      <c r="H76" s="234">
        <v>12</v>
      </c>
      <c r="I76" s="221">
        <v>403.7</v>
      </c>
      <c r="L76" s="234" t="s">
        <v>105</v>
      </c>
      <c r="M76" s="221">
        <v>152.69999999999999</v>
      </c>
      <c r="P76" s="234">
        <v>10</v>
      </c>
      <c r="Q76" s="221">
        <v>74.3</v>
      </c>
    </row>
    <row r="77" spans="1:17" x14ac:dyDescent="0.25">
      <c r="A77" s="30" t="s">
        <v>116</v>
      </c>
      <c r="B77" s="30">
        <v>2000</v>
      </c>
      <c r="C77" s="30" t="s">
        <v>102</v>
      </c>
      <c r="D77" s="30">
        <v>4</v>
      </c>
      <c r="E77" s="30">
        <v>248.7</v>
      </c>
      <c r="F77" s="30">
        <v>0.9</v>
      </c>
      <c r="H77" s="233">
        <v>2008</v>
      </c>
      <c r="I77" s="221">
        <v>2195.5</v>
      </c>
      <c r="L77" s="234" t="s">
        <v>106</v>
      </c>
      <c r="M77" s="221">
        <v>96.9</v>
      </c>
      <c r="P77" s="234">
        <v>11</v>
      </c>
      <c r="Q77" s="221">
        <v>328</v>
      </c>
    </row>
    <row r="78" spans="1:17" x14ac:dyDescent="0.25">
      <c r="A78" s="30" t="s">
        <v>116</v>
      </c>
      <c r="B78" s="30">
        <v>2000</v>
      </c>
      <c r="C78" s="30" t="s">
        <v>103</v>
      </c>
      <c r="D78" s="30">
        <v>5</v>
      </c>
      <c r="E78" s="30">
        <v>107.3</v>
      </c>
      <c r="F78" s="30">
        <v>15.4</v>
      </c>
      <c r="H78" s="234">
        <v>1</v>
      </c>
      <c r="I78" s="221">
        <v>337.9</v>
      </c>
      <c r="L78" s="234" t="s">
        <v>107</v>
      </c>
      <c r="M78" s="221">
        <v>44.5</v>
      </c>
      <c r="P78" s="234">
        <v>12</v>
      </c>
      <c r="Q78" s="221">
        <v>441.4</v>
      </c>
    </row>
    <row r="79" spans="1:17" x14ac:dyDescent="0.25">
      <c r="A79" s="30" t="s">
        <v>116</v>
      </c>
      <c r="B79" s="30">
        <v>2000</v>
      </c>
      <c r="C79" s="30" t="s">
        <v>104</v>
      </c>
      <c r="D79" s="30">
        <v>6</v>
      </c>
      <c r="E79" s="30">
        <v>69.7</v>
      </c>
      <c r="F79" s="30">
        <v>29.1</v>
      </c>
      <c r="H79" s="234">
        <v>2</v>
      </c>
      <c r="I79" s="221">
        <v>302.60000000000002</v>
      </c>
      <c r="L79" s="233">
        <v>2014</v>
      </c>
      <c r="M79" s="221">
        <v>279.8</v>
      </c>
      <c r="P79" s="233">
        <v>2006</v>
      </c>
      <c r="Q79" s="221">
        <v>2361.4</v>
      </c>
    </row>
    <row r="80" spans="1:17" x14ac:dyDescent="0.25">
      <c r="A80" s="30" t="s">
        <v>116</v>
      </c>
      <c r="B80" s="30">
        <v>2000</v>
      </c>
      <c r="C80" s="30" t="s">
        <v>105</v>
      </c>
      <c r="D80" s="30">
        <v>7</v>
      </c>
      <c r="E80" s="30">
        <v>51.8</v>
      </c>
      <c r="F80" s="30">
        <v>37.4</v>
      </c>
      <c r="H80" s="234">
        <v>3</v>
      </c>
      <c r="I80" s="221">
        <v>305.5</v>
      </c>
      <c r="L80" s="234" t="s">
        <v>104</v>
      </c>
      <c r="M80" s="221">
        <v>61.9</v>
      </c>
      <c r="P80" s="234">
        <v>1</v>
      </c>
      <c r="Q80" s="221">
        <v>432.6</v>
      </c>
    </row>
    <row r="81" spans="1:17" x14ac:dyDescent="0.25">
      <c r="A81" s="30" t="s">
        <v>116</v>
      </c>
      <c r="B81" s="30">
        <v>2000</v>
      </c>
      <c r="C81" s="30" t="s">
        <v>106</v>
      </c>
      <c r="D81" s="30">
        <v>8</v>
      </c>
      <c r="E81" s="30">
        <v>38.9</v>
      </c>
      <c r="F81" s="30">
        <v>58.4</v>
      </c>
      <c r="H81" s="234">
        <v>4</v>
      </c>
      <c r="I81" s="221">
        <v>239.9</v>
      </c>
      <c r="L81" s="234" t="s">
        <v>105</v>
      </c>
      <c r="M81" s="221">
        <v>105.7</v>
      </c>
      <c r="P81" s="234">
        <v>2</v>
      </c>
      <c r="Q81" s="221">
        <v>396.9</v>
      </c>
    </row>
    <row r="82" spans="1:17" x14ac:dyDescent="0.25">
      <c r="A82" s="30" t="s">
        <v>116</v>
      </c>
      <c r="B82" s="30">
        <v>2000</v>
      </c>
      <c r="C82" s="30" t="s">
        <v>107</v>
      </c>
      <c r="D82" s="30">
        <v>9</v>
      </c>
      <c r="E82" s="30">
        <v>65.5</v>
      </c>
      <c r="F82" s="30">
        <v>31.9</v>
      </c>
      <c r="H82" s="234">
        <v>5</v>
      </c>
      <c r="I82" s="221">
        <v>83.6</v>
      </c>
      <c r="L82" s="234" t="s">
        <v>106</v>
      </c>
      <c r="M82" s="221">
        <v>48.6</v>
      </c>
      <c r="P82" s="234">
        <v>3</v>
      </c>
      <c r="Q82" s="221">
        <v>333.1</v>
      </c>
    </row>
    <row r="83" spans="1:17" x14ac:dyDescent="0.25">
      <c r="A83" s="30" t="s">
        <v>116</v>
      </c>
      <c r="B83" s="30">
        <v>2000</v>
      </c>
      <c r="C83" s="30" t="s">
        <v>108</v>
      </c>
      <c r="D83" s="30">
        <v>10</v>
      </c>
      <c r="E83" s="30">
        <v>185.3</v>
      </c>
      <c r="F83" s="30">
        <v>0</v>
      </c>
      <c r="H83" s="234">
        <v>10</v>
      </c>
      <c r="I83" s="221">
        <v>211</v>
      </c>
      <c r="L83" s="234" t="s">
        <v>107</v>
      </c>
      <c r="M83" s="221">
        <v>63.6</v>
      </c>
      <c r="P83" s="234">
        <v>4</v>
      </c>
      <c r="Q83" s="221">
        <v>217.8</v>
      </c>
    </row>
    <row r="84" spans="1:17" x14ac:dyDescent="0.25">
      <c r="A84" s="30" t="s">
        <v>116</v>
      </c>
      <c r="B84" s="30">
        <v>2000</v>
      </c>
      <c r="C84" s="30" t="s">
        <v>109</v>
      </c>
      <c r="D84" s="30">
        <v>11</v>
      </c>
      <c r="E84" s="30">
        <v>265.2</v>
      </c>
      <c r="F84" s="30">
        <v>0</v>
      </c>
      <c r="H84" s="234">
        <v>11</v>
      </c>
      <c r="I84" s="221">
        <v>284.89999999999998</v>
      </c>
      <c r="L84" s="233">
        <v>2015</v>
      </c>
      <c r="M84" s="221">
        <v>334.7</v>
      </c>
      <c r="P84" s="234">
        <v>5</v>
      </c>
      <c r="Q84" s="221">
        <v>114.2</v>
      </c>
    </row>
    <row r="85" spans="1:17" x14ac:dyDescent="0.25">
      <c r="A85" s="30" t="s">
        <v>116</v>
      </c>
      <c r="B85" s="30">
        <v>2000</v>
      </c>
      <c r="C85" s="30" t="s">
        <v>110</v>
      </c>
      <c r="D85" s="30">
        <v>12</v>
      </c>
      <c r="E85" s="30">
        <v>278.2</v>
      </c>
      <c r="F85" s="30">
        <v>0</v>
      </c>
      <c r="H85" s="234">
        <v>12</v>
      </c>
      <c r="I85" s="221">
        <v>430.1</v>
      </c>
      <c r="L85" s="234" t="s">
        <v>104</v>
      </c>
      <c r="M85" s="221">
        <v>75.8</v>
      </c>
      <c r="P85" s="234">
        <v>6</v>
      </c>
      <c r="Q85" s="221">
        <v>42.2</v>
      </c>
    </row>
    <row r="86" spans="1:17" hidden="1" x14ac:dyDescent="0.25">
      <c r="A86" s="30" t="s">
        <v>98</v>
      </c>
      <c r="B86" s="30">
        <v>2001</v>
      </c>
      <c r="C86" s="30" t="s">
        <v>99</v>
      </c>
      <c r="D86" s="30">
        <v>1</v>
      </c>
      <c r="E86" s="30">
        <v>373.4</v>
      </c>
      <c r="F86" s="30">
        <v>0</v>
      </c>
      <c r="H86" s="233">
        <v>2009</v>
      </c>
      <c r="I86" s="221">
        <v>2267.4</v>
      </c>
      <c r="L86" s="234" t="s">
        <v>105</v>
      </c>
      <c r="M86" s="221">
        <v>126.8</v>
      </c>
      <c r="P86" s="234">
        <v>7</v>
      </c>
      <c r="Q86" s="221">
        <v>4.5</v>
      </c>
    </row>
    <row r="87" spans="1:17" hidden="1" x14ac:dyDescent="0.25">
      <c r="A87" s="30" t="s">
        <v>98</v>
      </c>
      <c r="B87" s="30">
        <v>2001</v>
      </c>
      <c r="C87" s="30" t="s">
        <v>100</v>
      </c>
      <c r="D87" s="30">
        <v>2</v>
      </c>
      <c r="E87" s="30">
        <v>317.7</v>
      </c>
      <c r="F87" s="30">
        <v>0</v>
      </c>
      <c r="H87" s="234">
        <v>1</v>
      </c>
      <c r="I87" s="221">
        <v>493</v>
      </c>
      <c r="L87" s="234" t="s">
        <v>106</v>
      </c>
      <c r="M87" s="221">
        <v>115.3</v>
      </c>
      <c r="P87" s="234">
        <v>8</v>
      </c>
      <c r="Q87" s="221">
        <v>50.7</v>
      </c>
    </row>
    <row r="88" spans="1:17" hidden="1" x14ac:dyDescent="0.25">
      <c r="A88" s="30" t="s">
        <v>98</v>
      </c>
      <c r="B88" s="30">
        <v>2001</v>
      </c>
      <c r="C88" s="30" t="s">
        <v>101</v>
      </c>
      <c r="D88" s="30">
        <v>3</v>
      </c>
      <c r="E88" s="30">
        <v>285.3</v>
      </c>
      <c r="F88" s="30">
        <v>0</v>
      </c>
      <c r="H88" s="234">
        <v>2</v>
      </c>
      <c r="I88" s="221">
        <v>371.6</v>
      </c>
      <c r="L88" s="234" t="s">
        <v>107</v>
      </c>
      <c r="M88" s="221">
        <v>16.8</v>
      </c>
      <c r="P88" s="234">
        <v>9</v>
      </c>
      <c r="Q88" s="221">
        <v>33.200000000000003</v>
      </c>
    </row>
    <row r="89" spans="1:17" hidden="1" x14ac:dyDescent="0.25">
      <c r="A89" s="30" t="s">
        <v>98</v>
      </c>
      <c r="B89" s="30">
        <v>2001</v>
      </c>
      <c r="C89" s="30" t="s">
        <v>102</v>
      </c>
      <c r="D89" s="30">
        <v>4</v>
      </c>
      <c r="E89" s="30">
        <v>267.5</v>
      </c>
      <c r="F89" s="30">
        <v>0</v>
      </c>
      <c r="H89" s="234">
        <v>3</v>
      </c>
      <c r="I89" s="221">
        <v>311</v>
      </c>
      <c r="L89" s="233">
        <v>2016</v>
      </c>
      <c r="M89" s="221">
        <v>358.20000000000005</v>
      </c>
      <c r="P89" s="234">
        <v>10</v>
      </c>
      <c r="Q89" s="221">
        <v>95.5</v>
      </c>
    </row>
    <row r="90" spans="1:17" hidden="1" x14ac:dyDescent="0.25">
      <c r="A90" s="30" t="s">
        <v>98</v>
      </c>
      <c r="B90" s="30">
        <v>2001</v>
      </c>
      <c r="C90" s="30" t="s">
        <v>103</v>
      </c>
      <c r="D90" s="30">
        <v>5</v>
      </c>
      <c r="E90" s="30">
        <v>190.5</v>
      </c>
      <c r="F90" s="30">
        <v>6.1</v>
      </c>
      <c r="H90" s="234">
        <v>4</v>
      </c>
      <c r="I90" s="221">
        <v>184.2</v>
      </c>
      <c r="L90" s="234" t="s">
        <v>104</v>
      </c>
      <c r="M90" s="221">
        <v>41.9</v>
      </c>
      <c r="P90" s="234">
        <v>11</v>
      </c>
      <c r="Q90" s="221">
        <v>252.5</v>
      </c>
    </row>
    <row r="91" spans="1:17" hidden="1" x14ac:dyDescent="0.25">
      <c r="A91" s="30" t="s">
        <v>98</v>
      </c>
      <c r="B91" s="30">
        <v>2001</v>
      </c>
      <c r="C91" s="30" t="s">
        <v>104</v>
      </c>
      <c r="D91" s="30">
        <v>6</v>
      </c>
      <c r="E91" s="30">
        <v>113</v>
      </c>
      <c r="F91" s="30">
        <v>17.5</v>
      </c>
      <c r="H91" s="234">
        <v>5</v>
      </c>
      <c r="I91" s="221">
        <v>106.2</v>
      </c>
      <c r="L91" s="234" t="s">
        <v>105</v>
      </c>
      <c r="M91" s="221">
        <v>107.5</v>
      </c>
      <c r="P91" s="234">
        <v>12</v>
      </c>
      <c r="Q91" s="221">
        <v>388.2</v>
      </c>
    </row>
    <row r="92" spans="1:17" hidden="1" x14ac:dyDescent="0.25">
      <c r="A92" s="30" t="s">
        <v>98</v>
      </c>
      <c r="B92" s="30">
        <v>2001</v>
      </c>
      <c r="C92" s="30" t="s">
        <v>105</v>
      </c>
      <c r="D92" s="30">
        <v>7</v>
      </c>
      <c r="E92" s="30">
        <v>60.4</v>
      </c>
      <c r="F92" s="30">
        <v>35</v>
      </c>
      <c r="H92" s="234">
        <v>10</v>
      </c>
      <c r="I92" s="221">
        <v>163.9</v>
      </c>
      <c r="L92" s="234" t="s">
        <v>106</v>
      </c>
      <c r="M92" s="221">
        <v>130.30000000000001</v>
      </c>
      <c r="P92" s="233">
        <v>2007</v>
      </c>
      <c r="Q92" s="221">
        <v>2268.1999999999998</v>
      </c>
    </row>
    <row r="93" spans="1:17" hidden="1" x14ac:dyDescent="0.25">
      <c r="A93" s="30" t="s">
        <v>98</v>
      </c>
      <c r="B93" s="30">
        <v>2001</v>
      </c>
      <c r="C93" s="30" t="s">
        <v>106</v>
      </c>
      <c r="D93" s="30">
        <v>8</v>
      </c>
      <c r="E93" s="30">
        <v>41.3</v>
      </c>
      <c r="F93" s="30">
        <v>48.8</v>
      </c>
      <c r="H93" s="234">
        <v>11</v>
      </c>
      <c r="I93" s="221">
        <v>222.4</v>
      </c>
      <c r="L93" s="234" t="s">
        <v>107</v>
      </c>
      <c r="M93" s="221">
        <v>78.5</v>
      </c>
      <c r="P93" s="234">
        <v>1</v>
      </c>
      <c r="Q93" s="221">
        <v>320.60000000000002</v>
      </c>
    </row>
    <row r="94" spans="1:17" hidden="1" x14ac:dyDescent="0.25">
      <c r="A94" s="30" t="s">
        <v>98</v>
      </c>
      <c r="B94" s="30">
        <v>2001</v>
      </c>
      <c r="C94" s="30" t="s">
        <v>107</v>
      </c>
      <c r="D94" s="30">
        <v>9</v>
      </c>
      <c r="E94" s="30">
        <v>108.1</v>
      </c>
      <c r="F94" s="30">
        <v>5</v>
      </c>
      <c r="H94" s="234">
        <v>12</v>
      </c>
      <c r="I94" s="221">
        <v>415.1</v>
      </c>
      <c r="L94" s="233">
        <v>2017</v>
      </c>
      <c r="M94" s="221">
        <v>350</v>
      </c>
      <c r="P94" s="234">
        <v>2</v>
      </c>
      <c r="Q94" s="221">
        <v>264.3</v>
      </c>
    </row>
    <row r="95" spans="1:17" hidden="1" x14ac:dyDescent="0.25">
      <c r="A95" s="30" t="s">
        <v>98</v>
      </c>
      <c r="B95" s="30">
        <v>2001</v>
      </c>
      <c r="C95" s="30" t="s">
        <v>108</v>
      </c>
      <c r="D95" s="30">
        <v>10</v>
      </c>
      <c r="E95" s="30">
        <v>113.5</v>
      </c>
      <c r="F95" s="30">
        <v>6.3</v>
      </c>
      <c r="H95" s="233">
        <v>2010</v>
      </c>
      <c r="I95" s="221">
        <v>2537</v>
      </c>
      <c r="L95" s="234" t="s">
        <v>104</v>
      </c>
      <c r="M95" s="221">
        <v>118</v>
      </c>
      <c r="P95" s="234">
        <v>3</v>
      </c>
      <c r="Q95" s="221">
        <v>309.7</v>
      </c>
    </row>
    <row r="96" spans="1:17" hidden="1" x14ac:dyDescent="0.25">
      <c r="A96" s="30" t="s">
        <v>98</v>
      </c>
      <c r="B96" s="30">
        <v>2001</v>
      </c>
      <c r="C96" s="30" t="s">
        <v>109</v>
      </c>
      <c r="D96" s="30">
        <v>11</v>
      </c>
      <c r="E96" s="30">
        <v>297</v>
      </c>
      <c r="F96" s="30">
        <v>0</v>
      </c>
      <c r="H96" s="234">
        <v>1</v>
      </c>
      <c r="I96" s="221">
        <v>487.6</v>
      </c>
      <c r="L96" s="234" t="s">
        <v>105</v>
      </c>
      <c r="M96" s="221">
        <v>112.6</v>
      </c>
      <c r="P96" s="234">
        <v>4</v>
      </c>
      <c r="Q96" s="221">
        <v>123.2</v>
      </c>
    </row>
    <row r="97" spans="1:17" hidden="1" x14ac:dyDescent="0.25">
      <c r="A97" s="30" t="s">
        <v>98</v>
      </c>
      <c r="B97" s="30">
        <v>2001</v>
      </c>
      <c r="C97" s="30" t="s">
        <v>110</v>
      </c>
      <c r="D97" s="30">
        <v>12</v>
      </c>
      <c r="E97" s="30">
        <v>413.4</v>
      </c>
      <c r="F97" s="30">
        <v>0</v>
      </c>
      <c r="H97" s="234">
        <v>2</v>
      </c>
      <c r="I97" s="221">
        <v>370.3</v>
      </c>
      <c r="L97" s="234" t="s">
        <v>106</v>
      </c>
      <c r="M97" s="221">
        <v>99.9</v>
      </c>
      <c r="P97" s="234">
        <v>5</v>
      </c>
      <c r="Q97" s="221">
        <v>94.8</v>
      </c>
    </row>
    <row r="98" spans="1:17" hidden="1" x14ac:dyDescent="0.25">
      <c r="A98" s="30" t="s">
        <v>111</v>
      </c>
      <c r="B98" s="30">
        <v>2001</v>
      </c>
      <c r="C98" s="30" t="s">
        <v>99</v>
      </c>
      <c r="D98" s="30">
        <v>1</v>
      </c>
      <c r="E98" s="30">
        <v>360.7</v>
      </c>
      <c r="F98" s="30">
        <v>0</v>
      </c>
      <c r="H98" s="234">
        <v>3</v>
      </c>
      <c r="I98" s="221">
        <v>312.8</v>
      </c>
      <c r="L98" s="234" t="s">
        <v>107</v>
      </c>
      <c r="M98" s="221">
        <v>19.5</v>
      </c>
      <c r="P98" s="234">
        <v>6</v>
      </c>
      <c r="Q98" s="221">
        <v>46.8</v>
      </c>
    </row>
    <row r="99" spans="1:17" hidden="1" x14ac:dyDescent="0.25">
      <c r="A99" s="30" t="s">
        <v>111</v>
      </c>
      <c r="B99" s="30">
        <v>2001</v>
      </c>
      <c r="C99" s="30" t="s">
        <v>100</v>
      </c>
      <c r="D99" s="30">
        <v>2</v>
      </c>
      <c r="E99" s="30">
        <v>306.8</v>
      </c>
      <c r="F99" s="30">
        <v>0</v>
      </c>
      <c r="H99" s="234">
        <v>4</v>
      </c>
      <c r="I99" s="221">
        <v>199.2</v>
      </c>
      <c r="L99" s="233">
        <v>2018</v>
      </c>
      <c r="M99" s="221">
        <v>436.6</v>
      </c>
      <c r="P99" s="234">
        <v>7</v>
      </c>
      <c r="Q99" s="221">
        <v>41.5</v>
      </c>
    </row>
    <row r="100" spans="1:17" hidden="1" x14ac:dyDescent="0.25">
      <c r="A100" s="30" t="s">
        <v>111</v>
      </c>
      <c r="B100" s="30">
        <v>2001</v>
      </c>
      <c r="C100" s="30" t="s">
        <v>101</v>
      </c>
      <c r="D100" s="30">
        <v>3</v>
      </c>
      <c r="E100" s="30">
        <v>272.3</v>
      </c>
      <c r="F100" s="30">
        <v>0</v>
      </c>
      <c r="H100" s="234">
        <v>5</v>
      </c>
      <c r="I100" s="221">
        <v>155.4</v>
      </c>
      <c r="L100" s="234" t="s">
        <v>104</v>
      </c>
      <c r="M100" s="221">
        <v>82.1</v>
      </c>
      <c r="P100" s="234">
        <v>8</v>
      </c>
      <c r="Q100" s="221">
        <v>47.5</v>
      </c>
    </row>
    <row r="101" spans="1:17" hidden="1" x14ac:dyDescent="0.25">
      <c r="A101" s="30" t="s">
        <v>111</v>
      </c>
      <c r="B101" s="30">
        <v>2001</v>
      </c>
      <c r="C101" s="30" t="s">
        <v>102</v>
      </c>
      <c r="D101" s="30">
        <v>4</v>
      </c>
      <c r="E101" s="30">
        <v>257.89999999999998</v>
      </c>
      <c r="F101" s="30">
        <v>0</v>
      </c>
      <c r="H101" s="234">
        <v>10</v>
      </c>
      <c r="I101" s="221">
        <v>190.1</v>
      </c>
      <c r="L101" s="234" t="s">
        <v>105</v>
      </c>
      <c r="M101" s="221">
        <v>169</v>
      </c>
      <c r="P101" s="234">
        <v>9</v>
      </c>
      <c r="Q101" s="221">
        <v>111.1</v>
      </c>
    </row>
    <row r="102" spans="1:17" hidden="1" x14ac:dyDescent="0.25">
      <c r="A102" s="30" t="s">
        <v>111</v>
      </c>
      <c r="B102" s="30">
        <v>2001</v>
      </c>
      <c r="C102" s="30" t="s">
        <v>103</v>
      </c>
      <c r="D102" s="30">
        <v>5</v>
      </c>
      <c r="E102" s="30">
        <v>172.5</v>
      </c>
      <c r="F102" s="30">
        <v>7.3</v>
      </c>
      <c r="H102" s="234">
        <v>11</v>
      </c>
      <c r="I102" s="221">
        <v>320.89999999999998</v>
      </c>
      <c r="L102" s="234" t="s">
        <v>106</v>
      </c>
      <c r="M102" s="221">
        <v>126</v>
      </c>
      <c r="P102" s="234">
        <v>10</v>
      </c>
      <c r="Q102" s="221">
        <v>188</v>
      </c>
    </row>
    <row r="103" spans="1:17" hidden="1" x14ac:dyDescent="0.25">
      <c r="A103" s="30" t="s">
        <v>111</v>
      </c>
      <c r="B103" s="30">
        <v>2001</v>
      </c>
      <c r="C103" s="30" t="s">
        <v>104</v>
      </c>
      <c r="D103" s="30">
        <v>6</v>
      </c>
      <c r="E103" s="30">
        <v>108.7</v>
      </c>
      <c r="F103" s="30">
        <v>15</v>
      </c>
      <c r="H103" s="234">
        <v>12</v>
      </c>
      <c r="I103" s="221">
        <v>500.7</v>
      </c>
      <c r="L103" s="234" t="s">
        <v>107</v>
      </c>
      <c r="M103" s="221">
        <v>59.5</v>
      </c>
      <c r="P103" s="234">
        <v>11</v>
      </c>
      <c r="Q103" s="221">
        <v>317</v>
      </c>
    </row>
    <row r="104" spans="1:17" hidden="1" x14ac:dyDescent="0.25">
      <c r="A104" s="30" t="s">
        <v>111</v>
      </c>
      <c r="B104" s="30">
        <v>2001</v>
      </c>
      <c r="C104" s="30" t="s">
        <v>105</v>
      </c>
      <c r="D104" s="30">
        <v>7</v>
      </c>
      <c r="E104" s="30">
        <v>65.2</v>
      </c>
      <c r="F104" s="30">
        <v>35.6</v>
      </c>
      <c r="H104" s="233">
        <v>2011</v>
      </c>
      <c r="I104" s="221">
        <v>1844.3</v>
      </c>
      <c r="L104" s="233">
        <v>2019</v>
      </c>
      <c r="M104" s="221">
        <v>414.9</v>
      </c>
      <c r="P104" s="234">
        <v>12</v>
      </c>
      <c r="Q104" s="221">
        <v>403.7</v>
      </c>
    </row>
    <row r="105" spans="1:17" hidden="1" x14ac:dyDescent="0.25">
      <c r="A105" s="30" t="s">
        <v>111</v>
      </c>
      <c r="B105" s="30">
        <v>2001</v>
      </c>
      <c r="C105" s="30" t="s">
        <v>106</v>
      </c>
      <c r="D105" s="30">
        <v>8</v>
      </c>
      <c r="E105" s="30">
        <v>46.9</v>
      </c>
      <c r="F105" s="30">
        <v>34.1</v>
      </c>
      <c r="H105" s="234">
        <v>1</v>
      </c>
      <c r="I105" s="221">
        <v>392.2</v>
      </c>
      <c r="L105" s="234" t="s">
        <v>104</v>
      </c>
      <c r="M105" s="221">
        <v>102.6</v>
      </c>
      <c r="P105" s="233">
        <v>2008</v>
      </c>
      <c r="Q105" s="221">
        <v>2441.6</v>
      </c>
    </row>
    <row r="106" spans="1:17" hidden="1" x14ac:dyDescent="0.25">
      <c r="A106" s="30" t="s">
        <v>111</v>
      </c>
      <c r="B106" s="30">
        <v>2001</v>
      </c>
      <c r="C106" s="30" t="s">
        <v>107</v>
      </c>
      <c r="D106" s="30">
        <v>9</v>
      </c>
      <c r="E106" s="30">
        <v>110.8</v>
      </c>
      <c r="F106" s="30">
        <v>3.7</v>
      </c>
      <c r="H106" s="234">
        <v>2</v>
      </c>
      <c r="I106" s="221">
        <v>299.10000000000002</v>
      </c>
      <c r="L106" s="234" t="s">
        <v>105</v>
      </c>
      <c r="M106" s="221">
        <v>157.80000000000001</v>
      </c>
      <c r="P106" s="234">
        <v>1</v>
      </c>
      <c r="Q106" s="221">
        <v>337.9</v>
      </c>
    </row>
    <row r="107" spans="1:17" hidden="1" x14ac:dyDescent="0.25">
      <c r="A107" s="30" t="s">
        <v>111</v>
      </c>
      <c r="B107" s="30">
        <v>2001</v>
      </c>
      <c r="C107" s="30" t="s">
        <v>108</v>
      </c>
      <c r="D107" s="30">
        <v>10</v>
      </c>
      <c r="E107" s="30">
        <v>110.8</v>
      </c>
      <c r="F107" s="30">
        <v>5</v>
      </c>
      <c r="H107" s="234">
        <v>3</v>
      </c>
      <c r="I107" s="221">
        <v>266.5</v>
      </c>
      <c r="L107" s="234" t="s">
        <v>106</v>
      </c>
      <c r="M107" s="221">
        <v>107.7</v>
      </c>
      <c r="P107" s="234">
        <v>2</v>
      </c>
      <c r="Q107" s="221">
        <v>302.60000000000002</v>
      </c>
    </row>
    <row r="108" spans="1:17" hidden="1" x14ac:dyDescent="0.25">
      <c r="A108" s="30" t="s">
        <v>111</v>
      </c>
      <c r="B108" s="30">
        <v>2001</v>
      </c>
      <c r="C108" s="30" t="s">
        <v>109</v>
      </c>
      <c r="D108" s="30">
        <v>11</v>
      </c>
      <c r="E108" s="30">
        <v>278.8</v>
      </c>
      <c r="F108" s="30">
        <v>0</v>
      </c>
      <c r="H108" s="234">
        <v>4</v>
      </c>
      <c r="I108" s="221">
        <v>136.19999999999999</v>
      </c>
      <c r="L108" s="234" t="s">
        <v>107</v>
      </c>
      <c r="M108" s="221">
        <v>46.8</v>
      </c>
      <c r="P108" s="234">
        <v>3</v>
      </c>
      <c r="Q108" s="221">
        <v>305.5</v>
      </c>
    </row>
    <row r="109" spans="1:17" hidden="1" x14ac:dyDescent="0.25">
      <c r="A109" s="30" t="s">
        <v>111</v>
      </c>
      <c r="B109" s="30">
        <v>2001</v>
      </c>
      <c r="C109" s="30" t="s">
        <v>110</v>
      </c>
      <c r="D109" s="30">
        <v>12</v>
      </c>
      <c r="E109" s="30">
        <v>393.4</v>
      </c>
      <c r="F109" s="30">
        <v>0</v>
      </c>
      <c r="H109" s="234">
        <v>5</v>
      </c>
      <c r="I109" s="221">
        <v>91.9</v>
      </c>
      <c r="L109" s="233">
        <v>2020</v>
      </c>
      <c r="M109" s="221">
        <v>392.79999999999995</v>
      </c>
      <c r="P109" s="234">
        <v>4</v>
      </c>
      <c r="Q109" s="221">
        <v>239.9</v>
      </c>
    </row>
    <row r="110" spans="1:17" hidden="1" x14ac:dyDescent="0.25">
      <c r="A110" s="30" t="s">
        <v>112</v>
      </c>
      <c r="B110" s="30">
        <v>2001</v>
      </c>
      <c r="C110" s="30" t="s">
        <v>99</v>
      </c>
      <c r="D110" s="30">
        <v>1</v>
      </c>
      <c r="E110" s="30">
        <v>350</v>
      </c>
      <c r="F110" s="30">
        <v>0</v>
      </c>
      <c r="H110" s="234">
        <v>10</v>
      </c>
      <c r="I110" s="221">
        <v>145.6</v>
      </c>
      <c r="L110" s="234" t="s">
        <v>104</v>
      </c>
      <c r="M110" s="221">
        <v>58.6</v>
      </c>
      <c r="P110" s="234">
        <v>5</v>
      </c>
      <c r="Q110" s="221">
        <v>83.6</v>
      </c>
    </row>
    <row r="111" spans="1:17" hidden="1" x14ac:dyDescent="0.25">
      <c r="A111" s="30" t="s">
        <v>112</v>
      </c>
      <c r="B111" s="30">
        <v>2001</v>
      </c>
      <c r="C111" s="30" t="s">
        <v>100</v>
      </c>
      <c r="D111" s="30">
        <v>2</v>
      </c>
      <c r="E111" s="30">
        <v>294.5</v>
      </c>
      <c r="F111" s="30">
        <v>0</v>
      </c>
      <c r="H111" s="234">
        <v>11</v>
      </c>
      <c r="I111" s="221">
        <v>205.3</v>
      </c>
      <c r="L111" s="234" t="s">
        <v>105</v>
      </c>
      <c r="M111" s="221">
        <v>107</v>
      </c>
      <c r="P111" s="234">
        <v>6</v>
      </c>
      <c r="Q111" s="221">
        <v>56.8</v>
      </c>
    </row>
    <row r="112" spans="1:17" hidden="1" x14ac:dyDescent="0.25">
      <c r="A112" s="30" t="s">
        <v>112</v>
      </c>
      <c r="B112" s="30">
        <v>2001</v>
      </c>
      <c r="C112" s="30" t="s">
        <v>101</v>
      </c>
      <c r="D112" s="30">
        <v>3</v>
      </c>
      <c r="E112" s="30">
        <v>273.7</v>
      </c>
      <c r="F112" s="30">
        <v>0</v>
      </c>
      <c r="H112" s="234">
        <v>12</v>
      </c>
      <c r="I112" s="221">
        <v>307.5</v>
      </c>
      <c r="L112" s="234" t="s">
        <v>106</v>
      </c>
      <c r="M112" s="221">
        <v>143.1</v>
      </c>
      <c r="P112" s="234">
        <v>7</v>
      </c>
      <c r="Q112" s="221">
        <v>40</v>
      </c>
    </row>
    <row r="113" spans="1:17" hidden="1" x14ac:dyDescent="0.25">
      <c r="A113" s="30" t="s">
        <v>112</v>
      </c>
      <c r="B113" s="30">
        <v>2001</v>
      </c>
      <c r="C113" s="30" t="s">
        <v>102</v>
      </c>
      <c r="D113" s="30">
        <v>4</v>
      </c>
      <c r="E113" s="30">
        <v>256.39999999999998</v>
      </c>
      <c r="F113" s="30">
        <v>0</v>
      </c>
      <c r="H113" s="233">
        <v>2012</v>
      </c>
      <c r="I113" s="221">
        <v>2229.2999999999997</v>
      </c>
      <c r="L113" s="234" t="s">
        <v>107</v>
      </c>
      <c r="M113" s="221">
        <v>84.1</v>
      </c>
      <c r="P113" s="234">
        <v>8</v>
      </c>
      <c r="Q113" s="221">
        <v>40.799999999999997</v>
      </c>
    </row>
    <row r="114" spans="1:17" hidden="1" x14ac:dyDescent="0.25">
      <c r="A114" s="30" t="s">
        <v>112</v>
      </c>
      <c r="B114" s="30">
        <v>2001</v>
      </c>
      <c r="C114" s="30" t="s">
        <v>103</v>
      </c>
      <c r="D114" s="30">
        <v>5</v>
      </c>
      <c r="E114" s="30">
        <v>149.4</v>
      </c>
      <c r="F114" s="30">
        <v>15.2</v>
      </c>
      <c r="H114" s="234">
        <v>1</v>
      </c>
      <c r="I114" s="221">
        <v>348.8</v>
      </c>
      <c r="L114" s="233">
        <v>2021</v>
      </c>
      <c r="M114" s="221">
        <v>313.10000000000002</v>
      </c>
      <c r="P114" s="234">
        <v>9</v>
      </c>
      <c r="Q114" s="221">
        <v>108.5</v>
      </c>
    </row>
    <row r="115" spans="1:17" hidden="1" x14ac:dyDescent="0.25">
      <c r="A115" s="30" t="s">
        <v>112</v>
      </c>
      <c r="B115" s="30">
        <v>2001</v>
      </c>
      <c r="C115" s="30" t="s">
        <v>104</v>
      </c>
      <c r="D115" s="30">
        <v>6</v>
      </c>
      <c r="E115" s="30">
        <v>95.7</v>
      </c>
      <c r="F115" s="30">
        <v>18.899999999999999</v>
      </c>
      <c r="H115" s="234">
        <v>2</v>
      </c>
      <c r="I115" s="221">
        <v>469.8</v>
      </c>
      <c r="L115" s="234" t="s">
        <v>104</v>
      </c>
      <c r="M115" s="221">
        <v>91.2</v>
      </c>
      <c r="P115" s="234">
        <v>10</v>
      </c>
      <c r="Q115" s="221">
        <v>211</v>
      </c>
    </row>
    <row r="116" spans="1:17" hidden="1" x14ac:dyDescent="0.25">
      <c r="A116" s="30" t="s">
        <v>112</v>
      </c>
      <c r="B116" s="30">
        <v>2001</v>
      </c>
      <c r="C116" s="30" t="s">
        <v>105</v>
      </c>
      <c r="D116" s="30">
        <v>7</v>
      </c>
      <c r="E116" s="30">
        <v>59.4</v>
      </c>
      <c r="F116" s="30">
        <v>38.9</v>
      </c>
      <c r="H116" s="234">
        <v>3</v>
      </c>
      <c r="I116" s="221">
        <v>247.3</v>
      </c>
      <c r="L116" s="234" t="s">
        <v>105</v>
      </c>
      <c r="M116" s="221">
        <v>87</v>
      </c>
      <c r="P116" s="234">
        <v>11</v>
      </c>
      <c r="Q116" s="221">
        <v>284.89999999999998</v>
      </c>
    </row>
    <row r="117" spans="1:17" hidden="1" x14ac:dyDescent="0.25">
      <c r="A117" s="30" t="s">
        <v>112</v>
      </c>
      <c r="B117" s="30">
        <v>2001</v>
      </c>
      <c r="C117" s="30" t="s">
        <v>106</v>
      </c>
      <c r="D117" s="30">
        <v>8</v>
      </c>
      <c r="E117" s="30">
        <v>45</v>
      </c>
      <c r="F117" s="30">
        <v>39.200000000000003</v>
      </c>
      <c r="H117" s="234">
        <v>4</v>
      </c>
      <c r="I117" s="221">
        <v>253.8</v>
      </c>
      <c r="L117" s="234" t="s">
        <v>106</v>
      </c>
      <c r="M117" s="221">
        <v>61.4</v>
      </c>
      <c r="P117" s="234">
        <v>12</v>
      </c>
      <c r="Q117" s="221">
        <v>430.1</v>
      </c>
    </row>
    <row r="118" spans="1:17" hidden="1" x14ac:dyDescent="0.25">
      <c r="A118" s="30" t="s">
        <v>112</v>
      </c>
      <c r="B118" s="30">
        <v>2001</v>
      </c>
      <c r="C118" s="30" t="s">
        <v>107</v>
      </c>
      <c r="D118" s="30">
        <v>9</v>
      </c>
      <c r="E118" s="30">
        <v>87.7</v>
      </c>
      <c r="F118" s="30">
        <v>3.7</v>
      </c>
      <c r="H118" s="234">
        <v>5</v>
      </c>
      <c r="I118" s="221">
        <v>113.8</v>
      </c>
      <c r="L118" s="234" t="s">
        <v>107</v>
      </c>
      <c r="M118" s="221">
        <v>73.5</v>
      </c>
      <c r="P118" s="233">
        <v>2009</v>
      </c>
      <c r="Q118" s="221">
        <v>2452.6000000000004</v>
      </c>
    </row>
    <row r="119" spans="1:17" hidden="1" x14ac:dyDescent="0.25">
      <c r="A119" s="30" t="s">
        <v>112</v>
      </c>
      <c r="B119" s="30">
        <v>2001</v>
      </c>
      <c r="C119" s="30" t="s">
        <v>108</v>
      </c>
      <c r="D119" s="30">
        <v>10</v>
      </c>
      <c r="E119" s="30">
        <v>115.7</v>
      </c>
      <c r="F119" s="30">
        <v>2.6</v>
      </c>
      <c r="H119" s="234">
        <v>10</v>
      </c>
      <c r="I119" s="221">
        <v>161.69999999999999</v>
      </c>
      <c r="L119" s="233">
        <v>2022</v>
      </c>
      <c r="M119" s="221">
        <v>482.5</v>
      </c>
      <c r="P119" s="234">
        <v>1</v>
      </c>
      <c r="Q119" s="221">
        <v>493</v>
      </c>
    </row>
    <row r="120" spans="1:17" hidden="1" x14ac:dyDescent="0.25">
      <c r="A120" s="30" t="s">
        <v>112</v>
      </c>
      <c r="B120" s="30">
        <v>2001</v>
      </c>
      <c r="C120" s="30" t="s">
        <v>109</v>
      </c>
      <c r="D120" s="30">
        <v>11</v>
      </c>
      <c r="E120" s="30">
        <v>273.39999999999998</v>
      </c>
      <c r="F120" s="30">
        <v>0</v>
      </c>
      <c r="H120" s="234">
        <v>11</v>
      </c>
      <c r="I120" s="221">
        <v>300.39999999999998</v>
      </c>
      <c r="L120" s="234" t="s">
        <v>104</v>
      </c>
      <c r="M120" s="221">
        <v>92.6</v>
      </c>
      <c r="P120" s="234">
        <v>2</v>
      </c>
      <c r="Q120" s="221">
        <v>371.6</v>
      </c>
    </row>
    <row r="121" spans="1:17" hidden="1" x14ac:dyDescent="0.25">
      <c r="A121" s="30" t="s">
        <v>112</v>
      </c>
      <c r="B121" s="30">
        <v>2001</v>
      </c>
      <c r="C121" s="30" t="s">
        <v>110</v>
      </c>
      <c r="D121" s="30">
        <v>12</v>
      </c>
      <c r="E121" s="30">
        <v>391.6</v>
      </c>
      <c r="F121" s="30">
        <v>0</v>
      </c>
      <c r="H121" s="234">
        <v>12</v>
      </c>
      <c r="I121" s="221">
        <v>333.7</v>
      </c>
      <c r="L121" s="234" t="s">
        <v>105</v>
      </c>
      <c r="M121" s="221">
        <v>166.9</v>
      </c>
      <c r="P121" s="234">
        <v>3</v>
      </c>
      <c r="Q121" s="221">
        <v>311</v>
      </c>
    </row>
    <row r="122" spans="1:17" hidden="1" x14ac:dyDescent="0.25">
      <c r="A122" s="30" t="s">
        <v>113</v>
      </c>
      <c r="B122" s="30">
        <v>2001</v>
      </c>
      <c r="C122" s="30" t="s">
        <v>99</v>
      </c>
      <c r="D122" s="30">
        <v>1</v>
      </c>
      <c r="E122" s="30">
        <v>357.6</v>
      </c>
      <c r="F122" s="30">
        <v>0</v>
      </c>
      <c r="H122" s="233">
        <v>2013</v>
      </c>
      <c r="I122" s="221">
        <v>2396.1999999999998</v>
      </c>
      <c r="L122" s="234" t="s">
        <v>106</v>
      </c>
      <c r="M122" s="221">
        <v>163.80000000000001</v>
      </c>
      <c r="P122" s="234">
        <v>4</v>
      </c>
      <c r="Q122" s="221">
        <v>184.2</v>
      </c>
    </row>
    <row r="123" spans="1:17" hidden="1" x14ac:dyDescent="0.25">
      <c r="A123" s="30" t="s">
        <v>113</v>
      </c>
      <c r="B123" s="30">
        <v>2001</v>
      </c>
      <c r="C123" s="30" t="s">
        <v>100</v>
      </c>
      <c r="D123" s="30">
        <v>2</v>
      </c>
      <c r="E123" s="30">
        <v>312.7</v>
      </c>
      <c r="F123" s="30">
        <v>0</v>
      </c>
      <c r="H123" s="234">
        <v>1</v>
      </c>
      <c r="I123" s="221">
        <v>409.5</v>
      </c>
      <c r="L123" s="234" t="s">
        <v>107</v>
      </c>
      <c r="M123" s="221">
        <v>59.2</v>
      </c>
      <c r="P123" s="234">
        <v>5</v>
      </c>
      <c r="Q123" s="221">
        <v>106.2</v>
      </c>
    </row>
    <row r="124" spans="1:17" hidden="1" x14ac:dyDescent="0.25">
      <c r="A124" s="30" t="s">
        <v>113</v>
      </c>
      <c r="B124" s="30">
        <v>2001</v>
      </c>
      <c r="C124" s="30" t="s">
        <v>101</v>
      </c>
      <c r="D124" s="30">
        <v>3</v>
      </c>
      <c r="E124" s="30">
        <v>253.6</v>
      </c>
      <c r="F124" s="30">
        <v>0</v>
      </c>
      <c r="H124" s="234">
        <v>2</v>
      </c>
      <c r="I124" s="221">
        <v>389.8</v>
      </c>
      <c r="L124" s="233" t="s">
        <v>218</v>
      </c>
      <c r="M124" s="221">
        <v>321.58</v>
      </c>
      <c r="P124" s="234">
        <v>6</v>
      </c>
      <c r="Q124" s="221">
        <v>59.2</v>
      </c>
    </row>
    <row r="125" spans="1:17" hidden="1" x14ac:dyDescent="0.25">
      <c r="A125" s="30" t="s">
        <v>113</v>
      </c>
      <c r="B125" s="30">
        <v>2001</v>
      </c>
      <c r="C125" s="30" t="s">
        <v>102</v>
      </c>
      <c r="D125" s="30">
        <v>4</v>
      </c>
      <c r="E125" s="30">
        <v>236.2</v>
      </c>
      <c r="F125" s="30">
        <v>0.2</v>
      </c>
      <c r="H125" s="234">
        <v>3</v>
      </c>
      <c r="I125" s="221">
        <v>360.4</v>
      </c>
      <c r="L125" s="234" t="s">
        <v>104</v>
      </c>
      <c r="M125" s="221">
        <v>70.744999999999976</v>
      </c>
      <c r="P125" s="234">
        <v>7</v>
      </c>
      <c r="Q125" s="221">
        <v>35.200000000000003</v>
      </c>
    </row>
    <row r="126" spans="1:17" hidden="1" x14ac:dyDescent="0.25">
      <c r="A126" s="30" t="s">
        <v>113</v>
      </c>
      <c r="B126" s="30">
        <v>2001</v>
      </c>
      <c r="C126" s="30" t="s">
        <v>103</v>
      </c>
      <c r="D126" s="30">
        <v>5</v>
      </c>
      <c r="E126" s="30">
        <v>126.3</v>
      </c>
      <c r="F126" s="30">
        <v>28.6</v>
      </c>
      <c r="H126" s="234">
        <v>4</v>
      </c>
      <c r="I126" s="221">
        <v>247.2</v>
      </c>
      <c r="L126" s="234" t="s">
        <v>105</v>
      </c>
      <c r="M126" s="221">
        <v>107.04499999999999</v>
      </c>
      <c r="P126" s="234">
        <v>8</v>
      </c>
      <c r="Q126" s="221">
        <v>26.5</v>
      </c>
    </row>
    <row r="127" spans="1:17" hidden="1" x14ac:dyDescent="0.25">
      <c r="A127" s="30" t="s">
        <v>113</v>
      </c>
      <c r="B127" s="30">
        <v>2001</v>
      </c>
      <c r="C127" s="30" t="s">
        <v>104</v>
      </c>
      <c r="D127" s="30">
        <v>6</v>
      </c>
      <c r="E127" s="30">
        <v>72.900000000000006</v>
      </c>
      <c r="F127" s="30">
        <v>50.2</v>
      </c>
      <c r="H127" s="234">
        <v>5</v>
      </c>
      <c r="I127" s="221">
        <v>175.2</v>
      </c>
      <c r="L127" s="234" t="s">
        <v>106</v>
      </c>
      <c r="M127" s="221">
        <v>97.72999999999999</v>
      </c>
      <c r="P127" s="234">
        <v>9</v>
      </c>
      <c r="Q127" s="221">
        <v>64.3</v>
      </c>
    </row>
    <row r="128" spans="1:17" hidden="1" x14ac:dyDescent="0.25">
      <c r="A128" s="30" t="s">
        <v>113</v>
      </c>
      <c r="B128" s="30">
        <v>2001</v>
      </c>
      <c r="C128" s="30" t="s">
        <v>105</v>
      </c>
      <c r="D128" s="30">
        <v>7</v>
      </c>
      <c r="E128" s="30">
        <v>38</v>
      </c>
      <c r="F128" s="30">
        <v>82.8</v>
      </c>
      <c r="H128" s="234">
        <v>10</v>
      </c>
      <c r="I128" s="221">
        <v>122.6</v>
      </c>
      <c r="L128" s="234" t="s">
        <v>107</v>
      </c>
      <c r="M128" s="221">
        <v>46.06</v>
      </c>
      <c r="P128" s="234">
        <v>10</v>
      </c>
      <c r="Q128" s="221">
        <v>163.9</v>
      </c>
    </row>
    <row r="129" spans="1:17" hidden="1" x14ac:dyDescent="0.25">
      <c r="A129" s="30" t="s">
        <v>113</v>
      </c>
      <c r="B129" s="30">
        <v>2001</v>
      </c>
      <c r="C129" s="30" t="s">
        <v>106</v>
      </c>
      <c r="D129" s="30">
        <v>8</v>
      </c>
      <c r="E129" s="30">
        <v>27</v>
      </c>
      <c r="F129" s="30">
        <v>92.6</v>
      </c>
      <c r="H129" s="234">
        <v>11</v>
      </c>
      <c r="I129" s="221">
        <v>311.10000000000002</v>
      </c>
      <c r="L129" s="233">
        <v>2023</v>
      </c>
      <c r="M129" s="221">
        <v>453.3</v>
      </c>
      <c r="P129" s="234">
        <v>11</v>
      </c>
      <c r="Q129" s="221">
        <v>222.4</v>
      </c>
    </row>
    <row r="130" spans="1:17" hidden="1" x14ac:dyDescent="0.25">
      <c r="A130" s="30" t="s">
        <v>113</v>
      </c>
      <c r="B130" s="30">
        <v>2001</v>
      </c>
      <c r="C130" s="30" t="s">
        <v>107</v>
      </c>
      <c r="D130" s="30">
        <v>9</v>
      </c>
      <c r="E130" s="30">
        <v>93.4</v>
      </c>
      <c r="F130" s="30">
        <v>15.8</v>
      </c>
      <c r="H130" s="234">
        <v>12</v>
      </c>
      <c r="I130" s="221">
        <v>380.4</v>
      </c>
      <c r="L130" s="234" t="s">
        <v>104</v>
      </c>
      <c r="M130" s="221">
        <v>133.19999999999999</v>
      </c>
      <c r="P130" s="234">
        <v>12</v>
      </c>
      <c r="Q130" s="221">
        <v>415.1</v>
      </c>
    </row>
    <row r="131" spans="1:17" hidden="1" x14ac:dyDescent="0.25">
      <c r="A131" s="30" t="s">
        <v>113</v>
      </c>
      <c r="B131" s="30">
        <v>2001</v>
      </c>
      <c r="C131" s="30" t="s">
        <v>108</v>
      </c>
      <c r="D131" s="30">
        <v>10</v>
      </c>
      <c r="E131" s="30">
        <v>80.099999999999994</v>
      </c>
      <c r="F131" s="30">
        <v>13.6</v>
      </c>
      <c r="H131" s="233">
        <v>2014</v>
      </c>
      <c r="I131" s="221">
        <v>1892.8999999999999</v>
      </c>
      <c r="L131" s="234" t="s">
        <v>105</v>
      </c>
      <c r="M131" s="221">
        <v>98.9</v>
      </c>
      <c r="P131" s="233">
        <v>2010</v>
      </c>
      <c r="Q131" s="221">
        <v>2742.8</v>
      </c>
    </row>
    <row r="132" spans="1:17" hidden="1" x14ac:dyDescent="0.25">
      <c r="A132" s="30" t="s">
        <v>113</v>
      </c>
      <c r="B132" s="30">
        <v>2001</v>
      </c>
      <c r="C132" s="30" t="s">
        <v>109</v>
      </c>
      <c r="D132" s="30">
        <v>11</v>
      </c>
      <c r="E132" s="30">
        <v>302.7</v>
      </c>
      <c r="F132" s="30">
        <v>0</v>
      </c>
      <c r="H132" s="234">
        <v>1</v>
      </c>
      <c r="I132" s="221">
        <v>320.5</v>
      </c>
      <c r="L132" s="234" t="s">
        <v>106</v>
      </c>
      <c r="M132" s="221">
        <v>107.7</v>
      </c>
      <c r="P132" s="234">
        <v>1</v>
      </c>
      <c r="Q132" s="221">
        <v>487.6</v>
      </c>
    </row>
    <row r="133" spans="1:17" hidden="1" x14ac:dyDescent="0.25">
      <c r="A133" s="30" t="s">
        <v>113</v>
      </c>
      <c r="B133" s="30">
        <v>2001</v>
      </c>
      <c r="C133" s="30" t="s">
        <v>110</v>
      </c>
      <c r="D133" s="30">
        <v>12</v>
      </c>
      <c r="E133" s="30">
        <v>415.9</v>
      </c>
      <c r="F133" s="30">
        <v>0</v>
      </c>
      <c r="H133" s="234">
        <v>2</v>
      </c>
      <c r="I133" s="221">
        <v>281.3</v>
      </c>
      <c r="L133" s="234" t="s">
        <v>107</v>
      </c>
      <c r="M133" s="221">
        <v>113.5</v>
      </c>
      <c r="P133" s="234">
        <v>2</v>
      </c>
      <c r="Q133" s="221">
        <v>370.3</v>
      </c>
    </row>
    <row r="134" spans="1:17" hidden="1" x14ac:dyDescent="0.25">
      <c r="A134" s="30" t="s">
        <v>114</v>
      </c>
      <c r="B134" s="30">
        <v>2001</v>
      </c>
      <c r="C134" s="30" t="s">
        <v>99</v>
      </c>
      <c r="D134" s="30">
        <v>1</v>
      </c>
      <c r="E134" s="30">
        <v>365.5</v>
      </c>
      <c r="F134" s="30">
        <v>0</v>
      </c>
      <c r="H134" s="234">
        <v>3</v>
      </c>
      <c r="I134" s="221">
        <v>263.89999999999998</v>
      </c>
      <c r="L134" s="233" t="s">
        <v>35</v>
      </c>
      <c r="M134" s="221">
        <v>8002.0800000000017</v>
      </c>
      <c r="P134" s="234">
        <v>3</v>
      </c>
      <c r="Q134" s="221">
        <v>312.8</v>
      </c>
    </row>
    <row r="135" spans="1:17" hidden="1" x14ac:dyDescent="0.25">
      <c r="A135" s="30" t="s">
        <v>114</v>
      </c>
      <c r="B135" s="30">
        <v>2001</v>
      </c>
      <c r="C135" s="30" t="s">
        <v>100</v>
      </c>
      <c r="D135" s="30">
        <v>2</v>
      </c>
      <c r="E135" s="30">
        <v>320.39999999999998</v>
      </c>
      <c r="F135" s="30">
        <v>0</v>
      </c>
      <c r="H135" s="234">
        <v>4</v>
      </c>
      <c r="I135" s="221">
        <v>174.2</v>
      </c>
      <c r="P135" s="234">
        <v>4</v>
      </c>
      <c r="Q135" s="221">
        <v>199.2</v>
      </c>
    </row>
    <row r="136" spans="1:17" hidden="1" x14ac:dyDescent="0.25">
      <c r="A136" s="30" t="s">
        <v>114</v>
      </c>
      <c r="B136" s="30">
        <v>2001</v>
      </c>
      <c r="C136" s="30" t="s">
        <v>101</v>
      </c>
      <c r="D136" s="30">
        <v>3</v>
      </c>
      <c r="E136" s="30">
        <v>273.3</v>
      </c>
      <c r="F136" s="30">
        <v>0</v>
      </c>
      <c r="H136" s="234">
        <v>5</v>
      </c>
      <c r="I136" s="221">
        <v>134.5</v>
      </c>
      <c r="P136" s="234">
        <v>5</v>
      </c>
      <c r="Q136" s="221">
        <v>155.4</v>
      </c>
    </row>
    <row r="137" spans="1:17" hidden="1" x14ac:dyDescent="0.25">
      <c r="A137" s="30" t="s">
        <v>114</v>
      </c>
      <c r="B137" s="30">
        <v>2001</v>
      </c>
      <c r="C137" s="30" t="s">
        <v>102</v>
      </c>
      <c r="D137" s="30">
        <v>4</v>
      </c>
      <c r="E137" s="30">
        <v>262.7</v>
      </c>
      <c r="F137" s="30">
        <v>0</v>
      </c>
      <c r="H137" s="234">
        <v>10</v>
      </c>
      <c r="I137" s="221">
        <v>124.2</v>
      </c>
      <c r="P137" s="234">
        <v>6</v>
      </c>
      <c r="Q137" s="221">
        <v>46.7</v>
      </c>
    </row>
    <row r="138" spans="1:17" hidden="1" x14ac:dyDescent="0.25">
      <c r="A138" s="30" t="s">
        <v>114</v>
      </c>
      <c r="B138" s="30">
        <v>2001</v>
      </c>
      <c r="C138" s="30" t="s">
        <v>103</v>
      </c>
      <c r="D138" s="30">
        <v>5</v>
      </c>
      <c r="E138" s="30">
        <v>163.6</v>
      </c>
      <c r="F138" s="30">
        <v>6.8</v>
      </c>
      <c r="H138" s="234">
        <v>11</v>
      </c>
      <c r="I138" s="221">
        <v>219.5</v>
      </c>
      <c r="P138" s="234">
        <v>7</v>
      </c>
      <c r="Q138" s="221">
        <v>22.2</v>
      </c>
    </row>
    <row r="139" spans="1:17" hidden="1" x14ac:dyDescent="0.25">
      <c r="A139" s="30" t="s">
        <v>114</v>
      </c>
      <c r="B139" s="30">
        <v>2001</v>
      </c>
      <c r="C139" s="30" t="s">
        <v>104</v>
      </c>
      <c r="D139" s="30">
        <v>6</v>
      </c>
      <c r="E139" s="30">
        <v>104</v>
      </c>
      <c r="F139" s="30">
        <v>22.4</v>
      </c>
      <c r="H139" s="234">
        <v>12</v>
      </c>
      <c r="I139" s="221">
        <v>374.8</v>
      </c>
      <c r="P139" s="234">
        <v>8</v>
      </c>
      <c r="Q139" s="221">
        <v>41.5</v>
      </c>
    </row>
    <row r="140" spans="1:17" hidden="1" x14ac:dyDescent="0.25">
      <c r="A140" s="30" t="s">
        <v>114</v>
      </c>
      <c r="B140" s="30">
        <v>2001</v>
      </c>
      <c r="C140" s="30" t="s">
        <v>105</v>
      </c>
      <c r="D140" s="30">
        <v>7</v>
      </c>
      <c r="E140" s="30">
        <v>53.8</v>
      </c>
      <c r="F140" s="30">
        <v>42.9</v>
      </c>
      <c r="H140" s="233">
        <v>2015</v>
      </c>
      <c r="I140" s="221">
        <v>1979.9999999999998</v>
      </c>
      <c r="P140" s="234">
        <v>9</v>
      </c>
      <c r="Q140" s="221">
        <v>95.4</v>
      </c>
    </row>
    <row r="141" spans="1:17" hidden="1" x14ac:dyDescent="0.25">
      <c r="A141" s="30" t="s">
        <v>114</v>
      </c>
      <c r="B141" s="30">
        <v>2001</v>
      </c>
      <c r="C141" s="30" t="s">
        <v>106</v>
      </c>
      <c r="D141" s="30">
        <v>8</v>
      </c>
      <c r="E141" s="30">
        <v>34.5</v>
      </c>
      <c r="F141" s="30">
        <v>48.6</v>
      </c>
      <c r="H141" s="234">
        <v>1</v>
      </c>
      <c r="I141" s="221">
        <v>392.1</v>
      </c>
      <c r="P141" s="234">
        <v>10</v>
      </c>
      <c r="Q141" s="221">
        <v>190.1</v>
      </c>
    </row>
    <row r="142" spans="1:17" hidden="1" x14ac:dyDescent="0.25">
      <c r="A142" s="30" t="s">
        <v>114</v>
      </c>
      <c r="B142" s="30">
        <v>2001</v>
      </c>
      <c r="C142" s="30" t="s">
        <v>107</v>
      </c>
      <c r="D142" s="30">
        <v>9</v>
      </c>
      <c r="E142" s="30">
        <v>72.900000000000006</v>
      </c>
      <c r="F142" s="30">
        <v>4.3</v>
      </c>
      <c r="H142" s="234">
        <v>2</v>
      </c>
      <c r="I142" s="221">
        <v>366.9</v>
      </c>
      <c r="P142" s="234">
        <v>11</v>
      </c>
      <c r="Q142" s="221">
        <v>320.89999999999998</v>
      </c>
    </row>
    <row r="143" spans="1:17" hidden="1" x14ac:dyDescent="0.25">
      <c r="A143" s="30" t="s">
        <v>114</v>
      </c>
      <c r="B143" s="30">
        <v>2001</v>
      </c>
      <c r="C143" s="30" t="s">
        <v>108</v>
      </c>
      <c r="D143" s="30">
        <v>10</v>
      </c>
      <c r="E143" s="30">
        <v>102.8</v>
      </c>
      <c r="F143" s="30">
        <v>7.4</v>
      </c>
      <c r="H143" s="234">
        <v>3</v>
      </c>
      <c r="I143" s="221">
        <v>303.8</v>
      </c>
      <c r="P143" s="234">
        <v>12</v>
      </c>
      <c r="Q143" s="221">
        <v>500.7</v>
      </c>
    </row>
    <row r="144" spans="1:17" hidden="1" x14ac:dyDescent="0.25">
      <c r="A144" s="30" t="s">
        <v>114</v>
      </c>
      <c r="B144" s="30">
        <v>2001</v>
      </c>
      <c r="C144" s="30" t="s">
        <v>109</v>
      </c>
      <c r="D144" s="30">
        <v>11</v>
      </c>
      <c r="E144" s="30">
        <v>287.5</v>
      </c>
      <c r="F144" s="30">
        <v>0</v>
      </c>
      <c r="H144" s="234">
        <v>4</v>
      </c>
      <c r="I144" s="221">
        <v>166.6</v>
      </c>
      <c r="P144" s="233">
        <v>2011</v>
      </c>
      <c r="Q144" s="221">
        <v>2036.8999999999999</v>
      </c>
    </row>
    <row r="145" spans="1:17" hidden="1" x14ac:dyDescent="0.25">
      <c r="A145" s="30" t="s">
        <v>114</v>
      </c>
      <c r="B145" s="30">
        <v>2001</v>
      </c>
      <c r="C145" s="30" t="s">
        <v>110</v>
      </c>
      <c r="D145" s="30">
        <v>12</v>
      </c>
      <c r="E145" s="30">
        <v>379</v>
      </c>
      <c r="F145" s="30">
        <v>0</v>
      </c>
      <c r="H145" s="234">
        <v>5</v>
      </c>
      <c r="I145" s="221">
        <v>119.9</v>
      </c>
      <c r="P145" s="234">
        <v>1</v>
      </c>
      <c r="Q145" s="221">
        <v>392.2</v>
      </c>
    </row>
    <row r="146" spans="1:17" hidden="1" x14ac:dyDescent="0.25">
      <c r="A146" s="30" t="s">
        <v>115</v>
      </c>
      <c r="B146" s="30">
        <v>2001</v>
      </c>
      <c r="C146" s="30" t="s">
        <v>99</v>
      </c>
      <c r="D146" s="30">
        <v>1</v>
      </c>
      <c r="E146" s="30">
        <v>343.3</v>
      </c>
      <c r="F146" s="30">
        <v>0</v>
      </c>
      <c r="H146" s="234">
        <v>10</v>
      </c>
      <c r="I146" s="221">
        <v>181.1</v>
      </c>
      <c r="P146" s="234">
        <v>2</v>
      </c>
      <c r="Q146" s="221">
        <v>299.10000000000002</v>
      </c>
    </row>
    <row r="147" spans="1:17" hidden="1" x14ac:dyDescent="0.25">
      <c r="A147" s="30" t="s">
        <v>115</v>
      </c>
      <c r="B147" s="30">
        <v>2001</v>
      </c>
      <c r="C147" s="30" t="s">
        <v>100</v>
      </c>
      <c r="D147" s="30">
        <v>2</v>
      </c>
      <c r="E147" s="30">
        <v>296.10000000000002</v>
      </c>
      <c r="F147" s="30">
        <v>0</v>
      </c>
      <c r="H147" s="234">
        <v>11</v>
      </c>
      <c r="I147" s="221">
        <v>191.1</v>
      </c>
      <c r="P147" s="234">
        <v>3</v>
      </c>
      <c r="Q147" s="221">
        <v>266.5</v>
      </c>
    </row>
    <row r="148" spans="1:17" hidden="1" x14ac:dyDescent="0.25">
      <c r="A148" s="30" t="s">
        <v>115</v>
      </c>
      <c r="B148" s="30">
        <v>2001</v>
      </c>
      <c r="C148" s="30" t="s">
        <v>101</v>
      </c>
      <c r="D148" s="30">
        <v>3</v>
      </c>
      <c r="E148" s="30">
        <v>256.89999999999998</v>
      </c>
      <c r="F148" s="30">
        <v>0</v>
      </c>
      <c r="H148" s="234">
        <v>12</v>
      </c>
      <c r="I148" s="221">
        <v>258.5</v>
      </c>
      <c r="P148" s="234">
        <v>4</v>
      </c>
      <c r="Q148" s="221">
        <v>136.19999999999999</v>
      </c>
    </row>
    <row r="149" spans="1:17" hidden="1" x14ac:dyDescent="0.25">
      <c r="A149" s="30" t="s">
        <v>115</v>
      </c>
      <c r="B149" s="30">
        <v>2001</v>
      </c>
      <c r="C149" s="30" t="s">
        <v>102</v>
      </c>
      <c r="D149" s="30">
        <v>4</v>
      </c>
      <c r="E149" s="30">
        <v>237.3</v>
      </c>
      <c r="F149" s="30">
        <v>0</v>
      </c>
      <c r="H149" s="233">
        <v>2016</v>
      </c>
      <c r="I149" s="221">
        <v>2236.9999999999995</v>
      </c>
      <c r="P149" s="234">
        <v>5</v>
      </c>
      <c r="Q149" s="221">
        <v>91.9</v>
      </c>
    </row>
    <row r="150" spans="1:17" hidden="1" x14ac:dyDescent="0.25">
      <c r="A150" s="30" t="s">
        <v>115</v>
      </c>
      <c r="B150" s="30">
        <v>2001</v>
      </c>
      <c r="C150" s="30" t="s">
        <v>103</v>
      </c>
      <c r="D150" s="30">
        <v>5</v>
      </c>
      <c r="E150" s="30">
        <v>142.69999999999999</v>
      </c>
      <c r="F150" s="30">
        <v>17.2</v>
      </c>
      <c r="H150" s="234">
        <v>1</v>
      </c>
      <c r="I150" s="221">
        <v>348.4</v>
      </c>
      <c r="P150" s="234">
        <v>6</v>
      </c>
      <c r="Q150" s="221">
        <v>55.8</v>
      </c>
    </row>
    <row r="151" spans="1:17" hidden="1" x14ac:dyDescent="0.25">
      <c r="A151" s="30" t="s">
        <v>115</v>
      </c>
      <c r="B151" s="30">
        <v>2001</v>
      </c>
      <c r="C151" s="30" t="s">
        <v>104</v>
      </c>
      <c r="D151" s="30">
        <v>6</v>
      </c>
      <c r="E151" s="30">
        <v>88.4</v>
      </c>
      <c r="F151" s="30">
        <v>28</v>
      </c>
      <c r="H151" s="234">
        <v>2</v>
      </c>
      <c r="I151" s="221">
        <v>321.2</v>
      </c>
      <c r="P151" s="234">
        <v>7</v>
      </c>
      <c r="Q151" s="221">
        <v>50.8</v>
      </c>
    </row>
    <row r="152" spans="1:17" hidden="1" x14ac:dyDescent="0.25">
      <c r="A152" s="30" t="s">
        <v>115</v>
      </c>
      <c r="B152" s="30">
        <v>2001</v>
      </c>
      <c r="C152" s="30" t="s">
        <v>105</v>
      </c>
      <c r="D152" s="30">
        <v>7</v>
      </c>
      <c r="E152" s="30">
        <v>52.7</v>
      </c>
      <c r="F152" s="30">
        <v>47.1</v>
      </c>
      <c r="H152" s="234">
        <v>3</v>
      </c>
      <c r="I152" s="221">
        <v>328.3</v>
      </c>
      <c r="P152" s="234">
        <v>8</v>
      </c>
      <c r="Q152" s="221">
        <v>34.700000000000003</v>
      </c>
    </row>
    <row r="153" spans="1:17" hidden="1" x14ac:dyDescent="0.25">
      <c r="A153" s="30" t="s">
        <v>115</v>
      </c>
      <c r="B153" s="30">
        <v>2001</v>
      </c>
      <c r="C153" s="30" t="s">
        <v>106</v>
      </c>
      <c r="D153" s="30">
        <v>8</v>
      </c>
      <c r="E153" s="30">
        <v>41.5</v>
      </c>
      <c r="F153" s="30">
        <v>58.1</v>
      </c>
      <c r="H153" s="234">
        <v>4</v>
      </c>
      <c r="I153" s="221">
        <v>252.6</v>
      </c>
      <c r="P153" s="234">
        <v>9</v>
      </c>
      <c r="Q153" s="221">
        <v>51.3</v>
      </c>
    </row>
    <row r="154" spans="1:17" hidden="1" x14ac:dyDescent="0.25">
      <c r="A154" s="30" t="s">
        <v>115</v>
      </c>
      <c r="B154" s="30">
        <v>2001</v>
      </c>
      <c r="C154" s="30" t="s">
        <v>107</v>
      </c>
      <c r="D154" s="30">
        <v>9</v>
      </c>
      <c r="E154" s="30">
        <v>98.2</v>
      </c>
      <c r="F154" s="30">
        <v>10.5</v>
      </c>
      <c r="H154" s="234">
        <v>5</v>
      </c>
      <c r="I154" s="221">
        <v>124.3</v>
      </c>
      <c r="P154" s="234">
        <v>10</v>
      </c>
      <c r="Q154" s="221">
        <v>145.6</v>
      </c>
    </row>
    <row r="155" spans="1:17" hidden="1" x14ac:dyDescent="0.25">
      <c r="A155" s="30" t="s">
        <v>115</v>
      </c>
      <c r="B155" s="30">
        <v>2001</v>
      </c>
      <c r="C155" s="30" t="s">
        <v>108</v>
      </c>
      <c r="D155" s="30">
        <v>10</v>
      </c>
      <c r="E155" s="30">
        <v>93.7</v>
      </c>
      <c r="F155" s="30">
        <v>4.5</v>
      </c>
      <c r="H155" s="234">
        <v>10</v>
      </c>
      <c r="I155" s="221">
        <v>202.6</v>
      </c>
      <c r="P155" s="234">
        <v>11</v>
      </c>
      <c r="Q155" s="221">
        <v>205.3</v>
      </c>
    </row>
    <row r="156" spans="1:17" hidden="1" x14ac:dyDescent="0.25">
      <c r="A156" s="30" t="s">
        <v>115</v>
      </c>
      <c r="B156" s="30">
        <v>2001</v>
      </c>
      <c r="C156" s="30" t="s">
        <v>109</v>
      </c>
      <c r="D156" s="30">
        <v>11</v>
      </c>
      <c r="E156" s="30">
        <v>291.2</v>
      </c>
      <c r="F156" s="30">
        <v>0</v>
      </c>
      <c r="H156" s="234">
        <v>11</v>
      </c>
      <c r="I156" s="221">
        <v>289.2</v>
      </c>
      <c r="P156" s="234">
        <v>12</v>
      </c>
      <c r="Q156" s="221">
        <v>307.5</v>
      </c>
    </row>
    <row r="157" spans="1:17" hidden="1" x14ac:dyDescent="0.25">
      <c r="A157" s="30" t="s">
        <v>115</v>
      </c>
      <c r="B157" s="30">
        <v>2001</v>
      </c>
      <c r="C157" s="30" t="s">
        <v>110</v>
      </c>
      <c r="D157" s="30">
        <v>12</v>
      </c>
      <c r="E157" s="30">
        <v>409.3</v>
      </c>
      <c r="F157" s="30">
        <v>0</v>
      </c>
      <c r="H157" s="234">
        <v>12</v>
      </c>
      <c r="I157" s="221">
        <v>370.4</v>
      </c>
      <c r="P157" s="233">
        <v>2012</v>
      </c>
      <c r="Q157" s="221">
        <v>2474.5</v>
      </c>
    </row>
    <row r="158" spans="1:17" x14ac:dyDescent="0.25">
      <c r="A158" s="30" t="s">
        <v>116</v>
      </c>
      <c r="B158" s="30">
        <v>2001</v>
      </c>
      <c r="C158" s="30" t="s">
        <v>99</v>
      </c>
      <c r="D158" s="30">
        <v>1</v>
      </c>
      <c r="E158" s="30">
        <v>349.4</v>
      </c>
      <c r="F158" s="30">
        <v>0</v>
      </c>
      <c r="H158" s="233">
        <v>2017</v>
      </c>
      <c r="I158" s="221">
        <v>2074.2999999999997</v>
      </c>
      <c r="P158" s="234">
        <v>1</v>
      </c>
      <c r="Q158" s="221">
        <v>348.8</v>
      </c>
    </row>
    <row r="159" spans="1:17" x14ac:dyDescent="0.25">
      <c r="A159" s="30" t="s">
        <v>116</v>
      </c>
      <c r="B159" s="30">
        <v>2001</v>
      </c>
      <c r="C159" s="30" t="s">
        <v>100</v>
      </c>
      <c r="D159" s="30">
        <v>2</v>
      </c>
      <c r="E159" s="30">
        <v>301.5</v>
      </c>
      <c r="F159" s="30">
        <v>0</v>
      </c>
      <c r="H159" s="234">
        <v>1</v>
      </c>
      <c r="I159" s="221">
        <v>451.9</v>
      </c>
      <c r="P159" s="234">
        <v>2</v>
      </c>
      <c r="Q159" s="221">
        <v>469.8</v>
      </c>
    </row>
    <row r="160" spans="1:17" x14ac:dyDescent="0.25">
      <c r="A160" s="30" t="s">
        <v>116</v>
      </c>
      <c r="B160" s="30">
        <v>2001</v>
      </c>
      <c r="C160" s="30" t="s">
        <v>101</v>
      </c>
      <c r="D160" s="30">
        <v>3</v>
      </c>
      <c r="E160" s="30">
        <v>254.6</v>
      </c>
      <c r="F160" s="30">
        <v>0</v>
      </c>
      <c r="H160" s="234">
        <v>2</v>
      </c>
      <c r="I160" s="221">
        <v>287.8</v>
      </c>
      <c r="P160" s="234">
        <v>3</v>
      </c>
      <c r="Q160" s="221">
        <v>247.3</v>
      </c>
    </row>
    <row r="161" spans="1:17" x14ac:dyDescent="0.25">
      <c r="A161" s="30" t="s">
        <v>116</v>
      </c>
      <c r="B161" s="30">
        <v>2001</v>
      </c>
      <c r="C161" s="30" t="s">
        <v>102</v>
      </c>
      <c r="D161" s="30">
        <v>4</v>
      </c>
      <c r="E161" s="30">
        <v>241.9</v>
      </c>
      <c r="F161" s="30">
        <v>0</v>
      </c>
      <c r="H161" s="234">
        <v>3</v>
      </c>
      <c r="I161" s="221">
        <v>226.3</v>
      </c>
      <c r="P161" s="234">
        <v>4</v>
      </c>
      <c r="Q161" s="221">
        <v>253.8</v>
      </c>
    </row>
    <row r="162" spans="1:17" x14ac:dyDescent="0.25">
      <c r="A162" s="30" t="s">
        <v>116</v>
      </c>
      <c r="B162" s="30">
        <v>2001</v>
      </c>
      <c r="C162" s="30" t="s">
        <v>103</v>
      </c>
      <c r="D162" s="30">
        <v>5</v>
      </c>
      <c r="E162" s="30">
        <v>144</v>
      </c>
      <c r="F162" s="30">
        <v>19.7</v>
      </c>
      <c r="H162" s="234">
        <v>4</v>
      </c>
      <c r="I162" s="221">
        <v>227.8</v>
      </c>
      <c r="P162" s="234">
        <v>5</v>
      </c>
      <c r="Q162" s="221">
        <v>113.8</v>
      </c>
    </row>
    <row r="163" spans="1:17" x14ac:dyDescent="0.25">
      <c r="A163" s="30" t="s">
        <v>116</v>
      </c>
      <c r="B163" s="30">
        <v>2001</v>
      </c>
      <c r="C163" s="30" t="s">
        <v>104</v>
      </c>
      <c r="D163" s="30">
        <v>6</v>
      </c>
      <c r="E163" s="30">
        <v>84.6</v>
      </c>
      <c r="F163" s="30">
        <v>31</v>
      </c>
      <c r="H163" s="234">
        <v>5</v>
      </c>
      <c r="I163" s="221">
        <v>98</v>
      </c>
      <c r="P163" s="234">
        <v>6</v>
      </c>
      <c r="Q163" s="221">
        <v>59.4</v>
      </c>
    </row>
    <row r="164" spans="1:17" x14ac:dyDescent="0.25">
      <c r="A164" s="30" t="s">
        <v>116</v>
      </c>
      <c r="B164" s="30">
        <v>2001</v>
      </c>
      <c r="C164" s="30" t="s">
        <v>105</v>
      </c>
      <c r="D164" s="30">
        <v>7</v>
      </c>
      <c r="E164" s="30">
        <v>40.799999999999997</v>
      </c>
      <c r="F164" s="30">
        <v>61.3</v>
      </c>
      <c r="H164" s="234">
        <v>10</v>
      </c>
      <c r="I164" s="221">
        <v>126.4</v>
      </c>
      <c r="P164" s="234">
        <v>7</v>
      </c>
      <c r="Q164" s="221">
        <v>48.9</v>
      </c>
    </row>
    <row r="165" spans="1:17" x14ac:dyDescent="0.25">
      <c r="A165" s="30" t="s">
        <v>116</v>
      </c>
      <c r="B165" s="30">
        <v>2001</v>
      </c>
      <c r="C165" s="30" t="s">
        <v>106</v>
      </c>
      <c r="D165" s="30">
        <v>8</v>
      </c>
      <c r="E165" s="30">
        <v>32.6</v>
      </c>
      <c r="F165" s="30">
        <v>28.4</v>
      </c>
      <c r="H165" s="234">
        <v>11</v>
      </c>
      <c r="I165" s="221">
        <v>289.89999999999998</v>
      </c>
      <c r="P165" s="234">
        <v>8</v>
      </c>
      <c r="Q165" s="221">
        <v>28.8</v>
      </c>
    </row>
    <row r="166" spans="1:17" x14ac:dyDescent="0.25">
      <c r="A166" s="30" t="s">
        <v>116</v>
      </c>
      <c r="B166" s="30">
        <v>2001</v>
      </c>
      <c r="C166" s="30" t="s">
        <v>107</v>
      </c>
      <c r="D166" s="30">
        <v>9</v>
      </c>
      <c r="E166" s="30">
        <v>0</v>
      </c>
      <c r="F166" s="30">
        <v>0</v>
      </c>
      <c r="H166" s="234">
        <v>12</v>
      </c>
      <c r="I166" s="221">
        <v>366.2</v>
      </c>
      <c r="P166" s="234">
        <v>9</v>
      </c>
      <c r="Q166" s="221">
        <v>108.1</v>
      </c>
    </row>
    <row r="167" spans="1:17" x14ac:dyDescent="0.25">
      <c r="A167" s="30" t="s">
        <v>116</v>
      </c>
      <c r="B167" s="30">
        <v>2001</v>
      </c>
      <c r="C167" s="30" t="s">
        <v>108</v>
      </c>
      <c r="D167" s="30">
        <v>10</v>
      </c>
      <c r="E167" s="30">
        <v>91.4</v>
      </c>
      <c r="F167" s="30">
        <v>5</v>
      </c>
      <c r="H167" s="233">
        <v>2018</v>
      </c>
      <c r="I167" s="221">
        <v>2021.8999999999999</v>
      </c>
      <c r="P167" s="234">
        <v>10</v>
      </c>
      <c r="Q167" s="221">
        <v>161.69999999999999</v>
      </c>
    </row>
    <row r="168" spans="1:17" x14ac:dyDescent="0.25">
      <c r="A168" s="30" t="s">
        <v>116</v>
      </c>
      <c r="B168" s="30">
        <v>2001</v>
      </c>
      <c r="C168" s="30" t="s">
        <v>109</v>
      </c>
      <c r="D168" s="30">
        <v>11</v>
      </c>
      <c r="E168" s="30">
        <v>283</v>
      </c>
      <c r="F168" s="30">
        <v>0</v>
      </c>
      <c r="H168" s="234">
        <v>1</v>
      </c>
      <c r="I168" s="221">
        <v>298.60000000000002</v>
      </c>
      <c r="P168" s="234">
        <v>11</v>
      </c>
      <c r="Q168" s="221">
        <v>300.39999999999998</v>
      </c>
    </row>
    <row r="169" spans="1:17" x14ac:dyDescent="0.25">
      <c r="A169" s="30" t="s">
        <v>116</v>
      </c>
      <c r="B169" s="30">
        <v>2001</v>
      </c>
      <c r="C169" s="30" t="s">
        <v>110</v>
      </c>
      <c r="D169" s="30">
        <v>12</v>
      </c>
      <c r="E169" s="30">
        <v>395.2</v>
      </c>
      <c r="F169" s="30">
        <v>0</v>
      </c>
      <c r="H169" s="234">
        <v>2</v>
      </c>
      <c r="I169" s="221">
        <v>415.2</v>
      </c>
      <c r="P169" s="234">
        <v>12</v>
      </c>
      <c r="Q169" s="221">
        <v>333.7</v>
      </c>
    </row>
    <row r="170" spans="1:17" hidden="1" x14ac:dyDescent="0.25">
      <c r="A170" s="30" t="s">
        <v>98</v>
      </c>
      <c r="B170" s="30">
        <v>2002</v>
      </c>
      <c r="C170" s="30" t="s">
        <v>99</v>
      </c>
      <c r="D170" s="30">
        <v>1</v>
      </c>
      <c r="E170" s="30">
        <v>333.4</v>
      </c>
      <c r="F170" s="30">
        <v>0</v>
      </c>
      <c r="H170" s="234">
        <v>3</v>
      </c>
      <c r="I170" s="221">
        <v>305.39999999999998</v>
      </c>
      <c r="P170" s="233">
        <v>2013</v>
      </c>
      <c r="Q170" s="221">
        <v>2585.1999999999998</v>
      </c>
    </row>
    <row r="171" spans="1:17" hidden="1" x14ac:dyDescent="0.25">
      <c r="A171" s="30" t="s">
        <v>98</v>
      </c>
      <c r="B171" s="30">
        <v>2002</v>
      </c>
      <c r="C171" s="30" t="s">
        <v>100</v>
      </c>
      <c r="D171" s="30">
        <v>2</v>
      </c>
      <c r="E171" s="30">
        <v>263.39999999999998</v>
      </c>
      <c r="F171" s="30">
        <v>0</v>
      </c>
      <c r="H171" s="234">
        <v>4</v>
      </c>
      <c r="I171" s="221">
        <v>152.19999999999999</v>
      </c>
      <c r="P171" s="234">
        <v>1</v>
      </c>
      <c r="Q171" s="221">
        <v>409.5</v>
      </c>
    </row>
    <row r="172" spans="1:17" hidden="1" x14ac:dyDescent="0.25">
      <c r="A172" s="30" t="s">
        <v>98</v>
      </c>
      <c r="B172" s="30">
        <v>2002</v>
      </c>
      <c r="C172" s="30" t="s">
        <v>101</v>
      </c>
      <c r="D172" s="30">
        <v>3</v>
      </c>
      <c r="E172" s="30">
        <v>283.5</v>
      </c>
      <c r="F172" s="30">
        <v>0</v>
      </c>
      <c r="H172" s="234">
        <v>5</v>
      </c>
      <c r="I172" s="221">
        <v>95.8</v>
      </c>
      <c r="P172" s="234">
        <v>2</v>
      </c>
      <c r="Q172" s="221">
        <v>389.8</v>
      </c>
    </row>
    <row r="173" spans="1:17" hidden="1" x14ac:dyDescent="0.25">
      <c r="A173" s="30" t="s">
        <v>98</v>
      </c>
      <c r="B173" s="30">
        <v>2002</v>
      </c>
      <c r="C173" s="30" t="s">
        <v>102</v>
      </c>
      <c r="D173" s="30">
        <v>4</v>
      </c>
      <c r="E173" s="30">
        <v>241.3</v>
      </c>
      <c r="F173" s="30">
        <v>1.5</v>
      </c>
      <c r="H173" s="234">
        <v>10</v>
      </c>
      <c r="I173" s="221">
        <v>157.5</v>
      </c>
      <c r="P173" s="234">
        <v>3</v>
      </c>
      <c r="Q173" s="221">
        <v>360.4</v>
      </c>
    </row>
    <row r="174" spans="1:17" hidden="1" x14ac:dyDescent="0.25">
      <c r="A174" s="30" t="s">
        <v>98</v>
      </c>
      <c r="B174" s="30">
        <v>2002</v>
      </c>
      <c r="C174" s="30" t="s">
        <v>103</v>
      </c>
      <c r="D174" s="30">
        <v>5</v>
      </c>
      <c r="E174" s="30">
        <v>181.7</v>
      </c>
      <c r="F174" s="30">
        <v>6.3</v>
      </c>
      <c r="H174" s="234">
        <v>11</v>
      </c>
      <c r="I174" s="221">
        <v>278</v>
      </c>
      <c r="P174" s="234">
        <v>4</v>
      </c>
      <c r="Q174" s="221">
        <v>247.2</v>
      </c>
    </row>
    <row r="175" spans="1:17" hidden="1" x14ac:dyDescent="0.25">
      <c r="A175" s="30" t="s">
        <v>98</v>
      </c>
      <c r="B175" s="30">
        <v>2002</v>
      </c>
      <c r="C175" s="30" t="s">
        <v>104</v>
      </c>
      <c r="D175" s="30">
        <v>6</v>
      </c>
      <c r="E175" s="30">
        <v>110.8</v>
      </c>
      <c r="F175" s="30">
        <v>12.9</v>
      </c>
      <c r="H175" s="234">
        <v>12</v>
      </c>
      <c r="I175" s="221">
        <v>319.2</v>
      </c>
      <c r="P175" s="234">
        <v>5</v>
      </c>
      <c r="Q175" s="221">
        <v>175.2</v>
      </c>
    </row>
    <row r="176" spans="1:17" hidden="1" x14ac:dyDescent="0.25">
      <c r="A176" s="30" t="s">
        <v>98</v>
      </c>
      <c r="B176" s="30">
        <v>2002</v>
      </c>
      <c r="C176" s="30" t="s">
        <v>105</v>
      </c>
      <c r="D176" s="30">
        <v>7</v>
      </c>
      <c r="E176" s="30">
        <v>70.3</v>
      </c>
      <c r="F176" s="30">
        <v>20.2</v>
      </c>
      <c r="H176" s="233">
        <v>2019</v>
      </c>
      <c r="I176" s="221">
        <v>2054.1</v>
      </c>
      <c r="P176" s="234">
        <v>6</v>
      </c>
      <c r="Q176" s="221">
        <v>68</v>
      </c>
    </row>
    <row r="177" spans="1:17" hidden="1" x14ac:dyDescent="0.25">
      <c r="A177" s="30" t="s">
        <v>98</v>
      </c>
      <c r="B177" s="30">
        <v>2002</v>
      </c>
      <c r="C177" s="30" t="s">
        <v>106</v>
      </c>
      <c r="D177" s="30">
        <v>8</v>
      </c>
      <c r="E177" s="30">
        <v>65</v>
      </c>
      <c r="F177" s="30">
        <v>19.399999999999999</v>
      </c>
      <c r="H177" s="234">
        <v>1</v>
      </c>
      <c r="I177" s="221">
        <v>402.2</v>
      </c>
      <c r="P177" s="234">
        <v>7</v>
      </c>
      <c r="Q177" s="221">
        <v>13.3</v>
      </c>
    </row>
    <row r="178" spans="1:17" hidden="1" x14ac:dyDescent="0.25">
      <c r="A178" s="30" t="s">
        <v>98</v>
      </c>
      <c r="B178" s="30">
        <v>2002</v>
      </c>
      <c r="C178" s="30" t="s">
        <v>107</v>
      </c>
      <c r="D178" s="30">
        <v>9</v>
      </c>
      <c r="E178" s="30">
        <v>90.2</v>
      </c>
      <c r="F178" s="30">
        <v>11</v>
      </c>
      <c r="H178" s="234">
        <v>2</v>
      </c>
      <c r="I178" s="221">
        <v>297.3</v>
      </c>
      <c r="P178" s="234">
        <v>8</v>
      </c>
      <c r="Q178" s="221">
        <v>38.5</v>
      </c>
    </row>
    <row r="179" spans="1:17" hidden="1" x14ac:dyDescent="0.25">
      <c r="A179" s="30" t="s">
        <v>98</v>
      </c>
      <c r="B179" s="30">
        <v>2002</v>
      </c>
      <c r="C179" s="30" t="s">
        <v>108</v>
      </c>
      <c r="D179" s="30">
        <v>10</v>
      </c>
      <c r="E179" s="30">
        <v>176.2</v>
      </c>
      <c r="F179" s="30">
        <v>0.7</v>
      </c>
      <c r="H179" s="234">
        <v>3</v>
      </c>
      <c r="I179" s="221">
        <v>260.39999999999998</v>
      </c>
      <c r="P179" s="234">
        <v>9</v>
      </c>
      <c r="Q179" s="221">
        <v>69.2</v>
      </c>
    </row>
    <row r="180" spans="1:17" hidden="1" x14ac:dyDescent="0.25">
      <c r="A180" s="30" t="s">
        <v>98</v>
      </c>
      <c r="B180" s="30">
        <v>2002</v>
      </c>
      <c r="C180" s="30" t="s">
        <v>109</v>
      </c>
      <c r="D180" s="30">
        <v>11</v>
      </c>
      <c r="E180" s="30">
        <v>230.3</v>
      </c>
      <c r="F180" s="30">
        <v>0</v>
      </c>
      <c r="H180" s="234">
        <v>4</v>
      </c>
      <c r="I180" s="221">
        <v>201.4</v>
      </c>
      <c r="P180" s="234">
        <v>10</v>
      </c>
      <c r="Q180" s="221">
        <v>122.6</v>
      </c>
    </row>
    <row r="181" spans="1:17" hidden="1" x14ac:dyDescent="0.25">
      <c r="A181" s="30" t="s">
        <v>98</v>
      </c>
      <c r="B181" s="30">
        <v>2002</v>
      </c>
      <c r="C181" s="30" t="s">
        <v>110</v>
      </c>
      <c r="D181" s="30">
        <v>12</v>
      </c>
      <c r="E181" s="30">
        <v>310.10000000000002</v>
      </c>
      <c r="F181" s="30">
        <v>0</v>
      </c>
      <c r="H181" s="234">
        <v>5</v>
      </c>
      <c r="I181" s="221">
        <v>147.9</v>
      </c>
      <c r="P181" s="234">
        <v>11</v>
      </c>
      <c r="Q181" s="221">
        <v>311.10000000000002</v>
      </c>
    </row>
    <row r="182" spans="1:17" hidden="1" x14ac:dyDescent="0.25">
      <c r="A182" s="30" t="s">
        <v>111</v>
      </c>
      <c r="B182" s="30">
        <v>2002</v>
      </c>
      <c r="C182" s="30" t="s">
        <v>99</v>
      </c>
      <c r="D182" s="30">
        <v>1</v>
      </c>
      <c r="E182" s="30">
        <v>307.7</v>
      </c>
      <c r="F182" s="30">
        <v>0</v>
      </c>
      <c r="H182" s="234">
        <v>10</v>
      </c>
      <c r="I182" s="221">
        <v>128.80000000000001</v>
      </c>
      <c r="P182" s="234">
        <v>12</v>
      </c>
      <c r="Q182" s="221">
        <v>380.4</v>
      </c>
    </row>
    <row r="183" spans="1:17" hidden="1" x14ac:dyDescent="0.25">
      <c r="A183" s="30" t="s">
        <v>111</v>
      </c>
      <c r="B183" s="30">
        <v>2002</v>
      </c>
      <c r="C183" s="30" t="s">
        <v>100</v>
      </c>
      <c r="D183" s="30">
        <v>2</v>
      </c>
      <c r="E183" s="30">
        <v>254.8</v>
      </c>
      <c r="F183" s="30">
        <v>0</v>
      </c>
      <c r="H183" s="234">
        <v>11</v>
      </c>
      <c r="I183" s="221">
        <v>293.10000000000002</v>
      </c>
      <c r="P183" s="233">
        <v>2014</v>
      </c>
      <c r="Q183" s="221">
        <v>2070.1999999999998</v>
      </c>
    </row>
    <row r="184" spans="1:17" hidden="1" x14ac:dyDescent="0.25">
      <c r="A184" s="30" t="s">
        <v>111</v>
      </c>
      <c r="B184" s="30">
        <v>2002</v>
      </c>
      <c r="C184" s="30" t="s">
        <v>101</v>
      </c>
      <c r="D184" s="30">
        <v>3</v>
      </c>
      <c r="E184" s="30">
        <v>260.89999999999998</v>
      </c>
      <c r="F184" s="30">
        <v>0</v>
      </c>
      <c r="H184" s="234">
        <v>12</v>
      </c>
      <c r="I184" s="221">
        <v>323</v>
      </c>
      <c r="P184" s="234">
        <v>1</v>
      </c>
      <c r="Q184" s="221">
        <v>320.5</v>
      </c>
    </row>
    <row r="185" spans="1:17" hidden="1" x14ac:dyDescent="0.25">
      <c r="A185" s="30" t="s">
        <v>111</v>
      </c>
      <c r="B185" s="30">
        <v>2002</v>
      </c>
      <c r="C185" s="30" t="s">
        <v>102</v>
      </c>
      <c r="D185" s="30">
        <v>4</v>
      </c>
      <c r="E185" s="30">
        <v>237.7</v>
      </c>
      <c r="F185" s="30">
        <v>0.5</v>
      </c>
      <c r="H185" s="233">
        <v>2020</v>
      </c>
      <c r="I185" s="221">
        <v>1804.7999999999997</v>
      </c>
      <c r="P185" s="234">
        <v>2</v>
      </c>
      <c r="Q185" s="221">
        <v>281.3</v>
      </c>
    </row>
    <row r="186" spans="1:17" hidden="1" x14ac:dyDescent="0.25">
      <c r="A186" s="30" t="s">
        <v>111</v>
      </c>
      <c r="B186" s="30">
        <v>2002</v>
      </c>
      <c r="C186" s="30" t="s">
        <v>103</v>
      </c>
      <c r="D186" s="30">
        <v>5</v>
      </c>
      <c r="E186" s="30">
        <v>184.2</v>
      </c>
      <c r="F186" s="30">
        <v>5.0999999999999996</v>
      </c>
      <c r="H186" s="234">
        <v>1</v>
      </c>
      <c r="I186" s="221">
        <v>331.5</v>
      </c>
      <c r="P186" s="234">
        <v>3</v>
      </c>
      <c r="Q186" s="221">
        <v>263.89999999999998</v>
      </c>
    </row>
    <row r="187" spans="1:17" hidden="1" x14ac:dyDescent="0.25">
      <c r="A187" s="30" t="s">
        <v>111</v>
      </c>
      <c r="B187" s="30">
        <v>2002</v>
      </c>
      <c r="C187" s="30" t="s">
        <v>104</v>
      </c>
      <c r="D187" s="30">
        <v>6</v>
      </c>
      <c r="E187" s="30">
        <v>129.6</v>
      </c>
      <c r="F187" s="30">
        <v>3.7</v>
      </c>
      <c r="H187" s="234">
        <v>2</v>
      </c>
      <c r="I187" s="221">
        <v>251.6</v>
      </c>
      <c r="P187" s="234">
        <v>4</v>
      </c>
      <c r="Q187" s="221">
        <v>174.2</v>
      </c>
    </row>
    <row r="188" spans="1:17" hidden="1" x14ac:dyDescent="0.25">
      <c r="A188" s="30" t="s">
        <v>111</v>
      </c>
      <c r="B188" s="30">
        <v>2002</v>
      </c>
      <c r="C188" s="30" t="s">
        <v>105</v>
      </c>
      <c r="D188" s="30">
        <v>7</v>
      </c>
      <c r="E188" s="30">
        <v>80.7</v>
      </c>
      <c r="F188" s="30">
        <v>11.7</v>
      </c>
      <c r="H188" s="234">
        <v>3</v>
      </c>
      <c r="I188" s="221">
        <v>272.60000000000002</v>
      </c>
      <c r="P188" s="234">
        <v>5</v>
      </c>
      <c r="Q188" s="221">
        <v>134.5</v>
      </c>
    </row>
    <row r="189" spans="1:17" hidden="1" x14ac:dyDescent="0.25">
      <c r="A189" s="30" t="s">
        <v>111</v>
      </c>
      <c r="B189" s="30">
        <v>2002</v>
      </c>
      <c r="C189" s="30" t="s">
        <v>106</v>
      </c>
      <c r="D189" s="30">
        <v>8</v>
      </c>
      <c r="E189" s="30">
        <v>62.8</v>
      </c>
      <c r="F189" s="30">
        <v>14.6</v>
      </c>
      <c r="H189" s="234">
        <v>4</v>
      </c>
      <c r="I189" s="221">
        <v>126.3</v>
      </c>
      <c r="P189" s="234">
        <v>6</v>
      </c>
      <c r="Q189" s="221">
        <v>48.5</v>
      </c>
    </row>
    <row r="190" spans="1:17" hidden="1" x14ac:dyDescent="0.25">
      <c r="A190" s="30" t="s">
        <v>111</v>
      </c>
      <c r="B190" s="30">
        <v>2002</v>
      </c>
      <c r="C190" s="30" t="s">
        <v>107</v>
      </c>
      <c r="D190" s="30">
        <v>9</v>
      </c>
      <c r="E190" s="30">
        <v>87.7</v>
      </c>
      <c r="F190" s="30">
        <v>21</v>
      </c>
      <c r="H190" s="234">
        <v>5</v>
      </c>
      <c r="I190" s="221">
        <v>91.8</v>
      </c>
      <c r="P190" s="234">
        <v>7</v>
      </c>
      <c r="Q190" s="221">
        <v>22.6</v>
      </c>
    </row>
    <row r="191" spans="1:17" hidden="1" x14ac:dyDescent="0.25">
      <c r="A191" s="30" t="s">
        <v>111</v>
      </c>
      <c r="B191" s="30">
        <v>2002</v>
      </c>
      <c r="C191" s="30" t="s">
        <v>108</v>
      </c>
      <c r="D191" s="30">
        <v>10</v>
      </c>
      <c r="E191" s="30">
        <v>163.1</v>
      </c>
      <c r="F191" s="30">
        <v>0.8</v>
      </c>
      <c r="H191" s="234">
        <v>10</v>
      </c>
      <c r="I191" s="221">
        <v>159.30000000000001</v>
      </c>
      <c r="P191" s="234">
        <v>8</v>
      </c>
      <c r="Q191" s="221">
        <v>51.9</v>
      </c>
    </row>
    <row r="192" spans="1:17" hidden="1" x14ac:dyDescent="0.25">
      <c r="A192" s="30" t="s">
        <v>111</v>
      </c>
      <c r="B192" s="30">
        <v>2002</v>
      </c>
      <c r="C192" s="30" t="s">
        <v>109</v>
      </c>
      <c r="D192" s="30">
        <v>11</v>
      </c>
      <c r="E192" s="30">
        <v>213.7</v>
      </c>
      <c r="F192" s="30">
        <v>0</v>
      </c>
      <c r="H192" s="234">
        <v>11</v>
      </c>
      <c r="I192" s="221">
        <v>237.3</v>
      </c>
      <c r="P192" s="234">
        <v>9</v>
      </c>
      <c r="Q192" s="221">
        <v>54.3</v>
      </c>
    </row>
    <row r="193" spans="1:17" hidden="1" x14ac:dyDescent="0.25">
      <c r="A193" s="30" t="s">
        <v>111</v>
      </c>
      <c r="B193" s="30">
        <v>2002</v>
      </c>
      <c r="C193" s="30" t="s">
        <v>110</v>
      </c>
      <c r="D193" s="30">
        <v>12</v>
      </c>
      <c r="E193" s="30">
        <v>296.3</v>
      </c>
      <c r="F193" s="30">
        <v>0</v>
      </c>
      <c r="H193" s="234">
        <v>12</v>
      </c>
      <c r="I193" s="221">
        <v>334.4</v>
      </c>
      <c r="P193" s="234">
        <v>10</v>
      </c>
      <c r="Q193" s="221">
        <v>124.2</v>
      </c>
    </row>
    <row r="194" spans="1:17" hidden="1" x14ac:dyDescent="0.25">
      <c r="A194" s="30" t="s">
        <v>112</v>
      </c>
      <c r="B194" s="30">
        <v>2002</v>
      </c>
      <c r="C194" s="30" t="s">
        <v>99</v>
      </c>
      <c r="D194" s="30">
        <v>1</v>
      </c>
      <c r="E194" s="30">
        <v>316.3</v>
      </c>
      <c r="F194" s="30">
        <v>0</v>
      </c>
      <c r="H194" s="233">
        <v>2021</v>
      </c>
      <c r="I194" s="221">
        <v>2219.6999999999998</v>
      </c>
      <c r="P194" s="234">
        <v>11</v>
      </c>
      <c r="Q194" s="221">
        <v>219.5</v>
      </c>
    </row>
    <row r="195" spans="1:17" hidden="1" x14ac:dyDescent="0.25">
      <c r="A195" s="30" t="s">
        <v>112</v>
      </c>
      <c r="B195" s="30">
        <v>2002</v>
      </c>
      <c r="C195" s="30" t="s">
        <v>100</v>
      </c>
      <c r="D195" s="30">
        <v>2</v>
      </c>
      <c r="E195" s="30">
        <v>251.4</v>
      </c>
      <c r="F195" s="30">
        <v>0</v>
      </c>
      <c r="H195" s="234">
        <v>1</v>
      </c>
      <c r="I195" s="221">
        <v>380.1</v>
      </c>
      <c r="P195" s="234">
        <v>12</v>
      </c>
      <c r="Q195" s="221">
        <v>374.8</v>
      </c>
    </row>
    <row r="196" spans="1:17" hidden="1" x14ac:dyDescent="0.25">
      <c r="A196" s="30" t="s">
        <v>112</v>
      </c>
      <c r="B196" s="30">
        <v>2002</v>
      </c>
      <c r="C196" s="30" t="s">
        <v>101</v>
      </c>
      <c r="D196" s="30">
        <v>3</v>
      </c>
      <c r="E196" s="30">
        <v>264.7</v>
      </c>
      <c r="F196" s="30">
        <v>0</v>
      </c>
      <c r="H196" s="234">
        <v>2</v>
      </c>
      <c r="I196" s="221">
        <v>299.5</v>
      </c>
      <c r="P196" s="233">
        <v>2015</v>
      </c>
      <c r="Q196" s="221">
        <v>2189.6999999999998</v>
      </c>
    </row>
    <row r="197" spans="1:17" hidden="1" x14ac:dyDescent="0.25">
      <c r="A197" s="30" t="s">
        <v>112</v>
      </c>
      <c r="B197" s="30">
        <v>2002</v>
      </c>
      <c r="C197" s="30" t="s">
        <v>102</v>
      </c>
      <c r="D197" s="30">
        <v>4</v>
      </c>
      <c r="E197" s="30">
        <v>231.1</v>
      </c>
      <c r="F197" s="30">
        <v>0.8</v>
      </c>
      <c r="H197" s="234">
        <v>3</v>
      </c>
      <c r="I197" s="221">
        <v>303.89999999999998</v>
      </c>
      <c r="P197" s="234">
        <v>1</v>
      </c>
      <c r="Q197" s="221">
        <v>392.1</v>
      </c>
    </row>
    <row r="198" spans="1:17" hidden="1" x14ac:dyDescent="0.25">
      <c r="A198" s="30" t="s">
        <v>112</v>
      </c>
      <c r="B198" s="30">
        <v>2002</v>
      </c>
      <c r="C198" s="30" t="s">
        <v>103</v>
      </c>
      <c r="D198" s="30">
        <v>5</v>
      </c>
      <c r="E198" s="30">
        <v>172.9</v>
      </c>
      <c r="F198" s="30">
        <v>3.3</v>
      </c>
      <c r="H198" s="234">
        <v>4</v>
      </c>
      <c r="I198" s="221">
        <v>242.8</v>
      </c>
      <c r="P198" s="234">
        <v>2</v>
      </c>
      <c r="Q198" s="221">
        <v>366.9</v>
      </c>
    </row>
    <row r="199" spans="1:17" hidden="1" x14ac:dyDescent="0.25">
      <c r="A199" s="30" t="s">
        <v>112</v>
      </c>
      <c r="B199" s="30">
        <v>2002</v>
      </c>
      <c r="C199" s="30" t="s">
        <v>104</v>
      </c>
      <c r="D199" s="30">
        <v>6</v>
      </c>
      <c r="E199" s="30">
        <v>113</v>
      </c>
      <c r="F199" s="30">
        <v>4.7</v>
      </c>
      <c r="H199" s="234">
        <v>5</v>
      </c>
      <c r="I199" s="221">
        <v>159.4</v>
      </c>
      <c r="P199" s="234">
        <v>3</v>
      </c>
      <c r="Q199" s="221">
        <v>303.8</v>
      </c>
    </row>
    <row r="200" spans="1:17" hidden="1" x14ac:dyDescent="0.25">
      <c r="A200" s="30" t="s">
        <v>112</v>
      </c>
      <c r="B200" s="30">
        <v>2002</v>
      </c>
      <c r="C200" s="30" t="s">
        <v>105</v>
      </c>
      <c r="D200" s="30">
        <v>7</v>
      </c>
      <c r="E200" s="30">
        <v>72.8</v>
      </c>
      <c r="F200" s="30">
        <v>18.600000000000001</v>
      </c>
      <c r="H200" s="234">
        <v>10</v>
      </c>
      <c r="I200" s="221">
        <v>170.5</v>
      </c>
      <c r="P200" s="234">
        <v>4</v>
      </c>
      <c r="Q200" s="221">
        <v>166.6</v>
      </c>
    </row>
    <row r="201" spans="1:17" hidden="1" x14ac:dyDescent="0.25">
      <c r="A201" s="30" t="s">
        <v>112</v>
      </c>
      <c r="B201" s="30">
        <v>2002</v>
      </c>
      <c r="C201" s="30" t="s">
        <v>106</v>
      </c>
      <c r="D201" s="30">
        <v>8</v>
      </c>
      <c r="E201" s="30">
        <v>53.1</v>
      </c>
      <c r="F201" s="30">
        <v>27.1</v>
      </c>
      <c r="H201" s="234">
        <v>11</v>
      </c>
      <c r="I201" s="221">
        <v>326.8</v>
      </c>
      <c r="P201" s="234">
        <v>5</v>
      </c>
      <c r="Q201" s="221">
        <v>119.9</v>
      </c>
    </row>
    <row r="202" spans="1:17" hidden="1" x14ac:dyDescent="0.25">
      <c r="A202" s="30" t="s">
        <v>112</v>
      </c>
      <c r="B202" s="30">
        <v>2002</v>
      </c>
      <c r="C202" s="30" t="s">
        <v>107</v>
      </c>
      <c r="D202" s="30">
        <v>9</v>
      </c>
      <c r="E202" s="30">
        <v>82.1</v>
      </c>
      <c r="F202" s="30">
        <v>20.6</v>
      </c>
      <c r="H202" s="234">
        <v>12</v>
      </c>
      <c r="I202" s="221">
        <v>336.7</v>
      </c>
      <c r="P202" s="234">
        <v>6</v>
      </c>
      <c r="Q202" s="221">
        <v>51.8</v>
      </c>
    </row>
    <row r="203" spans="1:17" hidden="1" x14ac:dyDescent="0.25">
      <c r="A203" s="30" t="s">
        <v>112</v>
      </c>
      <c r="B203" s="30">
        <v>2002</v>
      </c>
      <c r="C203" s="30" t="s">
        <v>108</v>
      </c>
      <c r="D203" s="30">
        <v>10</v>
      </c>
      <c r="E203" s="30">
        <v>163.80000000000001</v>
      </c>
      <c r="F203" s="30">
        <v>0.9</v>
      </c>
      <c r="H203" s="233">
        <v>2022</v>
      </c>
      <c r="I203" s="221">
        <v>1877.6</v>
      </c>
      <c r="P203" s="234">
        <v>7</v>
      </c>
      <c r="Q203" s="221">
        <v>29</v>
      </c>
    </row>
    <row r="204" spans="1:17" hidden="1" x14ac:dyDescent="0.25">
      <c r="A204" s="30" t="s">
        <v>112</v>
      </c>
      <c r="B204" s="30">
        <v>2002</v>
      </c>
      <c r="C204" s="30" t="s">
        <v>109</v>
      </c>
      <c r="D204" s="30">
        <v>11</v>
      </c>
      <c r="E204" s="30">
        <v>209.8</v>
      </c>
      <c r="F204" s="30">
        <v>0</v>
      </c>
      <c r="H204" s="234">
        <v>1</v>
      </c>
      <c r="I204" s="221">
        <v>396.3</v>
      </c>
      <c r="P204" s="234">
        <v>8</v>
      </c>
      <c r="Q204" s="221">
        <v>32</v>
      </c>
    </row>
    <row r="205" spans="1:17" hidden="1" x14ac:dyDescent="0.25">
      <c r="A205" s="30" t="s">
        <v>112</v>
      </c>
      <c r="B205" s="30">
        <v>2002</v>
      </c>
      <c r="C205" s="30" t="s">
        <v>110</v>
      </c>
      <c r="D205" s="30">
        <v>12</v>
      </c>
      <c r="E205" s="30">
        <v>294.2</v>
      </c>
      <c r="F205" s="30">
        <v>0</v>
      </c>
      <c r="H205" s="234">
        <v>2</v>
      </c>
      <c r="I205" s="221">
        <v>286.10000000000002</v>
      </c>
      <c r="P205" s="234">
        <v>9</v>
      </c>
      <c r="Q205" s="221">
        <v>96.9</v>
      </c>
    </row>
    <row r="206" spans="1:17" hidden="1" x14ac:dyDescent="0.25">
      <c r="A206" s="30" t="s">
        <v>113</v>
      </c>
      <c r="B206" s="30">
        <v>2002</v>
      </c>
      <c r="C206" s="30" t="s">
        <v>99</v>
      </c>
      <c r="D206" s="30">
        <v>1</v>
      </c>
      <c r="E206" s="30">
        <v>313</v>
      </c>
      <c r="F206" s="30">
        <v>0</v>
      </c>
      <c r="H206" s="234">
        <v>3</v>
      </c>
      <c r="I206" s="221">
        <v>239.8</v>
      </c>
      <c r="P206" s="234">
        <v>10</v>
      </c>
      <c r="Q206" s="221">
        <v>181.1</v>
      </c>
    </row>
    <row r="207" spans="1:17" hidden="1" x14ac:dyDescent="0.25">
      <c r="A207" s="30" t="s">
        <v>113</v>
      </c>
      <c r="B207" s="30">
        <v>2002</v>
      </c>
      <c r="C207" s="30" t="s">
        <v>100</v>
      </c>
      <c r="D207" s="30">
        <v>2</v>
      </c>
      <c r="E207" s="30">
        <v>245.8</v>
      </c>
      <c r="F207" s="30">
        <v>0</v>
      </c>
      <c r="H207" s="234">
        <v>4</v>
      </c>
      <c r="I207" s="221">
        <v>192.3</v>
      </c>
      <c r="P207" s="234">
        <v>11</v>
      </c>
      <c r="Q207" s="221">
        <v>191.1</v>
      </c>
    </row>
    <row r="208" spans="1:17" hidden="1" x14ac:dyDescent="0.25">
      <c r="A208" s="30" t="s">
        <v>113</v>
      </c>
      <c r="B208" s="30">
        <v>2002</v>
      </c>
      <c r="C208" s="30" t="s">
        <v>101</v>
      </c>
      <c r="D208" s="30">
        <v>3</v>
      </c>
      <c r="E208" s="30">
        <v>248.9</v>
      </c>
      <c r="F208" s="30">
        <v>0</v>
      </c>
      <c r="H208" s="234">
        <v>5</v>
      </c>
      <c r="I208" s="221">
        <v>81.8</v>
      </c>
      <c r="P208" s="234">
        <v>12</v>
      </c>
      <c r="Q208" s="221">
        <v>258.5</v>
      </c>
    </row>
    <row r="209" spans="1:17" hidden="1" x14ac:dyDescent="0.25">
      <c r="A209" s="30" t="s">
        <v>113</v>
      </c>
      <c r="B209" s="30">
        <v>2002</v>
      </c>
      <c r="C209" s="30" t="s">
        <v>102</v>
      </c>
      <c r="D209" s="30">
        <v>4</v>
      </c>
      <c r="E209" s="30">
        <v>205.4</v>
      </c>
      <c r="F209" s="30">
        <v>2.9</v>
      </c>
      <c r="H209" s="234">
        <v>10</v>
      </c>
      <c r="I209" s="221">
        <v>73</v>
      </c>
      <c r="P209" s="233">
        <v>2016</v>
      </c>
      <c r="Q209" s="221">
        <v>2394.2999999999997</v>
      </c>
    </row>
    <row r="210" spans="1:17" hidden="1" x14ac:dyDescent="0.25">
      <c r="A210" s="30" t="s">
        <v>113</v>
      </c>
      <c r="B210" s="30">
        <v>2002</v>
      </c>
      <c r="C210" s="30" t="s">
        <v>103</v>
      </c>
      <c r="D210" s="30">
        <v>5</v>
      </c>
      <c r="E210" s="30">
        <v>142</v>
      </c>
      <c r="F210" s="30">
        <v>14</v>
      </c>
      <c r="H210" s="234">
        <v>11</v>
      </c>
      <c r="I210" s="221">
        <v>227.5</v>
      </c>
      <c r="P210" s="234">
        <v>1</v>
      </c>
      <c r="Q210" s="221">
        <v>348.4</v>
      </c>
    </row>
    <row r="211" spans="1:17" hidden="1" x14ac:dyDescent="0.25">
      <c r="A211" s="30" t="s">
        <v>113</v>
      </c>
      <c r="B211" s="30">
        <v>2002</v>
      </c>
      <c r="C211" s="30" t="s">
        <v>104</v>
      </c>
      <c r="D211" s="30">
        <v>6</v>
      </c>
      <c r="E211" s="30">
        <v>67.5</v>
      </c>
      <c r="F211" s="30">
        <v>36</v>
      </c>
      <c r="H211" s="234">
        <v>12</v>
      </c>
      <c r="I211" s="221">
        <v>380.8</v>
      </c>
      <c r="P211" s="234">
        <v>2</v>
      </c>
      <c r="Q211" s="221">
        <v>321.2</v>
      </c>
    </row>
    <row r="212" spans="1:17" hidden="1" x14ac:dyDescent="0.25">
      <c r="A212" s="30" t="s">
        <v>113</v>
      </c>
      <c r="B212" s="30">
        <v>2002</v>
      </c>
      <c r="C212" s="30" t="s">
        <v>105</v>
      </c>
      <c r="D212" s="30">
        <v>7</v>
      </c>
      <c r="E212" s="30">
        <v>44</v>
      </c>
      <c r="F212" s="30">
        <v>56.8</v>
      </c>
      <c r="H212" s="233" t="s">
        <v>218</v>
      </c>
      <c r="I212" s="221">
        <v>2135.4549999999999</v>
      </c>
      <c r="P212" s="234">
        <v>3</v>
      </c>
      <c r="Q212" s="221">
        <v>328.3</v>
      </c>
    </row>
    <row r="213" spans="1:17" hidden="1" x14ac:dyDescent="0.25">
      <c r="A213" s="30" t="s">
        <v>113</v>
      </c>
      <c r="B213" s="30">
        <v>2002</v>
      </c>
      <c r="C213" s="30" t="s">
        <v>106</v>
      </c>
      <c r="D213" s="30">
        <v>8</v>
      </c>
      <c r="E213" s="30">
        <v>39.5</v>
      </c>
      <c r="F213" s="30">
        <v>57.9</v>
      </c>
      <c r="H213" s="234">
        <v>1</v>
      </c>
      <c r="I213" s="221">
        <v>383.95500000000004</v>
      </c>
      <c r="P213" s="234">
        <v>4</v>
      </c>
      <c r="Q213" s="221">
        <v>252.6</v>
      </c>
    </row>
    <row r="214" spans="1:17" hidden="1" x14ac:dyDescent="0.25">
      <c r="A214" s="30" t="s">
        <v>113</v>
      </c>
      <c r="B214" s="30">
        <v>2002</v>
      </c>
      <c r="C214" s="30" t="s">
        <v>107</v>
      </c>
      <c r="D214" s="30">
        <v>9</v>
      </c>
      <c r="E214" s="30">
        <v>78.3</v>
      </c>
      <c r="F214" s="30">
        <v>32.6</v>
      </c>
      <c r="H214" s="234">
        <v>2</v>
      </c>
      <c r="I214" s="221">
        <v>338.66500000000002</v>
      </c>
      <c r="P214" s="234">
        <v>5</v>
      </c>
      <c r="Q214" s="221">
        <v>124.3</v>
      </c>
    </row>
    <row r="215" spans="1:17" hidden="1" x14ac:dyDescent="0.25">
      <c r="A215" s="30" t="s">
        <v>113</v>
      </c>
      <c r="B215" s="30">
        <v>2002</v>
      </c>
      <c r="C215" s="30" t="s">
        <v>108</v>
      </c>
      <c r="D215" s="30">
        <v>10</v>
      </c>
      <c r="E215" s="30">
        <v>149.9</v>
      </c>
      <c r="F215" s="30">
        <v>2.6</v>
      </c>
      <c r="H215" s="234">
        <v>3</v>
      </c>
      <c r="I215" s="221">
        <v>291.61500000000001</v>
      </c>
      <c r="P215" s="234">
        <v>6</v>
      </c>
      <c r="Q215" s="221">
        <v>47.7</v>
      </c>
    </row>
    <row r="216" spans="1:17" hidden="1" x14ac:dyDescent="0.25">
      <c r="A216" s="30" t="s">
        <v>113</v>
      </c>
      <c r="B216" s="30">
        <v>2002</v>
      </c>
      <c r="C216" s="30" t="s">
        <v>109</v>
      </c>
      <c r="D216" s="30">
        <v>11</v>
      </c>
      <c r="E216" s="30">
        <v>210.7</v>
      </c>
      <c r="F216" s="30">
        <v>0</v>
      </c>
      <c r="H216" s="234">
        <v>4</v>
      </c>
      <c r="I216" s="221">
        <v>198.35</v>
      </c>
      <c r="P216" s="234">
        <v>7</v>
      </c>
      <c r="Q216" s="221">
        <v>32.299999999999997</v>
      </c>
    </row>
    <row r="217" spans="1:17" hidden="1" x14ac:dyDescent="0.25">
      <c r="A217" s="30" t="s">
        <v>113</v>
      </c>
      <c r="B217" s="30">
        <v>2002</v>
      </c>
      <c r="C217" s="30" t="s">
        <v>110</v>
      </c>
      <c r="D217" s="30">
        <v>12</v>
      </c>
      <c r="E217" s="30">
        <v>288</v>
      </c>
      <c r="F217" s="30">
        <v>0</v>
      </c>
      <c r="H217" s="234">
        <v>5</v>
      </c>
      <c r="I217" s="221">
        <v>119.91500000000003</v>
      </c>
      <c r="P217" s="234">
        <v>8</v>
      </c>
      <c r="Q217" s="221">
        <v>33.799999999999997</v>
      </c>
    </row>
    <row r="218" spans="1:17" hidden="1" x14ac:dyDescent="0.25">
      <c r="A218" s="30" t="s">
        <v>114</v>
      </c>
      <c r="B218" s="30">
        <v>2002</v>
      </c>
      <c r="C218" s="30" t="s">
        <v>99</v>
      </c>
      <c r="D218" s="30">
        <v>1</v>
      </c>
      <c r="E218" s="30">
        <v>321.60000000000002</v>
      </c>
      <c r="F218" s="30">
        <v>0</v>
      </c>
      <c r="H218" s="234">
        <v>10</v>
      </c>
      <c r="I218" s="221">
        <v>153.51</v>
      </c>
      <c r="P218" s="234">
        <v>9</v>
      </c>
      <c r="Q218" s="221">
        <v>43.5</v>
      </c>
    </row>
    <row r="219" spans="1:17" hidden="1" x14ac:dyDescent="0.25">
      <c r="A219" s="30" t="s">
        <v>114</v>
      </c>
      <c r="B219" s="30">
        <v>2002</v>
      </c>
      <c r="C219" s="30" t="s">
        <v>100</v>
      </c>
      <c r="D219" s="30">
        <v>2</v>
      </c>
      <c r="E219" s="30">
        <v>251.4</v>
      </c>
      <c r="F219" s="30">
        <v>0</v>
      </c>
      <c r="H219" s="234">
        <v>11</v>
      </c>
      <c r="I219" s="221">
        <v>273.84500000000003</v>
      </c>
      <c r="P219" s="234">
        <v>10</v>
      </c>
      <c r="Q219" s="221">
        <v>202.6</v>
      </c>
    </row>
    <row r="220" spans="1:17" hidden="1" x14ac:dyDescent="0.25">
      <c r="A220" s="30" t="s">
        <v>114</v>
      </c>
      <c r="B220" s="30">
        <v>2002</v>
      </c>
      <c r="C220" s="30" t="s">
        <v>101</v>
      </c>
      <c r="D220" s="30">
        <v>3</v>
      </c>
      <c r="E220" s="30">
        <v>273.60000000000002</v>
      </c>
      <c r="F220" s="30">
        <v>0</v>
      </c>
      <c r="H220" s="234">
        <v>12</v>
      </c>
      <c r="I220" s="221">
        <v>375.59999999999991</v>
      </c>
      <c r="P220" s="234">
        <v>11</v>
      </c>
      <c r="Q220" s="221">
        <v>289.2</v>
      </c>
    </row>
    <row r="221" spans="1:17" hidden="1" x14ac:dyDescent="0.25">
      <c r="A221" s="30" t="s">
        <v>114</v>
      </c>
      <c r="B221" s="30">
        <v>2002</v>
      </c>
      <c r="C221" s="30" t="s">
        <v>102</v>
      </c>
      <c r="D221" s="30">
        <v>4</v>
      </c>
      <c r="E221" s="30">
        <v>228.2</v>
      </c>
      <c r="F221" s="30">
        <v>1.5</v>
      </c>
      <c r="H221" s="233">
        <v>2023</v>
      </c>
      <c r="I221" s="221">
        <v>1862.4</v>
      </c>
      <c r="P221" s="234">
        <v>12</v>
      </c>
      <c r="Q221" s="221">
        <v>370.4</v>
      </c>
    </row>
    <row r="222" spans="1:17" hidden="1" x14ac:dyDescent="0.25">
      <c r="A222" s="30" t="s">
        <v>114</v>
      </c>
      <c r="B222" s="30">
        <v>2002</v>
      </c>
      <c r="C222" s="30" t="s">
        <v>103</v>
      </c>
      <c r="D222" s="30">
        <v>5</v>
      </c>
      <c r="E222" s="30">
        <v>167.3</v>
      </c>
      <c r="F222" s="30">
        <v>7.4</v>
      </c>
      <c r="H222" s="234">
        <v>1</v>
      </c>
      <c r="I222" s="221">
        <v>356.1</v>
      </c>
      <c r="P222" s="233">
        <v>2017</v>
      </c>
      <c r="Q222" s="221">
        <v>2243.2999999999997</v>
      </c>
    </row>
    <row r="223" spans="1:17" hidden="1" x14ac:dyDescent="0.25">
      <c r="A223" s="30" t="s">
        <v>114</v>
      </c>
      <c r="B223" s="30">
        <v>2002</v>
      </c>
      <c r="C223" s="30" t="s">
        <v>104</v>
      </c>
      <c r="D223" s="30">
        <v>6</v>
      </c>
      <c r="E223" s="30">
        <v>87.5</v>
      </c>
      <c r="F223" s="30">
        <v>18.600000000000001</v>
      </c>
      <c r="H223" s="234">
        <v>2</v>
      </c>
      <c r="I223" s="221">
        <v>314.10000000000002</v>
      </c>
      <c r="P223" s="234">
        <v>1</v>
      </c>
      <c r="Q223" s="221">
        <v>451.9</v>
      </c>
    </row>
    <row r="224" spans="1:17" hidden="1" x14ac:dyDescent="0.25">
      <c r="A224" s="30" t="s">
        <v>114</v>
      </c>
      <c r="B224" s="30">
        <v>2002</v>
      </c>
      <c r="C224" s="30" t="s">
        <v>105</v>
      </c>
      <c r="D224" s="30">
        <v>7</v>
      </c>
      <c r="E224" s="30">
        <v>64.5</v>
      </c>
      <c r="F224" s="30">
        <v>20.8</v>
      </c>
      <c r="H224" s="234">
        <v>3</v>
      </c>
      <c r="I224" s="221">
        <v>251.3</v>
      </c>
      <c r="P224" s="234">
        <v>2</v>
      </c>
      <c r="Q224" s="221">
        <v>287.8</v>
      </c>
    </row>
    <row r="225" spans="1:17" hidden="1" x14ac:dyDescent="0.25">
      <c r="A225" s="30" t="s">
        <v>114</v>
      </c>
      <c r="B225" s="30">
        <v>2002</v>
      </c>
      <c r="C225" s="30" t="s">
        <v>106</v>
      </c>
      <c r="D225" s="30">
        <v>8</v>
      </c>
      <c r="E225" s="30">
        <v>52.4</v>
      </c>
      <c r="F225" s="30">
        <v>25.4</v>
      </c>
      <c r="H225" s="234">
        <v>4</v>
      </c>
      <c r="I225" s="221">
        <v>198</v>
      </c>
      <c r="P225" s="234">
        <v>3</v>
      </c>
      <c r="Q225" s="221">
        <v>226.3</v>
      </c>
    </row>
    <row r="226" spans="1:17" hidden="1" x14ac:dyDescent="0.25">
      <c r="A226" s="30" t="s">
        <v>114</v>
      </c>
      <c r="B226" s="30">
        <v>2002</v>
      </c>
      <c r="C226" s="30" t="s">
        <v>107</v>
      </c>
      <c r="D226" s="30">
        <v>9</v>
      </c>
      <c r="E226" s="30">
        <v>82.1</v>
      </c>
      <c r="F226" s="30">
        <v>17.8</v>
      </c>
      <c r="H226" s="234">
        <v>5</v>
      </c>
      <c r="I226" s="221">
        <v>86.4</v>
      </c>
      <c r="P226" s="234">
        <v>4</v>
      </c>
      <c r="Q226" s="221">
        <v>227.8</v>
      </c>
    </row>
    <row r="227" spans="1:17" hidden="1" x14ac:dyDescent="0.25">
      <c r="A227" s="30" t="s">
        <v>114</v>
      </c>
      <c r="B227" s="30">
        <v>2002</v>
      </c>
      <c r="C227" s="30" t="s">
        <v>108</v>
      </c>
      <c r="D227" s="30">
        <v>10</v>
      </c>
      <c r="E227" s="30">
        <v>164.5</v>
      </c>
      <c r="F227" s="30">
        <v>1.7</v>
      </c>
      <c r="H227" s="234">
        <v>10</v>
      </c>
      <c r="I227" s="221">
        <v>115.8</v>
      </c>
      <c r="P227" s="234">
        <v>5</v>
      </c>
      <c r="Q227" s="221">
        <v>98</v>
      </c>
    </row>
    <row r="228" spans="1:17" hidden="1" x14ac:dyDescent="0.25">
      <c r="A228" s="30" t="s">
        <v>114</v>
      </c>
      <c r="B228" s="30">
        <v>2002</v>
      </c>
      <c r="C228" s="30" t="s">
        <v>109</v>
      </c>
      <c r="D228" s="30">
        <v>11</v>
      </c>
      <c r="E228" s="30">
        <v>225.6</v>
      </c>
      <c r="F228" s="30">
        <v>0</v>
      </c>
      <c r="H228" s="234">
        <v>11</v>
      </c>
      <c r="I228" s="221">
        <v>239.8</v>
      </c>
      <c r="P228" s="234">
        <v>6</v>
      </c>
      <c r="Q228" s="221">
        <v>30.9</v>
      </c>
    </row>
    <row r="229" spans="1:17" hidden="1" x14ac:dyDescent="0.25">
      <c r="A229" s="30" t="s">
        <v>114</v>
      </c>
      <c r="B229" s="30">
        <v>2002</v>
      </c>
      <c r="C229" s="30" t="s">
        <v>110</v>
      </c>
      <c r="D229" s="30">
        <v>12</v>
      </c>
      <c r="E229" s="30">
        <v>300.3</v>
      </c>
      <c r="F229" s="30">
        <v>0</v>
      </c>
      <c r="H229" s="234">
        <v>12</v>
      </c>
      <c r="I229" s="221">
        <v>300.89999999999998</v>
      </c>
      <c r="P229" s="234">
        <v>7</v>
      </c>
      <c r="Q229" s="221">
        <v>23.6</v>
      </c>
    </row>
    <row r="230" spans="1:17" hidden="1" x14ac:dyDescent="0.25">
      <c r="A230" s="30" t="s">
        <v>115</v>
      </c>
      <c r="B230" s="30">
        <v>2002</v>
      </c>
      <c r="C230" s="30" t="s">
        <v>99</v>
      </c>
      <c r="D230" s="30">
        <v>1</v>
      </c>
      <c r="E230" s="30">
        <v>317.8</v>
      </c>
      <c r="F230" s="30">
        <v>0</v>
      </c>
      <c r="H230" s="233" t="s">
        <v>35</v>
      </c>
      <c r="I230" s="221">
        <v>50804.255000000048</v>
      </c>
      <c r="P230" s="234">
        <v>8</v>
      </c>
      <c r="Q230" s="221">
        <v>32.200000000000003</v>
      </c>
    </row>
    <row r="231" spans="1:17" hidden="1" x14ac:dyDescent="0.25">
      <c r="A231" s="30" t="s">
        <v>115</v>
      </c>
      <c r="B231" s="30">
        <v>2002</v>
      </c>
      <c r="C231" s="30" t="s">
        <v>100</v>
      </c>
      <c r="D231" s="30">
        <v>2</v>
      </c>
      <c r="E231" s="30">
        <v>248.4</v>
      </c>
      <c r="F231" s="30">
        <v>0</v>
      </c>
      <c r="P231" s="234">
        <v>9</v>
      </c>
      <c r="Q231" s="221">
        <v>82.3</v>
      </c>
    </row>
    <row r="232" spans="1:17" hidden="1" x14ac:dyDescent="0.25">
      <c r="A232" s="30" t="s">
        <v>115</v>
      </c>
      <c r="B232" s="30">
        <v>2002</v>
      </c>
      <c r="C232" s="30" t="s">
        <v>101</v>
      </c>
      <c r="D232" s="30">
        <v>3</v>
      </c>
      <c r="E232" s="30">
        <v>257.10000000000002</v>
      </c>
      <c r="F232" s="30">
        <v>0</v>
      </c>
      <c r="P232" s="234">
        <v>10</v>
      </c>
      <c r="Q232" s="221">
        <v>126.4</v>
      </c>
    </row>
    <row r="233" spans="1:17" hidden="1" x14ac:dyDescent="0.25">
      <c r="A233" s="30" t="s">
        <v>115</v>
      </c>
      <c r="B233" s="30">
        <v>2002</v>
      </c>
      <c r="C233" s="30" t="s">
        <v>102</v>
      </c>
      <c r="D233" s="30">
        <v>4</v>
      </c>
      <c r="E233" s="30">
        <v>229.1</v>
      </c>
      <c r="F233" s="30">
        <v>0.8</v>
      </c>
      <c r="P233" s="234">
        <v>11</v>
      </c>
      <c r="Q233" s="221">
        <v>289.89999999999998</v>
      </c>
    </row>
    <row r="234" spans="1:17" hidden="1" x14ac:dyDescent="0.25">
      <c r="A234" s="30" t="s">
        <v>115</v>
      </c>
      <c r="B234" s="30">
        <v>2002</v>
      </c>
      <c r="C234" s="30" t="s">
        <v>103</v>
      </c>
      <c r="D234" s="30">
        <v>5</v>
      </c>
      <c r="E234" s="30">
        <v>159.69999999999999</v>
      </c>
      <c r="F234" s="30">
        <v>5.3</v>
      </c>
      <c r="P234" s="234">
        <v>12</v>
      </c>
      <c r="Q234" s="221">
        <v>366.2</v>
      </c>
    </row>
    <row r="235" spans="1:17" hidden="1" x14ac:dyDescent="0.25">
      <c r="A235" s="30" t="s">
        <v>115</v>
      </c>
      <c r="B235" s="30">
        <v>2002</v>
      </c>
      <c r="C235" s="30" t="s">
        <v>104</v>
      </c>
      <c r="D235" s="30">
        <v>6</v>
      </c>
      <c r="E235" s="30">
        <v>94.5</v>
      </c>
      <c r="F235" s="30">
        <v>13.8</v>
      </c>
      <c r="P235" s="233">
        <v>2018</v>
      </c>
      <c r="Q235" s="221">
        <v>2152.7999999999997</v>
      </c>
    </row>
    <row r="236" spans="1:17" hidden="1" x14ac:dyDescent="0.25">
      <c r="A236" s="30" t="s">
        <v>115</v>
      </c>
      <c r="B236" s="30">
        <v>2002</v>
      </c>
      <c r="C236" s="30" t="s">
        <v>105</v>
      </c>
      <c r="D236" s="30">
        <v>7</v>
      </c>
      <c r="E236" s="30">
        <v>64.599999999999994</v>
      </c>
      <c r="F236" s="30">
        <v>31.7</v>
      </c>
      <c r="P236" s="234">
        <v>1</v>
      </c>
      <c r="Q236" s="221">
        <v>298.60000000000002</v>
      </c>
    </row>
    <row r="237" spans="1:17" hidden="1" x14ac:dyDescent="0.25">
      <c r="A237" s="30" t="s">
        <v>115</v>
      </c>
      <c r="B237" s="30">
        <v>2002</v>
      </c>
      <c r="C237" s="30" t="s">
        <v>106</v>
      </c>
      <c r="D237" s="30">
        <v>8</v>
      </c>
      <c r="E237" s="30">
        <v>58.6</v>
      </c>
      <c r="F237" s="30">
        <v>31.1</v>
      </c>
      <c r="P237" s="234">
        <v>2</v>
      </c>
      <c r="Q237" s="221">
        <v>415.2</v>
      </c>
    </row>
    <row r="238" spans="1:17" hidden="1" x14ac:dyDescent="0.25">
      <c r="A238" s="30" t="s">
        <v>115</v>
      </c>
      <c r="B238" s="30">
        <v>2002</v>
      </c>
      <c r="C238" s="30" t="s">
        <v>107</v>
      </c>
      <c r="D238" s="30">
        <v>9</v>
      </c>
      <c r="E238" s="30">
        <v>76.7</v>
      </c>
      <c r="F238" s="30">
        <v>29.8</v>
      </c>
      <c r="P238" s="234">
        <v>3</v>
      </c>
      <c r="Q238" s="221">
        <v>305.39999999999998</v>
      </c>
    </row>
    <row r="239" spans="1:17" hidden="1" x14ac:dyDescent="0.25">
      <c r="A239" s="30" t="s">
        <v>115</v>
      </c>
      <c r="B239" s="30">
        <v>2002</v>
      </c>
      <c r="C239" s="30" t="s">
        <v>108</v>
      </c>
      <c r="D239" s="30">
        <v>10</v>
      </c>
      <c r="E239" s="30">
        <v>149.19999999999999</v>
      </c>
      <c r="F239" s="30">
        <v>1.6</v>
      </c>
      <c r="P239" s="234">
        <v>4</v>
      </c>
      <c r="Q239" s="221">
        <v>152.19999999999999</v>
      </c>
    </row>
    <row r="240" spans="1:17" hidden="1" x14ac:dyDescent="0.25">
      <c r="A240" s="30" t="s">
        <v>115</v>
      </c>
      <c r="B240" s="30">
        <v>2002</v>
      </c>
      <c r="C240" s="30" t="s">
        <v>109</v>
      </c>
      <c r="D240" s="30">
        <v>11</v>
      </c>
      <c r="E240" s="30">
        <v>199.3</v>
      </c>
      <c r="F240" s="30">
        <v>0</v>
      </c>
      <c r="P240" s="234">
        <v>5</v>
      </c>
      <c r="Q240" s="221">
        <v>95.8</v>
      </c>
    </row>
    <row r="241" spans="1:17" hidden="1" x14ac:dyDescent="0.25">
      <c r="A241" s="30" t="s">
        <v>115</v>
      </c>
      <c r="B241" s="30">
        <v>2002</v>
      </c>
      <c r="C241" s="30" t="s">
        <v>110</v>
      </c>
      <c r="D241" s="30">
        <v>12</v>
      </c>
      <c r="E241" s="30">
        <v>287</v>
      </c>
      <c r="F241" s="30">
        <v>0</v>
      </c>
      <c r="P241" s="234">
        <v>6</v>
      </c>
      <c r="Q241" s="221">
        <v>25.4</v>
      </c>
    </row>
    <row r="242" spans="1:17" x14ac:dyDescent="0.25">
      <c r="A242" s="30" t="s">
        <v>116</v>
      </c>
      <c r="B242" s="30">
        <v>2002</v>
      </c>
      <c r="C242" s="30" t="s">
        <v>99</v>
      </c>
      <c r="D242" s="30">
        <v>1</v>
      </c>
      <c r="E242" s="30">
        <v>318.39999999999998</v>
      </c>
      <c r="F242" s="30">
        <v>0</v>
      </c>
      <c r="P242" s="234">
        <v>7</v>
      </c>
      <c r="Q242" s="221">
        <v>5.9</v>
      </c>
    </row>
    <row r="243" spans="1:17" x14ac:dyDescent="0.25">
      <c r="A243" s="30" t="s">
        <v>116</v>
      </c>
      <c r="B243" s="30">
        <v>2002</v>
      </c>
      <c r="C243" s="30" t="s">
        <v>100</v>
      </c>
      <c r="D243" s="30">
        <v>2</v>
      </c>
      <c r="E243" s="30">
        <v>254.6</v>
      </c>
      <c r="F243" s="30">
        <v>0</v>
      </c>
      <c r="P243" s="234">
        <v>8</v>
      </c>
      <c r="Q243" s="221">
        <v>26</v>
      </c>
    </row>
    <row r="244" spans="1:17" x14ac:dyDescent="0.25">
      <c r="A244" s="30" t="s">
        <v>116</v>
      </c>
      <c r="B244" s="30">
        <v>2002</v>
      </c>
      <c r="C244" s="30" t="s">
        <v>101</v>
      </c>
      <c r="D244" s="30">
        <v>3</v>
      </c>
      <c r="E244" s="30">
        <v>241.6</v>
      </c>
      <c r="F244" s="30">
        <v>0</v>
      </c>
      <c r="P244" s="234">
        <v>9</v>
      </c>
      <c r="Q244" s="221">
        <v>73.599999999999994</v>
      </c>
    </row>
    <row r="245" spans="1:17" x14ac:dyDescent="0.25">
      <c r="A245" s="30" t="s">
        <v>116</v>
      </c>
      <c r="B245" s="30">
        <v>2002</v>
      </c>
      <c r="C245" s="30" t="s">
        <v>102</v>
      </c>
      <c r="D245" s="30">
        <v>4</v>
      </c>
      <c r="E245" s="30">
        <v>228.1</v>
      </c>
      <c r="F245" s="30">
        <v>0.8</v>
      </c>
      <c r="P245" s="234">
        <v>10</v>
      </c>
      <c r="Q245" s="221">
        <v>157.5</v>
      </c>
    </row>
    <row r="246" spans="1:17" x14ac:dyDescent="0.25">
      <c r="A246" s="30" t="s">
        <v>116</v>
      </c>
      <c r="B246" s="30">
        <v>2002</v>
      </c>
      <c r="C246" s="30" t="s">
        <v>103</v>
      </c>
      <c r="D246" s="30">
        <v>5</v>
      </c>
      <c r="E246" s="30">
        <v>154.4</v>
      </c>
      <c r="F246" s="30">
        <v>7.4</v>
      </c>
      <c r="P246" s="234">
        <v>11</v>
      </c>
      <c r="Q246" s="221">
        <v>278</v>
      </c>
    </row>
    <row r="247" spans="1:17" x14ac:dyDescent="0.25">
      <c r="A247" s="30" t="s">
        <v>116</v>
      </c>
      <c r="B247" s="30">
        <v>2002</v>
      </c>
      <c r="C247" s="30" t="s">
        <v>104</v>
      </c>
      <c r="D247" s="30">
        <v>6</v>
      </c>
      <c r="E247" s="30">
        <v>84.1</v>
      </c>
      <c r="F247" s="30">
        <v>17.3</v>
      </c>
      <c r="P247" s="234">
        <v>12</v>
      </c>
      <c r="Q247" s="221">
        <v>319.2</v>
      </c>
    </row>
    <row r="248" spans="1:17" x14ac:dyDescent="0.25">
      <c r="A248" s="30" t="s">
        <v>116</v>
      </c>
      <c r="B248" s="30">
        <v>2002</v>
      </c>
      <c r="C248" s="30" t="s">
        <v>105</v>
      </c>
      <c r="D248" s="30">
        <v>7</v>
      </c>
      <c r="E248" s="30">
        <v>56.8</v>
      </c>
      <c r="F248" s="30">
        <v>36.9</v>
      </c>
      <c r="P248" s="233">
        <v>2019</v>
      </c>
      <c r="Q248" s="221">
        <v>2218.6</v>
      </c>
    </row>
    <row r="249" spans="1:17" x14ac:dyDescent="0.25">
      <c r="A249" s="30" t="s">
        <v>116</v>
      </c>
      <c r="B249" s="30">
        <v>2002</v>
      </c>
      <c r="C249" s="30" t="s">
        <v>106</v>
      </c>
      <c r="D249" s="30">
        <v>8</v>
      </c>
      <c r="E249" s="30">
        <v>55.5</v>
      </c>
      <c r="F249" s="30">
        <v>36.5</v>
      </c>
      <c r="P249" s="234">
        <v>1</v>
      </c>
      <c r="Q249" s="221">
        <v>402.2</v>
      </c>
    </row>
    <row r="250" spans="1:17" x14ac:dyDescent="0.25">
      <c r="A250" s="30" t="s">
        <v>116</v>
      </c>
      <c r="B250" s="30">
        <v>2002</v>
      </c>
      <c r="C250" s="30" t="s">
        <v>107</v>
      </c>
      <c r="D250" s="30">
        <v>9</v>
      </c>
      <c r="E250" s="30">
        <v>79.099999999999994</v>
      </c>
      <c r="F250" s="30">
        <v>29.1</v>
      </c>
      <c r="P250" s="234">
        <v>2</v>
      </c>
      <c r="Q250" s="221">
        <v>297.3</v>
      </c>
    </row>
    <row r="251" spans="1:17" x14ac:dyDescent="0.25">
      <c r="A251" s="30" t="s">
        <v>116</v>
      </c>
      <c r="B251" s="30">
        <v>2002</v>
      </c>
      <c r="C251" s="30" t="s">
        <v>108</v>
      </c>
      <c r="D251" s="30">
        <v>10</v>
      </c>
      <c r="E251" s="30">
        <v>156.5</v>
      </c>
      <c r="F251" s="30">
        <v>2</v>
      </c>
      <c r="P251" s="234">
        <v>3</v>
      </c>
      <c r="Q251" s="221">
        <v>260.39999999999998</v>
      </c>
    </row>
    <row r="252" spans="1:17" x14ac:dyDescent="0.25">
      <c r="A252" s="30" t="s">
        <v>116</v>
      </c>
      <c r="B252" s="30">
        <v>2002</v>
      </c>
      <c r="C252" s="30" t="s">
        <v>109</v>
      </c>
      <c r="D252" s="30">
        <v>11</v>
      </c>
      <c r="E252" s="30">
        <v>197.7</v>
      </c>
      <c r="F252" s="30">
        <v>0.5</v>
      </c>
      <c r="P252" s="234">
        <v>4</v>
      </c>
      <c r="Q252" s="221">
        <v>201.4</v>
      </c>
    </row>
    <row r="253" spans="1:17" x14ac:dyDescent="0.25">
      <c r="A253" s="30" t="s">
        <v>116</v>
      </c>
      <c r="B253" s="30">
        <v>2002</v>
      </c>
      <c r="C253" s="30" t="s">
        <v>110</v>
      </c>
      <c r="D253" s="30">
        <v>12</v>
      </c>
      <c r="E253" s="30">
        <v>295.60000000000002</v>
      </c>
      <c r="F253" s="30">
        <v>0</v>
      </c>
      <c r="P253" s="234">
        <v>5</v>
      </c>
      <c r="Q253" s="221">
        <v>147.9</v>
      </c>
    </row>
    <row r="254" spans="1:17" hidden="1" x14ac:dyDescent="0.25">
      <c r="A254" s="30" t="s">
        <v>98</v>
      </c>
      <c r="B254" s="30">
        <v>2003</v>
      </c>
      <c r="C254" s="30" t="s">
        <v>99</v>
      </c>
      <c r="D254" s="30">
        <v>1</v>
      </c>
      <c r="E254" s="30">
        <v>394.9</v>
      </c>
      <c r="F254" s="30">
        <v>0</v>
      </c>
      <c r="P254" s="234">
        <v>6</v>
      </c>
      <c r="Q254" s="221">
        <v>54.1</v>
      </c>
    </row>
    <row r="255" spans="1:17" hidden="1" x14ac:dyDescent="0.25">
      <c r="A255" s="30" t="s">
        <v>98</v>
      </c>
      <c r="B255" s="30">
        <v>2003</v>
      </c>
      <c r="C255" s="30" t="s">
        <v>100</v>
      </c>
      <c r="D255" s="30">
        <v>2</v>
      </c>
      <c r="E255" s="30">
        <v>349.8</v>
      </c>
      <c r="F255" s="30">
        <v>0</v>
      </c>
      <c r="P255" s="234">
        <v>7</v>
      </c>
      <c r="Q255" s="221">
        <v>15.5</v>
      </c>
    </row>
    <row r="256" spans="1:17" hidden="1" x14ac:dyDescent="0.25">
      <c r="A256" s="30" t="s">
        <v>98</v>
      </c>
      <c r="B256" s="30">
        <v>2003</v>
      </c>
      <c r="C256" s="30" t="s">
        <v>101</v>
      </c>
      <c r="D256" s="30">
        <v>3</v>
      </c>
      <c r="E256" s="30">
        <v>275.10000000000002</v>
      </c>
      <c r="F256" s="30">
        <v>0.1</v>
      </c>
      <c r="P256" s="234">
        <v>8</v>
      </c>
      <c r="Q256" s="221">
        <v>30.2</v>
      </c>
    </row>
    <row r="257" spans="1:17" hidden="1" x14ac:dyDescent="0.25">
      <c r="A257" s="30" t="s">
        <v>98</v>
      </c>
      <c r="B257" s="30">
        <v>2003</v>
      </c>
      <c r="C257" s="30" t="s">
        <v>102</v>
      </c>
      <c r="D257" s="30">
        <v>4</v>
      </c>
      <c r="E257" s="30">
        <v>233.7</v>
      </c>
      <c r="F257" s="30">
        <v>3.6</v>
      </c>
      <c r="P257" s="234">
        <v>9</v>
      </c>
      <c r="Q257" s="221">
        <v>64.7</v>
      </c>
    </row>
    <row r="258" spans="1:17" hidden="1" x14ac:dyDescent="0.25">
      <c r="A258" s="30" t="s">
        <v>98</v>
      </c>
      <c r="B258" s="30">
        <v>2003</v>
      </c>
      <c r="C258" s="30" t="s">
        <v>103</v>
      </c>
      <c r="D258" s="30">
        <v>5</v>
      </c>
      <c r="E258" s="30">
        <v>179.7</v>
      </c>
      <c r="F258" s="30">
        <v>5.5</v>
      </c>
      <c r="P258" s="234">
        <v>10</v>
      </c>
      <c r="Q258" s="221">
        <v>128.80000000000001</v>
      </c>
    </row>
    <row r="259" spans="1:17" hidden="1" x14ac:dyDescent="0.25">
      <c r="A259" s="30" t="s">
        <v>98</v>
      </c>
      <c r="B259" s="30">
        <v>2003</v>
      </c>
      <c r="C259" s="30" t="s">
        <v>104</v>
      </c>
      <c r="D259" s="30">
        <v>6</v>
      </c>
      <c r="E259" s="30">
        <v>58.7</v>
      </c>
      <c r="F259" s="30">
        <v>40.9</v>
      </c>
      <c r="P259" s="234">
        <v>11</v>
      </c>
      <c r="Q259" s="221">
        <v>293.10000000000002</v>
      </c>
    </row>
    <row r="260" spans="1:17" hidden="1" x14ac:dyDescent="0.25">
      <c r="A260" s="30" t="s">
        <v>98</v>
      </c>
      <c r="B260" s="30">
        <v>2003</v>
      </c>
      <c r="C260" s="30" t="s">
        <v>105</v>
      </c>
      <c r="D260" s="30">
        <v>7</v>
      </c>
      <c r="E260" s="30">
        <v>46.1</v>
      </c>
      <c r="F260" s="30">
        <v>48.3</v>
      </c>
      <c r="P260" s="234">
        <v>12</v>
      </c>
      <c r="Q260" s="221">
        <v>323</v>
      </c>
    </row>
    <row r="261" spans="1:17" hidden="1" x14ac:dyDescent="0.25">
      <c r="A261" s="30" t="s">
        <v>98</v>
      </c>
      <c r="B261" s="30">
        <v>2003</v>
      </c>
      <c r="C261" s="30" t="s">
        <v>106</v>
      </c>
      <c r="D261" s="30">
        <v>8</v>
      </c>
      <c r="E261" s="30">
        <v>32.200000000000003</v>
      </c>
      <c r="F261" s="30">
        <v>88.6</v>
      </c>
      <c r="P261" s="233">
        <v>2020</v>
      </c>
      <c r="Q261" s="221">
        <v>1977.0999999999995</v>
      </c>
    </row>
    <row r="262" spans="1:17" hidden="1" x14ac:dyDescent="0.25">
      <c r="A262" s="30" t="s">
        <v>98</v>
      </c>
      <c r="B262" s="30">
        <v>2003</v>
      </c>
      <c r="C262" s="30" t="s">
        <v>107</v>
      </c>
      <c r="D262" s="30">
        <v>9</v>
      </c>
      <c r="E262" s="30">
        <v>87.7</v>
      </c>
      <c r="F262" s="30">
        <v>28.3</v>
      </c>
      <c r="P262" s="234">
        <v>1</v>
      </c>
      <c r="Q262" s="221">
        <v>331.5</v>
      </c>
    </row>
    <row r="263" spans="1:17" hidden="1" x14ac:dyDescent="0.25">
      <c r="A263" s="30" t="s">
        <v>98</v>
      </c>
      <c r="B263" s="30">
        <v>2003</v>
      </c>
      <c r="C263" s="30" t="s">
        <v>108</v>
      </c>
      <c r="D263" s="30">
        <v>10</v>
      </c>
      <c r="E263" s="30">
        <v>227.4</v>
      </c>
      <c r="F263" s="30">
        <v>0.7</v>
      </c>
      <c r="P263" s="234">
        <v>2</v>
      </c>
      <c r="Q263" s="221">
        <v>251.6</v>
      </c>
    </row>
    <row r="264" spans="1:17" hidden="1" x14ac:dyDescent="0.25">
      <c r="A264" s="30" t="s">
        <v>98</v>
      </c>
      <c r="B264" s="30">
        <v>2003</v>
      </c>
      <c r="C264" s="30" t="s">
        <v>109</v>
      </c>
      <c r="D264" s="30">
        <v>11</v>
      </c>
      <c r="E264" s="30">
        <v>241.8</v>
      </c>
      <c r="F264" s="30">
        <v>0.2</v>
      </c>
      <c r="P264" s="234">
        <v>3</v>
      </c>
      <c r="Q264" s="221">
        <v>272.60000000000002</v>
      </c>
    </row>
    <row r="265" spans="1:17" hidden="1" x14ac:dyDescent="0.25">
      <c r="A265" s="30" t="s">
        <v>98</v>
      </c>
      <c r="B265" s="30">
        <v>2003</v>
      </c>
      <c r="C265" s="30" t="s">
        <v>110</v>
      </c>
      <c r="D265" s="30">
        <v>12</v>
      </c>
      <c r="E265" s="30">
        <v>347.1</v>
      </c>
      <c r="F265" s="30">
        <v>0</v>
      </c>
      <c r="P265" s="234">
        <v>4</v>
      </c>
      <c r="Q265" s="221">
        <v>126.3</v>
      </c>
    </row>
    <row r="266" spans="1:17" hidden="1" x14ac:dyDescent="0.25">
      <c r="A266" s="30" t="s">
        <v>111</v>
      </c>
      <c r="B266" s="30">
        <v>2003</v>
      </c>
      <c r="C266" s="30" t="s">
        <v>99</v>
      </c>
      <c r="D266" s="30">
        <v>1</v>
      </c>
      <c r="E266" s="30">
        <v>371.9</v>
      </c>
      <c r="F266" s="30">
        <v>0</v>
      </c>
      <c r="P266" s="234">
        <v>5</v>
      </c>
      <c r="Q266" s="221">
        <v>91.8</v>
      </c>
    </row>
    <row r="267" spans="1:17" hidden="1" x14ac:dyDescent="0.25">
      <c r="A267" s="30" t="s">
        <v>111</v>
      </c>
      <c r="B267" s="30">
        <v>2003</v>
      </c>
      <c r="C267" s="30" t="s">
        <v>100</v>
      </c>
      <c r="D267" s="30">
        <v>2</v>
      </c>
      <c r="E267" s="30">
        <v>318.10000000000002</v>
      </c>
      <c r="F267" s="30">
        <v>0</v>
      </c>
      <c r="P267" s="234">
        <v>6</v>
      </c>
      <c r="Q267" s="221">
        <v>55.6</v>
      </c>
    </row>
    <row r="268" spans="1:17" hidden="1" x14ac:dyDescent="0.25">
      <c r="A268" s="30" t="s">
        <v>111</v>
      </c>
      <c r="B268" s="30">
        <v>2003</v>
      </c>
      <c r="C268" s="30" t="s">
        <v>101</v>
      </c>
      <c r="D268" s="30">
        <v>3</v>
      </c>
      <c r="E268" s="30">
        <v>244.8</v>
      </c>
      <c r="F268" s="30">
        <v>0.9</v>
      </c>
      <c r="P268" s="234">
        <v>7</v>
      </c>
      <c r="Q268" s="221">
        <v>32.299999999999997</v>
      </c>
    </row>
    <row r="269" spans="1:17" hidden="1" x14ac:dyDescent="0.25">
      <c r="A269" s="30" t="s">
        <v>111</v>
      </c>
      <c r="B269" s="30">
        <v>2003</v>
      </c>
      <c r="C269" s="30" t="s">
        <v>102</v>
      </c>
      <c r="D269" s="30">
        <v>4</v>
      </c>
      <c r="E269" s="30">
        <v>211.4</v>
      </c>
      <c r="F269" s="30">
        <v>5.6</v>
      </c>
      <c r="P269" s="234">
        <v>8</v>
      </c>
      <c r="Q269" s="221">
        <v>27.8</v>
      </c>
    </row>
    <row r="270" spans="1:17" hidden="1" x14ac:dyDescent="0.25">
      <c r="A270" s="30" t="s">
        <v>111</v>
      </c>
      <c r="B270" s="30">
        <v>2003</v>
      </c>
      <c r="C270" s="30" t="s">
        <v>103</v>
      </c>
      <c r="D270" s="30">
        <v>5</v>
      </c>
      <c r="E270" s="30">
        <v>182.2</v>
      </c>
      <c r="F270" s="30">
        <v>8.6999999999999993</v>
      </c>
      <c r="P270" s="234">
        <v>9</v>
      </c>
      <c r="Q270" s="221">
        <v>56.6</v>
      </c>
    </row>
    <row r="271" spans="1:17" hidden="1" x14ac:dyDescent="0.25">
      <c r="A271" s="30" t="s">
        <v>111</v>
      </c>
      <c r="B271" s="30">
        <v>2003</v>
      </c>
      <c r="C271" s="30" t="s">
        <v>104</v>
      </c>
      <c r="D271" s="30">
        <v>6</v>
      </c>
      <c r="E271" s="30">
        <v>75</v>
      </c>
      <c r="F271" s="30">
        <v>17.8</v>
      </c>
      <c r="P271" s="234">
        <v>10</v>
      </c>
      <c r="Q271" s="221">
        <v>159.30000000000001</v>
      </c>
    </row>
    <row r="272" spans="1:17" hidden="1" x14ac:dyDescent="0.25">
      <c r="A272" s="30" t="s">
        <v>111</v>
      </c>
      <c r="B272" s="30">
        <v>2003</v>
      </c>
      <c r="C272" s="30" t="s">
        <v>105</v>
      </c>
      <c r="D272" s="30">
        <v>7</v>
      </c>
      <c r="E272" s="30">
        <v>46.8</v>
      </c>
      <c r="F272" s="30">
        <v>34.200000000000003</v>
      </c>
      <c r="P272" s="234">
        <v>11</v>
      </c>
      <c r="Q272" s="221">
        <v>237.3</v>
      </c>
    </row>
    <row r="273" spans="1:17" hidden="1" x14ac:dyDescent="0.25">
      <c r="A273" s="30" t="s">
        <v>111</v>
      </c>
      <c r="B273" s="30">
        <v>2003</v>
      </c>
      <c r="C273" s="30" t="s">
        <v>106</v>
      </c>
      <c r="D273" s="30">
        <v>8</v>
      </c>
      <c r="E273" s="30">
        <v>34.4</v>
      </c>
      <c r="F273" s="30">
        <v>82.7</v>
      </c>
      <c r="P273" s="234">
        <v>12</v>
      </c>
      <c r="Q273" s="221">
        <v>334.4</v>
      </c>
    </row>
    <row r="274" spans="1:17" hidden="1" x14ac:dyDescent="0.25">
      <c r="A274" s="30" t="s">
        <v>111</v>
      </c>
      <c r="B274" s="30">
        <v>2003</v>
      </c>
      <c r="C274" s="30" t="s">
        <v>107</v>
      </c>
      <c r="D274" s="30">
        <v>9</v>
      </c>
      <c r="E274" s="30">
        <v>93.5</v>
      </c>
      <c r="F274" s="30">
        <v>29.3</v>
      </c>
      <c r="P274" s="233">
        <v>2021</v>
      </c>
      <c r="Q274" s="221">
        <v>2355.7000000000003</v>
      </c>
    </row>
    <row r="275" spans="1:17" hidden="1" x14ac:dyDescent="0.25">
      <c r="A275" s="30" t="s">
        <v>111</v>
      </c>
      <c r="B275" s="30">
        <v>2003</v>
      </c>
      <c r="C275" s="30" t="s">
        <v>108</v>
      </c>
      <c r="D275" s="30">
        <v>10</v>
      </c>
      <c r="E275" s="30">
        <v>212.2</v>
      </c>
      <c r="F275" s="30">
        <v>0.9</v>
      </c>
      <c r="P275" s="234">
        <v>1</v>
      </c>
      <c r="Q275" s="221">
        <v>380.1</v>
      </c>
    </row>
    <row r="276" spans="1:17" hidden="1" x14ac:dyDescent="0.25">
      <c r="A276" s="30" t="s">
        <v>111</v>
      </c>
      <c r="B276" s="30">
        <v>2003</v>
      </c>
      <c r="C276" s="30" t="s">
        <v>109</v>
      </c>
      <c r="D276" s="30">
        <v>11</v>
      </c>
      <c r="E276" s="30">
        <v>233.2</v>
      </c>
      <c r="F276" s="30">
        <v>0.4</v>
      </c>
      <c r="P276" s="234">
        <v>2</v>
      </c>
      <c r="Q276" s="221">
        <v>299.5</v>
      </c>
    </row>
    <row r="277" spans="1:17" hidden="1" x14ac:dyDescent="0.25">
      <c r="A277" s="30" t="s">
        <v>111</v>
      </c>
      <c r="B277" s="30">
        <v>2003</v>
      </c>
      <c r="C277" s="30" t="s">
        <v>110</v>
      </c>
      <c r="D277" s="30">
        <v>12</v>
      </c>
      <c r="E277" s="30">
        <v>319.8</v>
      </c>
      <c r="F277" s="30">
        <v>0</v>
      </c>
      <c r="P277" s="234">
        <v>3</v>
      </c>
      <c r="Q277" s="221">
        <v>303.89999999999998</v>
      </c>
    </row>
    <row r="278" spans="1:17" hidden="1" x14ac:dyDescent="0.25">
      <c r="A278" s="30" t="s">
        <v>112</v>
      </c>
      <c r="B278" s="30">
        <v>2003</v>
      </c>
      <c r="C278" s="30" t="s">
        <v>99</v>
      </c>
      <c r="D278" s="30">
        <v>1</v>
      </c>
      <c r="E278" s="30">
        <v>364.6</v>
      </c>
      <c r="F278" s="30">
        <v>0</v>
      </c>
      <c r="P278" s="234">
        <v>4</v>
      </c>
      <c r="Q278" s="221">
        <v>242.8</v>
      </c>
    </row>
    <row r="279" spans="1:17" hidden="1" x14ac:dyDescent="0.25">
      <c r="A279" s="30" t="s">
        <v>112</v>
      </c>
      <c r="B279" s="30">
        <v>2003</v>
      </c>
      <c r="C279" s="30" t="s">
        <v>100</v>
      </c>
      <c r="D279" s="30">
        <v>2</v>
      </c>
      <c r="E279" s="30">
        <v>323.60000000000002</v>
      </c>
      <c r="F279" s="30">
        <v>0</v>
      </c>
      <c r="P279" s="234">
        <v>5</v>
      </c>
      <c r="Q279" s="221">
        <v>159.4</v>
      </c>
    </row>
    <row r="280" spans="1:17" hidden="1" x14ac:dyDescent="0.25">
      <c r="A280" s="30" t="s">
        <v>112</v>
      </c>
      <c r="B280" s="30">
        <v>2003</v>
      </c>
      <c r="C280" s="30" t="s">
        <v>101</v>
      </c>
      <c r="D280" s="30">
        <v>3</v>
      </c>
      <c r="E280" s="30">
        <v>231.3</v>
      </c>
      <c r="F280" s="30">
        <v>0.8</v>
      </c>
      <c r="P280" s="234">
        <v>6</v>
      </c>
      <c r="Q280" s="221">
        <v>29.9</v>
      </c>
    </row>
    <row r="281" spans="1:17" hidden="1" x14ac:dyDescent="0.25">
      <c r="A281" s="30" t="s">
        <v>112</v>
      </c>
      <c r="B281" s="30">
        <v>2003</v>
      </c>
      <c r="C281" s="30" t="s">
        <v>102</v>
      </c>
      <c r="D281" s="30">
        <v>4</v>
      </c>
      <c r="E281" s="30">
        <v>207.4</v>
      </c>
      <c r="F281" s="30">
        <v>5.4</v>
      </c>
      <c r="P281" s="234">
        <v>7</v>
      </c>
      <c r="Q281" s="221">
        <v>22.4</v>
      </c>
    </row>
    <row r="282" spans="1:17" hidden="1" x14ac:dyDescent="0.25">
      <c r="A282" s="30" t="s">
        <v>112</v>
      </c>
      <c r="B282" s="30">
        <v>2003</v>
      </c>
      <c r="C282" s="30" t="s">
        <v>103</v>
      </c>
      <c r="D282" s="30">
        <v>5</v>
      </c>
      <c r="E282" s="30">
        <v>175.8</v>
      </c>
      <c r="F282" s="30">
        <v>8.6999999999999993</v>
      </c>
      <c r="P282" s="234">
        <v>8</v>
      </c>
      <c r="Q282" s="221">
        <v>35.9</v>
      </c>
    </row>
    <row r="283" spans="1:17" hidden="1" x14ac:dyDescent="0.25">
      <c r="A283" s="30" t="s">
        <v>112</v>
      </c>
      <c r="B283" s="30">
        <v>2003</v>
      </c>
      <c r="C283" s="30" t="s">
        <v>104</v>
      </c>
      <c r="D283" s="30">
        <v>6</v>
      </c>
      <c r="E283" s="30">
        <v>66.599999999999994</v>
      </c>
      <c r="F283" s="30">
        <v>32.6</v>
      </c>
      <c r="P283" s="234">
        <v>9</v>
      </c>
      <c r="Q283" s="221">
        <v>47.8</v>
      </c>
    </row>
    <row r="284" spans="1:17" hidden="1" x14ac:dyDescent="0.25">
      <c r="A284" s="30" t="s">
        <v>112</v>
      </c>
      <c r="B284" s="30">
        <v>2003</v>
      </c>
      <c r="C284" s="30" t="s">
        <v>105</v>
      </c>
      <c r="D284" s="30">
        <v>7</v>
      </c>
      <c r="E284" s="30">
        <v>42.2</v>
      </c>
      <c r="F284" s="30">
        <v>45.9</v>
      </c>
      <c r="P284" s="234">
        <v>10</v>
      </c>
      <c r="Q284" s="221">
        <v>170.5</v>
      </c>
    </row>
    <row r="285" spans="1:17" hidden="1" x14ac:dyDescent="0.25">
      <c r="A285" s="30" t="s">
        <v>112</v>
      </c>
      <c r="B285" s="30">
        <v>2003</v>
      </c>
      <c r="C285" s="30" t="s">
        <v>106</v>
      </c>
      <c r="D285" s="30">
        <v>8</v>
      </c>
      <c r="E285" s="30">
        <v>23.9</v>
      </c>
      <c r="F285" s="30">
        <v>114.5</v>
      </c>
      <c r="P285" s="234">
        <v>11</v>
      </c>
      <c r="Q285" s="221">
        <v>326.8</v>
      </c>
    </row>
    <row r="286" spans="1:17" hidden="1" x14ac:dyDescent="0.25">
      <c r="A286" s="30" t="s">
        <v>112</v>
      </c>
      <c r="B286" s="30">
        <v>2003</v>
      </c>
      <c r="C286" s="30" t="s">
        <v>107</v>
      </c>
      <c r="D286" s="30">
        <v>9</v>
      </c>
      <c r="E286" s="30">
        <v>81</v>
      </c>
      <c r="F286" s="30">
        <v>28.4</v>
      </c>
      <c r="P286" s="234">
        <v>12</v>
      </c>
      <c r="Q286" s="221">
        <v>336.7</v>
      </c>
    </row>
    <row r="287" spans="1:17" hidden="1" x14ac:dyDescent="0.25">
      <c r="A287" s="30" t="s">
        <v>112</v>
      </c>
      <c r="B287" s="30">
        <v>2003</v>
      </c>
      <c r="C287" s="30" t="s">
        <v>108</v>
      </c>
      <c r="D287" s="30">
        <v>10</v>
      </c>
      <c r="E287" s="30">
        <v>204.4</v>
      </c>
      <c r="F287" s="30">
        <v>0.5</v>
      </c>
      <c r="P287" s="233">
        <v>2022</v>
      </c>
      <c r="Q287" s="221">
        <v>2017.3</v>
      </c>
    </row>
    <row r="288" spans="1:17" hidden="1" x14ac:dyDescent="0.25">
      <c r="A288" s="30" t="s">
        <v>112</v>
      </c>
      <c r="B288" s="30">
        <v>2003</v>
      </c>
      <c r="C288" s="30" t="s">
        <v>109</v>
      </c>
      <c r="D288" s="30">
        <v>11</v>
      </c>
      <c r="E288" s="30">
        <v>232.2</v>
      </c>
      <c r="F288" s="30">
        <v>0.1</v>
      </c>
      <c r="P288" s="234">
        <v>1</v>
      </c>
      <c r="Q288" s="221">
        <v>396.3</v>
      </c>
    </row>
    <row r="289" spans="1:17" hidden="1" x14ac:dyDescent="0.25">
      <c r="A289" s="30" t="s">
        <v>112</v>
      </c>
      <c r="B289" s="30">
        <v>2003</v>
      </c>
      <c r="C289" s="30" t="s">
        <v>110</v>
      </c>
      <c r="D289" s="30">
        <v>12</v>
      </c>
      <c r="E289" s="30">
        <v>323.39999999999998</v>
      </c>
      <c r="F289" s="30">
        <v>0</v>
      </c>
      <c r="P289" s="234">
        <v>2</v>
      </c>
      <c r="Q289" s="221">
        <v>286.10000000000002</v>
      </c>
    </row>
    <row r="290" spans="1:17" hidden="1" x14ac:dyDescent="0.25">
      <c r="A290" s="30" t="s">
        <v>113</v>
      </c>
      <c r="B290" s="30">
        <v>2003</v>
      </c>
      <c r="C290" s="30" t="s">
        <v>99</v>
      </c>
      <c r="D290" s="30">
        <v>1</v>
      </c>
      <c r="E290" s="30">
        <v>412.7</v>
      </c>
      <c r="F290" s="30">
        <v>0</v>
      </c>
      <c r="P290" s="234">
        <v>3</v>
      </c>
      <c r="Q290" s="221">
        <v>239.8</v>
      </c>
    </row>
    <row r="291" spans="1:17" hidden="1" x14ac:dyDescent="0.25">
      <c r="A291" s="30" t="s">
        <v>113</v>
      </c>
      <c r="B291" s="30">
        <v>2003</v>
      </c>
      <c r="C291" s="30" t="s">
        <v>100</v>
      </c>
      <c r="D291" s="30">
        <v>2</v>
      </c>
      <c r="E291" s="30">
        <v>346.6</v>
      </c>
      <c r="F291" s="30">
        <v>0</v>
      </c>
      <c r="P291" s="234">
        <v>4</v>
      </c>
      <c r="Q291" s="221">
        <v>192.3</v>
      </c>
    </row>
    <row r="292" spans="1:17" hidden="1" x14ac:dyDescent="0.25">
      <c r="A292" s="30" t="s">
        <v>113</v>
      </c>
      <c r="B292" s="30">
        <v>2003</v>
      </c>
      <c r="C292" s="30" t="s">
        <v>101</v>
      </c>
      <c r="D292" s="30">
        <v>3</v>
      </c>
      <c r="E292" s="30">
        <v>217.4</v>
      </c>
      <c r="F292" s="30">
        <v>2.7</v>
      </c>
      <c r="P292" s="234">
        <v>5</v>
      </c>
      <c r="Q292" s="221">
        <v>81.8</v>
      </c>
    </row>
    <row r="293" spans="1:17" hidden="1" x14ac:dyDescent="0.25">
      <c r="A293" s="30" t="s">
        <v>113</v>
      </c>
      <c r="B293" s="30">
        <v>2003</v>
      </c>
      <c r="C293" s="30" t="s">
        <v>102</v>
      </c>
      <c r="D293" s="30">
        <v>4</v>
      </c>
      <c r="E293" s="30">
        <v>186.9</v>
      </c>
      <c r="F293" s="30">
        <v>10.5</v>
      </c>
      <c r="P293" s="234">
        <v>6</v>
      </c>
      <c r="Q293" s="221">
        <v>35.5</v>
      </c>
    </row>
    <row r="294" spans="1:17" hidden="1" x14ac:dyDescent="0.25">
      <c r="A294" s="30" t="s">
        <v>113</v>
      </c>
      <c r="B294" s="30">
        <v>2003</v>
      </c>
      <c r="C294" s="30" t="s">
        <v>103</v>
      </c>
      <c r="D294" s="30">
        <v>5</v>
      </c>
      <c r="E294" s="30">
        <v>133</v>
      </c>
      <c r="F294" s="30">
        <v>20.9</v>
      </c>
      <c r="P294" s="234">
        <v>7</v>
      </c>
      <c r="Q294" s="221">
        <v>18.8</v>
      </c>
    </row>
    <row r="295" spans="1:17" hidden="1" x14ac:dyDescent="0.25">
      <c r="A295" s="30" t="s">
        <v>113</v>
      </c>
      <c r="B295" s="30">
        <v>2003</v>
      </c>
      <c r="C295" s="30" t="s">
        <v>104</v>
      </c>
      <c r="D295" s="30">
        <v>6</v>
      </c>
      <c r="E295" s="30">
        <v>28.1</v>
      </c>
      <c r="F295" s="30">
        <v>87.8</v>
      </c>
      <c r="P295" s="234">
        <v>8</v>
      </c>
      <c r="Q295" s="221">
        <v>10.7</v>
      </c>
    </row>
    <row r="296" spans="1:17" hidden="1" x14ac:dyDescent="0.25">
      <c r="A296" s="30" t="s">
        <v>113</v>
      </c>
      <c r="B296" s="30">
        <v>2003</v>
      </c>
      <c r="C296" s="30" t="s">
        <v>105</v>
      </c>
      <c r="D296" s="30">
        <v>7</v>
      </c>
      <c r="E296" s="30">
        <v>25.6</v>
      </c>
      <c r="F296" s="30">
        <v>90.7</v>
      </c>
      <c r="P296" s="234">
        <v>9</v>
      </c>
      <c r="Q296" s="221">
        <v>74.7</v>
      </c>
    </row>
    <row r="297" spans="1:17" hidden="1" x14ac:dyDescent="0.25">
      <c r="A297" s="30" t="s">
        <v>113</v>
      </c>
      <c r="B297" s="30">
        <v>2003</v>
      </c>
      <c r="C297" s="30" t="s">
        <v>106</v>
      </c>
      <c r="D297" s="30">
        <v>8</v>
      </c>
      <c r="E297" s="30">
        <v>15.1</v>
      </c>
      <c r="F297" s="30">
        <v>171.9</v>
      </c>
      <c r="P297" s="234">
        <v>10</v>
      </c>
      <c r="Q297" s="221">
        <v>73</v>
      </c>
    </row>
    <row r="298" spans="1:17" hidden="1" x14ac:dyDescent="0.25">
      <c r="A298" s="30" t="s">
        <v>113</v>
      </c>
      <c r="B298" s="30">
        <v>2003</v>
      </c>
      <c r="C298" s="30" t="s">
        <v>107</v>
      </c>
      <c r="D298" s="30">
        <v>9</v>
      </c>
      <c r="E298" s="30">
        <v>67.599999999999994</v>
      </c>
      <c r="F298" s="30">
        <v>58</v>
      </c>
      <c r="P298" s="234">
        <v>11</v>
      </c>
      <c r="Q298" s="221">
        <v>227.5</v>
      </c>
    </row>
    <row r="299" spans="1:17" hidden="1" x14ac:dyDescent="0.25">
      <c r="A299" s="30" t="s">
        <v>113</v>
      </c>
      <c r="B299" s="30">
        <v>2003</v>
      </c>
      <c r="C299" s="30" t="s">
        <v>108</v>
      </c>
      <c r="D299" s="30">
        <v>10</v>
      </c>
      <c r="E299" s="30">
        <v>199.7</v>
      </c>
      <c r="F299" s="30">
        <v>3.7</v>
      </c>
      <c r="P299" s="234">
        <v>12</v>
      </c>
      <c r="Q299" s="221">
        <v>380.8</v>
      </c>
    </row>
    <row r="300" spans="1:17" hidden="1" x14ac:dyDescent="0.25">
      <c r="A300" s="30" t="s">
        <v>113</v>
      </c>
      <c r="B300" s="30">
        <v>2003</v>
      </c>
      <c r="C300" s="30" t="s">
        <v>109</v>
      </c>
      <c r="D300" s="30">
        <v>11</v>
      </c>
      <c r="E300" s="30">
        <v>233.7</v>
      </c>
      <c r="F300" s="30">
        <v>0</v>
      </c>
      <c r="P300" s="233" t="s">
        <v>218</v>
      </c>
      <c r="Q300" s="221">
        <v>2326.8449999999998</v>
      </c>
    </row>
    <row r="301" spans="1:17" hidden="1" x14ac:dyDescent="0.25">
      <c r="A301" s="30" t="s">
        <v>113</v>
      </c>
      <c r="B301" s="30">
        <v>2003</v>
      </c>
      <c r="C301" s="30" t="s">
        <v>110</v>
      </c>
      <c r="D301" s="30">
        <v>12</v>
      </c>
      <c r="E301" s="30">
        <v>351.7</v>
      </c>
      <c r="F301" s="30">
        <v>0</v>
      </c>
      <c r="P301" s="234">
        <v>1</v>
      </c>
      <c r="Q301" s="221">
        <v>383.95500000000004</v>
      </c>
    </row>
    <row r="302" spans="1:17" hidden="1" x14ac:dyDescent="0.25">
      <c r="A302" s="30" t="s">
        <v>114</v>
      </c>
      <c r="B302" s="30">
        <v>2003</v>
      </c>
      <c r="C302" s="30" t="s">
        <v>99</v>
      </c>
      <c r="D302" s="30">
        <v>1</v>
      </c>
      <c r="E302" s="30">
        <v>397.4</v>
      </c>
      <c r="F302" s="30">
        <v>0</v>
      </c>
      <c r="P302" s="234">
        <v>2</v>
      </c>
      <c r="Q302" s="221">
        <v>338.66500000000002</v>
      </c>
    </row>
    <row r="303" spans="1:17" hidden="1" x14ac:dyDescent="0.25">
      <c r="A303" s="30" t="s">
        <v>114</v>
      </c>
      <c r="B303" s="30">
        <v>2003</v>
      </c>
      <c r="C303" s="30" t="s">
        <v>100</v>
      </c>
      <c r="D303" s="30">
        <v>2</v>
      </c>
      <c r="E303" s="30">
        <v>343.3</v>
      </c>
      <c r="F303" s="30">
        <v>0</v>
      </c>
      <c r="P303" s="234">
        <v>3</v>
      </c>
      <c r="Q303" s="221">
        <v>291.61500000000001</v>
      </c>
    </row>
    <row r="304" spans="1:17" hidden="1" x14ac:dyDescent="0.25">
      <c r="A304" s="30" t="s">
        <v>114</v>
      </c>
      <c r="B304" s="30">
        <v>2003</v>
      </c>
      <c r="C304" s="30" t="s">
        <v>101</v>
      </c>
      <c r="D304" s="30">
        <v>3</v>
      </c>
      <c r="E304" s="30">
        <v>251.5</v>
      </c>
      <c r="F304" s="30">
        <v>0.9</v>
      </c>
      <c r="P304" s="234">
        <v>4</v>
      </c>
      <c r="Q304" s="221">
        <v>198.35</v>
      </c>
    </row>
    <row r="305" spans="1:17" hidden="1" x14ac:dyDescent="0.25">
      <c r="A305" s="30" t="s">
        <v>114</v>
      </c>
      <c r="B305" s="30">
        <v>2003</v>
      </c>
      <c r="C305" s="30" t="s">
        <v>102</v>
      </c>
      <c r="D305" s="30">
        <v>4</v>
      </c>
      <c r="E305" s="30">
        <v>217.4</v>
      </c>
      <c r="F305" s="30">
        <v>6</v>
      </c>
      <c r="P305" s="234">
        <v>5</v>
      </c>
      <c r="Q305" s="221">
        <v>119.91500000000003</v>
      </c>
    </row>
    <row r="306" spans="1:17" hidden="1" x14ac:dyDescent="0.25">
      <c r="A306" s="30" t="s">
        <v>114</v>
      </c>
      <c r="B306" s="30">
        <v>2003</v>
      </c>
      <c r="C306" s="30" t="s">
        <v>103</v>
      </c>
      <c r="D306" s="30">
        <v>5</v>
      </c>
      <c r="E306" s="30">
        <v>170.1</v>
      </c>
      <c r="F306" s="30">
        <v>7.7</v>
      </c>
      <c r="P306" s="234">
        <v>6</v>
      </c>
      <c r="Q306" s="221">
        <v>49.769999999999996</v>
      </c>
    </row>
    <row r="307" spans="1:17" hidden="1" x14ac:dyDescent="0.25">
      <c r="A307" s="30" t="s">
        <v>114</v>
      </c>
      <c r="B307" s="30">
        <v>2003</v>
      </c>
      <c r="C307" s="30" t="s">
        <v>104</v>
      </c>
      <c r="D307" s="30">
        <v>6</v>
      </c>
      <c r="E307" s="30">
        <v>58.5</v>
      </c>
      <c r="F307" s="30">
        <v>43</v>
      </c>
      <c r="P307" s="234">
        <v>7</v>
      </c>
      <c r="Q307" s="221">
        <v>29.35</v>
      </c>
    </row>
    <row r="308" spans="1:17" hidden="1" x14ac:dyDescent="0.25">
      <c r="A308" s="30" t="s">
        <v>114</v>
      </c>
      <c r="B308" s="30">
        <v>2003</v>
      </c>
      <c r="C308" s="30" t="s">
        <v>105</v>
      </c>
      <c r="D308" s="30">
        <v>7</v>
      </c>
      <c r="E308" s="30">
        <v>41.6</v>
      </c>
      <c r="F308" s="30">
        <v>57.3</v>
      </c>
      <c r="P308" s="234">
        <v>8</v>
      </c>
      <c r="Q308" s="221">
        <v>35.285000000000004</v>
      </c>
    </row>
    <row r="309" spans="1:17" hidden="1" x14ac:dyDescent="0.25">
      <c r="A309" s="30" t="s">
        <v>114</v>
      </c>
      <c r="B309" s="30">
        <v>2003</v>
      </c>
      <c r="C309" s="30" t="s">
        <v>106</v>
      </c>
      <c r="D309" s="30">
        <v>8</v>
      </c>
      <c r="E309" s="30">
        <v>28.1</v>
      </c>
      <c r="F309" s="30">
        <v>95.4</v>
      </c>
      <c r="P309" s="234">
        <v>9</v>
      </c>
      <c r="Q309" s="221">
        <v>76.984999999999985</v>
      </c>
    </row>
    <row r="310" spans="1:17" hidden="1" x14ac:dyDescent="0.25">
      <c r="A310" s="30" t="s">
        <v>114</v>
      </c>
      <c r="B310" s="30">
        <v>2003</v>
      </c>
      <c r="C310" s="30" t="s">
        <v>107</v>
      </c>
      <c r="D310" s="30">
        <v>9</v>
      </c>
      <c r="E310" s="30">
        <v>86.4</v>
      </c>
      <c r="F310" s="30">
        <v>34.5</v>
      </c>
      <c r="P310" s="234">
        <v>10</v>
      </c>
      <c r="Q310" s="221">
        <v>153.51</v>
      </c>
    </row>
    <row r="311" spans="1:17" hidden="1" x14ac:dyDescent="0.25">
      <c r="A311" s="30" t="s">
        <v>114</v>
      </c>
      <c r="B311" s="30">
        <v>2003</v>
      </c>
      <c r="C311" s="30" t="s">
        <v>108</v>
      </c>
      <c r="D311" s="30">
        <v>10</v>
      </c>
      <c r="E311" s="30">
        <v>207.5</v>
      </c>
      <c r="F311" s="30">
        <v>2.2000000000000002</v>
      </c>
      <c r="P311" s="234">
        <v>11</v>
      </c>
      <c r="Q311" s="221">
        <v>273.84500000000003</v>
      </c>
    </row>
    <row r="312" spans="1:17" hidden="1" x14ac:dyDescent="0.25">
      <c r="A312" s="30" t="s">
        <v>114</v>
      </c>
      <c r="B312" s="30">
        <v>2003</v>
      </c>
      <c r="C312" s="30" t="s">
        <v>109</v>
      </c>
      <c r="D312" s="30">
        <v>11</v>
      </c>
      <c r="E312" s="30">
        <v>242.1</v>
      </c>
      <c r="F312" s="30">
        <v>0</v>
      </c>
      <c r="P312" s="234">
        <v>12</v>
      </c>
      <c r="Q312" s="221">
        <v>375.59999999999991</v>
      </c>
    </row>
    <row r="313" spans="1:17" hidden="1" x14ac:dyDescent="0.25">
      <c r="A313" s="30" t="s">
        <v>114</v>
      </c>
      <c r="B313" s="30">
        <v>2003</v>
      </c>
      <c r="C313" s="30" t="s">
        <v>110</v>
      </c>
      <c r="D313" s="30">
        <v>12</v>
      </c>
      <c r="E313" s="30">
        <v>347.4</v>
      </c>
      <c r="F313" s="30">
        <v>0</v>
      </c>
      <c r="P313" s="233">
        <v>2023</v>
      </c>
      <c r="Q313" s="221">
        <v>1962.1999999999998</v>
      </c>
    </row>
    <row r="314" spans="1:17" hidden="1" x14ac:dyDescent="0.25">
      <c r="A314" s="30" t="s">
        <v>115</v>
      </c>
      <c r="B314" s="30">
        <v>2003</v>
      </c>
      <c r="C314" s="30" t="s">
        <v>99</v>
      </c>
      <c r="D314" s="30">
        <v>1</v>
      </c>
      <c r="E314" s="30">
        <v>382.8</v>
      </c>
      <c r="F314" s="30">
        <v>0</v>
      </c>
      <c r="P314" s="234">
        <v>1</v>
      </c>
      <c r="Q314" s="221">
        <v>356.1</v>
      </c>
    </row>
    <row r="315" spans="1:17" hidden="1" x14ac:dyDescent="0.25">
      <c r="A315" s="30" t="s">
        <v>115</v>
      </c>
      <c r="B315" s="30">
        <v>2003</v>
      </c>
      <c r="C315" s="30" t="s">
        <v>100</v>
      </c>
      <c r="D315" s="30">
        <v>2</v>
      </c>
      <c r="E315" s="30">
        <v>326.10000000000002</v>
      </c>
      <c r="F315" s="30">
        <v>0</v>
      </c>
      <c r="P315" s="234">
        <v>2</v>
      </c>
      <c r="Q315" s="221">
        <v>314.10000000000002</v>
      </c>
    </row>
    <row r="316" spans="1:17" hidden="1" x14ac:dyDescent="0.25">
      <c r="A316" s="30" t="s">
        <v>115</v>
      </c>
      <c r="B316" s="30">
        <v>2003</v>
      </c>
      <c r="C316" s="30" t="s">
        <v>101</v>
      </c>
      <c r="D316" s="30">
        <v>3</v>
      </c>
      <c r="E316" s="30">
        <v>224.6</v>
      </c>
      <c r="F316" s="30">
        <v>1.3</v>
      </c>
      <c r="P316" s="234">
        <v>3</v>
      </c>
      <c r="Q316" s="221">
        <v>251.3</v>
      </c>
    </row>
    <row r="317" spans="1:17" hidden="1" x14ac:dyDescent="0.25">
      <c r="A317" s="30" t="s">
        <v>115</v>
      </c>
      <c r="B317" s="30">
        <v>2003</v>
      </c>
      <c r="C317" s="30" t="s">
        <v>102</v>
      </c>
      <c r="D317" s="30">
        <v>4</v>
      </c>
      <c r="E317" s="30">
        <v>196.2</v>
      </c>
      <c r="F317" s="30">
        <v>6.8</v>
      </c>
      <c r="P317" s="234">
        <v>4</v>
      </c>
      <c r="Q317" s="221">
        <v>198</v>
      </c>
    </row>
    <row r="318" spans="1:17" hidden="1" x14ac:dyDescent="0.25">
      <c r="A318" s="30" t="s">
        <v>115</v>
      </c>
      <c r="B318" s="30">
        <v>2003</v>
      </c>
      <c r="C318" s="30" t="s">
        <v>103</v>
      </c>
      <c r="D318" s="30">
        <v>5</v>
      </c>
      <c r="E318" s="30">
        <v>158.30000000000001</v>
      </c>
      <c r="F318" s="30">
        <v>13.3</v>
      </c>
      <c r="P318" s="234">
        <v>5</v>
      </c>
      <c r="Q318" s="221">
        <v>86.4</v>
      </c>
    </row>
    <row r="319" spans="1:17" hidden="1" x14ac:dyDescent="0.25">
      <c r="A319" s="30" t="s">
        <v>115</v>
      </c>
      <c r="B319" s="30">
        <v>2003</v>
      </c>
      <c r="C319" s="30" t="s">
        <v>104</v>
      </c>
      <c r="D319" s="30">
        <v>6</v>
      </c>
      <c r="E319" s="30">
        <v>45.5</v>
      </c>
      <c r="F319" s="30">
        <v>58.5</v>
      </c>
      <c r="P319" s="234">
        <v>6</v>
      </c>
      <c r="Q319" s="221">
        <v>17.3</v>
      </c>
    </row>
    <row r="320" spans="1:17" hidden="1" x14ac:dyDescent="0.25">
      <c r="A320" s="30" t="s">
        <v>115</v>
      </c>
      <c r="B320" s="30">
        <v>2003</v>
      </c>
      <c r="C320" s="30" t="s">
        <v>105</v>
      </c>
      <c r="D320" s="30">
        <v>7</v>
      </c>
      <c r="E320" s="30">
        <v>29.3</v>
      </c>
      <c r="F320" s="30">
        <v>63.5</v>
      </c>
      <c r="P320" s="234">
        <v>7</v>
      </c>
      <c r="Q320" s="221">
        <v>24.1</v>
      </c>
    </row>
    <row r="321" spans="1:17" hidden="1" x14ac:dyDescent="0.25">
      <c r="A321" s="30" t="s">
        <v>115</v>
      </c>
      <c r="B321" s="30">
        <v>2003</v>
      </c>
      <c r="C321" s="30" t="s">
        <v>106</v>
      </c>
      <c r="D321" s="30">
        <v>8</v>
      </c>
      <c r="E321" s="30">
        <v>21.9</v>
      </c>
      <c r="F321" s="30">
        <v>139.5</v>
      </c>
      <c r="P321" s="234">
        <v>8</v>
      </c>
      <c r="Q321" s="221">
        <v>27.9</v>
      </c>
    </row>
    <row r="322" spans="1:17" hidden="1" x14ac:dyDescent="0.25">
      <c r="A322" s="30" t="s">
        <v>115</v>
      </c>
      <c r="B322" s="30">
        <v>2003</v>
      </c>
      <c r="C322" s="30" t="s">
        <v>107</v>
      </c>
      <c r="D322" s="30">
        <v>9</v>
      </c>
      <c r="E322" s="30">
        <v>70.5</v>
      </c>
      <c r="F322" s="30">
        <v>38.9</v>
      </c>
      <c r="P322" s="234">
        <v>9</v>
      </c>
      <c r="Q322" s="221">
        <v>30.5</v>
      </c>
    </row>
    <row r="323" spans="1:17" hidden="1" x14ac:dyDescent="0.25">
      <c r="A323" s="30" t="s">
        <v>115</v>
      </c>
      <c r="B323" s="30">
        <v>2003</v>
      </c>
      <c r="C323" s="30" t="s">
        <v>108</v>
      </c>
      <c r="D323" s="30">
        <v>10</v>
      </c>
      <c r="E323" s="30">
        <v>201.2</v>
      </c>
      <c r="F323" s="30">
        <v>2.6</v>
      </c>
      <c r="P323" s="234">
        <v>10</v>
      </c>
      <c r="Q323" s="221">
        <v>115.8</v>
      </c>
    </row>
    <row r="324" spans="1:17" hidden="1" x14ac:dyDescent="0.25">
      <c r="A324" s="30" t="s">
        <v>115</v>
      </c>
      <c r="B324" s="30">
        <v>2003</v>
      </c>
      <c r="C324" s="30" t="s">
        <v>109</v>
      </c>
      <c r="D324" s="30">
        <v>11</v>
      </c>
      <c r="E324" s="30">
        <v>223.4</v>
      </c>
      <c r="F324" s="30">
        <v>0.1</v>
      </c>
      <c r="P324" s="234">
        <v>11</v>
      </c>
      <c r="Q324" s="221">
        <v>239.8</v>
      </c>
    </row>
    <row r="325" spans="1:17" hidden="1" x14ac:dyDescent="0.25">
      <c r="A325" s="30" t="s">
        <v>115</v>
      </c>
      <c r="B325" s="30">
        <v>2003</v>
      </c>
      <c r="C325" s="30" t="s">
        <v>110</v>
      </c>
      <c r="D325" s="30">
        <v>12</v>
      </c>
      <c r="E325" s="30">
        <v>330.6</v>
      </c>
      <c r="F325" s="30">
        <v>0</v>
      </c>
      <c r="P325" s="234">
        <v>12</v>
      </c>
      <c r="Q325" s="221">
        <v>300.89999999999998</v>
      </c>
    </row>
    <row r="326" spans="1:17" x14ac:dyDescent="0.25">
      <c r="A326" s="30" t="s">
        <v>116</v>
      </c>
      <c r="B326" s="30">
        <v>2003</v>
      </c>
      <c r="C326" s="30" t="s">
        <v>99</v>
      </c>
      <c r="D326" s="30">
        <v>1</v>
      </c>
      <c r="E326" s="30">
        <v>342.8</v>
      </c>
      <c r="F326" s="30">
        <v>0</v>
      </c>
      <c r="P326" s="233" t="s">
        <v>35</v>
      </c>
      <c r="Q326" s="221">
        <v>55198.945000000072</v>
      </c>
    </row>
    <row r="327" spans="1:17" x14ac:dyDescent="0.25">
      <c r="A327" s="30" t="s">
        <v>116</v>
      </c>
      <c r="B327" s="30">
        <v>2003</v>
      </c>
      <c r="C327" s="30" t="s">
        <v>100</v>
      </c>
      <c r="D327" s="30">
        <v>2</v>
      </c>
      <c r="E327" s="30">
        <v>345.7</v>
      </c>
      <c r="F327" s="30">
        <v>0</v>
      </c>
    </row>
    <row r="328" spans="1:17" x14ac:dyDescent="0.25">
      <c r="A328" s="30" t="s">
        <v>116</v>
      </c>
      <c r="B328" s="30">
        <v>2003</v>
      </c>
      <c r="C328" s="30" t="s">
        <v>101</v>
      </c>
      <c r="D328" s="30">
        <v>3</v>
      </c>
      <c r="E328" s="30">
        <v>228.5</v>
      </c>
      <c r="F328" s="30">
        <v>1.2</v>
      </c>
    </row>
    <row r="329" spans="1:17" x14ac:dyDescent="0.25">
      <c r="A329" s="30" t="s">
        <v>116</v>
      </c>
      <c r="B329" s="30">
        <v>2003</v>
      </c>
      <c r="C329" s="30" t="s">
        <v>102</v>
      </c>
      <c r="D329" s="30">
        <v>4</v>
      </c>
      <c r="E329" s="30">
        <v>195.9</v>
      </c>
      <c r="F329" s="30">
        <v>5.3</v>
      </c>
    </row>
    <row r="330" spans="1:17" x14ac:dyDescent="0.25">
      <c r="A330" s="30" t="s">
        <v>116</v>
      </c>
      <c r="B330" s="30">
        <v>2003</v>
      </c>
      <c r="C330" s="30" t="s">
        <v>103</v>
      </c>
      <c r="D330" s="30">
        <v>5</v>
      </c>
      <c r="E330" s="30">
        <v>146.9</v>
      </c>
      <c r="F330" s="30">
        <v>13.9</v>
      </c>
    </row>
    <row r="331" spans="1:17" x14ac:dyDescent="0.25">
      <c r="A331" s="30" t="s">
        <v>116</v>
      </c>
      <c r="B331" s="30">
        <v>2003</v>
      </c>
      <c r="C331" s="30" t="s">
        <v>104</v>
      </c>
      <c r="D331" s="30">
        <v>6</v>
      </c>
      <c r="E331" s="30">
        <v>40.6</v>
      </c>
      <c r="F331" s="30">
        <v>64.7</v>
      </c>
    </row>
    <row r="332" spans="1:17" x14ac:dyDescent="0.25">
      <c r="A332" s="30" t="s">
        <v>116</v>
      </c>
      <c r="B332" s="30">
        <v>2003</v>
      </c>
      <c r="C332" s="30" t="s">
        <v>105</v>
      </c>
      <c r="D332" s="30">
        <v>7</v>
      </c>
      <c r="E332" s="30">
        <v>18.399999999999999</v>
      </c>
      <c r="F332" s="30">
        <v>74.3</v>
      </c>
    </row>
    <row r="333" spans="1:17" x14ac:dyDescent="0.25">
      <c r="A333" s="30" t="s">
        <v>116</v>
      </c>
      <c r="B333" s="30">
        <v>2003</v>
      </c>
      <c r="C333" s="30" t="s">
        <v>106</v>
      </c>
      <c r="D333" s="30">
        <v>8</v>
      </c>
      <c r="E333" s="30">
        <v>20.9</v>
      </c>
      <c r="F333" s="30">
        <v>97</v>
      </c>
    </row>
    <row r="334" spans="1:17" x14ac:dyDescent="0.25">
      <c r="A334" s="30" t="s">
        <v>116</v>
      </c>
      <c r="B334" s="30">
        <v>2003</v>
      </c>
      <c r="C334" s="30" t="s">
        <v>107</v>
      </c>
      <c r="D334" s="30">
        <v>9</v>
      </c>
      <c r="E334" s="30">
        <v>69</v>
      </c>
      <c r="F334" s="30">
        <v>40.1</v>
      </c>
    </row>
    <row r="335" spans="1:17" x14ac:dyDescent="0.25">
      <c r="A335" s="30" t="s">
        <v>116</v>
      </c>
      <c r="B335" s="30">
        <v>2003</v>
      </c>
      <c r="C335" s="30" t="s">
        <v>108</v>
      </c>
      <c r="D335" s="30">
        <v>10</v>
      </c>
      <c r="E335" s="30">
        <v>210.1</v>
      </c>
      <c r="F335" s="30">
        <v>1.8</v>
      </c>
    </row>
    <row r="336" spans="1:17" x14ac:dyDescent="0.25">
      <c r="A336" s="30" t="s">
        <v>116</v>
      </c>
      <c r="B336" s="30">
        <v>2003</v>
      </c>
      <c r="C336" s="30" t="s">
        <v>109</v>
      </c>
      <c r="D336" s="30">
        <v>11</v>
      </c>
      <c r="E336" s="30">
        <v>231.4</v>
      </c>
      <c r="F336" s="30">
        <v>0</v>
      </c>
    </row>
    <row r="337" spans="1:6" x14ac:dyDescent="0.25">
      <c r="A337" s="30" t="s">
        <v>116</v>
      </c>
      <c r="B337" s="30">
        <v>2003</v>
      </c>
      <c r="C337" s="30" t="s">
        <v>110</v>
      </c>
      <c r="D337" s="30">
        <v>12</v>
      </c>
      <c r="E337" s="30">
        <v>343</v>
      </c>
      <c r="F337" s="30">
        <v>0</v>
      </c>
    </row>
    <row r="338" spans="1:6" hidden="1" x14ac:dyDescent="0.25">
      <c r="A338" s="30" t="s">
        <v>98</v>
      </c>
      <c r="B338" s="30">
        <v>2004</v>
      </c>
      <c r="C338" s="30" t="s">
        <v>99</v>
      </c>
      <c r="D338" s="30">
        <v>1</v>
      </c>
      <c r="E338" s="30">
        <v>341</v>
      </c>
      <c r="F338" s="30">
        <v>0</v>
      </c>
    </row>
    <row r="339" spans="1:6" hidden="1" x14ac:dyDescent="0.25">
      <c r="A339" s="30" t="s">
        <v>98</v>
      </c>
      <c r="B339" s="30">
        <v>2004</v>
      </c>
      <c r="C339" s="30" t="s">
        <v>100</v>
      </c>
      <c r="D339" s="30">
        <v>2</v>
      </c>
      <c r="E339" s="30">
        <v>344.8</v>
      </c>
      <c r="F339" s="30">
        <v>0.2</v>
      </c>
    </row>
    <row r="340" spans="1:6" hidden="1" x14ac:dyDescent="0.25">
      <c r="A340" s="30" t="s">
        <v>98</v>
      </c>
      <c r="B340" s="30">
        <v>2004</v>
      </c>
      <c r="C340" s="30" t="s">
        <v>101</v>
      </c>
      <c r="D340" s="30">
        <v>3</v>
      </c>
      <c r="E340" s="30">
        <v>345.5</v>
      </c>
      <c r="F340" s="30">
        <v>0.1</v>
      </c>
    </row>
    <row r="341" spans="1:6" hidden="1" x14ac:dyDescent="0.25">
      <c r="A341" s="30" t="s">
        <v>98</v>
      </c>
      <c r="B341" s="30">
        <v>2004</v>
      </c>
      <c r="C341" s="30" t="s">
        <v>102</v>
      </c>
      <c r="D341" s="30">
        <v>4</v>
      </c>
      <c r="E341" s="30">
        <v>265.5</v>
      </c>
      <c r="F341" s="30">
        <v>0</v>
      </c>
    </row>
    <row r="342" spans="1:6" hidden="1" x14ac:dyDescent="0.25">
      <c r="A342" s="30" t="s">
        <v>98</v>
      </c>
      <c r="B342" s="30">
        <v>2004</v>
      </c>
      <c r="C342" s="30" t="s">
        <v>103</v>
      </c>
      <c r="D342" s="30">
        <v>5</v>
      </c>
      <c r="E342" s="30">
        <v>188.8</v>
      </c>
      <c r="F342" s="30">
        <v>2.2000000000000002</v>
      </c>
    </row>
    <row r="343" spans="1:6" hidden="1" x14ac:dyDescent="0.25">
      <c r="A343" s="30" t="s">
        <v>98</v>
      </c>
      <c r="B343" s="30">
        <v>2004</v>
      </c>
      <c r="C343" s="30" t="s">
        <v>104</v>
      </c>
      <c r="D343" s="30">
        <v>6</v>
      </c>
      <c r="E343" s="30">
        <v>81.099999999999994</v>
      </c>
      <c r="F343" s="30">
        <v>23.9</v>
      </c>
    </row>
    <row r="344" spans="1:6" hidden="1" x14ac:dyDescent="0.25">
      <c r="A344" s="30" t="s">
        <v>98</v>
      </c>
      <c r="B344" s="30">
        <v>2004</v>
      </c>
      <c r="C344" s="30" t="s">
        <v>105</v>
      </c>
      <c r="D344" s="30">
        <v>7</v>
      </c>
      <c r="E344" s="30">
        <v>75.599999999999994</v>
      </c>
      <c r="F344" s="30">
        <v>18</v>
      </c>
    </row>
    <row r="345" spans="1:6" hidden="1" x14ac:dyDescent="0.25">
      <c r="A345" s="30" t="s">
        <v>98</v>
      </c>
      <c r="B345" s="30">
        <v>2004</v>
      </c>
      <c r="C345" s="30" t="s">
        <v>106</v>
      </c>
      <c r="D345" s="30">
        <v>8</v>
      </c>
      <c r="E345" s="30">
        <v>43.6</v>
      </c>
      <c r="F345" s="30">
        <v>41.1</v>
      </c>
    </row>
    <row r="346" spans="1:6" hidden="1" x14ac:dyDescent="0.25">
      <c r="A346" s="30" t="s">
        <v>98</v>
      </c>
      <c r="B346" s="30">
        <v>2004</v>
      </c>
      <c r="C346" s="30" t="s">
        <v>107</v>
      </c>
      <c r="D346" s="30">
        <v>9</v>
      </c>
      <c r="E346" s="30">
        <v>87.3</v>
      </c>
      <c r="F346" s="30">
        <v>16.2</v>
      </c>
    </row>
    <row r="347" spans="1:6" hidden="1" x14ac:dyDescent="0.25">
      <c r="A347" s="30" t="s">
        <v>98</v>
      </c>
      <c r="B347" s="30">
        <v>2004</v>
      </c>
      <c r="C347" s="30" t="s">
        <v>108</v>
      </c>
      <c r="D347" s="30">
        <v>10</v>
      </c>
      <c r="E347" s="30">
        <v>174.2</v>
      </c>
      <c r="F347" s="30">
        <v>0.9</v>
      </c>
    </row>
    <row r="348" spans="1:6" hidden="1" x14ac:dyDescent="0.25">
      <c r="A348" s="30" t="s">
        <v>98</v>
      </c>
      <c r="B348" s="30">
        <v>2004</v>
      </c>
      <c r="C348" s="30" t="s">
        <v>109</v>
      </c>
      <c r="D348" s="30">
        <v>11</v>
      </c>
      <c r="E348" s="30">
        <v>251.9</v>
      </c>
      <c r="F348" s="30">
        <v>0</v>
      </c>
    </row>
    <row r="349" spans="1:6" hidden="1" x14ac:dyDescent="0.25">
      <c r="A349" s="30" t="s">
        <v>98</v>
      </c>
      <c r="B349" s="30">
        <v>2004</v>
      </c>
      <c r="C349" s="30" t="s">
        <v>110</v>
      </c>
      <c r="D349" s="30">
        <v>12</v>
      </c>
      <c r="E349" s="30">
        <v>372.7</v>
      </c>
      <c r="F349" s="30">
        <v>0</v>
      </c>
    </row>
    <row r="350" spans="1:6" hidden="1" x14ac:dyDescent="0.25">
      <c r="A350" s="30" t="s">
        <v>111</v>
      </c>
      <c r="B350" s="30">
        <v>2004</v>
      </c>
      <c r="C350" s="30" t="s">
        <v>99</v>
      </c>
      <c r="D350" s="30">
        <v>1</v>
      </c>
      <c r="E350" s="30">
        <v>322.60000000000002</v>
      </c>
      <c r="F350" s="30">
        <v>0</v>
      </c>
    </row>
    <row r="351" spans="1:6" hidden="1" x14ac:dyDescent="0.25">
      <c r="A351" s="30" t="s">
        <v>111</v>
      </c>
      <c r="B351" s="30">
        <v>2004</v>
      </c>
      <c r="C351" s="30" t="s">
        <v>100</v>
      </c>
      <c r="D351" s="30">
        <v>2</v>
      </c>
      <c r="E351" s="30">
        <v>328.5</v>
      </c>
      <c r="F351" s="30">
        <v>0</v>
      </c>
    </row>
    <row r="352" spans="1:6" hidden="1" x14ac:dyDescent="0.25">
      <c r="A352" s="30" t="s">
        <v>111</v>
      </c>
      <c r="B352" s="30">
        <v>2004</v>
      </c>
      <c r="C352" s="30" t="s">
        <v>101</v>
      </c>
      <c r="D352" s="30">
        <v>3</v>
      </c>
      <c r="E352" s="30">
        <v>330.8</v>
      </c>
      <c r="F352" s="30">
        <v>0</v>
      </c>
    </row>
    <row r="353" spans="1:6" hidden="1" x14ac:dyDescent="0.25">
      <c r="A353" s="30" t="s">
        <v>111</v>
      </c>
      <c r="B353" s="30">
        <v>2004</v>
      </c>
      <c r="C353" s="30" t="s">
        <v>102</v>
      </c>
      <c r="D353" s="30">
        <v>4</v>
      </c>
      <c r="E353" s="30">
        <v>258.8</v>
      </c>
      <c r="F353" s="30">
        <v>0.9</v>
      </c>
    </row>
    <row r="354" spans="1:6" hidden="1" x14ac:dyDescent="0.25">
      <c r="A354" s="30" t="s">
        <v>111</v>
      </c>
      <c r="B354" s="30">
        <v>2004</v>
      </c>
      <c r="C354" s="30" t="s">
        <v>103</v>
      </c>
      <c r="D354" s="30">
        <v>5</v>
      </c>
      <c r="E354" s="30">
        <v>177.5</v>
      </c>
      <c r="F354" s="30">
        <v>6.7</v>
      </c>
    </row>
    <row r="355" spans="1:6" hidden="1" x14ac:dyDescent="0.25">
      <c r="A355" s="30" t="s">
        <v>111</v>
      </c>
      <c r="B355" s="30">
        <v>2004</v>
      </c>
      <c r="C355" s="30" t="s">
        <v>104</v>
      </c>
      <c r="D355" s="30">
        <v>6</v>
      </c>
      <c r="E355" s="30">
        <v>82.6</v>
      </c>
      <c r="F355" s="30">
        <v>19.899999999999999</v>
      </c>
    </row>
    <row r="356" spans="1:6" hidden="1" x14ac:dyDescent="0.25">
      <c r="A356" s="30" t="s">
        <v>111</v>
      </c>
      <c r="B356" s="30">
        <v>2004</v>
      </c>
      <c r="C356" s="30" t="s">
        <v>105</v>
      </c>
      <c r="D356" s="30">
        <v>7</v>
      </c>
      <c r="E356" s="30">
        <v>80.2</v>
      </c>
      <c r="F356" s="30">
        <v>17</v>
      </c>
    </row>
    <row r="357" spans="1:6" hidden="1" x14ac:dyDescent="0.25">
      <c r="A357" s="30" t="s">
        <v>111</v>
      </c>
      <c r="B357" s="30">
        <v>2004</v>
      </c>
      <c r="C357" s="30" t="s">
        <v>106</v>
      </c>
      <c r="D357" s="30">
        <v>8</v>
      </c>
      <c r="E357" s="30">
        <v>44.3</v>
      </c>
      <c r="F357" s="30">
        <v>31.3</v>
      </c>
    </row>
    <row r="358" spans="1:6" hidden="1" x14ac:dyDescent="0.25">
      <c r="A358" s="30" t="s">
        <v>111</v>
      </c>
      <c r="B358" s="30">
        <v>2004</v>
      </c>
      <c r="C358" s="30" t="s">
        <v>107</v>
      </c>
      <c r="D358" s="30">
        <v>9</v>
      </c>
      <c r="E358" s="30">
        <v>84.4</v>
      </c>
      <c r="F358" s="30">
        <v>22</v>
      </c>
    </row>
    <row r="359" spans="1:6" hidden="1" x14ac:dyDescent="0.25">
      <c r="A359" s="30" t="s">
        <v>111</v>
      </c>
      <c r="B359" s="30">
        <v>2004</v>
      </c>
      <c r="C359" s="30" t="s">
        <v>108</v>
      </c>
      <c r="D359" s="30">
        <v>10</v>
      </c>
      <c r="E359" s="30">
        <v>172.8</v>
      </c>
      <c r="F359" s="30">
        <v>0</v>
      </c>
    </row>
    <row r="360" spans="1:6" hidden="1" x14ac:dyDescent="0.25">
      <c r="A360" s="30" t="s">
        <v>111</v>
      </c>
      <c r="B360" s="30">
        <v>2004</v>
      </c>
      <c r="C360" s="30" t="s">
        <v>109</v>
      </c>
      <c r="D360" s="30">
        <v>11</v>
      </c>
      <c r="E360" s="30">
        <v>240.3</v>
      </c>
      <c r="F360" s="30">
        <v>0</v>
      </c>
    </row>
    <row r="361" spans="1:6" hidden="1" x14ac:dyDescent="0.25">
      <c r="A361" s="30" t="s">
        <v>111</v>
      </c>
      <c r="B361" s="30">
        <v>2004</v>
      </c>
      <c r="C361" s="30" t="s">
        <v>110</v>
      </c>
      <c r="D361" s="30">
        <v>12</v>
      </c>
      <c r="E361" s="30">
        <v>348.7</v>
      </c>
      <c r="F361" s="30">
        <v>0</v>
      </c>
    </row>
    <row r="362" spans="1:6" hidden="1" x14ac:dyDescent="0.25">
      <c r="A362" s="30" t="s">
        <v>112</v>
      </c>
      <c r="B362" s="30">
        <v>2004</v>
      </c>
      <c r="C362" s="30" t="s">
        <v>99</v>
      </c>
      <c r="D362" s="30">
        <v>1</v>
      </c>
      <c r="E362" s="30">
        <v>310.89999999999998</v>
      </c>
      <c r="F362" s="30">
        <v>0</v>
      </c>
    </row>
    <row r="363" spans="1:6" hidden="1" x14ac:dyDescent="0.25">
      <c r="A363" s="30" t="s">
        <v>112</v>
      </c>
      <c r="B363" s="30">
        <v>2004</v>
      </c>
      <c r="C363" s="30" t="s">
        <v>100</v>
      </c>
      <c r="D363" s="30">
        <v>2</v>
      </c>
      <c r="E363" s="30">
        <v>328.2</v>
      </c>
      <c r="F363" s="30">
        <v>0</v>
      </c>
    </row>
    <row r="364" spans="1:6" hidden="1" x14ac:dyDescent="0.25">
      <c r="A364" s="30" t="s">
        <v>112</v>
      </c>
      <c r="B364" s="30">
        <v>2004</v>
      </c>
      <c r="C364" s="30" t="s">
        <v>101</v>
      </c>
      <c r="D364" s="30">
        <v>3</v>
      </c>
      <c r="E364" s="30">
        <v>328.8</v>
      </c>
      <c r="F364" s="30">
        <v>0.3</v>
      </c>
    </row>
    <row r="365" spans="1:6" hidden="1" x14ac:dyDescent="0.25">
      <c r="A365" s="30" t="s">
        <v>112</v>
      </c>
      <c r="B365" s="30">
        <v>2004</v>
      </c>
      <c r="C365" s="30" t="s">
        <v>102</v>
      </c>
      <c r="D365" s="30">
        <v>4</v>
      </c>
      <c r="E365" s="30">
        <v>245.6</v>
      </c>
      <c r="F365" s="30">
        <v>1.3</v>
      </c>
    </row>
    <row r="366" spans="1:6" hidden="1" x14ac:dyDescent="0.25">
      <c r="A366" s="30" t="s">
        <v>112</v>
      </c>
      <c r="B366" s="30">
        <v>2004</v>
      </c>
      <c r="C366" s="30" t="s">
        <v>103</v>
      </c>
      <c r="D366" s="30">
        <v>5</v>
      </c>
      <c r="E366" s="30">
        <v>152.69999999999999</v>
      </c>
      <c r="F366" s="30">
        <v>14.3</v>
      </c>
    </row>
    <row r="367" spans="1:6" hidden="1" x14ac:dyDescent="0.25">
      <c r="A367" s="30" t="s">
        <v>112</v>
      </c>
      <c r="B367" s="30">
        <v>2004</v>
      </c>
      <c r="C367" s="30" t="s">
        <v>104</v>
      </c>
      <c r="D367" s="30">
        <v>6</v>
      </c>
      <c r="E367" s="30">
        <v>72.400000000000006</v>
      </c>
      <c r="F367" s="30">
        <v>27.4</v>
      </c>
    </row>
    <row r="368" spans="1:6" hidden="1" x14ac:dyDescent="0.25">
      <c r="A368" s="30" t="s">
        <v>112</v>
      </c>
      <c r="B368" s="30">
        <v>2004</v>
      </c>
      <c r="C368" s="30" t="s">
        <v>105</v>
      </c>
      <c r="D368" s="30">
        <v>7</v>
      </c>
      <c r="E368" s="30">
        <v>68.8</v>
      </c>
      <c r="F368" s="30">
        <v>23</v>
      </c>
    </row>
    <row r="369" spans="1:6" hidden="1" x14ac:dyDescent="0.25">
      <c r="A369" s="30" t="s">
        <v>112</v>
      </c>
      <c r="B369" s="30">
        <v>2004</v>
      </c>
      <c r="C369" s="30" t="s">
        <v>106</v>
      </c>
      <c r="D369" s="30">
        <v>8</v>
      </c>
      <c r="E369" s="30">
        <v>45.7</v>
      </c>
      <c r="F369" s="30">
        <v>28.9</v>
      </c>
    </row>
    <row r="370" spans="1:6" hidden="1" x14ac:dyDescent="0.25">
      <c r="A370" s="30" t="s">
        <v>112</v>
      </c>
      <c r="B370" s="30">
        <v>2004</v>
      </c>
      <c r="C370" s="30" t="s">
        <v>107</v>
      </c>
      <c r="D370" s="30">
        <v>9</v>
      </c>
      <c r="E370" s="30">
        <v>78.5</v>
      </c>
      <c r="F370" s="30">
        <v>30.7</v>
      </c>
    </row>
    <row r="371" spans="1:6" hidden="1" x14ac:dyDescent="0.25">
      <c r="A371" s="30" t="s">
        <v>112</v>
      </c>
      <c r="B371" s="30">
        <v>2004</v>
      </c>
      <c r="C371" s="30" t="s">
        <v>108</v>
      </c>
      <c r="D371" s="30">
        <v>10</v>
      </c>
      <c r="E371" s="30">
        <v>166.8</v>
      </c>
      <c r="F371" s="30">
        <v>0.3</v>
      </c>
    </row>
    <row r="372" spans="1:6" hidden="1" x14ac:dyDescent="0.25">
      <c r="A372" s="30" t="s">
        <v>112</v>
      </c>
      <c r="B372" s="30">
        <v>2004</v>
      </c>
      <c r="C372" s="30" t="s">
        <v>109</v>
      </c>
      <c r="D372" s="30">
        <v>11</v>
      </c>
      <c r="E372" s="30">
        <v>240</v>
      </c>
      <c r="F372" s="30">
        <v>0</v>
      </c>
    </row>
    <row r="373" spans="1:6" hidden="1" x14ac:dyDescent="0.25">
      <c r="A373" s="30" t="s">
        <v>112</v>
      </c>
      <c r="B373" s="30">
        <v>2004</v>
      </c>
      <c r="C373" s="30" t="s">
        <v>110</v>
      </c>
      <c r="D373" s="30">
        <v>12</v>
      </c>
      <c r="E373" s="30">
        <v>344.5</v>
      </c>
      <c r="F373" s="30">
        <v>0</v>
      </c>
    </row>
    <row r="374" spans="1:6" hidden="1" x14ac:dyDescent="0.25">
      <c r="A374" s="30" t="s">
        <v>113</v>
      </c>
      <c r="B374" s="30">
        <v>2004</v>
      </c>
      <c r="C374" s="30" t="s">
        <v>99</v>
      </c>
      <c r="D374" s="30">
        <v>1</v>
      </c>
      <c r="E374" s="30">
        <v>334.5</v>
      </c>
      <c r="F374" s="30">
        <v>0</v>
      </c>
    </row>
    <row r="375" spans="1:6" hidden="1" x14ac:dyDescent="0.25">
      <c r="A375" s="30" t="s">
        <v>113</v>
      </c>
      <c r="B375" s="30">
        <v>2004</v>
      </c>
      <c r="C375" s="30" t="s">
        <v>100</v>
      </c>
      <c r="D375" s="30">
        <v>2</v>
      </c>
      <c r="E375" s="30">
        <v>337.9</v>
      </c>
      <c r="F375" s="30">
        <v>0</v>
      </c>
    </row>
    <row r="376" spans="1:6" hidden="1" x14ac:dyDescent="0.25">
      <c r="A376" s="30" t="s">
        <v>113</v>
      </c>
      <c r="B376" s="30">
        <v>2004</v>
      </c>
      <c r="C376" s="30" t="s">
        <v>101</v>
      </c>
      <c r="D376" s="30">
        <v>3</v>
      </c>
      <c r="E376" s="30">
        <v>334.1</v>
      </c>
      <c r="F376" s="30">
        <v>0.7</v>
      </c>
    </row>
    <row r="377" spans="1:6" hidden="1" x14ac:dyDescent="0.25">
      <c r="A377" s="30" t="s">
        <v>113</v>
      </c>
      <c r="B377" s="30">
        <v>2004</v>
      </c>
      <c r="C377" s="30" t="s">
        <v>102</v>
      </c>
      <c r="D377" s="30">
        <v>4</v>
      </c>
      <c r="E377" s="30">
        <v>225.7</v>
      </c>
      <c r="F377" s="30">
        <v>1.8</v>
      </c>
    </row>
    <row r="378" spans="1:6" hidden="1" x14ac:dyDescent="0.25">
      <c r="A378" s="30" t="s">
        <v>113</v>
      </c>
      <c r="B378" s="30">
        <v>2004</v>
      </c>
      <c r="C378" s="30" t="s">
        <v>103</v>
      </c>
      <c r="D378" s="30">
        <v>5</v>
      </c>
      <c r="E378" s="30">
        <v>153.19999999999999</v>
      </c>
      <c r="F378" s="30">
        <v>16.7</v>
      </c>
    </row>
    <row r="379" spans="1:6" hidden="1" x14ac:dyDescent="0.25">
      <c r="A379" s="30" t="s">
        <v>113</v>
      </c>
      <c r="B379" s="30">
        <v>2004</v>
      </c>
      <c r="C379" s="30" t="s">
        <v>104</v>
      </c>
      <c r="D379" s="30">
        <v>6</v>
      </c>
      <c r="E379" s="30">
        <v>60.9</v>
      </c>
      <c r="F379" s="30">
        <v>53.3</v>
      </c>
    </row>
    <row r="380" spans="1:6" hidden="1" x14ac:dyDescent="0.25">
      <c r="A380" s="30" t="s">
        <v>113</v>
      </c>
      <c r="B380" s="30">
        <v>2004</v>
      </c>
      <c r="C380" s="30" t="s">
        <v>105</v>
      </c>
      <c r="D380" s="30">
        <v>7</v>
      </c>
      <c r="E380" s="30">
        <v>52.4</v>
      </c>
      <c r="F380" s="30">
        <v>58.8</v>
      </c>
    </row>
    <row r="381" spans="1:6" hidden="1" x14ac:dyDescent="0.25">
      <c r="A381" s="30" t="s">
        <v>113</v>
      </c>
      <c r="B381" s="30">
        <v>2004</v>
      </c>
      <c r="C381" s="30" t="s">
        <v>106</v>
      </c>
      <c r="D381" s="30">
        <v>8</v>
      </c>
      <c r="E381" s="30">
        <v>31.1</v>
      </c>
      <c r="F381" s="30">
        <v>76.3</v>
      </c>
    </row>
    <row r="382" spans="1:6" hidden="1" x14ac:dyDescent="0.25">
      <c r="A382" s="30" t="s">
        <v>113</v>
      </c>
      <c r="B382" s="30">
        <v>2004</v>
      </c>
      <c r="C382" s="30" t="s">
        <v>107</v>
      </c>
      <c r="D382" s="30">
        <v>9</v>
      </c>
      <c r="E382" s="30">
        <v>71</v>
      </c>
      <c r="F382" s="30">
        <v>51.7</v>
      </c>
    </row>
    <row r="383" spans="1:6" hidden="1" x14ac:dyDescent="0.25">
      <c r="A383" s="30" t="s">
        <v>113</v>
      </c>
      <c r="B383" s="30">
        <v>2004</v>
      </c>
      <c r="C383" s="30" t="s">
        <v>108</v>
      </c>
      <c r="D383" s="30">
        <v>10</v>
      </c>
      <c r="E383" s="30">
        <v>150.19999999999999</v>
      </c>
      <c r="F383" s="30">
        <v>3.4</v>
      </c>
    </row>
    <row r="384" spans="1:6" hidden="1" x14ac:dyDescent="0.25">
      <c r="A384" s="30" t="s">
        <v>113</v>
      </c>
      <c r="B384" s="30">
        <v>2004</v>
      </c>
      <c r="C384" s="30" t="s">
        <v>109</v>
      </c>
      <c r="D384" s="30">
        <v>11</v>
      </c>
      <c r="E384" s="30">
        <v>264.8</v>
      </c>
      <c r="F384" s="30">
        <v>0</v>
      </c>
    </row>
    <row r="385" spans="1:6" hidden="1" x14ac:dyDescent="0.25">
      <c r="A385" s="30" t="s">
        <v>113</v>
      </c>
      <c r="B385" s="30">
        <v>2004</v>
      </c>
      <c r="C385" s="30" t="s">
        <v>110</v>
      </c>
      <c r="D385" s="30">
        <v>12</v>
      </c>
      <c r="E385" s="30">
        <v>389.8</v>
      </c>
      <c r="F385" s="30">
        <v>0</v>
      </c>
    </row>
    <row r="386" spans="1:6" hidden="1" x14ac:dyDescent="0.25">
      <c r="A386" s="30" t="s">
        <v>114</v>
      </c>
      <c r="B386" s="30">
        <v>2004</v>
      </c>
      <c r="C386" s="30" t="s">
        <v>99</v>
      </c>
      <c r="D386" s="30">
        <v>1</v>
      </c>
      <c r="E386" s="30">
        <v>329.6</v>
      </c>
      <c r="F386" s="30">
        <v>0</v>
      </c>
    </row>
    <row r="387" spans="1:6" hidden="1" x14ac:dyDescent="0.25">
      <c r="A387" s="30" t="s">
        <v>114</v>
      </c>
      <c r="B387" s="30">
        <v>2004</v>
      </c>
      <c r="C387" s="30" t="s">
        <v>100</v>
      </c>
      <c r="D387" s="30">
        <v>2</v>
      </c>
      <c r="E387" s="30">
        <v>343.4</v>
      </c>
      <c r="F387" s="30">
        <v>0</v>
      </c>
    </row>
    <row r="388" spans="1:6" hidden="1" x14ac:dyDescent="0.25">
      <c r="A388" s="30" t="s">
        <v>114</v>
      </c>
      <c r="B388" s="30">
        <v>2004</v>
      </c>
      <c r="C388" s="30" t="s">
        <v>101</v>
      </c>
      <c r="D388" s="30">
        <v>3</v>
      </c>
      <c r="E388" s="30">
        <v>338.5</v>
      </c>
      <c r="F388" s="30">
        <v>0.3</v>
      </c>
    </row>
    <row r="389" spans="1:6" hidden="1" x14ac:dyDescent="0.25">
      <c r="A389" s="30" t="s">
        <v>114</v>
      </c>
      <c r="B389" s="30">
        <v>2004</v>
      </c>
      <c r="C389" s="30" t="s">
        <v>102</v>
      </c>
      <c r="D389" s="30">
        <v>4</v>
      </c>
      <c r="E389" s="30">
        <v>252.5</v>
      </c>
      <c r="F389" s="30">
        <v>0.3</v>
      </c>
    </row>
    <row r="390" spans="1:6" hidden="1" x14ac:dyDescent="0.25">
      <c r="A390" s="30" t="s">
        <v>114</v>
      </c>
      <c r="B390" s="30">
        <v>2004</v>
      </c>
      <c r="C390" s="30" t="s">
        <v>103</v>
      </c>
      <c r="D390" s="30">
        <v>5</v>
      </c>
      <c r="E390" s="30">
        <v>178.1</v>
      </c>
      <c r="F390" s="30">
        <v>4.0999999999999996</v>
      </c>
    </row>
    <row r="391" spans="1:6" hidden="1" x14ac:dyDescent="0.25">
      <c r="A391" s="30" t="s">
        <v>114</v>
      </c>
      <c r="B391" s="30">
        <v>2004</v>
      </c>
      <c r="C391" s="30" t="s">
        <v>104</v>
      </c>
      <c r="D391" s="30">
        <v>6</v>
      </c>
      <c r="E391" s="30">
        <v>79.099999999999994</v>
      </c>
      <c r="F391" s="30">
        <v>22.1</v>
      </c>
    </row>
    <row r="392" spans="1:6" hidden="1" x14ac:dyDescent="0.25">
      <c r="A392" s="30" t="s">
        <v>114</v>
      </c>
      <c r="B392" s="30">
        <v>2004</v>
      </c>
      <c r="C392" s="30" t="s">
        <v>105</v>
      </c>
      <c r="D392" s="30">
        <v>7</v>
      </c>
      <c r="E392" s="30">
        <v>65.8</v>
      </c>
      <c r="F392" s="30">
        <v>23.8</v>
      </c>
    </row>
    <row r="393" spans="1:6" hidden="1" x14ac:dyDescent="0.25">
      <c r="A393" s="30" t="s">
        <v>114</v>
      </c>
      <c r="B393" s="30">
        <v>2004</v>
      </c>
      <c r="C393" s="30" t="s">
        <v>106</v>
      </c>
      <c r="D393" s="30">
        <v>8</v>
      </c>
      <c r="E393" s="30">
        <v>37</v>
      </c>
      <c r="F393" s="30">
        <v>50.6</v>
      </c>
    </row>
    <row r="394" spans="1:6" hidden="1" x14ac:dyDescent="0.25">
      <c r="A394" s="30" t="s">
        <v>114</v>
      </c>
      <c r="B394" s="30">
        <v>2004</v>
      </c>
      <c r="C394" s="30" t="s">
        <v>107</v>
      </c>
      <c r="D394" s="30">
        <v>9</v>
      </c>
      <c r="E394" s="30">
        <v>77.099999999999994</v>
      </c>
      <c r="F394" s="30">
        <v>30.7</v>
      </c>
    </row>
    <row r="395" spans="1:6" hidden="1" x14ac:dyDescent="0.25">
      <c r="A395" s="30" t="s">
        <v>114</v>
      </c>
      <c r="B395" s="30">
        <v>2004</v>
      </c>
      <c r="C395" s="30" t="s">
        <v>108</v>
      </c>
      <c r="D395" s="30">
        <v>10</v>
      </c>
      <c r="E395" s="30">
        <v>162.80000000000001</v>
      </c>
      <c r="F395" s="30">
        <v>2.2999999999999998</v>
      </c>
    </row>
    <row r="396" spans="1:6" hidden="1" x14ac:dyDescent="0.25">
      <c r="A396" s="30" t="s">
        <v>114</v>
      </c>
      <c r="B396" s="30">
        <v>2004</v>
      </c>
      <c r="C396" s="30" t="s">
        <v>109</v>
      </c>
      <c r="D396" s="30">
        <v>11</v>
      </c>
      <c r="E396" s="30">
        <v>239.2</v>
      </c>
      <c r="F396" s="30">
        <v>0</v>
      </c>
    </row>
    <row r="397" spans="1:6" hidden="1" x14ac:dyDescent="0.25">
      <c r="A397" s="30" t="s">
        <v>114</v>
      </c>
      <c r="B397" s="30">
        <v>2004</v>
      </c>
      <c r="C397" s="30" t="s">
        <v>110</v>
      </c>
      <c r="D397" s="30">
        <v>12</v>
      </c>
      <c r="E397" s="30">
        <v>366.5</v>
      </c>
      <c r="F397" s="30">
        <v>0</v>
      </c>
    </row>
    <row r="398" spans="1:6" hidden="1" x14ac:dyDescent="0.25">
      <c r="A398" s="30" t="s">
        <v>115</v>
      </c>
      <c r="B398" s="30">
        <v>2004</v>
      </c>
      <c r="C398" s="30" t="s">
        <v>99</v>
      </c>
      <c r="D398" s="30">
        <v>1</v>
      </c>
      <c r="E398" s="30">
        <v>318.10000000000002</v>
      </c>
      <c r="F398" s="30">
        <v>0</v>
      </c>
    </row>
    <row r="399" spans="1:6" hidden="1" x14ac:dyDescent="0.25">
      <c r="A399" s="30" t="s">
        <v>115</v>
      </c>
      <c r="B399" s="30">
        <v>2004</v>
      </c>
      <c r="C399" s="30" t="s">
        <v>100</v>
      </c>
      <c r="D399" s="30">
        <v>2</v>
      </c>
      <c r="E399" s="30">
        <v>322.10000000000002</v>
      </c>
      <c r="F399" s="30">
        <v>0</v>
      </c>
    </row>
    <row r="400" spans="1:6" hidden="1" x14ac:dyDescent="0.25">
      <c r="A400" s="30" t="s">
        <v>115</v>
      </c>
      <c r="B400" s="30">
        <v>2004</v>
      </c>
      <c r="C400" s="30" t="s">
        <v>101</v>
      </c>
      <c r="D400" s="30">
        <v>3</v>
      </c>
      <c r="E400" s="30">
        <v>323.3</v>
      </c>
      <c r="F400" s="30">
        <v>0.2</v>
      </c>
    </row>
    <row r="401" spans="1:6" hidden="1" x14ac:dyDescent="0.25">
      <c r="A401" s="30" t="s">
        <v>115</v>
      </c>
      <c r="B401" s="30">
        <v>2004</v>
      </c>
      <c r="C401" s="30" t="s">
        <v>102</v>
      </c>
      <c r="D401" s="30">
        <v>4</v>
      </c>
      <c r="E401" s="30">
        <v>234.9</v>
      </c>
      <c r="F401" s="30">
        <v>1.6</v>
      </c>
    </row>
    <row r="402" spans="1:6" hidden="1" x14ac:dyDescent="0.25">
      <c r="A402" s="30" t="s">
        <v>115</v>
      </c>
      <c r="B402" s="30">
        <v>2004</v>
      </c>
      <c r="C402" s="30" t="s">
        <v>103</v>
      </c>
      <c r="D402" s="30">
        <v>5</v>
      </c>
      <c r="E402" s="30">
        <v>142.9</v>
      </c>
      <c r="F402" s="30">
        <v>17.7</v>
      </c>
    </row>
    <row r="403" spans="1:6" hidden="1" x14ac:dyDescent="0.25">
      <c r="A403" s="30" t="s">
        <v>115</v>
      </c>
      <c r="B403" s="30">
        <v>2004</v>
      </c>
      <c r="C403" s="30" t="s">
        <v>104</v>
      </c>
      <c r="D403" s="30">
        <v>6</v>
      </c>
      <c r="E403" s="30">
        <v>62.5</v>
      </c>
      <c r="F403" s="30">
        <v>37.299999999999997</v>
      </c>
    </row>
    <row r="404" spans="1:6" hidden="1" x14ac:dyDescent="0.25">
      <c r="A404" s="30" t="s">
        <v>115</v>
      </c>
      <c r="B404" s="30">
        <v>2004</v>
      </c>
      <c r="C404" s="30" t="s">
        <v>105</v>
      </c>
      <c r="D404" s="30">
        <v>7</v>
      </c>
      <c r="E404" s="30">
        <v>63</v>
      </c>
      <c r="F404" s="30">
        <v>31.2</v>
      </c>
    </row>
    <row r="405" spans="1:6" hidden="1" x14ac:dyDescent="0.25">
      <c r="A405" s="30" t="s">
        <v>115</v>
      </c>
      <c r="B405" s="30">
        <v>2004</v>
      </c>
      <c r="C405" s="30" t="s">
        <v>106</v>
      </c>
      <c r="D405" s="30">
        <v>8</v>
      </c>
      <c r="E405" s="30">
        <v>30.9</v>
      </c>
      <c r="F405" s="30">
        <v>44.1</v>
      </c>
    </row>
    <row r="406" spans="1:6" hidden="1" x14ac:dyDescent="0.25">
      <c r="A406" s="30" t="s">
        <v>115</v>
      </c>
      <c r="B406" s="30">
        <v>2004</v>
      </c>
      <c r="C406" s="30" t="s">
        <v>107</v>
      </c>
      <c r="D406" s="30">
        <v>9</v>
      </c>
      <c r="E406" s="30">
        <v>71.400000000000006</v>
      </c>
      <c r="F406" s="30">
        <v>38.4</v>
      </c>
    </row>
    <row r="407" spans="1:6" hidden="1" x14ac:dyDescent="0.25">
      <c r="A407" s="30" t="s">
        <v>115</v>
      </c>
      <c r="B407" s="30">
        <v>2004</v>
      </c>
      <c r="C407" s="30" t="s">
        <v>108</v>
      </c>
      <c r="D407" s="30">
        <v>10</v>
      </c>
      <c r="E407" s="30">
        <v>149.80000000000001</v>
      </c>
      <c r="F407" s="30">
        <v>1.5</v>
      </c>
    </row>
    <row r="408" spans="1:6" hidden="1" x14ac:dyDescent="0.25">
      <c r="A408" s="30" t="s">
        <v>115</v>
      </c>
      <c r="B408" s="30">
        <v>2004</v>
      </c>
      <c r="C408" s="30" t="s">
        <v>109</v>
      </c>
      <c r="D408" s="30">
        <v>11</v>
      </c>
      <c r="E408" s="30">
        <v>242.1</v>
      </c>
      <c r="F408" s="30">
        <v>0</v>
      </c>
    </row>
    <row r="409" spans="1:6" hidden="1" x14ac:dyDescent="0.25">
      <c r="A409" s="30" t="s">
        <v>115</v>
      </c>
      <c r="B409" s="30">
        <v>2004</v>
      </c>
      <c r="C409" s="30" t="s">
        <v>110</v>
      </c>
      <c r="D409" s="30">
        <v>12</v>
      </c>
      <c r="E409" s="30">
        <v>354.4</v>
      </c>
      <c r="F409" s="30">
        <v>0</v>
      </c>
    </row>
    <row r="410" spans="1:6" x14ac:dyDescent="0.25">
      <c r="A410" s="30" t="s">
        <v>116</v>
      </c>
      <c r="B410" s="30">
        <v>2004</v>
      </c>
      <c r="C410" s="30" t="s">
        <v>99</v>
      </c>
      <c r="D410" s="30">
        <v>1</v>
      </c>
      <c r="E410" s="30">
        <v>323.39999999999998</v>
      </c>
      <c r="F410" s="30">
        <v>0</v>
      </c>
    </row>
    <row r="411" spans="1:6" x14ac:dyDescent="0.25">
      <c r="A411" s="30" t="s">
        <v>116</v>
      </c>
      <c r="B411" s="30">
        <v>2004</v>
      </c>
      <c r="C411" s="30" t="s">
        <v>100</v>
      </c>
      <c r="D411" s="30">
        <v>2</v>
      </c>
      <c r="E411" s="30">
        <v>339.1</v>
      </c>
      <c r="F411" s="30">
        <v>0</v>
      </c>
    </row>
    <row r="412" spans="1:6" x14ac:dyDescent="0.25">
      <c r="A412" s="30" t="s">
        <v>116</v>
      </c>
      <c r="B412" s="30">
        <v>2004</v>
      </c>
      <c r="C412" s="30" t="s">
        <v>101</v>
      </c>
      <c r="D412" s="30">
        <v>3</v>
      </c>
      <c r="E412" s="30">
        <v>325.89999999999998</v>
      </c>
      <c r="F412" s="30">
        <v>0</v>
      </c>
    </row>
    <row r="413" spans="1:6" x14ac:dyDescent="0.25">
      <c r="A413" s="30" t="s">
        <v>116</v>
      </c>
      <c r="B413" s="30">
        <v>2004</v>
      </c>
      <c r="C413" s="30" t="s">
        <v>102</v>
      </c>
      <c r="D413" s="30">
        <v>4</v>
      </c>
      <c r="E413" s="30">
        <v>237.3</v>
      </c>
      <c r="F413" s="30">
        <v>1.5</v>
      </c>
    </row>
    <row r="414" spans="1:6" x14ac:dyDescent="0.25">
      <c r="A414" s="30" t="s">
        <v>116</v>
      </c>
      <c r="B414" s="30">
        <v>2004</v>
      </c>
      <c r="C414" s="30" t="s">
        <v>103</v>
      </c>
      <c r="D414" s="30">
        <v>5</v>
      </c>
      <c r="E414" s="30">
        <v>139.1</v>
      </c>
      <c r="F414" s="30">
        <v>18</v>
      </c>
    </row>
    <row r="415" spans="1:6" x14ac:dyDescent="0.25">
      <c r="A415" s="30" t="s">
        <v>116</v>
      </c>
      <c r="B415" s="30">
        <v>2004</v>
      </c>
      <c r="C415" s="30" t="s">
        <v>104</v>
      </c>
      <c r="D415" s="30">
        <v>6</v>
      </c>
      <c r="E415" s="30">
        <v>61.6</v>
      </c>
      <c r="F415" s="30">
        <v>39.6</v>
      </c>
    </row>
    <row r="416" spans="1:6" x14ac:dyDescent="0.25">
      <c r="A416" s="30" t="s">
        <v>116</v>
      </c>
      <c r="B416" s="30">
        <v>2004</v>
      </c>
      <c r="C416" s="30" t="s">
        <v>105</v>
      </c>
      <c r="D416" s="30">
        <v>7</v>
      </c>
      <c r="E416" s="30">
        <v>51.9</v>
      </c>
      <c r="F416" s="30">
        <v>38.299999999999997</v>
      </c>
    </row>
    <row r="417" spans="1:6" x14ac:dyDescent="0.25">
      <c r="A417" s="30" t="s">
        <v>116</v>
      </c>
      <c r="B417" s="30">
        <v>2004</v>
      </c>
      <c r="C417" s="30" t="s">
        <v>106</v>
      </c>
      <c r="D417" s="30">
        <v>8</v>
      </c>
      <c r="E417" s="30">
        <v>33.700000000000003</v>
      </c>
      <c r="F417" s="30">
        <v>54.4</v>
      </c>
    </row>
    <row r="418" spans="1:6" x14ac:dyDescent="0.25">
      <c r="A418" s="30" t="s">
        <v>116</v>
      </c>
      <c r="B418" s="30">
        <v>2004</v>
      </c>
      <c r="C418" s="30" t="s">
        <v>107</v>
      </c>
      <c r="D418" s="30">
        <v>9</v>
      </c>
      <c r="E418" s="30">
        <v>75</v>
      </c>
      <c r="F418" s="30">
        <v>46</v>
      </c>
    </row>
    <row r="419" spans="1:6" x14ac:dyDescent="0.25">
      <c r="A419" s="30" t="s">
        <v>116</v>
      </c>
      <c r="B419" s="30">
        <v>2004</v>
      </c>
      <c r="C419" s="30" t="s">
        <v>108</v>
      </c>
      <c r="D419" s="30">
        <v>10</v>
      </c>
      <c r="E419" s="30">
        <v>146</v>
      </c>
      <c r="F419" s="30">
        <v>1.2</v>
      </c>
    </row>
    <row r="420" spans="1:6" x14ac:dyDescent="0.25">
      <c r="A420" s="30" t="s">
        <v>116</v>
      </c>
      <c r="B420" s="30">
        <v>2004</v>
      </c>
      <c r="C420" s="30" t="s">
        <v>109</v>
      </c>
      <c r="D420" s="30">
        <v>11</v>
      </c>
      <c r="E420" s="30">
        <v>252.6</v>
      </c>
      <c r="F420" s="30">
        <v>0</v>
      </c>
    </row>
    <row r="421" spans="1:6" x14ac:dyDescent="0.25">
      <c r="A421" s="30" t="s">
        <v>116</v>
      </c>
      <c r="B421" s="30">
        <v>2004</v>
      </c>
      <c r="C421" s="30" t="s">
        <v>110</v>
      </c>
      <c r="D421" s="30">
        <v>12</v>
      </c>
      <c r="E421" s="30">
        <v>371.2</v>
      </c>
      <c r="F421" s="30">
        <v>0</v>
      </c>
    </row>
    <row r="422" spans="1:6" hidden="1" x14ac:dyDescent="0.25">
      <c r="A422" s="30" t="s">
        <v>98</v>
      </c>
      <c r="B422" s="30">
        <v>2005</v>
      </c>
      <c r="C422" s="30" t="s">
        <v>99</v>
      </c>
      <c r="D422" s="30">
        <v>1</v>
      </c>
      <c r="E422" s="30">
        <v>324.7</v>
      </c>
      <c r="F422" s="30">
        <v>0</v>
      </c>
    </row>
    <row r="423" spans="1:6" hidden="1" x14ac:dyDescent="0.25">
      <c r="A423" s="30" t="s">
        <v>98</v>
      </c>
      <c r="B423" s="30">
        <v>2005</v>
      </c>
      <c r="C423" s="30" t="s">
        <v>100</v>
      </c>
      <c r="D423" s="30">
        <v>2</v>
      </c>
      <c r="E423" s="30">
        <v>376</v>
      </c>
      <c r="F423" s="30">
        <v>0</v>
      </c>
    </row>
    <row r="424" spans="1:6" hidden="1" x14ac:dyDescent="0.25">
      <c r="A424" s="30" t="s">
        <v>98</v>
      </c>
      <c r="B424" s="30">
        <v>2005</v>
      </c>
      <c r="C424" s="30" t="s">
        <v>101</v>
      </c>
      <c r="D424" s="30">
        <v>3</v>
      </c>
      <c r="E424" s="30">
        <v>296.10000000000002</v>
      </c>
      <c r="F424" s="30">
        <v>1.7</v>
      </c>
    </row>
    <row r="425" spans="1:6" hidden="1" x14ac:dyDescent="0.25">
      <c r="A425" s="30" t="s">
        <v>98</v>
      </c>
      <c r="B425" s="30">
        <v>2005</v>
      </c>
      <c r="C425" s="30" t="s">
        <v>102</v>
      </c>
      <c r="D425" s="30">
        <v>4</v>
      </c>
      <c r="E425" s="30">
        <v>248.8</v>
      </c>
      <c r="F425" s="30">
        <v>1.5</v>
      </c>
    </row>
    <row r="426" spans="1:6" hidden="1" x14ac:dyDescent="0.25">
      <c r="A426" s="30" t="s">
        <v>98</v>
      </c>
      <c r="B426" s="30">
        <v>2005</v>
      </c>
      <c r="C426" s="30" t="s">
        <v>103</v>
      </c>
      <c r="D426" s="30">
        <v>5</v>
      </c>
      <c r="E426" s="30">
        <v>179</v>
      </c>
      <c r="F426" s="30">
        <v>9.1999999999999993</v>
      </c>
    </row>
    <row r="427" spans="1:6" hidden="1" x14ac:dyDescent="0.25">
      <c r="A427" s="30" t="s">
        <v>98</v>
      </c>
      <c r="B427" s="30">
        <v>2005</v>
      </c>
      <c r="C427" s="30" t="s">
        <v>104</v>
      </c>
      <c r="D427" s="30">
        <v>6</v>
      </c>
      <c r="E427" s="30">
        <v>78.400000000000006</v>
      </c>
      <c r="F427" s="30">
        <v>35.799999999999997</v>
      </c>
    </row>
    <row r="428" spans="1:6" hidden="1" x14ac:dyDescent="0.25">
      <c r="A428" s="30" t="s">
        <v>98</v>
      </c>
      <c r="B428" s="30">
        <v>2005</v>
      </c>
      <c r="C428" s="30" t="s">
        <v>105</v>
      </c>
      <c r="D428" s="30">
        <v>7</v>
      </c>
      <c r="E428" s="30">
        <v>50.3</v>
      </c>
      <c r="F428" s="30">
        <v>32.299999999999997</v>
      </c>
    </row>
    <row r="429" spans="1:6" hidden="1" x14ac:dyDescent="0.25">
      <c r="A429" s="30" t="s">
        <v>98</v>
      </c>
      <c r="B429" s="30">
        <v>2005</v>
      </c>
      <c r="C429" s="30" t="s">
        <v>106</v>
      </c>
      <c r="D429" s="30">
        <v>8</v>
      </c>
      <c r="E429" s="30">
        <v>70.400000000000006</v>
      </c>
      <c r="F429" s="30">
        <v>26.9</v>
      </c>
    </row>
    <row r="430" spans="1:6" hidden="1" x14ac:dyDescent="0.25">
      <c r="A430" s="30" t="s">
        <v>98</v>
      </c>
      <c r="B430" s="30">
        <v>2005</v>
      </c>
      <c r="C430" s="30" t="s">
        <v>107</v>
      </c>
      <c r="D430" s="30">
        <v>9</v>
      </c>
      <c r="E430" s="30">
        <v>78.5</v>
      </c>
      <c r="F430" s="30">
        <v>25.2</v>
      </c>
    </row>
    <row r="431" spans="1:6" hidden="1" x14ac:dyDescent="0.25">
      <c r="A431" s="30" t="s">
        <v>98</v>
      </c>
      <c r="B431" s="30">
        <v>2005</v>
      </c>
      <c r="C431" s="30" t="s">
        <v>108</v>
      </c>
      <c r="D431" s="30">
        <v>10</v>
      </c>
      <c r="E431" s="30">
        <v>107.2</v>
      </c>
      <c r="F431" s="30">
        <v>5.0999999999999996</v>
      </c>
    </row>
    <row r="432" spans="1:6" hidden="1" x14ac:dyDescent="0.25">
      <c r="A432" s="30" t="s">
        <v>98</v>
      </c>
      <c r="B432" s="30">
        <v>2005</v>
      </c>
      <c r="C432" s="30" t="s">
        <v>109</v>
      </c>
      <c r="D432" s="30">
        <v>11</v>
      </c>
      <c r="E432" s="30">
        <v>304</v>
      </c>
      <c r="F432" s="30">
        <v>0</v>
      </c>
    </row>
    <row r="433" spans="1:6" hidden="1" x14ac:dyDescent="0.25">
      <c r="A433" s="30" t="s">
        <v>98</v>
      </c>
      <c r="B433" s="30">
        <v>2005</v>
      </c>
      <c r="C433" s="30" t="s">
        <v>110</v>
      </c>
      <c r="D433" s="30">
        <v>12</v>
      </c>
      <c r="E433" s="30">
        <v>395.7</v>
      </c>
      <c r="F433" s="30">
        <v>0</v>
      </c>
    </row>
    <row r="434" spans="1:6" hidden="1" x14ac:dyDescent="0.25">
      <c r="A434" s="30" t="s">
        <v>111</v>
      </c>
      <c r="B434" s="30">
        <v>2005</v>
      </c>
      <c r="C434" s="30" t="s">
        <v>99</v>
      </c>
      <c r="D434" s="30">
        <v>1</v>
      </c>
      <c r="E434" s="30">
        <v>305.3</v>
      </c>
      <c r="F434" s="30">
        <v>0</v>
      </c>
    </row>
    <row r="435" spans="1:6" hidden="1" x14ac:dyDescent="0.25">
      <c r="A435" s="30" t="s">
        <v>111</v>
      </c>
      <c r="B435" s="30">
        <v>2005</v>
      </c>
      <c r="C435" s="30" t="s">
        <v>100</v>
      </c>
      <c r="D435" s="30">
        <v>2</v>
      </c>
      <c r="E435" s="30">
        <v>354</v>
      </c>
      <c r="F435" s="30">
        <v>0</v>
      </c>
    </row>
    <row r="436" spans="1:6" hidden="1" x14ac:dyDescent="0.25">
      <c r="A436" s="30" t="s">
        <v>111</v>
      </c>
      <c r="B436" s="30">
        <v>2005</v>
      </c>
      <c r="C436" s="30" t="s">
        <v>101</v>
      </c>
      <c r="D436" s="30">
        <v>3</v>
      </c>
      <c r="E436" s="30">
        <v>280.89999999999998</v>
      </c>
      <c r="F436" s="30">
        <v>3.9</v>
      </c>
    </row>
    <row r="437" spans="1:6" hidden="1" x14ac:dyDescent="0.25">
      <c r="A437" s="30" t="s">
        <v>111</v>
      </c>
      <c r="B437" s="30">
        <v>2005</v>
      </c>
      <c r="C437" s="30" t="s">
        <v>102</v>
      </c>
      <c r="D437" s="30">
        <v>4</v>
      </c>
      <c r="E437" s="30">
        <v>238.1</v>
      </c>
      <c r="F437" s="30">
        <v>2.1</v>
      </c>
    </row>
    <row r="438" spans="1:6" hidden="1" x14ac:dyDescent="0.25">
      <c r="A438" s="30" t="s">
        <v>111</v>
      </c>
      <c r="B438" s="30">
        <v>2005</v>
      </c>
      <c r="C438" s="30" t="s">
        <v>103</v>
      </c>
      <c r="D438" s="30">
        <v>5</v>
      </c>
      <c r="E438" s="30">
        <v>177.4</v>
      </c>
      <c r="F438" s="30">
        <v>3.2</v>
      </c>
    </row>
    <row r="439" spans="1:6" hidden="1" x14ac:dyDescent="0.25">
      <c r="A439" s="30" t="s">
        <v>111</v>
      </c>
      <c r="B439" s="30">
        <v>2005</v>
      </c>
      <c r="C439" s="30" t="s">
        <v>104</v>
      </c>
      <c r="D439" s="30">
        <v>6</v>
      </c>
      <c r="E439" s="30">
        <v>74.5</v>
      </c>
      <c r="F439" s="30">
        <v>26.6</v>
      </c>
    </row>
    <row r="440" spans="1:6" hidden="1" x14ac:dyDescent="0.25">
      <c r="A440" s="30" t="s">
        <v>111</v>
      </c>
      <c r="B440" s="30">
        <v>2005</v>
      </c>
      <c r="C440" s="30" t="s">
        <v>105</v>
      </c>
      <c r="D440" s="30">
        <v>7</v>
      </c>
      <c r="E440" s="30">
        <v>49.8</v>
      </c>
      <c r="F440" s="30">
        <v>33.4</v>
      </c>
    </row>
    <row r="441" spans="1:6" hidden="1" x14ac:dyDescent="0.25">
      <c r="A441" s="30" t="s">
        <v>111</v>
      </c>
      <c r="B441" s="30">
        <v>2005</v>
      </c>
      <c r="C441" s="30" t="s">
        <v>106</v>
      </c>
      <c r="D441" s="30">
        <v>8</v>
      </c>
      <c r="E441" s="30">
        <v>66.599999999999994</v>
      </c>
      <c r="F441" s="30">
        <v>27.2</v>
      </c>
    </row>
    <row r="442" spans="1:6" hidden="1" x14ac:dyDescent="0.25">
      <c r="A442" s="30" t="s">
        <v>111</v>
      </c>
      <c r="B442" s="30">
        <v>2005</v>
      </c>
      <c r="C442" s="30" t="s">
        <v>107</v>
      </c>
      <c r="D442" s="30">
        <v>9</v>
      </c>
      <c r="E442" s="30">
        <v>83.9</v>
      </c>
      <c r="F442" s="30">
        <v>17.5</v>
      </c>
    </row>
    <row r="443" spans="1:6" hidden="1" x14ac:dyDescent="0.25">
      <c r="A443" s="30" t="s">
        <v>111</v>
      </c>
      <c r="B443" s="30">
        <v>2005</v>
      </c>
      <c r="C443" s="30" t="s">
        <v>108</v>
      </c>
      <c r="D443" s="30">
        <v>10</v>
      </c>
      <c r="E443" s="30">
        <v>110.5</v>
      </c>
      <c r="F443" s="30">
        <v>5.5</v>
      </c>
    </row>
    <row r="444" spans="1:6" hidden="1" x14ac:dyDescent="0.25">
      <c r="A444" s="30" t="s">
        <v>111</v>
      </c>
      <c r="B444" s="30">
        <v>2005</v>
      </c>
      <c r="C444" s="30" t="s">
        <v>109</v>
      </c>
      <c r="D444" s="30">
        <v>11</v>
      </c>
      <c r="E444" s="30">
        <v>283.2</v>
      </c>
      <c r="F444" s="30">
        <v>0</v>
      </c>
    </row>
    <row r="445" spans="1:6" hidden="1" x14ac:dyDescent="0.25">
      <c r="A445" s="30" t="s">
        <v>111</v>
      </c>
      <c r="B445" s="30">
        <v>2005</v>
      </c>
      <c r="C445" s="30" t="s">
        <v>110</v>
      </c>
      <c r="D445" s="30">
        <v>12</v>
      </c>
      <c r="E445" s="30">
        <v>360.8</v>
      </c>
      <c r="F445" s="30">
        <v>0</v>
      </c>
    </row>
    <row r="446" spans="1:6" hidden="1" x14ac:dyDescent="0.25">
      <c r="A446" s="30" t="s">
        <v>112</v>
      </c>
      <c r="B446" s="30">
        <v>2005</v>
      </c>
      <c r="C446" s="30" t="s">
        <v>99</v>
      </c>
      <c r="D446" s="30">
        <v>1</v>
      </c>
      <c r="E446" s="30">
        <v>303.89999999999998</v>
      </c>
      <c r="F446" s="30">
        <v>0</v>
      </c>
    </row>
    <row r="447" spans="1:6" hidden="1" x14ac:dyDescent="0.25">
      <c r="A447" s="30" t="s">
        <v>112</v>
      </c>
      <c r="B447" s="30">
        <v>2005</v>
      </c>
      <c r="C447" s="30" t="s">
        <v>100</v>
      </c>
      <c r="D447" s="30">
        <v>2</v>
      </c>
      <c r="E447" s="30">
        <v>354</v>
      </c>
      <c r="F447" s="30">
        <v>0</v>
      </c>
    </row>
    <row r="448" spans="1:6" hidden="1" x14ac:dyDescent="0.25">
      <c r="A448" s="30" t="s">
        <v>112</v>
      </c>
      <c r="B448" s="30">
        <v>2005</v>
      </c>
      <c r="C448" s="30" t="s">
        <v>101</v>
      </c>
      <c r="D448" s="30">
        <v>3</v>
      </c>
      <c r="E448" s="30">
        <v>282.39999999999998</v>
      </c>
      <c r="F448" s="30">
        <v>2.5</v>
      </c>
    </row>
    <row r="449" spans="1:6" hidden="1" x14ac:dyDescent="0.25">
      <c r="A449" s="30" t="s">
        <v>112</v>
      </c>
      <c r="B449" s="30">
        <v>2005</v>
      </c>
      <c r="C449" s="30" t="s">
        <v>102</v>
      </c>
      <c r="D449" s="30">
        <v>4</v>
      </c>
      <c r="E449" s="30">
        <v>235.5</v>
      </c>
      <c r="F449" s="30">
        <v>1.6</v>
      </c>
    </row>
    <row r="450" spans="1:6" hidden="1" x14ac:dyDescent="0.25">
      <c r="A450" s="30" t="s">
        <v>112</v>
      </c>
      <c r="B450" s="30">
        <v>2005</v>
      </c>
      <c r="C450" s="30" t="s">
        <v>103</v>
      </c>
      <c r="D450" s="30">
        <v>5</v>
      </c>
      <c r="E450" s="30">
        <v>162</v>
      </c>
      <c r="F450" s="30">
        <v>4.5999999999999996</v>
      </c>
    </row>
    <row r="451" spans="1:6" hidden="1" x14ac:dyDescent="0.25">
      <c r="A451" s="30" t="s">
        <v>112</v>
      </c>
      <c r="B451" s="30">
        <v>2005</v>
      </c>
      <c r="C451" s="30" t="s">
        <v>104</v>
      </c>
      <c r="D451" s="30">
        <v>6</v>
      </c>
      <c r="E451" s="30">
        <v>59</v>
      </c>
      <c r="F451" s="30">
        <v>51</v>
      </c>
    </row>
    <row r="452" spans="1:6" hidden="1" x14ac:dyDescent="0.25">
      <c r="A452" s="30" t="s">
        <v>112</v>
      </c>
      <c r="B452" s="30">
        <v>2005</v>
      </c>
      <c r="C452" s="30" t="s">
        <v>105</v>
      </c>
      <c r="D452" s="30">
        <v>7</v>
      </c>
      <c r="E452" s="30">
        <v>38.1</v>
      </c>
      <c r="F452" s="30">
        <v>55.2</v>
      </c>
    </row>
    <row r="453" spans="1:6" hidden="1" x14ac:dyDescent="0.25">
      <c r="A453" s="30" t="s">
        <v>112</v>
      </c>
      <c r="B453" s="30">
        <v>2005</v>
      </c>
      <c r="C453" s="30" t="s">
        <v>106</v>
      </c>
      <c r="D453" s="30">
        <v>8</v>
      </c>
      <c r="E453" s="30">
        <v>54.9</v>
      </c>
      <c r="F453" s="30">
        <v>43.1</v>
      </c>
    </row>
    <row r="454" spans="1:6" hidden="1" x14ac:dyDescent="0.25">
      <c r="A454" s="30" t="s">
        <v>112</v>
      </c>
      <c r="B454" s="30">
        <v>2005</v>
      </c>
      <c r="C454" s="30" t="s">
        <v>107</v>
      </c>
      <c r="D454" s="30">
        <v>9</v>
      </c>
      <c r="E454" s="30">
        <v>75.3</v>
      </c>
      <c r="F454" s="30">
        <v>21.1</v>
      </c>
    </row>
    <row r="455" spans="1:6" hidden="1" x14ac:dyDescent="0.25">
      <c r="A455" s="30" t="s">
        <v>112</v>
      </c>
      <c r="B455" s="30">
        <v>2005</v>
      </c>
      <c r="C455" s="30" t="s">
        <v>108</v>
      </c>
      <c r="D455" s="30">
        <v>10</v>
      </c>
      <c r="E455" s="30">
        <v>103.7</v>
      </c>
      <c r="F455" s="30">
        <v>3.8</v>
      </c>
    </row>
    <row r="456" spans="1:6" hidden="1" x14ac:dyDescent="0.25">
      <c r="A456" s="30" t="s">
        <v>112</v>
      </c>
      <c r="B456" s="30">
        <v>2005</v>
      </c>
      <c r="C456" s="30" t="s">
        <v>109</v>
      </c>
      <c r="D456" s="30">
        <v>11</v>
      </c>
      <c r="E456" s="30">
        <v>272.7</v>
      </c>
      <c r="F456" s="30">
        <v>0</v>
      </c>
    </row>
    <row r="457" spans="1:6" hidden="1" x14ac:dyDescent="0.25">
      <c r="A457" s="30" t="s">
        <v>112</v>
      </c>
      <c r="B457" s="30">
        <v>2005</v>
      </c>
      <c r="C457" s="30" t="s">
        <v>110</v>
      </c>
      <c r="D457" s="30">
        <v>12</v>
      </c>
      <c r="E457" s="30">
        <v>366.4</v>
      </c>
      <c r="F457" s="30">
        <v>0</v>
      </c>
    </row>
    <row r="458" spans="1:6" hidden="1" x14ac:dyDescent="0.25">
      <c r="A458" s="30" t="s">
        <v>113</v>
      </c>
      <c r="B458" s="30">
        <v>2005</v>
      </c>
      <c r="C458" s="30" t="s">
        <v>99</v>
      </c>
      <c r="D458" s="30">
        <v>1</v>
      </c>
      <c r="E458" s="30">
        <v>334.8</v>
      </c>
      <c r="F458" s="30">
        <v>0</v>
      </c>
    </row>
    <row r="459" spans="1:6" hidden="1" x14ac:dyDescent="0.25">
      <c r="A459" s="30" t="s">
        <v>113</v>
      </c>
      <c r="B459" s="30">
        <v>2005</v>
      </c>
      <c r="C459" s="30" t="s">
        <v>100</v>
      </c>
      <c r="D459" s="30">
        <v>2</v>
      </c>
      <c r="E459" s="30">
        <v>369.8</v>
      </c>
      <c r="F459" s="30">
        <v>0</v>
      </c>
    </row>
    <row r="460" spans="1:6" hidden="1" x14ac:dyDescent="0.25">
      <c r="A460" s="30" t="s">
        <v>113</v>
      </c>
      <c r="B460" s="30">
        <v>2005</v>
      </c>
      <c r="C460" s="30" t="s">
        <v>101</v>
      </c>
      <c r="D460" s="30">
        <v>3</v>
      </c>
      <c r="E460" s="30">
        <v>292.60000000000002</v>
      </c>
      <c r="F460" s="30">
        <v>2.9</v>
      </c>
    </row>
    <row r="461" spans="1:6" hidden="1" x14ac:dyDescent="0.25">
      <c r="A461" s="30" t="s">
        <v>113</v>
      </c>
      <c r="B461" s="30">
        <v>2005</v>
      </c>
      <c r="C461" s="30" t="s">
        <v>102</v>
      </c>
      <c r="D461" s="30">
        <v>4</v>
      </c>
      <c r="E461" s="30">
        <v>227</v>
      </c>
      <c r="F461" s="30">
        <v>3.9</v>
      </c>
    </row>
    <row r="462" spans="1:6" hidden="1" x14ac:dyDescent="0.25">
      <c r="A462" s="30" t="s">
        <v>113</v>
      </c>
      <c r="B462" s="30">
        <v>2005</v>
      </c>
      <c r="C462" s="30" t="s">
        <v>103</v>
      </c>
      <c r="D462" s="30">
        <v>5</v>
      </c>
      <c r="E462" s="30">
        <v>144.30000000000001</v>
      </c>
      <c r="F462" s="30">
        <v>16.2</v>
      </c>
    </row>
    <row r="463" spans="1:6" hidden="1" x14ac:dyDescent="0.25">
      <c r="A463" s="30" t="s">
        <v>113</v>
      </c>
      <c r="B463" s="30">
        <v>2005</v>
      </c>
      <c r="C463" s="30" t="s">
        <v>104</v>
      </c>
      <c r="D463" s="30">
        <v>6</v>
      </c>
      <c r="E463" s="30">
        <v>56.2</v>
      </c>
      <c r="F463" s="30">
        <v>85.1</v>
      </c>
    </row>
    <row r="464" spans="1:6" hidden="1" x14ac:dyDescent="0.25">
      <c r="A464" s="30" t="s">
        <v>113</v>
      </c>
      <c r="B464" s="30">
        <v>2005</v>
      </c>
      <c r="C464" s="30" t="s">
        <v>105</v>
      </c>
      <c r="D464" s="30">
        <v>7</v>
      </c>
      <c r="E464" s="30">
        <v>34.4</v>
      </c>
      <c r="F464" s="30">
        <v>87.3</v>
      </c>
    </row>
    <row r="465" spans="1:6" hidden="1" x14ac:dyDescent="0.25">
      <c r="A465" s="30" t="s">
        <v>113</v>
      </c>
      <c r="B465" s="30">
        <v>2005</v>
      </c>
      <c r="C465" s="30" t="s">
        <v>106</v>
      </c>
      <c r="D465" s="30">
        <v>8</v>
      </c>
      <c r="E465" s="30">
        <v>58.4</v>
      </c>
      <c r="F465" s="30">
        <v>70.400000000000006</v>
      </c>
    </row>
    <row r="466" spans="1:6" hidden="1" x14ac:dyDescent="0.25">
      <c r="A466" s="30" t="s">
        <v>113</v>
      </c>
      <c r="B466" s="30">
        <v>2005</v>
      </c>
      <c r="C466" s="30" t="s">
        <v>107</v>
      </c>
      <c r="D466" s="30">
        <v>9</v>
      </c>
      <c r="E466" s="30">
        <v>71</v>
      </c>
      <c r="F466" s="30">
        <v>52.5</v>
      </c>
    </row>
    <row r="467" spans="1:6" hidden="1" x14ac:dyDescent="0.25">
      <c r="A467" s="30" t="s">
        <v>113</v>
      </c>
      <c r="B467" s="30">
        <v>2005</v>
      </c>
      <c r="C467" s="30" t="s">
        <v>108</v>
      </c>
      <c r="D467" s="30">
        <v>10</v>
      </c>
      <c r="E467" s="30">
        <v>87.9</v>
      </c>
      <c r="F467" s="30">
        <v>16.8</v>
      </c>
    </row>
    <row r="468" spans="1:6" hidden="1" x14ac:dyDescent="0.25">
      <c r="A468" s="30" t="s">
        <v>113</v>
      </c>
      <c r="B468" s="30">
        <v>2005</v>
      </c>
      <c r="C468" s="30" t="s">
        <v>109</v>
      </c>
      <c r="D468" s="30">
        <v>11</v>
      </c>
      <c r="E468" s="30">
        <v>308.3</v>
      </c>
      <c r="F468" s="30">
        <v>0</v>
      </c>
    </row>
    <row r="469" spans="1:6" hidden="1" x14ac:dyDescent="0.25">
      <c r="A469" s="30" t="s">
        <v>113</v>
      </c>
      <c r="B469" s="30">
        <v>2005</v>
      </c>
      <c r="C469" s="30" t="s">
        <v>110</v>
      </c>
      <c r="D469" s="30">
        <v>12</v>
      </c>
      <c r="E469" s="30">
        <v>419.3</v>
      </c>
      <c r="F469" s="30">
        <v>0</v>
      </c>
    </row>
    <row r="470" spans="1:6" hidden="1" x14ac:dyDescent="0.25">
      <c r="A470" s="30" t="s">
        <v>114</v>
      </c>
      <c r="B470" s="30">
        <v>2005</v>
      </c>
      <c r="C470" s="30" t="s">
        <v>99</v>
      </c>
      <c r="D470" s="30">
        <v>1</v>
      </c>
      <c r="E470" s="30">
        <v>315.89999999999998</v>
      </c>
      <c r="F470" s="30">
        <v>0</v>
      </c>
    </row>
    <row r="471" spans="1:6" hidden="1" x14ac:dyDescent="0.25">
      <c r="A471" s="30" t="s">
        <v>114</v>
      </c>
      <c r="B471" s="30">
        <v>2005</v>
      </c>
      <c r="C471" s="30" t="s">
        <v>100</v>
      </c>
      <c r="D471" s="30">
        <v>2</v>
      </c>
      <c r="E471" s="30">
        <v>361.1</v>
      </c>
      <c r="F471" s="30">
        <v>0</v>
      </c>
    </row>
    <row r="472" spans="1:6" hidden="1" x14ac:dyDescent="0.25">
      <c r="A472" s="30" t="s">
        <v>114</v>
      </c>
      <c r="B472" s="30">
        <v>2005</v>
      </c>
      <c r="C472" s="30" t="s">
        <v>101</v>
      </c>
      <c r="D472" s="30">
        <v>3</v>
      </c>
      <c r="E472" s="30">
        <v>280.89999999999998</v>
      </c>
      <c r="F472" s="30">
        <v>2.6</v>
      </c>
    </row>
    <row r="473" spans="1:6" hidden="1" x14ac:dyDescent="0.25">
      <c r="A473" s="30" t="s">
        <v>114</v>
      </c>
      <c r="B473" s="30">
        <v>2005</v>
      </c>
      <c r="C473" s="30" t="s">
        <v>102</v>
      </c>
      <c r="D473" s="30">
        <v>4</v>
      </c>
      <c r="E473" s="30">
        <v>226.7</v>
      </c>
      <c r="F473" s="30">
        <v>3.8</v>
      </c>
    </row>
    <row r="474" spans="1:6" hidden="1" x14ac:dyDescent="0.25">
      <c r="A474" s="30" t="s">
        <v>114</v>
      </c>
      <c r="B474" s="30">
        <v>2005</v>
      </c>
      <c r="C474" s="30" t="s">
        <v>103</v>
      </c>
      <c r="D474" s="30">
        <v>5</v>
      </c>
      <c r="E474" s="30">
        <v>159.6</v>
      </c>
      <c r="F474" s="30">
        <v>10.9</v>
      </c>
    </row>
    <row r="475" spans="1:6" hidden="1" x14ac:dyDescent="0.25">
      <c r="A475" s="30" t="s">
        <v>114</v>
      </c>
      <c r="B475" s="30">
        <v>2005</v>
      </c>
      <c r="C475" s="30" t="s">
        <v>104</v>
      </c>
      <c r="D475" s="30">
        <v>6</v>
      </c>
      <c r="E475" s="30">
        <v>71.3</v>
      </c>
      <c r="F475" s="30">
        <v>48.1</v>
      </c>
    </row>
    <row r="476" spans="1:6" hidden="1" x14ac:dyDescent="0.25">
      <c r="A476" s="30" t="s">
        <v>114</v>
      </c>
      <c r="B476" s="30">
        <v>2005</v>
      </c>
      <c r="C476" s="30" t="s">
        <v>105</v>
      </c>
      <c r="D476" s="30">
        <v>7</v>
      </c>
      <c r="E476" s="30">
        <v>36.9</v>
      </c>
      <c r="F476" s="30">
        <v>45.5</v>
      </c>
    </row>
    <row r="477" spans="1:6" hidden="1" x14ac:dyDescent="0.25">
      <c r="A477" s="30" t="s">
        <v>114</v>
      </c>
      <c r="B477" s="30">
        <v>2005</v>
      </c>
      <c r="C477" s="30" t="s">
        <v>106</v>
      </c>
      <c r="D477" s="30">
        <v>8</v>
      </c>
      <c r="E477" s="30">
        <v>57.9</v>
      </c>
      <c r="F477" s="30">
        <v>34</v>
      </c>
    </row>
    <row r="478" spans="1:6" hidden="1" x14ac:dyDescent="0.25">
      <c r="A478" s="30" t="s">
        <v>114</v>
      </c>
      <c r="B478" s="30">
        <v>2005</v>
      </c>
      <c r="C478" s="30" t="s">
        <v>107</v>
      </c>
      <c r="D478" s="30">
        <v>9</v>
      </c>
      <c r="E478" s="30">
        <v>67.2</v>
      </c>
      <c r="F478" s="30">
        <v>36.799999999999997</v>
      </c>
    </row>
    <row r="479" spans="1:6" hidden="1" x14ac:dyDescent="0.25">
      <c r="A479" s="30" t="s">
        <v>114</v>
      </c>
      <c r="B479" s="30">
        <v>2005</v>
      </c>
      <c r="C479" s="30" t="s">
        <v>108</v>
      </c>
      <c r="D479" s="30">
        <v>10</v>
      </c>
      <c r="E479" s="30">
        <v>89</v>
      </c>
      <c r="F479" s="30">
        <v>11.6</v>
      </c>
    </row>
    <row r="480" spans="1:6" hidden="1" x14ac:dyDescent="0.25">
      <c r="A480" s="30" t="s">
        <v>114</v>
      </c>
      <c r="B480" s="30">
        <v>2005</v>
      </c>
      <c r="C480" s="30" t="s">
        <v>109</v>
      </c>
      <c r="D480" s="30">
        <v>11</v>
      </c>
      <c r="E480" s="30">
        <v>288.3</v>
      </c>
      <c r="F480" s="30">
        <v>0</v>
      </c>
    </row>
    <row r="481" spans="1:6" hidden="1" x14ac:dyDescent="0.25">
      <c r="A481" s="30" t="s">
        <v>114</v>
      </c>
      <c r="B481" s="30">
        <v>2005</v>
      </c>
      <c r="C481" s="30" t="s">
        <v>110</v>
      </c>
      <c r="D481" s="30">
        <v>12</v>
      </c>
      <c r="E481" s="30">
        <v>399.3</v>
      </c>
      <c r="F481" s="30">
        <v>0</v>
      </c>
    </row>
    <row r="482" spans="1:6" hidden="1" x14ac:dyDescent="0.25">
      <c r="A482" s="30" t="s">
        <v>115</v>
      </c>
      <c r="B482" s="30">
        <v>2005</v>
      </c>
      <c r="C482" s="30" t="s">
        <v>99</v>
      </c>
      <c r="D482" s="30">
        <v>1</v>
      </c>
      <c r="E482" s="30">
        <v>312</v>
      </c>
      <c r="F482" s="30">
        <v>0</v>
      </c>
    </row>
    <row r="483" spans="1:6" hidden="1" x14ac:dyDescent="0.25">
      <c r="A483" s="30" t="s">
        <v>115</v>
      </c>
      <c r="B483" s="30">
        <v>2005</v>
      </c>
      <c r="C483" s="30" t="s">
        <v>100</v>
      </c>
      <c r="D483" s="30">
        <v>2</v>
      </c>
      <c r="E483" s="30">
        <v>357.2</v>
      </c>
      <c r="F483" s="30">
        <v>0</v>
      </c>
    </row>
    <row r="484" spans="1:6" hidden="1" x14ac:dyDescent="0.25">
      <c r="A484" s="30" t="s">
        <v>115</v>
      </c>
      <c r="B484" s="30">
        <v>2005</v>
      </c>
      <c r="C484" s="30" t="s">
        <v>101</v>
      </c>
      <c r="D484" s="30">
        <v>3</v>
      </c>
      <c r="E484" s="30">
        <v>291.10000000000002</v>
      </c>
      <c r="F484" s="30">
        <v>2.2000000000000002</v>
      </c>
    </row>
    <row r="485" spans="1:6" hidden="1" x14ac:dyDescent="0.25">
      <c r="A485" s="30" t="s">
        <v>115</v>
      </c>
      <c r="B485" s="30">
        <v>2005</v>
      </c>
      <c r="C485" s="30" t="s">
        <v>102</v>
      </c>
      <c r="D485" s="30">
        <v>4</v>
      </c>
      <c r="E485" s="30">
        <v>227.7</v>
      </c>
      <c r="F485" s="30">
        <v>1.8</v>
      </c>
    </row>
    <row r="486" spans="1:6" hidden="1" x14ac:dyDescent="0.25">
      <c r="A486" s="30" t="s">
        <v>115</v>
      </c>
      <c r="B486" s="30">
        <v>2005</v>
      </c>
      <c r="C486" s="30" t="s">
        <v>103</v>
      </c>
      <c r="D486" s="30">
        <v>5</v>
      </c>
      <c r="E486" s="30">
        <v>151.19999999999999</v>
      </c>
      <c r="F486" s="30">
        <v>5.5</v>
      </c>
    </row>
    <row r="487" spans="1:6" hidden="1" x14ac:dyDescent="0.25">
      <c r="A487" s="30" t="s">
        <v>115</v>
      </c>
      <c r="B487" s="30">
        <v>2005</v>
      </c>
      <c r="C487" s="30" t="s">
        <v>104</v>
      </c>
      <c r="D487" s="30">
        <v>6</v>
      </c>
      <c r="E487" s="30">
        <v>55.4</v>
      </c>
      <c r="F487" s="30">
        <v>61.8</v>
      </c>
    </row>
    <row r="488" spans="1:6" hidden="1" x14ac:dyDescent="0.25">
      <c r="A488" s="30" t="s">
        <v>115</v>
      </c>
      <c r="B488" s="30">
        <v>2005</v>
      </c>
      <c r="C488" s="30" t="s">
        <v>105</v>
      </c>
      <c r="D488" s="30">
        <v>7</v>
      </c>
      <c r="E488" s="30">
        <v>36.700000000000003</v>
      </c>
      <c r="F488" s="30">
        <v>64.5</v>
      </c>
    </row>
    <row r="489" spans="1:6" hidden="1" x14ac:dyDescent="0.25">
      <c r="A489" s="30" t="s">
        <v>115</v>
      </c>
      <c r="B489" s="30">
        <v>2005</v>
      </c>
      <c r="C489" s="30" t="s">
        <v>106</v>
      </c>
      <c r="D489" s="30">
        <v>8</v>
      </c>
      <c r="E489" s="30">
        <v>61.4</v>
      </c>
      <c r="F489" s="30">
        <v>50.5</v>
      </c>
    </row>
    <row r="490" spans="1:6" hidden="1" x14ac:dyDescent="0.25">
      <c r="A490" s="30" t="s">
        <v>115</v>
      </c>
      <c r="B490" s="30">
        <v>2005</v>
      </c>
      <c r="C490" s="30" t="s">
        <v>107</v>
      </c>
      <c r="D490" s="30">
        <v>9</v>
      </c>
      <c r="E490" s="30">
        <v>73.099999999999994</v>
      </c>
      <c r="F490" s="30">
        <v>28.9</v>
      </c>
    </row>
    <row r="491" spans="1:6" hidden="1" x14ac:dyDescent="0.25">
      <c r="A491" s="30" t="s">
        <v>115</v>
      </c>
      <c r="B491" s="30">
        <v>2005</v>
      </c>
      <c r="C491" s="30" t="s">
        <v>108</v>
      </c>
      <c r="D491" s="30">
        <v>10</v>
      </c>
      <c r="E491" s="30">
        <v>94.3</v>
      </c>
      <c r="F491" s="30">
        <v>5</v>
      </c>
    </row>
    <row r="492" spans="1:6" hidden="1" x14ac:dyDescent="0.25">
      <c r="A492" s="30" t="s">
        <v>115</v>
      </c>
      <c r="B492" s="30">
        <v>2005</v>
      </c>
      <c r="C492" s="30" t="s">
        <v>109</v>
      </c>
      <c r="D492" s="30">
        <v>11</v>
      </c>
      <c r="E492" s="30">
        <v>281</v>
      </c>
      <c r="F492" s="30">
        <v>0</v>
      </c>
    </row>
    <row r="493" spans="1:6" hidden="1" x14ac:dyDescent="0.25">
      <c r="A493" s="30" t="s">
        <v>115</v>
      </c>
      <c r="B493" s="30">
        <v>2005</v>
      </c>
      <c r="C493" s="30" t="s">
        <v>110</v>
      </c>
      <c r="D493" s="30">
        <v>12</v>
      </c>
      <c r="E493" s="30">
        <v>379.3</v>
      </c>
      <c r="F493" s="30">
        <v>0</v>
      </c>
    </row>
    <row r="494" spans="1:6" x14ac:dyDescent="0.25">
      <c r="A494" s="30" t="s">
        <v>116</v>
      </c>
      <c r="B494" s="30">
        <v>2005</v>
      </c>
      <c r="C494" s="30" t="s">
        <v>99</v>
      </c>
      <c r="D494" s="30">
        <v>1</v>
      </c>
      <c r="E494" s="30">
        <v>320</v>
      </c>
      <c r="F494" s="30">
        <v>0</v>
      </c>
    </row>
    <row r="495" spans="1:6" x14ac:dyDescent="0.25">
      <c r="A495" s="30" t="s">
        <v>116</v>
      </c>
      <c r="B495" s="30">
        <v>2005</v>
      </c>
      <c r="C495" s="30" t="s">
        <v>100</v>
      </c>
      <c r="D495" s="30">
        <v>2</v>
      </c>
      <c r="E495" s="30">
        <v>376.8</v>
      </c>
      <c r="F495" s="30">
        <v>0</v>
      </c>
    </row>
    <row r="496" spans="1:6" x14ac:dyDescent="0.25">
      <c r="A496" s="30" t="s">
        <v>116</v>
      </c>
      <c r="B496" s="30">
        <v>2005</v>
      </c>
      <c r="C496" s="30" t="s">
        <v>101</v>
      </c>
      <c r="D496" s="30">
        <v>3</v>
      </c>
      <c r="E496" s="30">
        <v>285.89999999999998</v>
      </c>
      <c r="F496" s="30">
        <v>3.5</v>
      </c>
    </row>
    <row r="497" spans="1:6" x14ac:dyDescent="0.25">
      <c r="A497" s="30" t="s">
        <v>116</v>
      </c>
      <c r="B497" s="30">
        <v>2005</v>
      </c>
      <c r="C497" s="30" t="s">
        <v>102</v>
      </c>
      <c r="D497" s="30">
        <v>4</v>
      </c>
      <c r="E497" s="30">
        <v>218.4</v>
      </c>
      <c r="F497" s="30">
        <v>2.7</v>
      </c>
    </row>
    <row r="498" spans="1:6" x14ac:dyDescent="0.25">
      <c r="A498" s="30" t="s">
        <v>116</v>
      </c>
      <c r="B498" s="30">
        <v>2005</v>
      </c>
      <c r="C498" s="30" t="s">
        <v>103</v>
      </c>
      <c r="D498" s="30">
        <v>5</v>
      </c>
      <c r="E498" s="30">
        <v>138</v>
      </c>
      <c r="F498" s="30">
        <v>9.5</v>
      </c>
    </row>
    <row r="499" spans="1:6" x14ac:dyDescent="0.25">
      <c r="A499" s="30" t="s">
        <v>116</v>
      </c>
      <c r="B499" s="30">
        <v>2005</v>
      </c>
      <c r="C499" s="30" t="s">
        <v>104</v>
      </c>
      <c r="D499" s="30">
        <v>6</v>
      </c>
      <c r="E499" s="30">
        <v>48.1</v>
      </c>
      <c r="F499" s="30">
        <v>80.2</v>
      </c>
    </row>
    <row r="500" spans="1:6" x14ac:dyDescent="0.25">
      <c r="A500" s="30" t="s">
        <v>116</v>
      </c>
      <c r="B500" s="30">
        <v>2005</v>
      </c>
      <c r="C500" s="30" t="s">
        <v>105</v>
      </c>
      <c r="D500" s="30">
        <v>7</v>
      </c>
      <c r="E500" s="30">
        <v>30</v>
      </c>
      <c r="F500" s="30">
        <v>84.6</v>
      </c>
    </row>
    <row r="501" spans="1:6" x14ac:dyDescent="0.25">
      <c r="A501" s="30" t="s">
        <v>116</v>
      </c>
      <c r="B501" s="30">
        <v>2005</v>
      </c>
      <c r="C501" s="30" t="s">
        <v>106</v>
      </c>
      <c r="D501" s="30">
        <v>8</v>
      </c>
      <c r="E501" s="30">
        <v>55.6</v>
      </c>
      <c r="F501" s="30">
        <v>65.2</v>
      </c>
    </row>
    <row r="502" spans="1:6" x14ac:dyDescent="0.25">
      <c r="A502" s="30" t="s">
        <v>116</v>
      </c>
      <c r="B502" s="30">
        <v>2005</v>
      </c>
      <c r="C502" s="30" t="s">
        <v>107</v>
      </c>
      <c r="D502" s="30">
        <v>9</v>
      </c>
      <c r="E502" s="30">
        <v>71.3</v>
      </c>
      <c r="F502" s="30">
        <v>39.9</v>
      </c>
    </row>
    <row r="503" spans="1:6" x14ac:dyDescent="0.25">
      <c r="A503" s="30" t="s">
        <v>116</v>
      </c>
      <c r="B503" s="30">
        <v>2005</v>
      </c>
      <c r="C503" s="30" t="s">
        <v>108</v>
      </c>
      <c r="D503" s="30">
        <v>10</v>
      </c>
      <c r="E503" s="30">
        <v>84.6</v>
      </c>
      <c r="F503" s="30">
        <v>10</v>
      </c>
    </row>
    <row r="504" spans="1:6" x14ac:dyDescent="0.25">
      <c r="A504" s="30" t="s">
        <v>116</v>
      </c>
      <c r="B504" s="30">
        <v>2005</v>
      </c>
      <c r="C504" s="30" t="s">
        <v>109</v>
      </c>
      <c r="D504" s="30">
        <v>11</v>
      </c>
      <c r="E504" s="30">
        <v>290.39999999999998</v>
      </c>
      <c r="F504" s="30">
        <v>0</v>
      </c>
    </row>
    <row r="505" spans="1:6" x14ac:dyDescent="0.25">
      <c r="A505" s="30" t="s">
        <v>116</v>
      </c>
      <c r="B505" s="30">
        <v>2005</v>
      </c>
      <c r="C505" s="30" t="s">
        <v>110</v>
      </c>
      <c r="D505" s="30">
        <v>12</v>
      </c>
      <c r="E505" s="30">
        <v>397.6</v>
      </c>
      <c r="F505" s="30">
        <v>0</v>
      </c>
    </row>
    <row r="506" spans="1:6" hidden="1" x14ac:dyDescent="0.25">
      <c r="A506" s="30" t="s">
        <v>98</v>
      </c>
      <c r="B506" s="30">
        <v>2006</v>
      </c>
      <c r="C506" s="30" t="s">
        <v>99</v>
      </c>
      <c r="D506" s="30">
        <v>1</v>
      </c>
      <c r="E506" s="30">
        <v>417.5</v>
      </c>
      <c r="F506" s="30">
        <v>0</v>
      </c>
    </row>
    <row r="507" spans="1:6" hidden="1" x14ac:dyDescent="0.25">
      <c r="A507" s="30" t="s">
        <v>98</v>
      </c>
      <c r="B507" s="30">
        <v>2006</v>
      </c>
      <c r="C507" s="30" t="s">
        <v>100</v>
      </c>
      <c r="D507" s="30">
        <v>2</v>
      </c>
      <c r="E507" s="30">
        <v>378</v>
      </c>
      <c r="F507" s="30">
        <v>0</v>
      </c>
    </row>
    <row r="508" spans="1:6" hidden="1" x14ac:dyDescent="0.25">
      <c r="A508" s="30" t="s">
        <v>98</v>
      </c>
      <c r="B508" s="30">
        <v>2006</v>
      </c>
      <c r="C508" s="30" t="s">
        <v>101</v>
      </c>
      <c r="D508" s="30">
        <v>3</v>
      </c>
      <c r="E508" s="30">
        <v>346.8</v>
      </c>
      <c r="F508" s="30">
        <v>0</v>
      </c>
    </row>
    <row r="509" spans="1:6" hidden="1" x14ac:dyDescent="0.25">
      <c r="A509" s="30" t="s">
        <v>98</v>
      </c>
      <c r="B509" s="30">
        <v>2006</v>
      </c>
      <c r="C509" s="30" t="s">
        <v>102</v>
      </c>
      <c r="D509" s="30">
        <v>4</v>
      </c>
      <c r="E509" s="30">
        <v>261.7</v>
      </c>
      <c r="F509" s="30">
        <v>0</v>
      </c>
    </row>
    <row r="510" spans="1:6" hidden="1" x14ac:dyDescent="0.25">
      <c r="A510" s="30" t="s">
        <v>98</v>
      </c>
      <c r="B510" s="30">
        <v>2006</v>
      </c>
      <c r="C510" s="30" t="s">
        <v>103</v>
      </c>
      <c r="D510" s="30">
        <v>5</v>
      </c>
      <c r="E510" s="30">
        <v>158</v>
      </c>
      <c r="F510" s="30">
        <v>5.3</v>
      </c>
    </row>
    <row r="511" spans="1:6" hidden="1" x14ac:dyDescent="0.25">
      <c r="A511" s="30" t="s">
        <v>98</v>
      </c>
      <c r="B511" s="30">
        <v>2006</v>
      </c>
      <c r="C511" s="30" t="s">
        <v>104</v>
      </c>
      <c r="D511" s="30">
        <v>6</v>
      </c>
      <c r="E511" s="30">
        <v>85.4</v>
      </c>
      <c r="F511" s="30">
        <v>21.6</v>
      </c>
    </row>
    <row r="512" spans="1:6" hidden="1" x14ac:dyDescent="0.25">
      <c r="A512" s="30" t="s">
        <v>98</v>
      </c>
      <c r="B512" s="30">
        <v>2006</v>
      </c>
      <c r="C512" s="30" t="s">
        <v>105</v>
      </c>
      <c r="D512" s="30">
        <v>7</v>
      </c>
      <c r="E512" s="30">
        <v>26.8</v>
      </c>
      <c r="F512" s="30">
        <v>66.900000000000006</v>
      </c>
    </row>
    <row r="513" spans="1:6" hidden="1" x14ac:dyDescent="0.25">
      <c r="A513" s="30" t="s">
        <v>98</v>
      </c>
      <c r="B513" s="30">
        <v>2006</v>
      </c>
      <c r="C513" s="30" t="s">
        <v>106</v>
      </c>
      <c r="D513" s="30">
        <v>8</v>
      </c>
      <c r="E513" s="30">
        <v>60.3</v>
      </c>
      <c r="F513" s="30">
        <v>20</v>
      </c>
    </row>
    <row r="514" spans="1:6" hidden="1" x14ac:dyDescent="0.25">
      <c r="A514" s="30" t="s">
        <v>98</v>
      </c>
      <c r="B514" s="30">
        <v>2006</v>
      </c>
      <c r="C514" s="30" t="s">
        <v>107</v>
      </c>
      <c r="D514" s="30">
        <v>9</v>
      </c>
      <c r="E514" s="30">
        <v>45.9</v>
      </c>
      <c r="F514" s="30">
        <v>39.799999999999997</v>
      </c>
    </row>
    <row r="515" spans="1:6" hidden="1" x14ac:dyDescent="0.25">
      <c r="A515" s="30" t="s">
        <v>98</v>
      </c>
      <c r="B515" s="30">
        <v>2006</v>
      </c>
      <c r="C515" s="30" t="s">
        <v>108</v>
      </c>
      <c r="D515" s="30">
        <v>10</v>
      </c>
      <c r="E515" s="30">
        <v>95.5</v>
      </c>
      <c r="F515" s="30">
        <v>5.4</v>
      </c>
    </row>
    <row r="516" spans="1:6" hidden="1" x14ac:dyDescent="0.25">
      <c r="A516" s="30" t="s">
        <v>98</v>
      </c>
      <c r="B516" s="30">
        <v>2006</v>
      </c>
      <c r="C516" s="30" t="s">
        <v>109</v>
      </c>
      <c r="D516" s="30">
        <v>11</v>
      </c>
      <c r="E516" s="30">
        <v>234.4</v>
      </c>
      <c r="F516" s="30">
        <v>0</v>
      </c>
    </row>
    <row r="517" spans="1:6" hidden="1" x14ac:dyDescent="0.25">
      <c r="A517" s="30" t="s">
        <v>98</v>
      </c>
      <c r="B517" s="30">
        <v>2006</v>
      </c>
      <c r="C517" s="30" t="s">
        <v>110</v>
      </c>
      <c r="D517" s="30">
        <v>12</v>
      </c>
      <c r="E517" s="30">
        <v>343.5</v>
      </c>
      <c r="F517" s="30">
        <v>0</v>
      </c>
    </row>
    <row r="518" spans="1:6" hidden="1" x14ac:dyDescent="0.25">
      <c r="A518" s="30" t="s">
        <v>111</v>
      </c>
      <c r="B518" s="30">
        <v>2006</v>
      </c>
      <c r="C518" s="30" t="s">
        <v>99</v>
      </c>
      <c r="D518" s="30">
        <v>1</v>
      </c>
      <c r="E518" s="30">
        <v>384.2</v>
      </c>
      <c r="F518" s="30">
        <v>0</v>
      </c>
    </row>
    <row r="519" spans="1:6" hidden="1" x14ac:dyDescent="0.25">
      <c r="A519" s="30" t="s">
        <v>111</v>
      </c>
      <c r="B519" s="30">
        <v>2006</v>
      </c>
      <c r="C519" s="30" t="s">
        <v>100</v>
      </c>
      <c r="D519" s="30">
        <v>2</v>
      </c>
      <c r="E519" s="30">
        <v>357.6</v>
      </c>
      <c r="F519" s="30">
        <v>0</v>
      </c>
    </row>
    <row r="520" spans="1:6" hidden="1" x14ac:dyDescent="0.25">
      <c r="A520" s="30" t="s">
        <v>111</v>
      </c>
      <c r="B520" s="30">
        <v>2006</v>
      </c>
      <c r="C520" s="30" t="s">
        <v>101</v>
      </c>
      <c r="D520" s="30">
        <v>3</v>
      </c>
      <c r="E520" s="30">
        <v>325.8</v>
      </c>
      <c r="F520" s="30">
        <v>0</v>
      </c>
    </row>
    <row r="521" spans="1:6" hidden="1" x14ac:dyDescent="0.25">
      <c r="A521" s="30" t="s">
        <v>111</v>
      </c>
      <c r="B521" s="30">
        <v>2006</v>
      </c>
      <c r="C521" s="30" t="s">
        <v>102</v>
      </c>
      <c r="D521" s="30">
        <v>4</v>
      </c>
      <c r="E521" s="30">
        <v>254.3</v>
      </c>
      <c r="F521" s="30">
        <v>0.8</v>
      </c>
    </row>
    <row r="522" spans="1:6" hidden="1" x14ac:dyDescent="0.25">
      <c r="A522" s="30" t="s">
        <v>111</v>
      </c>
      <c r="B522" s="30">
        <v>2006</v>
      </c>
      <c r="C522" s="30" t="s">
        <v>103</v>
      </c>
      <c r="D522" s="30">
        <v>5</v>
      </c>
      <c r="E522" s="30">
        <v>164.2</v>
      </c>
      <c r="F522" s="30">
        <v>1.8</v>
      </c>
    </row>
    <row r="523" spans="1:6" hidden="1" x14ac:dyDescent="0.25">
      <c r="A523" s="30" t="s">
        <v>111</v>
      </c>
      <c r="B523" s="30">
        <v>2006</v>
      </c>
      <c r="C523" s="30" t="s">
        <v>104</v>
      </c>
      <c r="D523" s="30">
        <v>6</v>
      </c>
      <c r="E523" s="30">
        <v>83</v>
      </c>
      <c r="F523" s="30">
        <v>26.1</v>
      </c>
    </row>
    <row r="524" spans="1:6" hidden="1" x14ac:dyDescent="0.25">
      <c r="A524" s="30" t="s">
        <v>111</v>
      </c>
      <c r="B524" s="30">
        <v>2006</v>
      </c>
      <c r="C524" s="30" t="s">
        <v>105</v>
      </c>
      <c r="D524" s="30">
        <v>7</v>
      </c>
      <c r="E524" s="30">
        <v>28.8</v>
      </c>
      <c r="F524" s="30">
        <v>70.099999999999994</v>
      </c>
    </row>
    <row r="525" spans="1:6" hidden="1" x14ac:dyDescent="0.25">
      <c r="A525" s="30" t="s">
        <v>111</v>
      </c>
      <c r="B525" s="30">
        <v>2006</v>
      </c>
      <c r="C525" s="30" t="s">
        <v>106</v>
      </c>
      <c r="D525" s="30">
        <v>8</v>
      </c>
      <c r="E525" s="30">
        <v>59.1</v>
      </c>
      <c r="F525" s="30">
        <v>18.399999999999999</v>
      </c>
    </row>
    <row r="526" spans="1:6" hidden="1" x14ac:dyDescent="0.25">
      <c r="A526" s="30" t="s">
        <v>111</v>
      </c>
      <c r="B526" s="30">
        <v>2006</v>
      </c>
      <c r="C526" s="30" t="s">
        <v>107</v>
      </c>
      <c r="D526" s="30">
        <v>9</v>
      </c>
      <c r="E526" s="30">
        <v>45.4</v>
      </c>
      <c r="F526" s="30">
        <v>30.4</v>
      </c>
    </row>
    <row r="527" spans="1:6" hidden="1" x14ac:dyDescent="0.25">
      <c r="A527" s="30" t="s">
        <v>111</v>
      </c>
      <c r="B527" s="30">
        <v>2006</v>
      </c>
      <c r="C527" s="30" t="s">
        <v>108</v>
      </c>
      <c r="D527" s="30">
        <v>10</v>
      </c>
      <c r="E527" s="30">
        <v>95.5</v>
      </c>
      <c r="F527" s="30">
        <v>5.0999999999999996</v>
      </c>
    </row>
    <row r="528" spans="1:6" hidden="1" x14ac:dyDescent="0.25">
      <c r="A528" s="30" t="s">
        <v>111</v>
      </c>
      <c r="B528" s="30">
        <v>2006</v>
      </c>
      <c r="C528" s="30" t="s">
        <v>109</v>
      </c>
      <c r="D528" s="30">
        <v>11</v>
      </c>
      <c r="E528" s="30">
        <v>220</v>
      </c>
      <c r="F528" s="30">
        <v>0</v>
      </c>
    </row>
    <row r="529" spans="1:6" hidden="1" x14ac:dyDescent="0.25">
      <c r="A529" s="30" t="s">
        <v>111</v>
      </c>
      <c r="B529" s="30">
        <v>2006</v>
      </c>
      <c r="C529" s="30" t="s">
        <v>110</v>
      </c>
      <c r="D529" s="30">
        <v>12</v>
      </c>
      <c r="E529" s="30">
        <v>301.8</v>
      </c>
      <c r="F529" s="30">
        <v>0</v>
      </c>
    </row>
    <row r="530" spans="1:6" hidden="1" x14ac:dyDescent="0.25">
      <c r="A530" s="30" t="s">
        <v>112</v>
      </c>
      <c r="B530" s="30">
        <v>2006</v>
      </c>
      <c r="C530" s="30" t="s">
        <v>99</v>
      </c>
      <c r="D530" s="30">
        <v>1</v>
      </c>
      <c r="E530" s="30">
        <v>387.7</v>
      </c>
      <c r="F530" s="30">
        <v>0</v>
      </c>
    </row>
    <row r="531" spans="1:6" hidden="1" x14ac:dyDescent="0.25">
      <c r="A531" s="30" t="s">
        <v>112</v>
      </c>
      <c r="B531" s="30">
        <v>2006</v>
      </c>
      <c r="C531" s="30" t="s">
        <v>100</v>
      </c>
      <c r="D531" s="30">
        <v>2</v>
      </c>
      <c r="E531" s="30">
        <v>361.8</v>
      </c>
      <c r="F531" s="30">
        <v>0</v>
      </c>
    </row>
    <row r="532" spans="1:6" hidden="1" x14ac:dyDescent="0.25">
      <c r="A532" s="30" t="s">
        <v>112</v>
      </c>
      <c r="B532" s="30">
        <v>2006</v>
      </c>
      <c r="C532" s="30" t="s">
        <v>101</v>
      </c>
      <c r="D532" s="30">
        <v>3</v>
      </c>
      <c r="E532" s="30">
        <v>320.7</v>
      </c>
      <c r="F532" s="30">
        <v>0</v>
      </c>
    </row>
    <row r="533" spans="1:6" hidden="1" x14ac:dyDescent="0.25">
      <c r="A533" s="30" t="s">
        <v>112</v>
      </c>
      <c r="B533" s="30">
        <v>2006</v>
      </c>
      <c r="C533" s="30" t="s">
        <v>102</v>
      </c>
      <c r="D533" s="30">
        <v>4</v>
      </c>
      <c r="E533" s="30">
        <v>233.7</v>
      </c>
      <c r="F533" s="30">
        <v>1.4</v>
      </c>
    </row>
    <row r="534" spans="1:6" hidden="1" x14ac:dyDescent="0.25">
      <c r="A534" s="30" t="s">
        <v>112</v>
      </c>
      <c r="B534" s="30">
        <v>2006</v>
      </c>
      <c r="C534" s="30" t="s">
        <v>103</v>
      </c>
      <c r="D534" s="30">
        <v>5</v>
      </c>
      <c r="E534" s="30">
        <v>158.30000000000001</v>
      </c>
      <c r="F534" s="30">
        <v>1.3</v>
      </c>
    </row>
    <row r="535" spans="1:6" hidden="1" x14ac:dyDescent="0.25">
      <c r="A535" s="30" t="s">
        <v>112</v>
      </c>
      <c r="B535" s="30">
        <v>2006</v>
      </c>
      <c r="C535" s="30" t="s">
        <v>104</v>
      </c>
      <c r="D535" s="30">
        <v>6</v>
      </c>
      <c r="E535" s="30">
        <v>56.5</v>
      </c>
      <c r="F535" s="30">
        <v>46.6</v>
      </c>
    </row>
    <row r="536" spans="1:6" hidden="1" x14ac:dyDescent="0.25">
      <c r="A536" s="30" t="s">
        <v>112</v>
      </c>
      <c r="B536" s="30">
        <v>2006</v>
      </c>
      <c r="C536" s="30" t="s">
        <v>105</v>
      </c>
      <c r="D536" s="30">
        <v>7</v>
      </c>
      <c r="E536" s="30">
        <v>19</v>
      </c>
      <c r="F536" s="30">
        <v>93</v>
      </c>
    </row>
    <row r="537" spans="1:6" hidden="1" x14ac:dyDescent="0.25">
      <c r="A537" s="30" t="s">
        <v>112</v>
      </c>
      <c r="B537" s="30">
        <v>2006</v>
      </c>
      <c r="C537" s="30" t="s">
        <v>106</v>
      </c>
      <c r="D537" s="30">
        <v>8</v>
      </c>
      <c r="E537" s="30">
        <v>50.5</v>
      </c>
      <c r="F537" s="30">
        <v>30.5</v>
      </c>
    </row>
    <row r="538" spans="1:6" hidden="1" x14ac:dyDescent="0.25">
      <c r="A538" s="30" t="s">
        <v>112</v>
      </c>
      <c r="B538" s="30">
        <v>2006</v>
      </c>
      <c r="C538" s="30" t="s">
        <v>107</v>
      </c>
      <c r="D538" s="30">
        <v>9</v>
      </c>
      <c r="E538" s="30">
        <v>40.6</v>
      </c>
      <c r="F538" s="30">
        <v>35.299999999999997</v>
      </c>
    </row>
    <row r="539" spans="1:6" hidden="1" x14ac:dyDescent="0.25">
      <c r="A539" s="30" t="s">
        <v>112</v>
      </c>
      <c r="B539" s="30">
        <v>2006</v>
      </c>
      <c r="C539" s="30" t="s">
        <v>108</v>
      </c>
      <c r="D539" s="30">
        <v>10</v>
      </c>
      <c r="E539" s="30">
        <v>92.1</v>
      </c>
      <c r="F539" s="30">
        <v>4.8</v>
      </c>
    </row>
    <row r="540" spans="1:6" hidden="1" x14ac:dyDescent="0.25">
      <c r="A540" s="30" t="s">
        <v>112</v>
      </c>
      <c r="B540" s="30">
        <v>2006</v>
      </c>
      <c r="C540" s="30" t="s">
        <v>109</v>
      </c>
      <c r="D540" s="30">
        <v>11</v>
      </c>
      <c r="E540" s="30">
        <v>217.4</v>
      </c>
      <c r="F540" s="30">
        <v>0</v>
      </c>
    </row>
    <row r="541" spans="1:6" hidden="1" x14ac:dyDescent="0.25">
      <c r="A541" s="30" t="s">
        <v>112</v>
      </c>
      <c r="B541" s="30">
        <v>2006</v>
      </c>
      <c r="C541" s="30" t="s">
        <v>110</v>
      </c>
      <c r="D541" s="30">
        <v>12</v>
      </c>
      <c r="E541" s="30">
        <v>300.39999999999998</v>
      </c>
      <c r="F541" s="30">
        <v>0</v>
      </c>
    </row>
    <row r="542" spans="1:6" hidden="1" x14ac:dyDescent="0.25">
      <c r="A542" s="30" t="s">
        <v>113</v>
      </c>
      <c r="B542" s="30">
        <v>2006</v>
      </c>
      <c r="C542" s="30" t="s">
        <v>99</v>
      </c>
      <c r="D542" s="30">
        <v>1</v>
      </c>
      <c r="E542" s="30">
        <v>422.4</v>
      </c>
      <c r="F542" s="30">
        <v>0</v>
      </c>
    </row>
    <row r="543" spans="1:6" hidden="1" x14ac:dyDescent="0.25">
      <c r="A543" s="30" t="s">
        <v>113</v>
      </c>
      <c r="B543" s="30">
        <v>2006</v>
      </c>
      <c r="C543" s="30" t="s">
        <v>100</v>
      </c>
      <c r="D543" s="30">
        <v>2</v>
      </c>
      <c r="E543" s="30">
        <v>382.6</v>
      </c>
      <c r="F543" s="30">
        <v>0</v>
      </c>
    </row>
    <row r="544" spans="1:6" hidden="1" x14ac:dyDescent="0.25">
      <c r="A544" s="30" t="s">
        <v>113</v>
      </c>
      <c r="B544" s="30">
        <v>2006</v>
      </c>
      <c r="C544" s="30" t="s">
        <v>101</v>
      </c>
      <c r="D544" s="30">
        <v>3</v>
      </c>
      <c r="E544" s="30">
        <v>323.7</v>
      </c>
      <c r="F544" s="30">
        <v>0.3</v>
      </c>
    </row>
    <row r="545" spans="1:6" hidden="1" x14ac:dyDescent="0.25">
      <c r="A545" s="30" t="s">
        <v>113</v>
      </c>
      <c r="B545" s="30">
        <v>2006</v>
      </c>
      <c r="C545" s="30" t="s">
        <v>102</v>
      </c>
      <c r="D545" s="30">
        <v>4</v>
      </c>
      <c r="E545" s="30">
        <v>221.3</v>
      </c>
      <c r="F545" s="30">
        <v>2.2000000000000002</v>
      </c>
    </row>
    <row r="546" spans="1:6" hidden="1" x14ac:dyDescent="0.25">
      <c r="A546" s="30" t="s">
        <v>113</v>
      </c>
      <c r="B546" s="30">
        <v>2006</v>
      </c>
      <c r="C546" s="30" t="s">
        <v>103</v>
      </c>
      <c r="D546" s="30">
        <v>5</v>
      </c>
      <c r="E546" s="30">
        <v>121.9</v>
      </c>
      <c r="F546" s="30">
        <v>13.2</v>
      </c>
    </row>
    <row r="547" spans="1:6" hidden="1" x14ac:dyDescent="0.25">
      <c r="A547" s="30" t="s">
        <v>113</v>
      </c>
      <c r="B547" s="30">
        <v>2006</v>
      </c>
      <c r="C547" s="30" t="s">
        <v>104</v>
      </c>
      <c r="D547" s="30">
        <v>6</v>
      </c>
      <c r="E547" s="30">
        <v>50.5</v>
      </c>
      <c r="F547" s="30">
        <v>75.7</v>
      </c>
    </row>
    <row r="548" spans="1:6" hidden="1" x14ac:dyDescent="0.25">
      <c r="A548" s="30" t="s">
        <v>113</v>
      </c>
      <c r="B548" s="30">
        <v>2006</v>
      </c>
      <c r="C548" s="30" t="s">
        <v>105</v>
      </c>
      <c r="D548" s="30">
        <v>7</v>
      </c>
      <c r="E548" s="30">
        <v>13.7</v>
      </c>
      <c r="F548" s="30">
        <v>148.9</v>
      </c>
    </row>
    <row r="549" spans="1:6" hidden="1" x14ac:dyDescent="0.25">
      <c r="A549" s="30" t="s">
        <v>113</v>
      </c>
      <c r="B549" s="30">
        <v>2006</v>
      </c>
      <c r="C549" s="30" t="s">
        <v>106</v>
      </c>
      <c r="D549" s="30">
        <v>8</v>
      </c>
      <c r="E549" s="30">
        <v>45.8</v>
      </c>
      <c r="F549" s="30">
        <v>54.3</v>
      </c>
    </row>
    <row r="550" spans="1:6" hidden="1" x14ac:dyDescent="0.25">
      <c r="A550" s="30" t="s">
        <v>113</v>
      </c>
      <c r="B550" s="30">
        <v>2006</v>
      </c>
      <c r="C550" s="30" t="s">
        <v>107</v>
      </c>
      <c r="D550" s="30">
        <v>9</v>
      </c>
      <c r="E550" s="30">
        <v>36.299999999999997</v>
      </c>
      <c r="F550" s="30">
        <v>67.8</v>
      </c>
    </row>
    <row r="551" spans="1:6" hidden="1" x14ac:dyDescent="0.25">
      <c r="A551" s="30" t="s">
        <v>113</v>
      </c>
      <c r="B551" s="30">
        <v>2006</v>
      </c>
      <c r="C551" s="30" t="s">
        <v>108</v>
      </c>
      <c r="D551" s="30">
        <v>10</v>
      </c>
      <c r="E551" s="30">
        <v>88.7</v>
      </c>
      <c r="F551" s="30">
        <v>8.4</v>
      </c>
    </row>
    <row r="552" spans="1:6" hidden="1" x14ac:dyDescent="0.25">
      <c r="A552" s="30" t="s">
        <v>113</v>
      </c>
      <c r="B552" s="30">
        <v>2006</v>
      </c>
      <c r="C552" s="30" t="s">
        <v>109</v>
      </c>
      <c r="D552" s="30">
        <v>11</v>
      </c>
      <c r="E552" s="30">
        <v>241.8</v>
      </c>
      <c r="F552" s="30">
        <v>0</v>
      </c>
    </row>
    <row r="553" spans="1:6" hidden="1" x14ac:dyDescent="0.25">
      <c r="A553" s="30" t="s">
        <v>113</v>
      </c>
      <c r="B553" s="30">
        <v>2006</v>
      </c>
      <c r="C553" s="30" t="s">
        <v>110</v>
      </c>
      <c r="D553" s="30">
        <v>12</v>
      </c>
      <c r="E553" s="30">
        <v>352</v>
      </c>
      <c r="F553" s="30">
        <v>0</v>
      </c>
    </row>
    <row r="554" spans="1:6" hidden="1" x14ac:dyDescent="0.25">
      <c r="A554" s="30" t="s">
        <v>114</v>
      </c>
      <c r="B554" s="30">
        <v>2006</v>
      </c>
      <c r="C554" s="30" t="s">
        <v>99</v>
      </c>
      <c r="D554" s="30">
        <v>1</v>
      </c>
      <c r="E554" s="30">
        <v>417.9</v>
      </c>
      <c r="F554" s="30">
        <v>0</v>
      </c>
    </row>
    <row r="555" spans="1:6" hidden="1" x14ac:dyDescent="0.25">
      <c r="A555" s="30" t="s">
        <v>114</v>
      </c>
      <c r="B555" s="30">
        <v>2006</v>
      </c>
      <c r="C555" s="30" t="s">
        <v>100</v>
      </c>
      <c r="D555" s="30">
        <v>2</v>
      </c>
      <c r="E555" s="30">
        <v>374.6</v>
      </c>
      <c r="F555" s="30">
        <v>0</v>
      </c>
    </row>
    <row r="556" spans="1:6" hidden="1" x14ac:dyDescent="0.25">
      <c r="A556" s="30" t="s">
        <v>114</v>
      </c>
      <c r="B556" s="30">
        <v>2006</v>
      </c>
      <c r="C556" s="30" t="s">
        <v>101</v>
      </c>
      <c r="D556" s="30">
        <v>3</v>
      </c>
      <c r="E556" s="30">
        <v>325.7</v>
      </c>
      <c r="F556" s="30">
        <v>0.2</v>
      </c>
    </row>
    <row r="557" spans="1:6" hidden="1" x14ac:dyDescent="0.25">
      <c r="A557" s="30" t="s">
        <v>114</v>
      </c>
      <c r="B557" s="30">
        <v>2006</v>
      </c>
      <c r="C557" s="30" t="s">
        <v>102</v>
      </c>
      <c r="D557" s="30">
        <v>4</v>
      </c>
      <c r="E557" s="30">
        <v>239.7</v>
      </c>
      <c r="F557" s="30">
        <v>0.8</v>
      </c>
    </row>
    <row r="558" spans="1:6" hidden="1" x14ac:dyDescent="0.25">
      <c r="A558" s="30" t="s">
        <v>114</v>
      </c>
      <c r="B558" s="30">
        <v>2006</v>
      </c>
      <c r="C558" s="30" t="s">
        <v>103</v>
      </c>
      <c r="D558" s="30">
        <v>5</v>
      </c>
      <c r="E558" s="30">
        <v>129.69999999999999</v>
      </c>
      <c r="F558" s="30">
        <v>11.1</v>
      </c>
    </row>
    <row r="559" spans="1:6" hidden="1" x14ac:dyDescent="0.25">
      <c r="A559" s="30" t="s">
        <v>114</v>
      </c>
      <c r="B559" s="30">
        <v>2006</v>
      </c>
      <c r="C559" s="30" t="s">
        <v>104</v>
      </c>
      <c r="D559" s="30">
        <v>6</v>
      </c>
      <c r="E559" s="30">
        <v>65.2</v>
      </c>
      <c r="F559" s="30">
        <v>36</v>
      </c>
    </row>
    <row r="560" spans="1:6" hidden="1" x14ac:dyDescent="0.25">
      <c r="A560" s="30" t="s">
        <v>114</v>
      </c>
      <c r="B560" s="30">
        <v>2006</v>
      </c>
      <c r="C560" s="30" t="s">
        <v>105</v>
      </c>
      <c r="D560" s="30">
        <v>7</v>
      </c>
      <c r="E560" s="30">
        <v>19.8</v>
      </c>
      <c r="F560" s="30">
        <v>84.7</v>
      </c>
    </row>
    <row r="561" spans="1:6" hidden="1" x14ac:dyDescent="0.25">
      <c r="A561" s="30" t="s">
        <v>114</v>
      </c>
      <c r="B561" s="30">
        <v>2006</v>
      </c>
      <c r="C561" s="30" t="s">
        <v>106</v>
      </c>
      <c r="D561" s="30">
        <v>8</v>
      </c>
      <c r="E561" s="30">
        <v>41.1</v>
      </c>
      <c r="F561" s="30">
        <v>30.6</v>
      </c>
    </row>
    <row r="562" spans="1:6" hidden="1" x14ac:dyDescent="0.25">
      <c r="A562" s="30" t="s">
        <v>114</v>
      </c>
      <c r="B562" s="30">
        <v>2006</v>
      </c>
      <c r="C562" s="30" t="s">
        <v>107</v>
      </c>
      <c r="D562" s="30">
        <v>9</v>
      </c>
      <c r="E562" s="30">
        <v>38.299999999999997</v>
      </c>
      <c r="F562" s="30">
        <v>49.5</v>
      </c>
    </row>
    <row r="563" spans="1:6" hidden="1" x14ac:dyDescent="0.25">
      <c r="A563" s="30" t="s">
        <v>114</v>
      </c>
      <c r="B563" s="30">
        <v>2006</v>
      </c>
      <c r="C563" s="30" t="s">
        <v>108</v>
      </c>
      <c r="D563" s="30">
        <v>10</v>
      </c>
      <c r="E563" s="30">
        <v>81.3</v>
      </c>
      <c r="F563" s="30">
        <v>9.1</v>
      </c>
    </row>
    <row r="564" spans="1:6" hidden="1" x14ac:dyDescent="0.25">
      <c r="A564" s="30" t="s">
        <v>114</v>
      </c>
      <c r="B564" s="30">
        <v>2006</v>
      </c>
      <c r="C564" s="30" t="s">
        <v>109</v>
      </c>
      <c r="D564" s="30">
        <v>11</v>
      </c>
      <c r="E564" s="30">
        <v>231.2</v>
      </c>
      <c r="F564" s="30">
        <v>0</v>
      </c>
    </row>
    <row r="565" spans="1:6" hidden="1" x14ac:dyDescent="0.25">
      <c r="A565" s="30" t="s">
        <v>114</v>
      </c>
      <c r="B565" s="30">
        <v>2006</v>
      </c>
      <c r="C565" s="30" t="s">
        <v>110</v>
      </c>
      <c r="D565" s="30">
        <v>12</v>
      </c>
      <c r="E565" s="30">
        <v>332.8</v>
      </c>
      <c r="F565" s="30">
        <v>0</v>
      </c>
    </row>
    <row r="566" spans="1:6" hidden="1" x14ac:dyDescent="0.25">
      <c r="A566" s="30" t="s">
        <v>115</v>
      </c>
      <c r="B566" s="30">
        <v>2006</v>
      </c>
      <c r="C566" s="30" t="s">
        <v>99</v>
      </c>
      <c r="D566" s="30">
        <v>1</v>
      </c>
      <c r="E566" s="30">
        <v>399</v>
      </c>
      <c r="F566" s="30">
        <v>0</v>
      </c>
    </row>
    <row r="567" spans="1:6" hidden="1" x14ac:dyDescent="0.25">
      <c r="A567" s="30" t="s">
        <v>115</v>
      </c>
      <c r="B567" s="30">
        <v>2006</v>
      </c>
      <c r="C567" s="30" t="s">
        <v>100</v>
      </c>
      <c r="D567" s="30">
        <v>2</v>
      </c>
      <c r="E567" s="30">
        <v>363.3</v>
      </c>
      <c r="F567" s="30">
        <v>0</v>
      </c>
    </row>
    <row r="568" spans="1:6" hidden="1" x14ac:dyDescent="0.25">
      <c r="A568" s="30" t="s">
        <v>115</v>
      </c>
      <c r="B568" s="30">
        <v>2006</v>
      </c>
      <c r="C568" s="30" t="s">
        <v>101</v>
      </c>
      <c r="D568" s="30">
        <v>3</v>
      </c>
      <c r="E568" s="30">
        <v>323.3</v>
      </c>
      <c r="F568" s="30">
        <v>0</v>
      </c>
    </row>
    <row r="569" spans="1:6" hidden="1" x14ac:dyDescent="0.25">
      <c r="A569" s="30" t="s">
        <v>115</v>
      </c>
      <c r="B569" s="30">
        <v>2006</v>
      </c>
      <c r="C569" s="30" t="s">
        <v>102</v>
      </c>
      <c r="D569" s="30">
        <v>4</v>
      </c>
      <c r="E569" s="30">
        <v>234.1</v>
      </c>
      <c r="F569" s="30">
        <v>1.6</v>
      </c>
    </row>
    <row r="570" spans="1:6" hidden="1" x14ac:dyDescent="0.25">
      <c r="A570" s="30" t="s">
        <v>115</v>
      </c>
      <c r="B570" s="30">
        <v>2006</v>
      </c>
      <c r="C570" s="30" t="s">
        <v>103</v>
      </c>
      <c r="D570" s="30">
        <v>5</v>
      </c>
      <c r="E570" s="30">
        <v>152.19999999999999</v>
      </c>
      <c r="F570" s="30">
        <v>2.2000000000000002</v>
      </c>
    </row>
    <row r="571" spans="1:6" hidden="1" x14ac:dyDescent="0.25">
      <c r="A571" s="30" t="s">
        <v>115</v>
      </c>
      <c r="B571" s="30">
        <v>2006</v>
      </c>
      <c r="C571" s="30" t="s">
        <v>104</v>
      </c>
      <c r="D571" s="30">
        <v>6</v>
      </c>
      <c r="E571" s="30">
        <v>49.1</v>
      </c>
      <c r="F571" s="30">
        <v>51</v>
      </c>
    </row>
    <row r="572" spans="1:6" hidden="1" x14ac:dyDescent="0.25">
      <c r="A572" s="30" t="s">
        <v>115</v>
      </c>
      <c r="B572" s="30">
        <v>2006</v>
      </c>
      <c r="C572" s="30" t="s">
        <v>105</v>
      </c>
      <c r="D572" s="30">
        <v>7</v>
      </c>
      <c r="E572" s="30">
        <v>13</v>
      </c>
      <c r="F572" s="30">
        <v>117</v>
      </c>
    </row>
    <row r="573" spans="1:6" hidden="1" x14ac:dyDescent="0.25">
      <c r="A573" s="30" t="s">
        <v>115</v>
      </c>
      <c r="B573" s="30">
        <v>2006</v>
      </c>
      <c r="C573" s="30" t="s">
        <v>106</v>
      </c>
      <c r="D573" s="30">
        <v>8</v>
      </c>
      <c r="E573" s="30">
        <v>50.9</v>
      </c>
      <c r="F573" s="30">
        <v>38.9</v>
      </c>
    </row>
    <row r="574" spans="1:6" hidden="1" x14ac:dyDescent="0.25">
      <c r="A574" s="30" t="s">
        <v>115</v>
      </c>
      <c r="B574" s="30">
        <v>2006</v>
      </c>
      <c r="C574" s="30" t="s">
        <v>107</v>
      </c>
      <c r="D574" s="30">
        <v>9</v>
      </c>
      <c r="E574" s="30">
        <v>41.4</v>
      </c>
      <c r="F574" s="30">
        <v>39.700000000000003</v>
      </c>
    </row>
    <row r="575" spans="1:6" hidden="1" x14ac:dyDescent="0.25">
      <c r="A575" s="30" t="s">
        <v>115</v>
      </c>
      <c r="B575" s="30">
        <v>2006</v>
      </c>
      <c r="C575" s="30" t="s">
        <v>108</v>
      </c>
      <c r="D575" s="30">
        <v>10</v>
      </c>
      <c r="E575" s="30">
        <v>83</v>
      </c>
      <c r="F575" s="30">
        <v>6.9</v>
      </c>
    </row>
    <row r="576" spans="1:6" hidden="1" x14ac:dyDescent="0.25">
      <c r="A576" s="30" t="s">
        <v>115</v>
      </c>
      <c r="B576" s="30">
        <v>2006</v>
      </c>
      <c r="C576" s="30" t="s">
        <v>109</v>
      </c>
      <c r="D576" s="30">
        <v>11</v>
      </c>
      <c r="E576" s="30">
        <v>212</v>
      </c>
      <c r="F576" s="30">
        <v>0</v>
      </c>
    </row>
    <row r="577" spans="1:6" hidden="1" x14ac:dyDescent="0.25">
      <c r="A577" s="30" t="s">
        <v>115</v>
      </c>
      <c r="B577" s="30">
        <v>2006</v>
      </c>
      <c r="C577" s="30" t="s">
        <v>110</v>
      </c>
      <c r="D577" s="30">
        <v>12</v>
      </c>
      <c r="E577" s="30">
        <v>309.7</v>
      </c>
      <c r="F577" s="30">
        <v>0</v>
      </c>
    </row>
    <row r="578" spans="1:6" x14ac:dyDescent="0.25">
      <c r="A578" s="30" t="s">
        <v>116</v>
      </c>
      <c r="B578" s="30">
        <v>2006</v>
      </c>
      <c r="C578" s="30" t="s">
        <v>99</v>
      </c>
      <c r="D578" s="30">
        <v>1</v>
      </c>
      <c r="E578" s="30">
        <v>405.8</v>
      </c>
      <c r="F578" s="30">
        <v>0</v>
      </c>
    </row>
    <row r="579" spans="1:6" x14ac:dyDescent="0.25">
      <c r="A579" s="30" t="s">
        <v>116</v>
      </c>
      <c r="B579" s="30">
        <v>2006</v>
      </c>
      <c r="C579" s="30" t="s">
        <v>100</v>
      </c>
      <c r="D579" s="30">
        <v>2</v>
      </c>
      <c r="E579" s="30">
        <v>375.1</v>
      </c>
      <c r="F579" s="30">
        <v>0</v>
      </c>
    </row>
    <row r="580" spans="1:6" x14ac:dyDescent="0.25">
      <c r="A580" s="30" t="s">
        <v>116</v>
      </c>
      <c r="B580" s="30">
        <v>2006</v>
      </c>
      <c r="C580" s="30" t="s">
        <v>101</v>
      </c>
      <c r="D580" s="30">
        <v>3</v>
      </c>
      <c r="E580" s="30">
        <v>317.2</v>
      </c>
      <c r="F580" s="30">
        <v>0</v>
      </c>
    </row>
    <row r="581" spans="1:6" x14ac:dyDescent="0.25">
      <c r="A581" s="30" t="s">
        <v>116</v>
      </c>
      <c r="B581" s="30">
        <v>2006</v>
      </c>
      <c r="C581" s="30" t="s">
        <v>102</v>
      </c>
      <c r="D581" s="30">
        <v>4</v>
      </c>
      <c r="E581" s="30">
        <v>214.6</v>
      </c>
      <c r="F581" s="30">
        <v>2.9</v>
      </c>
    </row>
    <row r="582" spans="1:6" x14ac:dyDescent="0.25">
      <c r="A582" s="30" t="s">
        <v>116</v>
      </c>
      <c r="B582" s="30">
        <v>2006</v>
      </c>
      <c r="C582" s="30" t="s">
        <v>103</v>
      </c>
      <c r="D582" s="30">
        <v>5</v>
      </c>
      <c r="E582" s="30">
        <v>133.9</v>
      </c>
      <c r="F582" s="30">
        <v>4.9000000000000004</v>
      </c>
    </row>
    <row r="583" spans="1:6" x14ac:dyDescent="0.25">
      <c r="A583" s="30" t="s">
        <v>116</v>
      </c>
      <c r="B583" s="30">
        <v>2006</v>
      </c>
      <c r="C583" s="30" t="s">
        <v>104</v>
      </c>
      <c r="D583" s="30">
        <v>6</v>
      </c>
      <c r="E583" s="30">
        <v>44.1</v>
      </c>
      <c r="F583" s="30">
        <v>60</v>
      </c>
    </row>
    <row r="584" spans="1:6" x14ac:dyDescent="0.25">
      <c r="A584" s="30" t="s">
        <v>116</v>
      </c>
      <c r="B584" s="30">
        <v>2006</v>
      </c>
      <c r="C584" s="30" t="s">
        <v>105</v>
      </c>
      <c r="D584" s="30">
        <v>7</v>
      </c>
      <c r="E584" s="30">
        <v>10.7</v>
      </c>
      <c r="F584" s="30">
        <v>141.5</v>
      </c>
    </row>
    <row r="585" spans="1:6" x14ac:dyDescent="0.25">
      <c r="A585" s="30" t="s">
        <v>116</v>
      </c>
      <c r="B585" s="30">
        <v>2006</v>
      </c>
      <c r="C585" s="30" t="s">
        <v>106</v>
      </c>
      <c r="D585" s="30">
        <v>8</v>
      </c>
      <c r="E585" s="30">
        <v>48.1</v>
      </c>
      <c r="F585" s="30">
        <v>47.4</v>
      </c>
    </row>
    <row r="586" spans="1:6" x14ac:dyDescent="0.25">
      <c r="A586" s="30" t="s">
        <v>116</v>
      </c>
      <c r="B586" s="30">
        <v>2006</v>
      </c>
      <c r="C586" s="30" t="s">
        <v>107</v>
      </c>
      <c r="D586" s="30">
        <v>9</v>
      </c>
      <c r="E586" s="30">
        <v>44</v>
      </c>
      <c r="F586" s="30">
        <v>50.6</v>
      </c>
    </row>
    <row r="587" spans="1:6" x14ac:dyDescent="0.25">
      <c r="A587" s="30" t="s">
        <v>116</v>
      </c>
      <c r="B587" s="30">
        <v>2006</v>
      </c>
      <c r="C587" s="30" t="s">
        <v>108</v>
      </c>
      <c r="D587" s="30">
        <v>10</v>
      </c>
      <c r="E587" s="30">
        <v>80.3</v>
      </c>
      <c r="F587" s="30">
        <v>10.5</v>
      </c>
    </row>
    <row r="588" spans="1:6" x14ac:dyDescent="0.25">
      <c r="A588" s="30" t="s">
        <v>116</v>
      </c>
      <c r="B588" s="30">
        <v>2006</v>
      </c>
      <c r="C588" s="30" t="s">
        <v>109</v>
      </c>
      <c r="D588" s="30">
        <v>11</v>
      </c>
      <c r="E588" s="30">
        <v>209.7</v>
      </c>
      <c r="F588" s="30">
        <v>0</v>
      </c>
    </row>
    <row r="589" spans="1:6" x14ac:dyDescent="0.25">
      <c r="A589" s="30" t="s">
        <v>116</v>
      </c>
      <c r="B589" s="30">
        <v>2006</v>
      </c>
      <c r="C589" s="30" t="s">
        <v>110</v>
      </c>
      <c r="D589" s="30">
        <v>12</v>
      </c>
      <c r="E589" s="30">
        <v>328.3</v>
      </c>
      <c r="F589" s="30">
        <v>0</v>
      </c>
    </row>
    <row r="590" spans="1:6" hidden="1" x14ac:dyDescent="0.25">
      <c r="A590" s="30" t="s">
        <v>98</v>
      </c>
      <c r="B590" s="30">
        <v>2007</v>
      </c>
      <c r="C590" s="30" t="s">
        <v>99</v>
      </c>
      <c r="D590" s="30">
        <v>1</v>
      </c>
      <c r="E590" s="30">
        <v>304.5</v>
      </c>
      <c r="F590" s="30">
        <v>0</v>
      </c>
    </row>
    <row r="591" spans="1:6" hidden="1" x14ac:dyDescent="0.25">
      <c r="A591" s="30" t="s">
        <v>98</v>
      </c>
      <c r="B591" s="30">
        <v>2007</v>
      </c>
      <c r="C591" s="30" t="s">
        <v>100</v>
      </c>
      <c r="D591" s="30">
        <v>2</v>
      </c>
      <c r="E591" s="30">
        <v>263.5</v>
      </c>
      <c r="F591" s="30">
        <v>0</v>
      </c>
    </row>
    <row r="592" spans="1:6" hidden="1" x14ac:dyDescent="0.25">
      <c r="A592" s="30" t="s">
        <v>98</v>
      </c>
      <c r="B592" s="30">
        <v>2007</v>
      </c>
      <c r="C592" s="30" t="s">
        <v>101</v>
      </c>
      <c r="D592" s="30">
        <v>3</v>
      </c>
      <c r="E592" s="30">
        <v>321.60000000000002</v>
      </c>
      <c r="F592" s="30">
        <v>0</v>
      </c>
    </row>
    <row r="593" spans="1:6" hidden="1" x14ac:dyDescent="0.25">
      <c r="A593" s="30" t="s">
        <v>98</v>
      </c>
      <c r="B593" s="30">
        <v>2007</v>
      </c>
      <c r="C593" s="30" t="s">
        <v>102</v>
      </c>
      <c r="D593" s="30">
        <v>4</v>
      </c>
      <c r="E593" s="30">
        <v>201.4</v>
      </c>
      <c r="F593" s="30">
        <v>3.7</v>
      </c>
    </row>
    <row r="594" spans="1:6" hidden="1" x14ac:dyDescent="0.25">
      <c r="A594" s="30" t="s">
        <v>98</v>
      </c>
      <c r="B594" s="30">
        <v>2007</v>
      </c>
      <c r="C594" s="30" t="s">
        <v>103</v>
      </c>
      <c r="D594" s="30">
        <v>5</v>
      </c>
      <c r="E594" s="30">
        <v>161.19999999999999</v>
      </c>
      <c r="F594" s="30">
        <v>2.1</v>
      </c>
    </row>
    <row r="595" spans="1:6" hidden="1" x14ac:dyDescent="0.25">
      <c r="A595" s="30" t="s">
        <v>98</v>
      </c>
      <c r="B595" s="30">
        <v>2007</v>
      </c>
      <c r="C595" s="30" t="s">
        <v>104</v>
      </c>
      <c r="D595" s="30">
        <v>6</v>
      </c>
      <c r="E595" s="30">
        <v>92.8</v>
      </c>
      <c r="F595" s="30">
        <v>9.5</v>
      </c>
    </row>
    <row r="596" spans="1:6" hidden="1" x14ac:dyDescent="0.25">
      <c r="A596" s="30" t="s">
        <v>98</v>
      </c>
      <c r="B596" s="30">
        <v>2007</v>
      </c>
      <c r="C596" s="30" t="s">
        <v>105</v>
      </c>
      <c r="D596" s="30">
        <v>7</v>
      </c>
      <c r="E596" s="30">
        <v>68.5</v>
      </c>
      <c r="F596" s="30">
        <v>17.600000000000001</v>
      </c>
    </row>
    <row r="597" spans="1:6" hidden="1" x14ac:dyDescent="0.25">
      <c r="A597" s="30" t="s">
        <v>98</v>
      </c>
      <c r="B597" s="30">
        <v>2007</v>
      </c>
      <c r="C597" s="30" t="s">
        <v>106</v>
      </c>
      <c r="D597" s="30">
        <v>8</v>
      </c>
      <c r="E597" s="30">
        <v>75.8</v>
      </c>
      <c r="F597" s="30">
        <v>15.8</v>
      </c>
    </row>
    <row r="598" spans="1:6" hidden="1" x14ac:dyDescent="0.25">
      <c r="A598" s="30" t="s">
        <v>98</v>
      </c>
      <c r="B598" s="30">
        <v>2007</v>
      </c>
      <c r="C598" s="30" t="s">
        <v>107</v>
      </c>
      <c r="D598" s="30">
        <v>9</v>
      </c>
      <c r="E598" s="30">
        <v>119.9</v>
      </c>
      <c r="F598" s="30">
        <v>5</v>
      </c>
    </row>
    <row r="599" spans="1:6" hidden="1" x14ac:dyDescent="0.25">
      <c r="A599" s="30" t="s">
        <v>98</v>
      </c>
      <c r="B599" s="30">
        <v>2007</v>
      </c>
      <c r="C599" s="30" t="s">
        <v>108</v>
      </c>
      <c r="D599" s="30">
        <v>10</v>
      </c>
      <c r="E599" s="30">
        <v>196.9</v>
      </c>
      <c r="F599" s="30">
        <v>0.7</v>
      </c>
    </row>
    <row r="600" spans="1:6" hidden="1" x14ac:dyDescent="0.25">
      <c r="A600" s="30" t="s">
        <v>98</v>
      </c>
      <c r="B600" s="30">
        <v>2007</v>
      </c>
      <c r="C600" s="30" t="s">
        <v>109</v>
      </c>
      <c r="D600" s="30">
        <v>11</v>
      </c>
      <c r="E600" s="30">
        <v>277.10000000000002</v>
      </c>
      <c r="F600" s="30">
        <v>0</v>
      </c>
    </row>
    <row r="601" spans="1:6" hidden="1" x14ac:dyDescent="0.25">
      <c r="A601" s="30" t="s">
        <v>98</v>
      </c>
      <c r="B601" s="30">
        <v>2007</v>
      </c>
      <c r="C601" s="30" t="s">
        <v>110</v>
      </c>
      <c r="D601" s="30">
        <v>12</v>
      </c>
      <c r="E601" s="30">
        <v>373.8</v>
      </c>
      <c r="F601" s="30">
        <v>0</v>
      </c>
    </row>
    <row r="602" spans="1:6" hidden="1" x14ac:dyDescent="0.25">
      <c r="A602" s="30" t="s">
        <v>111</v>
      </c>
      <c r="B602" s="30">
        <v>2007</v>
      </c>
      <c r="C602" s="30" t="s">
        <v>99</v>
      </c>
      <c r="D602" s="30">
        <v>1</v>
      </c>
      <c r="E602" s="30">
        <v>290.60000000000002</v>
      </c>
      <c r="F602" s="30">
        <v>0</v>
      </c>
    </row>
    <row r="603" spans="1:6" hidden="1" x14ac:dyDescent="0.25">
      <c r="A603" s="30" t="s">
        <v>111</v>
      </c>
      <c r="B603" s="30">
        <v>2007</v>
      </c>
      <c r="C603" s="30" t="s">
        <v>100</v>
      </c>
      <c r="D603" s="30">
        <v>2</v>
      </c>
      <c r="E603" s="30">
        <v>248</v>
      </c>
      <c r="F603" s="30">
        <v>0</v>
      </c>
    </row>
    <row r="604" spans="1:6" hidden="1" x14ac:dyDescent="0.25">
      <c r="A604" s="30" t="s">
        <v>111</v>
      </c>
      <c r="B604" s="30">
        <v>2007</v>
      </c>
      <c r="C604" s="30" t="s">
        <v>101</v>
      </c>
      <c r="D604" s="30">
        <v>3</v>
      </c>
      <c r="E604" s="30">
        <v>294.10000000000002</v>
      </c>
      <c r="F604" s="30">
        <v>0</v>
      </c>
    </row>
    <row r="605" spans="1:6" hidden="1" x14ac:dyDescent="0.25">
      <c r="A605" s="30" t="s">
        <v>111</v>
      </c>
      <c r="B605" s="30">
        <v>2007</v>
      </c>
      <c r="C605" s="30" t="s">
        <v>102</v>
      </c>
      <c r="D605" s="30">
        <v>4</v>
      </c>
      <c r="E605" s="30">
        <v>181.4</v>
      </c>
      <c r="F605" s="30">
        <v>2.4</v>
      </c>
    </row>
    <row r="606" spans="1:6" hidden="1" x14ac:dyDescent="0.25">
      <c r="A606" s="30" t="s">
        <v>111</v>
      </c>
      <c r="B606" s="30">
        <v>2007</v>
      </c>
      <c r="C606" s="30" t="s">
        <v>103</v>
      </c>
      <c r="D606" s="30">
        <v>5</v>
      </c>
      <c r="E606" s="30">
        <v>163.80000000000001</v>
      </c>
      <c r="F606" s="30">
        <v>0.9</v>
      </c>
    </row>
    <row r="607" spans="1:6" hidden="1" x14ac:dyDescent="0.25">
      <c r="A607" s="30" t="s">
        <v>111</v>
      </c>
      <c r="B607" s="30">
        <v>2007</v>
      </c>
      <c r="C607" s="30" t="s">
        <v>104</v>
      </c>
      <c r="D607" s="30">
        <v>6</v>
      </c>
      <c r="E607" s="30">
        <v>82.1</v>
      </c>
      <c r="F607" s="30">
        <v>9.8000000000000007</v>
      </c>
    </row>
    <row r="608" spans="1:6" hidden="1" x14ac:dyDescent="0.25">
      <c r="A608" s="30" t="s">
        <v>111</v>
      </c>
      <c r="B608" s="30">
        <v>2007</v>
      </c>
      <c r="C608" s="30" t="s">
        <v>105</v>
      </c>
      <c r="D608" s="30">
        <v>7</v>
      </c>
      <c r="E608" s="30">
        <v>71.400000000000006</v>
      </c>
      <c r="F608" s="30">
        <v>7</v>
      </c>
    </row>
    <row r="609" spans="1:6" hidden="1" x14ac:dyDescent="0.25">
      <c r="A609" s="30" t="s">
        <v>111</v>
      </c>
      <c r="B609" s="30">
        <v>2007</v>
      </c>
      <c r="C609" s="30" t="s">
        <v>106</v>
      </c>
      <c r="D609" s="30">
        <v>8</v>
      </c>
      <c r="E609" s="30">
        <v>70.3</v>
      </c>
      <c r="F609" s="30">
        <v>17.3</v>
      </c>
    </row>
    <row r="610" spans="1:6" hidden="1" x14ac:dyDescent="0.25">
      <c r="A610" s="30" t="s">
        <v>111</v>
      </c>
      <c r="B610" s="30">
        <v>2007</v>
      </c>
      <c r="C610" s="30" t="s">
        <v>107</v>
      </c>
      <c r="D610" s="30">
        <v>9</v>
      </c>
      <c r="E610" s="30">
        <v>108.3</v>
      </c>
      <c r="F610" s="30">
        <v>8</v>
      </c>
    </row>
    <row r="611" spans="1:6" hidden="1" x14ac:dyDescent="0.25">
      <c r="A611" s="30" t="s">
        <v>111</v>
      </c>
      <c r="B611" s="30">
        <v>2007</v>
      </c>
      <c r="C611" s="30" t="s">
        <v>108</v>
      </c>
      <c r="D611" s="30">
        <v>10</v>
      </c>
      <c r="E611" s="30">
        <v>172.9</v>
      </c>
      <c r="F611" s="30">
        <v>1.7</v>
      </c>
    </row>
    <row r="612" spans="1:6" hidden="1" x14ac:dyDescent="0.25">
      <c r="A612" s="30" t="s">
        <v>111</v>
      </c>
      <c r="B612" s="30">
        <v>2007</v>
      </c>
      <c r="C612" s="30" t="s">
        <v>109</v>
      </c>
      <c r="D612" s="30">
        <v>11</v>
      </c>
      <c r="E612" s="30">
        <v>264.5</v>
      </c>
      <c r="F612" s="30">
        <v>0</v>
      </c>
    </row>
    <row r="613" spans="1:6" hidden="1" x14ac:dyDescent="0.25">
      <c r="A613" s="30" t="s">
        <v>111</v>
      </c>
      <c r="B613" s="30">
        <v>2007</v>
      </c>
      <c r="C613" s="30" t="s">
        <v>110</v>
      </c>
      <c r="D613" s="30">
        <v>12</v>
      </c>
      <c r="E613" s="30">
        <v>336</v>
      </c>
      <c r="F613" s="30">
        <v>0</v>
      </c>
    </row>
    <row r="614" spans="1:6" hidden="1" x14ac:dyDescent="0.25">
      <c r="A614" s="30" t="s">
        <v>112</v>
      </c>
      <c r="B614" s="30">
        <v>2007</v>
      </c>
      <c r="C614" s="30" t="s">
        <v>99</v>
      </c>
      <c r="D614" s="30">
        <v>1</v>
      </c>
      <c r="E614" s="30">
        <v>285.3</v>
      </c>
      <c r="F614" s="30">
        <v>0</v>
      </c>
    </row>
    <row r="615" spans="1:6" hidden="1" x14ac:dyDescent="0.25">
      <c r="A615" s="30" t="s">
        <v>112</v>
      </c>
      <c r="B615" s="30">
        <v>2007</v>
      </c>
      <c r="C615" s="30" t="s">
        <v>100</v>
      </c>
      <c r="D615" s="30">
        <v>2</v>
      </c>
      <c r="E615" s="30">
        <v>242.5</v>
      </c>
      <c r="F615" s="30">
        <v>0</v>
      </c>
    </row>
    <row r="616" spans="1:6" hidden="1" x14ac:dyDescent="0.25">
      <c r="A616" s="30" t="s">
        <v>112</v>
      </c>
      <c r="B616" s="30">
        <v>2007</v>
      </c>
      <c r="C616" s="30" t="s">
        <v>101</v>
      </c>
      <c r="D616" s="30">
        <v>3</v>
      </c>
      <c r="E616" s="30">
        <v>285.8</v>
      </c>
      <c r="F616" s="30">
        <v>0</v>
      </c>
    </row>
    <row r="617" spans="1:6" hidden="1" x14ac:dyDescent="0.25">
      <c r="A617" s="30" t="s">
        <v>112</v>
      </c>
      <c r="B617" s="30">
        <v>2007</v>
      </c>
      <c r="C617" s="30" t="s">
        <v>102</v>
      </c>
      <c r="D617" s="30">
        <v>4</v>
      </c>
      <c r="E617" s="30">
        <v>136.4</v>
      </c>
      <c r="F617" s="30">
        <v>8.9</v>
      </c>
    </row>
    <row r="618" spans="1:6" hidden="1" x14ac:dyDescent="0.25">
      <c r="A618" s="30" t="s">
        <v>112</v>
      </c>
      <c r="B618" s="30">
        <v>2007</v>
      </c>
      <c r="C618" s="30" t="s">
        <v>103</v>
      </c>
      <c r="D618" s="30">
        <v>5</v>
      </c>
      <c r="E618" s="30">
        <v>142.1</v>
      </c>
      <c r="F618" s="30">
        <v>5.8</v>
      </c>
    </row>
    <row r="619" spans="1:6" hidden="1" x14ac:dyDescent="0.25">
      <c r="A619" s="30" t="s">
        <v>112</v>
      </c>
      <c r="B619" s="30">
        <v>2007</v>
      </c>
      <c r="C619" s="30" t="s">
        <v>104</v>
      </c>
      <c r="D619" s="30">
        <v>6</v>
      </c>
      <c r="E619" s="30">
        <v>76.099999999999994</v>
      </c>
      <c r="F619" s="30">
        <v>14.2</v>
      </c>
    </row>
    <row r="620" spans="1:6" hidden="1" x14ac:dyDescent="0.25">
      <c r="A620" s="30" t="s">
        <v>112</v>
      </c>
      <c r="B620" s="30">
        <v>2007</v>
      </c>
      <c r="C620" s="30" t="s">
        <v>105</v>
      </c>
      <c r="D620" s="30">
        <v>7</v>
      </c>
      <c r="E620" s="30">
        <v>66.3</v>
      </c>
      <c r="F620" s="30">
        <v>7.1</v>
      </c>
    </row>
    <row r="621" spans="1:6" hidden="1" x14ac:dyDescent="0.25">
      <c r="A621" s="30" t="s">
        <v>112</v>
      </c>
      <c r="B621" s="30">
        <v>2007</v>
      </c>
      <c r="C621" s="30" t="s">
        <v>106</v>
      </c>
      <c r="D621" s="30">
        <v>8</v>
      </c>
      <c r="E621" s="30">
        <v>59.9</v>
      </c>
      <c r="F621" s="30">
        <v>26</v>
      </c>
    </row>
    <row r="622" spans="1:6" hidden="1" x14ac:dyDescent="0.25">
      <c r="A622" s="30" t="s">
        <v>112</v>
      </c>
      <c r="B622" s="30">
        <v>2007</v>
      </c>
      <c r="C622" s="30" t="s">
        <v>107</v>
      </c>
      <c r="D622" s="30">
        <v>9</v>
      </c>
      <c r="E622" s="30">
        <v>102.2</v>
      </c>
      <c r="F622" s="30">
        <v>14.6</v>
      </c>
    </row>
    <row r="623" spans="1:6" hidden="1" x14ac:dyDescent="0.25">
      <c r="A623" s="30" t="s">
        <v>112</v>
      </c>
      <c r="B623" s="30">
        <v>2007</v>
      </c>
      <c r="C623" s="30" t="s">
        <v>108</v>
      </c>
      <c r="D623" s="30">
        <v>10</v>
      </c>
      <c r="E623" s="30">
        <v>169.9</v>
      </c>
      <c r="F623" s="30">
        <v>4.4000000000000004</v>
      </c>
    </row>
    <row r="624" spans="1:6" hidden="1" x14ac:dyDescent="0.25">
      <c r="A624" s="30" t="s">
        <v>112</v>
      </c>
      <c r="B624" s="30">
        <v>2007</v>
      </c>
      <c r="C624" s="30" t="s">
        <v>109</v>
      </c>
      <c r="D624" s="30">
        <v>11</v>
      </c>
      <c r="E624" s="30">
        <v>258.89999999999998</v>
      </c>
      <c r="F624" s="30">
        <v>0</v>
      </c>
    </row>
    <row r="625" spans="1:6" hidden="1" x14ac:dyDescent="0.25">
      <c r="A625" s="30" t="s">
        <v>112</v>
      </c>
      <c r="B625" s="30">
        <v>2007</v>
      </c>
      <c r="C625" s="30" t="s">
        <v>110</v>
      </c>
      <c r="D625" s="30">
        <v>12</v>
      </c>
      <c r="E625" s="30">
        <v>341.9</v>
      </c>
      <c r="F625" s="30">
        <v>0</v>
      </c>
    </row>
    <row r="626" spans="1:6" hidden="1" x14ac:dyDescent="0.25">
      <c r="A626" s="30" t="s">
        <v>113</v>
      </c>
      <c r="B626" s="30">
        <v>2007</v>
      </c>
      <c r="C626" s="30" t="s">
        <v>99</v>
      </c>
      <c r="D626" s="30">
        <v>1</v>
      </c>
      <c r="E626" s="30">
        <v>300.89999999999998</v>
      </c>
      <c r="F626" s="30">
        <v>0</v>
      </c>
    </row>
    <row r="627" spans="1:6" hidden="1" x14ac:dyDescent="0.25">
      <c r="A627" s="30" t="s">
        <v>113</v>
      </c>
      <c r="B627" s="30">
        <v>2007</v>
      </c>
      <c r="C627" s="30" t="s">
        <v>100</v>
      </c>
      <c r="D627" s="30">
        <v>2</v>
      </c>
      <c r="E627" s="30">
        <v>249.4</v>
      </c>
      <c r="F627" s="30">
        <v>0</v>
      </c>
    </row>
    <row r="628" spans="1:6" hidden="1" x14ac:dyDescent="0.25">
      <c r="A628" s="30" t="s">
        <v>113</v>
      </c>
      <c r="B628" s="30">
        <v>2007</v>
      </c>
      <c r="C628" s="30" t="s">
        <v>101</v>
      </c>
      <c r="D628" s="30">
        <v>3</v>
      </c>
      <c r="E628" s="30">
        <v>304</v>
      </c>
      <c r="F628" s="30">
        <v>0</v>
      </c>
    </row>
    <row r="629" spans="1:6" hidden="1" x14ac:dyDescent="0.25">
      <c r="A629" s="30" t="s">
        <v>113</v>
      </c>
      <c r="B629" s="30">
        <v>2007</v>
      </c>
      <c r="C629" s="30" t="s">
        <v>102</v>
      </c>
      <c r="D629" s="30">
        <v>4</v>
      </c>
      <c r="E629" s="30">
        <v>139.30000000000001</v>
      </c>
      <c r="F629" s="30">
        <v>18.3</v>
      </c>
    </row>
    <row r="630" spans="1:6" hidden="1" x14ac:dyDescent="0.25">
      <c r="A630" s="30" t="s">
        <v>113</v>
      </c>
      <c r="B630" s="30">
        <v>2007</v>
      </c>
      <c r="C630" s="30" t="s">
        <v>103</v>
      </c>
      <c r="D630" s="30">
        <v>5</v>
      </c>
      <c r="E630" s="30">
        <v>118</v>
      </c>
      <c r="F630" s="30">
        <v>11.4</v>
      </c>
    </row>
    <row r="631" spans="1:6" hidden="1" x14ac:dyDescent="0.25">
      <c r="A631" s="30" t="s">
        <v>113</v>
      </c>
      <c r="B631" s="30">
        <v>2007</v>
      </c>
      <c r="C631" s="30" t="s">
        <v>104</v>
      </c>
      <c r="D631" s="30">
        <v>6</v>
      </c>
      <c r="E631" s="30">
        <v>61.2</v>
      </c>
      <c r="F631" s="30">
        <v>29.9</v>
      </c>
    </row>
    <row r="632" spans="1:6" hidden="1" x14ac:dyDescent="0.25">
      <c r="A632" s="30" t="s">
        <v>113</v>
      </c>
      <c r="B632" s="30">
        <v>2007</v>
      </c>
      <c r="C632" s="30" t="s">
        <v>105</v>
      </c>
      <c r="D632" s="30">
        <v>7</v>
      </c>
      <c r="E632" s="30">
        <v>46.9</v>
      </c>
      <c r="F632" s="30">
        <v>41</v>
      </c>
    </row>
    <row r="633" spans="1:6" hidden="1" x14ac:dyDescent="0.25">
      <c r="A633" s="30" t="s">
        <v>113</v>
      </c>
      <c r="B633" s="30">
        <v>2007</v>
      </c>
      <c r="C633" s="30" t="s">
        <v>106</v>
      </c>
      <c r="D633" s="30">
        <v>8</v>
      </c>
      <c r="E633" s="30">
        <v>64.400000000000006</v>
      </c>
      <c r="F633" s="30">
        <v>37.6</v>
      </c>
    </row>
    <row r="634" spans="1:6" hidden="1" x14ac:dyDescent="0.25">
      <c r="A634" s="30" t="s">
        <v>113</v>
      </c>
      <c r="B634" s="30">
        <v>2007</v>
      </c>
      <c r="C634" s="30" t="s">
        <v>107</v>
      </c>
      <c r="D634" s="30">
        <v>9</v>
      </c>
      <c r="E634" s="30">
        <v>112.9</v>
      </c>
      <c r="F634" s="30">
        <v>19.600000000000001</v>
      </c>
    </row>
    <row r="635" spans="1:6" hidden="1" x14ac:dyDescent="0.25">
      <c r="A635" s="30" t="s">
        <v>113</v>
      </c>
      <c r="B635" s="30">
        <v>2007</v>
      </c>
      <c r="C635" s="30" t="s">
        <v>108</v>
      </c>
      <c r="D635" s="30">
        <v>10</v>
      </c>
      <c r="E635" s="30">
        <v>197.2</v>
      </c>
      <c r="F635" s="30">
        <v>4</v>
      </c>
    </row>
    <row r="636" spans="1:6" hidden="1" x14ac:dyDescent="0.25">
      <c r="A636" s="30" t="s">
        <v>113</v>
      </c>
      <c r="B636" s="30">
        <v>2007</v>
      </c>
      <c r="C636" s="30" t="s">
        <v>109</v>
      </c>
      <c r="D636" s="30">
        <v>11</v>
      </c>
      <c r="E636" s="30">
        <v>297.7</v>
      </c>
      <c r="F636" s="30">
        <v>0</v>
      </c>
    </row>
    <row r="637" spans="1:6" hidden="1" x14ac:dyDescent="0.25">
      <c r="A637" s="30" t="s">
        <v>113</v>
      </c>
      <c r="B637" s="30">
        <v>2007</v>
      </c>
      <c r="C637" s="30" t="s">
        <v>110</v>
      </c>
      <c r="D637" s="30">
        <v>12</v>
      </c>
      <c r="E637" s="30">
        <v>392.9</v>
      </c>
      <c r="F637" s="30">
        <v>0</v>
      </c>
    </row>
    <row r="638" spans="1:6" hidden="1" x14ac:dyDescent="0.25">
      <c r="A638" s="30" t="s">
        <v>114</v>
      </c>
      <c r="B638" s="30">
        <v>2007</v>
      </c>
      <c r="C638" s="30" t="s">
        <v>99</v>
      </c>
      <c r="D638" s="30">
        <v>1</v>
      </c>
      <c r="E638" s="30">
        <v>294.89999999999998</v>
      </c>
      <c r="F638" s="30">
        <v>0</v>
      </c>
    </row>
    <row r="639" spans="1:6" hidden="1" x14ac:dyDescent="0.25">
      <c r="A639" s="30" t="s">
        <v>114</v>
      </c>
      <c r="B639" s="30">
        <v>2007</v>
      </c>
      <c r="C639" s="30" t="s">
        <v>100</v>
      </c>
      <c r="D639" s="30">
        <v>2</v>
      </c>
      <c r="E639" s="30">
        <v>246.1</v>
      </c>
      <c r="F639" s="30">
        <v>0</v>
      </c>
    </row>
    <row r="640" spans="1:6" hidden="1" x14ac:dyDescent="0.25">
      <c r="A640" s="30" t="s">
        <v>114</v>
      </c>
      <c r="B640" s="30">
        <v>2007</v>
      </c>
      <c r="C640" s="30" t="s">
        <v>101</v>
      </c>
      <c r="D640" s="30">
        <v>3</v>
      </c>
      <c r="E640" s="30">
        <v>296.7</v>
      </c>
      <c r="F640" s="30">
        <v>0</v>
      </c>
    </row>
    <row r="641" spans="1:6" hidden="1" x14ac:dyDescent="0.25">
      <c r="A641" s="30" t="s">
        <v>114</v>
      </c>
      <c r="B641" s="30">
        <v>2007</v>
      </c>
      <c r="C641" s="30" t="s">
        <v>102</v>
      </c>
      <c r="D641" s="30">
        <v>4</v>
      </c>
      <c r="E641" s="30">
        <v>175.3</v>
      </c>
      <c r="F641" s="30">
        <v>6.9</v>
      </c>
    </row>
    <row r="642" spans="1:6" hidden="1" x14ac:dyDescent="0.25">
      <c r="A642" s="30" t="s">
        <v>114</v>
      </c>
      <c r="B642" s="30">
        <v>2007</v>
      </c>
      <c r="C642" s="30" t="s">
        <v>103</v>
      </c>
      <c r="D642" s="30">
        <v>5</v>
      </c>
      <c r="E642" s="30">
        <v>132.9</v>
      </c>
      <c r="F642" s="30">
        <v>4.0999999999999996</v>
      </c>
    </row>
    <row r="643" spans="1:6" hidden="1" x14ac:dyDescent="0.25">
      <c r="A643" s="30" t="s">
        <v>114</v>
      </c>
      <c r="B643" s="30">
        <v>2007</v>
      </c>
      <c r="C643" s="30" t="s">
        <v>104</v>
      </c>
      <c r="D643" s="30">
        <v>6</v>
      </c>
      <c r="E643" s="30">
        <v>70.3</v>
      </c>
      <c r="F643" s="30">
        <v>18.600000000000001</v>
      </c>
    </row>
    <row r="644" spans="1:6" hidden="1" x14ac:dyDescent="0.25">
      <c r="A644" s="30" t="s">
        <v>114</v>
      </c>
      <c r="B644" s="30">
        <v>2007</v>
      </c>
      <c r="C644" s="30" t="s">
        <v>105</v>
      </c>
      <c r="D644" s="30">
        <v>7</v>
      </c>
      <c r="E644" s="30">
        <v>52.9</v>
      </c>
      <c r="F644" s="30">
        <v>25.6</v>
      </c>
    </row>
    <row r="645" spans="1:6" hidden="1" x14ac:dyDescent="0.25">
      <c r="A645" s="30" t="s">
        <v>114</v>
      </c>
      <c r="B645" s="30">
        <v>2007</v>
      </c>
      <c r="C645" s="30" t="s">
        <v>106</v>
      </c>
      <c r="D645" s="30">
        <v>8</v>
      </c>
      <c r="E645" s="30">
        <v>59.8</v>
      </c>
      <c r="F645" s="30">
        <v>26.7</v>
      </c>
    </row>
    <row r="646" spans="1:6" hidden="1" x14ac:dyDescent="0.25">
      <c r="A646" s="30" t="s">
        <v>114</v>
      </c>
      <c r="B646" s="30">
        <v>2007</v>
      </c>
      <c r="C646" s="30" t="s">
        <v>107</v>
      </c>
      <c r="D646" s="30">
        <v>9</v>
      </c>
      <c r="E646" s="30">
        <v>95.5</v>
      </c>
      <c r="F646" s="30">
        <v>11.3</v>
      </c>
    </row>
    <row r="647" spans="1:6" hidden="1" x14ac:dyDescent="0.25">
      <c r="A647" s="30" t="s">
        <v>114</v>
      </c>
      <c r="B647" s="30">
        <v>2007</v>
      </c>
      <c r="C647" s="30" t="s">
        <v>108</v>
      </c>
      <c r="D647" s="30">
        <v>10</v>
      </c>
      <c r="E647" s="30">
        <v>183.1</v>
      </c>
      <c r="F647" s="30">
        <v>1.6</v>
      </c>
    </row>
    <row r="648" spans="1:6" hidden="1" x14ac:dyDescent="0.25">
      <c r="A648" s="30" t="s">
        <v>114</v>
      </c>
      <c r="B648" s="30">
        <v>2007</v>
      </c>
      <c r="C648" s="30" t="s">
        <v>109</v>
      </c>
      <c r="D648" s="30">
        <v>11</v>
      </c>
      <c r="E648" s="30">
        <v>258.7</v>
      </c>
      <c r="F648" s="30">
        <v>0</v>
      </c>
    </row>
    <row r="649" spans="1:6" hidden="1" x14ac:dyDescent="0.25">
      <c r="A649" s="30" t="s">
        <v>114</v>
      </c>
      <c r="B649" s="30">
        <v>2007</v>
      </c>
      <c r="C649" s="30" t="s">
        <v>110</v>
      </c>
      <c r="D649" s="30">
        <v>12</v>
      </c>
      <c r="E649" s="30">
        <v>370.9</v>
      </c>
      <c r="F649" s="30">
        <v>0</v>
      </c>
    </row>
    <row r="650" spans="1:6" hidden="1" x14ac:dyDescent="0.25">
      <c r="A650" s="30" t="s">
        <v>115</v>
      </c>
      <c r="B650" s="30">
        <v>2007</v>
      </c>
      <c r="C650" s="30" t="s">
        <v>99</v>
      </c>
      <c r="D650" s="30">
        <v>1</v>
      </c>
      <c r="E650" s="30">
        <v>284.8</v>
      </c>
      <c r="F650" s="30">
        <v>0</v>
      </c>
    </row>
    <row r="651" spans="1:6" hidden="1" x14ac:dyDescent="0.25">
      <c r="A651" s="30" t="s">
        <v>115</v>
      </c>
      <c r="B651" s="30">
        <v>2007</v>
      </c>
      <c r="C651" s="30" t="s">
        <v>100</v>
      </c>
      <c r="D651" s="30">
        <v>2</v>
      </c>
      <c r="E651" s="30">
        <v>237.2</v>
      </c>
      <c r="F651" s="30">
        <v>0</v>
      </c>
    </row>
    <row r="652" spans="1:6" hidden="1" x14ac:dyDescent="0.25">
      <c r="A652" s="30" t="s">
        <v>115</v>
      </c>
      <c r="B652" s="30">
        <v>2007</v>
      </c>
      <c r="C652" s="30" t="s">
        <v>101</v>
      </c>
      <c r="D652" s="30">
        <v>3</v>
      </c>
      <c r="E652" s="30">
        <v>289</v>
      </c>
      <c r="F652" s="30">
        <v>0</v>
      </c>
    </row>
    <row r="653" spans="1:6" hidden="1" x14ac:dyDescent="0.25">
      <c r="A653" s="30" t="s">
        <v>115</v>
      </c>
      <c r="B653" s="30">
        <v>2007</v>
      </c>
      <c r="C653" s="30" t="s">
        <v>102</v>
      </c>
      <c r="D653" s="30">
        <v>4</v>
      </c>
      <c r="E653" s="30">
        <v>133.80000000000001</v>
      </c>
      <c r="F653" s="30">
        <v>9.3000000000000007</v>
      </c>
    </row>
    <row r="654" spans="1:6" hidden="1" x14ac:dyDescent="0.25">
      <c r="A654" s="30" t="s">
        <v>115</v>
      </c>
      <c r="B654" s="30">
        <v>2007</v>
      </c>
      <c r="C654" s="30" t="s">
        <v>103</v>
      </c>
      <c r="D654" s="30">
        <v>5</v>
      </c>
      <c r="E654" s="30">
        <v>130</v>
      </c>
      <c r="F654" s="30">
        <v>10.8</v>
      </c>
    </row>
    <row r="655" spans="1:6" hidden="1" x14ac:dyDescent="0.25">
      <c r="A655" s="30" t="s">
        <v>115</v>
      </c>
      <c r="B655" s="30">
        <v>2007</v>
      </c>
      <c r="C655" s="30" t="s">
        <v>104</v>
      </c>
      <c r="D655" s="30">
        <v>6</v>
      </c>
      <c r="E655" s="30">
        <v>68.099999999999994</v>
      </c>
      <c r="F655" s="30">
        <v>16.5</v>
      </c>
    </row>
    <row r="656" spans="1:6" hidden="1" x14ac:dyDescent="0.25">
      <c r="A656" s="30" t="s">
        <v>115</v>
      </c>
      <c r="B656" s="30">
        <v>2007</v>
      </c>
      <c r="C656" s="30" t="s">
        <v>105</v>
      </c>
      <c r="D656" s="30">
        <v>7</v>
      </c>
      <c r="E656" s="30">
        <v>54.7</v>
      </c>
      <c r="F656" s="30">
        <v>14.3</v>
      </c>
    </row>
    <row r="657" spans="1:6" hidden="1" x14ac:dyDescent="0.25">
      <c r="A657" s="30" t="s">
        <v>115</v>
      </c>
      <c r="B657" s="30">
        <v>2007</v>
      </c>
      <c r="C657" s="30" t="s">
        <v>106</v>
      </c>
      <c r="D657" s="30">
        <v>8</v>
      </c>
      <c r="E657" s="30">
        <v>60.4</v>
      </c>
      <c r="F657" s="30">
        <v>29.7</v>
      </c>
    </row>
    <row r="658" spans="1:6" hidden="1" x14ac:dyDescent="0.25">
      <c r="A658" s="30" t="s">
        <v>115</v>
      </c>
      <c r="B658" s="30">
        <v>2007</v>
      </c>
      <c r="C658" s="30" t="s">
        <v>107</v>
      </c>
      <c r="D658" s="30">
        <v>9</v>
      </c>
      <c r="E658" s="30">
        <v>103.1</v>
      </c>
      <c r="F658" s="30">
        <v>19.600000000000001</v>
      </c>
    </row>
    <row r="659" spans="1:6" hidden="1" x14ac:dyDescent="0.25">
      <c r="A659" s="30" t="s">
        <v>115</v>
      </c>
      <c r="B659" s="30">
        <v>2007</v>
      </c>
      <c r="C659" s="30" t="s">
        <v>108</v>
      </c>
      <c r="D659" s="30">
        <v>10</v>
      </c>
      <c r="E659" s="30">
        <v>171.2</v>
      </c>
      <c r="F659" s="30">
        <v>4.7</v>
      </c>
    </row>
    <row r="660" spans="1:6" hidden="1" x14ac:dyDescent="0.25">
      <c r="A660" s="30" t="s">
        <v>115</v>
      </c>
      <c r="B660" s="30">
        <v>2007</v>
      </c>
      <c r="C660" s="30" t="s">
        <v>109</v>
      </c>
      <c r="D660" s="30">
        <v>11</v>
      </c>
      <c r="E660" s="30">
        <v>271.89999999999998</v>
      </c>
      <c r="F660" s="30">
        <v>0</v>
      </c>
    </row>
    <row r="661" spans="1:6" hidden="1" x14ac:dyDescent="0.25">
      <c r="A661" s="30" t="s">
        <v>115</v>
      </c>
      <c r="B661" s="30">
        <v>2007</v>
      </c>
      <c r="C661" s="30" t="s">
        <v>110</v>
      </c>
      <c r="D661" s="30">
        <v>12</v>
      </c>
      <c r="E661" s="30">
        <v>354</v>
      </c>
      <c r="F661" s="30">
        <v>0</v>
      </c>
    </row>
    <row r="662" spans="1:6" x14ac:dyDescent="0.25">
      <c r="A662" s="30" t="s">
        <v>116</v>
      </c>
      <c r="B662" s="30">
        <v>2007</v>
      </c>
      <c r="C662" s="30" t="s">
        <v>99</v>
      </c>
      <c r="D662" s="30">
        <v>1</v>
      </c>
      <c r="E662" s="30">
        <v>286.60000000000002</v>
      </c>
      <c r="F662" s="30">
        <v>0</v>
      </c>
    </row>
    <row r="663" spans="1:6" x14ac:dyDescent="0.25">
      <c r="A663" s="30" t="s">
        <v>116</v>
      </c>
      <c r="B663" s="30">
        <v>2007</v>
      </c>
      <c r="C663" s="30" t="s">
        <v>100</v>
      </c>
      <c r="D663" s="30">
        <v>2</v>
      </c>
      <c r="E663" s="30">
        <v>234.6</v>
      </c>
      <c r="F663" s="30">
        <v>0</v>
      </c>
    </row>
    <row r="664" spans="1:6" x14ac:dyDescent="0.25">
      <c r="A664" s="30" t="s">
        <v>116</v>
      </c>
      <c r="B664" s="30">
        <v>2007</v>
      </c>
      <c r="C664" s="30" t="s">
        <v>101</v>
      </c>
      <c r="D664" s="30">
        <v>3</v>
      </c>
      <c r="E664" s="30">
        <v>281.5</v>
      </c>
      <c r="F664" s="30">
        <v>0</v>
      </c>
    </row>
    <row r="665" spans="1:6" x14ac:dyDescent="0.25">
      <c r="A665" s="30" t="s">
        <v>116</v>
      </c>
      <c r="B665" s="30">
        <v>2007</v>
      </c>
      <c r="C665" s="30" t="s">
        <v>102</v>
      </c>
      <c r="D665" s="30">
        <v>4</v>
      </c>
      <c r="E665" s="30">
        <v>122.3</v>
      </c>
      <c r="F665" s="30">
        <v>17.3</v>
      </c>
    </row>
    <row r="666" spans="1:6" x14ac:dyDescent="0.25">
      <c r="A666" s="30" t="s">
        <v>116</v>
      </c>
      <c r="B666" s="30">
        <v>2007</v>
      </c>
      <c r="C666" s="30" t="s">
        <v>103</v>
      </c>
      <c r="D666" s="30">
        <v>5</v>
      </c>
      <c r="E666" s="30">
        <v>114.5</v>
      </c>
      <c r="F666" s="30">
        <v>12.2</v>
      </c>
    </row>
    <row r="667" spans="1:6" x14ac:dyDescent="0.25">
      <c r="A667" s="30" t="s">
        <v>116</v>
      </c>
      <c r="B667" s="30">
        <v>2007</v>
      </c>
      <c r="C667" s="30" t="s">
        <v>104</v>
      </c>
      <c r="D667" s="30">
        <v>6</v>
      </c>
      <c r="E667" s="30">
        <v>55.9</v>
      </c>
      <c r="F667" s="30">
        <v>25.3</v>
      </c>
    </row>
    <row r="668" spans="1:6" x14ac:dyDescent="0.25">
      <c r="A668" s="30" t="s">
        <v>116</v>
      </c>
      <c r="B668" s="30">
        <v>2007</v>
      </c>
      <c r="C668" s="30" t="s">
        <v>105</v>
      </c>
      <c r="D668" s="30">
        <v>7</v>
      </c>
      <c r="E668" s="30">
        <v>43.1</v>
      </c>
      <c r="F668" s="30">
        <v>25.4</v>
      </c>
    </row>
    <row r="669" spans="1:6" x14ac:dyDescent="0.25">
      <c r="A669" s="30" t="s">
        <v>116</v>
      </c>
      <c r="B669" s="30">
        <v>2007</v>
      </c>
      <c r="C669" s="30" t="s">
        <v>106</v>
      </c>
      <c r="D669" s="30">
        <v>8</v>
      </c>
      <c r="E669" s="30">
        <v>55.3</v>
      </c>
      <c r="F669" s="30">
        <v>37.1</v>
      </c>
    </row>
    <row r="670" spans="1:6" x14ac:dyDescent="0.25">
      <c r="A670" s="30" t="s">
        <v>116</v>
      </c>
      <c r="B670" s="30">
        <v>2007</v>
      </c>
      <c r="C670" s="30" t="s">
        <v>107</v>
      </c>
      <c r="D670" s="30">
        <v>9</v>
      </c>
      <c r="E670" s="30">
        <v>112.1</v>
      </c>
      <c r="F670" s="30">
        <v>23.2</v>
      </c>
    </row>
    <row r="671" spans="1:6" x14ac:dyDescent="0.25">
      <c r="A671" s="30" t="s">
        <v>116</v>
      </c>
      <c r="B671" s="30">
        <v>2007</v>
      </c>
      <c r="C671" s="30" t="s">
        <v>108</v>
      </c>
      <c r="D671" s="30">
        <v>10</v>
      </c>
      <c r="E671" s="30">
        <v>182.5</v>
      </c>
      <c r="F671" s="30">
        <v>5.4</v>
      </c>
    </row>
    <row r="672" spans="1:6" x14ac:dyDescent="0.25">
      <c r="A672" s="30" t="s">
        <v>116</v>
      </c>
      <c r="B672" s="30">
        <v>2007</v>
      </c>
      <c r="C672" s="30" t="s">
        <v>109</v>
      </c>
      <c r="D672" s="30">
        <v>11</v>
      </c>
      <c r="E672" s="30">
        <v>298.7</v>
      </c>
      <c r="F672" s="30">
        <v>0</v>
      </c>
    </row>
    <row r="673" spans="1:6" x14ac:dyDescent="0.25">
      <c r="A673" s="30" t="s">
        <v>116</v>
      </c>
      <c r="B673" s="30">
        <v>2007</v>
      </c>
      <c r="C673" s="30" t="s">
        <v>110</v>
      </c>
      <c r="D673" s="30">
        <v>12</v>
      </c>
      <c r="E673" s="30">
        <v>367.6</v>
      </c>
      <c r="F673" s="30">
        <v>0</v>
      </c>
    </row>
    <row r="674" spans="1:6" hidden="1" x14ac:dyDescent="0.25">
      <c r="A674" s="30" t="s">
        <v>98</v>
      </c>
      <c r="B674" s="30">
        <v>2008</v>
      </c>
      <c r="C674" s="30" t="s">
        <v>99</v>
      </c>
      <c r="D674" s="30">
        <v>1</v>
      </c>
      <c r="E674" s="30">
        <v>313.3</v>
      </c>
      <c r="F674" s="30">
        <v>0</v>
      </c>
    </row>
    <row r="675" spans="1:6" hidden="1" x14ac:dyDescent="0.25">
      <c r="A675" s="30" t="s">
        <v>98</v>
      </c>
      <c r="B675" s="30">
        <v>2008</v>
      </c>
      <c r="C675" s="30" t="s">
        <v>100</v>
      </c>
      <c r="D675" s="30">
        <v>2</v>
      </c>
      <c r="E675" s="30">
        <v>308.7</v>
      </c>
      <c r="F675" s="30">
        <v>0</v>
      </c>
    </row>
    <row r="676" spans="1:6" hidden="1" x14ac:dyDescent="0.25">
      <c r="A676" s="30" t="s">
        <v>98</v>
      </c>
      <c r="B676" s="30">
        <v>2008</v>
      </c>
      <c r="C676" s="30" t="s">
        <v>101</v>
      </c>
      <c r="D676" s="30">
        <v>3</v>
      </c>
      <c r="E676" s="30">
        <v>319.10000000000002</v>
      </c>
      <c r="F676" s="30">
        <v>0</v>
      </c>
    </row>
    <row r="677" spans="1:6" hidden="1" x14ac:dyDescent="0.25">
      <c r="A677" s="30" t="s">
        <v>98</v>
      </c>
      <c r="B677" s="30">
        <v>2008</v>
      </c>
      <c r="C677" s="30" t="s">
        <v>102</v>
      </c>
      <c r="D677" s="30">
        <v>4</v>
      </c>
      <c r="E677" s="30">
        <v>263</v>
      </c>
      <c r="F677" s="30">
        <v>1.1000000000000001</v>
      </c>
    </row>
    <row r="678" spans="1:6" hidden="1" x14ac:dyDescent="0.25">
      <c r="A678" s="30" t="s">
        <v>98</v>
      </c>
      <c r="B678" s="30">
        <v>2008</v>
      </c>
      <c r="C678" s="30" t="s">
        <v>103</v>
      </c>
      <c r="D678" s="30">
        <v>5</v>
      </c>
      <c r="E678" s="30">
        <v>130.80000000000001</v>
      </c>
      <c r="F678" s="30">
        <v>5.7</v>
      </c>
    </row>
    <row r="679" spans="1:6" hidden="1" x14ac:dyDescent="0.25">
      <c r="A679" s="30" t="s">
        <v>98</v>
      </c>
      <c r="B679" s="30">
        <v>2008</v>
      </c>
      <c r="C679" s="30" t="s">
        <v>104</v>
      </c>
      <c r="D679" s="30">
        <v>6</v>
      </c>
      <c r="E679" s="30">
        <v>107.4</v>
      </c>
      <c r="F679" s="30">
        <v>11.4</v>
      </c>
    </row>
    <row r="680" spans="1:6" hidden="1" x14ac:dyDescent="0.25">
      <c r="A680" s="30" t="s">
        <v>98</v>
      </c>
      <c r="B680" s="30">
        <v>2008</v>
      </c>
      <c r="C680" s="30" t="s">
        <v>105</v>
      </c>
      <c r="D680" s="30">
        <v>7</v>
      </c>
      <c r="E680" s="30">
        <v>62.9</v>
      </c>
      <c r="F680" s="30">
        <v>29.6</v>
      </c>
    </row>
    <row r="681" spans="1:6" hidden="1" x14ac:dyDescent="0.25">
      <c r="A681" s="30" t="s">
        <v>98</v>
      </c>
      <c r="B681" s="30">
        <v>2008</v>
      </c>
      <c r="C681" s="30" t="s">
        <v>106</v>
      </c>
      <c r="D681" s="30">
        <v>8</v>
      </c>
      <c r="E681" s="30">
        <v>52.8</v>
      </c>
      <c r="F681" s="30">
        <v>22.6</v>
      </c>
    </row>
    <row r="682" spans="1:6" hidden="1" x14ac:dyDescent="0.25">
      <c r="A682" s="30" t="s">
        <v>98</v>
      </c>
      <c r="B682" s="30">
        <v>2008</v>
      </c>
      <c r="C682" s="30" t="s">
        <v>107</v>
      </c>
      <c r="D682" s="30">
        <v>9</v>
      </c>
      <c r="E682" s="30">
        <v>126.2</v>
      </c>
      <c r="F682" s="30">
        <v>2.2000000000000002</v>
      </c>
    </row>
    <row r="683" spans="1:6" hidden="1" x14ac:dyDescent="0.25">
      <c r="A683" s="30" t="s">
        <v>98</v>
      </c>
      <c r="B683" s="30">
        <v>2008</v>
      </c>
      <c r="C683" s="30" t="s">
        <v>108</v>
      </c>
      <c r="D683" s="30">
        <v>10</v>
      </c>
      <c r="E683" s="30">
        <v>201.1</v>
      </c>
      <c r="F683" s="30">
        <v>2.2000000000000002</v>
      </c>
    </row>
    <row r="684" spans="1:6" hidden="1" x14ac:dyDescent="0.25">
      <c r="A684" s="30" t="s">
        <v>98</v>
      </c>
      <c r="B684" s="30">
        <v>2008</v>
      </c>
      <c r="C684" s="30" t="s">
        <v>109</v>
      </c>
      <c r="D684" s="30">
        <v>11</v>
      </c>
      <c r="E684" s="30">
        <v>268.3</v>
      </c>
      <c r="F684" s="30">
        <v>0</v>
      </c>
    </row>
    <row r="685" spans="1:6" hidden="1" x14ac:dyDescent="0.25">
      <c r="A685" s="30" t="s">
        <v>98</v>
      </c>
      <c r="B685" s="30">
        <v>2008</v>
      </c>
      <c r="C685" s="30" t="s">
        <v>110</v>
      </c>
      <c r="D685" s="30">
        <v>12</v>
      </c>
      <c r="E685" s="30">
        <v>406.8</v>
      </c>
      <c r="F685" s="30">
        <v>0</v>
      </c>
    </row>
    <row r="686" spans="1:6" hidden="1" x14ac:dyDescent="0.25">
      <c r="A686" s="30" t="s">
        <v>111</v>
      </c>
      <c r="B686" s="30">
        <v>2008</v>
      </c>
      <c r="C686" s="30" t="s">
        <v>99</v>
      </c>
      <c r="D686" s="30">
        <v>1</v>
      </c>
      <c r="E686" s="30">
        <v>300.2</v>
      </c>
      <c r="F686" s="30">
        <v>0</v>
      </c>
    </row>
    <row r="687" spans="1:6" hidden="1" x14ac:dyDescent="0.25">
      <c r="A687" s="30" t="s">
        <v>111</v>
      </c>
      <c r="B687" s="30">
        <v>2008</v>
      </c>
      <c r="C687" s="30" t="s">
        <v>100</v>
      </c>
      <c r="D687" s="30">
        <v>2</v>
      </c>
      <c r="E687" s="30">
        <v>286.2</v>
      </c>
      <c r="F687" s="30">
        <v>0</v>
      </c>
    </row>
    <row r="688" spans="1:6" hidden="1" x14ac:dyDescent="0.25">
      <c r="A688" s="30" t="s">
        <v>111</v>
      </c>
      <c r="B688" s="30">
        <v>2008</v>
      </c>
      <c r="C688" s="30" t="s">
        <v>101</v>
      </c>
      <c r="D688" s="30">
        <v>3</v>
      </c>
      <c r="E688" s="30">
        <v>302</v>
      </c>
      <c r="F688" s="30">
        <v>0</v>
      </c>
    </row>
    <row r="689" spans="1:6" hidden="1" x14ac:dyDescent="0.25">
      <c r="A689" s="30" t="s">
        <v>111</v>
      </c>
      <c r="B689" s="30">
        <v>2008</v>
      </c>
      <c r="C689" s="30" t="s">
        <v>102</v>
      </c>
      <c r="D689" s="30">
        <v>4</v>
      </c>
      <c r="E689" s="30">
        <v>261.5</v>
      </c>
      <c r="F689" s="30">
        <v>0.1</v>
      </c>
    </row>
    <row r="690" spans="1:6" hidden="1" x14ac:dyDescent="0.25">
      <c r="A690" s="30" t="s">
        <v>111</v>
      </c>
      <c r="B690" s="30">
        <v>2008</v>
      </c>
      <c r="C690" s="30" t="s">
        <v>103</v>
      </c>
      <c r="D690" s="30">
        <v>5</v>
      </c>
      <c r="E690" s="30">
        <v>118.8</v>
      </c>
      <c r="F690" s="30">
        <v>10.5</v>
      </c>
    </row>
    <row r="691" spans="1:6" hidden="1" x14ac:dyDescent="0.25">
      <c r="A691" s="30" t="s">
        <v>111</v>
      </c>
      <c r="B691" s="30">
        <v>2008</v>
      </c>
      <c r="C691" s="30" t="s">
        <v>104</v>
      </c>
      <c r="D691" s="30">
        <v>6</v>
      </c>
      <c r="E691" s="30">
        <v>99.6</v>
      </c>
      <c r="F691" s="30">
        <v>8.6999999999999993</v>
      </c>
    </row>
    <row r="692" spans="1:6" hidden="1" x14ac:dyDescent="0.25">
      <c r="A692" s="30" t="s">
        <v>111</v>
      </c>
      <c r="B692" s="30">
        <v>2008</v>
      </c>
      <c r="C692" s="30" t="s">
        <v>105</v>
      </c>
      <c r="D692" s="30">
        <v>7</v>
      </c>
      <c r="E692" s="30">
        <v>66</v>
      </c>
      <c r="F692" s="30">
        <v>18.2</v>
      </c>
    </row>
    <row r="693" spans="1:6" hidden="1" x14ac:dyDescent="0.25">
      <c r="A693" s="30" t="s">
        <v>111</v>
      </c>
      <c r="B693" s="30">
        <v>2008</v>
      </c>
      <c r="C693" s="30" t="s">
        <v>106</v>
      </c>
      <c r="D693" s="30">
        <v>8</v>
      </c>
      <c r="E693" s="30">
        <v>58.8</v>
      </c>
      <c r="F693" s="30">
        <v>10.199999999999999</v>
      </c>
    </row>
    <row r="694" spans="1:6" hidden="1" x14ac:dyDescent="0.25">
      <c r="A694" s="30" t="s">
        <v>111</v>
      </c>
      <c r="B694" s="30">
        <v>2008</v>
      </c>
      <c r="C694" s="30" t="s">
        <v>107</v>
      </c>
      <c r="D694" s="30">
        <v>9</v>
      </c>
      <c r="E694" s="30">
        <v>120.4</v>
      </c>
      <c r="F694" s="30">
        <v>2.2999999999999998</v>
      </c>
    </row>
    <row r="695" spans="1:6" hidden="1" x14ac:dyDescent="0.25">
      <c r="A695" s="30" t="s">
        <v>111</v>
      </c>
      <c r="B695" s="30">
        <v>2008</v>
      </c>
      <c r="C695" s="30" t="s">
        <v>108</v>
      </c>
      <c r="D695" s="30">
        <v>10</v>
      </c>
      <c r="E695" s="30">
        <v>202.7</v>
      </c>
      <c r="F695" s="30">
        <v>2</v>
      </c>
    </row>
    <row r="696" spans="1:6" hidden="1" x14ac:dyDescent="0.25">
      <c r="A696" s="30" t="s">
        <v>111</v>
      </c>
      <c r="B696" s="30">
        <v>2008</v>
      </c>
      <c r="C696" s="30" t="s">
        <v>109</v>
      </c>
      <c r="D696" s="30">
        <v>11</v>
      </c>
      <c r="E696" s="30">
        <v>259.10000000000002</v>
      </c>
      <c r="F696" s="30">
        <v>0</v>
      </c>
    </row>
    <row r="697" spans="1:6" hidden="1" x14ac:dyDescent="0.25">
      <c r="A697" s="30" t="s">
        <v>111</v>
      </c>
      <c r="B697" s="30">
        <v>2008</v>
      </c>
      <c r="C697" s="30" t="s">
        <v>110</v>
      </c>
      <c r="D697" s="30">
        <v>12</v>
      </c>
      <c r="E697" s="30">
        <v>396.1</v>
      </c>
      <c r="F697" s="30">
        <v>0</v>
      </c>
    </row>
    <row r="698" spans="1:6" hidden="1" x14ac:dyDescent="0.25">
      <c r="A698" s="30" t="s">
        <v>112</v>
      </c>
      <c r="B698" s="30">
        <v>2008</v>
      </c>
      <c r="C698" s="30" t="s">
        <v>99</v>
      </c>
      <c r="D698" s="30">
        <v>1</v>
      </c>
      <c r="E698" s="30">
        <v>300.8</v>
      </c>
      <c r="F698" s="30">
        <v>0</v>
      </c>
    </row>
    <row r="699" spans="1:6" hidden="1" x14ac:dyDescent="0.25">
      <c r="A699" s="30" t="s">
        <v>112</v>
      </c>
      <c r="B699" s="30">
        <v>2008</v>
      </c>
      <c r="C699" s="30" t="s">
        <v>100</v>
      </c>
      <c r="D699" s="30">
        <v>2</v>
      </c>
      <c r="E699" s="30">
        <v>288.10000000000002</v>
      </c>
      <c r="F699" s="30">
        <v>0</v>
      </c>
    </row>
    <row r="700" spans="1:6" hidden="1" x14ac:dyDescent="0.25">
      <c r="A700" s="30" t="s">
        <v>112</v>
      </c>
      <c r="B700" s="30">
        <v>2008</v>
      </c>
      <c r="C700" s="30" t="s">
        <v>101</v>
      </c>
      <c r="D700" s="30">
        <v>3</v>
      </c>
      <c r="E700" s="30">
        <v>291.39999999999998</v>
      </c>
      <c r="F700" s="30">
        <v>0</v>
      </c>
    </row>
    <row r="701" spans="1:6" hidden="1" x14ac:dyDescent="0.25">
      <c r="A701" s="30" t="s">
        <v>112</v>
      </c>
      <c r="B701" s="30">
        <v>2008</v>
      </c>
      <c r="C701" s="30" t="s">
        <v>102</v>
      </c>
      <c r="D701" s="30">
        <v>4</v>
      </c>
      <c r="E701" s="30">
        <v>247.9</v>
      </c>
      <c r="F701" s="30">
        <v>0.1</v>
      </c>
    </row>
    <row r="702" spans="1:6" hidden="1" x14ac:dyDescent="0.25">
      <c r="A702" s="30" t="s">
        <v>112</v>
      </c>
      <c r="B702" s="30">
        <v>2008</v>
      </c>
      <c r="C702" s="30" t="s">
        <v>103</v>
      </c>
      <c r="D702" s="30">
        <v>5</v>
      </c>
      <c r="E702" s="30">
        <v>115.3</v>
      </c>
      <c r="F702" s="30">
        <v>13.2</v>
      </c>
    </row>
    <row r="703" spans="1:6" hidden="1" x14ac:dyDescent="0.25">
      <c r="A703" s="30" t="s">
        <v>112</v>
      </c>
      <c r="B703" s="30">
        <v>2008</v>
      </c>
      <c r="C703" s="30" t="s">
        <v>104</v>
      </c>
      <c r="D703" s="30">
        <v>6</v>
      </c>
      <c r="E703" s="30">
        <v>86.2</v>
      </c>
      <c r="F703" s="30">
        <v>14.5</v>
      </c>
    </row>
    <row r="704" spans="1:6" hidden="1" x14ac:dyDescent="0.25">
      <c r="A704" s="30" t="s">
        <v>112</v>
      </c>
      <c r="B704" s="30">
        <v>2008</v>
      </c>
      <c r="C704" s="30" t="s">
        <v>105</v>
      </c>
      <c r="D704" s="30">
        <v>7</v>
      </c>
      <c r="E704" s="30">
        <v>63.9</v>
      </c>
      <c r="F704" s="30">
        <v>19.2</v>
      </c>
    </row>
    <row r="705" spans="1:6" hidden="1" x14ac:dyDescent="0.25">
      <c r="A705" s="30" t="s">
        <v>112</v>
      </c>
      <c r="B705" s="30">
        <v>2008</v>
      </c>
      <c r="C705" s="30" t="s">
        <v>106</v>
      </c>
      <c r="D705" s="30">
        <v>8</v>
      </c>
      <c r="E705" s="30">
        <v>54.5</v>
      </c>
      <c r="F705" s="30">
        <v>13.2</v>
      </c>
    </row>
    <row r="706" spans="1:6" hidden="1" x14ac:dyDescent="0.25">
      <c r="A706" s="30" t="s">
        <v>112</v>
      </c>
      <c r="B706" s="30">
        <v>2008</v>
      </c>
      <c r="C706" s="30" t="s">
        <v>107</v>
      </c>
      <c r="D706" s="30">
        <v>9</v>
      </c>
      <c r="E706" s="30">
        <v>110.7</v>
      </c>
      <c r="F706" s="30">
        <v>4</v>
      </c>
    </row>
    <row r="707" spans="1:6" hidden="1" x14ac:dyDescent="0.25">
      <c r="A707" s="30" t="s">
        <v>112</v>
      </c>
      <c r="B707" s="30">
        <v>2008</v>
      </c>
      <c r="C707" s="30" t="s">
        <v>108</v>
      </c>
      <c r="D707" s="30">
        <v>10</v>
      </c>
      <c r="E707" s="30">
        <v>197.2</v>
      </c>
      <c r="F707" s="30">
        <v>0.9</v>
      </c>
    </row>
    <row r="708" spans="1:6" hidden="1" x14ac:dyDescent="0.25">
      <c r="A708" s="30" t="s">
        <v>112</v>
      </c>
      <c r="B708" s="30">
        <v>2008</v>
      </c>
      <c r="C708" s="30" t="s">
        <v>109</v>
      </c>
      <c r="D708" s="30">
        <v>11</v>
      </c>
      <c r="E708" s="30">
        <v>254.4</v>
      </c>
      <c r="F708" s="30">
        <v>0</v>
      </c>
    </row>
    <row r="709" spans="1:6" hidden="1" x14ac:dyDescent="0.25">
      <c r="A709" s="30" t="s">
        <v>112</v>
      </c>
      <c r="B709" s="30">
        <v>2008</v>
      </c>
      <c r="C709" s="30" t="s">
        <v>110</v>
      </c>
      <c r="D709" s="30">
        <v>12</v>
      </c>
      <c r="E709" s="30">
        <v>381.9</v>
      </c>
      <c r="F709" s="30">
        <v>0</v>
      </c>
    </row>
    <row r="710" spans="1:6" hidden="1" x14ac:dyDescent="0.25">
      <c r="A710" s="30" t="s">
        <v>113</v>
      </c>
      <c r="B710" s="30">
        <v>2008</v>
      </c>
      <c r="C710" s="30" t="s">
        <v>99</v>
      </c>
      <c r="D710" s="30">
        <v>1</v>
      </c>
      <c r="E710" s="30">
        <v>327.10000000000002</v>
      </c>
      <c r="F710" s="30">
        <v>0</v>
      </c>
    </row>
    <row r="711" spans="1:6" hidden="1" x14ac:dyDescent="0.25">
      <c r="A711" s="30" t="s">
        <v>113</v>
      </c>
      <c r="B711" s="30">
        <v>2008</v>
      </c>
      <c r="C711" s="30" t="s">
        <v>100</v>
      </c>
      <c r="D711" s="30">
        <v>2</v>
      </c>
      <c r="E711" s="30">
        <v>308.5</v>
      </c>
      <c r="F711" s="30">
        <v>0</v>
      </c>
    </row>
    <row r="712" spans="1:6" hidden="1" x14ac:dyDescent="0.25">
      <c r="A712" s="30" t="s">
        <v>113</v>
      </c>
      <c r="B712" s="30">
        <v>2008</v>
      </c>
      <c r="C712" s="30" t="s">
        <v>101</v>
      </c>
      <c r="D712" s="30">
        <v>3</v>
      </c>
      <c r="E712" s="30">
        <v>309</v>
      </c>
      <c r="F712" s="30">
        <v>0</v>
      </c>
    </row>
    <row r="713" spans="1:6" hidden="1" x14ac:dyDescent="0.25">
      <c r="A713" s="30" t="s">
        <v>113</v>
      </c>
      <c r="B713" s="30">
        <v>2008</v>
      </c>
      <c r="C713" s="30" t="s">
        <v>102</v>
      </c>
      <c r="D713" s="30">
        <v>4</v>
      </c>
      <c r="E713" s="30">
        <v>238.1</v>
      </c>
      <c r="F713" s="30">
        <v>1.3</v>
      </c>
    </row>
    <row r="714" spans="1:6" hidden="1" x14ac:dyDescent="0.25">
      <c r="A714" s="30" t="s">
        <v>113</v>
      </c>
      <c r="B714" s="30">
        <v>2008</v>
      </c>
      <c r="C714" s="30" t="s">
        <v>103</v>
      </c>
      <c r="D714" s="30">
        <v>5</v>
      </c>
      <c r="E714" s="30">
        <v>97.1</v>
      </c>
      <c r="F714" s="30">
        <v>24.1</v>
      </c>
    </row>
    <row r="715" spans="1:6" hidden="1" x14ac:dyDescent="0.25">
      <c r="A715" s="30" t="s">
        <v>113</v>
      </c>
      <c r="B715" s="30">
        <v>2008</v>
      </c>
      <c r="C715" s="30" t="s">
        <v>104</v>
      </c>
      <c r="D715" s="30">
        <v>6</v>
      </c>
      <c r="E715" s="30">
        <v>78.2</v>
      </c>
      <c r="F715" s="30">
        <v>36.4</v>
      </c>
    </row>
    <row r="716" spans="1:6" hidden="1" x14ac:dyDescent="0.25">
      <c r="A716" s="30" t="s">
        <v>113</v>
      </c>
      <c r="B716" s="30">
        <v>2008</v>
      </c>
      <c r="C716" s="30" t="s">
        <v>105</v>
      </c>
      <c r="D716" s="30">
        <v>7</v>
      </c>
      <c r="E716" s="30">
        <v>53.2</v>
      </c>
      <c r="F716" s="30">
        <v>55.5</v>
      </c>
    </row>
    <row r="717" spans="1:6" hidden="1" x14ac:dyDescent="0.25">
      <c r="A717" s="30" t="s">
        <v>113</v>
      </c>
      <c r="B717" s="30">
        <v>2008</v>
      </c>
      <c r="C717" s="30" t="s">
        <v>106</v>
      </c>
      <c r="D717" s="30">
        <v>8</v>
      </c>
      <c r="E717" s="30">
        <v>40.700000000000003</v>
      </c>
      <c r="F717" s="30">
        <v>44.2</v>
      </c>
    </row>
    <row r="718" spans="1:6" hidden="1" x14ac:dyDescent="0.25">
      <c r="A718" s="30" t="s">
        <v>113</v>
      </c>
      <c r="B718" s="30">
        <v>2008</v>
      </c>
      <c r="C718" s="30" t="s">
        <v>107</v>
      </c>
      <c r="D718" s="30">
        <v>9</v>
      </c>
      <c r="E718" s="30">
        <v>114</v>
      </c>
      <c r="F718" s="30">
        <v>11.1</v>
      </c>
    </row>
    <row r="719" spans="1:6" hidden="1" x14ac:dyDescent="0.25">
      <c r="A719" s="30" t="s">
        <v>113</v>
      </c>
      <c r="B719" s="30">
        <v>2008</v>
      </c>
      <c r="C719" s="30" t="s">
        <v>108</v>
      </c>
      <c r="D719" s="30">
        <v>10</v>
      </c>
      <c r="E719" s="30">
        <v>205.7</v>
      </c>
      <c r="F719" s="30">
        <v>3.1</v>
      </c>
    </row>
    <row r="720" spans="1:6" hidden="1" x14ac:dyDescent="0.25">
      <c r="A720" s="30" t="s">
        <v>113</v>
      </c>
      <c r="B720" s="30">
        <v>2008</v>
      </c>
      <c r="C720" s="30" t="s">
        <v>109</v>
      </c>
      <c r="D720" s="30">
        <v>11</v>
      </c>
      <c r="E720" s="30">
        <v>267.5</v>
      </c>
      <c r="F720" s="30">
        <v>0</v>
      </c>
    </row>
    <row r="721" spans="1:6" hidden="1" x14ac:dyDescent="0.25">
      <c r="A721" s="30" t="s">
        <v>113</v>
      </c>
      <c r="B721" s="30">
        <v>2008</v>
      </c>
      <c r="C721" s="30" t="s">
        <v>110</v>
      </c>
      <c r="D721" s="30">
        <v>12</v>
      </c>
      <c r="E721" s="30">
        <v>416.9</v>
      </c>
      <c r="F721" s="30">
        <v>0</v>
      </c>
    </row>
    <row r="722" spans="1:6" hidden="1" x14ac:dyDescent="0.25">
      <c r="A722" s="30" t="s">
        <v>114</v>
      </c>
      <c r="B722" s="30">
        <v>2008</v>
      </c>
      <c r="C722" s="30" t="s">
        <v>99</v>
      </c>
      <c r="D722" s="30">
        <v>1</v>
      </c>
      <c r="E722" s="30">
        <v>310.5</v>
      </c>
      <c r="F722" s="30">
        <v>0</v>
      </c>
    </row>
    <row r="723" spans="1:6" hidden="1" x14ac:dyDescent="0.25">
      <c r="A723" s="30" t="s">
        <v>114</v>
      </c>
      <c r="B723" s="30">
        <v>2008</v>
      </c>
      <c r="C723" s="30" t="s">
        <v>100</v>
      </c>
      <c r="D723" s="30">
        <v>2</v>
      </c>
      <c r="E723" s="30">
        <v>309.60000000000002</v>
      </c>
      <c r="F723" s="30">
        <v>0</v>
      </c>
    </row>
    <row r="724" spans="1:6" hidden="1" x14ac:dyDescent="0.25">
      <c r="A724" s="30" t="s">
        <v>114</v>
      </c>
      <c r="B724" s="30">
        <v>2008</v>
      </c>
      <c r="C724" s="30" t="s">
        <v>101</v>
      </c>
      <c r="D724" s="30">
        <v>3</v>
      </c>
      <c r="E724" s="30">
        <v>301.3</v>
      </c>
      <c r="F724" s="30">
        <v>0</v>
      </c>
    </row>
    <row r="725" spans="1:6" hidden="1" x14ac:dyDescent="0.25">
      <c r="A725" s="30" t="s">
        <v>114</v>
      </c>
      <c r="B725" s="30">
        <v>2008</v>
      </c>
      <c r="C725" s="30" t="s">
        <v>102</v>
      </c>
      <c r="D725" s="30">
        <v>4</v>
      </c>
      <c r="E725" s="30">
        <v>251.4</v>
      </c>
      <c r="F725" s="30">
        <v>0.9</v>
      </c>
    </row>
    <row r="726" spans="1:6" hidden="1" x14ac:dyDescent="0.25">
      <c r="A726" s="30" t="s">
        <v>114</v>
      </c>
      <c r="B726" s="30">
        <v>2008</v>
      </c>
      <c r="C726" s="30" t="s">
        <v>103</v>
      </c>
      <c r="D726" s="30">
        <v>5</v>
      </c>
      <c r="E726" s="30">
        <v>113.1</v>
      </c>
      <c r="F726" s="30">
        <v>14</v>
      </c>
    </row>
    <row r="727" spans="1:6" hidden="1" x14ac:dyDescent="0.25">
      <c r="A727" s="30" t="s">
        <v>114</v>
      </c>
      <c r="B727" s="30">
        <v>2008</v>
      </c>
      <c r="C727" s="30" t="s">
        <v>104</v>
      </c>
      <c r="D727" s="30">
        <v>6</v>
      </c>
      <c r="E727" s="30">
        <v>90</v>
      </c>
      <c r="F727" s="30">
        <v>14.6</v>
      </c>
    </row>
    <row r="728" spans="1:6" hidden="1" x14ac:dyDescent="0.25">
      <c r="A728" s="30" t="s">
        <v>114</v>
      </c>
      <c r="B728" s="30">
        <v>2008</v>
      </c>
      <c r="C728" s="30" t="s">
        <v>105</v>
      </c>
      <c r="D728" s="30">
        <v>7</v>
      </c>
      <c r="E728" s="30">
        <v>47.3</v>
      </c>
      <c r="F728" s="30">
        <v>42.8</v>
      </c>
    </row>
    <row r="729" spans="1:6" hidden="1" x14ac:dyDescent="0.25">
      <c r="A729" s="30" t="s">
        <v>114</v>
      </c>
      <c r="B729" s="30">
        <v>2008</v>
      </c>
      <c r="C729" s="30" t="s">
        <v>106</v>
      </c>
      <c r="D729" s="30">
        <v>8</v>
      </c>
      <c r="E729" s="30">
        <v>41.6</v>
      </c>
      <c r="F729" s="30">
        <v>31.5</v>
      </c>
    </row>
    <row r="730" spans="1:6" hidden="1" x14ac:dyDescent="0.25">
      <c r="A730" s="30" t="s">
        <v>114</v>
      </c>
      <c r="B730" s="30">
        <v>2008</v>
      </c>
      <c r="C730" s="30" t="s">
        <v>107</v>
      </c>
      <c r="D730" s="30">
        <v>9</v>
      </c>
      <c r="E730" s="30">
        <v>123.2</v>
      </c>
      <c r="F730" s="30">
        <v>5.2</v>
      </c>
    </row>
    <row r="731" spans="1:6" hidden="1" x14ac:dyDescent="0.25">
      <c r="A731" s="30" t="s">
        <v>114</v>
      </c>
      <c r="B731" s="30">
        <v>2008</v>
      </c>
      <c r="C731" s="30" t="s">
        <v>108</v>
      </c>
      <c r="D731" s="30">
        <v>10</v>
      </c>
      <c r="E731" s="30">
        <v>192.6</v>
      </c>
      <c r="F731" s="30">
        <v>2.9</v>
      </c>
    </row>
    <row r="732" spans="1:6" hidden="1" x14ac:dyDescent="0.25">
      <c r="A732" s="30" t="s">
        <v>114</v>
      </c>
      <c r="B732" s="30">
        <v>2008</v>
      </c>
      <c r="C732" s="30" t="s">
        <v>109</v>
      </c>
      <c r="D732" s="30">
        <v>11</v>
      </c>
      <c r="E732" s="30">
        <v>253.3</v>
      </c>
      <c r="F732" s="30">
        <v>0</v>
      </c>
    </row>
    <row r="733" spans="1:6" hidden="1" x14ac:dyDescent="0.25">
      <c r="A733" s="30" t="s">
        <v>114</v>
      </c>
      <c r="B733" s="30">
        <v>2008</v>
      </c>
      <c r="C733" s="30" t="s">
        <v>110</v>
      </c>
      <c r="D733" s="30">
        <v>12</v>
      </c>
      <c r="E733" s="30">
        <v>406.5</v>
      </c>
      <c r="F733" s="30">
        <v>0</v>
      </c>
    </row>
    <row r="734" spans="1:6" hidden="1" x14ac:dyDescent="0.25">
      <c r="A734" s="30" t="s">
        <v>115</v>
      </c>
      <c r="B734" s="30">
        <v>2008</v>
      </c>
      <c r="C734" s="30" t="s">
        <v>99</v>
      </c>
      <c r="D734" s="30">
        <v>1</v>
      </c>
      <c r="E734" s="30">
        <v>301.8</v>
      </c>
      <c r="F734" s="30">
        <v>0</v>
      </c>
    </row>
    <row r="735" spans="1:6" hidden="1" x14ac:dyDescent="0.25">
      <c r="A735" s="30" t="s">
        <v>115</v>
      </c>
      <c r="B735" s="30">
        <v>2008</v>
      </c>
      <c r="C735" s="30" t="s">
        <v>100</v>
      </c>
      <c r="D735" s="30">
        <v>2</v>
      </c>
      <c r="E735" s="30">
        <v>296.89999999999998</v>
      </c>
      <c r="F735" s="30">
        <v>0</v>
      </c>
    </row>
    <row r="736" spans="1:6" hidden="1" x14ac:dyDescent="0.25">
      <c r="A736" s="30" t="s">
        <v>115</v>
      </c>
      <c r="B736" s="30">
        <v>2008</v>
      </c>
      <c r="C736" s="30" t="s">
        <v>101</v>
      </c>
      <c r="D736" s="30">
        <v>3</v>
      </c>
      <c r="E736" s="30">
        <v>291.7</v>
      </c>
      <c r="F736" s="30">
        <v>0</v>
      </c>
    </row>
    <row r="737" spans="1:6" hidden="1" x14ac:dyDescent="0.25">
      <c r="A737" s="30" t="s">
        <v>115</v>
      </c>
      <c r="B737" s="30">
        <v>2008</v>
      </c>
      <c r="C737" s="30" t="s">
        <v>102</v>
      </c>
      <c r="D737" s="30">
        <v>4</v>
      </c>
      <c r="E737" s="30">
        <v>250.2</v>
      </c>
      <c r="F737" s="30">
        <v>0.1</v>
      </c>
    </row>
    <row r="738" spans="1:6" hidden="1" x14ac:dyDescent="0.25">
      <c r="A738" s="30" t="s">
        <v>115</v>
      </c>
      <c r="B738" s="30">
        <v>2008</v>
      </c>
      <c r="C738" s="30" t="s">
        <v>103</v>
      </c>
      <c r="D738" s="30">
        <v>5</v>
      </c>
      <c r="E738" s="30">
        <v>105.9</v>
      </c>
      <c r="F738" s="30">
        <v>15.3</v>
      </c>
    </row>
    <row r="739" spans="1:6" hidden="1" x14ac:dyDescent="0.25">
      <c r="A739" s="30" t="s">
        <v>115</v>
      </c>
      <c r="B739" s="30">
        <v>2008</v>
      </c>
      <c r="C739" s="30" t="s">
        <v>104</v>
      </c>
      <c r="D739" s="30">
        <v>6</v>
      </c>
      <c r="E739" s="30">
        <v>84</v>
      </c>
      <c r="F739" s="30">
        <v>20</v>
      </c>
    </row>
    <row r="740" spans="1:6" hidden="1" x14ac:dyDescent="0.25">
      <c r="A740" s="30" t="s">
        <v>115</v>
      </c>
      <c r="B740" s="30">
        <v>2008</v>
      </c>
      <c r="C740" s="30" t="s">
        <v>105</v>
      </c>
      <c r="D740" s="30">
        <v>7</v>
      </c>
      <c r="E740" s="30">
        <v>61.6</v>
      </c>
      <c r="F740" s="30">
        <v>24.8</v>
      </c>
    </row>
    <row r="741" spans="1:6" hidden="1" x14ac:dyDescent="0.25">
      <c r="A741" s="30" t="s">
        <v>115</v>
      </c>
      <c r="B741" s="30">
        <v>2008</v>
      </c>
      <c r="C741" s="30" t="s">
        <v>106</v>
      </c>
      <c r="D741" s="30">
        <v>8</v>
      </c>
      <c r="E741" s="30">
        <v>49</v>
      </c>
      <c r="F741" s="30">
        <v>14.4</v>
      </c>
    </row>
    <row r="742" spans="1:6" hidden="1" x14ac:dyDescent="0.25">
      <c r="A742" s="30" t="s">
        <v>115</v>
      </c>
      <c r="B742" s="30">
        <v>2008</v>
      </c>
      <c r="C742" s="30" t="s">
        <v>107</v>
      </c>
      <c r="D742" s="30">
        <v>9</v>
      </c>
      <c r="E742" s="30">
        <v>111.8</v>
      </c>
      <c r="F742" s="30">
        <v>5.0999999999999996</v>
      </c>
    </row>
    <row r="743" spans="1:6" hidden="1" x14ac:dyDescent="0.25">
      <c r="A743" s="30" t="s">
        <v>115</v>
      </c>
      <c r="B743" s="30">
        <v>2008</v>
      </c>
      <c r="C743" s="30" t="s">
        <v>108</v>
      </c>
      <c r="D743" s="30">
        <v>10</v>
      </c>
      <c r="E743" s="30">
        <v>196.7</v>
      </c>
      <c r="F743" s="30">
        <v>0.9</v>
      </c>
    </row>
    <row r="744" spans="1:6" hidden="1" x14ac:dyDescent="0.25">
      <c r="A744" s="30" t="s">
        <v>115</v>
      </c>
      <c r="B744" s="30">
        <v>2008</v>
      </c>
      <c r="C744" s="30" t="s">
        <v>109</v>
      </c>
      <c r="D744" s="30">
        <v>11</v>
      </c>
      <c r="E744" s="30">
        <v>255.9</v>
      </c>
      <c r="F744" s="30">
        <v>0</v>
      </c>
    </row>
    <row r="745" spans="1:6" hidden="1" x14ac:dyDescent="0.25">
      <c r="A745" s="30" t="s">
        <v>115</v>
      </c>
      <c r="B745" s="30">
        <v>2008</v>
      </c>
      <c r="C745" s="30" t="s">
        <v>110</v>
      </c>
      <c r="D745" s="30">
        <v>12</v>
      </c>
      <c r="E745" s="30">
        <v>395.1</v>
      </c>
      <c r="F745" s="30">
        <v>0</v>
      </c>
    </row>
    <row r="746" spans="1:6" x14ac:dyDescent="0.25">
      <c r="A746" s="30" t="s">
        <v>116</v>
      </c>
      <c r="B746" s="30">
        <v>2008</v>
      </c>
      <c r="C746" s="30" t="s">
        <v>99</v>
      </c>
      <c r="D746" s="30">
        <v>1</v>
      </c>
      <c r="E746" s="30">
        <v>296.39999999999998</v>
      </c>
      <c r="F746" s="30">
        <v>0</v>
      </c>
    </row>
    <row r="747" spans="1:6" x14ac:dyDescent="0.25">
      <c r="A747" s="30" t="s">
        <v>116</v>
      </c>
      <c r="B747" s="30">
        <v>2008</v>
      </c>
      <c r="C747" s="30" t="s">
        <v>100</v>
      </c>
      <c r="D747" s="30">
        <v>2</v>
      </c>
      <c r="E747" s="30">
        <v>281.2</v>
      </c>
      <c r="F747" s="30">
        <v>0</v>
      </c>
    </row>
    <row r="748" spans="1:6" x14ac:dyDescent="0.25">
      <c r="A748" s="30" t="s">
        <v>116</v>
      </c>
      <c r="B748" s="30">
        <v>2008</v>
      </c>
      <c r="C748" s="30" t="s">
        <v>101</v>
      </c>
      <c r="D748" s="30">
        <v>3</v>
      </c>
      <c r="E748" s="30">
        <v>287.8</v>
      </c>
      <c r="F748" s="30">
        <v>0</v>
      </c>
    </row>
    <row r="749" spans="1:6" x14ac:dyDescent="0.25">
      <c r="A749" s="30" t="s">
        <v>116</v>
      </c>
      <c r="B749" s="30">
        <v>2008</v>
      </c>
      <c r="C749" s="30" t="s">
        <v>102</v>
      </c>
      <c r="D749" s="30">
        <v>4</v>
      </c>
      <c r="E749" s="30">
        <v>234.5</v>
      </c>
      <c r="F749" s="30">
        <v>0.8</v>
      </c>
    </row>
    <row r="750" spans="1:6" x14ac:dyDescent="0.25">
      <c r="A750" s="30" t="s">
        <v>116</v>
      </c>
      <c r="B750" s="30">
        <v>2008</v>
      </c>
      <c r="C750" s="30" t="s">
        <v>103</v>
      </c>
      <c r="D750" s="30">
        <v>5</v>
      </c>
      <c r="E750" s="30">
        <v>88.5</v>
      </c>
      <c r="F750" s="30">
        <v>24.8</v>
      </c>
    </row>
    <row r="751" spans="1:6" x14ac:dyDescent="0.25">
      <c r="A751" s="30" t="s">
        <v>116</v>
      </c>
      <c r="B751" s="30">
        <v>2008</v>
      </c>
      <c r="C751" s="30" t="s">
        <v>104</v>
      </c>
      <c r="D751" s="30">
        <v>6</v>
      </c>
      <c r="E751" s="30">
        <v>72</v>
      </c>
      <c r="F751" s="30">
        <v>32.4</v>
      </c>
    </row>
    <row r="752" spans="1:6" x14ac:dyDescent="0.25">
      <c r="A752" s="30" t="s">
        <v>116</v>
      </c>
      <c r="B752" s="30">
        <v>2008</v>
      </c>
      <c r="C752" s="30" t="s">
        <v>105</v>
      </c>
      <c r="D752" s="30">
        <v>7</v>
      </c>
      <c r="E752" s="30">
        <v>52.2</v>
      </c>
      <c r="F752" s="30">
        <v>40.700000000000003</v>
      </c>
    </row>
    <row r="753" spans="1:6" x14ac:dyDescent="0.25">
      <c r="A753" s="30" t="s">
        <v>116</v>
      </c>
      <c r="B753" s="30">
        <v>2008</v>
      </c>
      <c r="C753" s="30" t="s">
        <v>106</v>
      </c>
      <c r="D753" s="30">
        <v>8</v>
      </c>
      <c r="E753" s="30">
        <v>38.799999999999997</v>
      </c>
      <c r="F753" s="30">
        <v>35</v>
      </c>
    </row>
    <row r="754" spans="1:6" x14ac:dyDescent="0.25">
      <c r="A754" s="30" t="s">
        <v>116</v>
      </c>
      <c r="B754" s="30">
        <v>2008</v>
      </c>
      <c r="C754" s="30" t="s">
        <v>107</v>
      </c>
      <c r="D754" s="30">
        <v>9</v>
      </c>
      <c r="E754" s="30">
        <v>104.9</v>
      </c>
      <c r="F754" s="30">
        <v>9.5</v>
      </c>
    </row>
    <row r="755" spans="1:6" x14ac:dyDescent="0.25">
      <c r="A755" s="30" t="s">
        <v>116</v>
      </c>
      <c r="B755" s="30">
        <v>2008</v>
      </c>
      <c r="C755" s="30" t="s">
        <v>108</v>
      </c>
      <c r="D755" s="30">
        <v>10</v>
      </c>
      <c r="E755" s="30">
        <v>194.2</v>
      </c>
      <c r="F755" s="30">
        <v>3.3</v>
      </c>
    </row>
    <row r="756" spans="1:6" x14ac:dyDescent="0.25">
      <c r="A756" s="30" t="s">
        <v>116</v>
      </c>
      <c r="B756" s="30">
        <v>2008</v>
      </c>
      <c r="C756" s="30" t="s">
        <v>109</v>
      </c>
      <c r="D756" s="30">
        <v>11</v>
      </c>
      <c r="E756" s="30">
        <v>254.4</v>
      </c>
      <c r="F756" s="30">
        <v>0</v>
      </c>
    </row>
    <row r="757" spans="1:6" x14ac:dyDescent="0.25">
      <c r="A757" s="30" t="s">
        <v>116</v>
      </c>
      <c r="B757" s="30">
        <v>2008</v>
      </c>
      <c r="C757" s="30" t="s">
        <v>110</v>
      </c>
      <c r="D757" s="30">
        <v>12</v>
      </c>
      <c r="E757" s="30">
        <v>400.3</v>
      </c>
      <c r="F757" s="30">
        <v>0</v>
      </c>
    </row>
    <row r="758" spans="1:6" hidden="1" x14ac:dyDescent="0.25">
      <c r="A758" s="30" t="s">
        <v>98</v>
      </c>
      <c r="B758" s="30">
        <v>2009</v>
      </c>
      <c r="C758" s="30" t="s">
        <v>99</v>
      </c>
      <c r="D758" s="30">
        <v>1</v>
      </c>
      <c r="E758" s="30">
        <v>423.2</v>
      </c>
      <c r="F758" s="30">
        <v>0</v>
      </c>
    </row>
    <row r="759" spans="1:6" hidden="1" x14ac:dyDescent="0.25">
      <c r="A759" s="30" t="s">
        <v>98</v>
      </c>
      <c r="B759" s="30">
        <v>2009</v>
      </c>
      <c r="C759" s="30" t="s">
        <v>100</v>
      </c>
      <c r="D759" s="30">
        <v>2</v>
      </c>
      <c r="E759" s="30">
        <v>356.3</v>
      </c>
      <c r="F759" s="30">
        <v>0</v>
      </c>
    </row>
    <row r="760" spans="1:6" hidden="1" x14ac:dyDescent="0.25">
      <c r="A760" s="30" t="s">
        <v>98</v>
      </c>
      <c r="B760" s="30">
        <v>2009</v>
      </c>
      <c r="C760" s="30" t="s">
        <v>101</v>
      </c>
      <c r="D760" s="30">
        <v>3</v>
      </c>
      <c r="E760" s="30">
        <v>330.4</v>
      </c>
      <c r="F760" s="30">
        <v>0</v>
      </c>
    </row>
    <row r="761" spans="1:6" hidden="1" x14ac:dyDescent="0.25">
      <c r="A761" s="30" t="s">
        <v>98</v>
      </c>
      <c r="B761" s="30">
        <v>2009</v>
      </c>
      <c r="C761" s="30" t="s">
        <v>102</v>
      </c>
      <c r="D761" s="30">
        <v>4</v>
      </c>
      <c r="E761" s="30">
        <v>245.3</v>
      </c>
      <c r="F761" s="30">
        <v>0.6</v>
      </c>
    </row>
    <row r="762" spans="1:6" hidden="1" x14ac:dyDescent="0.25">
      <c r="A762" s="30" t="s">
        <v>98</v>
      </c>
      <c r="B762" s="30">
        <v>2009</v>
      </c>
      <c r="C762" s="30" t="s">
        <v>103</v>
      </c>
      <c r="D762" s="30">
        <v>5</v>
      </c>
      <c r="E762" s="30">
        <v>173.2</v>
      </c>
      <c r="F762" s="30">
        <v>1.9</v>
      </c>
    </row>
    <row r="763" spans="1:6" hidden="1" x14ac:dyDescent="0.25">
      <c r="A763" s="30" t="s">
        <v>98</v>
      </c>
      <c r="B763" s="30">
        <v>2009</v>
      </c>
      <c r="C763" s="30" t="s">
        <v>104</v>
      </c>
      <c r="D763" s="30">
        <v>6</v>
      </c>
      <c r="E763" s="30">
        <v>94.3</v>
      </c>
      <c r="F763" s="30">
        <v>15.7</v>
      </c>
    </row>
    <row r="764" spans="1:6" hidden="1" x14ac:dyDescent="0.25">
      <c r="A764" s="30" t="s">
        <v>98</v>
      </c>
      <c r="B764" s="30">
        <v>2009</v>
      </c>
      <c r="C764" s="30" t="s">
        <v>105</v>
      </c>
      <c r="D764" s="30">
        <v>7</v>
      </c>
      <c r="E764" s="30">
        <v>51.4</v>
      </c>
      <c r="F764" s="30">
        <v>29.2</v>
      </c>
    </row>
    <row r="765" spans="1:6" hidden="1" x14ac:dyDescent="0.25">
      <c r="A765" s="30" t="s">
        <v>98</v>
      </c>
      <c r="B765" s="30">
        <v>2009</v>
      </c>
      <c r="C765" s="30" t="s">
        <v>106</v>
      </c>
      <c r="D765" s="30">
        <v>8</v>
      </c>
      <c r="E765" s="30">
        <v>56.3</v>
      </c>
      <c r="F765" s="30">
        <v>29.2</v>
      </c>
    </row>
    <row r="766" spans="1:6" hidden="1" x14ac:dyDescent="0.25">
      <c r="A766" s="30" t="s">
        <v>98</v>
      </c>
      <c r="B766" s="30">
        <v>2009</v>
      </c>
      <c r="C766" s="30" t="s">
        <v>107</v>
      </c>
      <c r="D766" s="30">
        <v>9</v>
      </c>
      <c r="E766" s="30">
        <v>92.3</v>
      </c>
      <c r="F766" s="30">
        <v>10.199999999999999</v>
      </c>
    </row>
    <row r="767" spans="1:6" hidden="1" x14ac:dyDescent="0.25">
      <c r="A767" s="30" t="s">
        <v>98</v>
      </c>
      <c r="B767" s="30">
        <v>2009</v>
      </c>
      <c r="C767" s="30" t="s">
        <v>108</v>
      </c>
      <c r="D767" s="30">
        <v>10</v>
      </c>
      <c r="E767" s="30">
        <v>143.4</v>
      </c>
      <c r="F767" s="30">
        <v>4.2</v>
      </c>
    </row>
    <row r="768" spans="1:6" hidden="1" x14ac:dyDescent="0.25">
      <c r="A768" s="30" t="s">
        <v>98</v>
      </c>
      <c r="B768" s="30">
        <v>2009</v>
      </c>
      <c r="C768" s="30" t="s">
        <v>109</v>
      </c>
      <c r="D768" s="30">
        <v>11</v>
      </c>
      <c r="E768" s="30">
        <v>226.5</v>
      </c>
      <c r="F768" s="30">
        <v>0</v>
      </c>
    </row>
    <row r="769" spans="1:6" hidden="1" x14ac:dyDescent="0.25">
      <c r="A769" s="30" t="s">
        <v>98</v>
      </c>
      <c r="B769" s="30">
        <v>2009</v>
      </c>
      <c r="C769" s="30" t="s">
        <v>110</v>
      </c>
      <c r="D769" s="30">
        <v>12</v>
      </c>
      <c r="E769" s="30">
        <v>379.6</v>
      </c>
      <c r="F769" s="30">
        <v>0</v>
      </c>
    </row>
    <row r="770" spans="1:6" hidden="1" x14ac:dyDescent="0.25">
      <c r="A770" s="30" t="s">
        <v>111</v>
      </c>
      <c r="B770" s="30">
        <v>2009</v>
      </c>
      <c r="C770" s="30" t="s">
        <v>99</v>
      </c>
      <c r="D770" s="30">
        <v>1</v>
      </c>
      <c r="E770" s="30">
        <v>390.1</v>
      </c>
      <c r="F770" s="30">
        <v>0</v>
      </c>
    </row>
    <row r="771" spans="1:6" hidden="1" x14ac:dyDescent="0.25">
      <c r="A771" s="30" t="s">
        <v>111</v>
      </c>
      <c r="B771" s="30">
        <v>2009</v>
      </c>
      <c r="C771" s="30" t="s">
        <v>100</v>
      </c>
      <c r="D771" s="30">
        <v>2</v>
      </c>
      <c r="E771" s="30">
        <v>340.6</v>
      </c>
      <c r="F771" s="30">
        <v>0</v>
      </c>
    </row>
    <row r="772" spans="1:6" hidden="1" x14ac:dyDescent="0.25">
      <c r="A772" s="30" t="s">
        <v>111</v>
      </c>
      <c r="B772" s="30">
        <v>2009</v>
      </c>
      <c r="C772" s="30" t="s">
        <v>101</v>
      </c>
      <c r="D772" s="30">
        <v>3</v>
      </c>
      <c r="E772" s="30">
        <v>297.7</v>
      </c>
      <c r="F772" s="30">
        <v>0.8</v>
      </c>
    </row>
    <row r="773" spans="1:6" hidden="1" x14ac:dyDescent="0.25">
      <c r="A773" s="30" t="s">
        <v>111</v>
      </c>
      <c r="B773" s="30">
        <v>2009</v>
      </c>
      <c r="C773" s="30" t="s">
        <v>102</v>
      </c>
      <c r="D773" s="30">
        <v>4</v>
      </c>
      <c r="E773" s="30">
        <v>242.6</v>
      </c>
      <c r="F773" s="30">
        <v>0.2</v>
      </c>
    </row>
    <row r="774" spans="1:6" hidden="1" x14ac:dyDescent="0.25">
      <c r="A774" s="30" t="s">
        <v>111</v>
      </c>
      <c r="B774" s="30">
        <v>2009</v>
      </c>
      <c r="C774" s="30" t="s">
        <v>103</v>
      </c>
      <c r="D774" s="30">
        <v>5</v>
      </c>
      <c r="E774" s="30">
        <v>170</v>
      </c>
      <c r="F774" s="30">
        <v>5.8</v>
      </c>
    </row>
    <row r="775" spans="1:6" hidden="1" x14ac:dyDescent="0.25">
      <c r="A775" s="30" t="s">
        <v>111</v>
      </c>
      <c r="B775" s="30">
        <v>2009</v>
      </c>
      <c r="C775" s="30" t="s">
        <v>104</v>
      </c>
      <c r="D775" s="30">
        <v>6</v>
      </c>
      <c r="E775" s="30">
        <v>86.1</v>
      </c>
      <c r="F775" s="30">
        <v>27.1</v>
      </c>
    </row>
    <row r="776" spans="1:6" hidden="1" x14ac:dyDescent="0.25">
      <c r="A776" s="30" t="s">
        <v>111</v>
      </c>
      <c r="B776" s="30">
        <v>2009</v>
      </c>
      <c r="C776" s="30" t="s">
        <v>105</v>
      </c>
      <c r="D776" s="30">
        <v>7</v>
      </c>
      <c r="E776" s="30">
        <v>51.9</v>
      </c>
      <c r="F776" s="30">
        <v>15.8</v>
      </c>
    </row>
    <row r="777" spans="1:6" hidden="1" x14ac:dyDescent="0.25">
      <c r="A777" s="30" t="s">
        <v>111</v>
      </c>
      <c r="B777" s="30">
        <v>2009</v>
      </c>
      <c r="C777" s="30" t="s">
        <v>106</v>
      </c>
      <c r="D777" s="30">
        <v>8</v>
      </c>
      <c r="E777" s="30">
        <v>59.1</v>
      </c>
      <c r="F777" s="30">
        <v>17.8</v>
      </c>
    </row>
    <row r="778" spans="1:6" hidden="1" x14ac:dyDescent="0.25">
      <c r="A778" s="30" t="s">
        <v>111</v>
      </c>
      <c r="B778" s="30">
        <v>2009</v>
      </c>
      <c r="C778" s="30" t="s">
        <v>107</v>
      </c>
      <c r="D778" s="30">
        <v>9</v>
      </c>
      <c r="E778" s="30">
        <v>97.2</v>
      </c>
      <c r="F778" s="30">
        <v>6.1</v>
      </c>
    </row>
    <row r="779" spans="1:6" hidden="1" x14ac:dyDescent="0.25">
      <c r="A779" s="30" t="s">
        <v>111</v>
      </c>
      <c r="B779" s="30">
        <v>2009</v>
      </c>
      <c r="C779" s="30" t="s">
        <v>108</v>
      </c>
      <c r="D779" s="30">
        <v>10</v>
      </c>
      <c r="E779" s="30">
        <v>133.5</v>
      </c>
      <c r="F779" s="30">
        <v>2.2000000000000002</v>
      </c>
    </row>
    <row r="780" spans="1:6" hidden="1" x14ac:dyDescent="0.25">
      <c r="A780" s="30" t="s">
        <v>111</v>
      </c>
      <c r="B780" s="30">
        <v>2009</v>
      </c>
      <c r="C780" s="30" t="s">
        <v>109</v>
      </c>
      <c r="D780" s="30">
        <v>11</v>
      </c>
      <c r="E780" s="30">
        <v>208.9</v>
      </c>
      <c r="F780" s="30">
        <v>0</v>
      </c>
    </row>
    <row r="781" spans="1:6" hidden="1" x14ac:dyDescent="0.25">
      <c r="A781" s="30" t="s">
        <v>111</v>
      </c>
      <c r="B781" s="30">
        <v>2009</v>
      </c>
      <c r="C781" s="30" t="s">
        <v>110</v>
      </c>
      <c r="D781" s="30">
        <v>12</v>
      </c>
      <c r="E781" s="30">
        <v>355.6</v>
      </c>
      <c r="F781" s="30">
        <v>0</v>
      </c>
    </row>
    <row r="782" spans="1:6" hidden="1" x14ac:dyDescent="0.25">
      <c r="A782" s="30" t="s">
        <v>112</v>
      </c>
      <c r="B782" s="30">
        <v>2009</v>
      </c>
      <c r="C782" s="30" t="s">
        <v>99</v>
      </c>
      <c r="D782" s="30">
        <v>1</v>
      </c>
      <c r="E782" s="30">
        <v>395.5</v>
      </c>
      <c r="F782" s="30">
        <v>0</v>
      </c>
    </row>
    <row r="783" spans="1:6" hidden="1" x14ac:dyDescent="0.25">
      <c r="A783" s="30" t="s">
        <v>112</v>
      </c>
      <c r="B783" s="30">
        <v>2009</v>
      </c>
      <c r="C783" s="30" t="s">
        <v>100</v>
      </c>
      <c r="D783" s="30">
        <v>2</v>
      </c>
      <c r="E783" s="30">
        <v>330.9</v>
      </c>
      <c r="F783" s="30">
        <v>0</v>
      </c>
    </row>
    <row r="784" spans="1:6" hidden="1" x14ac:dyDescent="0.25">
      <c r="A784" s="30" t="s">
        <v>112</v>
      </c>
      <c r="B784" s="30">
        <v>2009</v>
      </c>
      <c r="C784" s="30" t="s">
        <v>101</v>
      </c>
      <c r="D784" s="30">
        <v>3</v>
      </c>
      <c r="E784" s="30">
        <v>287.8</v>
      </c>
      <c r="F784" s="30">
        <v>1.1000000000000001</v>
      </c>
    </row>
    <row r="785" spans="1:6" hidden="1" x14ac:dyDescent="0.25">
      <c r="A785" s="30" t="s">
        <v>112</v>
      </c>
      <c r="B785" s="30">
        <v>2009</v>
      </c>
      <c r="C785" s="30" t="s">
        <v>102</v>
      </c>
      <c r="D785" s="30">
        <v>4</v>
      </c>
      <c r="E785" s="30">
        <v>235.7</v>
      </c>
      <c r="F785" s="30">
        <v>0</v>
      </c>
    </row>
    <row r="786" spans="1:6" hidden="1" x14ac:dyDescent="0.25">
      <c r="A786" s="30" t="s">
        <v>112</v>
      </c>
      <c r="B786" s="30">
        <v>2009</v>
      </c>
      <c r="C786" s="30" t="s">
        <v>103</v>
      </c>
      <c r="D786" s="30">
        <v>5</v>
      </c>
      <c r="E786" s="30">
        <v>152</v>
      </c>
      <c r="F786" s="30">
        <v>10.199999999999999</v>
      </c>
    </row>
    <row r="787" spans="1:6" hidden="1" x14ac:dyDescent="0.25">
      <c r="A787" s="30" t="s">
        <v>112</v>
      </c>
      <c r="B787" s="30">
        <v>2009</v>
      </c>
      <c r="C787" s="30" t="s">
        <v>104</v>
      </c>
      <c r="D787" s="30">
        <v>6</v>
      </c>
      <c r="E787" s="30">
        <v>72.3</v>
      </c>
      <c r="F787" s="30">
        <v>32.4</v>
      </c>
    </row>
    <row r="788" spans="1:6" hidden="1" x14ac:dyDescent="0.25">
      <c r="A788" s="30" t="s">
        <v>112</v>
      </c>
      <c r="B788" s="30">
        <v>2009</v>
      </c>
      <c r="C788" s="30" t="s">
        <v>105</v>
      </c>
      <c r="D788" s="30">
        <v>7</v>
      </c>
      <c r="E788" s="30">
        <v>53.9</v>
      </c>
      <c r="F788" s="30">
        <v>20.7</v>
      </c>
    </row>
    <row r="789" spans="1:6" hidden="1" x14ac:dyDescent="0.25">
      <c r="A789" s="30" t="s">
        <v>112</v>
      </c>
      <c r="B789" s="30">
        <v>2009</v>
      </c>
      <c r="C789" s="30" t="s">
        <v>106</v>
      </c>
      <c r="D789" s="30">
        <v>8</v>
      </c>
      <c r="E789" s="30">
        <v>59.8</v>
      </c>
      <c r="F789" s="30">
        <v>19.399999999999999</v>
      </c>
    </row>
    <row r="790" spans="1:6" hidden="1" x14ac:dyDescent="0.25">
      <c r="A790" s="30" t="s">
        <v>112</v>
      </c>
      <c r="B790" s="30">
        <v>2009</v>
      </c>
      <c r="C790" s="30" t="s">
        <v>107</v>
      </c>
      <c r="D790" s="30">
        <v>9</v>
      </c>
      <c r="E790" s="30">
        <v>80.599999999999994</v>
      </c>
      <c r="F790" s="30">
        <v>14.7</v>
      </c>
    </row>
    <row r="791" spans="1:6" hidden="1" x14ac:dyDescent="0.25">
      <c r="A791" s="30" t="s">
        <v>112</v>
      </c>
      <c r="B791" s="30">
        <v>2009</v>
      </c>
      <c r="C791" s="30" t="s">
        <v>108</v>
      </c>
      <c r="D791" s="30">
        <v>10</v>
      </c>
      <c r="E791" s="30">
        <v>135.1</v>
      </c>
      <c r="F791" s="30">
        <v>2.6</v>
      </c>
    </row>
    <row r="792" spans="1:6" hidden="1" x14ac:dyDescent="0.25">
      <c r="A792" s="30" t="s">
        <v>112</v>
      </c>
      <c r="B792" s="30">
        <v>2009</v>
      </c>
      <c r="C792" s="30" t="s">
        <v>109</v>
      </c>
      <c r="D792" s="30">
        <v>11</v>
      </c>
      <c r="E792" s="30">
        <v>207.9</v>
      </c>
      <c r="F792" s="30">
        <v>0</v>
      </c>
    </row>
    <row r="793" spans="1:6" hidden="1" x14ac:dyDescent="0.25">
      <c r="A793" s="30" t="s">
        <v>112</v>
      </c>
      <c r="B793" s="30">
        <v>2009</v>
      </c>
      <c r="C793" s="30" t="s">
        <v>110</v>
      </c>
      <c r="D793" s="30">
        <v>12</v>
      </c>
      <c r="E793" s="30">
        <v>349.2</v>
      </c>
      <c r="F793" s="30">
        <v>0</v>
      </c>
    </row>
    <row r="794" spans="1:6" hidden="1" x14ac:dyDescent="0.25">
      <c r="A794" s="30" t="s">
        <v>113</v>
      </c>
      <c r="B794" s="30">
        <v>2009</v>
      </c>
      <c r="C794" s="30" t="s">
        <v>99</v>
      </c>
      <c r="D794" s="30">
        <v>1</v>
      </c>
      <c r="E794" s="30">
        <v>445</v>
      </c>
      <c r="F794" s="30">
        <v>0</v>
      </c>
    </row>
    <row r="795" spans="1:6" hidden="1" x14ac:dyDescent="0.25">
      <c r="A795" s="30" t="s">
        <v>113</v>
      </c>
      <c r="B795" s="30">
        <v>2009</v>
      </c>
      <c r="C795" s="30" t="s">
        <v>100</v>
      </c>
      <c r="D795" s="30">
        <v>2</v>
      </c>
      <c r="E795" s="30">
        <v>361</v>
      </c>
      <c r="F795" s="30">
        <v>0</v>
      </c>
    </row>
    <row r="796" spans="1:6" hidden="1" x14ac:dyDescent="0.25">
      <c r="A796" s="30" t="s">
        <v>113</v>
      </c>
      <c r="B796" s="30">
        <v>2009</v>
      </c>
      <c r="C796" s="30" t="s">
        <v>101</v>
      </c>
      <c r="D796" s="30">
        <v>3</v>
      </c>
      <c r="E796" s="30">
        <v>301.8</v>
      </c>
      <c r="F796" s="30">
        <v>0.3</v>
      </c>
    </row>
    <row r="797" spans="1:6" hidden="1" x14ac:dyDescent="0.25">
      <c r="A797" s="30" t="s">
        <v>113</v>
      </c>
      <c r="B797" s="30">
        <v>2009</v>
      </c>
      <c r="C797" s="30" t="s">
        <v>102</v>
      </c>
      <c r="D797" s="30">
        <v>4</v>
      </c>
      <c r="E797" s="30">
        <v>212.6</v>
      </c>
      <c r="F797" s="30">
        <v>1.1000000000000001</v>
      </c>
    </row>
    <row r="798" spans="1:6" hidden="1" x14ac:dyDescent="0.25">
      <c r="A798" s="30" t="s">
        <v>113</v>
      </c>
      <c r="B798" s="30">
        <v>2009</v>
      </c>
      <c r="C798" s="30" t="s">
        <v>103</v>
      </c>
      <c r="D798" s="30">
        <v>5</v>
      </c>
      <c r="E798" s="30">
        <v>131.4</v>
      </c>
      <c r="F798" s="30">
        <v>12.7</v>
      </c>
    </row>
    <row r="799" spans="1:6" hidden="1" x14ac:dyDescent="0.25">
      <c r="A799" s="30" t="s">
        <v>113</v>
      </c>
      <c r="B799" s="30">
        <v>2009</v>
      </c>
      <c r="C799" s="30" t="s">
        <v>104</v>
      </c>
      <c r="D799" s="30">
        <v>6</v>
      </c>
      <c r="E799" s="30">
        <v>75.900000000000006</v>
      </c>
      <c r="F799" s="30">
        <v>47.3</v>
      </c>
    </row>
    <row r="800" spans="1:6" hidden="1" x14ac:dyDescent="0.25">
      <c r="A800" s="30" t="s">
        <v>113</v>
      </c>
      <c r="B800" s="30">
        <v>2009</v>
      </c>
      <c r="C800" s="30" t="s">
        <v>105</v>
      </c>
      <c r="D800" s="30">
        <v>7</v>
      </c>
      <c r="E800" s="30">
        <v>48.8</v>
      </c>
      <c r="F800" s="30">
        <v>53.3</v>
      </c>
    </row>
    <row r="801" spans="1:6" hidden="1" x14ac:dyDescent="0.25">
      <c r="A801" s="30" t="s">
        <v>113</v>
      </c>
      <c r="B801" s="30">
        <v>2009</v>
      </c>
      <c r="C801" s="30" t="s">
        <v>106</v>
      </c>
      <c r="D801" s="30">
        <v>8</v>
      </c>
      <c r="E801" s="30">
        <v>45.5</v>
      </c>
      <c r="F801" s="30">
        <v>66.400000000000006</v>
      </c>
    </row>
    <row r="802" spans="1:6" hidden="1" x14ac:dyDescent="0.25">
      <c r="A802" s="30" t="s">
        <v>113</v>
      </c>
      <c r="B802" s="30">
        <v>2009</v>
      </c>
      <c r="C802" s="30" t="s">
        <v>107</v>
      </c>
      <c r="D802" s="30">
        <v>9</v>
      </c>
      <c r="E802" s="30">
        <v>76.400000000000006</v>
      </c>
      <c r="F802" s="30">
        <v>35.700000000000003</v>
      </c>
    </row>
    <row r="803" spans="1:6" hidden="1" x14ac:dyDescent="0.25">
      <c r="A803" s="30" t="s">
        <v>113</v>
      </c>
      <c r="B803" s="30">
        <v>2009</v>
      </c>
      <c r="C803" s="30" t="s">
        <v>108</v>
      </c>
      <c r="D803" s="30">
        <v>10</v>
      </c>
      <c r="E803" s="30">
        <v>148.6</v>
      </c>
      <c r="F803" s="30">
        <v>10.199999999999999</v>
      </c>
    </row>
    <row r="804" spans="1:6" hidden="1" x14ac:dyDescent="0.25">
      <c r="A804" s="30" t="s">
        <v>113</v>
      </c>
      <c r="B804" s="30">
        <v>2009</v>
      </c>
      <c r="C804" s="30" t="s">
        <v>109</v>
      </c>
      <c r="D804" s="30">
        <v>11</v>
      </c>
      <c r="E804" s="30">
        <v>215</v>
      </c>
      <c r="F804" s="30">
        <v>0.1</v>
      </c>
    </row>
    <row r="805" spans="1:6" hidden="1" x14ac:dyDescent="0.25">
      <c r="A805" s="30" t="s">
        <v>113</v>
      </c>
      <c r="B805" s="30">
        <v>2009</v>
      </c>
      <c r="C805" s="30" t="s">
        <v>110</v>
      </c>
      <c r="D805" s="30">
        <v>12</v>
      </c>
      <c r="E805" s="30">
        <v>397.3</v>
      </c>
      <c r="F805" s="30">
        <v>0</v>
      </c>
    </row>
    <row r="806" spans="1:6" hidden="1" x14ac:dyDescent="0.25">
      <c r="A806" s="30" t="s">
        <v>114</v>
      </c>
      <c r="B806" s="30">
        <v>2009</v>
      </c>
      <c r="C806" s="30" t="s">
        <v>99</v>
      </c>
      <c r="D806" s="30">
        <v>1</v>
      </c>
      <c r="E806" s="30">
        <v>428.5</v>
      </c>
      <c r="F806" s="30">
        <v>0</v>
      </c>
    </row>
    <row r="807" spans="1:6" hidden="1" x14ac:dyDescent="0.25">
      <c r="A807" s="30" t="s">
        <v>114</v>
      </c>
      <c r="B807" s="30">
        <v>2009</v>
      </c>
      <c r="C807" s="30" t="s">
        <v>100</v>
      </c>
      <c r="D807" s="30">
        <v>2</v>
      </c>
      <c r="E807" s="30">
        <v>351.4</v>
      </c>
      <c r="F807" s="30">
        <v>0</v>
      </c>
    </row>
    <row r="808" spans="1:6" hidden="1" x14ac:dyDescent="0.25">
      <c r="A808" s="30" t="s">
        <v>114</v>
      </c>
      <c r="B808" s="30">
        <v>2009</v>
      </c>
      <c r="C808" s="30" t="s">
        <v>101</v>
      </c>
      <c r="D808" s="30">
        <v>3</v>
      </c>
      <c r="E808" s="30">
        <v>312.2</v>
      </c>
      <c r="F808" s="30">
        <v>0</v>
      </c>
    </row>
    <row r="809" spans="1:6" hidden="1" x14ac:dyDescent="0.25">
      <c r="A809" s="30" t="s">
        <v>114</v>
      </c>
      <c r="B809" s="30">
        <v>2009</v>
      </c>
      <c r="C809" s="30" t="s">
        <v>102</v>
      </c>
      <c r="D809" s="30">
        <v>4</v>
      </c>
      <c r="E809" s="30">
        <v>225.3</v>
      </c>
      <c r="F809" s="30">
        <v>0.6</v>
      </c>
    </row>
    <row r="810" spans="1:6" hidden="1" x14ac:dyDescent="0.25">
      <c r="A810" s="30" t="s">
        <v>114</v>
      </c>
      <c r="B810" s="30">
        <v>2009</v>
      </c>
      <c r="C810" s="30" t="s">
        <v>103</v>
      </c>
      <c r="D810" s="30">
        <v>5</v>
      </c>
      <c r="E810" s="30">
        <v>152.5</v>
      </c>
      <c r="F810" s="30">
        <v>5.8</v>
      </c>
    </row>
    <row r="811" spans="1:6" hidden="1" x14ac:dyDescent="0.25">
      <c r="A811" s="30" t="s">
        <v>114</v>
      </c>
      <c r="B811" s="30">
        <v>2009</v>
      </c>
      <c r="C811" s="30" t="s">
        <v>104</v>
      </c>
      <c r="D811" s="30">
        <v>6</v>
      </c>
      <c r="E811" s="30">
        <v>77.900000000000006</v>
      </c>
      <c r="F811" s="30">
        <v>23.9</v>
      </c>
    </row>
    <row r="812" spans="1:6" hidden="1" x14ac:dyDescent="0.25">
      <c r="A812" s="30" t="s">
        <v>114</v>
      </c>
      <c r="B812" s="30">
        <v>2009</v>
      </c>
      <c r="C812" s="30" t="s">
        <v>105</v>
      </c>
      <c r="D812" s="30">
        <v>7</v>
      </c>
      <c r="E812" s="30">
        <v>47.5</v>
      </c>
      <c r="F812" s="30">
        <v>40.799999999999997</v>
      </c>
    </row>
    <row r="813" spans="1:6" hidden="1" x14ac:dyDescent="0.25">
      <c r="A813" s="30" t="s">
        <v>114</v>
      </c>
      <c r="B813" s="30">
        <v>2009</v>
      </c>
      <c r="C813" s="30" t="s">
        <v>106</v>
      </c>
      <c r="D813" s="30">
        <v>8</v>
      </c>
      <c r="E813" s="30">
        <v>46.8</v>
      </c>
      <c r="F813" s="30">
        <v>38.299999999999997</v>
      </c>
    </row>
    <row r="814" spans="1:6" hidden="1" x14ac:dyDescent="0.25">
      <c r="A814" s="30" t="s">
        <v>114</v>
      </c>
      <c r="B814" s="30">
        <v>2009</v>
      </c>
      <c r="C814" s="30" t="s">
        <v>107</v>
      </c>
      <c r="D814" s="30">
        <v>9</v>
      </c>
      <c r="E814" s="30">
        <v>74.3</v>
      </c>
      <c r="F814" s="30">
        <v>16.5</v>
      </c>
    </row>
    <row r="815" spans="1:6" hidden="1" x14ac:dyDescent="0.25">
      <c r="A815" s="30" t="s">
        <v>114</v>
      </c>
      <c r="B815" s="30">
        <v>2009</v>
      </c>
      <c r="C815" s="30" t="s">
        <v>108</v>
      </c>
      <c r="D815" s="30">
        <v>10</v>
      </c>
      <c r="E815" s="30">
        <v>144.1</v>
      </c>
      <c r="F815" s="30">
        <v>4</v>
      </c>
    </row>
    <row r="816" spans="1:6" hidden="1" x14ac:dyDescent="0.25">
      <c r="A816" s="30" t="s">
        <v>114</v>
      </c>
      <c r="B816" s="30">
        <v>2009</v>
      </c>
      <c r="C816" s="30" t="s">
        <v>109</v>
      </c>
      <c r="D816" s="30">
        <v>11</v>
      </c>
      <c r="E816" s="30">
        <v>215.8</v>
      </c>
      <c r="F816" s="30">
        <v>0.1</v>
      </c>
    </row>
    <row r="817" spans="1:6" hidden="1" x14ac:dyDescent="0.25">
      <c r="A817" s="30" t="s">
        <v>114</v>
      </c>
      <c r="B817" s="30">
        <v>2009</v>
      </c>
      <c r="C817" s="30" t="s">
        <v>110</v>
      </c>
      <c r="D817" s="30">
        <v>12</v>
      </c>
      <c r="E817" s="30">
        <v>380</v>
      </c>
      <c r="F817" s="30">
        <v>0</v>
      </c>
    </row>
    <row r="818" spans="1:6" hidden="1" x14ac:dyDescent="0.25">
      <c r="A818" s="30" t="s">
        <v>115</v>
      </c>
      <c r="B818" s="30">
        <v>2009</v>
      </c>
      <c r="C818" s="30" t="s">
        <v>99</v>
      </c>
      <c r="D818" s="30">
        <v>1</v>
      </c>
      <c r="E818" s="30">
        <v>409.7</v>
      </c>
      <c r="F818" s="30">
        <v>0</v>
      </c>
    </row>
    <row r="819" spans="1:6" hidden="1" x14ac:dyDescent="0.25">
      <c r="A819" s="30" t="s">
        <v>115</v>
      </c>
      <c r="B819" s="30">
        <v>2009</v>
      </c>
      <c r="C819" s="30" t="s">
        <v>100</v>
      </c>
      <c r="D819" s="30">
        <v>2</v>
      </c>
      <c r="E819" s="30">
        <v>341.6</v>
      </c>
      <c r="F819" s="30">
        <v>0</v>
      </c>
    </row>
    <row r="820" spans="1:6" hidden="1" x14ac:dyDescent="0.25">
      <c r="A820" s="30" t="s">
        <v>115</v>
      </c>
      <c r="B820" s="30">
        <v>2009</v>
      </c>
      <c r="C820" s="30" t="s">
        <v>101</v>
      </c>
      <c r="D820" s="30">
        <v>3</v>
      </c>
      <c r="E820" s="30">
        <v>295</v>
      </c>
      <c r="F820" s="30">
        <v>0.6</v>
      </c>
    </row>
    <row r="821" spans="1:6" hidden="1" x14ac:dyDescent="0.25">
      <c r="A821" s="30" t="s">
        <v>115</v>
      </c>
      <c r="B821" s="30">
        <v>2009</v>
      </c>
      <c r="C821" s="30" t="s">
        <v>102</v>
      </c>
      <c r="D821" s="30">
        <v>4</v>
      </c>
      <c r="E821" s="30">
        <v>237.7</v>
      </c>
      <c r="F821" s="30">
        <v>0.2</v>
      </c>
    </row>
    <row r="822" spans="1:6" hidden="1" x14ac:dyDescent="0.25">
      <c r="A822" s="30" t="s">
        <v>115</v>
      </c>
      <c r="B822" s="30">
        <v>2009</v>
      </c>
      <c r="C822" s="30" t="s">
        <v>103</v>
      </c>
      <c r="D822" s="30">
        <v>5</v>
      </c>
      <c r="E822" s="30">
        <v>147.19999999999999</v>
      </c>
      <c r="F822" s="30">
        <v>8.6</v>
      </c>
    </row>
    <row r="823" spans="1:6" hidden="1" x14ac:dyDescent="0.25">
      <c r="A823" s="30" t="s">
        <v>115</v>
      </c>
      <c r="B823" s="30">
        <v>2009</v>
      </c>
      <c r="C823" s="30" t="s">
        <v>104</v>
      </c>
      <c r="D823" s="30">
        <v>6</v>
      </c>
      <c r="E823" s="30">
        <v>67.900000000000006</v>
      </c>
      <c r="F823" s="30">
        <v>36.9</v>
      </c>
    </row>
    <row r="824" spans="1:6" hidden="1" x14ac:dyDescent="0.25">
      <c r="A824" s="30" t="s">
        <v>115</v>
      </c>
      <c r="B824" s="30">
        <v>2009</v>
      </c>
      <c r="C824" s="30" t="s">
        <v>105</v>
      </c>
      <c r="D824" s="30">
        <v>7</v>
      </c>
      <c r="E824" s="30">
        <v>52.5</v>
      </c>
      <c r="F824" s="30">
        <v>25.3</v>
      </c>
    </row>
    <row r="825" spans="1:6" hidden="1" x14ac:dyDescent="0.25">
      <c r="A825" s="30" t="s">
        <v>115</v>
      </c>
      <c r="B825" s="30">
        <v>2009</v>
      </c>
      <c r="C825" s="30" t="s">
        <v>106</v>
      </c>
      <c r="D825" s="30">
        <v>8</v>
      </c>
      <c r="E825" s="30">
        <v>57.2</v>
      </c>
      <c r="F825" s="30">
        <v>28.3</v>
      </c>
    </row>
    <row r="826" spans="1:6" hidden="1" x14ac:dyDescent="0.25">
      <c r="A826" s="30" t="s">
        <v>115</v>
      </c>
      <c r="B826" s="30">
        <v>2009</v>
      </c>
      <c r="C826" s="30" t="s">
        <v>107</v>
      </c>
      <c r="D826" s="30">
        <v>9</v>
      </c>
      <c r="E826" s="30">
        <v>74.900000000000006</v>
      </c>
      <c r="F826" s="30">
        <v>25.9</v>
      </c>
    </row>
    <row r="827" spans="1:6" hidden="1" x14ac:dyDescent="0.25">
      <c r="A827" s="30" t="s">
        <v>115</v>
      </c>
      <c r="B827" s="30">
        <v>2009</v>
      </c>
      <c r="C827" s="30" t="s">
        <v>108</v>
      </c>
      <c r="D827" s="30">
        <v>10</v>
      </c>
      <c r="E827" s="30">
        <v>135.9</v>
      </c>
      <c r="F827" s="30">
        <v>3.6</v>
      </c>
    </row>
    <row r="828" spans="1:6" hidden="1" x14ac:dyDescent="0.25">
      <c r="A828" s="30" t="s">
        <v>115</v>
      </c>
      <c r="B828" s="30">
        <v>2009</v>
      </c>
      <c r="C828" s="30" t="s">
        <v>109</v>
      </c>
      <c r="D828" s="30">
        <v>11</v>
      </c>
      <c r="E828" s="30">
        <v>202</v>
      </c>
      <c r="F828" s="30">
        <v>0</v>
      </c>
    </row>
    <row r="829" spans="1:6" hidden="1" x14ac:dyDescent="0.25">
      <c r="A829" s="30" t="s">
        <v>115</v>
      </c>
      <c r="B829" s="30">
        <v>2009</v>
      </c>
      <c r="C829" s="30" t="s">
        <v>110</v>
      </c>
      <c r="D829" s="30">
        <v>12</v>
      </c>
      <c r="E829" s="30">
        <v>362.2</v>
      </c>
      <c r="F829" s="30">
        <v>0</v>
      </c>
    </row>
    <row r="830" spans="1:6" x14ac:dyDescent="0.25">
      <c r="A830" s="30" t="s">
        <v>116</v>
      </c>
      <c r="B830" s="30">
        <v>2009</v>
      </c>
      <c r="C830" s="30" t="s">
        <v>99</v>
      </c>
      <c r="D830" s="30">
        <v>1</v>
      </c>
      <c r="E830" s="30">
        <v>420.3</v>
      </c>
      <c r="F830" s="30">
        <v>0</v>
      </c>
    </row>
    <row r="831" spans="1:6" x14ac:dyDescent="0.25">
      <c r="A831" s="30" t="s">
        <v>116</v>
      </c>
      <c r="B831" s="30">
        <v>2009</v>
      </c>
      <c r="C831" s="30" t="s">
        <v>100</v>
      </c>
      <c r="D831" s="30">
        <v>2</v>
      </c>
      <c r="E831" s="30">
        <v>340</v>
      </c>
      <c r="F831" s="30">
        <v>0</v>
      </c>
    </row>
    <row r="832" spans="1:6" x14ac:dyDescent="0.25">
      <c r="A832" s="30" t="s">
        <v>116</v>
      </c>
      <c r="B832" s="30">
        <v>2009</v>
      </c>
      <c r="C832" s="30" t="s">
        <v>101</v>
      </c>
      <c r="D832" s="30">
        <v>3</v>
      </c>
      <c r="E832" s="30">
        <v>283.39999999999998</v>
      </c>
      <c r="F832" s="30">
        <v>0</v>
      </c>
    </row>
    <row r="833" spans="1:6" x14ac:dyDescent="0.25">
      <c r="A833" s="30" t="s">
        <v>116</v>
      </c>
      <c r="B833" s="30">
        <v>2009</v>
      </c>
      <c r="C833" s="30" t="s">
        <v>102</v>
      </c>
      <c r="D833" s="30">
        <v>4</v>
      </c>
      <c r="E833" s="30">
        <v>214.2</v>
      </c>
      <c r="F833" s="30">
        <v>0</v>
      </c>
    </row>
    <row r="834" spans="1:6" x14ac:dyDescent="0.25">
      <c r="A834" s="30" t="s">
        <v>116</v>
      </c>
      <c r="B834" s="30">
        <v>2009</v>
      </c>
      <c r="C834" s="30" t="s">
        <v>103</v>
      </c>
      <c r="D834" s="30">
        <v>5</v>
      </c>
      <c r="E834" s="30">
        <v>114.3</v>
      </c>
      <c r="F834" s="30">
        <v>2.2000000000000002</v>
      </c>
    </row>
    <row r="835" spans="1:6" x14ac:dyDescent="0.25">
      <c r="A835" s="30" t="s">
        <v>116</v>
      </c>
      <c r="B835" s="30">
        <v>2009</v>
      </c>
      <c r="C835" s="30" t="s">
        <v>104</v>
      </c>
      <c r="D835" s="30">
        <v>6</v>
      </c>
      <c r="E835" s="30">
        <v>39.200000000000003</v>
      </c>
      <c r="F835" s="30">
        <v>30.5</v>
      </c>
    </row>
    <row r="836" spans="1:6" x14ac:dyDescent="0.25">
      <c r="A836" s="30" t="s">
        <v>116</v>
      </c>
      <c r="B836" s="30">
        <v>2009</v>
      </c>
      <c r="C836" s="30" t="s">
        <v>105</v>
      </c>
      <c r="D836" s="30">
        <v>7</v>
      </c>
      <c r="E836" s="30">
        <v>23.4</v>
      </c>
      <c r="F836" s="30">
        <v>19.100000000000001</v>
      </c>
    </row>
    <row r="837" spans="1:6" x14ac:dyDescent="0.25">
      <c r="A837" s="30" t="s">
        <v>116</v>
      </c>
      <c r="B837" s="30">
        <v>2009</v>
      </c>
      <c r="C837" s="30" t="s">
        <v>106</v>
      </c>
      <c r="D837" s="30">
        <v>8</v>
      </c>
      <c r="E837" s="30">
        <v>22.1</v>
      </c>
      <c r="F837" s="30">
        <v>27.4</v>
      </c>
    </row>
    <row r="838" spans="1:6" x14ac:dyDescent="0.25">
      <c r="A838" s="30" t="s">
        <v>116</v>
      </c>
      <c r="B838" s="30">
        <v>2009</v>
      </c>
      <c r="C838" s="30" t="s">
        <v>107</v>
      </c>
      <c r="D838" s="30">
        <v>9</v>
      </c>
      <c r="E838" s="30">
        <v>32.4</v>
      </c>
      <c r="F838" s="30">
        <v>8.1</v>
      </c>
    </row>
    <row r="839" spans="1:6" x14ac:dyDescent="0.25">
      <c r="A839" s="30" t="s">
        <v>116</v>
      </c>
      <c r="B839" s="30">
        <v>2009</v>
      </c>
      <c r="C839" s="30" t="s">
        <v>108</v>
      </c>
      <c r="D839" s="30">
        <v>10</v>
      </c>
      <c r="E839" s="30">
        <v>132</v>
      </c>
      <c r="F839" s="30">
        <v>3.7</v>
      </c>
    </row>
    <row r="840" spans="1:6" x14ac:dyDescent="0.25">
      <c r="A840" s="30" t="s">
        <v>116</v>
      </c>
      <c r="B840" s="30">
        <v>2009</v>
      </c>
      <c r="C840" s="30" t="s">
        <v>109</v>
      </c>
      <c r="D840" s="30">
        <v>11</v>
      </c>
      <c r="E840" s="30">
        <v>192.1</v>
      </c>
      <c r="F840" s="30">
        <v>0</v>
      </c>
    </row>
    <row r="841" spans="1:6" x14ac:dyDescent="0.25">
      <c r="A841" s="30" t="s">
        <v>116</v>
      </c>
      <c r="B841" s="30">
        <v>2009</v>
      </c>
      <c r="C841" s="30" t="s">
        <v>110</v>
      </c>
      <c r="D841" s="30">
        <v>12</v>
      </c>
      <c r="E841" s="30">
        <v>375.8</v>
      </c>
      <c r="F841" s="30">
        <v>0</v>
      </c>
    </row>
    <row r="842" spans="1:6" hidden="1" x14ac:dyDescent="0.25">
      <c r="A842" s="30" t="s">
        <v>98</v>
      </c>
      <c r="B842" s="30">
        <v>2010</v>
      </c>
      <c r="C842" s="30" t="s">
        <v>99</v>
      </c>
      <c r="D842" s="30">
        <v>1</v>
      </c>
      <c r="E842" s="30">
        <v>445.6</v>
      </c>
      <c r="F842" s="30">
        <v>0</v>
      </c>
    </row>
    <row r="843" spans="1:6" hidden="1" x14ac:dyDescent="0.25">
      <c r="A843" s="30" t="s">
        <v>98</v>
      </c>
      <c r="B843" s="30">
        <v>2010</v>
      </c>
      <c r="C843" s="30" t="s">
        <v>100</v>
      </c>
      <c r="D843" s="30">
        <v>2</v>
      </c>
      <c r="E843" s="30">
        <v>351.3</v>
      </c>
      <c r="F843" s="30">
        <v>0</v>
      </c>
    </row>
    <row r="844" spans="1:6" hidden="1" x14ac:dyDescent="0.25">
      <c r="A844" s="30" t="s">
        <v>98</v>
      </c>
      <c r="B844" s="30">
        <v>2010</v>
      </c>
      <c r="C844" s="30" t="s">
        <v>101</v>
      </c>
      <c r="D844" s="30">
        <v>3</v>
      </c>
      <c r="E844" s="30">
        <v>328.9</v>
      </c>
      <c r="F844" s="30">
        <v>0</v>
      </c>
    </row>
    <row r="845" spans="1:6" hidden="1" x14ac:dyDescent="0.25">
      <c r="A845" s="30" t="s">
        <v>98</v>
      </c>
      <c r="B845" s="30">
        <v>2010</v>
      </c>
      <c r="C845" s="30" t="s">
        <v>102</v>
      </c>
      <c r="D845" s="30">
        <v>4</v>
      </c>
      <c r="E845" s="30">
        <v>255.1</v>
      </c>
      <c r="F845" s="30">
        <v>3.2</v>
      </c>
    </row>
    <row r="846" spans="1:6" hidden="1" x14ac:dyDescent="0.25">
      <c r="A846" s="30" t="s">
        <v>98</v>
      </c>
      <c r="B846" s="30">
        <v>2010</v>
      </c>
      <c r="C846" s="30" t="s">
        <v>103</v>
      </c>
      <c r="D846" s="30">
        <v>5</v>
      </c>
      <c r="E846" s="30">
        <v>208.8</v>
      </c>
      <c r="F846" s="30">
        <v>6.4</v>
      </c>
    </row>
    <row r="847" spans="1:6" hidden="1" x14ac:dyDescent="0.25">
      <c r="A847" s="30" t="s">
        <v>98</v>
      </c>
      <c r="B847" s="30">
        <v>2010</v>
      </c>
      <c r="C847" s="30" t="s">
        <v>104</v>
      </c>
      <c r="D847" s="30">
        <v>6</v>
      </c>
      <c r="E847" s="30">
        <v>104</v>
      </c>
      <c r="F847" s="30">
        <v>17.2</v>
      </c>
    </row>
    <row r="848" spans="1:6" hidden="1" x14ac:dyDescent="0.25">
      <c r="A848" s="30" t="s">
        <v>98</v>
      </c>
      <c r="B848" s="30">
        <v>2010</v>
      </c>
      <c r="C848" s="30" t="s">
        <v>105</v>
      </c>
      <c r="D848" s="30">
        <v>7</v>
      </c>
      <c r="E848" s="30">
        <v>41.3</v>
      </c>
      <c r="F848" s="30">
        <v>44.6</v>
      </c>
    </row>
    <row r="849" spans="1:6" hidden="1" x14ac:dyDescent="0.25">
      <c r="A849" s="30" t="s">
        <v>98</v>
      </c>
      <c r="B849" s="30">
        <v>2010</v>
      </c>
      <c r="C849" s="30" t="s">
        <v>106</v>
      </c>
      <c r="D849" s="30">
        <v>8</v>
      </c>
      <c r="E849" s="30">
        <v>60.3</v>
      </c>
      <c r="F849" s="30">
        <v>30</v>
      </c>
    </row>
    <row r="850" spans="1:6" hidden="1" x14ac:dyDescent="0.25">
      <c r="A850" s="30" t="s">
        <v>98</v>
      </c>
      <c r="B850" s="30">
        <v>2010</v>
      </c>
      <c r="C850" s="30" t="s">
        <v>107</v>
      </c>
      <c r="D850" s="30">
        <v>9</v>
      </c>
      <c r="E850" s="30">
        <v>103.7</v>
      </c>
      <c r="F850" s="30">
        <v>18</v>
      </c>
    </row>
    <row r="851" spans="1:6" hidden="1" x14ac:dyDescent="0.25">
      <c r="A851" s="30" t="s">
        <v>98</v>
      </c>
      <c r="B851" s="30">
        <v>2010</v>
      </c>
      <c r="C851" s="30" t="s">
        <v>108</v>
      </c>
      <c r="D851" s="30">
        <v>10</v>
      </c>
      <c r="E851" s="30">
        <v>167.7</v>
      </c>
      <c r="F851" s="30">
        <v>3.4</v>
      </c>
    </row>
    <row r="852" spans="1:6" hidden="1" x14ac:dyDescent="0.25">
      <c r="A852" s="30" t="s">
        <v>98</v>
      </c>
      <c r="B852" s="30">
        <v>2010</v>
      </c>
      <c r="C852" s="30" t="s">
        <v>109</v>
      </c>
      <c r="D852" s="30">
        <v>11</v>
      </c>
      <c r="E852" s="30">
        <v>296</v>
      </c>
      <c r="F852" s="30">
        <v>0</v>
      </c>
    </row>
    <row r="853" spans="1:6" hidden="1" x14ac:dyDescent="0.25">
      <c r="A853" s="30" t="s">
        <v>98</v>
      </c>
      <c r="B853" s="30">
        <v>2010</v>
      </c>
      <c r="C853" s="30" t="s">
        <v>110</v>
      </c>
      <c r="D853" s="30">
        <v>12</v>
      </c>
      <c r="E853" s="30">
        <v>453.4</v>
      </c>
      <c r="F853" s="30">
        <v>0</v>
      </c>
    </row>
    <row r="854" spans="1:6" hidden="1" x14ac:dyDescent="0.25">
      <c r="A854" s="30" t="s">
        <v>111</v>
      </c>
      <c r="B854" s="30">
        <v>2010</v>
      </c>
      <c r="C854" s="30" t="s">
        <v>99</v>
      </c>
      <c r="D854" s="30">
        <v>1</v>
      </c>
      <c r="E854" s="30">
        <v>427.4</v>
      </c>
      <c r="F854" s="30">
        <v>0</v>
      </c>
    </row>
    <row r="855" spans="1:6" hidden="1" x14ac:dyDescent="0.25">
      <c r="A855" s="30" t="s">
        <v>111</v>
      </c>
      <c r="B855" s="30">
        <v>2010</v>
      </c>
      <c r="C855" s="30" t="s">
        <v>100</v>
      </c>
      <c r="D855" s="30">
        <v>2</v>
      </c>
      <c r="E855" s="30">
        <v>347.3</v>
      </c>
      <c r="F855" s="30">
        <v>0</v>
      </c>
    </row>
    <row r="856" spans="1:6" hidden="1" x14ac:dyDescent="0.25">
      <c r="A856" s="30" t="s">
        <v>111</v>
      </c>
      <c r="B856" s="30">
        <v>2010</v>
      </c>
      <c r="C856" s="30" t="s">
        <v>101</v>
      </c>
      <c r="D856" s="30">
        <v>3</v>
      </c>
      <c r="E856" s="30">
        <v>331.2</v>
      </c>
      <c r="F856" s="30">
        <v>0</v>
      </c>
    </row>
    <row r="857" spans="1:6" hidden="1" x14ac:dyDescent="0.25">
      <c r="A857" s="30" t="s">
        <v>111</v>
      </c>
      <c r="B857" s="30">
        <v>2010</v>
      </c>
      <c r="C857" s="30" t="s">
        <v>102</v>
      </c>
      <c r="D857" s="30">
        <v>4</v>
      </c>
      <c r="E857" s="30">
        <v>239.9</v>
      </c>
      <c r="F857" s="30">
        <v>1.4</v>
      </c>
    </row>
    <row r="858" spans="1:6" hidden="1" x14ac:dyDescent="0.25">
      <c r="A858" s="30" t="s">
        <v>111</v>
      </c>
      <c r="B858" s="30">
        <v>2010</v>
      </c>
      <c r="C858" s="30" t="s">
        <v>103</v>
      </c>
      <c r="D858" s="30">
        <v>5</v>
      </c>
      <c r="E858" s="30">
        <v>195.6</v>
      </c>
      <c r="F858" s="30">
        <v>9.8000000000000007</v>
      </c>
    </row>
    <row r="859" spans="1:6" hidden="1" x14ac:dyDescent="0.25">
      <c r="A859" s="30" t="s">
        <v>111</v>
      </c>
      <c r="B859" s="30">
        <v>2010</v>
      </c>
      <c r="C859" s="30" t="s">
        <v>104</v>
      </c>
      <c r="D859" s="30">
        <v>6</v>
      </c>
      <c r="E859" s="30">
        <v>96.1</v>
      </c>
      <c r="F859" s="30">
        <v>20.399999999999999</v>
      </c>
    </row>
    <row r="860" spans="1:6" hidden="1" x14ac:dyDescent="0.25">
      <c r="A860" s="30" t="s">
        <v>111</v>
      </c>
      <c r="B860" s="30">
        <v>2010</v>
      </c>
      <c r="C860" s="30" t="s">
        <v>105</v>
      </c>
      <c r="D860" s="30">
        <v>7</v>
      </c>
      <c r="E860" s="30">
        <v>46.9</v>
      </c>
      <c r="F860" s="30">
        <v>27.4</v>
      </c>
    </row>
    <row r="861" spans="1:6" hidden="1" x14ac:dyDescent="0.25">
      <c r="A861" s="30" t="s">
        <v>111</v>
      </c>
      <c r="B861" s="30">
        <v>2010</v>
      </c>
      <c r="C861" s="30" t="s">
        <v>106</v>
      </c>
      <c r="D861" s="30">
        <v>8</v>
      </c>
      <c r="E861" s="30">
        <v>65.8</v>
      </c>
      <c r="F861" s="30">
        <v>10.7</v>
      </c>
    </row>
    <row r="862" spans="1:6" hidden="1" x14ac:dyDescent="0.25">
      <c r="A862" s="30" t="s">
        <v>111</v>
      </c>
      <c r="B862" s="30">
        <v>2010</v>
      </c>
      <c r="C862" s="30" t="s">
        <v>107</v>
      </c>
      <c r="D862" s="30">
        <v>9</v>
      </c>
      <c r="E862" s="30">
        <v>103.4</v>
      </c>
      <c r="F862" s="30">
        <v>13.6</v>
      </c>
    </row>
    <row r="863" spans="1:6" hidden="1" x14ac:dyDescent="0.25">
      <c r="A863" s="30" t="s">
        <v>111</v>
      </c>
      <c r="B863" s="30">
        <v>2010</v>
      </c>
      <c r="C863" s="30" t="s">
        <v>108</v>
      </c>
      <c r="D863" s="30">
        <v>10</v>
      </c>
      <c r="E863" s="30">
        <v>167</v>
      </c>
      <c r="F863" s="30">
        <v>4.5999999999999996</v>
      </c>
    </row>
    <row r="864" spans="1:6" hidden="1" x14ac:dyDescent="0.25">
      <c r="A864" s="30" t="s">
        <v>111</v>
      </c>
      <c r="B864" s="30">
        <v>2010</v>
      </c>
      <c r="C864" s="30" t="s">
        <v>109</v>
      </c>
      <c r="D864" s="30">
        <v>11</v>
      </c>
      <c r="E864" s="30">
        <v>291.2</v>
      </c>
      <c r="F864" s="30">
        <v>0</v>
      </c>
    </row>
    <row r="865" spans="1:6" hidden="1" x14ac:dyDescent="0.25">
      <c r="A865" s="30" t="s">
        <v>111</v>
      </c>
      <c r="B865" s="30">
        <v>2010</v>
      </c>
      <c r="C865" s="30" t="s">
        <v>110</v>
      </c>
      <c r="D865" s="30">
        <v>12</v>
      </c>
      <c r="E865" s="30">
        <v>436.3</v>
      </c>
      <c r="F865" s="30">
        <v>0</v>
      </c>
    </row>
    <row r="866" spans="1:6" hidden="1" x14ac:dyDescent="0.25">
      <c r="A866" s="30" t="s">
        <v>112</v>
      </c>
      <c r="B866" s="30">
        <v>2010</v>
      </c>
      <c r="C866" s="30" t="s">
        <v>99</v>
      </c>
      <c r="D866" s="30">
        <v>1</v>
      </c>
      <c r="E866" s="30">
        <v>428.8</v>
      </c>
      <c r="F866" s="30">
        <v>0</v>
      </c>
    </row>
    <row r="867" spans="1:6" hidden="1" x14ac:dyDescent="0.25">
      <c r="A867" s="30" t="s">
        <v>112</v>
      </c>
      <c r="B867" s="30">
        <v>2010</v>
      </c>
      <c r="C867" s="30" t="s">
        <v>100</v>
      </c>
      <c r="D867" s="30">
        <v>2</v>
      </c>
      <c r="E867" s="30">
        <v>345.2</v>
      </c>
      <c r="F867" s="30">
        <v>0</v>
      </c>
    </row>
    <row r="868" spans="1:6" hidden="1" x14ac:dyDescent="0.25">
      <c r="A868" s="30" t="s">
        <v>112</v>
      </c>
      <c r="B868" s="30">
        <v>2010</v>
      </c>
      <c r="C868" s="30" t="s">
        <v>101</v>
      </c>
      <c r="D868" s="30">
        <v>3</v>
      </c>
      <c r="E868" s="30">
        <v>325.2</v>
      </c>
      <c r="F868" s="30">
        <v>0</v>
      </c>
    </row>
    <row r="869" spans="1:6" hidden="1" x14ac:dyDescent="0.25">
      <c r="A869" s="30" t="s">
        <v>112</v>
      </c>
      <c r="B869" s="30">
        <v>2010</v>
      </c>
      <c r="C869" s="30" t="s">
        <v>102</v>
      </c>
      <c r="D869" s="30">
        <v>4</v>
      </c>
      <c r="E869" s="30">
        <v>209.3</v>
      </c>
      <c r="F869" s="30">
        <v>1.5</v>
      </c>
    </row>
    <row r="870" spans="1:6" hidden="1" x14ac:dyDescent="0.25">
      <c r="A870" s="30" t="s">
        <v>112</v>
      </c>
      <c r="B870" s="30">
        <v>2010</v>
      </c>
      <c r="C870" s="30" t="s">
        <v>103</v>
      </c>
      <c r="D870" s="30">
        <v>5</v>
      </c>
      <c r="E870" s="30">
        <v>172.3</v>
      </c>
      <c r="F870" s="30">
        <v>14.4</v>
      </c>
    </row>
    <row r="871" spans="1:6" hidden="1" x14ac:dyDescent="0.25">
      <c r="A871" s="30" t="s">
        <v>112</v>
      </c>
      <c r="B871" s="30">
        <v>2010</v>
      </c>
      <c r="C871" s="30" t="s">
        <v>104</v>
      </c>
      <c r="D871" s="30">
        <v>6</v>
      </c>
      <c r="E871" s="30">
        <v>70.900000000000006</v>
      </c>
      <c r="F871" s="30">
        <v>34</v>
      </c>
    </row>
    <row r="872" spans="1:6" hidden="1" x14ac:dyDescent="0.25">
      <c r="A872" s="30" t="s">
        <v>112</v>
      </c>
      <c r="B872" s="30">
        <v>2010</v>
      </c>
      <c r="C872" s="30" t="s">
        <v>105</v>
      </c>
      <c r="D872" s="30">
        <v>7</v>
      </c>
      <c r="E872" s="30">
        <v>42.2</v>
      </c>
      <c r="F872" s="30">
        <v>38.6</v>
      </c>
    </row>
    <row r="873" spans="1:6" hidden="1" x14ac:dyDescent="0.25">
      <c r="A873" s="30" t="s">
        <v>112</v>
      </c>
      <c r="B873" s="30">
        <v>2010</v>
      </c>
      <c r="C873" s="30" t="s">
        <v>106</v>
      </c>
      <c r="D873" s="30">
        <v>8</v>
      </c>
      <c r="E873" s="30">
        <v>53.9</v>
      </c>
      <c r="F873" s="30">
        <v>21.4</v>
      </c>
    </row>
    <row r="874" spans="1:6" hidden="1" x14ac:dyDescent="0.25">
      <c r="A874" s="30" t="s">
        <v>112</v>
      </c>
      <c r="B874" s="30">
        <v>2010</v>
      </c>
      <c r="C874" s="30" t="s">
        <v>107</v>
      </c>
      <c r="D874" s="30">
        <v>9</v>
      </c>
      <c r="E874" s="30">
        <v>104.4</v>
      </c>
      <c r="F874" s="30">
        <v>13.9</v>
      </c>
    </row>
    <row r="875" spans="1:6" hidden="1" x14ac:dyDescent="0.25">
      <c r="A875" s="30" t="s">
        <v>112</v>
      </c>
      <c r="B875" s="30">
        <v>2010</v>
      </c>
      <c r="C875" s="30" t="s">
        <v>108</v>
      </c>
      <c r="D875" s="30">
        <v>10</v>
      </c>
      <c r="E875" s="30">
        <v>160.4</v>
      </c>
      <c r="F875" s="30">
        <v>3.9</v>
      </c>
    </row>
    <row r="876" spans="1:6" hidden="1" x14ac:dyDescent="0.25">
      <c r="A876" s="30" t="s">
        <v>112</v>
      </c>
      <c r="B876" s="30">
        <v>2010</v>
      </c>
      <c r="C876" s="30" t="s">
        <v>109</v>
      </c>
      <c r="D876" s="30">
        <v>11</v>
      </c>
      <c r="E876" s="30">
        <v>285.3</v>
      </c>
      <c r="F876" s="30">
        <v>0</v>
      </c>
    </row>
    <row r="877" spans="1:6" hidden="1" x14ac:dyDescent="0.25">
      <c r="A877" s="30" t="s">
        <v>112</v>
      </c>
      <c r="B877" s="30">
        <v>2010</v>
      </c>
      <c r="C877" s="30" t="s">
        <v>110</v>
      </c>
      <c r="D877" s="30">
        <v>12</v>
      </c>
      <c r="E877" s="30">
        <v>431</v>
      </c>
      <c r="F877" s="30">
        <v>0</v>
      </c>
    </row>
    <row r="878" spans="1:6" hidden="1" x14ac:dyDescent="0.25">
      <c r="A878" s="30" t="s">
        <v>113</v>
      </c>
      <c r="B878" s="30">
        <v>2010</v>
      </c>
      <c r="C878" s="30" t="s">
        <v>99</v>
      </c>
      <c r="D878" s="30">
        <v>1</v>
      </c>
      <c r="E878" s="30">
        <v>471.2</v>
      </c>
      <c r="F878" s="30">
        <v>0</v>
      </c>
    </row>
    <row r="879" spans="1:6" hidden="1" x14ac:dyDescent="0.25">
      <c r="A879" s="30" t="s">
        <v>113</v>
      </c>
      <c r="B879" s="30">
        <v>2010</v>
      </c>
      <c r="C879" s="30" t="s">
        <v>100</v>
      </c>
      <c r="D879" s="30">
        <v>2</v>
      </c>
      <c r="E879" s="30">
        <v>355.5</v>
      </c>
      <c r="F879" s="30">
        <v>0</v>
      </c>
    </row>
    <row r="880" spans="1:6" hidden="1" x14ac:dyDescent="0.25">
      <c r="A880" s="30" t="s">
        <v>113</v>
      </c>
      <c r="B880" s="30">
        <v>2010</v>
      </c>
      <c r="C880" s="30" t="s">
        <v>101</v>
      </c>
      <c r="D880" s="30">
        <v>3</v>
      </c>
      <c r="E880" s="30">
        <v>318.89999999999998</v>
      </c>
      <c r="F880" s="30">
        <v>0.1</v>
      </c>
    </row>
    <row r="881" spans="1:6" hidden="1" x14ac:dyDescent="0.25">
      <c r="A881" s="30" t="s">
        <v>113</v>
      </c>
      <c r="B881" s="30">
        <v>2010</v>
      </c>
      <c r="C881" s="30" t="s">
        <v>102</v>
      </c>
      <c r="D881" s="30">
        <v>4</v>
      </c>
      <c r="E881" s="30">
        <v>211.2</v>
      </c>
      <c r="F881" s="30">
        <v>6.7</v>
      </c>
    </row>
    <row r="882" spans="1:6" hidden="1" x14ac:dyDescent="0.25">
      <c r="A882" s="30" t="s">
        <v>113</v>
      </c>
      <c r="B882" s="30">
        <v>2010</v>
      </c>
      <c r="C882" s="30" t="s">
        <v>103</v>
      </c>
      <c r="D882" s="30">
        <v>5</v>
      </c>
      <c r="E882" s="30">
        <v>178</v>
      </c>
      <c r="F882" s="30">
        <v>17.7</v>
      </c>
    </row>
    <row r="883" spans="1:6" hidden="1" x14ac:dyDescent="0.25">
      <c r="A883" s="30" t="s">
        <v>113</v>
      </c>
      <c r="B883" s="30">
        <v>2010</v>
      </c>
      <c r="C883" s="30" t="s">
        <v>104</v>
      </c>
      <c r="D883" s="30">
        <v>6</v>
      </c>
      <c r="E883" s="30">
        <v>64.599999999999994</v>
      </c>
      <c r="F883" s="30">
        <v>51.1</v>
      </c>
    </row>
    <row r="884" spans="1:6" hidden="1" x14ac:dyDescent="0.25">
      <c r="A884" s="30" t="s">
        <v>113</v>
      </c>
      <c r="B884" s="30">
        <v>2010</v>
      </c>
      <c r="C884" s="30" t="s">
        <v>105</v>
      </c>
      <c r="D884" s="30">
        <v>7</v>
      </c>
      <c r="E884" s="30">
        <v>32.1</v>
      </c>
      <c r="F884" s="30">
        <v>99</v>
      </c>
    </row>
    <row r="885" spans="1:6" hidden="1" x14ac:dyDescent="0.25">
      <c r="A885" s="30" t="s">
        <v>113</v>
      </c>
      <c r="B885" s="30">
        <v>2010</v>
      </c>
      <c r="C885" s="30" t="s">
        <v>106</v>
      </c>
      <c r="D885" s="30">
        <v>8</v>
      </c>
      <c r="E885" s="30">
        <v>56.4</v>
      </c>
      <c r="F885" s="30">
        <v>50.8</v>
      </c>
    </row>
    <row r="886" spans="1:6" hidden="1" x14ac:dyDescent="0.25">
      <c r="A886" s="30" t="s">
        <v>113</v>
      </c>
      <c r="B886" s="30">
        <v>2010</v>
      </c>
      <c r="C886" s="30" t="s">
        <v>107</v>
      </c>
      <c r="D886" s="30">
        <v>9</v>
      </c>
      <c r="E886" s="30">
        <v>99</v>
      </c>
      <c r="F886" s="30">
        <v>35.4</v>
      </c>
    </row>
    <row r="887" spans="1:6" hidden="1" x14ac:dyDescent="0.25">
      <c r="A887" s="30" t="s">
        <v>113</v>
      </c>
      <c r="B887" s="30">
        <v>2010</v>
      </c>
      <c r="C887" s="30" t="s">
        <v>108</v>
      </c>
      <c r="D887" s="30">
        <v>10</v>
      </c>
      <c r="E887" s="30">
        <v>178.6</v>
      </c>
      <c r="F887" s="30">
        <v>8.1999999999999993</v>
      </c>
    </row>
    <row r="888" spans="1:6" hidden="1" x14ac:dyDescent="0.25">
      <c r="A888" s="30" t="s">
        <v>113</v>
      </c>
      <c r="B888" s="30">
        <v>2010</v>
      </c>
      <c r="C888" s="30" t="s">
        <v>109</v>
      </c>
      <c r="D888" s="30">
        <v>11</v>
      </c>
      <c r="E888" s="30">
        <v>310.7</v>
      </c>
      <c r="F888" s="30">
        <v>0</v>
      </c>
    </row>
    <row r="889" spans="1:6" hidden="1" x14ac:dyDescent="0.25">
      <c r="A889" s="30" t="s">
        <v>113</v>
      </c>
      <c r="B889" s="30">
        <v>2010</v>
      </c>
      <c r="C889" s="30" t="s">
        <v>110</v>
      </c>
      <c r="D889" s="30">
        <v>12</v>
      </c>
      <c r="E889" s="30">
        <v>488.4</v>
      </c>
      <c r="F889" s="30">
        <v>0</v>
      </c>
    </row>
    <row r="890" spans="1:6" hidden="1" x14ac:dyDescent="0.25">
      <c r="A890" s="30" t="s">
        <v>114</v>
      </c>
      <c r="B890" s="30">
        <v>2010</v>
      </c>
      <c r="C890" s="30" t="s">
        <v>99</v>
      </c>
      <c r="D890" s="30">
        <v>1</v>
      </c>
      <c r="E890" s="30">
        <v>446</v>
      </c>
      <c r="F890" s="30">
        <v>0</v>
      </c>
    </row>
    <row r="891" spans="1:6" hidden="1" x14ac:dyDescent="0.25">
      <c r="A891" s="30" t="s">
        <v>114</v>
      </c>
      <c r="B891" s="30">
        <v>2010</v>
      </c>
      <c r="C891" s="30" t="s">
        <v>100</v>
      </c>
      <c r="D891" s="30">
        <v>2</v>
      </c>
      <c r="E891" s="30">
        <v>351.6</v>
      </c>
      <c r="F891" s="30">
        <v>0</v>
      </c>
    </row>
    <row r="892" spans="1:6" hidden="1" x14ac:dyDescent="0.25">
      <c r="A892" s="30" t="s">
        <v>114</v>
      </c>
      <c r="B892" s="30">
        <v>2010</v>
      </c>
      <c r="C892" s="30" t="s">
        <v>101</v>
      </c>
      <c r="D892" s="30">
        <v>3</v>
      </c>
      <c r="E892" s="30">
        <v>316.89999999999998</v>
      </c>
      <c r="F892" s="30">
        <v>0.1</v>
      </c>
    </row>
    <row r="893" spans="1:6" hidden="1" x14ac:dyDescent="0.25">
      <c r="A893" s="30" t="s">
        <v>114</v>
      </c>
      <c r="B893" s="30">
        <v>2010</v>
      </c>
      <c r="C893" s="30" t="s">
        <v>102</v>
      </c>
      <c r="D893" s="30">
        <v>4</v>
      </c>
      <c r="E893" s="30">
        <v>241.9</v>
      </c>
      <c r="F893" s="30">
        <v>3.8</v>
      </c>
    </row>
    <row r="894" spans="1:6" hidden="1" x14ac:dyDescent="0.25">
      <c r="A894" s="30" t="s">
        <v>114</v>
      </c>
      <c r="B894" s="30">
        <v>2010</v>
      </c>
      <c r="C894" s="30" t="s">
        <v>103</v>
      </c>
      <c r="D894" s="30">
        <v>5</v>
      </c>
      <c r="E894" s="30">
        <v>198.3</v>
      </c>
      <c r="F894" s="30">
        <v>7.6</v>
      </c>
    </row>
    <row r="895" spans="1:6" hidden="1" x14ac:dyDescent="0.25">
      <c r="A895" s="30" t="s">
        <v>114</v>
      </c>
      <c r="B895" s="30">
        <v>2010</v>
      </c>
      <c r="C895" s="30" t="s">
        <v>104</v>
      </c>
      <c r="D895" s="30">
        <v>6</v>
      </c>
      <c r="E895" s="30">
        <v>84.5</v>
      </c>
      <c r="F895" s="30">
        <v>18.3</v>
      </c>
    </row>
    <row r="896" spans="1:6" hidden="1" x14ac:dyDescent="0.25">
      <c r="A896" s="30" t="s">
        <v>114</v>
      </c>
      <c r="B896" s="30">
        <v>2010</v>
      </c>
      <c r="C896" s="30" t="s">
        <v>105</v>
      </c>
      <c r="D896" s="30">
        <v>7</v>
      </c>
      <c r="E896" s="30">
        <v>37.4</v>
      </c>
      <c r="F896" s="30">
        <v>45.6</v>
      </c>
    </row>
    <row r="897" spans="1:6" hidden="1" x14ac:dyDescent="0.25">
      <c r="A897" s="30" t="s">
        <v>114</v>
      </c>
      <c r="B897" s="30">
        <v>2010</v>
      </c>
      <c r="C897" s="30" t="s">
        <v>106</v>
      </c>
      <c r="D897" s="30">
        <v>8</v>
      </c>
      <c r="E897" s="30">
        <v>48.7</v>
      </c>
      <c r="F897" s="30">
        <v>29.8</v>
      </c>
    </row>
    <row r="898" spans="1:6" hidden="1" x14ac:dyDescent="0.25">
      <c r="A898" s="30" t="s">
        <v>114</v>
      </c>
      <c r="B898" s="30">
        <v>2010</v>
      </c>
      <c r="C898" s="30" t="s">
        <v>107</v>
      </c>
      <c r="D898" s="30">
        <v>9</v>
      </c>
      <c r="E898" s="30">
        <v>96</v>
      </c>
      <c r="F898" s="30">
        <v>20</v>
      </c>
    </row>
    <row r="899" spans="1:6" hidden="1" x14ac:dyDescent="0.25">
      <c r="A899" s="30" t="s">
        <v>114</v>
      </c>
      <c r="B899" s="30">
        <v>2010</v>
      </c>
      <c r="C899" s="30" t="s">
        <v>108</v>
      </c>
      <c r="D899" s="30">
        <v>10</v>
      </c>
      <c r="E899" s="30">
        <v>166.6</v>
      </c>
      <c r="F899" s="30">
        <v>5</v>
      </c>
    </row>
    <row r="900" spans="1:6" hidden="1" x14ac:dyDescent="0.25">
      <c r="A900" s="30" t="s">
        <v>114</v>
      </c>
      <c r="B900" s="30">
        <v>2010</v>
      </c>
      <c r="C900" s="30" t="s">
        <v>109</v>
      </c>
      <c r="D900" s="30">
        <v>11</v>
      </c>
      <c r="E900" s="30">
        <v>297.39999999999998</v>
      </c>
      <c r="F900" s="30">
        <v>0.1</v>
      </c>
    </row>
    <row r="901" spans="1:6" hidden="1" x14ac:dyDescent="0.25">
      <c r="A901" s="30" t="s">
        <v>114</v>
      </c>
      <c r="B901" s="30">
        <v>2010</v>
      </c>
      <c r="C901" s="30" t="s">
        <v>110</v>
      </c>
      <c r="D901" s="30">
        <v>12</v>
      </c>
      <c r="E901" s="30">
        <v>458.1</v>
      </c>
      <c r="F901" s="30">
        <v>0</v>
      </c>
    </row>
    <row r="902" spans="1:6" hidden="1" x14ac:dyDescent="0.25">
      <c r="A902" s="30" t="s">
        <v>115</v>
      </c>
      <c r="B902" s="30">
        <v>2010</v>
      </c>
      <c r="C902" s="30" t="s">
        <v>99</v>
      </c>
      <c r="D902" s="30">
        <v>1</v>
      </c>
      <c r="E902" s="30">
        <v>444.1</v>
      </c>
      <c r="F902" s="30">
        <v>0</v>
      </c>
    </row>
    <row r="903" spans="1:6" hidden="1" x14ac:dyDescent="0.25">
      <c r="A903" s="30" t="s">
        <v>115</v>
      </c>
      <c r="B903" s="30">
        <v>2010</v>
      </c>
      <c r="C903" s="30" t="s">
        <v>100</v>
      </c>
      <c r="D903" s="30">
        <v>2</v>
      </c>
      <c r="E903" s="30">
        <v>355.2</v>
      </c>
      <c r="F903" s="30">
        <v>0</v>
      </c>
    </row>
    <row r="904" spans="1:6" hidden="1" x14ac:dyDescent="0.25">
      <c r="A904" s="30" t="s">
        <v>115</v>
      </c>
      <c r="B904" s="30">
        <v>2010</v>
      </c>
      <c r="C904" s="30" t="s">
        <v>101</v>
      </c>
      <c r="D904" s="30">
        <v>3</v>
      </c>
      <c r="E904" s="30">
        <v>334.4</v>
      </c>
      <c r="F904" s="30">
        <v>0</v>
      </c>
    </row>
    <row r="905" spans="1:6" hidden="1" x14ac:dyDescent="0.25">
      <c r="A905" s="30" t="s">
        <v>115</v>
      </c>
      <c r="B905" s="30">
        <v>2010</v>
      </c>
      <c r="C905" s="30" t="s">
        <v>102</v>
      </c>
      <c r="D905" s="30">
        <v>4</v>
      </c>
      <c r="E905" s="30">
        <v>208.2</v>
      </c>
      <c r="F905" s="30">
        <v>1.6</v>
      </c>
    </row>
    <row r="906" spans="1:6" hidden="1" x14ac:dyDescent="0.25">
      <c r="A906" s="30" t="s">
        <v>115</v>
      </c>
      <c r="B906" s="30">
        <v>2010</v>
      </c>
      <c r="C906" s="30" t="s">
        <v>103</v>
      </c>
      <c r="D906" s="30">
        <v>5</v>
      </c>
      <c r="E906" s="30">
        <v>180.9</v>
      </c>
      <c r="F906" s="30">
        <v>13.7</v>
      </c>
    </row>
    <row r="907" spans="1:6" hidden="1" x14ac:dyDescent="0.25">
      <c r="A907" s="30" t="s">
        <v>115</v>
      </c>
      <c r="B907" s="30">
        <v>2010</v>
      </c>
      <c r="C907" s="30" t="s">
        <v>104</v>
      </c>
      <c r="D907" s="30">
        <v>6</v>
      </c>
      <c r="E907" s="30">
        <v>70.2</v>
      </c>
      <c r="F907" s="30">
        <v>37</v>
      </c>
    </row>
    <row r="908" spans="1:6" hidden="1" x14ac:dyDescent="0.25">
      <c r="A908" s="30" t="s">
        <v>115</v>
      </c>
      <c r="B908" s="30">
        <v>2010</v>
      </c>
      <c r="C908" s="30" t="s">
        <v>105</v>
      </c>
      <c r="D908" s="30">
        <v>7</v>
      </c>
      <c r="E908" s="30">
        <v>40.9</v>
      </c>
      <c r="F908" s="30">
        <v>51.3</v>
      </c>
    </row>
    <row r="909" spans="1:6" hidden="1" x14ac:dyDescent="0.25">
      <c r="A909" s="30" t="s">
        <v>115</v>
      </c>
      <c r="B909" s="30">
        <v>2010</v>
      </c>
      <c r="C909" s="30" t="s">
        <v>106</v>
      </c>
      <c r="D909" s="30">
        <v>8</v>
      </c>
      <c r="E909" s="30">
        <v>59.2</v>
      </c>
      <c r="F909" s="30">
        <v>31.1</v>
      </c>
    </row>
    <row r="910" spans="1:6" hidden="1" x14ac:dyDescent="0.25">
      <c r="A910" s="30" t="s">
        <v>115</v>
      </c>
      <c r="B910" s="30">
        <v>2010</v>
      </c>
      <c r="C910" s="30" t="s">
        <v>107</v>
      </c>
      <c r="D910" s="30">
        <v>9</v>
      </c>
      <c r="E910" s="30">
        <v>108.5</v>
      </c>
      <c r="F910" s="30">
        <v>18.600000000000001</v>
      </c>
    </row>
    <row r="911" spans="1:6" hidden="1" x14ac:dyDescent="0.25">
      <c r="A911" s="30" t="s">
        <v>115</v>
      </c>
      <c r="B911" s="30">
        <v>2010</v>
      </c>
      <c r="C911" s="30" t="s">
        <v>108</v>
      </c>
      <c r="D911" s="30">
        <v>10</v>
      </c>
      <c r="E911" s="30">
        <v>160.5</v>
      </c>
      <c r="F911" s="30">
        <v>5.0999999999999996</v>
      </c>
    </row>
    <row r="912" spans="1:6" hidden="1" x14ac:dyDescent="0.25">
      <c r="A912" s="30" t="s">
        <v>115</v>
      </c>
      <c r="B912" s="30">
        <v>2010</v>
      </c>
      <c r="C912" s="30" t="s">
        <v>109</v>
      </c>
      <c r="D912" s="30">
        <v>11</v>
      </c>
      <c r="E912" s="30">
        <v>287.8</v>
      </c>
      <c r="F912" s="30">
        <v>0</v>
      </c>
    </row>
    <row r="913" spans="1:6" hidden="1" x14ac:dyDescent="0.25">
      <c r="A913" s="30" t="s">
        <v>115</v>
      </c>
      <c r="B913" s="30">
        <v>2010</v>
      </c>
      <c r="C913" s="30" t="s">
        <v>110</v>
      </c>
      <c r="D913" s="30">
        <v>12</v>
      </c>
      <c r="E913" s="30">
        <v>449.3</v>
      </c>
      <c r="F913" s="30">
        <v>0</v>
      </c>
    </row>
    <row r="914" spans="1:6" x14ac:dyDescent="0.25">
      <c r="A914" s="30" t="s">
        <v>116</v>
      </c>
      <c r="B914" s="30">
        <v>2010</v>
      </c>
      <c r="C914" s="30" t="s">
        <v>99</v>
      </c>
      <c r="D914" s="30">
        <v>1</v>
      </c>
      <c r="E914" s="30">
        <v>455.6</v>
      </c>
      <c r="F914" s="30">
        <v>0</v>
      </c>
    </row>
    <row r="915" spans="1:6" x14ac:dyDescent="0.25">
      <c r="A915" s="30" t="s">
        <v>116</v>
      </c>
      <c r="B915" s="30">
        <v>2010</v>
      </c>
      <c r="C915" s="30" t="s">
        <v>100</v>
      </c>
      <c r="D915" s="30">
        <v>2</v>
      </c>
      <c r="E915" s="30">
        <v>353.9</v>
      </c>
      <c r="F915" s="30">
        <v>0</v>
      </c>
    </row>
    <row r="916" spans="1:6" x14ac:dyDescent="0.25">
      <c r="A916" s="30" t="s">
        <v>116</v>
      </c>
      <c r="B916" s="30">
        <v>2010</v>
      </c>
      <c r="C916" s="30" t="s">
        <v>101</v>
      </c>
      <c r="D916" s="30">
        <v>3</v>
      </c>
      <c r="E916" s="30">
        <v>327.8</v>
      </c>
      <c r="F916" s="30">
        <v>0</v>
      </c>
    </row>
    <row r="917" spans="1:6" x14ac:dyDescent="0.25">
      <c r="A917" s="30" t="s">
        <v>116</v>
      </c>
      <c r="B917" s="30">
        <v>2010</v>
      </c>
      <c r="C917" s="30" t="s">
        <v>102</v>
      </c>
      <c r="D917" s="30">
        <v>4</v>
      </c>
      <c r="E917" s="30">
        <v>188.7</v>
      </c>
      <c r="F917" s="30">
        <v>0</v>
      </c>
    </row>
    <row r="918" spans="1:6" x14ac:dyDescent="0.25">
      <c r="A918" s="30" t="s">
        <v>116</v>
      </c>
      <c r="B918" s="30">
        <v>2010</v>
      </c>
      <c r="C918" s="30" t="s">
        <v>103</v>
      </c>
      <c r="D918" s="30">
        <v>5</v>
      </c>
      <c r="E918" s="30">
        <v>160.69999999999999</v>
      </c>
      <c r="F918" s="30">
        <v>9.4</v>
      </c>
    </row>
    <row r="919" spans="1:6" x14ac:dyDescent="0.25">
      <c r="A919" s="30" t="s">
        <v>116</v>
      </c>
      <c r="B919" s="30">
        <v>2010</v>
      </c>
      <c r="C919" s="30" t="s">
        <v>104</v>
      </c>
      <c r="D919" s="30">
        <v>6</v>
      </c>
      <c r="E919" s="30">
        <v>37.9</v>
      </c>
      <c r="F919" s="30">
        <v>26.7</v>
      </c>
    </row>
    <row r="920" spans="1:6" x14ac:dyDescent="0.25">
      <c r="A920" s="30" t="s">
        <v>116</v>
      </c>
      <c r="B920" s="30">
        <v>2010</v>
      </c>
      <c r="C920" s="30" t="s">
        <v>105</v>
      </c>
      <c r="D920" s="30">
        <v>7</v>
      </c>
      <c r="E920" s="30">
        <v>4.5</v>
      </c>
      <c r="F920" s="30">
        <v>52.9</v>
      </c>
    </row>
    <row r="921" spans="1:6" x14ac:dyDescent="0.25">
      <c r="A921" s="30" t="s">
        <v>116</v>
      </c>
      <c r="B921" s="30">
        <v>2010</v>
      </c>
      <c r="C921" s="30" t="s">
        <v>106</v>
      </c>
      <c r="D921" s="30">
        <v>8</v>
      </c>
      <c r="E921" s="30">
        <v>34.200000000000003</v>
      </c>
      <c r="F921" s="30">
        <v>20.100000000000001</v>
      </c>
    </row>
    <row r="922" spans="1:6" x14ac:dyDescent="0.25">
      <c r="A922" s="30" t="s">
        <v>116</v>
      </c>
      <c r="B922" s="30">
        <v>2010</v>
      </c>
      <c r="C922" s="30" t="s">
        <v>107</v>
      </c>
      <c r="D922" s="30">
        <v>9</v>
      </c>
      <c r="E922" s="30">
        <v>91.2</v>
      </c>
      <c r="F922" s="30">
        <v>8.5</v>
      </c>
    </row>
    <row r="923" spans="1:6" x14ac:dyDescent="0.25">
      <c r="A923" s="30" t="s">
        <v>116</v>
      </c>
      <c r="B923" s="30">
        <v>2010</v>
      </c>
      <c r="C923" s="30" t="s">
        <v>108</v>
      </c>
      <c r="D923" s="30">
        <v>10</v>
      </c>
      <c r="E923" s="30">
        <v>164.8</v>
      </c>
      <c r="F923" s="30">
        <v>5.5</v>
      </c>
    </row>
    <row r="924" spans="1:6" x14ac:dyDescent="0.25">
      <c r="A924" s="30" t="s">
        <v>116</v>
      </c>
      <c r="B924" s="30">
        <v>2010</v>
      </c>
      <c r="C924" s="30" t="s">
        <v>109</v>
      </c>
      <c r="D924" s="30">
        <v>11</v>
      </c>
      <c r="E924" s="30">
        <v>295.3</v>
      </c>
      <c r="F924" s="30">
        <v>0</v>
      </c>
    </row>
    <row r="925" spans="1:6" x14ac:dyDescent="0.25">
      <c r="A925" s="30" t="s">
        <v>116</v>
      </c>
      <c r="B925" s="30">
        <v>2010</v>
      </c>
      <c r="C925" s="30" t="s">
        <v>110</v>
      </c>
      <c r="D925" s="30">
        <v>12</v>
      </c>
      <c r="E925" s="30">
        <v>463.7</v>
      </c>
      <c r="F925" s="30">
        <v>0</v>
      </c>
    </row>
    <row r="926" spans="1:6" hidden="1" x14ac:dyDescent="0.25">
      <c r="A926" s="30" t="s">
        <v>98</v>
      </c>
      <c r="B926" s="30">
        <v>2011</v>
      </c>
      <c r="C926" s="30" t="s">
        <v>99</v>
      </c>
      <c r="D926" s="30">
        <v>1</v>
      </c>
      <c r="E926" s="30">
        <v>365.1</v>
      </c>
      <c r="F926" s="30">
        <v>0</v>
      </c>
    </row>
    <row r="927" spans="1:6" hidden="1" x14ac:dyDescent="0.25">
      <c r="A927" s="30" t="s">
        <v>98</v>
      </c>
      <c r="B927" s="30">
        <v>2011</v>
      </c>
      <c r="C927" s="30" t="s">
        <v>100</v>
      </c>
      <c r="D927" s="30">
        <v>2</v>
      </c>
      <c r="E927" s="30">
        <v>268.3</v>
      </c>
      <c r="F927" s="30">
        <v>0</v>
      </c>
    </row>
    <row r="928" spans="1:6" hidden="1" x14ac:dyDescent="0.25">
      <c r="A928" s="30" t="s">
        <v>98</v>
      </c>
      <c r="B928" s="30">
        <v>2011</v>
      </c>
      <c r="C928" s="30" t="s">
        <v>101</v>
      </c>
      <c r="D928" s="30">
        <v>3</v>
      </c>
      <c r="E928" s="30">
        <v>315.5</v>
      </c>
      <c r="F928" s="30">
        <v>0.2</v>
      </c>
    </row>
    <row r="929" spans="1:6" hidden="1" x14ac:dyDescent="0.25">
      <c r="A929" s="30" t="s">
        <v>98</v>
      </c>
      <c r="B929" s="30">
        <v>2011</v>
      </c>
      <c r="C929" s="30" t="s">
        <v>102</v>
      </c>
      <c r="D929" s="30">
        <v>4</v>
      </c>
      <c r="E929" s="30">
        <v>167</v>
      </c>
      <c r="F929" s="30">
        <v>7.9</v>
      </c>
    </row>
    <row r="930" spans="1:6" hidden="1" x14ac:dyDescent="0.25">
      <c r="A930" s="30" t="s">
        <v>98</v>
      </c>
      <c r="B930" s="30">
        <v>2011</v>
      </c>
      <c r="C930" s="30" t="s">
        <v>103</v>
      </c>
      <c r="D930" s="30">
        <v>5</v>
      </c>
      <c r="E930" s="30">
        <v>154.80000000000001</v>
      </c>
      <c r="F930" s="30">
        <v>5.0999999999999996</v>
      </c>
    </row>
    <row r="931" spans="1:6" hidden="1" x14ac:dyDescent="0.25">
      <c r="A931" s="30" t="s">
        <v>98</v>
      </c>
      <c r="B931" s="30">
        <v>2011</v>
      </c>
      <c r="C931" s="30" t="s">
        <v>104</v>
      </c>
      <c r="D931" s="30">
        <v>6</v>
      </c>
      <c r="E931" s="30">
        <v>113.6</v>
      </c>
      <c r="F931" s="30">
        <v>20.3</v>
      </c>
    </row>
    <row r="932" spans="1:6" hidden="1" x14ac:dyDescent="0.25">
      <c r="A932" s="30" t="s">
        <v>98</v>
      </c>
      <c r="B932" s="30">
        <v>2011</v>
      </c>
      <c r="C932" s="30" t="s">
        <v>105</v>
      </c>
      <c r="D932" s="30">
        <v>7</v>
      </c>
      <c r="E932" s="30">
        <v>86.3</v>
      </c>
      <c r="F932" s="30">
        <v>16.7</v>
      </c>
    </row>
    <row r="933" spans="1:6" hidden="1" x14ac:dyDescent="0.25">
      <c r="A933" s="30" t="s">
        <v>98</v>
      </c>
      <c r="B933" s="30">
        <v>2011</v>
      </c>
      <c r="C933" s="30" t="s">
        <v>106</v>
      </c>
      <c r="D933" s="30">
        <v>8</v>
      </c>
      <c r="E933" s="30">
        <v>59.7</v>
      </c>
      <c r="F933" s="30">
        <v>27.6</v>
      </c>
    </row>
    <row r="934" spans="1:6" hidden="1" x14ac:dyDescent="0.25">
      <c r="A934" s="30" t="s">
        <v>98</v>
      </c>
      <c r="B934" s="30">
        <v>2011</v>
      </c>
      <c r="C934" s="30" t="s">
        <v>107</v>
      </c>
      <c r="D934" s="30">
        <v>9</v>
      </c>
      <c r="E934" s="30">
        <v>61</v>
      </c>
      <c r="F934" s="30">
        <v>38.6</v>
      </c>
    </row>
    <row r="935" spans="1:6" hidden="1" x14ac:dyDescent="0.25">
      <c r="A935" s="30" t="s">
        <v>98</v>
      </c>
      <c r="B935" s="30">
        <v>2011</v>
      </c>
      <c r="C935" s="30" t="s">
        <v>108</v>
      </c>
      <c r="D935" s="30">
        <v>10</v>
      </c>
      <c r="E935" s="30">
        <v>136.80000000000001</v>
      </c>
      <c r="F935" s="30">
        <v>15.6</v>
      </c>
    </row>
    <row r="936" spans="1:6" hidden="1" x14ac:dyDescent="0.25">
      <c r="A936" s="30" t="s">
        <v>98</v>
      </c>
      <c r="B936" s="30">
        <v>2011</v>
      </c>
      <c r="C936" s="30" t="s">
        <v>109</v>
      </c>
      <c r="D936" s="30">
        <v>11</v>
      </c>
      <c r="E936" s="30">
        <v>197.9</v>
      </c>
      <c r="F936" s="30">
        <v>0</v>
      </c>
    </row>
    <row r="937" spans="1:6" hidden="1" x14ac:dyDescent="0.25">
      <c r="A937" s="30" t="s">
        <v>98</v>
      </c>
      <c r="B937" s="30">
        <v>2011</v>
      </c>
      <c r="C937" s="30" t="s">
        <v>110</v>
      </c>
      <c r="D937" s="30">
        <v>12</v>
      </c>
      <c r="E937" s="30">
        <v>313.39999999999998</v>
      </c>
      <c r="F937" s="30">
        <v>0</v>
      </c>
    </row>
    <row r="938" spans="1:6" hidden="1" x14ac:dyDescent="0.25">
      <c r="A938" s="30" t="s">
        <v>111</v>
      </c>
      <c r="B938" s="30">
        <v>2011</v>
      </c>
      <c r="C938" s="30" t="s">
        <v>99</v>
      </c>
      <c r="D938" s="30">
        <v>1</v>
      </c>
      <c r="E938" s="30">
        <v>356.1</v>
      </c>
      <c r="F938" s="30">
        <v>0</v>
      </c>
    </row>
    <row r="939" spans="1:6" hidden="1" x14ac:dyDescent="0.25">
      <c r="A939" s="30" t="s">
        <v>111</v>
      </c>
      <c r="B939" s="30">
        <v>2011</v>
      </c>
      <c r="C939" s="30" t="s">
        <v>100</v>
      </c>
      <c r="D939" s="30">
        <v>2</v>
      </c>
      <c r="E939" s="30">
        <v>261.39999999999998</v>
      </c>
      <c r="F939" s="30">
        <v>0</v>
      </c>
    </row>
    <row r="940" spans="1:6" hidden="1" x14ac:dyDescent="0.25">
      <c r="A940" s="30" t="s">
        <v>111</v>
      </c>
      <c r="B940" s="30">
        <v>2011</v>
      </c>
      <c r="C940" s="30" t="s">
        <v>101</v>
      </c>
      <c r="D940" s="30">
        <v>3</v>
      </c>
      <c r="E940" s="30">
        <v>288.3</v>
      </c>
      <c r="F940" s="30">
        <v>0.8</v>
      </c>
    </row>
    <row r="941" spans="1:6" hidden="1" x14ac:dyDescent="0.25">
      <c r="A941" s="30" t="s">
        <v>111</v>
      </c>
      <c r="B941" s="30">
        <v>2011</v>
      </c>
      <c r="C941" s="30" t="s">
        <v>102</v>
      </c>
      <c r="D941" s="30">
        <v>4</v>
      </c>
      <c r="E941" s="30">
        <v>156.9</v>
      </c>
      <c r="F941" s="30">
        <v>11.7</v>
      </c>
    </row>
    <row r="942" spans="1:6" hidden="1" x14ac:dyDescent="0.25">
      <c r="A942" s="30" t="s">
        <v>111</v>
      </c>
      <c r="B942" s="30">
        <v>2011</v>
      </c>
      <c r="C942" s="30" t="s">
        <v>103</v>
      </c>
      <c r="D942" s="30">
        <v>5</v>
      </c>
      <c r="E942" s="30">
        <v>152.4</v>
      </c>
      <c r="F942" s="30">
        <v>2.7</v>
      </c>
    </row>
    <row r="943" spans="1:6" hidden="1" x14ac:dyDescent="0.25">
      <c r="A943" s="30" t="s">
        <v>111</v>
      </c>
      <c r="B943" s="30">
        <v>2011</v>
      </c>
      <c r="C943" s="30" t="s">
        <v>104</v>
      </c>
      <c r="D943" s="30">
        <v>6</v>
      </c>
      <c r="E943" s="30">
        <v>116.1</v>
      </c>
      <c r="F943" s="30">
        <v>11.4</v>
      </c>
    </row>
    <row r="944" spans="1:6" hidden="1" x14ac:dyDescent="0.25">
      <c r="A944" s="30" t="s">
        <v>111</v>
      </c>
      <c r="B944" s="30">
        <v>2011</v>
      </c>
      <c r="C944" s="30" t="s">
        <v>105</v>
      </c>
      <c r="D944" s="30">
        <v>7</v>
      </c>
      <c r="E944" s="30">
        <v>84.7</v>
      </c>
      <c r="F944" s="30">
        <v>15.8</v>
      </c>
    </row>
    <row r="945" spans="1:6" hidden="1" x14ac:dyDescent="0.25">
      <c r="A945" s="30" t="s">
        <v>111</v>
      </c>
      <c r="B945" s="30">
        <v>2011</v>
      </c>
      <c r="C945" s="30" t="s">
        <v>106</v>
      </c>
      <c r="D945" s="30">
        <v>8</v>
      </c>
      <c r="E945" s="30">
        <v>73.7</v>
      </c>
      <c r="F945" s="30">
        <v>15.7</v>
      </c>
    </row>
    <row r="946" spans="1:6" hidden="1" x14ac:dyDescent="0.25">
      <c r="A946" s="30" t="s">
        <v>111</v>
      </c>
      <c r="B946" s="30">
        <v>2011</v>
      </c>
      <c r="C946" s="30" t="s">
        <v>107</v>
      </c>
      <c r="D946" s="30">
        <v>9</v>
      </c>
      <c r="E946" s="30">
        <v>64.900000000000006</v>
      </c>
      <c r="F946" s="30">
        <v>26</v>
      </c>
    </row>
    <row r="947" spans="1:6" hidden="1" x14ac:dyDescent="0.25">
      <c r="A947" s="30" t="s">
        <v>111</v>
      </c>
      <c r="B947" s="30">
        <v>2011</v>
      </c>
      <c r="C947" s="30" t="s">
        <v>108</v>
      </c>
      <c r="D947" s="30">
        <v>10</v>
      </c>
      <c r="E947" s="30">
        <v>138.6</v>
      </c>
      <c r="F947" s="30">
        <v>10.4</v>
      </c>
    </row>
    <row r="948" spans="1:6" hidden="1" x14ac:dyDescent="0.25">
      <c r="A948" s="30" t="s">
        <v>111</v>
      </c>
      <c r="B948" s="30">
        <v>2011</v>
      </c>
      <c r="C948" s="30" t="s">
        <v>109</v>
      </c>
      <c r="D948" s="30">
        <v>11</v>
      </c>
      <c r="E948" s="30">
        <v>182.8</v>
      </c>
      <c r="F948" s="30">
        <v>0</v>
      </c>
    </row>
    <row r="949" spans="1:6" hidden="1" x14ac:dyDescent="0.25">
      <c r="A949" s="30" t="s">
        <v>111</v>
      </c>
      <c r="B949" s="30">
        <v>2011</v>
      </c>
      <c r="C949" s="30" t="s">
        <v>110</v>
      </c>
      <c r="D949" s="30">
        <v>12</v>
      </c>
      <c r="E949" s="30">
        <v>287.3</v>
      </c>
      <c r="F949" s="30">
        <v>0</v>
      </c>
    </row>
    <row r="950" spans="1:6" hidden="1" x14ac:dyDescent="0.25">
      <c r="A950" s="30" t="s">
        <v>112</v>
      </c>
      <c r="B950" s="30">
        <v>2011</v>
      </c>
      <c r="C950" s="30" t="s">
        <v>99</v>
      </c>
      <c r="D950" s="30">
        <v>1</v>
      </c>
      <c r="E950" s="30">
        <v>349.7</v>
      </c>
      <c r="F950" s="30">
        <v>0</v>
      </c>
    </row>
    <row r="951" spans="1:6" hidden="1" x14ac:dyDescent="0.25">
      <c r="A951" s="30" t="s">
        <v>112</v>
      </c>
      <c r="B951" s="30">
        <v>2011</v>
      </c>
      <c r="C951" s="30" t="s">
        <v>100</v>
      </c>
      <c r="D951" s="30">
        <v>2</v>
      </c>
      <c r="E951" s="30">
        <v>256.8</v>
      </c>
      <c r="F951" s="30">
        <v>0</v>
      </c>
    </row>
    <row r="952" spans="1:6" hidden="1" x14ac:dyDescent="0.25">
      <c r="A952" s="30" t="s">
        <v>112</v>
      </c>
      <c r="B952" s="30">
        <v>2011</v>
      </c>
      <c r="C952" s="30" t="s">
        <v>101</v>
      </c>
      <c r="D952" s="30">
        <v>3</v>
      </c>
      <c r="E952" s="30">
        <v>273.5</v>
      </c>
      <c r="F952" s="30">
        <v>0.4</v>
      </c>
    </row>
    <row r="953" spans="1:6" hidden="1" x14ac:dyDescent="0.25">
      <c r="A953" s="30" t="s">
        <v>112</v>
      </c>
      <c r="B953" s="30">
        <v>2011</v>
      </c>
      <c r="C953" s="30" t="s">
        <v>102</v>
      </c>
      <c r="D953" s="30">
        <v>4</v>
      </c>
      <c r="E953" s="30">
        <v>143</v>
      </c>
      <c r="F953" s="30">
        <v>16</v>
      </c>
    </row>
    <row r="954" spans="1:6" hidden="1" x14ac:dyDescent="0.25">
      <c r="A954" s="30" t="s">
        <v>112</v>
      </c>
      <c r="B954" s="30">
        <v>2011</v>
      </c>
      <c r="C954" s="30" t="s">
        <v>103</v>
      </c>
      <c r="D954" s="30">
        <v>5</v>
      </c>
      <c r="E954" s="30">
        <v>143.1</v>
      </c>
      <c r="F954" s="30">
        <v>2.7</v>
      </c>
    </row>
    <row r="955" spans="1:6" hidden="1" x14ac:dyDescent="0.25">
      <c r="A955" s="30" t="s">
        <v>112</v>
      </c>
      <c r="B955" s="30">
        <v>2011</v>
      </c>
      <c r="C955" s="30" t="s">
        <v>104</v>
      </c>
      <c r="D955" s="30">
        <v>6</v>
      </c>
      <c r="E955" s="30">
        <v>102.1</v>
      </c>
      <c r="F955" s="30">
        <v>18.7</v>
      </c>
    </row>
    <row r="956" spans="1:6" hidden="1" x14ac:dyDescent="0.25">
      <c r="A956" s="30" t="s">
        <v>112</v>
      </c>
      <c r="B956" s="30">
        <v>2011</v>
      </c>
      <c r="C956" s="30" t="s">
        <v>105</v>
      </c>
      <c r="D956" s="30">
        <v>7</v>
      </c>
      <c r="E956" s="30">
        <v>79</v>
      </c>
      <c r="F956" s="30">
        <v>21.8</v>
      </c>
    </row>
    <row r="957" spans="1:6" hidden="1" x14ac:dyDescent="0.25">
      <c r="A957" s="30" t="s">
        <v>112</v>
      </c>
      <c r="B957" s="30">
        <v>2011</v>
      </c>
      <c r="C957" s="30" t="s">
        <v>106</v>
      </c>
      <c r="D957" s="30">
        <v>8</v>
      </c>
      <c r="E957" s="30">
        <v>61.4</v>
      </c>
      <c r="F957" s="30">
        <v>24.6</v>
      </c>
    </row>
    <row r="958" spans="1:6" hidden="1" x14ac:dyDescent="0.25">
      <c r="A958" s="30" t="s">
        <v>112</v>
      </c>
      <c r="B958" s="30">
        <v>2011</v>
      </c>
      <c r="C958" s="30" t="s">
        <v>107</v>
      </c>
      <c r="D958" s="30">
        <v>9</v>
      </c>
      <c r="E958" s="30">
        <v>62</v>
      </c>
      <c r="F958" s="30">
        <v>20.100000000000001</v>
      </c>
    </row>
    <row r="959" spans="1:6" hidden="1" x14ac:dyDescent="0.25">
      <c r="A959" s="30" t="s">
        <v>112</v>
      </c>
      <c r="B959" s="30">
        <v>2011</v>
      </c>
      <c r="C959" s="30" t="s">
        <v>108</v>
      </c>
      <c r="D959" s="30">
        <v>10</v>
      </c>
      <c r="E959" s="30">
        <v>134.1</v>
      </c>
      <c r="F959" s="30">
        <v>7.6</v>
      </c>
    </row>
    <row r="960" spans="1:6" hidden="1" x14ac:dyDescent="0.25">
      <c r="A960" s="30" t="s">
        <v>112</v>
      </c>
      <c r="B960" s="30">
        <v>2011</v>
      </c>
      <c r="C960" s="30" t="s">
        <v>109</v>
      </c>
      <c r="D960" s="30">
        <v>11</v>
      </c>
      <c r="E960" s="30">
        <v>181.3</v>
      </c>
      <c r="F960" s="30">
        <v>0</v>
      </c>
    </row>
    <row r="961" spans="1:6" hidden="1" x14ac:dyDescent="0.25">
      <c r="A961" s="30" t="s">
        <v>112</v>
      </c>
      <c r="B961" s="30">
        <v>2011</v>
      </c>
      <c r="C961" s="30" t="s">
        <v>110</v>
      </c>
      <c r="D961" s="30">
        <v>12</v>
      </c>
      <c r="E961" s="30">
        <v>281.8</v>
      </c>
      <c r="F961" s="30">
        <v>0</v>
      </c>
    </row>
    <row r="962" spans="1:6" hidden="1" x14ac:dyDescent="0.25">
      <c r="A962" s="30" t="s">
        <v>113</v>
      </c>
      <c r="B962" s="30">
        <v>2011</v>
      </c>
      <c r="C962" s="30" t="s">
        <v>99</v>
      </c>
      <c r="D962" s="30">
        <v>1</v>
      </c>
      <c r="E962" s="30">
        <v>389.8</v>
      </c>
      <c r="F962" s="30">
        <v>0</v>
      </c>
    </row>
    <row r="963" spans="1:6" hidden="1" x14ac:dyDescent="0.25">
      <c r="A963" s="30" t="s">
        <v>113</v>
      </c>
      <c r="B963" s="30">
        <v>2011</v>
      </c>
      <c r="C963" s="30" t="s">
        <v>100</v>
      </c>
      <c r="D963" s="30">
        <v>2</v>
      </c>
      <c r="E963" s="30">
        <v>267.5</v>
      </c>
      <c r="F963" s="30">
        <v>0</v>
      </c>
    </row>
    <row r="964" spans="1:6" hidden="1" x14ac:dyDescent="0.25">
      <c r="A964" s="30" t="s">
        <v>113</v>
      </c>
      <c r="B964" s="30">
        <v>2011</v>
      </c>
      <c r="C964" s="30" t="s">
        <v>101</v>
      </c>
      <c r="D964" s="30">
        <v>3</v>
      </c>
      <c r="E964" s="30">
        <v>275.89999999999998</v>
      </c>
      <c r="F964" s="30">
        <v>0.8</v>
      </c>
    </row>
    <row r="965" spans="1:6" hidden="1" x14ac:dyDescent="0.25">
      <c r="A965" s="30" t="s">
        <v>113</v>
      </c>
      <c r="B965" s="30">
        <v>2011</v>
      </c>
      <c r="C965" s="30" t="s">
        <v>102</v>
      </c>
      <c r="D965" s="30">
        <v>4</v>
      </c>
      <c r="E965" s="30">
        <v>144.69999999999999</v>
      </c>
      <c r="F965" s="30">
        <v>21.7</v>
      </c>
    </row>
    <row r="966" spans="1:6" hidden="1" x14ac:dyDescent="0.25">
      <c r="A966" s="30" t="s">
        <v>113</v>
      </c>
      <c r="B966" s="30">
        <v>2011</v>
      </c>
      <c r="C966" s="30" t="s">
        <v>103</v>
      </c>
      <c r="D966" s="30">
        <v>5</v>
      </c>
      <c r="E966" s="30">
        <v>122.6</v>
      </c>
      <c r="F966" s="30">
        <v>19.100000000000001</v>
      </c>
    </row>
    <row r="967" spans="1:6" hidden="1" x14ac:dyDescent="0.25">
      <c r="A967" s="30" t="s">
        <v>113</v>
      </c>
      <c r="B967" s="30">
        <v>2011</v>
      </c>
      <c r="C967" s="30" t="s">
        <v>104</v>
      </c>
      <c r="D967" s="30">
        <v>6</v>
      </c>
      <c r="E967" s="30">
        <v>84.1</v>
      </c>
      <c r="F967" s="30">
        <v>39.299999999999997</v>
      </c>
    </row>
    <row r="968" spans="1:6" hidden="1" x14ac:dyDescent="0.25">
      <c r="A968" s="30" t="s">
        <v>113</v>
      </c>
      <c r="B968" s="30">
        <v>2011</v>
      </c>
      <c r="C968" s="30" t="s">
        <v>105</v>
      </c>
      <c r="D968" s="30">
        <v>7</v>
      </c>
      <c r="E968" s="30">
        <v>66.599999999999994</v>
      </c>
      <c r="F968" s="30">
        <v>43.3</v>
      </c>
    </row>
    <row r="969" spans="1:6" hidden="1" x14ac:dyDescent="0.25">
      <c r="A969" s="30" t="s">
        <v>113</v>
      </c>
      <c r="B969" s="30">
        <v>2011</v>
      </c>
      <c r="C969" s="30" t="s">
        <v>106</v>
      </c>
      <c r="D969" s="30">
        <v>8</v>
      </c>
      <c r="E969" s="30">
        <v>49</v>
      </c>
      <c r="F969" s="30">
        <v>56</v>
      </c>
    </row>
    <row r="970" spans="1:6" hidden="1" x14ac:dyDescent="0.25">
      <c r="A970" s="30" t="s">
        <v>113</v>
      </c>
      <c r="B970" s="30">
        <v>2011</v>
      </c>
      <c r="C970" s="30" t="s">
        <v>107</v>
      </c>
      <c r="D970" s="30">
        <v>9</v>
      </c>
      <c r="E970" s="30">
        <v>59.2</v>
      </c>
      <c r="F970" s="30">
        <v>46.7</v>
      </c>
    </row>
    <row r="971" spans="1:6" hidden="1" x14ac:dyDescent="0.25">
      <c r="A971" s="30" t="s">
        <v>113</v>
      </c>
      <c r="B971" s="30">
        <v>2011</v>
      </c>
      <c r="C971" s="30" t="s">
        <v>108</v>
      </c>
      <c r="D971" s="30">
        <v>10</v>
      </c>
      <c r="E971" s="30">
        <v>139.5</v>
      </c>
      <c r="F971" s="30">
        <v>15.3</v>
      </c>
    </row>
    <row r="972" spans="1:6" hidden="1" x14ac:dyDescent="0.25">
      <c r="A972" s="30" t="s">
        <v>113</v>
      </c>
      <c r="B972" s="30">
        <v>2011</v>
      </c>
      <c r="C972" s="30" t="s">
        <v>109</v>
      </c>
      <c r="D972" s="30">
        <v>11</v>
      </c>
      <c r="E972" s="30">
        <v>193.5</v>
      </c>
      <c r="F972" s="30">
        <v>0</v>
      </c>
    </row>
    <row r="973" spans="1:6" hidden="1" x14ac:dyDescent="0.25">
      <c r="A973" s="30" t="s">
        <v>113</v>
      </c>
      <c r="B973" s="30">
        <v>2011</v>
      </c>
      <c r="C973" s="30" t="s">
        <v>110</v>
      </c>
      <c r="D973" s="30">
        <v>12</v>
      </c>
      <c r="E973" s="30">
        <v>303.39999999999998</v>
      </c>
      <c r="F973" s="30">
        <v>0</v>
      </c>
    </row>
    <row r="974" spans="1:6" hidden="1" x14ac:dyDescent="0.25">
      <c r="A974" s="30" t="s">
        <v>114</v>
      </c>
      <c r="B974" s="30">
        <v>2011</v>
      </c>
      <c r="C974" s="30" t="s">
        <v>99</v>
      </c>
      <c r="D974" s="30">
        <v>1</v>
      </c>
      <c r="E974" s="30">
        <v>375.1</v>
      </c>
      <c r="F974" s="30">
        <v>0</v>
      </c>
    </row>
    <row r="975" spans="1:6" hidden="1" x14ac:dyDescent="0.25">
      <c r="A975" s="30" t="s">
        <v>114</v>
      </c>
      <c r="B975" s="30">
        <v>2011</v>
      </c>
      <c r="C975" s="30" t="s">
        <v>100</v>
      </c>
      <c r="D975" s="30">
        <v>2</v>
      </c>
      <c r="E975" s="30">
        <v>262.39999999999998</v>
      </c>
      <c r="F975" s="30">
        <v>0</v>
      </c>
    </row>
    <row r="976" spans="1:6" hidden="1" x14ac:dyDescent="0.25">
      <c r="A976" s="30" t="s">
        <v>114</v>
      </c>
      <c r="B976" s="30">
        <v>2011</v>
      </c>
      <c r="C976" s="30" t="s">
        <v>101</v>
      </c>
      <c r="D976" s="30">
        <v>3</v>
      </c>
      <c r="E976" s="30">
        <v>298.8</v>
      </c>
      <c r="F976" s="30">
        <v>0.5</v>
      </c>
    </row>
    <row r="977" spans="1:6" hidden="1" x14ac:dyDescent="0.25">
      <c r="A977" s="30" t="s">
        <v>114</v>
      </c>
      <c r="B977" s="30">
        <v>2011</v>
      </c>
      <c r="C977" s="30" t="s">
        <v>102</v>
      </c>
      <c r="D977" s="30">
        <v>4</v>
      </c>
      <c r="E977" s="30">
        <v>165.9</v>
      </c>
      <c r="F977" s="30">
        <v>11.2</v>
      </c>
    </row>
    <row r="978" spans="1:6" hidden="1" x14ac:dyDescent="0.25">
      <c r="A978" s="30" t="s">
        <v>114</v>
      </c>
      <c r="B978" s="30">
        <v>2011</v>
      </c>
      <c r="C978" s="30" t="s">
        <v>103</v>
      </c>
      <c r="D978" s="30">
        <v>5</v>
      </c>
      <c r="E978" s="30">
        <v>140.30000000000001</v>
      </c>
      <c r="F978" s="30">
        <v>8.6</v>
      </c>
    </row>
    <row r="979" spans="1:6" hidden="1" x14ac:dyDescent="0.25">
      <c r="A979" s="30" t="s">
        <v>114</v>
      </c>
      <c r="B979" s="30">
        <v>2011</v>
      </c>
      <c r="C979" s="30" t="s">
        <v>104</v>
      </c>
      <c r="D979" s="30">
        <v>6</v>
      </c>
      <c r="E979" s="30">
        <v>100.3</v>
      </c>
      <c r="F979" s="30">
        <v>22.2</v>
      </c>
    </row>
    <row r="980" spans="1:6" hidden="1" x14ac:dyDescent="0.25">
      <c r="A980" s="30" t="s">
        <v>114</v>
      </c>
      <c r="B980" s="30">
        <v>2011</v>
      </c>
      <c r="C980" s="30" t="s">
        <v>105</v>
      </c>
      <c r="D980" s="30">
        <v>7</v>
      </c>
      <c r="E980" s="30">
        <v>74.599999999999994</v>
      </c>
      <c r="F980" s="30">
        <v>20.9</v>
      </c>
    </row>
    <row r="981" spans="1:6" hidden="1" x14ac:dyDescent="0.25">
      <c r="A981" s="30" t="s">
        <v>114</v>
      </c>
      <c r="B981" s="30">
        <v>2011</v>
      </c>
      <c r="C981" s="30" t="s">
        <v>106</v>
      </c>
      <c r="D981" s="30">
        <v>8</v>
      </c>
      <c r="E981" s="30">
        <v>54</v>
      </c>
      <c r="F981" s="30">
        <v>33.200000000000003</v>
      </c>
    </row>
    <row r="982" spans="1:6" hidden="1" x14ac:dyDescent="0.25">
      <c r="A982" s="30" t="s">
        <v>114</v>
      </c>
      <c r="B982" s="30">
        <v>2011</v>
      </c>
      <c r="C982" s="30" t="s">
        <v>107</v>
      </c>
      <c r="D982" s="30">
        <v>9</v>
      </c>
      <c r="E982" s="30">
        <v>62.9</v>
      </c>
      <c r="F982" s="30">
        <v>37.6</v>
      </c>
    </row>
    <row r="983" spans="1:6" hidden="1" x14ac:dyDescent="0.25">
      <c r="A983" s="30" t="s">
        <v>114</v>
      </c>
      <c r="B983" s="30">
        <v>2011</v>
      </c>
      <c r="C983" s="30" t="s">
        <v>108</v>
      </c>
      <c r="D983" s="30">
        <v>10</v>
      </c>
      <c r="E983" s="30">
        <v>127.4</v>
      </c>
      <c r="F983" s="30">
        <v>15</v>
      </c>
    </row>
    <row r="984" spans="1:6" hidden="1" x14ac:dyDescent="0.25">
      <c r="A984" s="30" t="s">
        <v>114</v>
      </c>
      <c r="B984" s="30">
        <v>2011</v>
      </c>
      <c r="C984" s="30" t="s">
        <v>109</v>
      </c>
      <c r="D984" s="30">
        <v>11</v>
      </c>
      <c r="E984" s="30">
        <v>192.4</v>
      </c>
      <c r="F984" s="30">
        <v>0.1</v>
      </c>
    </row>
    <row r="985" spans="1:6" hidden="1" x14ac:dyDescent="0.25">
      <c r="A985" s="30" t="s">
        <v>114</v>
      </c>
      <c r="B985" s="30">
        <v>2011</v>
      </c>
      <c r="C985" s="30" t="s">
        <v>110</v>
      </c>
      <c r="D985" s="30">
        <v>12</v>
      </c>
      <c r="E985" s="30">
        <v>296</v>
      </c>
      <c r="F985" s="30">
        <v>0</v>
      </c>
    </row>
    <row r="986" spans="1:6" hidden="1" x14ac:dyDescent="0.25">
      <c r="A986" s="30" t="s">
        <v>115</v>
      </c>
      <c r="B986" s="30">
        <v>2011</v>
      </c>
      <c r="C986" s="30" t="s">
        <v>99</v>
      </c>
      <c r="D986" s="30">
        <v>1</v>
      </c>
      <c r="E986" s="30">
        <v>359.4</v>
      </c>
      <c r="F986" s="30">
        <v>0</v>
      </c>
    </row>
    <row r="987" spans="1:6" hidden="1" x14ac:dyDescent="0.25">
      <c r="A987" s="30" t="s">
        <v>115</v>
      </c>
      <c r="B987" s="30">
        <v>2011</v>
      </c>
      <c r="C987" s="30" t="s">
        <v>100</v>
      </c>
      <c r="D987" s="30">
        <v>2</v>
      </c>
      <c r="E987" s="30">
        <v>265.2</v>
      </c>
      <c r="F987" s="30">
        <v>0</v>
      </c>
    </row>
    <row r="988" spans="1:6" hidden="1" x14ac:dyDescent="0.25">
      <c r="A988" s="30" t="s">
        <v>115</v>
      </c>
      <c r="B988" s="30">
        <v>2011</v>
      </c>
      <c r="C988" s="30" t="s">
        <v>101</v>
      </c>
      <c r="D988" s="30">
        <v>3</v>
      </c>
      <c r="E988" s="30">
        <v>273.89999999999998</v>
      </c>
      <c r="F988" s="30">
        <v>0.3</v>
      </c>
    </row>
    <row r="989" spans="1:6" hidden="1" x14ac:dyDescent="0.25">
      <c r="A989" s="30" t="s">
        <v>115</v>
      </c>
      <c r="B989" s="30">
        <v>2011</v>
      </c>
      <c r="C989" s="30" t="s">
        <v>102</v>
      </c>
      <c r="D989" s="30">
        <v>4</v>
      </c>
      <c r="E989" s="30">
        <v>145.6</v>
      </c>
      <c r="F989" s="30">
        <v>14.6</v>
      </c>
    </row>
    <row r="990" spans="1:6" hidden="1" x14ac:dyDescent="0.25">
      <c r="A990" s="30" t="s">
        <v>115</v>
      </c>
      <c r="B990" s="30">
        <v>2011</v>
      </c>
      <c r="C990" s="30" t="s">
        <v>103</v>
      </c>
      <c r="D990" s="30">
        <v>5</v>
      </c>
      <c r="E990" s="30">
        <v>142.6</v>
      </c>
      <c r="F990" s="30">
        <v>4.3</v>
      </c>
    </row>
    <row r="991" spans="1:6" hidden="1" x14ac:dyDescent="0.25">
      <c r="A991" s="30" t="s">
        <v>115</v>
      </c>
      <c r="B991" s="30">
        <v>2011</v>
      </c>
      <c r="C991" s="30" t="s">
        <v>104</v>
      </c>
      <c r="D991" s="30">
        <v>6</v>
      </c>
      <c r="E991" s="30">
        <v>97.6</v>
      </c>
      <c r="F991" s="30">
        <v>22</v>
      </c>
    </row>
    <row r="992" spans="1:6" hidden="1" x14ac:dyDescent="0.25">
      <c r="A992" s="30" t="s">
        <v>115</v>
      </c>
      <c r="B992" s="30">
        <v>2011</v>
      </c>
      <c r="C992" s="30" t="s">
        <v>105</v>
      </c>
      <c r="D992" s="30">
        <v>7</v>
      </c>
      <c r="E992" s="30">
        <v>78.3</v>
      </c>
      <c r="F992" s="30">
        <v>25</v>
      </c>
    </row>
    <row r="993" spans="1:6" hidden="1" x14ac:dyDescent="0.25">
      <c r="A993" s="30" t="s">
        <v>115</v>
      </c>
      <c r="B993" s="30">
        <v>2011</v>
      </c>
      <c r="C993" s="30" t="s">
        <v>106</v>
      </c>
      <c r="D993" s="30">
        <v>8</v>
      </c>
      <c r="E993" s="30">
        <v>60.7</v>
      </c>
      <c r="F993" s="30">
        <v>26.7</v>
      </c>
    </row>
    <row r="994" spans="1:6" hidden="1" x14ac:dyDescent="0.25">
      <c r="A994" s="30" t="s">
        <v>115</v>
      </c>
      <c r="B994" s="30">
        <v>2011</v>
      </c>
      <c r="C994" s="30" t="s">
        <v>107</v>
      </c>
      <c r="D994" s="30">
        <v>9</v>
      </c>
      <c r="E994" s="30">
        <v>62.4</v>
      </c>
      <c r="F994" s="30">
        <v>21.4</v>
      </c>
    </row>
    <row r="995" spans="1:6" hidden="1" x14ac:dyDescent="0.25">
      <c r="A995" s="30" t="s">
        <v>115</v>
      </c>
      <c r="B995" s="30">
        <v>2011</v>
      </c>
      <c r="C995" s="30" t="s">
        <v>108</v>
      </c>
      <c r="D995" s="30">
        <v>10</v>
      </c>
      <c r="E995" s="30">
        <v>135</v>
      </c>
      <c r="F995" s="30">
        <v>7.6</v>
      </c>
    </row>
    <row r="996" spans="1:6" hidden="1" x14ac:dyDescent="0.25">
      <c r="A996" s="30" t="s">
        <v>115</v>
      </c>
      <c r="B996" s="30">
        <v>2011</v>
      </c>
      <c r="C996" s="30" t="s">
        <v>109</v>
      </c>
      <c r="D996" s="30">
        <v>11</v>
      </c>
      <c r="E996" s="30">
        <v>172.5</v>
      </c>
      <c r="F996" s="30">
        <v>0.1</v>
      </c>
    </row>
    <row r="997" spans="1:6" hidden="1" x14ac:dyDescent="0.25">
      <c r="A997" s="30" t="s">
        <v>115</v>
      </c>
      <c r="B997" s="30">
        <v>2011</v>
      </c>
      <c r="C997" s="30" t="s">
        <v>110</v>
      </c>
      <c r="D997" s="30">
        <v>12</v>
      </c>
      <c r="E997" s="30">
        <v>296.89999999999998</v>
      </c>
      <c r="F997" s="30">
        <v>0</v>
      </c>
    </row>
    <row r="998" spans="1:6" x14ac:dyDescent="0.25">
      <c r="A998" s="30" t="s">
        <v>116</v>
      </c>
      <c r="B998" s="30">
        <v>2011</v>
      </c>
      <c r="C998" s="30" t="s">
        <v>99</v>
      </c>
      <c r="D998" s="30">
        <v>1</v>
      </c>
      <c r="E998" s="30">
        <v>367.3</v>
      </c>
      <c r="F998" s="30">
        <v>0</v>
      </c>
    </row>
    <row r="999" spans="1:6" x14ac:dyDescent="0.25">
      <c r="A999" s="30" t="s">
        <v>116</v>
      </c>
      <c r="B999" s="30">
        <v>2011</v>
      </c>
      <c r="C999" s="30" t="s">
        <v>100</v>
      </c>
      <c r="D999" s="30">
        <v>2</v>
      </c>
      <c r="E999" s="30">
        <v>266.10000000000002</v>
      </c>
      <c r="F999" s="30">
        <v>0</v>
      </c>
    </row>
    <row r="1000" spans="1:6" x14ac:dyDescent="0.25">
      <c r="A1000" s="30" t="s">
        <v>116</v>
      </c>
      <c r="B1000" s="30">
        <v>2011</v>
      </c>
      <c r="C1000" s="30" t="s">
        <v>101</v>
      </c>
      <c r="D1000" s="30">
        <v>3</v>
      </c>
      <c r="E1000" s="30">
        <v>257.5</v>
      </c>
      <c r="F1000" s="30">
        <v>0</v>
      </c>
    </row>
    <row r="1001" spans="1:6" x14ac:dyDescent="0.25">
      <c r="A1001" s="30" t="s">
        <v>116</v>
      </c>
      <c r="B1001" s="30">
        <v>2011</v>
      </c>
      <c r="C1001" s="30" t="s">
        <v>102</v>
      </c>
      <c r="D1001" s="30">
        <v>4</v>
      </c>
      <c r="E1001" s="30">
        <v>112.8</v>
      </c>
      <c r="F1001" s="30">
        <v>0</v>
      </c>
    </row>
    <row r="1002" spans="1:6" x14ac:dyDescent="0.25">
      <c r="A1002" s="30" t="s">
        <v>116</v>
      </c>
      <c r="B1002" s="30">
        <v>2011</v>
      </c>
      <c r="C1002" s="30" t="s">
        <v>103</v>
      </c>
      <c r="D1002" s="30">
        <v>5</v>
      </c>
      <c r="E1002" s="30">
        <v>111</v>
      </c>
      <c r="F1002" s="30">
        <v>0</v>
      </c>
    </row>
    <row r="1003" spans="1:6" x14ac:dyDescent="0.25">
      <c r="A1003" s="30" t="s">
        <v>116</v>
      </c>
      <c r="B1003" s="30">
        <v>2011</v>
      </c>
      <c r="C1003" s="30" t="s">
        <v>104</v>
      </c>
      <c r="D1003" s="30">
        <v>6</v>
      </c>
      <c r="E1003" s="30">
        <v>70</v>
      </c>
      <c r="F1003" s="30">
        <v>20.7</v>
      </c>
    </row>
    <row r="1004" spans="1:6" x14ac:dyDescent="0.25">
      <c r="A1004" s="30" t="s">
        <v>116</v>
      </c>
      <c r="B1004" s="30">
        <v>2011</v>
      </c>
      <c r="C1004" s="30" t="s">
        <v>105</v>
      </c>
      <c r="D1004" s="30">
        <v>7</v>
      </c>
      <c r="E1004" s="30">
        <v>41.4</v>
      </c>
      <c r="F1004" s="30">
        <v>11.8</v>
      </c>
    </row>
    <row r="1005" spans="1:6" x14ac:dyDescent="0.25">
      <c r="A1005" s="30" t="s">
        <v>116</v>
      </c>
      <c r="B1005" s="30">
        <v>2011</v>
      </c>
      <c r="C1005" s="30" t="s">
        <v>106</v>
      </c>
      <c r="D1005" s="30">
        <v>8</v>
      </c>
      <c r="E1005" s="30">
        <v>30.6</v>
      </c>
      <c r="F1005" s="30">
        <v>26.5</v>
      </c>
    </row>
    <row r="1006" spans="1:6" x14ac:dyDescent="0.25">
      <c r="A1006" s="30" t="s">
        <v>116</v>
      </c>
      <c r="B1006" s="30">
        <v>2011</v>
      </c>
      <c r="C1006" s="30" t="s">
        <v>107</v>
      </c>
      <c r="D1006" s="30">
        <v>9</v>
      </c>
      <c r="E1006" s="30">
        <v>36.9</v>
      </c>
      <c r="F1006" s="30">
        <v>18.100000000000001</v>
      </c>
    </row>
    <row r="1007" spans="1:6" x14ac:dyDescent="0.25">
      <c r="A1007" s="30" t="s">
        <v>116</v>
      </c>
      <c r="B1007" s="30">
        <v>2011</v>
      </c>
      <c r="C1007" s="30" t="s">
        <v>108</v>
      </c>
      <c r="D1007" s="30">
        <v>10</v>
      </c>
      <c r="E1007" s="30">
        <v>119.5</v>
      </c>
      <c r="F1007" s="30">
        <v>5.8</v>
      </c>
    </row>
    <row r="1008" spans="1:6" x14ac:dyDescent="0.25">
      <c r="A1008" s="30" t="s">
        <v>116</v>
      </c>
      <c r="B1008" s="30">
        <v>2011</v>
      </c>
      <c r="C1008" s="30" t="s">
        <v>109</v>
      </c>
      <c r="D1008" s="30">
        <v>11</v>
      </c>
      <c r="E1008" s="30">
        <v>174.7</v>
      </c>
      <c r="F1008" s="30">
        <v>0</v>
      </c>
    </row>
    <row r="1009" spans="1:6" x14ac:dyDescent="0.25">
      <c r="A1009" s="30" t="s">
        <v>116</v>
      </c>
      <c r="B1009" s="30">
        <v>2011</v>
      </c>
      <c r="C1009" s="30" t="s">
        <v>110</v>
      </c>
      <c r="D1009" s="30">
        <v>12</v>
      </c>
      <c r="E1009" s="30">
        <v>288.2</v>
      </c>
      <c r="F1009" s="30">
        <v>0</v>
      </c>
    </row>
    <row r="1010" spans="1:6" hidden="1" x14ac:dyDescent="0.25">
      <c r="A1010" s="30" t="s">
        <v>98</v>
      </c>
      <c r="B1010" s="30">
        <v>2012</v>
      </c>
      <c r="C1010" s="30" t="s">
        <v>99</v>
      </c>
      <c r="D1010" s="30">
        <v>1</v>
      </c>
      <c r="E1010" s="30">
        <v>329.3</v>
      </c>
      <c r="F1010" s="30">
        <v>0</v>
      </c>
    </row>
    <row r="1011" spans="1:6" hidden="1" x14ac:dyDescent="0.25">
      <c r="A1011" s="30" t="s">
        <v>98</v>
      </c>
      <c r="B1011" s="30">
        <v>2012</v>
      </c>
      <c r="C1011" s="30" t="s">
        <v>100</v>
      </c>
      <c r="D1011" s="30">
        <v>2</v>
      </c>
      <c r="E1011" s="30">
        <v>376.7</v>
      </c>
      <c r="F1011" s="30">
        <v>0</v>
      </c>
    </row>
    <row r="1012" spans="1:6" hidden="1" x14ac:dyDescent="0.25">
      <c r="A1012" s="30" t="s">
        <v>98</v>
      </c>
      <c r="B1012" s="30">
        <v>2012</v>
      </c>
      <c r="C1012" s="30" t="s">
        <v>101</v>
      </c>
      <c r="D1012" s="30">
        <v>3</v>
      </c>
      <c r="E1012" s="30">
        <v>291.3</v>
      </c>
      <c r="F1012" s="30">
        <v>0.7</v>
      </c>
    </row>
    <row r="1013" spans="1:6" hidden="1" x14ac:dyDescent="0.25">
      <c r="A1013" s="30" t="s">
        <v>98</v>
      </c>
      <c r="B1013" s="30">
        <v>2012</v>
      </c>
      <c r="C1013" s="30" t="s">
        <v>102</v>
      </c>
      <c r="D1013" s="30">
        <v>4</v>
      </c>
      <c r="E1013" s="30">
        <v>287.39999999999998</v>
      </c>
      <c r="F1013" s="30">
        <v>0</v>
      </c>
    </row>
    <row r="1014" spans="1:6" hidden="1" x14ac:dyDescent="0.25">
      <c r="A1014" s="30" t="s">
        <v>98</v>
      </c>
      <c r="B1014" s="30">
        <v>2012</v>
      </c>
      <c r="C1014" s="30" t="s">
        <v>103</v>
      </c>
      <c r="D1014" s="30">
        <v>5</v>
      </c>
      <c r="E1014" s="30">
        <v>179.1</v>
      </c>
      <c r="F1014" s="30">
        <v>4.9000000000000004</v>
      </c>
    </row>
    <row r="1015" spans="1:6" hidden="1" x14ac:dyDescent="0.25">
      <c r="A1015" s="30" t="s">
        <v>98</v>
      </c>
      <c r="B1015" s="30">
        <v>2012</v>
      </c>
      <c r="C1015" s="30" t="s">
        <v>104</v>
      </c>
      <c r="D1015" s="30">
        <v>6</v>
      </c>
      <c r="E1015" s="30">
        <v>97.5</v>
      </c>
      <c r="F1015" s="30">
        <v>12.7</v>
      </c>
    </row>
    <row r="1016" spans="1:6" hidden="1" x14ac:dyDescent="0.25">
      <c r="A1016" s="30" t="s">
        <v>98</v>
      </c>
      <c r="B1016" s="30">
        <v>2012</v>
      </c>
      <c r="C1016" s="30" t="s">
        <v>105</v>
      </c>
      <c r="D1016" s="30">
        <v>7</v>
      </c>
      <c r="E1016" s="30">
        <v>73.5</v>
      </c>
      <c r="F1016" s="30">
        <v>21.5</v>
      </c>
    </row>
    <row r="1017" spans="1:6" hidden="1" x14ac:dyDescent="0.25">
      <c r="A1017" s="30" t="s">
        <v>98</v>
      </c>
      <c r="B1017" s="30">
        <v>2012</v>
      </c>
      <c r="C1017" s="30" t="s">
        <v>106</v>
      </c>
      <c r="D1017" s="30">
        <v>8</v>
      </c>
      <c r="E1017" s="30">
        <v>44.9</v>
      </c>
      <c r="F1017" s="30">
        <v>44.6</v>
      </c>
    </row>
    <row r="1018" spans="1:6" hidden="1" x14ac:dyDescent="0.25">
      <c r="A1018" s="30" t="s">
        <v>98</v>
      </c>
      <c r="B1018" s="30">
        <v>2012</v>
      </c>
      <c r="C1018" s="30" t="s">
        <v>107</v>
      </c>
      <c r="D1018" s="30">
        <v>9</v>
      </c>
      <c r="E1018" s="30">
        <v>113.5</v>
      </c>
      <c r="F1018" s="30">
        <v>8.5</v>
      </c>
    </row>
    <row r="1019" spans="1:6" hidden="1" x14ac:dyDescent="0.25">
      <c r="A1019" s="30" t="s">
        <v>98</v>
      </c>
      <c r="B1019" s="30">
        <v>2012</v>
      </c>
      <c r="C1019" s="30" t="s">
        <v>108</v>
      </c>
      <c r="D1019" s="30">
        <v>10</v>
      </c>
      <c r="E1019" s="30">
        <v>172.9</v>
      </c>
      <c r="F1019" s="30">
        <v>1.1000000000000001</v>
      </c>
    </row>
    <row r="1020" spans="1:6" hidden="1" x14ac:dyDescent="0.25">
      <c r="A1020" s="30" t="s">
        <v>98</v>
      </c>
      <c r="B1020" s="30">
        <v>2012</v>
      </c>
      <c r="C1020" s="30" t="s">
        <v>109</v>
      </c>
      <c r="D1020" s="30">
        <v>11</v>
      </c>
      <c r="E1020" s="30">
        <v>287</v>
      </c>
      <c r="F1020" s="30">
        <v>0</v>
      </c>
    </row>
    <row r="1021" spans="1:6" hidden="1" x14ac:dyDescent="0.25">
      <c r="A1021" s="30" t="s">
        <v>98</v>
      </c>
      <c r="B1021" s="30">
        <v>2012</v>
      </c>
      <c r="C1021" s="30" t="s">
        <v>110</v>
      </c>
      <c r="D1021" s="30">
        <v>12</v>
      </c>
      <c r="E1021" s="30">
        <v>317</v>
      </c>
      <c r="F1021" s="30">
        <v>0</v>
      </c>
    </row>
    <row r="1022" spans="1:6" hidden="1" x14ac:dyDescent="0.25">
      <c r="A1022" s="30" t="s">
        <v>111</v>
      </c>
      <c r="B1022" s="30">
        <v>2012</v>
      </c>
      <c r="C1022" s="30" t="s">
        <v>99</v>
      </c>
      <c r="D1022" s="30">
        <v>1</v>
      </c>
      <c r="E1022" s="30">
        <v>304.39999999999998</v>
      </c>
      <c r="F1022" s="30">
        <v>0</v>
      </c>
    </row>
    <row r="1023" spans="1:6" hidden="1" x14ac:dyDescent="0.25">
      <c r="A1023" s="30" t="s">
        <v>111</v>
      </c>
      <c r="B1023" s="30">
        <v>2012</v>
      </c>
      <c r="C1023" s="30" t="s">
        <v>100</v>
      </c>
      <c r="D1023" s="30">
        <v>2</v>
      </c>
      <c r="E1023" s="30">
        <v>351.2</v>
      </c>
      <c r="F1023" s="30">
        <v>0</v>
      </c>
    </row>
    <row r="1024" spans="1:6" hidden="1" x14ac:dyDescent="0.25">
      <c r="A1024" s="30" t="s">
        <v>111</v>
      </c>
      <c r="B1024" s="30">
        <v>2012</v>
      </c>
      <c r="C1024" s="30" t="s">
        <v>101</v>
      </c>
      <c r="D1024" s="30">
        <v>3</v>
      </c>
      <c r="E1024" s="30">
        <v>246.3</v>
      </c>
      <c r="F1024" s="30">
        <v>4.7</v>
      </c>
    </row>
    <row r="1025" spans="1:6" hidden="1" x14ac:dyDescent="0.25">
      <c r="A1025" s="30" t="s">
        <v>111</v>
      </c>
      <c r="B1025" s="30">
        <v>2012</v>
      </c>
      <c r="C1025" s="30" t="s">
        <v>102</v>
      </c>
      <c r="D1025" s="30">
        <v>4</v>
      </c>
      <c r="E1025" s="30">
        <v>276.7</v>
      </c>
      <c r="F1025" s="30">
        <v>0</v>
      </c>
    </row>
    <row r="1026" spans="1:6" hidden="1" x14ac:dyDescent="0.25">
      <c r="A1026" s="30" t="s">
        <v>111</v>
      </c>
      <c r="B1026" s="30">
        <v>2012</v>
      </c>
      <c r="C1026" s="30" t="s">
        <v>103</v>
      </c>
      <c r="D1026" s="30">
        <v>5</v>
      </c>
      <c r="E1026" s="30">
        <v>159.69999999999999</v>
      </c>
      <c r="F1026" s="30">
        <v>10.6</v>
      </c>
    </row>
    <row r="1027" spans="1:6" hidden="1" x14ac:dyDescent="0.25">
      <c r="A1027" s="30" t="s">
        <v>111</v>
      </c>
      <c r="B1027" s="30">
        <v>2012</v>
      </c>
      <c r="C1027" s="30" t="s">
        <v>104</v>
      </c>
      <c r="D1027" s="30">
        <v>6</v>
      </c>
      <c r="E1027" s="30">
        <v>98.6</v>
      </c>
      <c r="F1027" s="30">
        <v>9.1999999999999993</v>
      </c>
    </row>
    <row r="1028" spans="1:6" hidden="1" x14ac:dyDescent="0.25">
      <c r="A1028" s="30" t="s">
        <v>111</v>
      </c>
      <c r="B1028" s="30">
        <v>2012</v>
      </c>
      <c r="C1028" s="30" t="s">
        <v>105</v>
      </c>
      <c r="D1028" s="30">
        <v>7</v>
      </c>
      <c r="E1028" s="30">
        <v>74.3</v>
      </c>
      <c r="F1028" s="30">
        <v>17.7</v>
      </c>
    </row>
    <row r="1029" spans="1:6" hidden="1" x14ac:dyDescent="0.25">
      <c r="A1029" s="30" t="s">
        <v>111</v>
      </c>
      <c r="B1029" s="30">
        <v>2012</v>
      </c>
      <c r="C1029" s="30" t="s">
        <v>106</v>
      </c>
      <c r="D1029" s="30">
        <v>8</v>
      </c>
      <c r="E1029" s="30">
        <v>41.8</v>
      </c>
      <c r="F1029" s="30">
        <v>35</v>
      </c>
    </row>
    <row r="1030" spans="1:6" hidden="1" x14ac:dyDescent="0.25">
      <c r="A1030" s="30" t="s">
        <v>111</v>
      </c>
      <c r="B1030" s="30">
        <v>2012</v>
      </c>
      <c r="C1030" s="30" t="s">
        <v>107</v>
      </c>
      <c r="D1030" s="30">
        <v>9</v>
      </c>
      <c r="E1030" s="30">
        <v>119.7</v>
      </c>
      <c r="F1030" s="30">
        <v>7.1</v>
      </c>
    </row>
    <row r="1031" spans="1:6" hidden="1" x14ac:dyDescent="0.25">
      <c r="A1031" s="30" t="s">
        <v>111</v>
      </c>
      <c r="B1031" s="30">
        <v>2012</v>
      </c>
      <c r="C1031" s="30" t="s">
        <v>108</v>
      </c>
      <c r="D1031" s="30">
        <v>10</v>
      </c>
      <c r="E1031" s="30">
        <v>173.5</v>
      </c>
      <c r="F1031" s="30">
        <v>0.5</v>
      </c>
    </row>
    <row r="1032" spans="1:6" hidden="1" x14ac:dyDescent="0.25">
      <c r="A1032" s="30" t="s">
        <v>111</v>
      </c>
      <c r="B1032" s="30">
        <v>2012</v>
      </c>
      <c r="C1032" s="30" t="s">
        <v>109</v>
      </c>
      <c r="D1032" s="30">
        <v>11</v>
      </c>
      <c r="E1032" s="30">
        <v>278.8</v>
      </c>
      <c r="F1032" s="30">
        <v>0</v>
      </c>
    </row>
    <row r="1033" spans="1:6" hidden="1" x14ac:dyDescent="0.25">
      <c r="A1033" s="30" t="s">
        <v>111</v>
      </c>
      <c r="B1033" s="30">
        <v>2012</v>
      </c>
      <c r="C1033" s="30" t="s">
        <v>110</v>
      </c>
      <c r="D1033" s="30">
        <v>12</v>
      </c>
      <c r="E1033" s="30">
        <v>301.10000000000002</v>
      </c>
      <c r="F1033" s="30">
        <v>0</v>
      </c>
    </row>
    <row r="1034" spans="1:6" hidden="1" x14ac:dyDescent="0.25">
      <c r="A1034" s="30" t="s">
        <v>112</v>
      </c>
      <c r="B1034" s="30">
        <v>2012</v>
      </c>
      <c r="C1034" s="30" t="s">
        <v>99</v>
      </c>
      <c r="D1034" s="30">
        <v>1</v>
      </c>
      <c r="E1034" s="30">
        <v>304.10000000000002</v>
      </c>
      <c r="F1034" s="30">
        <v>0</v>
      </c>
    </row>
    <row r="1035" spans="1:6" hidden="1" x14ac:dyDescent="0.25">
      <c r="A1035" s="30" t="s">
        <v>112</v>
      </c>
      <c r="B1035" s="30">
        <v>2012</v>
      </c>
      <c r="C1035" s="30" t="s">
        <v>100</v>
      </c>
      <c r="D1035" s="30">
        <v>2</v>
      </c>
      <c r="E1035" s="30">
        <v>358.6</v>
      </c>
      <c r="F1035" s="30">
        <v>0</v>
      </c>
    </row>
    <row r="1036" spans="1:6" hidden="1" x14ac:dyDescent="0.25">
      <c r="A1036" s="30" t="s">
        <v>112</v>
      </c>
      <c r="B1036" s="30">
        <v>2012</v>
      </c>
      <c r="C1036" s="30" t="s">
        <v>101</v>
      </c>
      <c r="D1036" s="30">
        <v>3</v>
      </c>
      <c r="E1036" s="30">
        <v>232.5</v>
      </c>
      <c r="F1036" s="30">
        <v>6.3</v>
      </c>
    </row>
    <row r="1037" spans="1:6" hidden="1" x14ac:dyDescent="0.25">
      <c r="A1037" s="30" t="s">
        <v>112</v>
      </c>
      <c r="B1037" s="30">
        <v>2012</v>
      </c>
      <c r="C1037" s="30" t="s">
        <v>102</v>
      </c>
      <c r="D1037" s="30">
        <v>4</v>
      </c>
      <c r="E1037" s="30">
        <v>268.39999999999998</v>
      </c>
      <c r="F1037" s="30">
        <v>0</v>
      </c>
    </row>
    <row r="1038" spans="1:6" hidden="1" x14ac:dyDescent="0.25">
      <c r="A1038" s="30" t="s">
        <v>112</v>
      </c>
      <c r="B1038" s="30">
        <v>2012</v>
      </c>
      <c r="C1038" s="30" t="s">
        <v>103</v>
      </c>
      <c r="D1038" s="30">
        <v>5</v>
      </c>
      <c r="E1038" s="30">
        <v>149</v>
      </c>
      <c r="F1038" s="30">
        <v>11.9</v>
      </c>
    </row>
    <row r="1039" spans="1:6" hidden="1" x14ac:dyDescent="0.25">
      <c r="A1039" s="30" t="s">
        <v>112</v>
      </c>
      <c r="B1039" s="30">
        <v>2012</v>
      </c>
      <c r="C1039" s="30" t="s">
        <v>104</v>
      </c>
      <c r="D1039" s="30">
        <v>6</v>
      </c>
      <c r="E1039" s="30">
        <v>100.3</v>
      </c>
      <c r="F1039" s="30">
        <v>6.7</v>
      </c>
    </row>
    <row r="1040" spans="1:6" hidden="1" x14ac:dyDescent="0.25">
      <c r="A1040" s="30" t="s">
        <v>112</v>
      </c>
      <c r="B1040" s="30">
        <v>2012</v>
      </c>
      <c r="C1040" s="30" t="s">
        <v>105</v>
      </c>
      <c r="D1040" s="30">
        <v>7</v>
      </c>
      <c r="E1040" s="30">
        <v>68.5</v>
      </c>
      <c r="F1040" s="30">
        <v>24.4</v>
      </c>
    </row>
    <row r="1041" spans="1:6" hidden="1" x14ac:dyDescent="0.25">
      <c r="A1041" s="30" t="s">
        <v>112</v>
      </c>
      <c r="B1041" s="30">
        <v>2012</v>
      </c>
      <c r="C1041" s="30" t="s">
        <v>106</v>
      </c>
      <c r="D1041" s="30">
        <v>8</v>
      </c>
      <c r="E1041" s="30">
        <v>41.9</v>
      </c>
      <c r="F1041" s="30">
        <v>36.799999999999997</v>
      </c>
    </row>
    <row r="1042" spans="1:6" hidden="1" x14ac:dyDescent="0.25">
      <c r="A1042" s="30" t="s">
        <v>112</v>
      </c>
      <c r="B1042" s="30">
        <v>2012</v>
      </c>
      <c r="C1042" s="30" t="s">
        <v>107</v>
      </c>
      <c r="D1042" s="30">
        <v>9</v>
      </c>
      <c r="E1042" s="30">
        <v>108.1</v>
      </c>
      <c r="F1042" s="30">
        <v>10.199999999999999</v>
      </c>
    </row>
    <row r="1043" spans="1:6" hidden="1" x14ac:dyDescent="0.25">
      <c r="A1043" s="30" t="s">
        <v>112</v>
      </c>
      <c r="B1043" s="30">
        <v>2012</v>
      </c>
      <c r="C1043" s="30" t="s">
        <v>108</v>
      </c>
      <c r="D1043" s="30">
        <v>10</v>
      </c>
      <c r="E1043" s="30">
        <v>154.9</v>
      </c>
      <c r="F1043" s="30">
        <v>0.2</v>
      </c>
    </row>
    <row r="1044" spans="1:6" hidden="1" x14ac:dyDescent="0.25">
      <c r="A1044" s="30" t="s">
        <v>112</v>
      </c>
      <c r="B1044" s="30">
        <v>2012</v>
      </c>
      <c r="C1044" s="30" t="s">
        <v>109</v>
      </c>
      <c r="D1044" s="30">
        <v>11</v>
      </c>
      <c r="E1044" s="30">
        <v>275.2</v>
      </c>
      <c r="F1044" s="30">
        <v>0</v>
      </c>
    </row>
    <row r="1045" spans="1:6" hidden="1" x14ac:dyDescent="0.25">
      <c r="A1045" s="30" t="s">
        <v>112</v>
      </c>
      <c r="B1045" s="30">
        <v>2012</v>
      </c>
      <c r="C1045" s="30" t="s">
        <v>110</v>
      </c>
      <c r="D1045" s="30">
        <v>12</v>
      </c>
      <c r="E1045" s="30">
        <v>288.8</v>
      </c>
      <c r="F1045" s="30">
        <v>0</v>
      </c>
    </row>
    <row r="1046" spans="1:6" hidden="1" x14ac:dyDescent="0.25">
      <c r="A1046" s="30" t="s">
        <v>113</v>
      </c>
      <c r="B1046" s="30">
        <v>2012</v>
      </c>
      <c r="C1046" s="30" t="s">
        <v>99</v>
      </c>
      <c r="D1046" s="30">
        <v>1</v>
      </c>
      <c r="E1046" s="30">
        <v>333.1</v>
      </c>
      <c r="F1046" s="30">
        <v>0</v>
      </c>
    </row>
    <row r="1047" spans="1:6" hidden="1" x14ac:dyDescent="0.25">
      <c r="A1047" s="30" t="s">
        <v>113</v>
      </c>
      <c r="B1047" s="30">
        <v>2012</v>
      </c>
      <c r="C1047" s="30" t="s">
        <v>100</v>
      </c>
      <c r="D1047" s="30">
        <v>2</v>
      </c>
      <c r="E1047" s="30">
        <v>410</v>
      </c>
      <c r="F1047" s="30">
        <v>0</v>
      </c>
    </row>
    <row r="1048" spans="1:6" hidden="1" x14ac:dyDescent="0.25">
      <c r="A1048" s="30" t="s">
        <v>113</v>
      </c>
      <c r="B1048" s="30">
        <v>2012</v>
      </c>
      <c r="C1048" s="30" t="s">
        <v>101</v>
      </c>
      <c r="D1048" s="30">
        <v>3</v>
      </c>
      <c r="E1048" s="30">
        <v>257.5</v>
      </c>
      <c r="F1048" s="30">
        <v>5.0999999999999996</v>
      </c>
    </row>
    <row r="1049" spans="1:6" hidden="1" x14ac:dyDescent="0.25">
      <c r="A1049" s="30" t="s">
        <v>113</v>
      </c>
      <c r="B1049" s="30">
        <v>2012</v>
      </c>
      <c r="C1049" s="30" t="s">
        <v>102</v>
      </c>
      <c r="D1049" s="30">
        <v>4</v>
      </c>
      <c r="E1049" s="30">
        <v>260</v>
      </c>
      <c r="F1049" s="30">
        <v>0</v>
      </c>
    </row>
    <row r="1050" spans="1:6" hidden="1" x14ac:dyDescent="0.25">
      <c r="A1050" s="30" t="s">
        <v>113</v>
      </c>
      <c r="B1050" s="30">
        <v>2012</v>
      </c>
      <c r="C1050" s="30" t="s">
        <v>103</v>
      </c>
      <c r="D1050" s="30">
        <v>5</v>
      </c>
      <c r="E1050" s="30">
        <v>141.9</v>
      </c>
      <c r="F1050" s="30">
        <v>22.6</v>
      </c>
    </row>
    <row r="1051" spans="1:6" hidden="1" x14ac:dyDescent="0.25">
      <c r="A1051" s="30" t="s">
        <v>113</v>
      </c>
      <c r="B1051" s="30">
        <v>2012</v>
      </c>
      <c r="C1051" s="30" t="s">
        <v>104</v>
      </c>
      <c r="D1051" s="30">
        <v>6</v>
      </c>
      <c r="E1051" s="30">
        <v>70.8</v>
      </c>
      <c r="F1051" s="30">
        <v>29.6</v>
      </c>
    </row>
    <row r="1052" spans="1:6" hidden="1" x14ac:dyDescent="0.25">
      <c r="A1052" s="30" t="s">
        <v>113</v>
      </c>
      <c r="B1052" s="30">
        <v>2012</v>
      </c>
      <c r="C1052" s="30" t="s">
        <v>105</v>
      </c>
      <c r="D1052" s="30">
        <v>7</v>
      </c>
      <c r="E1052" s="30">
        <v>63.3</v>
      </c>
      <c r="F1052" s="30">
        <v>46.5</v>
      </c>
    </row>
    <row r="1053" spans="1:6" hidden="1" x14ac:dyDescent="0.25">
      <c r="A1053" s="30" t="s">
        <v>113</v>
      </c>
      <c r="B1053" s="30">
        <v>2012</v>
      </c>
      <c r="C1053" s="30" t="s">
        <v>106</v>
      </c>
      <c r="D1053" s="30">
        <v>8</v>
      </c>
      <c r="E1053" s="30">
        <v>38.200000000000003</v>
      </c>
      <c r="F1053" s="30">
        <v>79.2</v>
      </c>
    </row>
    <row r="1054" spans="1:6" hidden="1" x14ac:dyDescent="0.25">
      <c r="A1054" s="30" t="s">
        <v>113</v>
      </c>
      <c r="B1054" s="30">
        <v>2012</v>
      </c>
      <c r="C1054" s="30" t="s">
        <v>107</v>
      </c>
      <c r="D1054" s="30">
        <v>9</v>
      </c>
      <c r="E1054" s="30">
        <v>109.9</v>
      </c>
      <c r="F1054" s="30">
        <v>22.3</v>
      </c>
    </row>
    <row r="1055" spans="1:6" hidden="1" x14ac:dyDescent="0.25">
      <c r="A1055" s="30" t="s">
        <v>113</v>
      </c>
      <c r="B1055" s="30">
        <v>2012</v>
      </c>
      <c r="C1055" s="30" t="s">
        <v>108</v>
      </c>
      <c r="D1055" s="30">
        <v>10</v>
      </c>
      <c r="E1055" s="30">
        <v>155</v>
      </c>
      <c r="F1055" s="30">
        <v>3.5</v>
      </c>
    </row>
    <row r="1056" spans="1:6" hidden="1" x14ac:dyDescent="0.25">
      <c r="A1056" s="30" t="s">
        <v>113</v>
      </c>
      <c r="B1056" s="30">
        <v>2012</v>
      </c>
      <c r="C1056" s="30" t="s">
        <v>109</v>
      </c>
      <c r="D1056" s="30">
        <v>11</v>
      </c>
      <c r="E1056" s="30">
        <v>293.8</v>
      </c>
      <c r="F1056" s="30">
        <v>0</v>
      </c>
    </row>
    <row r="1057" spans="1:6" hidden="1" x14ac:dyDescent="0.25">
      <c r="A1057" s="30" t="s">
        <v>113</v>
      </c>
      <c r="B1057" s="30">
        <v>2012</v>
      </c>
      <c r="C1057" s="30" t="s">
        <v>110</v>
      </c>
      <c r="D1057" s="30">
        <v>12</v>
      </c>
      <c r="E1057" s="30">
        <v>313.3</v>
      </c>
      <c r="F1057" s="30">
        <v>0</v>
      </c>
    </row>
    <row r="1058" spans="1:6" hidden="1" x14ac:dyDescent="0.25">
      <c r="A1058" s="30" t="s">
        <v>114</v>
      </c>
      <c r="B1058" s="30">
        <v>2012</v>
      </c>
      <c r="C1058" s="30" t="s">
        <v>99</v>
      </c>
      <c r="D1058" s="30">
        <v>1</v>
      </c>
      <c r="E1058" s="30">
        <v>324.8</v>
      </c>
      <c r="F1058" s="30">
        <v>0</v>
      </c>
    </row>
    <row r="1059" spans="1:6" hidden="1" x14ac:dyDescent="0.25">
      <c r="A1059" s="30" t="s">
        <v>114</v>
      </c>
      <c r="B1059" s="30">
        <v>2012</v>
      </c>
      <c r="C1059" s="30" t="s">
        <v>100</v>
      </c>
      <c r="D1059" s="30">
        <v>2</v>
      </c>
      <c r="E1059" s="30">
        <v>386.8</v>
      </c>
      <c r="F1059" s="30">
        <v>0</v>
      </c>
    </row>
    <row r="1060" spans="1:6" hidden="1" x14ac:dyDescent="0.25">
      <c r="A1060" s="30" t="s">
        <v>114</v>
      </c>
      <c r="B1060" s="30">
        <v>2012</v>
      </c>
      <c r="C1060" s="30" t="s">
        <v>101</v>
      </c>
      <c r="D1060" s="30">
        <v>3</v>
      </c>
      <c r="E1060" s="30">
        <v>281.39999999999998</v>
      </c>
      <c r="F1060" s="30">
        <v>1.9</v>
      </c>
    </row>
    <row r="1061" spans="1:6" hidden="1" x14ac:dyDescent="0.25">
      <c r="A1061" s="30" t="s">
        <v>114</v>
      </c>
      <c r="B1061" s="30">
        <v>2012</v>
      </c>
      <c r="C1061" s="30" t="s">
        <v>102</v>
      </c>
      <c r="D1061" s="30">
        <v>4</v>
      </c>
      <c r="E1061" s="30">
        <v>274.3</v>
      </c>
      <c r="F1061" s="30">
        <v>0</v>
      </c>
    </row>
    <row r="1062" spans="1:6" hidden="1" x14ac:dyDescent="0.25">
      <c r="A1062" s="30" t="s">
        <v>114</v>
      </c>
      <c r="B1062" s="30">
        <v>2012</v>
      </c>
      <c r="C1062" s="30" t="s">
        <v>103</v>
      </c>
      <c r="D1062" s="30">
        <v>5</v>
      </c>
      <c r="E1062" s="30">
        <v>169.4</v>
      </c>
      <c r="F1062" s="30">
        <v>10</v>
      </c>
    </row>
    <row r="1063" spans="1:6" hidden="1" x14ac:dyDescent="0.25">
      <c r="A1063" s="30" t="s">
        <v>114</v>
      </c>
      <c r="B1063" s="30">
        <v>2012</v>
      </c>
      <c r="C1063" s="30" t="s">
        <v>104</v>
      </c>
      <c r="D1063" s="30">
        <v>6</v>
      </c>
      <c r="E1063" s="30">
        <v>81.8</v>
      </c>
      <c r="F1063" s="30">
        <v>18.2</v>
      </c>
    </row>
    <row r="1064" spans="1:6" hidden="1" x14ac:dyDescent="0.25">
      <c r="A1064" s="30" t="s">
        <v>114</v>
      </c>
      <c r="B1064" s="30">
        <v>2012</v>
      </c>
      <c r="C1064" s="30" t="s">
        <v>105</v>
      </c>
      <c r="D1064" s="30">
        <v>7</v>
      </c>
      <c r="E1064" s="30">
        <v>70.7</v>
      </c>
      <c r="F1064" s="30">
        <v>27</v>
      </c>
    </row>
    <row r="1065" spans="1:6" hidden="1" x14ac:dyDescent="0.25">
      <c r="A1065" s="30" t="s">
        <v>114</v>
      </c>
      <c r="B1065" s="30">
        <v>2012</v>
      </c>
      <c r="C1065" s="30" t="s">
        <v>106</v>
      </c>
      <c r="D1065" s="30">
        <v>8</v>
      </c>
      <c r="E1065" s="30">
        <v>40.799999999999997</v>
      </c>
      <c r="F1065" s="30">
        <v>52.6</v>
      </c>
    </row>
    <row r="1066" spans="1:6" hidden="1" x14ac:dyDescent="0.25">
      <c r="A1066" s="30" t="s">
        <v>114</v>
      </c>
      <c r="B1066" s="30">
        <v>2012</v>
      </c>
      <c r="C1066" s="30" t="s">
        <v>107</v>
      </c>
      <c r="D1066" s="30">
        <v>9</v>
      </c>
      <c r="E1066" s="30">
        <v>103.3</v>
      </c>
      <c r="F1066" s="30">
        <v>12.2</v>
      </c>
    </row>
    <row r="1067" spans="1:6" hidden="1" x14ac:dyDescent="0.25">
      <c r="A1067" s="30" t="s">
        <v>114</v>
      </c>
      <c r="B1067" s="30">
        <v>2012</v>
      </c>
      <c r="C1067" s="30" t="s">
        <v>108</v>
      </c>
      <c r="D1067" s="30">
        <v>10</v>
      </c>
      <c r="E1067" s="30">
        <v>155.4</v>
      </c>
      <c r="F1067" s="30">
        <v>2.8</v>
      </c>
    </row>
    <row r="1068" spans="1:6" hidden="1" x14ac:dyDescent="0.25">
      <c r="A1068" s="30" t="s">
        <v>114</v>
      </c>
      <c r="B1068" s="30">
        <v>2012</v>
      </c>
      <c r="C1068" s="30" t="s">
        <v>109</v>
      </c>
      <c r="D1068" s="30">
        <v>11</v>
      </c>
      <c r="E1068" s="30">
        <v>280.39999999999998</v>
      </c>
      <c r="F1068" s="30">
        <v>0</v>
      </c>
    </row>
    <row r="1069" spans="1:6" hidden="1" x14ac:dyDescent="0.25">
      <c r="A1069" s="30" t="s">
        <v>114</v>
      </c>
      <c r="B1069" s="30">
        <v>2012</v>
      </c>
      <c r="C1069" s="30" t="s">
        <v>110</v>
      </c>
      <c r="D1069" s="30">
        <v>12</v>
      </c>
      <c r="E1069" s="30">
        <v>304.7</v>
      </c>
      <c r="F1069" s="30">
        <v>0</v>
      </c>
    </row>
    <row r="1070" spans="1:6" hidden="1" x14ac:dyDescent="0.25">
      <c r="A1070" s="30" t="s">
        <v>115</v>
      </c>
      <c r="B1070" s="30">
        <v>2012</v>
      </c>
      <c r="C1070" s="30" t="s">
        <v>99</v>
      </c>
      <c r="D1070" s="30">
        <v>1</v>
      </c>
      <c r="E1070" s="30">
        <v>317.39999999999998</v>
      </c>
      <c r="F1070" s="30">
        <v>0</v>
      </c>
    </row>
    <row r="1071" spans="1:6" hidden="1" x14ac:dyDescent="0.25">
      <c r="A1071" s="30" t="s">
        <v>115</v>
      </c>
      <c r="B1071" s="30">
        <v>2012</v>
      </c>
      <c r="C1071" s="30" t="s">
        <v>100</v>
      </c>
      <c r="D1071" s="30">
        <v>2</v>
      </c>
      <c r="E1071" s="30">
        <v>373</v>
      </c>
      <c r="F1071" s="30">
        <v>0</v>
      </c>
    </row>
    <row r="1072" spans="1:6" hidden="1" x14ac:dyDescent="0.25">
      <c r="A1072" s="30" t="s">
        <v>115</v>
      </c>
      <c r="B1072" s="30">
        <v>2012</v>
      </c>
      <c r="C1072" s="30" t="s">
        <v>101</v>
      </c>
      <c r="D1072" s="30">
        <v>3</v>
      </c>
      <c r="E1072" s="30">
        <v>238.9</v>
      </c>
      <c r="F1072" s="30">
        <v>5.4</v>
      </c>
    </row>
    <row r="1073" spans="1:6" hidden="1" x14ac:dyDescent="0.25">
      <c r="A1073" s="30" t="s">
        <v>115</v>
      </c>
      <c r="B1073" s="30">
        <v>2012</v>
      </c>
      <c r="C1073" s="30" t="s">
        <v>102</v>
      </c>
      <c r="D1073" s="30">
        <v>4</v>
      </c>
      <c r="E1073" s="30">
        <v>268.3</v>
      </c>
      <c r="F1073" s="30">
        <v>0</v>
      </c>
    </row>
    <row r="1074" spans="1:6" hidden="1" x14ac:dyDescent="0.25">
      <c r="A1074" s="30" t="s">
        <v>115</v>
      </c>
      <c r="B1074" s="30">
        <v>2012</v>
      </c>
      <c r="C1074" s="30" t="s">
        <v>103</v>
      </c>
      <c r="D1074" s="30">
        <v>5</v>
      </c>
      <c r="E1074" s="30">
        <v>148.4</v>
      </c>
      <c r="F1074" s="30">
        <v>13.2</v>
      </c>
    </row>
    <row r="1075" spans="1:6" hidden="1" x14ac:dyDescent="0.25">
      <c r="A1075" s="30" t="s">
        <v>115</v>
      </c>
      <c r="B1075" s="30">
        <v>2012</v>
      </c>
      <c r="C1075" s="30" t="s">
        <v>104</v>
      </c>
      <c r="D1075" s="30">
        <v>6</v>
      </c>
      <c r="E1075" s="30">
        <v>87.9</v>
      </c>
      <c r="F1075" s="30">
        <v>10.5</v>
      </c>
    </row>
    <row r="1076" spans="1:6" hidden="1" x14ac:dyDescent="0.25">
      <c r="A1076" s="30" t="s">
        <v>115</v>
      </c>
      <c r="B1076" s="30">
        <v>2012</v>
      </c>
      <c r="C1076" s="30" t="s">
        <v>105</v>
      </c>
      <c r="D1076" s="30">
        <v>7</v>
      </c>
      <c r="E1076" s="30">
        <v>69.400000000000006</v>
      </c>
      <c r="F1076" s="30">
        <v>27</v>
      </c>
    </row>
    <row r="1077" spans="1:6" hidden="1" x14ac:dyDescent="0.25">
      <c r="A1077" s="30" t="s">
        <v>115</v>
      </c>
      <c r="B1077" s="30">
        <v>2012</v>
      </c>
      <c r="C1077" s="30" t="s">
        <v>106</v>
      </c>
      <c r="D1077" s="30">
        <v>8</v>
      </c>
      <c r="E1077" s="30">
        <v>40.4</v>
      </c>
      <c r="F1077" s="30">
        <v>49.3</v>
      </c>
    </row>
    <row r="1078" spans="1:6" hidden="1" x14ac:dyDescent="0.25">
      <c r="A1078" s="30" t="s">
        <v>115</v>
      </c>
      <c r="B1078" s="30">
        <v>2012</v>
      </c>
      <c r="C1078" s="30" t="s">
        <v>107</v>
      </c>
      <c r="D1078" s="30">
        <v>9</v>
      </c>
      <c r="E1078" s="30">
        <v>110.3</v>
      </c>
      <c r="F1078" s="30">
        <v>14.3</v>
      </c>
    </row>
    <row r="1079" spans="1:6" hidden="1" x14ac:dyDescent="0.25">
      <c r="A1079" s="30" t="s">
        <v>115</v>
      </c>
      <c r="B1079" s="30">
        <v>2012</v>
      </c>
      <c r="C1079" s="30" t="s">
        <v>108</v>
      </c>
      <c r="D1079" s="30">
        <v>10</v>
      </c>
      <c r="E1079" s="30">
        <v>153.4</v>
      </c>
      <c r="F1079" s="30">
        <v>0.5</v>
      </c>
    </row>
    <row r="1080" spans="1:6" hidden="1" x14ac:dyDescent="0.25">
      <c r="A1080" s="30" t="s">
        <v>115</v>
      </c>
      <c r="B1080" s="30">
        <v>2012</v>
      </c>
      <c r="C1080" s="30" t="s">
        <v>109</v>
      </c>
      <c r="D1080" s="30">
        <v>11</v>
      </c>
      <c r="E1080" s="30">
        <v>275</v>
      </c>
      <c r="F1080" s="30">
        <v>0</v>
      </c>
    </row>
    <row r="1081" spans="1:6" hidden="1" x14ac:dyDescent="0.25">
      <c r="A1081" s="30" t="s">
        <v>115</v>
      </c>
      <c r="B1081" s="30">
        <v>2012</v>
      </c>
      <c r="C1081" s="30" t="s">
        <v>110</v>
      </c>
      <c r="D1081" s="30">
        <v>12</v>
      </c>
      <c r="E1081" s="30">
        <v>290.89999999999998</v>
      </c>
      <c r="F1081" s="30">
        <v>0</v>
      </c>
    </row>
    <row r="1082" spans="1:6" x14ac:dyDescent="0.25">
      <c r="A1082" s="30" t="s">
        <v>116</v>
      </c>
      <c r="B1082" s="30">
        <v>2012</v>
      </c>
      <c r="C1082" s="30" t="s">
        <v>99</v>
      </c>
      <c r="D1082" s="30">
        <v>1</v>
      </c>
      <c r="E1082" s="30">
        <v>322.2</v>
      </c>
      <c r="F1082" s="30">
        <v>0</v>
      </c>
    </row>
    <row r="1083" spans="1:6" x14ac:dyDescent="0.25">
      <c r="A1083" s="30" t="s">
        <v>116</v>
      </c>
      <c r="B1083" s="30">
        <v>2012</v>
      </c>
      <c r="C1083" s="30" t="s">
        <v>100</v>
      </c>
      <c r="D1083" s="30">
        <v>2</v>
      </c>
      <c r="E1083" s="30">
        <v>388.5</v>
      </c>
      <c r="F1083" s="30">
        <v>0</v>
      </c>
    </row>
    <row r="1084" spans="1:6" x14ac:dyDescent="0.25">
      <c r="A1084" s="30" t="s">
        <v>116</v>
      </c>
      <c r="B1084" s="30">
        <v>2012</v>
      </c>
      <c r="C1084" s="30" t="s">
        <v>101</v>
      </c>
      <c r="D1084" s="30">
        <v>3</v>
      </c>
      <c r="E1084" s="30">
        <v>224.8</v>
      </c>
      <c r="F1084" s="30">
        <v>0</v>
      </c>
    </row>
    <row r="1085" spans="1:6" x14ac:dyDescent="0.25">
      <c r="A1085" s="30" t="s">
        <v>116</v>
      </c>
      <c r="B1085" s="30">
        <v>2012</v>
      </c>
      <c r="C1085" s="30" t="s">
        <v>102</v>
      </c>
      <c r="D1085" s="30">
        <v>4</v>
      </c>
      <c r="E1085" s="30">
        <v>245.3</v>
      </c>
      <c r="F1085" s="30">
        <v>0</v>
      </c>
    </row>
    <row r="1086" spans="1:6" x14ac:dyDescent="0.25">
      <c r="A1086" s="30" t="s">
        <v>116</v>
      </c>
      <c r="B1086" s="30">
        <v>2012</v>
      </c>
      <c r="C1086" s="30" t="s">
        <v>103</v>
      </c>
      <c r="D1086" s="30">
        <v>5</v>
      </c>
      <c r="E1086" s="30">
        <v>124.4</v>
      </c>
      <c r="F1086" s="30">
        <v>8.6</v>
      </c>
    </row>
    <row r="1087" spans="1:6" x14ac:dyDescent="0.25">
      <c r="A1087" s="30" t="s">
        <v>116</v>
      </c>
      <c r="B1087" s="30">
        <v>2012</v>
      </c>
      <c r="C1087" s="30" t="s">
        <v>104</v>
      </c>
      <c r="D1087" s="30">
        <v>6</v>
      </c>
      <c r="E1087" s="30">
        <v>60.2</v>
      </c>
      <c r="F1087" s="30">
        <v>12.2</v>
      </c>
    </row>
    <row r="1088" spans="1:6" x14ac:dyDescent="0.25">
      <c r="A1088" s="30" t="s">
        <v>116</v>
      </c>
      <c r="B1088" s="30">
        <v>2012</v>
      </c>
      <c r="C1088" s="30" t="s">
        <v>105</v>
      </c>
      <c r="D1088" s="30">
        <v>7</v>
      </c>
      <c r="E1088" s="30">
        <v>34.4</v>
      </c>
      <c r="F1088" s="30">
        <v>23.9</v>
      </c>
    </row>
    <row r="1089" spans="1:6" x14ac:dyDescent="0.25">
      <c r="A1089" s="30" t="s">
        <v>116</v>
      </c>
      <c r="B1089" s="30">
        <v>2012</v>
      </c>
      <c r="C1089" s="30" t="s">
        <v>106</v>
      </c>
      <c r="D1089" s="30">
        <v>8</v>
      </c>
      <c r="E1089" s="30">
        <v>13.9</v>
      </c>
      <c r="F1089" s="30">
        <v>47.6</v>
      </c>
    </row>
    <row r="1090" spans="1:6" x14ac:dyDescent="0.25">
      <c r="A1090" s="30" t="s">
        <v>116</v>
      </c>
      <c r="B1090" s="30">
        <v>2012</v>
      </c>
      <c r="C1090" s="30" t="s">
        <v>107</v>
      </c>
      <c r="D1090" s="30">
        <v>9</v>
      </c>
      <c r="E1090" s="30">
        <v>83.7</v>
      </c>
      <c r="F1090" s="30">
        <v>6.2</v>
      </c>
    </row>
    <row r="1091" spans="1:6" x14ac:dyDescent="0.25">
      <c r="A1091" s="30" t="s">
        <v>116</v>
      </c>
      <c r="B1091" s="30">
        <v>2012</v>
      </c>
      <c r="C1091" s="30" t="s">
        <v>108</v>
      </c>
      <c r="D1091" s="30">
        <v>10</v>
      </c>
      <c r="E1091" s="30">
        <v>140.4</v>
      </c>
      <c r="F1091" s="30">
        <v>0.3</v>
      </c>
    </row>
    <row r="1092" spans="1:6" x14ac:dyDescent="0.25">
      <c r="A1092" s="30" t="s">
        <v>116</v>
      </c>
      <c r="B1092" s="30">
        <v>2012</v>
      </c>
      <c r="C1092" s="30" t="s">
        <v>109</v>
      </c>
      <c r="D1092" s="30">
        <v>11</v>
      </c>
      <c r="E1092" s="30">
        <v>267.2</v>
      </c>
      <c r="F1092" s="30">
        <v>0</v>
      </c>
    </row>
    <row r="1093" spans="1:6" x14ac:dyDescent="0.25">
      <c r="A1093" s="30" t="s">
        <v>116</v>
      </c>
      <c r="B1093" s="30">
        <v>2012</v>
      </c>
      <c r="C1093" s="30" t="s">
        <v>110</v>
      </c>
      <c r="D1093" s="30">
        <v>12</v>
      </c>
      <c r="E1093" s="30">
        <v>293.3</v>
      </c>
      <c r="F1093" s="30">
        <v>0</v>
      </c>
    </row>
    <row r="1094" spans="1:6" hidden="1" x14ac:dyDescent="0.25">
      <c r="A1094" s="30" t="s">
        <v>98</v>
      </c>
      <c r="B1094" s="30">
        <v>2013</v>
      </c>
      <c r="C1094" s="30" t="s">
        <v>99</v>
      </c>
      <c r="D1094" s="30">
        <v>1</v>
      </c>
      <c r="E1094" s="30">
        <v>374.3</v>
      </c>
      <c r="F1094" s="30">
        <v>0</v>
      </c>
    </row>
    <row r="1095" spans="1:6" hidden="1" x14ac:dyDescent="0.25">
      <c r="A1095" s="30" t="s">
        <v>98</v>
      </c>
      <c r="B1095" s="30">
        <v>2013</v>
      </c>
      <c r="C1095" s="30" t="s">
        <v>100</v>
      </c>
      <c r="D1095" s="30">
        <v>2</v>
      </c>
      <c r="E1095" s="30">
        <v>374.8</v>
      </c>
      <c r="F1095" s="30">
        <v>0</v>
      </c>
    </row>
    <row r="1096" spans="1:6" hidden="1" x14ac:dyDescent="0.25">
      <c r="A1096" s="30" t="s">
        <v>98</v>
      </c>
      <c r="B1096" s="30">
        <v>2013</v>
      </c>
      <c r="C1096" s="30" t="s">
        <v>101</v>
      </c>
      <c r="D1096" s="30">
        <v>3</v>
      </c>
      <c r="E1096" s="30">
        <v>384</v>
      </c>
      <c r="F1096" s="30">
        <v>0</v>
      </c>
    </row>
    <row r="1097" spans="1:6" hidden="1" x14ac:dyDescent="0.25">
      <c r="A1097" s="30" t="s">
        <v>98</v>
      </c>
      <c r="B1097" s="30">
        <v>2013</v>
      </c>
      <c r="C1097" s="30" t="s">
        <v>102</v>
      </c>
      <c r="D1097" s="30">
        <v>4</v>
      </c>
      <c r="E1097" s="30">
        <v>279.10000000000002</v>
      </c>
      <c r="F1097" s="30">
        <v>2.1</v>
      </c>
    </row>
    <row r="1098" spans="1:6" hidden="1" x14ac:dyDescent="0.25">
      <c r="A1098" s="30" t="s">
        <v>98</v>
      </c>
      <c r="B1098" s="30">
        <v>2013</v>
      </c>
      <c r="C1098" s="30" t="s">
        <v>103</v>
      </c>
      <c r="D1098" s="30">
        <v>5</v>
      </c>
      <c r="E1098" s="30">
        <v>223.5</v>
      </c>
      <c r="F1098" s="30">
        <v>1.8</v>
      </c>
    </row>
    <row r="1099" spans="1:6" hidden="1" x14ac:dyDescent="0.25">
      <c r="A1099" s="30" t="s">
        <v>98</v>
      </c>
      <c r="B1099" s="30">
        <v>2013</v>
      </c>
      <c r="C1099" s="30" t="s">
        <v>104</v>
      </c>
      <c r="D1099" s="30">
        <v>6</v>
      </c>
      <c r="E1099" s="30">
        <v>118.8</v>
      </c>
      <c r="F1099" s="30">
        <v>5.0999999999999996</v>
      </c>
    </row>
    <row r="1100" spans="1:6" hidden="1" x14ac:dyDescent="0.25">
      <c r="A1100" s="30" t="s">
        <v>98</v>
      </c>
      <c r="B1100" s="30">
        <v>2013</v>
      </c>
      <c r="C1100" s="30" t="s">
        <v>105</v>
      </c>
      <c r="D1100" s="30">
        <v>7</v>
      </c>
      <c r="E1100" s="30">
        <v>48.4</v>
      </c>
      <c r="F1100" s="30">
        <v>49.9</v>
      </c>
    </row>
    <row r="1101" spans="1:6" hidden="1" x14ac:dyDescent="0.25">
      <c r="A1101" s="30" t="s">
        <v>98</v>
      </c>
      <c r="B1101" s="30">
        <v>2013</v>
      </c>
      <c r="C1101" s="30" t="s">
        <v>106</v>
      </c>
      <c r="D1101" s="30">
        <v>8</v>
      </c>
      <c r="E1101" s="30">
        <v>47</v>
      </c>
      <c r="F1101" s="30">
        <v>43.9</v>
      </c>
    </row>
    <row r="1102" spans="1:6" hidden="1" x14ac:dyDescent="0.25">
      <c r="A1102" s="30" t="s">
        <v>98</v>
      </c>
      <c r="B1102" s="30">
        <v>2013</v>
      </c>
      <c r="C1102" s="30" t="s">
        <v>107</v>
      </c>
      <c r="D1102" s="30">
        <v>9</v>
      </c>
      <c r="E1102" s="30">
        <v>80.099999999999994</v>
      </c>
      <c r="F1102" s="30">
        <v>22.3</v>
      </c>
    </row>
    <row r="1103" spans="1:6" hidden="1" x14ac:dyDescent="0.25">
      <c r="A1103" s="30" t="s">
        <v>98</v>
      </c>
      <c r="B1103" s="30">
        <v>2013</v>
      </c>
      <c r="C1103" s="30" t="s">
        <v>108</v>
      </c>
      <c r="D1103" s="30">
        <v>10</v>
      </c>
      <c r="E1103" s="30">
        <v>116.6</v>
      </c>
      <c r="F1103" s="30">
        <v>6.8</v>
      </c>
    </row>
    <row r="1104" spans="1:6" hidden="1" x14ac:dyDescent="0.25">
      <c r="A1104" s="30" t="s">
        <v>98</v>
      </c>
      <c r="B1104" s="30">
        <v>2013</v>
      </c>
      <c r="C1104" s="30" t="s">
        <v>109</v>
      </c>
      <c r="D1104" s="30">
        <v>11</v>
      </c>
      <c r="E1104" s="30">
        <v>269.5</v>
      </c>
      <c r="F1104" s="30">
        <v>0</v>
      </c>
    </row>
    <row r="1105" spans="1:6" hidden="1" x14ac:dyDescent="0.25">
      <c r="A1105" s="30" t="s">
        <v>98</v>
      </c>
      <c r="B1105" s="30">
        <v>2013</v>
      </c>
      <c r="C1105" s="30" t="s">
        <v>110</v>
      </c>
      <c r="D1105" s="30">
        <v>12</v>
      </c>
      <c r="E1105" s="30">
        <v>318.10000000000002</v>
      </c>
      <c r="F1105" s="30">
        <v>0</v>
      </c>
    </row>
    <row r="1106" spans="1:6" hidden="1" x14ac:dyDescent="0.25">
      <c r="A1106" s="30" t="s">
        <v>111</v>
      </c>
      <c r="B1106" s="30">
        <v>2013</v>
      </c>
      <c r="C1106" s="30" t="s">
        <v>99</v>
      </c>
      <c r="D1106" s="30">
        <v>1</v>
      </c>
      <c r="E1106" s="30">
        <v>332.4</v>
      </c>
      <c r="F1106" s="30">
        <v>0</v>
      </c>
    </row>
    <row r="1107" spans="1:6" hidden="1" x14ac:dyDescent="0.25">
      <c r="A1107" s="30" t="s">
        <v>111</v>
      </c>
      <c r="B1107" s="30">
        <v>2013</v>
      </c>
      <c r="C1107" s="30" t="s">
        <v>100</v>
      </c>
      <c r="D1107" s="30">
        <v>2</v>
      </c>
      <c r="E1107" s="30">
        <v>342.6</v>
      </c>
      <c r="F1107" s="30">
        <v>0</v>
      </c>
    </row>
    <row r="1108" spans="1:6" hidden="1" x14ac:dyDescent="0.25">
      <c r="A1108" s="30" t="s">
        <v>111</v>
      </c>
      <c r="B1108" s="30">
        <v>2013</v>
      </c>
      <c r="C1108" s="30" t="s">
        <v>101</v>
      </c>
      <c r="D1108" s="30">
        <v>3</v>
      </c>
      <c r="E1108" s="30">
        <v>348.8</v>
      </c>
      <c r="F1108" s="30">
        <v>0</v>
      </c>
    </row>
    <row r="1109" spans="1:6" hidden="1" x14ac:dyDescent="0.25">
      <c r="A1109" s="30" t="s">
        <v>111</v>
      </c>
      <c r="B1109" s="30">
        <v>2013</v>
      </c>
      <c r="C1109" s="30" t="s">
        <v>102</v>
      </c>
      <c r="D1109" s="30">
        <v>4</v>
      </c>
      <c r="E1109" s="30">
        <v>274.8</v>
      </c>
      <c r="F1109" s="30">
        <v>0.6</v>
      </c>
    </row>
    <row r="1110" spans="1:6" hidden="1" x14ac:dyDescent="0.25">
      <c r="A1110" s="30" t="s">
        <v>111</v>
      </c>
      <c r="B1110" s="30">
        <v>2013</v>
      </c>
      <c r="C1110" s="30" t="s">
        <v>103</v>
      </c>
      <c r="D1110" s="30">
        <v>5</v>
      </c>
      <c r="E1110" s="30">
        <v>220.8</v>
      </c>
      <c r="F1110" s="30">
        <v>0.3</v>
      </c>
    </row>
    <row r="1111" spans="1:6" hidden="1" x14ac:dyDescent="0.25">
      <c r="A1111" s="30" t="s">
        <v>111</v>
      </c>
      <c r="B1111" s="30">
        <v>2013</v>
      </c>
      <c r="C1111" s="30" t="s">
        <v>104</v>
      </c>
      <c r="D1111" s="30">
        <v>6</v>
      </c>
      <c r="E1111" s="30">
        <v>125.2</v>
      </c>
      <c r="F1111" s="30">
        <v>2.4</v>
      </c>
    </row>
    <row r="1112" spans="1:6" hidden="1" x14ac:dyDescent="0.25">
      <c r="A1112" s="30" t="s">
        <v>111</v>
      </c>
      <c r="B1112" s="30">
        <v>2013</v>
      </c>
      <c r="C1112" s="30" t="s">
        <v>105</v>
      </c>
      <c r="D1112" s="30">
        <v>7</v>
      </c>
      <c r="E1112" s="30">
        <v>44.4</v>
      </c>
      <c r="F1112" s="30">
        <v>50.1</v>
      </c>
    </row>
    <row r="1113" spans="1:6" hidden="1" x14ac:dyDescent="0.25">
      <c r="A1113" s="30" t="s">
        <v>111</v>
      </c>
      <c r="B1113" s="30">
        <v>2013</v>
      </c>
      <c r="C1113" s="30" t="s">
        <v>106</v>
      </c>
      <c r="D1113" s="30">
        <v>8</v>
      </c>
      <c r="E1113" s="30">
        <v>50.2</v>
      </c>
      <c r="F1113" s="30">
        <v>32.1</v>
      </c>
    </row>
    <row r="1114" spans="1:6" hidden="1" x14ac:dyDescent="0.25">
      <c r="A1114" s="30" t="s">
        <v>111</v>
      </c>
      <c r="B1114" s="30">
        <v>2013</v>
      </c>
      <c r="C1114" s="30" t="s">
        <v>107</v>
      </c>
      <c r="D1114" s="30">
        <v>9</v>
      </c>
      <c r="E1114" s="30">
        <v>79.7</v>
      </c>
      <c r="F1114" s="30">
        <v>26.8</v>
      </c>
    </row>
    <row r="1115" spans="1:6" hidden="1" x14ac:dyDescent="0.25">
      <c r="A1115" s="30" t="s">
        <v>111</v>
      </c>
      <c r="B1115" s="30">
        <v>2013</v>
      </c>
      <c r="C1115" s="30" t="s">
        <v>108</v>
      </c>
      <c r="D1115" s="30">
        <v>10</v>
      </c>
      <c r="E1115" s="30">
        <v>115.2</v>
      </c>
      <c r="F1115" s="30">
        <v>4.9000000000000004</v>
      </c>
    </row>
    <row r="1116" spans="1:6" hidden="1" x14ac:dyDescent="0.25">
      <c r="A1116" s="30" t="s">
        <v>111</v>
      </c>
      <c r="B1116" s="30">
        <v>2013</v>
      </c>
      <c r="C1116" s="30" t="s">
        <v>109</v>
      </c>
      <c r="D1116" s="30">
        <v>11</v>
      </c>
      <c r="E1116" s="30">
        <v>254.2</v>
      </c>
      <c r="F1116" s="30">
        <v>0</v>
      </c>
    </row>
    <row r="1117" spans="1:6" hidden="1" x14ac:dyDescent="0.25">
      <c r="A1117" s="30" t="s">
        <v>111</v>
      </c>
      <c r="B1117" s="30">
        <v>2013</v>
      </c>
      <c r="C1117" s="30" t="s">
        <v>110</v>
      </c>
      <c r="D1117" s="30">
        <v>12</v>
      </c>
      <c r="E1117" s="30">
        <v>303.7</v>
      </c>
      <c r="F1117" s="30">
        <v>0</v>
      </c>
    </row>
    <row r="1118" spans="1:6" hidden="1" x14ac:dyDescent="0.25">
      <c r="A1118" s="30" t="s">
        <v>112</v>
      </c>
      <c r="B1118" s="30">
        <v>2013</v>
      </c>
      <c r="C1118" s="30" t="s">
        <v>99</v>
      </c>
      <c r="D1118" s="30">
        <v>1</v>
      </c>
      <c r="E1118" s="30">
        <v>328.1</v>
      </c>
      <c r="F1118" s="30">
        <v>0</v>
      </c>
    </row>
    <row r="1119" spans="1:6" hidden="1" x14ac:dyDescent="0.25">
      <c r="A1119" s="30" t="s">
        <v>112</v>
      </c>
      <c r="B1119" s="30">
        <v>2013</v>
      </c>
      <c r="C1119" s="30" t="s">
        <v>100</v>
      </c>
      <c r="D1119" s="30">
        <v>2</v>
      </c>
      <c r="E1119" s="30">
        <v>342.1</v>
      </c>
      <c r="F1119" s="30">
        <v>0</v>
      </c>
    </row>
    <row r="1120" spans="1:6" hidden="1" x14ac:dyDescent="0.25">
      <c r="A1120" s="30" t="s">
        <v>112</v>
      </c>
      <c r="B1120" s="30">
        <v>2013</v>
      </c>
      <c r="C1120" s="30" t="s">
        <v>101</v>
      </c>
      <c r="D1120" s="30">
        <v>3</v>
      </c>
      <c r="E1120" s="30">
        <v>354.3</v>
      </c>
      <c r="F1120" s="30">
        <v>0</v>
      </c>
    </row>
    <row r="1121" spans="1:6" hidden="1" x14ac:dyDescent="0.25">
      <c r="A1121" s="30" t="s">
        <v>112</v>
      </c>
      <c r="B1121" s="30">
        <v>2013</v>
      </c>
      <c r="C1121" s="30" t="s">
        <v>102</v>
      </c>
      <c r="D1121" s="30">
        <v>4</v>
      </c>
      <c r="E1121" s="30">
        <v>256.3</v>
      </c>
      <c r="F1121" s="30">
        <v>0.9</v>
      </c>
    </row>
    <row r="1122" spans="1:6" hidden="1" x14ac:dyDescent="0.25">
      <c r="A1122" s="30" t="s">
        <v>112</v>
      </c>
      <c r="B1122" s="30">
        <v>2013</v>
      </c>
      <c r="C1122" s="30" t="s">
        <v>103</v>
      </c>
      <c r="D1122" s="30">
        <v>5</v>
      </c>
      <c r="E1122" s="30">
        <v>210.5</v>
      </c>
      <c r="F1122" s="30">
        <v>0.3</v>
      </c>
    </row>
    <row r="1123" spans="1:6" hidden="1" x14ac:dyDescent="0.25">
      <c r="A1123" s="30" t="s">
        <v>112</v>
      </c>
      <c r="B1123" s="30">
        <v>2013</v>
      </c>
      <c r="C1123" s="30" t="s">
        <v>104</v>
      </c>
      <c r="D1123" s="30">
        <v>6</v>
      </c>
      <c r="E1123" s="30">
        <v>105.7</v>
      </c>
      <c r="F1123" s="30">
        <v>9</v>
      </c>
    </row>
    <row r="1124" spans="1:6" hidden="1" x14ac:dyDescent="0.25">
      <c r="A1124" s="30" t="s">
        <v>112</v>
      </c>
      <c r="B1124" s="30">
        <v>2013</v>
      </c>
      <c r="C1124" s="30" t="s">
        <v>105</v>
      </c>
      <c r="D1124" s="30">
        <v>7</v>
      </c>
      <c r="E1124" s="30">
        <v>31.1</v>
      </c>
      <c r="F1124" s="30">
        <v>79.2</v>
      </c>
    </row>
    <row r="1125" spans="1:6" hidden="1" x14ac:dyDescent="0.25">
      <c r="A1125" s="30" t="s">
        <v>112</v>
      </c>
      <c r="B1125" s="30">
        <v>2013</v>
      </c>
      <c r="C1125" s="30" t="s">
        <v>106</v>
      </c>
      <c r="D1125" s="30">
        <v>8</v>
      </c>
      <c r="E1125" s="30">
        <v>39.4</v>
      </c>
      <c r="F1125" s="30">
        <v>43.6</v>
      </c>
    </row>
    <row r="1126" spans="1:6" hidden="1" x14ac:dyDescent="0.25">
      <c r="A1126" s="30" t="s">
        <v>112</v>
      </c>
      <c r="B1126" s="30">
        <v>2013</v>
      </c>
      <c r="C1126" s="30" t="s">
        <v>107</v>
      </c>
      <c r="D1126" s="30">
        <v>9</v>
      </c>
      <c r="E1126" s="30">
        <v>73</v>
      </c>
      <c r="F1126" s="30">
        <v>28</v>
      </c>
    </row>
    <row r="1127" spans="1:6" hidden="1" x14ac:dyDescent="0.25">
      <c r="A1127" s="30" t="s">
        <v>112</v>
      </c>
      <c r="B1127" s="30">
        <v>2013</v>
      </c>
      <c r="C1127" s="30" t="s">
        <v>108</v>
      </c>
      <c r="D1127" s="30">
        <v>10</v>
      </c>
      <c r="E1127" s="30">
        <v>109.2</v>
      </c>
      <c r="F1127" s="30">
        <v>5.0999999999999996</v>
      </c>
    </row>
    <row r="1128" spans="1:6" hidden="1" x14ac:dyDescent="0.25">
      <c r="A1128" s="30" t="s">
        <v>112</v>
      </c>
      <c r="B1128" s="30">
        <v>2013</v>
      </c>
      <c r="C1128" s="30" t="s">
        <v>109</v>
      </c>
      <c r="D1128" s="30">
        <v>11</v>
      </c>
      <c r="E1128" s="30">
        <v>254.4</v>
      </c>
      <c r="F1128" s="30">
        <v>0</v>
      </c>
    </row>
    <row r="1129" spans="1:6" hidden="1" x14ac:dyDescent="0.25">
      <c r="A1129" s="30" t="s">
        <v>112</v>
      </c>
      <c r="B1129" s="30">
        <v>2013</v>
      </c>
      <c r="C1129" s="30" t="s">
        <v>110</v>
      </c>
      <c r="D1129" s="30">
        <v>12</v>
      </c>
      <c r="E1129" s="30">
        <v>304.2</v>
      </c>
      <c r="F1129" s="30">
        <v>0</v>
      </c>
    </row>
    <row r="1130" spans="1:6" hidden="1" x14ac:dyDescent="0.25">
      <c r="A1130" s="30" t="s">
        <v>113</v>
      </c>
      <c r="B1130" s="30">
        <v>2013</v>
      </c>
      <c r="C1130" s="30" t="s">
        <v>99</v>
      </c>
      <c r="D1130" s="30">
        <v>1</v>
      </c>
      <c r="E1130" s="30">
        <v>369.6</v>
      </c>
      <c r="F1130" s="30">
        <v>0</v>
      </c>
    </row>
    <row r="1131" spans="1:6" hidden="1" x14ac:dyDescent="0.25">
      <c r="A1131" s="30" t="s">
        <v>113</v>
      </c>
      <c r="B1131" s="30">
        <v>2013</v>
      </c>
      <c r="C1131" s="30" t="s">
        <v>100</v>
      </c>
      <c r="D1131" s="30">
        <v>2</v>
      </c>
      <c r="E1131" s="30">
        <v>371.5</v>
      </c>
      <c r="F1131" s="30">
        <v>0</v>
      </c>
    </row>
    <row r="1132" spans="1:6" hidden="1" x14ac:dyDescent="0.25">
      <c r="A1132" s="30" t="s">
        <v>113</v>
      </c>
      <c r="B1132" s="30">
        <v>2013</v>
      </c>
      <c r="C1132" s="30" t="s">
        <v>101</v>
      </c>
      <c r="D1132" s="30">
        <v>3</v>
      </c>
      <c r="E1132" s="30">
        <v>358.3</v>
      </c>
      <c r="F1132" s="30">
        <v>0</v>
      </c>
    </row>
    <row r="1133" spans="1:6" hidden="1" x14ac:dyDescent="0.25">
      <c r="A1133" s="30" t="s">
        <v>113</v>
      </c>
      <c r="B1133" s="30">
        <v>2013</v>
      </c>
      <c r="C1133" s="30" t="s">
        <v>102</v>
      </c>
      <c r="D1133" s="30">
        <v>4</v>
      </c>
      <c r="E1133" s="30">
        <v>256.7</v>
      </c>
      <c r="F1133" s="30">
        <v>4.5</v>
      </c>
    </row>
    <row r="1134" spans="1:6" hidden="1" x14ac:dyDescent="0.25">
      <c r="A1134" s="30" t="s">
        <v>113</v>
      </c>
      <c r="B1134" s="30">
        <v>2013</v>
      </c>
      <c r="C1134" s="30" t="s">
        <v>103</v>
      </c>
      <c r="D1134" s="30">
        <v>5</v>
      </c>
      <c r="E1134" s="30">
        <v>195.3</v>
      </c>
      <c r="F1134" s="30">
        <v>2.5</v>
      </c>
    </row>
    <row r="1135" spans="1:6" hidden="1" x14ac:dyDescent="0.25">
      <c r="A1135" s="30" t="s">
        <v>113</v>
      </c>
      <c r="B1135" s="30">
        <v>2013</v>
      </c>
      <c r="C1135" s="30" t="s">
        <v>104</v>
      </c>
      <c r="D1135" s="30">
        <v>6</v>
      </c>
      <c r="E1135" s="30">
        <v>82.1</v>
      </c>
      <c r="F1135" s="30">
        <v>25.3</v>
      </c>
    </row>
    <row r="1136" spans="1:6" hidden="1" x14ac:dyDescent="0.25">
      <c r="A1136" s="30" t="s">
        <v>113</v>
      </c>
      <c r="B1136" s="30">
        <v>2013</v>
      </c>
      <c r="C1136" s="30" t="s">
        <v>105</v>
      </c>
      <c r="D1136" s="30">
        <v>7</v>
      </c>
      <c r="E1136" s="30">
        <v>26</v>
      </c>
      <c r="F1136" s="30">
        <v>118.9</v>
      </c>
    </row>
    <row r="1137" spans="1:6" hidden="1" x14ac:dyDescent="0.25">
      <c r="A1137" s="30" t="s">
        <v>113</v>
      </c>
      <c r="B1137" s="30">
        <v>2013</v>
      </c>
      <c r="C1137" s="30" t="s">
        <v>106</v>
      </c>
      <c r="D1137" s="30">
        <v>8</v>
      </c>
      <c r="E1137" s="30">
        <v>43.1</v>
      </c>
      <c r="F1137" s="30">
        <v>75.8</v>
      </c>
    </row>
    <row r="1138" spans="1:6" hidden="1" x14ac:dyDescent="0.25">
      <c r="A1138" s="30" t="s">
        <v>113</v>
      </c>
      <c r="B1138" s="30">
        <v>2013</v>
      </c>
      <c r="C1138" s="30" t="s">
        <v>107</v>
      </c>
      <c r="D1138" s="30">
        <v>9</v>
      </c>
      <c r="E1138" s="30">
        <v>71.5</v>
      </c>
      <c r="F1138" s="30">
        <v>44.3</v>
      </c>
    </row>
    <row r="1139" spans="1:6" hidden="1" x14ac:dyDescent="0.25">
      <c r="A1139" s="30" t="s">
        <v>113</v>
      </c>
      <c r="B1139" s="30">
        <v>2013</v>
      </c>
      <c r="C1139" s="30" t="s">
        <v>108</v>
      </c>
      <c r="D1139" s="30">
        <v>10</v>
      </c>
      <c r="E1139" s="30">
        <v>111.3</v>
      </c>
      <c r="F1139" s="30">
        <v>14.2</v>
      </c>
    </row>
    <row r="1140" spans="1:6" hidden="1" x14ac:dyDescent="0.25">
      <c r="A1140" s="30" t="s">
        <v>113</v>
      </c>
      <c r="B1140" s="30">
        <v>2013</v>
      </c>
      <c r="C1140" s="30" t="s">
        <v>109</v>
      </c>
      <c r="D1140" s="30">
        <v>11</v>
      </c>
      <c r="E1140" s="30">
        <v>286.8</v>
      </c>
      <c r="F1140" s="30">
        <v>0</v>
      </c>
    </row>
    <row r="1141" spans="1:6" hidden="1" x14ac:dyDescent="0.25">
      <c r="A1141" s="30" t="s">
        <v>113</v>
      </c>
      <c r="B1141" s="30">
        <v>2013</v>
      </c>
      <c r="C1141" s="30" t="s">
        <v>110</v>
      </c>
      <c r="D1141" s="30">
        <v>12</v>
      </c>
      <c r="E1141" s="30">
        <v>353</v>
      </c>
      <c r="F1141" s="30">
        <v>0</v>
      </c>
    </row>
    <row r="1142" spans="1:6" hidden="1" x14ac:dyDescent="0.25">
      <c r="A1142" s="30" t="s">
        <v>114</v>
      </c>
      <c r="B1142" s="30">
        <v>2013</v>
      </c>
      <c r="C1142" s="30" t="s">
        <v>99</v>
      </c>
      <c r="D1142" s="30">
        <v>1</v>
      </c>
      <c r="E1142" s="30">
        <v>372.6</v>
      </c>
      <c r="F1142" s="30">
        <v>0</v>
      </c>
    </row>
    <row r="1143" spans="1:6" hidden="1" x14ac:dyDescent="0.25">
      <c r="A1143" s="30" t="s">
        <v>114</v>
      </c>
      <c r="B1143" s="30">
        <v>2013</v>
      </c>
      <c r="C1143" s="30" t="s">
        <v>100</v>
      </c>
      <c r="D1143" s="30">
        <v>2</v>
      </c>
      <c r="E1143" s="30">
        <v>365.3</v>
      </c>
      <c r="F1143" s="30">
        <v>0</v>
      </c>
    </row>
    <row r="1144" spans="1:6" hidden="1" x14ac:dyDescent="0.25">
      <c r="A1144" s="30" t="s">
        <v>114</v>
      </c>
      <c r="B1144" s="30">
        <v>2013</v>
      </c>
      <c r="C1144" s="30" t="s">
        <v>101</v>
      </c>
      <c r="D1144" s="30">
        <v>3</v>
      </c>
      <c r="E1144" s="30">
        <v>369.6</v>
      </c>
      <c r="F1144" s="30">
        <v>0</v>
      </c>
    </row>
    <row r="1145" spans="1:6" hidden="1" x14ac:dyDescent="0.25">
      <c r="A1145" s="30" t="s">
        <v>114</v>
      </c>
      <c r="B1145" s="30">
        <v>2013</v>
      </c>
      <c r="C1145" s="30" t="s">
        <v>102</v>
      </c>
      <c r="D1145" s="30">
        <v>4</v>
      </c>
      <c r="E1145" s="30">
        <v>267.8</v>
      </c>
      <c r="F1145" s="30">
        <v>3.7</v>
      </c>
    </row>
    <row r="1146" spans="1:6" hidden="1" x14ac:dyDescent="0.25">
      <c r="A1146" s="30" t="s">
        <v>114</v>
      </c>
      <c r="B1146" s="30">
        <v>2013</v>
      </c>
      <c r="C1146" s="30" t="s">
        <v>103</v>
      </c>
      <c r="D1146" s="30">
        <v>5</v>
      </c>
      <c r="E1146" s="30">
        <v>212.9</v>
      </c>
      <c r="F1146" s="30">
        <v>1.9</v>
      </c>
    </row>
    <row r="1147" spans="1:6" hidden="1" x14ac:dyDescent="0.25">
      <c r="A1147" s="30" t="s">
        <v>114</v>
      </c>
      <c r="B1147" s="30">
        <v>2013</v>
      </c>
      <c r="C1147" s="30" t="s">
        <v>104</v>
      </c>
      <c r="D1147" s="30">
        <v>6</v>
      </c>
      <c r="E1147" s="30">
        <v>101.7</v>
      </c>
      <c r="F1147" s="30">
        <v>6.1</v>
      </c>
    </row>
    <row r="1148" spans="1:6" hidden="1" x14ac:dyDescent="0.25">
      <c r="A1148" s="30" t="s">
        <v>114</v>
      </c>
      <c r="B1148" s="30">
        <v>2013</v>
      </c>
      <c r="C1148" s="30" t="s">
        <v>105</v>
      </c>
      <c r="D1148" s="30">
        <v>7</v>
      </c>
      <c r="E1148" s="30">
        <v>39.1</v>
      </c>
      <c r="F1148" s="30">
        <v>62.2</v>
      </c>
    </row>
    <row r="1149" spans="1:6" hidden="1" x14ac:dyDescent="0.25">
      <c r="A1149" s="30" t="s">
        <v>114</v>
      </c>
      <c r="B1149" s="30">
        <v>2013</v>
      </c>
      <c r="C1149" s="30" t="s">
        <v>106</v>
      </c>
      <c r="D1149" s="30">
        <v>8</v>
      </c>
      <c r="E1149" s="30">
        <v>43.2</v>
      </c>
      <c r="F1149" s="30">
        <v>55.4</v>
      </c>
    </row>
    <row r="1150" spans="1:6" hidden="1" x14ac:dyDescent="0.25">
      <c r="A1150" s="30" t="s">
        <v>114</v>
      </c>
      <c r="B1150" s="30">
        <v>2013</v>
      </c>
      <c r="C1150" s="30" t="s">
        <v>107</v>
      </c>
      <c r="D1150" s="30">
        <v>9</v>
      </c>
      <c r="E1150" s="30">
        <v>67.3</v>
      </c>
      <c r="F1150" s="30">
        <v>28</v>
      </c>
    </row>
    <row r="1151" spans="1:6" hidden="1" x14ac:dyDescent="0.25">
      <c r="A1151" s="30" t="s">
        <v>114</v>
      </c>
      <c r="B1151" s="30">
        <v>2013</v>
      </c>
      <c r="C1151" s="30" t="s">
        <v>108</v>
      </c>
      <c r="D1151" s="30">
        <v>10</v>
      </c>
      <c r="E1151" s="30">
        <v>108.9</v>
      </c>
      <c r="F1151" s="30">
        <v>10.5</v>
      </c>
    </row>
    <row r="1152" spans="1:6" hidden="1" x14ac:dyDescent="0.25">
      <c r="A1152" s="30" t="s">
        <v>114</v>
      </c>
      <c r="B1152" s="30">
        <v>2013</v>
      </c>
      <c r="C1152" s="30" t="s">
        <v>109</v>
      </c>
      <c r="D1152" s="30">
        <v>11</v>
      </c>
      <c r="E1152" s="30">
        <v>263.39999999999998</v>
      </c>
      <c r="F1152" s="30">
        <v>0</v>
      </c>
    </row>
    <row r="1153" spans="1:6" hidden="1" x14ac:dyDescent="0.25">
      <c r="A1153" s="30" t="s">
        <v>114</v>
      </c>
      <c r="B1153" s="30">
        <v>2013</v>
      </c>
      <c r="C1153" s="30" t="s">
        <v>110</v>
      </c>
      <c r="D1153" s="30">
        <v>12</v>
      </c>
      <c r="E1153" s="30">
        <v>325.89999999999998</v>
      </c>
      <c r="F1153" s="30">
        <v>0</v>
      </c>
    </row>
    <row r="1154" spans="1:6" hidden="1" x14ac:dyDescent="0.25">
      <c r="A1154" s="30" t="s">
        <v>115</v>
      </c>
      <c r="B1154" s="30">
        <v>2013</v>
      </c>
      <c r="C1154" s="30" t="s">
        <v>99</v>
      </c>
      <c r="D1154" s="30">
        <v>1</v>
      </c>
      <c r="E1154" s="30">
        <v>346.1</v>
      </c>
      <c r="F1154" s="30">
        <v>0</v>
      </c>
    </row>
    <row r="1155" spans="1:6" hidden="1" x14ac:dyDescent="0.25">
      <c r="A1155" s="30" t="s">
        <v>115</v>
      </c>
      <c r="B1155" s="30">
        <v>2013</v>
      </c>
      <c r="C1155" s="30" t="s">
        <v>100</v>
      </c>
      <c r="D1155" s="30">
        <v>2</v>
      </c>
      <c r="E1155" s="30">
        <v>344.8</v>
      </c>
      <c r="F1155" s="30">
        <v>0</v>
      </c>
    </row>
    <row r="1156" spans="1:6" hidden="1" x14ac:dyDescent="0.25">
      <c r="A1156" s="30" t="s">
        <v>115</v>
      </c>
      <c r="B1156" s="30">
        <v>2013</v>
      </c>
      <c r="C1156" s="30" t="s">
        <v>101</v>
      </c>
      <c r="D1156" s="30">
        <v>3</v>
      </c>
      <c r="E1156" s="30">
        <v>349.6</v>
      </c>
      <c r="F1156" s="30">
        <v>0</v>
      </c>
    </row>
    <row r="1157" spans="1:6" hidden="1" x14ac:dyDescent="0.25">
      <c r="A1157" s="30" t="s">
        <v>115</v>
      </c>
      <c r="B1157" s="30">
        <v>2013</v>
      </c>
      <c r="C1157" s="30" t="s">
        <v>102</v>
      </c>
      <c r="D1157" s="30">
        <v>4</v>
      </c>
      <c r="E1157" s="30">
        <v>258.10000000000002</v>
      </c>
      <c r="F1157" s="30">
        <v>1</v>
      </c>
    </row>
    <row r="1158" spans="1:6" hidden="1" x14ac:dyDescent="0.25">
      <c r="A1158" s="30" t="s">
        <v>115</v>
      </c>
      <c r="B1158" s="30">
        <v>2013</v>
      </c>
      <c r="C1158" s="30" t="s">
        <v>103</v>
      </c>
      <c r="D1158" s="30">
        <v>5</v>
      </c>
      <c r="E1158" s="30">
        <v>203.5</v>
      </c>
      <c r="F1158" s="30">
        <v>1.5</v>
      </c>
    </row>
    <row r="1159" spans="1:6" hidden="1" x14ac:dyDescent="0.25">
      <c r="A1159" s="30" t="s">
        <v>115</v>
      </c>
      <c r="B1159" s="30">
        <v>2013</v>
      </c>
      <c r="C1159" s="30" t="s">
        <v>104</v>
      </c>
      <c r="D1159" s="30">
        <v>6</v>
      </c>
      <c r="E1159" s="30">
        <v>95.3</v>
      </c>
      <c r="F1159" s="30">
        <v>12.4</v>
      </c>
    </row>
    <row r="1160" spans="1:6" hidden="1" x14ac:dyDescent="0.25">
      <c r="A1160" s="30" t="s">
        <v>115</v>
      </c>
      <c r="B1160" s="30">
        <v>2013</v>
      </c>
      <c r="C1160" s="30" t="s">
        <v>105</v>
      </c>
      <c r="D1160" s="30">
        <v>7</v>
      </c>
      <c r="E1160" s="30">
        <v>25.4</v>
      </c>
      <c r="F1160" s="30">
        <v>91.1</v>
      </c>
    </row>
    <row r="1161" spans="1:6" hidden="1" x14ac:dyDescent="0.25">
      <c r="A1161" s="30" t="s">
        <v>115</v>
      </c>
      <c r="B1161" s="30">
        <v>2013</v>
      </c>
      <c r="C1161" s="30" t="s">
        <v>106</v>
      </c>
      <c r="D1161" s="30">
        <v>8</v>
      </c>
      <c r="E1161" s="30">
        <v>44.1</v>
      </c>
      <c r="F1161" s="30">
        <v>51.6</v>
      </c>
    </row>
    <row r="1162" spans="1:6" hidden="1" x14ac:dyDescent="0.25">
      <c r="A1162" s="30" t="s">
        <v>115</v>
      </c>
      <c r="B1162" s="30">
        <v>2013</v>
      </c>
      <c r="C1162" s="30" t="s">
        <v>107</v>
      </c>
      <c r="D1162" s="30">
        <v>9</v>
      </c>
      <c r="E1162" s="30">
        <v>77</v>
      </c>
      <c r="F1162" s="30">
        <v>34.299999999999997</v>
      </c>
    </row>
    <row r="1163" spans="1:6" hidden="1" x14ac:dyDescent="0.25">
      <c r="A1163" s="30" t="s">
        <v>115</v>
      </c>
      <c r="B1163" s="30">
        <v>2013</v>
      </c>
      <c r="C1163" s="30" t="s">
        <v>108</v>
      </c>
      <c r="D1163" s="30">
        <v>10</v>
      </c>
      <c r="E1163" s="30">
        <v>102.4</v>
      </c>
      <c r="F1163" s="30">
        <v>9.1</v>
      </c>
    </row>
    <row r="1164" spans="1:6" hidden="1" x14ac:dyDescent="0.25">
      <c r="A1164" s="30" t="s">
        <v>115</v>
      </c>
      <c r="B1164" s="30">
        <v>2013</v>
      </c>
      <c r="C1164" s="30" t="s">
        <v>109</v>
      </c>
      <c r="D1164" s="30">
        <v>11</v>
      </c>
      <c r="E1164" s="30">
        <v>259.60000000000002</v>
      </c>
      <c r="F1164" s="30">
        <v>0</v>
      </c>
    </row>
    <row r="1165" spans="1:6" hidden="1" x14ac:dyDescent="0.25">
      <c r="A1165" s="30" t="s">
        <v>115</v>
      </c>
      <c r="B1165" s="30">
        <v>2013</v>
      </c>
      <c r="C1165" s="30" t="s">
        <v>110</v>
      </c>
      <c r="D1165" s="30">
        <v>12</v>
      </c>
      <c r="E1165" s="30">
        <v>303.60000000000002</v>
      </c>
      <c r="F1165" s="30">
        <v>0</v>
      </c>
    </row>
    <row r="1166" spans="1:6" x14ac:dyDescent="0.25">
      <c r="A1166" s="30" t="s">
        <v>116</v>
      </c>
      <c r="B1166" s="30">
        <v>2013</v>
      </c>
      <c r="C1166" s="30" t="s">
        <v>99</v>
      </c>
      <c r="D1166" s="30">
        <v>1</v>
      </c>
      <c r="E1166" s="30">
        <v>355.3</v>
      </c>
      <c r="F1166" s="30">
        <v>0</v>
      </c>
    </row>
    <row r="1167" spans="1:6" x14ac:dyDescent="0.25">
      <c r="A1167" s="30" t="s">
        <v>116</v>
      </c>
      <c r="B1167" s="30">
        <v>2013</v>
      </c>
      <c r="C1167" s="30" t="s">
        <v>100</v>
      </c>
      <c r="D1167" s="30">
        <v>2</v>
      </c>
      <c r="E1167" s="30">
        <v>351.4</v>
      </c>
      <c r="F1167" s="30">
        <v>0</v>
      </c>
    </row>
    <row r="1168" spans="1:6" x14ac:dyDescent="0.25">
      <c r="A1168" s="30" t="s">
        <v>116</v>
      </c>
      <c r="B1168" s="30">
        <v>2013</v>
      </c>
      <c r="C1168" s="30" t="s">
        <v>101</v>
      </c>
      <c r="D1168" s="30">
        <v>3</v>
      </c>
      <c r="E1168" s="30">
        <v>345.1</v>
      </c>
      <c r="F1168" s="30">
        <v>0</v>
      </c>
    </row>
    <row r="1169" spans="1:6" x14ac:dyDescent="0.25">
      <c r="A1169" s="30" t="s">
        <v>116</v>
      </c>
      <c r="B1169" s="30">
        <v>2013</v>
      </c>
      <c r="C1169" s="30" t="s">
        <v>102</v>
      </c>
      <c r="D1169" s="30">
        <v>4</v>
      </c>
      <c r="E1169" s="30">
        <v>249.6</v>
      </c>
      <c r="F1169" s="30">
        <v>0</v>
      </c>
    </row>
    <row r="1170" spans="1:6" x14ac:dyDescent="0.25">
      <c r="A1170" s="30" t="s">
        <v>116</v>
      </c>
      <c r="B1170" s="30">
        <v>2013</v>
      </c>
      <c r="C1170" s="30" t="s">
        <v>103</v>
      </c>
      <c r="D1170" s="30">
        <v>5</v>
      </c>
      <c r="E1170" s="30">
        <v>185.7</v>
      </c>
      <c r="F1170" s="30">
        <v>0</v>
      </c>
    </row>
    <row r="1171" spans="1:6" x14ac:dyDescent="0.25">
      <c r="A1171" s="30" t="s">
        <v>116</v>
      </c>
      <c r="B1171" s="30">
        <v>2013</v>
      </c>
      <c r="C1171" s="30" t="s">
        <v>104</v>
      </c>
      <c r="D1171" s="30">
        <v>6</v>
      </c>
      <c r="E1171" s="30">
        <v>66.099999999999994</v>
      </c>
      <c r="F1171" s="30">
        <v>7.4</v>
      </c>
    </row>
    <row r="1172" spans="1:6" x14ac:dyDescent="0.25">
      <c r="A1172" s="30" t="s">
        <v>116</v>
      </c>
      <c r="B1172" s="30">
        <v>2013</v>
      </c>
      <c r="C1172" s="30" t="s">
        <v>105</v>
      </c>
      <c r="D1172" s="30">
        <v>7</v>
      </c>
      <c r="E1172" s="30">
        <v>4.2</v>
      </c>
      <c r="F1172" s="30">
        <v>98.7</v>
      </c>
    </row>
    <row r="1173" spans="1:6" x14ac:dyDescent="0.25">
      <c r="A1173" s="30" t="s">
        <v>116</v>
      </c>
      <c r="B1173" s="30">
        <v>2013</v>
      </c>
      <c r="C1173" s="30" t="s">
        <v>106</v>
      </c>
      <c r="D1173" s="30">
        <v>8</v>
      </c>
      <c r="E1173" s="30">
        <v>7.9</v>
      </c>
      <c r="F1173" s="30">
        <v>34.6</v>
      </c>
    </row>
    <row r="1174" spans="1:6" x14ac:dyDescent="0.25">
      <c r="A1174" s="30" t="s">
        <v>116</v>
      </c>
      <c r="B1174" s="30">
        <v>2013</v>
      </c>
      <c r="C1174" s="30" t="s">
        <v>107</v>
      </c>
      <c r="D1174" s="30">
        <v>9</v>
      </c>
      <c r="E1174" s="30">
        <v>45.7</v>
      </c>
      <c r="F1174" s="30">
        <v>22.1</v>
      </c>
    </row>
    <row r="1175" spans="1:6" x14ac:dyDescent="0.25">
      <c r="A1175" s="30" t="s">
        <v>116</v>
      </c>
      <c r="B1175" s="30">
        <v>2013</v>
      </c>
      <c r="C1175" s="30" t="s">
        <v>108</v>
      </c>
      <c r="D1175" s="30">
        <v>10</v>
      </c>
      <c r="E1175" s="30">
        <v>90.6</v>
      </c>
      <c r="F1175" s="30">
        <v>3.9</v>
      </c>
    </row>
    <row r="1176" spans="1:6" x14ac:dyDescent="0.25">
      <c r="A1176" s="30" t="s">
        <v>116</v>
      </c>
      <c r="B1176" s="30">
        <v>2013</v>
      </c>
      <c r="C1176" s="30" t="s">
        <v>109</v>
      </c>
      <c r="D1176" s="30">
        <v>11</v>
      </c>
      <c r="E1176" s="30">
        <v>263.10000000000002</v>
      </c>
      <c r="F1176" s="30">
        <v>0</v>
      </c>
    </row>
    <row r="1177" spans="1:6" x14ac:dyDescent="0.25">
      <c r="A1177" s="30" t="s">
        <v>116</v>
      </c>
      <c r="B1177" s="30">
        <v>2013</v>
      </c>
      <c r="C1177" s="30" t="s">
        <v>110</v>
      </c>
      <c r="D1177" s="30">
        <v>12</v>
      </c>
      <c r="E1177" s="30">
        <v>326.5</v>
      </c>
      <c r="F1177" s="30">
        <v>0</v>
      </c>
    </row>
    <row r="1178" spans="1:6" hidden="1" x14ac:dyDescent="0.25">
      <c r="A1178" s="30" t="s">
        <v>98</v>
      </c>
      <c r="B1178" s="30">
        <v>2014</v>
      </c>
      <c r="C1178" s="30" t="s">
        <v>99</v>
      </c>
      <c r="D1178" s="30">
        <v>1</v>
      </c>
      <c r="E1178" s="30">
        <v>320</v>
      </c>
      <c r="F1178" s="30">
        <v>0</v>
      </c>
    </row>
    <row r="1179" spans="1:6" hidden="1" x14ac:dyDescent="0.25">
      <c r="A1179" s="30" t="s">
        <v>98</v>
      </c>
      <c r="B1179" s="30">
        <v>2014</v>
      </c>
      <c r="C1179" s="30" t="s">
        <v>100</v>
      </c>
      <c r="D1179" s="30">
        <v>2</v>
      </c>
      <c r="E1179" s="30">
        <v>294.39999999999998</v>
      </c>
      <c r="F1179" s="30">
        <v>0</v>
      </c>
    </row>
    <row r="1180" spans="1:6" hidden="1" x14ac:dyDescent="0.25">
      <c r="A1180" s="30" t="s">
        <v>98</v>
      </c>
      <c r="B1180" s="30">
        <v>2014</v>
      </c>
      <c r="C1180" s="30" t="s">
        <v>101</v>
      </c>
      <c r="D1180" s="30">
        <v>3</v>
      </c>
      <c r="E1180" s="30">
        <v>298</v>
      </c>
      <c r="F1180" s="30">
        <v>0.1</v>
      </c>
    </row>
    <row r="1181" spans="1:6" hidden="1" x14ac:dyDescent="0.25">
      <c r="A1181" s="30" t="s">
        <v>98</v>
      </c>
      <c r="B1181" s="30">
        <v>2014</v>
      </c>
      <c r="C1181" s="30" t="s">
        <v>102</v>
      </c>
      <c r="D1181" s="30">
        <v>4</v>
      </c>
      <c r="E1181" s="30">
        <v>216.1</v>
      </c>
      <c r="F1181" s="30">
        <v>0.3</v>
      </c>
    </row>
    <row r="1182" spans="1:6" hidden="1" x14ac:dyDescent="0.25">
      <c r="A1182" s="30" t="s">
        <v>98</v>
      </c>
      <c r="B1182" s="30">
        <v>2014</v>
      </c>
      <c r="C1182" s="30" t="s">
        <v>103</v>
      </c>
      <c r="D1182" s="30">
        <v>5</v>
      </c>
      <c r="E1182" s="30">
        <v>176.8</v>
      </c>
      <c r="F1182" s="30">
        <v>1.2</v>
      </c>
    </row>
    <row r="1183" spans="1:6" hidden="1" x14ac:dyDescent="0.25">
      <c r="A1183" s="30" t="s">
        <v>98</v>
      </c>
      <c r="B1183" s="30">
        <v>2014</v>
      </c>
      <c r="C1183" s="30" t="s">
        <v>104</v>
      </c>
      <c r="D1183" s="30">
        <v>6</v>
      </c>
      <c r="E1183" s="30">
        <v>88.1</v>
      </c>
      <c r="F1183" s="30">
        <v>14.8</v>
      </c>
    </row>
    <row r="1184" spans="1:6" hidden="1" x14ac:dyDescent="0.25">
      <c r="A1184" s="30" t="s">
        <v>98</v>
      </c>
      <c r="B1184" s="30">
        <v>2014</v>
      </c>
      <c r="C1184" s="30" t="s">
        <v>105</v>
      </c>
      <c r="D1184" s="30">
        <v>7</v>
      </c>
      <c r="E1184" s="30">
        <v>40.6</v>
      </c>
      <c r="F1184" s="30">
        <v>41.8</v>
      </c>
    </row>
    <row r="1185" spans="1:6" hidden="1" x14ac:dyDescent="0.25">
      <c r="A1185" s="30" t="s">
        <v>98</v>
      </c>
      <c r="B1185" s="30">
        <v>2014</v>
      </c>
      <c r="C1185" s="30" t="s">
        <v>106</v>
      </c>
      <c r="D1185" s="30">
        <v>8</v>
      </c>
      <c r="E1185" s="30">
        <v>68</v>
      </c>
      <c r="F1185" s="30">
        <v>19.399999999999999</v>
      </c>
    </row>
    <row r="1186" spans="1:6" hidden="1" x14ac:dyDescent="0.25">
      <c r="A1186" s="30" t="s">
        <v>98</v>
      </c>
      <c r="B1186" s="30">
        <v>2014</v>
      </c>
      <c r="C1186" s="30" t="s">
        <v>107</v>
      </c>
      <c r="D1186" s="30">
        <v>9</v>
      </c>
      <c r="E1186" s="30">
        <v>63.8</v>
      </c>
      <c r="F1186" s="30">
        <v>25.4</v>
      </c>
    </row>
    <row r="1187" spans="1:6" hidden="1" x14ac:dyDescent="0.25">
      <c r="A1187" s="30" t="s">
        <v>98</v>
      </c>
      <c r="B1187" s="30">
        <v>2014</v>
      </c>
      <c r="C1187" s="30" t="s">
        <v>108</v>
      </c>
      <c r="D1187" s="30">
        <v>10</v>
      </c>
      <c r="E1187" s="30">
        <v>110.1</v>
      </c>
      <c r="F1187" s="30">
        <v>8.3000000000000007</v>
      </c>
    </row>
    <row r="1188" spans="1:6" hidden="1" x14ac:dyDescent="0.25">
      <c r="A1188" s="30" t="s">
        <v>98</v>
      </c>
      <c r="B1188" s="30">
        <v>2014</v>
      </c>
      <c r="C1188" s="30" t="s">
        <v>109</v>
      </c>
      <c r="D1188" s="30">
        <v>11</v>
      </c>
      <c r="E1188" s="30">
        <v>230.1</v>
      </c>
      <c r="F1188" s="30">
        <v>0</v>
      </c>
    </row>
    <row r="1189" spans="1:6" hidden="1" x14ac:dyDescent="0.25">
      <c r="A1189" s="30" t="s">
        <v>98</v>
      </c>
      <c r="B1189" s="30">
        <v>2014</v>
      </c>
      <c r="C1189" s="30" t="s">
        <v>110</v>
      </c>
      <c r="D1189" s="30">
        <v>12</v>
      </c>
      <c r="E1189" s="30">
        <v>320.10000000000002</v>
      </c>
      <c r="F1189" s="30">
        <v>0</v>
      </c>
    </row>
    <row r="1190" spans="1:6" hidden="1" x14ac:dyDescent="0.25">
      <c r="A1190" s="30" t="s">
        <v>111</v>
      </c>
      <c r="B1190" s="30">
        <v>2014</v>
      </c>
      <c r="C1190" s="30" t="s">
        <v>99</v>
      </c>
      <c r="D1190" s="30">
        <v>1</v>
      </c>
      <c r="E1190" s="30">
        <v>307.39999999999998</v>
      </c>
      <c r="F1190" s="30">
        <v>0</v>
      </c>
    </row>
    <row r="1191" spans="1:6" hidden="1" x14ac:dyDescent="0.25">
      <c r="A1191" s="30" t="s">
        <v>111</v>
      </c>
      <c r="B1191" s="30">
        <v>2014</v>
      </c>
      <c r="C1191" s="30" t="s">
        <v>100</v>
      </c>
      <c r="D1191" s="30">
        <v>2</v>
      </c>
      <c r="E1191" s="30">
        <v>284.7</v>
      </c>
      <c r="F1191" s="30">
        <v>0</v>
      </c>
    </row>
    <row r="1192" spans="1:6" hidden="1" x14ac:dyDescent="0.25">
      <c r="A1192" s="30" t="s">
        <v>111</v>
      </c>
      <c r="B1192" s="30">
        <v>2014</v>
      </c>
      <c r="C1192" s="30" t="s">
        <v>101</v>
      </c>
      <c r="D1192" s="30">
        <v>3</v>
      </c>
      <c r="E1192" s="30">
        <v>285.7</v>
      </c>
      <c r="F1192" s="30">
        <v>0</v>
      </c>
    </row>
    <row r="1193" spans="1:6" hidden="1" x14ac:dyDescent="0.25">
      <c r="A1193" s="30" t="s">
        <v>111</v>
      </c>
      <c r="B1193" s="30">
        <v>2014</v>
      </c>
      <c r="C1193" s="30" t="s">
        <v>102</v>
      </c>
      <c r="D1193" s="30">
        <v>4</v>
      </c>
      <c r="E1193" s="30">
        <v>214</v>
      </c>
      <c r="F1193" s="30">
        <v>0.6</v>
      </c>
    </row>
    <row r="1194" spans="1:6" hidden="1" x14ac:dyDescent="0.25">
      <c r="A1194" s="30" t="s">
        <v>111</v>
      </c>
      <c r="B1194" s="30">
        <v>2014</v>
      </c>
      <c r="C1194" s="30" t="s">
        <v>103</v>
      </c>
      <c r="D1194" s="30">
        <v>5</v>
      </c>
      <c r="E1194" s="30">
        <v>174.1</v>
      </c>
      <c r="F1194" s="30">
        <v>2.2999999999999998</v>
      </c>
    </row>
    <row r="1195" spans="1:6" hidden="1" x14ac:dyDescent="0.25">
      <c r="A1195" s="30" t="s">
        <v>111</v>
      </c>
      <c r="B1195" s="30">
        <v>2014</v>
      </c>
      <c r="C1195" s="30" t="s">
        <v>104</v>
      </c>
      <c r="D1195" s="30">
        <v>6</v>
      </c>
      <c r="E1195" s="30">
        <v>77.900000000000006</v>
      </c>
      <c r="F1195" s="30">
        <v>22.5</v>
      </c>
    </row>
    <row r="1196" spans="1:6" hidden="1" x14ac:dyDescent="0.25">
      <c r="A1196" s="30" t="s">
        <v>111</v>
      </c>
      <c r="B1196" s="30">
        <v>2014</v>
      </c>
      <c r="C1196" s="30" t="s">
        <v>105</v>
      </c>
      <c r="D1196" s="30">
        <v>7</v>
      </c>
      <c r="E1196" s="30">
        <v>41.9</v>
      </c>
      <c r="F1196" s="30">
        <v>42.9</v>
      </c>
    </row>
    <row r="1197" spans="1:6" hidden="1" x14ac:dyDescent="0.25">
      <c r="A1197" s="30" t="s">
        <v>111</v>
      </c>
      <c r="B1197" s="30">
        <v>2014</v>
      </c>
      <c r="C1197" s="30" t="s">
        <v>106</v>
      </c>
      <c r="D1197" s="30">
        <v>8</v>
      </c>
      <c r="E1197" s="30">
        <v>73.3</v>
      </c>
      <c r="F1197" s="30">
        <v>14</v>
      </c>
    </row>
    <row r="1198" spans="1:6" hidden="1" x14ac:dyDescent="0.25">
      <c r="A1198" s="30" t="s">
        <v>111</v>
      </c>
      <c r="B1198" s="30">
        <v>2014</v>
      </c>
      <c r="C1198" s="30" t="s">
        <v>107</v>
      </c>
      <c r="D1198" s="30">
        <v>9</v>
      </c>
      <c r="E1198" s="30">
        <v>55.8</v>
      </c>
      <c r="F1198" s="30">
        <v>46.1</v>
      </c>
    </row>
    <row r="1199" spans="1:6" hidden="1" x14ac:dyDescent="0.25">
      <c r="A1199" s="30" t="s">
        <v>111</v>
      </c>
      <c r="B1199" s="30">
        <v>2014</v>
      </c>
      <c r="C1199" s="30" t="s">
        <v>108</v>
      </c>
      <c r="D1199" s="30">
        <v>10</v>
      </c>
      <c r="E1199" s="30">
        <v>104.7</v>
      </c>
      <c r="F1199" s="30">
        <v>6.6</v>
      </c>
    </row>
    <row r="1200" spans="1:6" hidden="1" x14ac:dyDescent="0.25">
      <c r="A1200" s="30" t="s">
        <v>111</v>
      </c>
      <c r="B1200" s="30">
        <v>2014</v>
      </c>
      <c r="C1200" s="30" t="s">
        <v>109</v>
      </c>
      <c r="D1200" s="30">
        <v>11</v>
      </c>
      <c r="E1200" s="30">
        <v>218</v>
      </c>
      <c r="F1200" s="30">
        <v>0.2</v>
      </c>
    </row>
    <row r="1201" spans="1:6" hidden="1" x14ac:dyDescent="0.25">
      <c r="A1201" s="30" t="s">
        <v>111</v>
      </c>
      <c r="B1201" s="30">
        <v>2014</v>
      </c>
      <c r="C1201" s="30" t="s">
        <v>110</v>
      </c>
      <c r="D1201" s="30">
        <v>12</v>
      </c>
      <c r="E1201" s="30">
        <v>305.7</v>
      </c>
      <c r="F1201" s="30">
        <v>0</v>
      </c>
    </row>
    <row r="1202" spans="1:6" hidden="1" x14ac:dyDescent="0.25">
      <c r="A1202" s="30" t="s">
        <v>112</v>
      </c>
      <c r="B1202" s="30">
        <v>2014</v>
      </c>
      <c r="C1202" s="30" t="s">
        <v>99</v>
      </c>
      <c r="D1202" s="30">
        <v>1</v>
      </c>
      <c r="E1202" s="30">
        <v>302.3</v>
      </c>
      <c r="F1202" s="30">
        <v>0</v>
      </c>
    </row>
    <row r="1203" spans="1:6" hidden="1" x14ac:dyDescent="0.25">
      <c r="A1203" s="30" t="s">
        <v>112</v>
      </c>
      <c r="B1203" s="30">
        <v>2014</v>
      </c>
      <c r="C1203" s="30" t="s">
        <v>100</v>
      </c>
      <c r="D1203" s="30">
        <v>2</v>
      </c>
      <c r="E1203" s="30">
        <v>279</v>
      </c>
      <c r="F1203" s="30">
        <v>0</v>
      </c>
    </row>
    <row r="1204" spans="1:6" hidden="1" x14ac:dyDescent="0.25">
      <c r="A1204" s="30" t="s">
        <v>112</v>
      </c>
      <c r="B1204" s="30">
        <v>2014</v>
      </c>
      <c r="C1204" s="30" t="s">
        <v>101</v>
      </c>
      <c r="D1204" s="30">
        <v>3</v>
      </c>
      <c r="E1204" s="30">
        <v>284</v>
      </c>
      <c r="F1204" s="30">
        <v>0</v>
      </c>
    </row>
    <row r="1205" spans="1:6" hidden="1" x14ac:dyDescent="0.25">
      <c r="A1205" s="30" t="s">
        <v>112</v>
      </c>
      <c r="B1205" s="30">
        <v>2014</v>
      </c>
      <c r="C1205" s="30" t="s">
        <v>102</v>
      </c>
      <c r="D1205" s="30">
        <v>4</v>
      </c>
      <c r="E1205" s="30">
        <v>198.9</v>
      </c>
      <c r="F1205" s="30">
        <v>0.6</v>
      </c>
    </row>
    <row r="1206" spans="1:6" hidden="1" x14ac:dyDescent="0.25">
      <c r="A1206" s="30" t="s">
        <v>112</v>
      </c>
      <c r="B1206" s="30">
        <v>2014</v>
      </c>
      <c r="C1206" s="30" t="s">
        <v>103</v>
      </c>
      <c r="D1206" s="30">
        <v>5</v>
      </c>
      <c r="E1206" s="30">
        <v>170.6</v>
      </c>
      <c r="F1206" s="30">
        <v>3.3</v>
      </c>
    </row>
    <row r="1207" spans="1:6" hidden="1" x14ac:dyDescent="0.25">
      <c r="A1207" s="30" t="s">
        <v>112</v>
      </c>
      <c r="B1207" s="30">
        <v>2014</v>
      </c>
      <c r="C1207" s="30" t="s">
        <v>104</v>
      </c>
      <c r="D1207" s="30">
        <v>6</v>
      </c>
      <c r="E1207" s="30">
        <v>71.099999999999994</v>
      </c>
      <c r="F1207" s="30">
        <v>33.700000000000003</v>
      </c>
    </row>
    <row r="1208" spans="1:6" hidden="1" x14ac:dyDescent="0.25">
      <c r="A1208" s="30" t="s">
        <v>112</v>
      </c>
      <c r="B1208" s="30">
        <v>2014</v>
      </c>
      <c r="C1208" s="30" t="s">
        <v>105</v>
      </c>
      <c r="D1208" s="30">
        <v>7</v>
      </c>
      <c r="E1208" s="30">
        <v>34.799999999999997</v>
      </c>
      <c r="F1208" s="30">
        <v>54.1</v>
      </c>
    </row>
    <row r="1209" spans="1:6" hidden="1" x14ac:dyDescent="0.25">
      <c r="A1209" s="30" t="s">
        <v>112</v>
      </c>
      <c r="B1209" s="30">
        <v>2014</v>
      </c>
      <c r="C1209" s="30" t="s">
        <v>106</v>
      </c>
      <c r="D1209" s="30">
        <v>8</v>
      </c>
      <c r="E1209" s="30">
        <v>66.8</v>
      </c>
      <c r="F1209" s="30">
        <v>13.1</v>
      </c>
    </row>
    <row r="1210" spans="1:6" hidden="1" x14ac:dyDescent="0.25">
      <c r="A1210" s="30" t="s">
        <v>112</v>
      </c>
      <c r="B1210" s="30">
        <v>2014</v>
      </c>
      <c r="C1210" s="30" t="s">
        <v>107</v>
      </c>
      <c r="D1210" s="30">
        <v>9</v>
      </c>
      <c r="E1210" s="30">
        <v>51.5</v>
      </c>
      <c r="F1210" s="30">
        <v>50.6</v>
      </c>
    </row>
    <row r="1211" spans="1:6" hidden="1" x14ac:dyDescent="0.25">
      <c r="A1211" s="30" t="s">
        <v>112</v>
      </c>
      <c r="B1211" s="30">
        <v>2014</v>
      </c>
      <c r="C1211" s="30" t="s">
        <v>108</v>
      </c>
      <c r="D1211" s="30">
        <v>10</v>
      </c>
      <c r="E1211" s="30">
        <v>109.7</v>
      </c>
      <c r="F1211" s="30">
        <v>4.5999999999999996</v>
      </c>
    </row>
    <row r="1212" spans="1:6" hidden="1" x14ac:dyDescent="0.25">
      <c r="A1212" s="30" t="s">
        <v>112</v>
      </c>
      <c r="B1212" s="30">
        <v>2014</v>
      </c>
      <c r="C1212" s="30" t="s">
        <v>109</v>
      </c>
      <c r="D1212" s="30">
        <v>11</v>
      </c>
      <c r="E1212" s="30">
        <v>223.6</v>
      </c>
      <c r="F1212" s="30">
        <v>0</v>
      </c>
    </row>
    <row r="1213" spans="1:6" hidden="1" x14ac:dyDescent="0.25">
      <c r="A1213" s="30" t="s">
        <v>112</v>
      </c>
      <c r="B1213" s="30">
        <v>2014</v>
      </c>
      <c r="C1213" s="30" t="s">
        <v>110</v>
      </c>
      <c r="D1213" s="30">
        <v>12</v>
      </c>
      <c r="E1213" s="30">
        <v>307.8</v>
      </c>
      <c r="F1213" s="30">
        <v>0</v>
      </c>
    </row>
    <row r="1214" spans="1:6" hidden="1" x14ac:dyDescent="0.25">
      <c r="A1214" s="30" t="s">
        <v>113</v>
      </c>
      <c r="B1214" s="30">
        <v>2014</v>
      </c>
      <c r="C1214" s="30" t="s">
        <v>99</v>
      </c>
      <c r="D1214" s="30">
        <v>1</v>
      </c>
      <c r="E1214" s="30">
        <v>317.60000000000002</v>
      </c>
      <c r="F1214" s="30">
        <v>0</v>
      </c>
    </row>
    <row r="1215" spans="1:6" hidden="1" x14ac:dyDescent="0.25">
      <c r="A1215" s="30" t="s">
        <v>113</v>
      </c>
      <c r="B1215" s="30">
        <v>2014</v>
      </c>
      <c r="C1215" s="30" t="s">
        <v>100</v>
      </c>
      <c r="D1215" s="30">
        <v>2</v>
      </c>
      <c r="E1215" s="30">
        <v>281.60000000000002</v>
      </c>
      <c r="F1215" s="30">
        <v>0</v>
      </c>
    </row>
    <row r="1216" spans="1:6" hidden="1" x14ac:dyDescent="0.25">
      <c r="A1216" s="30" t="s">
        <v>113</v>
      </c>
      <c r="B1216" s="30">
        <v>2014</v>
      </c>
      <c r="C1216" s="30" t="s">
        <v>101</v>
      </c>
      <c r="D1216" s="30">
        <v>3</v>
      </c>
      <c r="E1216" s="30">
        <v>273.10000000000002</v>
      </c>
      <c r="F1216" s="30">
        <v>0.7</v>
      </c>
    </row>
    <row r="1217" spans="1:6" hidden="1" x14ac:dyDescent="0.25">
      <c r="A1217" s="30" t="s">
        <v>113</v>
      </c>
      <c r="B1217" s="30">
        <v>2014</v>
      </c>
      <c r="C1217" s="30" t="s">
        <v>102</v>
      </c>
      <c r="D1217" s="30">
        <v>4</v>
      </c>
      <c r="E1217" s="30">
        <v>191.9</v>
      </c>
      <c r="F1217" s="30">
        <v>1.1000000000000001</v>
      </c>
    </row>
    <row r="1218" spans="1:6" hidden="1" x14ac:dyDescent="0.25">
      <c r="A1218" s="30" t="s">
        <v>113</v>
      </c>
      <c r="B1218" s="30">
        <v>2014</v>
      </c>
      <c r="C1218" s="30" t="s">
        <v>103</v>
      </c>
      <c r="D1218" s="30">
        <v>5</v>
      </c>
      <c r="E1218" s="30">
        <v>150.19999999999999</v>
      </c>
      <c r="F1218" s="30">
        <v>6.6</v>
      </c>
    </row>
    <row r="1219" spans="1:6" hidden="1" x14ac:dyDescent="0.25">
      <c r="A1219" s="30" t="s">
        <v>113</v>
      </c>
      <c r="B1219" s="30">
        <v>2014</v>
      </c>
      <c r="C1219" s="30" t="s">
        <v>104</v>
      </c>
      <c r="D1219" s="30">
        <v>6</v>
      </c>
      <c r="E1219" s="30">
        <v>70.900000000000006</v>
      </c>
      <c r="F1219" s="30">
        <v>43.7</v>
      </c>
    </row>
    <row r="1220" spans="1:6" hidden="1" x14ac:dyDescent="0.25">
      <c r="A1220" s="30" t="s">
        <v>113</v>
      </c>
      <c r="B1220" s="30">
        <v>2014</v>
      </c>
      <c r="C1220" s="30" t="s">
        <v>105</v>
      </c>
      <c r="D1220" s="30">
        <v>7</v>
      </c>
      <c r="E1220" s="30">
        <v>37.4</v>
      </c>
      <c r="F1220" s="30">
        <v>84</v>
      </c>
    </row>
    <row r="1221" spans="1:6" hidden="1" x14ac:dyDescent="0.25">
      <c r="A1221" s="30" t="s">
        <v>113</v>
      </c>
      <c r="B1221" s="30">
        <v>2014</v>
      </c>
      <c r="C1221" s="30" t="s">
        <v>106</v>
      </c>
      <c r="D1221" s="30">
        <v>8</v>
      </c>
      <c r="E1221" s="30">
        <v>60.7</v>
      </c>
      <c r="F1221" s="30">
        <v>39.6</v>
      </c>
    </row>
    <row r="1222" spans="1:6" hidden="1" x14ac:dyDescent="0.25">
      <c r="A1222" s="30" t="s">
        <v>113</v>
      </c>
      <c r="B1222" s="30">
        <v>2014</v>
      </c>
      <c r="C1222" s="30" t="s">
        <v>107</v>
      </c>
      <c r="D1222" s="30">
        <v>9</v>
      </c>
      <c r="E1222" s="30">
        <v>60.3</v>
      </c>
      <c r="F1222" s="30">
        <v>58</v>
      </c>
    </row>
    <row r="1223" spans="1:6" hidden="1" x14ac:dyDescent="0.25">
      <c r="A1223" s="30" t="s">
        <v>113</v>
      </c>
      <c r="B1223" s="30">
        <v>2014</v>
      </c>
      <c r="C1223" s="30" t="s">
        <v>108</v>
      </c>
      <c r="D1223" s="30">
        <v>10</v>
      </c>
      <c r="E1223" s="30">
        <v>113</v>
      </c>
      <c r="F1223" s="30">
        <v>12.5</v>
      </c>
    </row>
    <row r="1224" spans="1:6" hidden="1" x14ac:dyDescent="0.25">
      <c r="A1224" s="30" t="s">
        <v>113</v>
      </c>
      <c r="B1224" s="30">
        <v>2014</v>
      </c>
      <c r="C1224" s="30" t="s">
        <v>109</v>
      </c>
      <c r="D1224" s="30">
        <v>11</v>
      </c>
      <c r="E1224" s="30">
        <v>220.2</v>
      </c>
      <c r="F1224" s="30">
        <v>0.2</v>
      </c>
    </row>
    <row r="1225" spans="1:6" hidden="1" x14ac:dyDescent="0.25">
      <c r="A1225" s="30" t="s">
        <v>113</v>
      </c>
      <c r="B1225" s="30">
        <v>2014</v>
      </c>
      <c r="C1225" s="30" t="s">
        <v>110</v>
      </c>
      <c r="D1225" s="30">
        <v>12</v>
      </c>
      <c r="E1225" s="30">
        <v>341.3</v>
      </c>
      <c r="F1225" s="30">
        <v>0</v>
      </c>
    </row>
    <row r="1226" spans="1:6" hidden="1" x14ac:dyDescent="0.25">
      <c r="A1226" s="30" t="s">
        <v>114</v>
      </c>
      <c r="B1226" s="30">
        <v>2014</v>
      </c>
      <c r="C1226" s="30" t="s">
        <v>99</v>
      </c>
      <c r="D1226" s="30">
        <v>1</v>
      </c>
      <c r="E1226" s="30">
        <v>316.8</v>
      </c>
      <c r="F1226" s="30">
        <v>0</v>
      </c>
    </row>
    <row r="1227" spans="1:6" hidden="1" x14ac:dyDescent="0.25">
      <c r="A1227" s="30" t="s">
        <v>114</v>
      </c>
      <c r="B1227" s="30">
        <v>2014</v>
      </c>
      <c r="C1227" s="30" t="s">
        <v>100</v>
      </c>
      <c r="D1227" s="30">
        <v>2</v>
      </c>
      <c r="E1227" s="30">
        <v>279.89999999999998</v>
      </c>
      <c r="F1227" s="30">
        <v>0</v>
      </c>
    </row>
    <row r="1228" spans="1:6" hidden="1" x14ac:dyDescent="0.25">
      <c r="A1228" s="30" t="s">
        <v>114</v>
      </c>
      <c r="B1228" s="30">
        <v>2014</v>
      </c>
      <c r="C1228" s="30" t="s">
        <v>101</v>
      </c>
      <c r="D1228" s="30">
        <v>3</v>
      </c>
      <c r="E1228" s="30">
        <v>279.39999999999998</v>
      </c>
      <c r="F1228" s="30">
        <v>0.5</v>
      </c>
    </row>
    <row r="1229" spans="1:6" hidden="1" x14ac:dyDescent="0.25">
      <c r="A1229" s="30" t="s">
        <v>114</v>
      </c>
      <c r="B1229" s="30">
        <v>2014</v>
      </c>
      <c r="C1229" s="30" t="s">
        <v>102</v>
      </c>
      <c r="D1229" s="30">
        <v>4</v>
      </c>
      <c r="E1229" s="30">
        <v>200.9</v>
      </c>
      <c r="F1229" s="30">
        <v>0.9</v>
      </c>
    </row>
    <row r="1230" spans="1:6" hidden="1" x14ac:dyDescent="0.25">
      <c r="A1230" s="30" t="s">
        <v>114</v>
      </c>
      <c r="B1230" s="30">
        <v>2014</v>
      </c>
      <c r="C1230" s="30" t="s">
        <v>103</v>
      </c>
      <c r="D1230" s="30">
        <v>5</v>
      </c>
      <c r="E1230" s="30">
        <v>162.9</v>
      </c>
      <c r="F1230" s="30">
        <v>3.2</v>
      </c>
    </row>
    <row r="1231" spans="1:6" hidden="1" x14ac:dyDescent="0.25">
      <c r="A1231" s="30" t="s">
        <v>114</v>
      </c>
      <c r="B1231" s="30">
        <v>2014</v>
      </c>
      <c r="C1231" s="30" t="s">
        <v>104</v>
      </c>
      <c r="D1231" s="30">
        <v>6</v>
      </c>
      <c r="E1231" s="30">
        <v>76.3</v>
      </c>
      <c r="F1231" s="30">
        <v>24.7</v>
      </c>
    </row>
    <row r="1232" spans="1:6" hidden="1" x14ac:dyDescent="0.25">
      <c r="A1232" s="30" t="s">
        <v>114</v>
      </c>
      <c r="B1232" s="30">
        <v>2014</v>
      </c>
      <c r="C1232" s="30" t="s">
        <v>105</v>
      </c>
      <c r="D1232" s="30">
        <v>7</v>
      </c>
      <c r="E1232" s="30">
        <v>33.1</v>
      </c>
      <c r="F1232" s="30">
        <v>50.2</v>
      </c>
    </row>
    <row r="1233" spans="1:6" hidden="1" x14ac:dyDescent="0.25">
      <c r="A1233" s="30" t="s">
        <v>114</v>
      </c>
      <c r="B1233" s="30">
        <v>2014</v>
      </c>
      <c r="C1233" s="30" t="s">
        <v>106</v>
      </c>
      <c r="D1233" s="30">
        <v>8</v>
      </c>
      <c r="E1233" s="30">
        <v>59</v>
      </c>
      <c r="F1233" s="30">
        <v>24</v>
      </c>
    </row>
    <row r="1234" spans="1:6" hidden="1" x14ac:dyDescent="0.25">
      <c r="A1234" s="30" t="s">
        <v>114</v>
      </c>
      <c r="B1234" s="30">
        <v>2014</v>
      </c>
      <c r="C1234" s="30" t="s">
        <v>107</v>
      </c>
      <c r="D1234" s="30">
        <v>9</v>
      </c>
      <c r="E1234" s="30">
        <v>57.7</v>
      </c>
      <c r="F1234" s="30">
        <v>40.1</v>
      </c>
    </row>
    <row r="1235" spans="1:6" hidden="1" x14ac:dyDescent="0.25">
      <c r="A1235" s="30" t="s">
        <v>114</v>
      </c>
      <c r="B1235" s="30">
        <v>2014</v>
      </c>
      <c r="C1235" s="30" t="s">
        <v>108</v>
      </c>
      <c r="D1235" s="30">
        <v>10</v>
      </c>
      <c r="E1235" s="30">
        <v>104.7</v>
      </c>
      <c r="F1235" s="30">
        <v>10.4</v>
      </c>
    </row>
    <row r="1236" spans="1:6" hidden="1" x14ac:dyDescent="0.25">
      <c r="A1236" s="30" t="s">
        <v>114</v>
      </c>
      <c r="B1236" s="30">
        <v>2014</v>
      </c>
      <c r="C1236" s="30" t="s">
        <v>109</v>
      </c>
      <c r="D1236" s="30">
        <v>11</v>
      </c>
      <c r="E1236" s="30">
        <v>217.6</v>
      </c>
      <c r="F1236" s="30">
        <v>0.2</v>
      </c>
    </row>
    <row r="1237" spans="1:6" hidden="1" x14ac:dyDescent="0.25">
      <c r="A1237" s="30" t="s">
        <v>114</v>
      </c>
      <c r="B1237" s="30">
        <v>2014</v>
      </c>
      <c r="C1237" s="30" t="s">
        <v>110</v>
      </c>
      <c r="D1237" s="30">
        <v>12</v>
      </c>
      <c r="E1237" s="30">
        <v>317.89999999999998</v>
      </c>
      <c r="F1237" s="30">
        <v>0</v>
      </c>
    </row>
    <row r="1238" spans="1:6" hidden="1" x14ac:dyDescent="0.25">
      <c r="A1238" s="30" t="s">
        <v>115</v>
      </c>
      <c r="B1238" s="30">
        <v>2014</v>
      </c>
      <c r="C1238" s="30" t="s">
        <v>99</v>
      </c>
      <c r="D1238" s="30">
        <v>1</v>
      </c>
      <c r="E1238" s="30">
        <v>309</v>
      </c>
      <c r="F1238" s="30">
        <v>0</v>
      </c>
    </row>
    <row r="1239" spans="1:6" hidden="1" x14ac:dyDescent="0.25">
      <c r="A1239" s="30" t="s">
        <v>115</v>
      </c>
      <c r="B1239" s="30">
        <v>2014</v>
      </c>
      <c r="C1239" s="30" t="s">
        <v>100</v>
      </c>
      <c r="D1239" s="30">
        <v>2</v>
      </c>
      <c r="E1239" s="30">
        <v>270.7</v>
      </c>
      <c r="F1239" s="30">
        <v>0</v>
      </c>
    </row>
    <row r="1240" spans="1:6" hidden="1" x14ac:dyDescent="0.25">
      <c r="A1240" s="30" t="s">
        <v>115</v>
      </c>
      <c r="B1240" s="30">
        <v>2014</v>
      </c>
      <c r="C1240" s="30" t="s">
        <v>101</v>
      </c>
      <c r="D1240" s="30">
        <v>3</v>
      </c>
      <c r="E1240" s="30">
        <v>292.2</v>
      </c>
      <c r="F1240" s="30">
        <v>0.1</v>
      </c>
    </row>
    <row r="1241" spans="1:6" hidden="1" x14ac:dyDescent="0.25">
      <c r="A1241" s="30" t="s">
        <v>115</v>
      </c>
      <c r="B1241" s="30">
        <v>2014</v>
      </c>
      <c r="C1241" s="30" t="s">
        <v>102</v>
      </c>
      <c r="D1241" s="30">
        <v>4</v>
      </c>
      <c r="E1241" s="30">
        <v>198.3</v>
      </c>
      <c r="F1241" s="30">
        <v>0.5</v>
      </c>
    </row>
    <row r="1242" spans="1:6" hidden="1" x14ac:dyDescent="0.25">
      <c r="A1242" s="30" t="s">
        <v>115</v>
      </c>
      <c r="B1242" s="30">
        <v>2014</v>
      </c>
      <c r="C1242" s="30" t="s">
        <v>103</v>
      </c>
      <c r="D1242" s="30">
        <v>5</v>
      </c>
      <c r="E1242" s="30">
        <v>171.9</v>
      </c>
      <c r="F1242" s="30">
        <v>3.2</v>
      </c>
    </row>
    <row r="1243" spans="1:6" hidden="1" x14ac:dyDescent="0.25">
      <c r="A1243" s="30" t="s">
        <v>115</v>
      </c>
      <c r="B1243" s="30">
        <v>2014</v>
      </c>
      <c r="C1243" s="30" t="s">
        <v>104</v>
      </c>
      <c r="D1243" s="30">
        <v>6</v>
      </c>
      <c r="E1243" s="30">
        <v>69</v>
      </c>
      <c r="F1243" s="30">
        <v>37.5</v>
      </c>
    </row>
    <row r="1244" spans="1:6" hidden="1" x14ac:dyDescent="0.25">
      <c r="A1244" s="30" t="s">
        <v>115</v>
      </c>
      <c r="B1244" s="30">
        <v>2014</v>
      </c>
      <c r="C1244" s="30" t="s">
        <v>105</v>
      </c>
      <c r="D1244" s="30">
        <v>7</v>
      </c>
      <c r="E1244" s="30">
        <v>42.8</v>
      </c>
      <c r="F1244" s="30">
        <v>59.6</v>
      </c>
    </row>
    <row r="1245" spans="1:6" hidden="1" x14ac:dyDescent="0.25">
      <c r="A1245" s="30" t="s">
        <v>115</v>
      </c>
      <c r="B1245" s="30">
        <v>2014</v>
      </c>
      <c r="C1245" s="30" t="s">
        <v>106</v>
      </c>
      <c r="D1245" s="30">
        <v>8</v>
      </c>
      <c r="E1245" s="30">
        <v>69.099999999999994</v>
      </c>
      <c r="F1245" s="30">
        <v>22.2</v>
      </c>
    </row>
    <row r="1246" spans="1:6" hidden="1" x14ac:dyDescent="0.25">
      <c r="A1246" s="30" t="s">
        <v>115</v>
      </c>
      <c r="B1246" s="30">
        <v>2014</v>
      </c>
      <c r="C1246" s="30" t="s">
        <v>107</v>
      </c>
      <c r="D1246" s="30">
        <v>9</v>
      </c>
      <c r="E1246" s="30">
        <v>50.8</v>
      </c>
      <c r="F1246" s="30">
        <v>57.7</v>
      </c>
    </row>
    <row r="1247" spans="1:6" hidden="1" x14ac:dyDescent="0.25">
      <c r="A1247" s="30" t="s">
        <v>115</v>
      </c>
      <c r="B1247" s="30">
        <v>2014</v>
      </c>
      <c r="C1247" s="30" t="s">
        <v>108</v>
      </c>
      <c r="D1247" s="30">
        <v>10</v>
      </c>
      <c r="E1247" s="30">
        <v>106.2</v>
      </c>
      <c r="F1247" s="30">
        <v>8</v>
      </c>
    </row>
    <row r="1248" spans="1:6" hidden="1" x14ac:dyDescent="0.25">
      <c r="A1248" s="30" t="s">
        <v>115</v>
      </c>
      <c r="B1248" s="30">
        <v>2014</v>
      </c>
      <c r="C1248" s="30" t="s">
        <v>109</v>
      </c>
      <c r="D1248" s="30">
        <v>11</v>
      </c>
      <c r="E1248" s="30">
        <v>206.9</v>
      </c>
      <c r="F1248" s="30">
        <v>0</v>
      </c>
    </row>
    <row r="1249" spans="1:6" hidden="1" x14ac:dyDescent="0.25">
      <c r="A1249" s="30" t="s">
        <v>115</v>
      </c>
      <c r="B1249" s="30">
        <v>2014</v>
      </c>
      <c r="C1249" s="30" t="s">
        <v>110</v>
      </c>
      <c r="D1249" s="30">
        <v>12</v>
      </c>
      <c r="E1249" s="30">
        <v>307.3</v>
      </c>
      <c r="F1249" s="30">
        <v>0</v>
      </c>
    </row>
    <row r="1250" spans="1:6" x14ac:dyDescent="0.25">
      <c r="A1250" s="30" t="s">
        <v>116</v>
      </c>
      <c r="B1250" s="30">
        <v>2014</v>
      </c>
      <c r="C1250" s="30" t="s">
        <v>99</v>
      </c>
      <c r="D1250" s="30">
        <v>1</v>
      </c>
      <c r="E1250" s="30">
        <v>304.10000000000002</v>
      </c>
      <c r="F1250" s="30">
        <v>0</v>
      </c>
    </row>
    <row r="1251" spans="1:6" x14ac:dyDescent="0.25">
      <c r="A1251" s="30" t="s">
        <v>116</v>
      </c>
      <c r="B1251" s="30">
        <v>2014</v>
      </c>
      <c r="C1251" s="30" t="s">
        <v>100</v>
      </c>
      <c r="D1251" s="30">
        <v>2</v>
      </c>
      <c r="E1251" s="30">
        <v>263.89999999999998</v>
      </c>
      <c r="F1251" s="30">
        <v>0</v>
      </c>
    </row>
    <row r="1252" spans="1:6" x14ac:dyDescent="0.25">
      <c r="A1252" s="30" t="s">
        <v>116</v>
      </c>
      <c r="B1252" s="30">
        <v>2014</v>
      </c>
      <c r="C1252" s="30" t="s">
        <v>101</v>
      </c>
      <c r="D1252" s="30">
        <v>3</v>
      </c>
      <c r="E1252" s="30">
        <v>277.39999999999998</v>
      </c>
      <c r="F1252" s="30">
        <v>0</v>
      </c>
    </row>
    <row r="1253" spans="1:6" x14ac:dyDescent="0.25">
      <c r="A1253" s="30" t="s">
        <v>116</v>
      </c>
      <c r="B1253" s="30">
        <v>2014</v>
      </c>
      <c r="C1253" s="30" t="s">
        <v>102</v>
      </c>
      <c r="D1253" s="30">
        <v>4</v>
      </c>
      <c r="E1253" s="30">
        <v>180</v>
      </c>
      <c r="F1253" s="30">
        <v>0</v>
      </c>
    </row>
    <row r="1254" spans="1:6" x14ac:dyDescent="0.25">
      <c r="A1254" s="30" t="s">
        <v>116</v>
      </c>
      <c r="B1254" s="30">
        <v>2014</v>
      </c>
      <c r="C1254" s="30" t="s">
        <v>103</v>
      </c>
      <c r="D1254" s="30">
        <v>5</v>
      </c>
      <c r="E1254" s="30">
        <v>142.80000000000001</v>
      </c>
      <c r="F1254" s="30">
        <v>0</v>
      </c>
    </row>
    <row r="1255" spans="1:6" x14ac:dyDescent="0.25">
      <c r="A1255" s="30" t="s">
        <v>116</v>
      </c>
      <c r="B1255" s="30">
        <v>2014</v>
      </c>
      <c r="C1255" s="30" t="s">
        <v>104</v>
      </c>
      <c r="D1255" s="30">
        <v>6</v>
      </c>
      <c r="E1255" s="30">
        <v>31.8</v>
      </c>
      <c r="F1255" s="30">
        <v>25.8</v>
      </c>
    </row>
    <row r="1256" spans="1:6" x14ac:dyDescent="0.25">
      <c r="A1256" s="30" t="s">
        <v>116</v>
      </c>
      <c r="B1256" s="30">
        <v>2014</v>
      </c>
      <c r="C1256" s="30" t="s">
        <v>105</v>
      </c>
      <c r="D1256" s="30">
        <v>7</v>
      </c>
      <c r="E1256" s="30">
        <v>11.1</v>
      </c>
      <c r="F1256" s="30">
        <v>58.8</v>
      </c>
    </row>
    <row r="1257" spans="1:6" x14ac:dyDescent="0.25">
      <c r="A1257" s="30" t="s">
        <v>116</v>
      </c>
      <c r="B1257" s="30">
        <v>2014</v>
      </c>
      <c r="C1257" s="30" t="s">
        <v>106</v>
      </c>
      <c r="D1257" s="30">
        <v>8</v>
      </c>
      <c r="E1257" s="30">
        <v>42.9</v>
      </c>
      <c r="F1257" s="30">
        <v>13.3</v>
      </c>
    </row>
    <row r="1258" spans="1:6" x14ac:dyDescent="0.25">
      <c r="A1258" s="30" t="s">
        <v>116</v>
      </c>
      <c r="B1258" s="30">
        <v>2014</v>
      </c>
      <c r="C1258" s="30" t="s">
        <v>107</v>
      </c>
      <c r="D1258" s="30">
        <v>9</v>
      </c>
      <c r="E1258" s="30">
        <v>21.6</v>
      </c>
      <c r="F1258" s="30">
        <v>42.4</v>
      </c>
    </row>
    <row r="1259" spans="1:6" x14ac:dyDescent="0.25">
      <c r="A1259" s="30" t="s">
        <v>116</v>
      </c>
      <c r="B1259" s="30">
        <v>2014</v>
      </c>
      <c r="C1259" s="30" t="s">
        <v>108</v>
      </c>
      <c r="D1259" s="30">
        <v>10</v>
      </c>
      <c r="E1259" s="30">
        <v>97.8</v>
      </c>
      <c r="F1259" s="30">
        <v>2.2999999999999998</v>
      </c>
    </row>
    <row r="1260" spans="1:6" x14ac:dyDescent="0.25">
      <c r="A1260" s="30" t="s">
        <v>116</v>
      </c>
      <c r="B1260" s="30">
        <v>2014</v>
      </c>
      <c r="C1260" s="30" t="s">
        <v>109</v>
      </c>
      <c r="D1260" s="30">
        <v>11</v>
      </c>
      <c r="E1260" s="30">
        <v>199.3</v>
      </c>
      <c r="F1260" s="30">
        <v>0</v>
      </c>
    </row>
    <row r="1261" spans="1:6" x14ac:dyDescent="0.25">
      <c r="A1261" s="30" t="s">
        <v>116</v>
      </c>
      <c r="B1261" s="30">
        <v>2014</v>
      </c>
      <c r="C1261" s="30" t="s">
        <v>110</v>
      </c>
      <c r="D1261" s="30">
        <v>12</v>
      </c>
      <c r="E1261" s="30">
        <v>317.2</v>
      </c>
      <c r="F1261" s="30">
        <v>0</v>
      </c>
    </row>
    <row r="1262" spans="1:6" hidden="1" x14ac:dyDescent="0.25">
      <c r="A1262" s="30" t="s">
        <v>98</v>
      </c>
      <c r="B1262" s="30">
        <v>2015</v>
      </c>
      <c r="C1262" s="30" t="s">
        <v>99</v>
      </c>
      <c r="D1262" s="30">
        <v>1</v>
      </c>
      <c r="E1262" s="30">
        <v>354.8</v>
      </c>
      <c r="F1262" s="30">
        <v>0</v>
      </c>
    </row>
    <row r="1263" spans="1:6" hidden="1" x14ac:dyDescent="0.25">
      <c r="A1263" s="30" t="s">
        <v>98</v>
      </c>
      <c r="B1263" s="30">
        <v>2015</v>
      </c>
      <c r="C1263" s="30" t="s">
        <v>100</v>
      </c>
      <c r="D1263" s="30">
        <v>2</v>
      </c>
      <c r="E1263" s="30">
        <v>357.9</v>
      </c>
      <c r="F1263" s="30">
        <v>0</v>
      </c>
    </row>
    <row r="1264" spans="1:6" hidden="1" x14ac:dyDescent="0.25">
      <c r="A1264" s="30" t="s">
        <v>98</v>
      </c>
      <c r="B1264" s="30">
        <v>2015</v>
      </c>
      <c r="C1264" s="30" t="s">
        <v>101</v>
      </c>
      <c r="D1264" s="30">
        <v>3</v>
      </c>
      <c r="E1264" s="30">
        <v>312.8</v>
      </c>
      <c r="F1264" s="30">
        <v>0</v>
      </c>
    </row>
    <row r="1265" spans="1:6" hidden="1" x14ac:dyDescent="0.25">
      <c r="A1265" s="30" t="s">
        <v>98</v>
      </c>
      <c r="B1265" s="30">
        <v>2015</v>
      </c>
      <c r="C1265" s="30" t="s">
        <v>102</v>
      </c>
      <c r="D1265" s="30">
        <v>4</v>
      </c>
      <c r="E1265" s="30">
        <v>216.9</v>
      </c>
      <c r="F1265" s="30">
        <v>4.2</v>
      </c>
    </row>
    <row r="1266" spans="1:6" hidden="1" x14ac:dyDescent="0.25">
      <c r="A1266" s="30" t="s">
        <v>98</v>
      </c>
      <c r="B1266" s="30">
        <v>2015</v>
      </c>
      <c r="C1266" s="30" t="s">
        <v>103</v>
      </c>
      <c r="D1266" s="30">
        <v>5</v>
      </c>
      <c r="E1266" s="30">
        <v>174.4</v>
      </c>
      <c r="F1266" s="30">
        <v>1.5</v>
      </c>
    </row>
    <row r="1267" spans="1:6" hidden="1" x14ac:dyDescent="0.25">
      <c r="A1267" s="30" t="s">
        <v>98</v>
      </c>
      <c r="B1267" s="30">
        <v>2015</v>
      </c>
      <c r="C1267" s="30" t="s">
        <v>104</v>
      </c>
      <c r="D1267" s="30">
        <v>6</v>
      </c>
      <c r="E1267" s="30">
        <v>99.1</v>
      </c>
      <c r="F1267" s="30">
        <v>24.2</v>
      </c>
    </row>
    <row r="1268" spans="1:6" hidden="1" x14ac:dyDescent="0.25">
      <c r="A1268" s="30" t="s">
        <v>98</v>
      </c>
      <c r="B1268" s="30">
        <v>2015</v>
      </c>
      <c r="C1268" s="30" t="s">
        <v>105</v>
      </c>
      <c r="D1268" s="30">
        <v>7</v>
      </c>
      <c r="E1268" s="30">
        <v>53.9</v>
      </c>
      <c r="F1268" s="30">
        <v>44.3</v>
      </c>
    </row>
    <row r="1269" spans="1:6" hidden="1" x14ac:dyDescent="0.25">
      <c r="A1269" s="30" t="s">
        <v>98</v>
      </c>
      <c r="B1269" s="30">
        <v>2015</v>
      </c>
      <c r="C1269" s="30" t="s">
        <v>106</v>
      </c>
      <c r="D1269" s="30">
        <v>8</v>
      </c>
      <c r="E1269" s="30">
        <v>63.5</v>
      </c>
      <c r="F1269" s="30">
        <v>28.1</v>
      </c>
    </row>
    <row r="1270" spans="1:6" hidden="1" x14ac:dyDescent="0.25">
      <c r="A1270" s="30" t="s">
        <v>98</v>
      </c>
      <c r="B1270" s="30">
        <v>2015</v>
      </c>
      <c r="C1270" s="30" t="s">
        <v>107</v>
      </c>
      <c r="D1270" s="30">
        <v>9</v>
      </c>
      <c r="E1270" s="30">
        <v>129.69999999999999</v>
      </c>
      <c r="F1270" s="30">
        <v>2.5</v>
      </c>
    </row>
    <row r="1271" spans="1:6" hidden="1" x14ac:dyDescent="0.25">
      <c r="A1271" s="30" t="s">
        <v>98</v>
      </c>
      <c r="B1271" s="30">
        <v>2015</v>
      </c>
      <c r="C1271" s="30" t="s">
        <v>108</v>
      </c>
      <c r="D1271" s="30">
        <v>10</v>
      </c>
      <c r="E1271" s="30">
        <v>181.1</v>
      </c>
      <c r="F1271" s="30">
        <v>0.4</v>
      </c>
    </row>
    <row r="1272" spans="1:6" hidden="1" x14ac:dyDescent="0.25">
      <c r="A1272" s="30" t="s">
        <v>98</v>
      </c>
      <c r="B1272" s="30">
        <v>2015</v>
      </c>
      <c r="C1272" s="30" t="s">
        <v>109</v>
      </c>
      <c r="D1272" s="30">
        <v>11</v>
      </c>
      <c r="E1272" s="30">
        <v>184</v>
      </c>
      <c r="F1272" s="30">
        <v>0.6</v>
      </c>
    </row>
    <row r="1273" spans="1:6" hidden="1" x14ac:dyDescent="0.25">
      <c r="A1273" s="30" t="s">
        <v>98</v>
      </c>
      <c r="B1273" s="30">
        <v>2015</v>
      </c>
      <c r="C1273" s="30" t="s">
        <v>110</v>
      </c>
      <c r="D1273" s="30">
        <v>12</v>
      </c>
      <c r="E1273" s="30">
        <v>210.5</v>
      </c>
      <c r="F1273" s="30">
        <v>0</v>
      </c>
    </row>
    <row r="1274" spans="1:6" hidden="1" x14ac:dyDescent="0.25">
      <c r="A1274" s="30" t="s">
        <v>111</v>
      </c>
      <c r="B1274" s="30">
        <v>2015</v>
      </c>
      <c r="C1274" s="30" t="s">
        <v>99</v>
      </c>
      <c r="D1274" s="30">
        <v>1</v>
      </c>
      <c r="E1274" s="30">
        <v>329.7</v>
      </c>
      <c r="F1274" s="30">
        <v>0</v>
      </c>
    </row>
    <row r="1275" spans="1:6" hidden="1" x14ac:dyDescent="0.25">
      <c r="A1275" s="30" t="s">
        <v>111</v>
      </c>
      <c r="B1275" s="30">
        <v>2015</v>
      </c>
      <c r="C1275" s="30" t="s">
        <v>100</v>
      </c>
      <c r="D1275" s="30">
        <v>2</v>
      </c>
      <c r="E1275" s="30">
        <v>341.1</v>
      </c>
      <c r="F1275" s="30">
        <v>0</v>
      </c>
    </row>
    <row r="1276" spans="1:6" hidden="1" x14ac:dyDescent="0.25">
      <c r="A1276" s="30" t="s">
        <v>111</v>
      </c>
      <c r="B1276" s="30">
        <v>2015</v>
      </c>
      <c r="C1276" s="30" t="s">
        <v>101</v>
      </c>
      <c r="D1276" s="30">
        <v>3</v>
      </c>
      <c r="E1276" s="30">
        <v>296.5</v>
      </c>
      <c r="F1276" s="30">
        <v>0</v>
      </c>
    </row>
    <row r="1277" spans="1:6" hidden="1" x14ac:dyDescent="0.25">
      <c r="A1277" s="30" t="s">
        <v>111</v>
      </c>
      <c r="B1277" s="30">
        <v>2015</v>
      </c>
      <c r="C1277" s="30" t="s">
        <v>102</v>
      </c>
      <c r="D1277" s="30">
        <v>4</v>
      </c>
      <c r="E1277" s="30">
        <v>194.2</v>
      </c>
      <c r="F1277" s="30">
        <v>7.5</v>
      </c>
    </row>
    <row r="1278" spans="1:6" hidden="1" x14ac:dyDescent="0.25">
      <c r="A1278" s="30" t="s">
        <v>111</v>
      </c>
      <c r="B1278" s="30">
        <v>2015</v>
      </c>
      <c r="C1278" s="30" t="s">
        <v>103</v>
      </c>
      <c r="D1278" s="30">
        <v>5</v>
      </c>
      <c r="E1278" s="30">
        <v>172.6</v>
      </c>
      <c r="F1278" s="30">
        <v>0.3</v>
      </c>
    </row>
    <row r="1279" spans="1:6" hidden="1" x14ac:dyDescent="0.25">
      <c r="A1279" s="30" t="s">
        <v>111</v>
      </c>
      <c r="B1279" s="30">
        <v>2015</v>
      </c>
      <c r="C1279" s="30" t="s">
        <v>104</v>
      </c>
      <c r="D1279" s="30">
        <v>6</v>
      </c>
      <c r="E1279" s="30">
        <v>101.1</v>
      </c>
      <c r="F1279" s="30">
        <v>19</v>
      </c>
    </row>
    <row r="1280" spans="1:6" hidden="1" x14ac:dyDescent="0.25">
      <c r="A1280" s="30" t="s">
        <v>111</v>
      </c>
      <c r="B1280" s="30">
        <v>2015</v>
      </c>
      <c r="C1280" s="30" t="s">
        <v>105</v>
      </c>
      <c r="D1280" s="30">
        <v>7</v>
      </c>
      <c r="E1280" s="30">
        <v>52.1</v>
      </c>
      <c r="F1280" s="30">
        <v>25.2</v>
      </c>
    </row>
    <row r="1281" spans="1:6" hidden="1" x14ac:dyDescent="0.25">
      <c r="A1281" s="30" t="s">
        <v>111</v>
      </c>
      <c r="B1281" s="30">
        <v>2015</v>
      </c>
      <c r="C1281" s="30" t="s">
        <v>106</v>
      </c>
      <c r="D1281" s="30">
        <v>8</v>
      </c>
      <c r="E1281" s="30">
        <v>68.5</v>
      </c>
      <c r="F1281" s="30">
        <v>17</v>
      </c>
    </row>
    <row r="1282" spans="1:6" hidden="1" x14ac:dyDescent="0.25">
      <c r="A1282" s="30" t="s">
        <v>111</v>
      </c>
      <c r="B1282" s="30">
        <v>2015</v>
      </c>
      <c r="C1282" s="30" t="s">
        <v>107</v>
      </c>
      <c r="D1282" s="30">
        <v>9</v>
      </c>
      <c r="E1282" s="30">
        <v>122.2</v>
      </c>
      <c r="F1282" s="30">
        <v>6</v>
      </c>
    </row>
    <row r="1283" spans="1:6" hidden="1" x14ac:dyDescent="0.25">
      <c r="A1283" s="30" t="s">
        <v>111</v>
      </c>
      <c r="B1283" s="30">
        <v>2015</v>
      </c>
      <c r="C1283" s="30" t="s">
        <v>108</v>
      </c>
      <c r="D1283" s="30">
        <v>10</v>
      </c>
      <c r="E1283" s="30">
        <v>171.6</v>
      </c>
      <c r="F1283" s="30">
        <v>1.3</v>
      </c>
    </row>
    <row r="1284" spans="1:6" hidden="1" x14ac:dyDescent="0.25">
      <c r="A1284" s="30" t="s">
        <v>111</v>
      </c>
      <c r="B1284" s="30">
        <v>2015</v>
      </c>
      <c r="C1284" s="30" t="s">
        <v>109</v>
      </c>
      <c r="D1284" s="30">
        <v>11</v>
      </c>
      <c r="E1284" s="30">
        <v>178.2</v>
      </c>
      <c r="F1284" s="30">
        <v>0.8</v>
      </c>
    </row>
    <row r="1285" spans="1:6" hidden="1" x14ac:dyDescent="0.25">
      <c r="A1285" s="30" t="s">
        <v>111</v>
      </c>
      <c r="B1285" s="30">
        <v>2015</v>
      </c>
      <c r="C1285" s="30" t="s">
        <v>110</v>
      </c>
      <c r="D1285" s="30">
        <v>12</v>
      </c>
      <c r="E1285" s="30">
        <v>184.5</v>
      </c>
      <c r="F1285" s="30">
        <v>0</v>
      </c>
    </row>
    <row r="1286" spans="1:6" hidden="1" x14ac:dyDescent="0.25">
      <c r="A1286" s="30" t="s">
        <v>112</v>
      </c>
      <c r="B1286" s="30">
        <v>2015</v>
      </c>
      <c r="C1286" s="30" t="s">
        <v>99</v>
      </c>
      <c r="D1286" s="30">
        <v>1</v>
      </c>
      <c r="E1286" s="30">
        <v>333</v>
      </c>
      <c r="F1286" s="30">
        <v>0</v>
      </c>
    </row>
    <row r="1287" spans="1:6" hidden="1" x14ac:dyDescent="0.25">
      <c r="A1287" s="30" t="s">
        <v>112</v>
      </c>
      <c r="B1287" s="30">
        <v>2015</v>
      </c>
      <c r="C1287" s="30" t="s">
        <v>100</v>
      </c>
      <c r="D1287" s="30">
        <v>2</v>
      </c>
      <c r="E1287" s="30">
        <v>339.5</v>
      </c>
      <c r="F1287" s="30">
        <v>0</v>
      </c>
    </row>
    <row r="1288" spans="1:6" hidden="1" x14ac:dyDescent="0.25">
      <c r="A1288" s="30" t="s">
        <v>112</v>
      </c>
      <c r="B1288" s="30">
        <v>2015</v>
      </c>
      <c r="C1288" s="30" t="s">
        <v>101</v>
      </c>
      <c r="D1288" s="30">
        <v>3</v>
      </c>
      <c r="E1288" s="30">
        <v>291</v>
      </c>
      <c r="F1288" s="30">
        <v>0</v>
      </c>
    </row>
    <row r="1289" spans="1:6" hidden="1" x14ac:dyDescent="0.25">
      <c r="A1289" s="30" t="s">
        <v>112</v>
      </c>
      <c r="B1289" s="30">
        <v>2015</v>
      </c>
      <c r="C1289" s="30" t="s">
        <v>102</v>
      </c>
      <c r="D1289" s="30">
        <v>4</v>
      </c>
      <c r="E1289" s="30">
        <v>186.5</v>
      </c>
      <c r="F1289" s="30">
        <v>7.3</v>
      </c>
    </row>
    <row r="1290" spans="1:6" hidden="1" x14ac:dyDescent="0.25">
      <c r="A1290" s="30" t="s">
        <v>112</v>
      </c>
      <c r="B1290" s="30">
        <v>2015</v>
      </c>
      <c r="C1290" s="30" t="s">
        <v>103</v>
      </c>
      <c r="D1290" s="30">
        <v>5</v>
      </c>
      <c r="E1290" s="30">
        <v>172.3</v>
      </c>
      <c r="F1290" s="30">
        <v>1.7</v>
      </c>
    </row>
    <row r="1291" spans="1:6" hidden="1" x14ac:dyDescent="0.25">
      <c r="A1291" s="30" t="s">
        <v>112</v>
      </c>
      <c r="B1291" s="30">
        <v>2015</v>
      </c>
      <c r="C1291" s="30" t="s">
        <v>104</v>
      </c>
      <c r="D1291" s="30">
        <v>6</v>
      </c>
      <c r="E1291" s="30">
        <v>89.8</v>
      </c>
      <c r="F1291" s="30">
        <v>27.5</v>
      </c>
    </row>
    <row r="1292" spans="1:6" hidden="1" x14ac:dyDescent="0.25">
      <c r="A1292" s="30" t="s">
        <v>112</v>
      </c>
      <c r="B1292" s="30">
        <v>2015</v>
      </c>
      <c r="C1292" s="30" t="s">
        <v>105</v>
      </c>
      <c r="D1292" s="30">
        <v>7</v>
      </c>
      <c r="E1292" s="30">
        <v>51.8</v>
      </c>
      <c r="F1292" s="30">
        <v>32.1</v>
      </c>
    </row>
    <row r="1293" spans="1:6" hidden="1" x14ac:dyDescent="0.25">
      <c r="A1293" s="30" t="s">
        <v>112</v>
      </c>
      <c r="B1293" s="30">
        <v>2015</v>
      </c>
      <c r="C1293" s="30" t="s">
        <v>106</v>
      </c>
      <c r="D1293" s="30">
        <v>8</v>
      </c>
      <c r="E1293" s="30">
        <v>64.8</v>
      </c>
      <c r="F1293" s="30">
        <v>26.9</v>
      </c>
    </row>
    <row r="1294" spans="1:6" hidden="1" x14ac:dyDescent="0.25">
      <c r="A1294" s="30" t="s">
        <v>112</v>
      </c>
      <c r="B1294" s="30">
        <v>2015</v>
      </c>
      <c r="C1294" s="30" t="s">
        <v>107</v>
      </c>
      <c r="D1294" s="30">
        <v>9</v>
      </c>
      <c r="E1294" s="30">
        <v>114.1</v>
      </c>
      <c r="F1294" s="30">
        <v>6.8</v>
      </c>
    </row>
    <row r="1295" spans="1:6" hidden="1" x14ac:dyDescent="0.25">
      <c r="A1295" s="30" t="s">
        <v>112</v>
      </c>
      <c r="B1295" s="30">
        <v>2015</v>
      </c>
      <c r="C1295" s="30" t="s">
        <v>108</v>
      </c>
      <c r="D1295" s="30">
        <v>10</v>
      </c>
      <c r="E1295" s="30">
        <v>166.2</v>
      </c>
      <c r="F1295" s="30">
        <v>0.8</v>
      </c>
    </row>
    <row r="1296" spans="1:6" hidden="1" x14ac:dyDescent="0.25">
      <c r="A1296" s="30" t="s">
        <v>112</v>
      </c>
      <c r="B1296" s="30">
        <v>2015</v>
      </c>
      <c r="C1296" s="30" t="s">
        <v>109</v>
      </c>
      <c r="D1296" s="30">
        <v>11</v>
      </c>
      <c r="E1296" s="30">
        <v>176.8</v>
      </c>
      <c r="F1296" s="30">
        <v>0.1</v>
      </c>
    </row>
    <row r="1297" spans="1:6" hidden="1" x14ac:dyDescent="0.25">
      <c r="A1297" s="30" t="s">
        <v>112</v>
      </c>
      <c r="B1297" s="30">
        <v>2015</v>
      </c>
      <c r="C1297" s="30" t="s">
        <v>110</v>
      </c>
      <c r="D1297" s="30">
        <v>12</v>
      </c>
      <c r="E1297" s="30">
        <v>190.9</v>
      </c>
      <c r="F1297" s="30">
        <v>0</v>
      </c>
    </row>
    <row r="1298" spans="1:6" hidden="1" x14ac:dyDescent="0.25">
      <c r="A1298" s="30" t="s">
        <v>113</v>
      </c>
      <c r="B1298" s="30">
        <v>2015</v>
      </c>
      <c r="C1298" s="30" t="s">
        <v>99</v>
      </c>
      <c r="D1298" s="30">
        <v>1</v>
      </c>
      <c r="E1298" s="30">
        <v>366.4</v>
      </c>
      <c r="F1298" s="30">
        <v>0</v>
      </c>
    </row>
    <row r="1299" spans="1:6" hidden="1" x14ac:dyDescent="0.25">
      <c r="A1299" s="30" t="s">
        <v>113</v>
      </c>
      <c r="B1299" s="30">
        <v>2015</v>
      </c>
      <c r="C1299" s="30" t="s">
        <v>100</v>
      </c>
      <c r="D1299" s="30">
        <v>2</v>
      </c>
      <c r="E1299" s="30">
        <v>363.7</v>
      </c>
      <c r="F1299" s="30">
        <v>0</v>
      </c>
    </row>
    <row r="1300" spans="1:6" hidden="1" x14ac:dyDescent="0.25">
      <c r="A1300" s="30" t="s">
        <v>113</v>
      </c>
      <c r="B1300" s="30">
        <v>2015</v>
      </c>
      <c r="C1300" s="30" t="s">
        <v>101</v>
      </c>
      <c r="D1300" s="30">
        <v>3</v>
      </c>
      <c r="E1300" s="30">
        <v>299</v>
      </c>
      <c r="F1300" s="30">
        <v>0</v>
      </c>
    </row>
    <row r="1301" spans="1:6" hidden="1" x14ac:dyDescent="0.25">
      <c r="A1301" s="30" t="s">
        <v>113</v>
      </c>
      <c r="B1301" s="30">
        <v>2015</v>
      </c>
      <c r="C1301" s="30" t="s">
        <v>102</v>
      </c>
      <c r="D1301" s="30">
        <v>4</v>
      </c>
      <c r="E1301" s="30">
        <v>182.2</v>
      </c>
      <c r="F1301" s="30">
        <v>11.2</v>
      </c>
    </row>
    <row r="1302" spans="1:6" hidden="1" x14ac:dyDescent="0.25">
      <c r="A1302" s="30" t="s">
        <v>113</v>
      </c>
      <c r="B1302" s="30">
        <v>2015</v>
      </c>
      <c r="C1302" s="30" t="s">
        <v>103</v>
      </c>
      <c r="D1302" s="30">
        <v>5</v>
      </c>
      <c r="E1302" s="30">
        <v>143.19999999999999</v>
      </c>
      <c r="F1302" s="30">
        <v>6.8</v>
      </c>
    </row>
    <row r="1303" spans="1:6" hidden="1" x14ac:dyDescent="0.25">
      <c r="A1303" s="30" t="s">
        <v>113</v>
      </c>
      <c r="B1303" s="30">
        <v>2015</v>
      </c>
      <c r="C1303" s="30" t="s">
        <v>104</v>
      </c>
      <c r="D1303" s="30">
        <v>6</v>
      </c>
      <c r="E1303" s="30">
        <v>73.599999999999994</v>
      </c>
      <c r="F1303" s="30">
        <v>49.1</v>
      </c>
    </row>
    <row r="1304" spans="1:6" hidden="1" x14ac:dyDescent="0.25">
      <c r="A1304" s="30" t="s">
        <v>113</v>
      </c>
      <c r="B1304" s="30">
        <v>2015</v>
      </c>
      <c r="C1304" s="30" t="s">
        <v>105</v>
      </c>
      <c r="D1304" s="30">
        <v>7</v>
      </c>
      <c r="E1304" s="30">
        <v>40.6</v>
      </c>
      <c r="F1304" s="30">
        <v>85.7</v>
      </c>
    </row>
    <row r="1305" spans="1:6" hidden="1" x14ac:dyDescent="0.25">
      <c r="A1305" s="30" t="s">
        <v>113</v>
      </c>
      <c r="B1305" s="30">
        <v>2015</v>
      </c>
      <c r="C1305" s="30" t="s">
        <v>106</v>
      </c>
      <c r="D1305" s="30">
        <v>8</v>
      </c>
      <c r="E1305" s="30">
        <v>48.2</v>
      </c>
      <c r="F1305" s="30">
        <v>79.400000000000006</v>
      </c>
    </row>
    <row r="1306" spans="1:6" hidden="1" x14ac:dyDescent="0.25">
      <c r="A1306" s="30" t="s">
        <v>113</v>
      </c>
      <c r="B1306" s="30">
        <v>2015</v>
      </c>
      <c r="C1306" s="30" t="s">
        <v>107</v>
      </c>
      <c r="D1306" s="30">
        <v>9</v>
      </c>
      <c r="E1306" s="30">
        <v>108.9</v>
      </c>
      <c r="F1306" s="30">
        <v>14.2</v>
      </c>
    </row>
    <row r="1307" spans="1:6" hidden="1" x14ac:dyDescent="0.25">
      <c r="A1307" s="30" t="s">
        <v>113</v>
      </c>
      <c r="B1307" s="30">
        <v>2015</v>
      </c>
      <c r="C1307" s="30" t="s">
        <v>108</v>
      </c>
      <c r="D1307" s="30">
        <v>10</v>
      </c>
      <c r="E1307" s="30">
        <v>176.3</v>
      </c>
      <c r="F1307" s="30">
        <v>1.3</v>
      </c>
    </row>
    <row r="1308" spans="1:6" hidden="1" x14ac:dyDescent="0.25">
      <c r="A1308" s="30" t="s">
        <v>113</v>
      </c>
      <c r="B1308" s="30">
        <v>2015</v>
      </c>
      <c r="C1308" s="30" t="s">
        <v>109</v>
      </c>
      <c r="D1308" s="30">
        <v>11</v>
      </c>
      <c r="E1308" s="30">
        <v>181.1</v>
      </c>
      <c r="F1308" s="30">
        <v>2</v>
      </c>
    </row>
    <row r="1309" spans="1:6" hidden="1" x14ac:dyDescent="0.25">
      <c r="A1309" s="30" t="s">
        <v>113</v>
      </c>
      <c r="B1309" s="30">
        <v>2015</v>
      </c>
      <c r="C1309" s="30" t="s">
        <v>110</v>
      </c>
      <c r="D1309" s="30">
        <v>12</v>
      </c>
      <c r="E1309" s="30">
        <v>234.6</v>
      </c>
      <c r="F1309" s="30">
        <v>0</v>
      </c>
    </row>
    <row r="1310" spans="1:6" hidden="1" x14ac:dyDescent="0.25">
      <c r="A1310" s="30" t="s">
        <v>114</v>
      </c>
      <c r="B1310" s="30">
        <v>2015</v>
      </c>
      <c r="C1310" s="30" t="s">
        <v>99</v>
      </c>
      <c r="D1310" s="30">
        <v>1</v>
      </c>
      <c r="E1310" s="30">
        <v>345.3</v>
      </c>
      <c r="F1310" s="30">
        <v>0</v>
      </c>
    </row>
    <row r="1311" spans="1:6" hidden="1" x14ac:dyDescent="0.25">
      <c r="A1311" s="30" t="s">
        <v>114</v>
      </c>
      <c r="B1311" s="30">
        <v>2015</v>
      </c>
      <c r="C1311" s="30" t="s">
        <v>100</v>
      </c>
      <c r="D1311" s="30">
        <v>2</v>
      </c>
      <c r="E1311" s="30">
        <v>349.4</v>
      </c>
      <c r="F1311" s="30">
        <v>0</v>
      </c>
    </row>
    <row r="1312" spans="1:6" hidden="1" x14ac:dyDescent="0.25">
      <c r="A1312" s="30" t="s">
        <v>114</v>
      </c>
      <c r="B1312" s="30">
        <v>2015</v>
      </c>
      <c r="C1312" s="30" t="s">
        <v>101</v>
      </c>
      <c r="D1312" s="30">
        <v>3</v>
      </c>
      <c r="E1312" s="30">
        <v>304.39999999999998</v>
      </c>
      <c r="F1312" s="30">
        <v>0</v>
      </c>
    </row>
    <row r="1313" spans="1:6" hidden="1" x14ac:dyDescent="0.25">
      <c r="A1313" s="30" t="s">
        <v>114</v>
      </c>
      <c r="B1313" s="30">
        <v>2015</v>
      </c>
      <c r="C1313" s="30" t="s">
        <v>102</v>
      </c>
      <c r="D1313" s="30">
        <v>4</v>
      </c>
      <c r="E1313" s="30">
        <v>195.9</v>
      </c>
      <c r="F1313" s="30">
        <v>6.7</v>
      </c>
    </row>
    <row r="1314" spans="1:6" hidden="1" x14ac:dyDescent="0.25">
      <c r="A1314" s="30" t="s">
        <v>114</v>
      </c>
      <c r="B1314" s="30">
        <v>2015</v>
      </c>
      <c r="C1314" s="30" t="s">
        <v>103</v>
      </c>
      <c r="D1314" s="30">
        <v>5</v>
      </c>
      <c r="E1314" s="30">
        <v>159.9</v>
      </c>
      <c r="F1314" s="30">
        <v>2.1</v>
      </c>
    </row>
    <row r="1315" spans="1:6" hidden="1" x14ac:dyDescent="0.25">
      <c r="A1315" s="30" t="s">
        <v>114</v>
      </c>
      <c r="B1315" s="30">
        <v>2015</v>
      </c>
      <c r="C1315" s="30" t="s">
        <v>104</v>
      </c>
      <c r="D1315" s="30">
        <v>6</v>
      </c>
      <c r="E1315" s="30">
        <v>87.4</v>
      </c>
      <c r="F1315" s="30">
        <v>26.8</v>
      </c>
    </row>
    <row r="1316" spans="1:6" hidden="1" x14ac:dyDescent="0.25">
      <c r="A1316" s="30" t="s">
        <v>114</v>
      </c>
      <c r="B1316" s="30">
        <v>2015</v>
      </c>
      <c r="C1316" s="30" t="s">
        <v>105</v>
      </c>
      <c r="D1316" s="30">
        <v>7</v>
      </c>
      <c r="E1316" s="30">
        <v>46.7</v>
      </c>
      <c r="F1316" s="30">
        <v>56.1</v>
      </c>
    </row>
    <row r="1317" spans="1:6" hidden="1" x14ac:dyDescent="0.25">
      <c r="A1317" s="30" t="s">
        <v>114</v>
      </c>
      <c r="B1317" s="30">
        <v>2015</v>
      </c>
      <c r="C1317" s="30" t="s">
        <v>106</v>
      </c>
      <c r="D1317" s="30">
        <v>8</v>
      </c>
      <c r="E1317" s="30">
        <v>54</v>
      </c>
      <c r="F1317" s="30">
        <v>40.9</v>
      </c>
    </row>
    <row r="1318" spans="1:6" hidden="1" x14ac:dyDescent="0.25">
      <c r="A1318" s="30" t="s">
        <v>114</v>
      </c>
      <c r="B1318" s="30">
        <v>2015</v>
      </c>
      <c r="C1318" s="30" t="s">
        <v>107</v>
      </c>
      <c r="D1318" s="30">
        <v>9</v>
      </c>
      <c r="E1318" s="30">
        <v>110.6</v>
      </c>
      <c r="F1318" s="30">
        <v>6.7</v>
      </c>
    </row>
    <row r="1319" spans="1:6" hidden="1" x14ac:dyDescent="0.25">
      <c r="A1319" s="30" t="s">
        <v>114</v>
      </c>
      <c r="B1319" s="30">
        <v>2015</v>
      </c>
      <c r="C1319" s="30" t="s">
        <v>108</v>
      </c>
      <c r="D1319" s="30">
        <v>10</v>
      </c>
      <c r="E1319" s="30">
        <v>168.4</v>
      </c>
      <c r="F1319" s="30">
        <v>0.7</v>
      </c>
    </row>
    <row r="1320" spans="1:6" hidden="1" x14ac:dyDescent="0.25">
      <c r="A1320" s="30" t="s">
        <v>114</v>
      </c>
      <c r="B1320" s="30">
        <v>2015</v>
      </c>
      <c r="C1320" s="30" t="s">
        <v>109</v>
      </c>
      <c r="D1320" s="30">
        <v>11</v>
      </c>
      <c r="E1320" s="30">
        <v>175.6</v>
      </c>
      <c r="F1320" s="30">
        <v>1.4</v>
      </c>
    </row>
    <row r="1321" spans="1:6" hidden="1" x14ac:dyDescent="0.25">
      <c r="A1321" s="30" t="s">
        <v>114</v>
      </c>
      <c r="B1321" s="30">
        <v>2015</v>
      </c>
      <c r="C1321" s="30" t="s">
        <v>110</v>
      </c>
      <c r="D1321" s="30">
        <v>12</v>
      </c>
      <c r="E1321" s="30">
        <v>214.7</v>
      </c>
      <c r="F1321" s="30">
        <v>0</v>
      </c>
    </row>
    <row r="1322" spans="1:6" hidden="1" x14ac:dyDescent="0.25">
      <c r="A1322" s="30" t="s">
        <v>115</v>
      </c>
      <c r="B1322" s="30">
        <v>2015</v>
      </c>
      <c r="C1322" s="30" t="s">
        <v>99</v>
      </c>
      <c r="D1322" s="30">
        <v>1</v>
      </c>
      <c r="E1322" s="30">
        <v>339.9</v>
      </c>
      <c r="F1322" s="30">
        <v>0</v>
      </c>
    </row>
    <row r="1323" spans="1:6" hidden="1" x14ac:dyDescent="0.25">
      <c r="A1323" s="30" t="s">
        <v>115</v>
      </c>
      <c r="B1323" s="30">
        <v>2015</v>
      </c>
      <c r="C1323" s="30" t="s">
        <v>100</v>
      </c>
      <c r="D1323" s="30">
        <v>2</v>
      </c>
      <c r="E1323" s="30">
        <v>345.9</v>
      </c>
      <c r="F1323" s="30">
        <v>0</v>
      </c>
    </row>
    <row r="1324" spans="1:6" hidden="1" x14ac:dyDescent="0.25">
      <c r="A1324" s="30" t="s">
        <v>115</v>
      </c>
      <c r="B1324" s="30">
        <v>2015</v>
      </c>
      <c r="C1324" s="30" t="s">
        <v>101</v>
      </c>
      <c r="D1324" s="30">
        <v>3</v>
      </c>
      <c r="E1324" s="30">
        <v>296.89999999999998</v>
      </c>
      <c r="F1324" s="30">
        <v>0</v>
      </c>
    </row>
    <row r="1325" spans="1:6" hidden="1" x14ac:dyDescent="0.25">
      <c r="A1325" s="30" t="s">
        <v>115</v>
      </c>
      <c r="B1325" s="30">
        <v>2015</v>
      </c>
      <c r="C1325" s="30" t="s">
        <v>102</v>
      </c>
      <c r="D1325" s="30">
        <v>4</v>
      </c>
      <c r="E1325" s="30">
        <v>183.4</v>
      </c>
      <c r="F1325" s="30">
        <v>7.2</v>
      </c>
    </row>
    <row r="1326" spans="1:6" hidden="1" x14ac:dyDescent="0.25">
      <c r="A1326" s="30" t="s">
        <v>115</v>
      </c>
      <c r="B1326" s="30">
        <v>2015</v>
      </c>
      <c r="C1326" s="30" t="s">
        <v>103</v>
      </c>
      <c r="D1326" s="30">
        <v>5</v>
      </c>
      <c r="E1326" s="30">
        <v>162.80000000000001</v>
      </c>
      <c r="F1326" s="30">
        <v>2.8</v>
      </c>
    </row>
    <row r="1327" spans="1:6" hidden="1" x14ac:dyDescent="0.25">
      <c r="A1327" s="30" t="s">
        <v>115</v>
      </c>
      <c r="B1327" s="30">
        <v>2015</v>
      </c>
      <c r="C1327" s="30" t="s">
        <v>104</v>
      </c>
      <c r="D1327" s="30">
        <v>6</v>
      </c>
      <c r="E1327" s="30">
        <v>87.2</v>
      </c>
      <c r="F1327" s="30">
        <v>29.6</v>
      </c>
    </row>
    <row r="1328" spans="1:6" hidden="1" x14ac:dyDescent="0.25">
      <c r="A1328" s="30" t="s">
        <v>115</v>
      </c>
      <c r="B1328" s="30">
        <v>2015</v>
      </c>
      <c r="C1328" s="30" t="s">
        <v>105</v>
      </c>
      <c r="D1328" s="30">
        <v>7</v>
      </c>
      <c r="E1328" s="30">
        <v>46.9</v>
      </c>
      <c r="F1328" s="30">
        <v>40.1</v>
      </c>
    </row>
    <row r="1329" spans="1:6" hidden="1" x14ac:dyDescent="0.25">
      <c r="A1329" s="30" t="s">
        <v>115</v>
      </c>
      <c r="B1329" s="30">
        <v>2015</v>
      </c>
      <c r="C1329" s="30" t="s">
        <v>106</v>
      </c>
      <c r="D1329" s="30">
        <v>8</v>
      </c>
      <c r="E1329" s="30">
        <v>60.5</v>
      </c>
      <c r="F1329" s="30">
        <v>33.9</v>
      </c>
    </row>
    <row r="1330" spans="1:6" hidden="1" x14ac:dyDescent="0.25">
      <c r="A1330" s="30" t="s">
        <v>115</v>
      </c>
      <c r="B1330" s="30">
        <v>2015</v>
      </c>
      <c r="C1330" s="30" t="s">
        <v>107</v>
      </c>
      <c r="D1330" s="30">
        <v>9</v>
      </c>
      <c r="E1330" s="30">
        <v>110.9</v>
      </c>
      <c r="F1330" s="30">
        <v>9.3000000000000007</v>
      </c>
    </row>
    <row r="1331" spans="1:6" hidden="1" x14ac:dyDescent="0.25">
      <c r="A1331" s="30" t="s">
        <v>115</v>
      </c>
      <c r="B1331" s="30">
        <v>2015</v>
      </c>
      <c r="C1331" s="30" t="s">
        <v>108</v>
      </c>
      <c r="D1331" s="30">
        <v>10</v>
      </c>
      <c r="E1331" s="30">
        <v>165</v>
      </c>
      <c r="F1331" s="30">
        <v>0.5</v>
      </c>
    </row>
    <row r="1332" spans="1:6" hidden="1" x14ac:dyDescent="0.25">
      <c r="A1332" s="30" t="s">
        <v>115</v>
      </c>
      <c r="B1332" s="30">
        <v>2015</v>
      </c>
      <c r="C1332" s="30" t="s">
        <v>109</v>
      </c>
      <c r="D1332" s="30">
        <v>11</v>
      </c>
      <c r="E1332" s="30">
        <v>174.4</v>
      </c>
      <c r="F1332" s="30">
        <v>0.2</v>
      </c>
    </row>
    <row r="1333" spans="1:6" hidden="1" x14ac:dyDescent="0.25">
      <c r="A1333" s="30" t="s">
        <v>115</v>
      </c>
      <c r="B1333" s="30">
        <v>2015</v>
      </c>
      <c r="C1333" s="30" t="s">
        <v>110</v>
      </c>
      <c r="D1333" s="30">
        <v>12</v>
      </c>
      <c r="E1333" s="30">
        <v>189.7</v>
      </c>
      <c r="F1333" s="30">
        <v>0</v>
      </c>
    </row>
    <row r="1334" spans="1:6" x14ac:dyDescent="0.25">
      <c r="A1334" s="30" t="s">
        <v>116</v>
      </c>
      <c r="B1334" s="30">
        <v>2015</v>
      </c>
      <c r="C1334" s="30" t="s">
        <v>99</v>
      </c>
      <c r="D1334" s="30">
        <v>1</v>
      </c>
      <c r="E1334" s="30">
        <v>341.1</v>
      </c>
      <c r="F1334" s="30">
        <v>0</v>
      </c>
    </row>
    <row r="1335" spans="1:6" x14ac:dyDescent="0.25">
      <c r="A1335" s="30" t="s">
        <v>116</v>
      </c>
      <c r="B1335" s="30">
        <v>2015</v>
      </c>
      <c r="C1335" s="30" t="s">
        <v>100</v>
      </c>
      <c r="D1335" s="30">
        <v>2</v>
      </c>
      <c r="E1335" s="30">
        <v>344</v>
      </c>
      <c r="F1335" s="30">
        <v>0</v>
      </c>
    </row>
    <row r="1336" spans="1:6" x14ac:dyDescent="0.25">
      <c r="A1336" s="30" t="s">
        <v>116</v>
      </c>
      <c r="B1336" s="30">
        <v>2015</v>
      </c>
      <c r="C1336" s="30" t="s">
        <v>101</v>
      </c>
      <c r="D1336" s="30">
        <v>3</v>
      </c>
      <c r="E1336" s="30">
        <v>284.39999999999998</v>
      </c>
      <c r="F1336" s="30">
        <v>0</v>
      </c>
    </row>
    <row r="1337" spans="1:6" x14ac:dyDescent="0.25">
      <c r="A1337" s="30" t="s">
        <v>116</v>
      </c>
      <c r="B1337" s="30">
        <v>2015</v>
      </c>
      <c r="C1337" s="30" t="s">
        <v>102</v>
      </c>
      <c r="D1337" s="30">
        <v>4</v>
      </c>
      <c r="E1337" s="30">
        <v>160.30000000000001</v>
      </c>
      <c r="F1337" s="30">
        <v>0</v>
      </c>
    </row>
    <row r="1338" spans="1:6" x14ac:dyDescent="0.25">
      <c r="A1338" s="30" t="s">
        <v>116</v>
      </c>
      <c r="B1338" s="30">
        <v>2015</v>
      </c>
      <c r="C1338" s="30" t="s">
        <v>103</v>
      </c>
      <c r="D1338" s="30">
        <v>5</v>
      </c>
      <c r="E1338" s="30">
        <v>133.9</v>
      </c>
      <c r="F1338" s="30">
        <v>0</v>
      </c>
    </row>
    <row r="1339" spans="1:6" x14ac:dyDescent="0.25">
      <c r="A1339" s="30" t="s">
        <v>116</v>
      </c>
      <c r="B1339" s="30">
        <v>2015</v>
      </c>
      <c r="C1339" s="30" t="s">
        <v>104</v>
      </c>
      <c r="D1339" s="30">
        <v>6</v>
      </c>
      <c r="E1339" s="30">
        <v>49</v>
      </c>
      <c r="F1339" s="30">
        <v>14.8</v>
      </c>
    </row>
    <row r="1340" spans="1:6" x14ac:dyDescent="0.25">
      <c r="A1340" s="30" t="s">
        <v>116</v>
      </c>
      <c r="B1340" s="30">
        <v>2015</v>
      </c>
      <c r="C1340" s="30" t="s">
        <v>105</v>
      </c>
      <c r="D1340" s="30">
        <v>7</v>
      </c>
      <c r="E1340" s="30">
        <v>20.2</v>
      </c>
      <c r="F1340" s="30">
        <v>43.9</v>
      </c>
    </row>
    <row r="1341" spans="1:6" x14ac:dyDescent="0.25">
      <c r="A1341" s="30" t="s">
        <v>116</v>
      </c>
      <c r="B1341" s="30">
        <v>2015</v>
      </c>
      <c r="C1341" s="30" t="s">
        <v>106</v>
      </c>
      <c r="D1341" s="30">
        <v>8</v>
      </c>
      <c r="E1341" s="30">
        <v>22.7</v>
      </c>
      <c r="F1341" s="30">
        <v>27.8</v>
      </c>
    </row>
    <row r="1342" spans="1:6" x14ac:dyDescent="0.25">
      <c r="A1342" s="30" t="s">
        <v>116</v>
      </c>
      <c r="B1342" s="30">
        <v>2015</v>
      </c>
      <c r="C1342" s="30" t="s">
        <v>107</v>
      </c>
      <c r="D1342" s="30">
        <v>9</v>
      </c>
      <c r="E1342" s="30">
        <v>87.9</v>
      </c>
      <c r="F1342" s="30">
        <v>1.3</v>
      </c>
    </row>
    <row r="1343" spans="1:6" x14ac:dyDescent="0.25">
      <c r="A1343" s="30" t="s">
        <v>116</v>
      </c>
      <c r="B1343" s="30">
        <v>2015</v>
      </c>
      <c r="C1343" s="30" t="s">
        <v>108</v>
      </c>
      <c r="D1343" s="30">
        <v>10</v>
      </c>
      <c r="E1343" s="30">
        <v>159.5</v>
      </c>
      <c r="F1343" s="30">
        <v>0</v>
      </c>
    </row>
    <row r="1344" spans="1:6" x14ac:dyDescent="0.25">
      <c r="A1344" s="30" t="s">
        <v>116</v>
      </c>
      <c r="B1344" s="30">
        <v>2015</v>
      </c>
      <c r="C1344" s="30" t="s">
        <v>109</v>
      </c>
      <c r="D1344" s="30">
        <v>11</v>
      </c>
      <c r="E1344" s="30">
        <v>155.9</v>
      </c>
      <c r="F1344" s="30">
        <v>0</v>
      </c>
    </row>
    <row r="1345" spans="1:6" x14ac:dyDescent="0.25">
      <c r="A1345" s="30" t="s">
        <v>116</v>
      </c>
      <c r="B1345" s="30">
        <v>2015</v>
      </c>
      <c r="C1345" s="30" t="s">
        <v>110</v>
      </c>
      <c r="D1345" s="30">
        <v>12</v>
      </c>
      <c r="E1345" s="30">
        <v>190</v>
      </c>
      <c r="F1345" s="30">
        <v>0</v>
      </c>
    </row>
    <row r="1346" spans="1:6" hidden="1" x14ac:dyDescent="0.25">
      <c r="A1346" s="30" t="s">
        <v>98</v>
      </c>
      <c r="B1346" s="30">
        <v>2016</v>
      </c>
      <c r="C1346" s="30" t="s">
        <v>99</v>
      </c>
      <c r="D1346" s="30">
        <v>1</v>
      </c>
      <c r="E1346" s="30">
        <v>331.5</v>
      </c>
      <c r="F1346" s="30">
        <v>0</v>
      </c>
    </row>
    <row r="1347" spans="1:6" hidden="1" x14ac:dyDescent="0.25">
      <c r="A1347" s="30" t="s">
        <v>98</v>
      </c>
      <c r="B1347" s="30">
        <v>2016</v>
      </c>
      <c r="C1347" s="30" t="s">
        <v>100</v>
      </c>
      <c r="D1347" s="30">
        <v>2</v>
      </c>
      <c r="E1347" s="30">
        <v>324</v>
      </c>
      <c r="F1347" s="30">
        <v>0</v>
      </c>
    </row>
    <row r="1348" spans="1:6" hidden="1" x14ac:dyDescent="0.25">
      <c r="A1348" s="30" t="s">
        <v>98</v>
      </c>
      <c r="B1348" s="30">
        <v>2016</v>
      </c>
      <c r="C1348" s="30" t="s">
        <v>101</v>
      </c>
      <c r="D1348" s="30">
        <v>3</v>
      </c>
      <c r="E1348" s="30">
        <v>356.4</v>
      </c>
      <c r="F1348" s="30">
        <v>0</v>
      </c>
    </row>
    <row r="1349" spans="1:6" hidden="1" x14ac:dyDescent="0.25">
      <c r="A1349" s="30" t="s">
        <v>98</v>
      </c>
      <c r="B1349" s="30">
        <v>2016</v>
      </c>
      <c r="C1349" s="30" t="s">
        <v>102</v>
      </c>
      <c r="D1349" s="30">
        <v>4</v>
      </c>
      <c r="E1349" s="30">
        <v>276.3</v>
      </c>
      <c r="F1349" s="30">
        <v>0</v>
      </c>
    </row>
    <row r="1350" spans="1:6" hidden="1" x14ac:dyDescent="0.25">
      <c r="A1350" s="30" t="s">
        <v>98</v>
      </c>
      <c r="B1350" s="30">
        <v>2016</v>
      </c>
      <c r="C1350" s="30" t="s">
        <v>103</v>
      </c>
      <c r="D1350" s="30">
        <v>5</v>
      </c>
      <c r="E1350" s="30">
        <v>159.6</v>
      </c>
      <c r="F1350" s="30">
        <v>2.9</v>
      </c>
    </row>
    <row r="1351" spans="1:6" hidden="1" x14ac:dyDescent="0.25">
      <c r="A1351" s="30" t="s">
        <v>98</v>
      </c>
      <c r="B1351" s="30">
        <v>2016</v>
      </c>
      <c r="C1351" s="30" t="s">
        <v>104</v>
      </c>
      <c r="D1351" s="30">
        <v>6</v>
      </c>
      <c r="E1351" s="30">
        <v>85.3</v>
      </c>
      <c r="F1351" s="30">
        <v>9.9</v>
      </c>
    </row>
    <row r="1352" spans="1:6" hidden="1" x14ac:dyDescent="0.25">
      <c r="A1352" s="30" t="s">
        <v>98</v>
      </c>
      <c r="B1352" s="30">
        <v>2016</v>
      </c>
      <c r="C1352" s="30" t="s">
        <v>105</v>
      </c>
      <c r="D1352" s="30">
        <v>7</v>
      </c>
      <c r="E1352" s="30">
        <v>57.9</v>
      </c>
      <c r="F1352" s="30">
        <v>39.299999999999997</v>
      </c>
    </row>
    <row r="1353" spans="1:6" hidden="1" x14ac:dyDescent="0.25">
      <c r="A1353" s="30" t="s">
        <v>98</v>
      </c>
      <c r="B1353" s="30">
        <v>2016</v>
      </c>
      <c r="C1353" s="30" t="s">
        <v>106</v>
      </c>
      <c r="D1353" s="30">
        <v>8</v>
      </c>
      <c r="E1353" s="30">
        <v>45.1</v>
      </c>
      <c r="F1353" s="30">
        <v>55.4</v>
      </c>
    </row>
    <row r="1354" spans="1:6" hidden="1" x14ac:dyDescent="0.25">
      <c r="A1354" s="30" t="s">
        <v>98</v>
      </c>
      <c r="B1354" s="30">
        <v>2016</v>
      </c>
      <c r="C1354" s="30" t="s">
        <v>107</v>
      </c>
      <c r="D1354" s="30">
        <v>9</v>
      </c>
      <c r="E1354" s="30">
        <v>50.7</v>
      </c>
      <c r="F1354" s="30">
        <v>42.3</v>
      </c>
    </row>
    <row r="1355" spans="1:6" hidden="1" x14ac:dyDescent="0.25">
      <c r="A1355" s="30" t="s">
        <v>98</v>
      </c>
      <c r="B1355" s="30">
        <v>2016</v>
      </c>
      <c r="C1355" s="30" t="s">
        <v>108</v>
      </c>
      <c r="D1355" s="30">
        <v>10</v>
      </c>
      <c r="E1355" s="30">
        <v>206.6</v>
      </c>
      <c r="F1355" s="30">
        <v>0.6</v>
      </c>
    </row>
    <row r="1356" spans="1:6" hidden="1" x14ac:dyDescent="0.25">
      <c r="A1356" s="30" t="s">
        <v>98</v>
      </c>
      <c r="B1356" s="30">
        <v>2016</v>
      </c>
      <c r="C1356" s="30" t="s">
        <v>109</v>
      </c>
      <c r="D1356" s="30">
        <v>11</v>
      </c>
      <c r="E1356" s="30">
        <v>280</v>
      </c>
      <c r="F1356" s="30">
        <v>0</v>
      </c>
    </row>
    <row r="1357" spans="1:6" hidden="1" x14ac:dyDescent="0.25">
      <c r="A1357" s="30" t="s">
        <v>98</v>
      </c>
      <c r="B1357" s="30">
        <v>2016</v>
      </c>
      <c r="C1357" s="30" t="s">
        <v>110</v>
      </c>
      <c r="D1357" s="30">
        <v>12</v>
      </c>
      <c r="E1357" s="30">
        <v>324.10000000000002</v>
      </c>
      <c r="F1357" s="30">
        <v>0</v>
      </c>
    </row>
    <row r="1358" spans="1:6" hidden="1" x14ac:dyDescent="0.25">
      <c r="A1358" s="30" t="s">
        <v>111</v>
      </c>
      <c r="B1358" s="30">
        <v>2016</v>
      </c>
      <c r="C1358" s="30" t="s">
        <v>99</v>
      </c>
      <c r="D1358" s="30">
        <v>1</v>
      </c>
      <c r="E1358" s="30">
        <v>296.2</v>
      </c>
      <c r="F1358" s="30">
        <v>0</v>
      </c>
    </row>
    <row r="1359" spans="1:6" hidden="1" x14ac:dyDescent="0.25">
      <c r="A1359" s="30" t="s">
        <v>111</v>
      </c>
      <c r="B1359" s="30">
        <v>2016</v>
      </c>
      <c r="C1359" s="30" t="s">
        <v>100</v>
      </c>
      <c r="D1359" s="30">
        <v>2</v>
      </c>
      <c r="E1359" s="30">
        <v>307.39999999999998</v>
      </c>
      <c r="F1359" s="30">
        <v>0</v>
      </c>
    </row>
    <row r="1360" spans="1:6" hidden="1" x14ac:dyDescent="0.25">
      <c r="A1360" s="30" t="s">
        <v>111</v>
      </c>
      <c r="B1360" s="30">
        <v>2016</v>
      </c>
      <c r="C1360" s="30" t="s">
        <v>101</v>
      </c>
      <c r="D1360" s="30">
        <v>3</v>
      </c>
      <c r="E1360" s="30">
        <v>326.8</v>
      </c>
      <c r="F1360" s="30">
        <v>0</v>
      </c>
    </row>
    <row r="1361" spans="1:6" hidden="1" x14ac:dyDescent="0.25">
      <c r="A1361" s="30" t="s">
        <v>111</v>
      </c>
      <c r="B1361" s="30">
        <v>2016</v>
      </c>
      <c r="C1361" s="30" t="s">
        <v>102</v>
      </c>
      <c r="D1361" s="30">
        <v>4</v>
      </c>
      <c r="E1361" s="30">
        <v>261.8</v>
      </c>
      <c r="F1361" s="30">
        <v>0.2</v>
      </c>
    </row>
    <row r="1362" spans="1:6" hidden="1" x14ac:dyDescent="0.25">
      <c r="A1362" s="30" t="s">
        <v>111</v>
      </c>
      <c r="B1362" s="30">
        <v>2016</v>
      </c>
      <c r="C1362" s="30" t="s">
        <v>103</v>
      </c>
      <c r="D1362" s="30">
        <v>5</v>
      </c>
      <c r="E1362" s="30">
        <v>151.1</v>
      </c>
      <c r="F1362" s="30">
        <v>5</v>
      </c>
    </row>
    <row r="1363" spans="1:6" hidden="1" x14ac:dyDescent="0.25">
      <c r="A1363" s="30" t="s">
        <v>111</v>
      </c>
      <c r="B1363" s="30">
        <v>2016</v>
      </c>
      <c r="C1363" s="30" t="s">
        <v>104</v>
      </c>
      <c r="D1363" s="30">
        <v>6</v>
      </c>
      <c r="E1363" s="30">
        <v>78.5</v>
      </c>
      <c r="F1363" s="30">
        <v>10.6</v>
      </c>
    </row>
    <row r="1364" spans="1:6" hidden="1" x14ac:dyDescent="0.25">
      <c r="A1364" s="30" t="s">
        <v>111</v>
      </c>
      <c r="B1364" s="30">
        <v>2016</v>
      </c>
      <c r="C1364" s="30" t="s">
        <v>105</v>
      </c>
      <c r="D1364" s="30">
        <v>7</v>
      </c>
      <c r="E1364" s="30">
        <v>52.2</v>
      </c>
      <c r="F1364" s="30">
        <v>34.9</v>
      </c>
    </row>
    <row r="1365" spans="1:6" hidden="1" x14ac:dyDescent="0.25">
      <c r="A1365" s="30" t="s">
        <v>111</v>
      </c>
      <c r="B1365" s="30">
        <v>2016</v>
      </c>
      <c r="C1365" s="30" t="s">
        <v>106</v>
      </c>
      <c r="D1365" s="30">
        <v>8</v>
      </c>
      <c r="E1365" s="30">
        <v>46.4</v>
      </c>
      <c r="F1365" s="30">
        <v>43.4</v>
      </c>
    </row>
    <row r="1366" spans="1:6" hidden="1" x14ac:dyDescent="0.25">
      <c r="A1366" s="30" t="s">
        <v>111</v>
      </c>
      <c r="B1366" s="30">
        <v>2016</v>
      </c>
      <c r="C1366" s="30" t="s">
        <v>107</v>
      </c>
      <c r="D1366" s="30">
        <v>9</v>
      </c>
      <c r="E1366" s="30">
        <v>60.6</v>
      </c>
      <c r="F1366" s="30">
        <v>26.4</v>
      </c>
    </row>
    <row r="1367" spans="1:6" hidden="1" x14ac:dyDescent="0.25">
      <c r="A1367" s="30" t="s">
        <v>111</v>
      </c>
      <c r="B1367" s="30">
        <v>2016</v>
      </c>
      <c r="C1367" s="30" t="s">
        <v>108</v>
      </c>
      <c r="D1367" s="30">
        <v>10</v>
      </c>
      <c r="E1367" s="30">
        <v>193.8</v>
      </c>
      <c r="F1367" s="30">
        <v>1.4</v>
      </c>
    </row>
    <row r="1368" spans="1:6" hidden="1" x14ac:dyDescent="0.25">
      <c r="A1368" s="30" t="s">
        <v>111</v>
      </c>
      <c r="B1368" s="30">
        <v>2016</v>
      </c>
      <c r="C1368" s="30" t="s">
        <v>109</v>
      </c>
      <c r="D1368" s="30">
        <v>11</v>
      </c>
      <c r="E1368" s="30">
        <v>264.60000000000002</v>
      </c>
      <c r="F1368" s="30">
        <v>0.4</v>
      </c>
    </row>
    <row r="1369" spans="1:6" hidden="1" x14ac:dyDescent="0.25">
      <c r="A1369" s="30" t="s">
        <v>111</v>
      </c>
      <c r="B1369" s="30">
        <v>2016</v>
      </c>
      <c r="C1369" s="30" t="s">
        <v>110</v>
      </c>
      <c r="D1369" s="30">
        <v>12</v>
      </c>
      <c r="E1369" s="30">
        <v>300.3</v>
      </c>
      <c r="F1369" s="30">
        <v>0</v>
      </c>
    </row>
    <row r="1370" spans="1:6" hidden="1" x14ac:dyDescent="0.25">
      <c r="A1370" s="30" t="s">
        <v>112</v>
      </c>
      <c r="B1370" s="30">
        <v>2016</v>
      </c>
      <c r="C1370" s="30" t="s">
        <v>99</v>
      </c>
      <c r="D1370" s="30">
        <v>1</v>
      </c>
      <c r="E1370" s="30">
        <v>299.2</v>
      </c>
      <c r="F1370" s="30">
        <v>0</v>
      </c>
    </row>
    <row r="1371" spans="1:6" hidden="1" x14ac:dyDescent="0.25">
      <c r="A1371" s="30" t="s">
        <v>112</v>
      </c>
      <c r="B1371" s="30">
        <v>2016</v>
      </c>
      <c r="C1371" s="30" t="s">
        <v>100</v>
      </c>
      <c r="D1371" s="30">
        <v>2</v>
      </c>
      <c r="E1371" s="30">
        <v>308.10000000000002</v>
      </c>
      <c r="F1371" s="30">
        <v>0</v>
      </c>
    </row>
    <row r="1372" spans="1:6" hidden="1" x14ac:dyDescent="0.25">
      <c r="A1372" s="30" t="s">
        <v>112</v>
      </c>
      <c r="B1372" s="30">
        <v>2016</v>
      </c>
      <c r="C1372" s="30" t="s">
        <v>101</v>
      </c>
      <c r="D1372" s="30">
        <v>3</v>
      </c>
      <c r="E1372" s="30">
        <v>317.5</v>
      </c>
      <c r="F1372" s="30">
        <v>0</v>
      </c>
    </row>
    <row r="1373" spans="1:6" hidden="1" x14ac:dyDescent="0.25">
      <c r="A1373" s="30" t="s">
        <v>112</v>
      </c>
      <c r="B1373" s="30">
        <v>2016</v>
      </c>
      <c r="C1373" s="30" t="s">
        <v>102</v>
      </c>
      <c r="D1373" s="30">
        <v>4</v>
      </c>
      <c r="E1373" s="30">
        <v>258.39999999999998</v>
      </c>
      <c r="F1373" s="30">
        <v>0.2</v>
      </c>
    </row>
    <row r="1374" spans="1:6" hidden="1" x14ac:dyDescent="0.25">
      <c r="A1374" s="30" t="s">
        <v>112</v>
      </c>
      <c r="B1374" s="30">
        <v>2016</v>
      </c>
      <c r="C1374" s="30" t="s">
        <v>103</v>
      </c>
      <c r="D1374" s="30">
        <v>5</v>
      </c>
      <c r="E1374" s="30">
        <v>141.19999999999999</v>
      </c>
      <c r="F1374" s="30">
        <v>7</v>
      </c>
    </row>
    <row r="1375" spans="1:6" hidden="1" x14ac:dyDescent="0.25">
      <c r="A1375" s="30" t="s">
        <v>112</v>
      </c>
      <c r="B1375" s="30">
        <v>2016</v>
      </c>
      <c r="C1375" s="30" t="s">
        <v>104</v>
      </c>
      <c r="D1375" s="30">
        <v>6</v>
      </c>
      <c r="E1375" s="30">
        <v>74.7</v>
      </c>
      <c r="F1375" s="30">
        <v>13.6</v>
      </c>
    </row>
    <row r="1376" spans="1:6" hidden="1" x14ac:dyDescent="0.25">
      <c r="A1376" s="30" t="s">
        <v>112</v>
      </c>
      <c r="B1376" s="30">
        <v>2016</v>
      </c>
      <c r="C1376" s="30" t="s">
        <v>105</v>
      </c>
      <c r="D1376" s="30">
        <v>7</v>
      </c>
      <c r="E1376" s="30">
        <v>48.9</v>
      </c>
      <c r="F1376" s="30">
        <v>40.799999999999997</v>
      </c>
    </row>
    <row r="1377" spans="1:6" hidden="1" x14ac:dyDescent="0.25">
      <c r="A1377" s="30" t="s">
        <v>112</v>
      </c>
      <c r="B1377" s="30">
        <v>2016</v>
      </c>
      <c r="C1377" s="30" t="s">
        <v>106</v>
      </c>
      <c r="D1377" s="30">
        <v>8</v>
      </c>
      <c r="E1377" s="30">
        <v>43.2</v>
      </c>
      <c r="F1377" s="30">
        <v>56.2</v>
      </c>
    </row>
    <row r="1378" spans="1:6" hidden="1" x14ac:dyDescent="0.25">
      <c r="A1378" s="30" t="s">
        <v>112</v>
      </c>
      <c r="B1378" s="30">
        <v>2016</v>
      </c>
      <c r="C1378" s="30" t="s">
        <v>107</v>
      </c>
      <c r="D1378" s="30">
        <v>9</v>
      </c>
      <c r="E1378" s="30">
        <v>56.8</v>
      </c>
      <c r="F1378" s="30">
        <v>30.1</v>
      </c>
    </row>
    <row r="1379" spans="1:6" hidden="1" x14ac:dyDescent="0.25">
      <c r="A1379" s="30" t="s">
        <v>112</v>
      </c>
      <c r="B1379" s="30">
        <v>2016</v>
      </c>
      <c r="C1379" s="30" t="s">
        <v>108</v>
      </c>
      <c r="D1379" s="30">
        <v>10</v>
      </c>
      <c r="E1379" s="30">
        <v>193.8</v>
      </c>
      <c r="F1379" s="30">
        <v>0.3</v>
      </c>
    </row>
    <row r="1380" spans="1:6" hidden="1" x14ac:dyDescent="0.25">
      <c r="A1380" s="30" t="s">
        <v>112</v>
      </c>
      <c r="B1380" s="30">
        <v>2016</v>
      </c>
      <c r="C1380" s="30" t="s">
        <v>109</v>
      </c>
      <c r="D1380" s="30">
        <v>11</v>
      </c>
      <c r="E1380" s="30">
        <v>262</v>
      </c>
      <c r="F1380" s="30">
        <v>0.1</v>
      </c>
    </row>
    <row r="1381" spans="1:6" hidden="1" x14ac:dyDescent="0.25">
      <c r="A1381" s="30" t="s">
        <v>112</v>
      </c>
      <c r="B1381" s="30">
        <v>2016</v>
      </c>
      <c r="C1381" s="30" t="s">
        <v>110</v>
      </c>
      <c r="D1381" s="30">
        <v>12</v>
      </c>
      <c r="E1381" s="30">
        <v>295.3</v>
      </c>
      <c r="F1381" s="30">
        <v>0</v>
      </c>
    </row>
    <row r="1382" spans="1:6" hidden="1" x14ac:dyDescent="0.25">
      <c r="A1382" s="30" t="s">
        <v>113</v>
      </c>
      <c r="B1382" s="30">
        <v>2016</v>
      </c>
      <c r="C1382" s="30" t="s">
        <v>99</v>
      </c>
      <c r="D1382" s="30">
        <v>1</v>
      </c>
      <c r="E1382" s="30">
        <v>336.3</v>
      </c>
      <c r="F1382" s="30">
        <v>0</v>
      </c>
    </row>
    <row r="1383" spans="1:6" hidden="1" x14ac:dyDescent="0.25">
      <c r="A1383" s="30" t="s">
        <v>113</v>
      </c>
      <c r="B1383" s="30">
        <v>2016</v>
      </c>
      <c r="C1383" s="30" t="s">
        <v>100</v>
      </c>
      <c r="D1383" s="30">
        <v>2</v>
      </c>
      <c r="E1383" s="30">
        <v>315</v>
      </c>
      <c r="F1383" s="30">
        <v>0</v>
      </c>
    </row>
    <row r="1384" spans="1:6" hidden="1" x14ac:dyDescent="0.25">
      <c r="A1384" s="30" t="s">
        <v>113</v>
      </c>
      <c r="B1384" s="30">
        <v>2016</v>
      </c>
      <c r="C1384" s="30" t="s">
        <v>101</v>
      </c>
      <c r="D1384" s="30">
        <v>3</v>
      </c>
      <c r="E1384" s="30">
        <v>330.4</v>
      </c>
      <c r="F1384" s="30">
        <v>0</v>
      </c>
    </row>
    <row r="1385" spans="1:6" hidden="1" x14ac:dyDescent="0.25">
      <c r="A1385" s="30" t="s">
        <v>113</v>
      </c>
      <c r="B1385" s="30">
        <v>2016</v>
      </c>
      <c r="C1385" s="30" t="s">
        <v>102</v>
      </c>
      <c r="D1385" s="30">
        <v>4</v>
      </c>
      <c r="E1385" s="30">
        <v>259.10000000000002</v>
      </c>
      <c r="F1385" s="30">
        <v>0</v>
      </c>
    </row>
    <row r="1386" spans="1:6" hidden="1" x14ac:dyDescent="0.25">
      <c r="A1386" s="30" t="s">
        <v>113</v>
      </c>
      <c r="B1386" s="30">
        <v>2016</v>
      </c>
      <c r="C1386" s="30" t="s">
        <v>103</v>
      </c>
      <c r="D1386" s="30">
        <v>5</v>
      </c>
      <c r="E1386" s="30">
        <v>128.19999999999999</v>
      </c>
      <c r="F1386" s="30">
        <v>12.4</v>
      </c>
    </row>
    <row r="1387" spans="1:6" hidden="1" x14ac:dyDescent="0.25">
      <c r="A1387" s="30" t="s">
        <v>113</v>
      </c>
      <c r="B1387" s="30">
        <v>2016</v>
      </c>
      <c r="C1387" s="30" t="s">
        <v>104</v>
      </c>
      <c r="D1387" s="30">
        <v>6</v>
      </c>
      <c r="E1387" s="30">
        <v>63.9</v>
      </c>
      <c r="F1387" s="30">
        <v>28</v>
      </c>
    </row>
    <row r="1388" spans="1:6" hidden="1" x14ac:dyDescent="0.25">
      <c r="A1388" s="30" t="s">
        <v>113</v>
      </c>
      <c r="B1388" s="30">
        <v>2016</v>
      </c>
      <c r="C1388" s="30" t="s">
        <v>105</v>
      </c>
      <c r="D1388" s="30">
        <v>7</v>
      </c>
      <c r="E1388" s="30">
        <v>48.4</v>
      </c>
      <c r="F1388" s="30">
        <v>74.099999999999994</v>
      </c>
    </row>
    <row r="1389" spans="1:6" hidden="1" x14ac:dyDescent="0.25">
      <c r="A1389" s="30" t="s">
        <v>113</v>
      </c>
      <c r="B1389" s="30">
        <v>2016</v>
      </c>
      <c r="C1389" s="30" t="s">
        <v>106</v>
      </c>
      <c r="D1389" s="30">
        <v>8</v>
      </c>
      <c r="E1389" s="30">
        <v>40</v>
      </c>
      <c r="F1389" s="30">
        <v>101.7</v>
      </c>
    </row>
    <row r="1390" spans="1:6" hidden="1" x14ac:dyDescent="0.25">
      <c r="A1390" s="30" t="s">
        <v>113</v>
      </c>
      <c r="B1390" s="30">
        <v>2016</v>
      </c>
      <c r="C1390" s="30" t="s">
        <v>107</v>
      </c>
      <c r="D1390" s="30">
        <v>9</v>
      </c>
      <c r="E1390" s="30">
        <v>41.9</v>
      </c>
      <c r="F1390" s="30">
        <v>71.099999999999994</v>
      </c>
    </row>
    <row r="1391" spans="1:6" hidden="1" x14ac:dyDescent="0.25">
      <c r="A1391" s="30" t="s">
        <v>113</v>
      </c>
      <c r="B1391" s="30">
        <v>2016</v>
      </c>
      <c r="C1391" s="30" t="s">
        <v>108</v>
      </c>
      <c r="D1391" s="30">
        <v>10</v>
      </c>
      <c r="E1391" s="30">
        <v>203.7</v>
      </c>
      <c r="F1391" s="30">
        <v>2.2999999999999998</v>
      </c>
    </row>
    <row r="1392" spans="1:6" hidden="1" x14ac:dyDescent="0.25">
      <c r="A1392" s="30" t="s">
        <v>113</v>
      </c>
      <c r="B1392" s="30">
        <v>2016</v>
      </c>
      <c r="C1392" s="30" t="s">
        <v>109</v>
      </c>
      <c r="D1392" s="30">
        <v>11</v>
      </c>
      <c r="E1392" s="30">
        <v>286.10000000000002</v>
      </c>
      <c r="F1392" s="30">
        <v>0</v>
      </c>
    </row>
    <row r="1393" spans="1:6" hidden="1" x14ac:dyDescent="0.25">
      <c r="A1393" s="30" t="s">
        <v>113</v>
      </c>
      <c r="B1393" s="30">
        <v>2016</v>
      </c>
      <c r="C1393" s="30" t="s">
        <v>110</v>
      </c>
      <c r="D1393" s="30">
        <v>12</v>
      </c>
      <c r="E1393" s="30">
        <v>379.9</v>
      </c>
      <c r="F1393" s="30">
        <v>0</v>
      </c>
    </row>
    <row r="1394" spans="1:6" hidden="1" x14ac:dyDescent="0.25">
      <c r="A1394" s="30" t="s">
        <v>114</v>
      </c>
      <c r="B1394" s="30">
        <v>2016</v>
      </c>
      <c r="C1394" s="30" t="s">
        <v>99</v>
      </c>
      <c r="D1394" s="30">
        <v>1</v>
      </c>
      <c r="E1394" s="30">
        <v>332.8</v>
      </c>
      <c r="F1394" s="30">
        <v>0</v>
      </c>
    </row>
    <row r="1395" spans="1:6" hidden="1" x14ac:dyDescent="0.25">
      <c r="A1395" s="30" t="s">
        <v>114</v>
      </c>
      <c r="B1395" s="30">
        <v>2016</v>
      </c>
      <c r="C1395" s="30" t="s">
        <v>100</v>
      </c>
      <c r="D1395" s="30">
        <v>2</v>
      </c>
      <c r="E1395" s="30">
        <v>311.8</v>
      </c>
      <c r="F1395" s="30">
        <v>0</v>
      </c>
    </row>
    <row r="1396" spans="1:6" hidden="1" x14ac:dyDescent="0.25">
      <c r="A1396" s="30" t="s">
        <v>114</v>
      </c>
      <c r="B1396" s="30">
        <v>2016</v>
      </c>
      <c r="C1396" s="30" t="s">
        <v>101</v>
      </c>
      <c r="D1396" s="30">
        <v>3</v>
      </c>
      <c r="E1396" s="30">
        <v>340.4</v>
      </c>
      <c r="F1396" s="30">
        <v>0</v>
      </c>
    </row>
    <row r="1397" spans="1:6" hidden="1" x14ac:dyDescent="0.25">
      <c r="A1397" s="30" t="s">
        <v>114</v>
      </c>
      <c r="B1397" s="30">
        <v>2016</v>
      </c>
      <c r="C1397" s="30" t="s">
        <v>102</v>
      </c>
      <c r="D1397" s="30">
        <v>4</v>
      </c>
      <c r="E1397" s="30">
        <v>265.89999999999998</v>
      </c>
      <c r="F1397" s="30">
        <v>0.1</v>
      </c>
    </row>
    <row r="1398" spans="1:6" hidden="1" x14ac:dyDescent="0.25">
      <c r="A1398" s="30" t="s">
        <v>114</v>
      </c>
      <c r="B1398" s="30">
        <v>2016</v>
      </c>
      <c r="C1398" s="30" t="s">
        <v>103</v>
      </c>
      <c r="D1398" s="30">
        <v>5</v>
      </c>
      <c r="E1398" s="30">
        <v>142.1</v>
      </c>
      <c r="F1398" s="30">
        <v>6.5</v>
      </c>
    </row>
    <row r="1399" spans="1:6" hidden="1" x14ac:dyDescent="0.25">
      <c r="A1399" s="30" t="s">
        <v>114</v>
      </c>
      <c r="B1399" s="30">
        <v>2016</v>
      </c>
      <c r="C1399" s="30" t="s">
        <v>104</v>
      </c>
      <c r="D1399" s="30">
        <v>6</v>
      </c>
      <c r="E1399" s="30">
        <v>76.7</v>
      </c>
      <c r="F1399" s="30">
        <v>14.3</v>
      </c>
    </row>
    <row r="1400" spans="1:6" hidden="1" x14ac:dyDescent="0.25">
      <c r="A1400" s="30" t="s">
        <v>114</v>
      </c>
      <c r="B1400" s="30">
        <v>2016</v>
      </c>
      <c r="C1400" s="30" t="s">
        <v>105</v>
      </c>
      <c r="D1400" s="30">
        <v>7</v>
      </c>
      <c r="E1400" s="30">
        <v>52.4</v>
      </c>
      <c r="F1400" s="30">
        <v>45.2</v>
      </c>
    </row>
    <row r="1401" spans="1:6" hidden="1" x14ac:dyDescent="0.25">
      <c r="A1401" s="30" t="s">
        <v>114</v>
      </c>
      <c r="B1401" s="30">
        <v>2016</v>
      </c>
      <c r="C1401" s="30" t="s">
        <v>106</v>
      </c>
      <c r="D1401" s="30">
        <v>8</v>
      </c>
      <c r="E1401" s="30">
        <v>36.6</v>
      </c>
      <c r="F1401" s="30">
        <v>62.8</v>
      </c>
    </row>
    <row r="1402" spans="1:6" hidden="1" x14ac:dyDescent="0.25">
      <c r="A1402" s="30" t="s">
        <v>114</v>
      </c>
      <c r="B1402" s="30">
        <v>2016</v>
      </c>
      <c r="C1402" s="30" t="s">
        <v>107</v>
      </c>
      <c r="D1402" s="30">
        <v>9</v>
      </c>
      <c r="E1402" s="30">
        <v>42.6</v>
      </c>
      <c r="F1402" s="30">
        <v>48.3</v>
      </c>
    </row>
    <row r="1403" spans="1:6" hidden="1" x14ac:dyDescent="0.25">
      <c r="A1403" s="30" t="s">
        <v>114</v>
      </c>
      <c r="B1403" s="30">
        <v>2016</v>
      </c>
      <c r="C1403" s="30" t="s">
        <v>108</v>
      </c>
      <c r="D1403" s="30">
        <v>10</v>
      </c>
      <c r="E1403" s="30">
        <v>201.8</v>
      </c>
      <c r="F1403" s="30">
        <v>1.8</v>
      </c>
    </row>
    <row r="1404" spans="1:6" hidden="1" x14ac:dyDescent="0.25">
      <c r="A1404" s="30" t="s">
        <v>114</v>
      </c>
      <c r="B1404" s="30">
        <v>2016</v>
      </c>
      <c r="C1404" s="30" t="s">
        <v>109</v>
      </c>
      <c r="D1404" s="30">
        <v>11</v>
      </c>
      <c r="E1404" s="30">
        <v>274</v>
      </c>
      <c r="F1404" s="30">
        <v>0</v>
      </c>
    </row>
    <row r="1405" spans="1:6" hidden="1" x14ac:dyDescent="0.25">
      <c r="A1405" s="30" t="s">
        <v>114</v>
      </c>
      <c r="B1405" s="30">
        <v>2016</v>
      </c>
      <c r="C1405" s="30" t="s">
        <v>110</v>
      </c>
      <c r="D1405" s="30">
        <v>12</v>
      </c>
      <c r="E1405" s="30">
        <v>352</v>
      </c>
      <c r="F1405" s="30">
        <v>0</v>
      </c>
    </row>
    <row r="1406" spans="1:6" hidden="1" x14ac:dyDescent="0.25">
      <c r="A1406" s="30" t="s">
        <v>115</v>
      </c>
      <c r="B1406" s="30">
        <v>2016</v>
      </c>
      <c r="C1406" s="30" t="s">
        <v>99</v>
      </c>
      <c r="D1406" s="30">
        <v>1</v>
      </c>
      <c r="E1406" s="30">
        <v>293.3</v>
      </c>
      <c r="F1406" s="30">
        <v>0</v>
      </c>
    </row>
    <row r="1407" spans="1:6" hidden="1" x14ac:dyDescent="0.25">
      <c r="A1407" s="30" t="s">
        <v>115</v>
      </c>
      <c r="B1407" s="30">
        <v>2016</v>
      </c>
      <c r="C1407" s="30" t="s">
        <v>100</v>
      </c>
      <c r="D1407" s="30">
        <v>2</v>
      </c>
      <c r="E1407" s="30">
        <v>305.7</v>
      </c>
      <c r="F1407" s="30">
        <v>0</v>
      </c>
    </row>
    <row r="1408" spans="1:6" hidden="1" x14ac:dyDescent="0.25">
      <c r="A1408" s="30" t="s">
        <v>115</v>
      </c>
      <c r="B1408" s="30">
        <v>2016</v>
      </c>
      <c r="C1408" s="30" t="s">
        <v>101</v>
      </c>
      <c r="D1408" s="30">
        <v>3</v>
      </c>
      <c r="E1408" s="30">
        <v>318.10000000000002</v>
      </c>
      <c r="F1408" s="30">
        <v>0</v>
      </c>
    </row>
    <row r="1409" spans="1:6" hidden="1" x14ac:dyDescent="0.25">
      <c r="A1409" s="30" t="s">
        <v>115</v>
      </c>
      <c r="B1409" s="30">
        <v>2016</v>
      </c>
      <c r="C1409" s="30" t="s">
        <v>102</v>
      </c>
      <c r="D1409" s="30">
        <v>4</v>
      </c>
      <c r="E1409" s="30">
        <v>258.5</v>
      </c>
      <c r="F1409" s="30">
        <v>0.1</v>
      </c>
    </row>
    <row r="1410" spans="1:6" hidden="1" x14ac:dyDescent="0.25">
      <c r="A1410" s="30" t="s">
        <v>115</v>
      </c>
      <c r="B1410" s="30">
        <v>2016</v>
      </c>
      <c r="C1410" s="30" t="s">
        <v>103</v>
      </c>
      <c r="D1410" s="30">
        <v>5</v>
      </c>
      <c r="E1410" s="30">
        <v>132.9</v>
      </c>
      <c r="F1410" s="30">
        <v>9.1</v>
      </c>
    </row>
    <row r="1411" spans="1:6" hidden="1" x14ac:dyDescent="0.25">
      <c r="A1411" s="30" t="s">
        <v>115</v>
      </c>
      <c r="B1411" s="30">
        <v>2016</v>
      </c>
      <c r="C1411" s="30" t="s">
        <v>104</v>
      </c>
      <c r="D1411" s="30">
        <v>6</v>
      </c>
      <c r="E1411" s="30">
        <v>68.8</v>
      </c>
      <c r="F1411" s="30">
        <v>18.100000000000001</v>
      </c>
    </row>
    <row r="1412" spans="1:6" hidden="1" x14ac:dyDescent="0.25">
      <c r="A1412" s="30" t="s">
        <v>115</v>
      </c>
      <c r="B1412" s="30">
        <v>2016</v>
      </c>
      <c r="C1412" s="30" t="s">
        <v>105</v>
      </c>
      <c r="D1412" s="30">
        <v>7</v>
      </c>
      <c r="E1412" s="30">
        <v>47.8</v>
      </c>
      <c r="F1412" s="30">
        <v>49.4</v>
      </c>
    </row>
    <row r="1413" spans="1:6" hidden="1" x14ac:dyDescent="0.25">
      <c r="A1413" s="30" t="s">
        <v>115</v>
      </c>
      <c r="B1413" s="30">
        <v>2016</v>
      </c>
      <c r="C1413" s="30" t="s">
        <v>106</v>
      </c>
      <c r="D1413" s="30">
        <v>8</v>
      </c>
      <c r="E1413" s="30">
        <v>41.8</v>
      </c>
      <c r="F1413" s="30">
        <v>67.8</v>
      </c>
    </row>
    <row r="1414" spans="1:6" hidden="1" x14ac:dyDescent="0.25">
      <c r="A1414" s="30" t="s">
        <v>115</v>
      </c>
      <c r="B1414" s="30">
        <v>2016</v>
      </c>
      <c r="C1414" s="30" t="s">
        <v>107</v>
      </c>
      <c r="D1414" s="30">
        <v>9</v>
      </c>
      <c r="E1414" s="30">
        <v>53.5</v>
      </c>
      <c r="F1414" s="30">
        <v>39.1</v>
      </c>
    </row>
    <row r="1415" spans="1:6" hidden="1" x14ac:dyDescent="0.25">
      <c r="A1415" s="30" t="s">
        <v>115</v>
      </c>
      <c r="B1415" s="30">
        <v>2016</v>
      </c>
      <c r="C1415" s="30" t="s">
        <v>108</v>
      </c>
      <c r="D1415" s="30">
        <v>10</v>
      </c>
      <c r="E1415" s="30">
        <v>188.3</v>
      </c>
      <c r="F1415" s="30">
        <v>1.3</v>
      </c>
    </row>
    <row r="1416" spans="1:6" hidden="1" x14ac:dyDescent="0.25">
      <c r="A1416" s="30" t="s">
        <v>115</v>
      </c>
      <c r="B1416" s="30">
        <v>2016</v>
      </c>
      <c r="C1416" s="30" t="s">
        <v>109</v>
      </c>
      <c r="D1416" s="30">
        <v>11</v>
      </c>
      <c r="E1416" s="30">
        <v>261.10000000000002</v>
      </c>
      <c r="F1416" s="30">
        <v>0</v>
      </c>
    </row>
    <row r="1417" spans="1:6" hidden="1" x14ac:dyDescent="0.25">
      <c r="A1417" s="30" t="s">
        <v>115</v>
      </c>
      <c r="B1417" s="30">
        <v>2016</v>
      </c>
      <c r="C1417" s="30" t="s">
        <v>110</v>
      </c>
      <c r="D1417" s="30">
        <v>12</v>
      </c>
      <c r="E1417" s="30">
        <v>317.7</v>
      </c>
      <c r="F1417" s="30">
        <v>0</v>
      </c>
    </row>
    <row r="1418" spans="1:6" x14ac:dyDescent="0.25">
      <c r="A1418" s="30" t="s">
        <v>116</v>
      </c>
      <c r="B1418" s="30">
        <v>2016</v>
      </c>
      <c r="C1418" s="30" t="s">
        <v>99</v>
      </c>
      <c r="D1418" s="30">
        <v>1</v>
      </c>
      <c r="E1418" s="30">
        <v>314.5</v>
      </c>
      <c r="F1418" s="30">
        <v>0</v>
      </c>
    </row>
    <row r="1419" spans="1:6" x14ac:dyDescent="0.25">
      <c r="A1419" s="30" t="s">
        <v>116</v>
      </c>
      <c r="B1419" s="30">
        <v>2016</v>
      </c>
      <c r="C1419" s="30" t="s">
        <v>100</v>
      </c>
      <c r="D1419" s="30">
        <v>2</v>
      </c>
      <c r="E1419" s="30">
        <v>295.39999999999998</v>
      </c>
      <c r="F1419" s="30">
        <v>0</v>
      </c>
    </row>
    <row r="1420" spans="1:6" x14ac:dyDescent="0.25">
      <c r="A1420" s="30" t="s">
        <v>116</v>
      </c>
      <c r="B1420" s="30">
        <v>2016</v>
      </c>
      <c r="C1420" s="30" t="s">
        <v>101</v>
      </c>
      <c r="D1420" s="30">
        <v>3</v>
      </c>
      <c r="E1420" s="30">
        <v>304.39999999999998</v>
      </c>
      <c r="F1420" s="30">
        <v>0</v>
      </c>
    </row>
    <row r="1421" spans="1:6" x14ac:dyDescent="0.25">
      <c r="A1421" s="30" t="s">
        <v>116</v>
      </c>
      <c r="B1421" s="30">
        <v>2016</v>
      </c>
      <c r="C1421" s="30" t="s">
        <v>102</v>
      </c>
      <c r="D1421" s="30">
        <v>4</v>
      </c>
      <c r="E1421" s="30">
        <v>252.2</v>
      </c>
      <c r="F1421" s="30">
        <v>0</v>
      </c>
    </row>
    <row r="1422" spans="1:6" x14ac:dyDescent="0.25">
      <c r="A1422" s="30" t="s">
        <v>116</v>
      </c>
      <c r="B1422" s="30">
        <v>2016</v>
      </c>
      <c r="C1422" s="30" t="s">
        <v>103</v>
      </c>
      <c r="D1422" s="30">
        <v>5</v>
      </c>
      <c r="E1422" s="30">
        <v>105.2</v>
      </c>
      <c r="F1422" s="30">
        <v>0</v>
      </c>
    </row>
    <row r="1423" spans="1:6" x14ac:dyDescent="0.25">
      <c r="A1423" s="30" t="s">
        <v>116</v>
      </c>
      <c r="B1423" s="30">
        <v>2016</v>
      </c>
      <c r="C1423" s="30" t="s">
        <v>104</v>
      </c>
      <c r="D1423" s="30">
        <v>6</v>
      </c>
      <c r="E1423" s="30">
        <v>45.5</v>
      </c>
      <c r="F1423" s="30">
        <v>12.3</v>
      </c>
    </row>
    <row r="1424" spans="1:6" x14ac:dyDescent="0.25">
      <c r="A1424" s="30" t="s">
        <v>116</v>
      </c>
      <c r="B1424" s="30">
        <v>2016</v>
      </c>
      <c r="C1424" s="30" t="s">
        <v>105</v>
      </c>
      <c r="D1424" s="30">
        <v>7</v>
      </c>
      <c r="E1424" s="30">
        <v>17.5</v>
      </c>
      <c r="F1424" s="30">
        <v>47.8</v>
      </c>
    </row>
    <row r="1425" spans="1:6" x14ac:dyDescent="0.25">
      <c r="A1425" s="30" t="s">
        <v>116</v>
      </c>
      <c r="B1425" s="30">
        <v>2016</v>
      </c>
      <c r="C1425" s="30" t="s">
        <v>106</v>
      </c>
      <c r="D1425" s="30">
        <v>8</v>
      </c>
      <c r="E1425" s="30">
        <v>14</v>
      </c>
      <c r="F1425" s="30">
        <v>62.1</v>
      </c>
    </row>
    <row r="1426" spans="1:6" x14ac:dyDescent="0.25">
      <c r="A1426" s="30" t="s">
        <v>116</v>
      </c>
      <c r="B1426" s="30">
        <v>2016</v>
      </c>
      <c r="C1426" s="30" t="s">
        <v>107</v>
      </c>
      <c r="D1426" s="30">
        <v>9</v>
      </c>
      <c r="E1426" s="30">
        <v>23.2</v>
      </c>
      <c r="F1426" s="30">
        <v>29.2</v>
      </c>
    </row>
    <row r="1427" spans="1:6" x14ac:dyDescent="0.25">
      <c r="A1427" s="30" t="s">
        <v>116</v>
      </c>
      <c r="B1427" s="30">
        <v>2016</v>
      </c>
      <c r="C1427" s="30" t="s">
        <v>108</v>
      </c>
      <c r="D1427" s="30">
        <v>10</v>
      </c>
      <c r="E1427" s="30">
        <v>180.4</v>
      </c>
      <c r="F1427" s="30">
        <v>0</v>
      </c>
    </row>
    <row r="1428" spans="1:6" x14ac:dyDescent="0.25">
      <c r="A1428" s="30" t="s">
        <v>116</v>
      </c>
      <c r="B1428" s="30">
        <v>2016</v>
      </c>
      <c r="C1428" s="30" t="s">
        <v>109</v>
      </c>
      <c r="D1428" s="30">
        <v>11</v>
      </c>
      <c r="E1428" s="30">
        <v>261.60000000000002</v>
      </c>
      <c r="F1428" s="30">
        <v>0</v>
      </c>
    </row>
    <row r="1429" spans="1:6" x14ac:dyDescent="0.25">
      <c r="A1429" s="30" t="s">
        <v>116</v>
      </c>
      <c r="B1429" s="30">
        <v>2016</v>
      </c>
      <c r="C1429" s="30" t="s">
        <v>110</v>
      </c>
      <c r="D1429" s="30">
        <v>12</v>
      </c>
      <c r="E1429" s="30">
        <v>333.6</v>
      </c>
      <c r="F1429" s="30">
        <v>0</v>
      </c>
    </row>
    <row r="1430" spans="1:6" hidden="1" x14ac:dyDescent="0.25">
      <c r="A1430" s="30" t="s">
        <v>98</v>
      </c>
      <c r="B1430" s="30">
        <v>2017</v>
      </c>
      <c r="C1430" s="30" t="s">
        <v>99</v>
      </c>
      <c r="D1430" s="30">
        <v>1</v>
      </c>
      <c r="E1430" s="30">
        <v>401.6</v>
      </c>
      <c r="F1430" s="30">
        <v>0</v>
      </c>
    </row>
    <row r="1431" spans="1:6" hidden="1" x14ac:dyDescent="0.25">
      <c r="A1431" s="30" t="s">
        <v>98</v>
      </c>
      <c r="B1431" s="30">
        <v>2017</v>
      </c>
      <c r="C1431" s="30" t="s">
        <v>100</v>
      </c>
      <c r="D1431" s="30">
        <v>2</v>
      </c>
      <c r="E1431" s="30">
        <v>284.89999999999998</v>
      </c>
      <c r="F1431" s="30">
        <v>0</v>
      </c>
    </row>
    <row r="1432" spans="1:6" hidden="1" x14ac:dyDescent="0.25">
      <c r="A1432" s="30" t="s">
        <v>98</v>
      </c>
      <c r="B1432" s="30">
        <v>2017</v>
      </c>
      <c r="C1432" s="30" t="s">
        <v>101</v>
      </c>
      <c r="D1432" s="30">
        <v>3</v>
      </c>
      <c r="E1432" s="30">
        <v>247.2</v>
      </c>
      <c r="F1432" s="30">
        <v>1.1000000000000001</v>
      </c>
    </row>
    <row r="1433" spans="1:6" hidden="1" x14ac:dyDescent="0.25">
      <c r="A1433" s="30" t="s">
        <v>98</v>
      </c>
      <c r="B1433" s="30">
        <v>2017</v>
      </c>
      <c r="C1433" s="30" t="s">
        <v>102</v>
      </c>
      <c r="D1433" s="30">
        <v>4</v>
      </c>
      <c r="E1433" s="30">
        <v>257.7</v>
      </c>
      <c r="F1433" s="30">
        <v>1.7</v>
      </c>
    </row>
    <row r="1434" spans="1:6" hidden="1" x14ac:dyDescent="0.25">
      <c r="A1434" s="30" t="s">
        <v>98</v>
      </c>
      <c r="B1434" s="30">
        <v>2017</v>
      </c>
      <c r="C1434" s="30" t="s">
        <v>103</v>
      </c>
      <c r="D1434" s="30">
        <v>5</v>
      </c>
      <c r="E1434" s="30">
        <v>132.69999999999999</v>
      </c>
      <c r="F1434" s="30">
        <v>16.100000000000001</v>
      </c>
    </row>
    <row r="1435" spans="1:6" hidden="1" x14ac:dyDescent="0.25">
      <c r="A1435" s="30" t="s">
        <v>98</v>
      </c>
      <c r="B1435" s="30">
        <v>2017</v>
      </c>
      <c r="C1435" s="30" t="s">
        <v>104</v>
      </c>
      <c r="D1435" s="30">
        <v>6</v>
      </c>
      <c r="E1435" s="30">
        <v>71.3</v>
      </c>
      <c r="F1435" s="30">
        <v>37</v>
      </c>
    </row>
    <row r="1436" spans="1:6" hidden="1" x14ac:dyDescent="0.25">
      <c r="A1436" s="30" t="s">
        <v>98</v>
      </c>
      <c r="B1436" s="30">
        <v>2017</v>
      </c>
      <c r="C1436" s="30" t="s">
        <v>105</v>
      </c>
      <c r="D1436" s="30">
        <v>7</v>
      </c>
      <c r="E1436" s="30">
        <v>47.1</v>
      </c>
      <c r="F1436" s="30">
        <v>33.700000000000003</v>
      </c>
    </row>
    <row r="1437" spans="1:6" hidden="1" x14ac:dyDescent="0.25">
      <c r="A1437" s="30" t="s">
        <v>98</v>
      </c>
      <c r="B1437" s="30">
        <v>2017</v>
      </c>
      <c r="C1437" s="30" t="s">
        <v>106</v>
      </c>
      <c r="D1437" s="30">
        <v>8</v>
      </c>
      <c r="E1437" s="30">
        <v>63.6</v>
      </c>
      <c r="F1437" s="30">
        <v>28.1</v>
      </c>
    </row>
    <row r="1438" spans="1:6" hidden="1" x14ac:dyDescent="0.25">
      <c r="A1438" s="30" t="s">
        <v>98</v>
      </c>
      <c r="B1438" s="30">
        <v>2017</v>
      </c>
      <c r="C1438" s="30" t="s">
        <v>107</v>
      </c>
      <c r="D1438" s="30">
        <v>9</v>
      </c>
      <c r="E1438" s="30">
        <v>108.3</v>
      </c>
      <c r="F1438" s="30">
        <v>4.8</v>
      </c>
    </row>
    <row r="1439" spans="1:6" hidden="1" x14ac:dyDescent="0.25">
      <c r="A1439" s="30" t="s">
        <v>98</v>
      </c>
      <c r="B1439" s="30">
        <v>2017</v>
      </c>
      <c r="C1439" s="30" t="s">
        <v>108</v>
      </c>
      <c r="D1439" s="30">
        <v>10</v>
      </c>
      <c r="E1439" s="30">
        <v>131.80000000000001</v>
      </c>
      <c r="F1439" s="30">
        <v>3.8</v>
      </c>
    </row>
    <row r="1440" spans="1:6" hidden="1" x14ac:dyDescent="0.25">
      <c r="A1440" s="30" t="s">
        <v>98</v>
      </c>
      <c r="B1440" s="30">
        <v>2017</v>
      </c>
      <c r="C1440" s="30" t="s">
        <v>109</v>
      </c>
      <c r="D1440" s="30">
        <v>11</v>
      </c>
      <c r="E1440" s="30">
        <v>275.5</v>
      </c>
      <c r="F1440" s="30">
        <v>0</v>
      </c>
    </row>
    <row r="1441" spans="1:6" hidden="1" x14ac:dyDescent="0.25">
      <c r="A1441" s="30" t="s">
        <v>98</v>
      </c>
      <c r="B1441" s="30">
        <v>2017</v>
      </c>
      <c r="C1441" s="30" t="s">
        <v>110</v>
      </c>
      <c r="D1441" s="30">
        <v>12</v>
      </c>
      <c r="E1441" s="30">
        <v>327.60000000000002</v>
      </c>
      <c r="F1441" s="30">
        <v>0</v>
      </c>
    </row>
    <row r="1442" spans="1:6" hidden="1" x14ac:dyDescent="0.25">
      <c r="A1442" s="30" t="s">
        <v>111</v>
      </c>
      <c r="B1442" s="30">
        <v>2017</v>
      </c>
      <c r="C1442" s="30" t="s">
        <v>99</v>
      </c>
      <c r="D1442" s="30">
        <v>1</v>
      </c>
      <c r="E1442" s="30">
        <v>375.5</v>
      </c>
      <c r="F1442" s="30">
        <v>0</v>
      </c>
    </row>
    <row r="1443" spans="1:6" hidden="1" x14ac:dyDescent="0.25">
      <c r="A1443" s="30" t="s">
        <v>111</v>
      </c>
      <c r="B1443" s="30">
        <v>2017</v>
      </c>
      <c r="C1443" s="30" t="s">
        <v>100</v>
      </c>
      <c r="D1443" s="30">
        <v>2</v>
      </c>
      <c r="E1443" s="30">
        <v>281.5</v>
      </c>
      <c r="F1443" s="30">
        <v>0</v>
      </c>
    </row>
    <row r="1444" spans="1:6" hidden="1" x14ac:dyDescent="0.25">
      <c r="A1444" s="30" t="s">
        <v>111</v>
      </c>
      <c r="B1444" s="30">
        <v>2017</v>
      </c>
      <c r="C1444" s="30" t="s">
        <v>101</v>
      </c>
      <c r="D1444" s="30">
        <v>3</v>
      </c>
      <c r="E1444" s="30">
        <v>245.6</v>
      </c>
      <c r="F1444" s="30">
        <v>0.6</v>
      </c>
    </row>
    <row r="1445" spans="1:6" hidden="1" x14ac:dyDescent="0.25">
      <c r="A1445" s="30" t="s">
        <v>111</v>
      </c>
      <c r="B1445" s="30">
        <v>2017</v>
      </c>
      <c r="C1445" s="30" t="s">
        <v>102</v>
      </c>
      <c r="D1445" s="30">
        <v>4</v>
      </c>
      <c r="E1445" s="30">
        <v>249.5</v>
      </c>
      <c r="F1445" s="30">
        <v>1.7</v>
      </c>
    </row>
    <row r="1446" spans="1:6" hidden="1" x14ac:dyDescent="0.25">
      <c r="A1446" s="30" t="s">
        <v>111</v>
      </c>
      <c r="B1446" s="30">
        <v>2017</v>
      </c>
      <c r="C1446" s="30" t="s">
        <v>103</v>
      </c>
      <c r="D1446" s="30">
        <v>5</v>
      </c>
      <c r="E1446" s="30">
        <v>124.3</v>
      </c>
      <c r="F1446" s="30">
        <v>17.600000000000001</v>
      </c>
    </row>
    <row r="1447" spans="1:6" hidden="1" x14ac:dyDescent="0.25">
      <c r="A1447" s="30" t="s">
        <v>111</v>
      </c>
      <c r="B1447" s="30">
        <v>2017</v>
      </c>
      <c r="C1447" s="30" t="s">
        <v>104</v>
      </c>
      <c r="D1447" s="30">
        <v>6</v>
      </c>
      <c r="E1447" s="30">
        <v>76.400000000000006</v>
      </c>
      <c r="F1447" s="30">
        <v>34.200000000000003</v>
      </c>
    </row>
    <row r="1448" spans="1:6" hidden="1" x14ac:dyDescent="0.25">
      <c r="A1448" s="30" t="s">
        <v>111</v>
      </c>
      <c r="B1448" s="30">
        <v>2017</v>
      </c>
      <c r="C1448" s="30" t="s">
        <v>105</v>
      </c>
      <c r="D1448" s="30">
        <v>7</v>
      </c>
      <c r="E1448" s="30">
        <v>60.1</v>
      </c>
      <c r="F1448" s="30">
        <v>27.9</v>
      </c>
    </row>
    <row r="1449" spans="1:6" hidden="1" x14ac:dyDescent="0.25">
      <c r="A1449" s="30" t="s">
        <v>111</v>
      </c>
      <c r="B1449" s="30">
        <v>2017</v>
      </c>
      <c r="C1449" s="30" t="s">
        <v>106</v>
      </c>
      <c r="D1449" s="30">
        <v>8</v>
      </c>
      <c r="E1449" s="30">
        <v>74.8</v>
      </c>
      <c r="F1449" s="30">
        <v>22.3</v>
      </c>
    </row>
    <row r="1450" spans="1:6" hidden="1" x14ac:dyDescent="0.25">
      <c r="A1450" s="30" t="s">
        <v>111</v>
      </c>
      <c r="B1450" s="30">
        <v>2017</v>
      </c>
      <c r="C1450" s="30" t="s">
        <v>107</v>
      </c>
      <c r="D1450" s="30">
        <v>9</v>
      </c>
      <c r="E1450" s="30">
        <v>118.7</v>
      </c>
      <c r="F1450" s="30">
        <v>0.9</v>
      </c>
    </row>
    <row r="1451" spans="1:6" hidden="1" x14ac:dyDescent="0.25">
      <c r="A1451" s="30" t="s">
        <v>111</v>
      </c>
      <c r="B1451" s="30">
        <v>2017</v>
      </c>
      <c r="C1451" s="30" t="s">
        <v>108</v>
      </c>
      <c r="D1451" s="30">
        <v>10</v>
      </c>
      <c r="E1451" s="30">
        <v>149.19999999999999</v>
      </c>
      <c r="F1451" s="30">
        <v>3.2</v>
      </c>
    </row>
    <row r="1452" spans="1:6" hidden="1" x14ac:dyDescent="0.25">
      <c r="A1452" s="30" t="s">
        <v>111</v>
      </c>
      <c r="B1452" s="30">
        <v>2017</v>
      </c>
      <c r="C1452" s="30" t="s">
        <v>109</v>
      </c>
      <c r="D1452" s="30">
        <v>11</v>
      </c>
      <c r="E1452" s="30">
        <v>261.60000000000002</v>
      </c>
      <c r="F1452" s="30">
        <v>0</v>
      </c>
    </row>
    <row r="1453" spans="1:6" hidden="1" x14ac:dyDescent="0.25">
      <c r="A1453" s="30" t="s">
        <v>111</v>
      </c>
      <c r="B1453" s="30">
        <v>2017</v>
      </c>
      <c r="C1453" s="30" t="s">
        <v>110</v>
      </c>
      <c r="D1453" s="30">
        <v>12</v>
      </c>
      <c r="E1453" s="30">
        <v>300</v>
      </c>
      <c r="F1453" s="30">
        <v>0</v>
      </c>
    </row>
    <row r="1454" spans="1:6" hidden="1" x14ac:dyDescent="0.25">
      <c r="A1454" s="30" t="s">
        <v>112</v>
      </c>
      <c r="B1454" s="30">
        <v>2017</v>
      </c>
      <c r="C1454" s="30" t="s">
        <v>99</v>
      </c>
      <c r="D1454" s="30">
        <v>1</v>
      </c>
      <c r="E1454" s="30">
        <v>390.2</v>
      </c>
      <c r="F1454" s="30">
        <v>0</v>
      </c>
    </row>
    <row r="1455" spans="1:6" hidden="1" x14ac:dyDescent="0.25">
      <c r="A1455" s="30" t="s">
        <v>112</v>
      </c>
      <c r="B1455" s="30">
        <v>2017</v>
      </c>
      <c r="C1455" s="30" t="s">
        <v>100</v>
      </c>
      <c r="D1455" s="30">
        <v>2</v>
      </c>
      <c r="E1455" s="30">
        <v>280.5</v>
      </c>
      <c r="F1455" s="30">
        <v>0</v>
      </c>
    </row>
    <row r="1456" spans="1:6" hidden="1" x14ac:dyDescent="0.25">
      <c r="A1456" s="30" t="s">
        <v>112</v>
      </c>
      <c r="B1456" s="30">
        <v>2017</v>
      </c>
      <c r="C1456" s="30" t="s">
        <v>101</v>
      </c>
      <c r="D1456" s="30">
        <v>3</v>
      </c>
      <c r="E1456" s="30">
        <v>236.2</v>
      </c>
      <c r="F1456" s="30">
        <v>0.1</v>
      </c>
    </row>
    <row r="1457" spans="1:6" hidden="1" x14ac:dyDescent="0.25">
      <c r="A1457" s="30" t="s">
        <v>112</v>
      </c>
      <c r="B1457" s="30">
        <v>2017</v>
      </c>
      <c r="C1457" s="30" t="s">
        <v>102</v>
      </c>
      <c r="D1457" s="30">
        <v>4</v>
      </c>
      <c r="E1457" s="30">
        <v>224.2</v>
      </c>
      <c r="F1457" s="30">
        <v>1.3</v>
      </c>
    </row>
    <row r="1458" spans="1:6" hidden="1" x14ac:dyDescent="0.25">
      <c r="A1458" s="30" t="s">
        <v>112</v>
      </c>
      <c r="B1458" s="30">
        <v>2017</v>
      </c>
      <c r="C1458" s="30" t="s">
        <v>103</v>
      </c>
      <c r="D1458" s="30">
        <v>5</v>
      </c>
      <c r="E1458" s="30">
        <v>122.4</v>
      </c>
      <c r="F1458" s="30">
        <v>16.899999999999999</v>
      </c>
    </row>
    <row r="1459" spans="1:6" hidden="1" x14ac:dyDescent="0.25">
      <c r="A1459" s="30" t="s">
        <v>112</v>
      </c>
      <c r="B1459" s="30">
        <v>2017</v>
      </c>
      <c r="C1459" s="30" t="s">
        <v>104</v>
      </c>
      <c r="D1459" s="30">
        <v>6</v>
      </c>
      <c r="E1459" s="30">
        <v>70</v>
      </c>
      <c r="F1459" s="30">
        <v>44.8</v>
      </c>
    </row>
    <row r="1460" spans="1:6" hidden="1" x14ac:dyDescent="0.25">
      <c r="A1460" s="30" t="s">
        <v>112</v>
      </c>
      <c r="B1460" s="30">
        <v>2017</v>
      </c>
      <c r="C1460" s="30" t="s">
        <v>105</v>
      </c>
      <c r="D1460" s="30">
        <v>7</v>
      </c>
      <c r="E1460" s="30">
        <v>46.5</v>
      </c>
      <c r="F1460" s="30">
        <v>47.6</v>
      </c>
    </row>
    <row r="1461" spans="1:6" hidden="1" x14ac:dyDescent="0.25">
      <c r="A1461" s="30" t="s">
        <v>112</v>
      </c>
      <c r="B1461" s="30">
        <v>2017</v>
      </c>
      <c r="C1461" s="30" t="s">
        <v>106</v>
      </c>
      <c r="D1461" s="30">
        <v>8</v>
      </c>
      <c r="E1461" s="30">
        <v>59.5</v>
      </c>
      <c r="F1461" s="30">
        <v>42.3</v>
      </c>
    </row>
    <row r="1462" spans="1:6" hidden="1" x14ac:dyDescent="0.25">
      <c r="A1462" s="30" t="s">
        <v>112</v>
      </c>
      <c r="B1462" s="30">
        <v>2017</v>
      </c>
      <c r="C1462" s="30" t="s">
        <v>107</v>
      </c>
      <c r="D1462" s="30">
        <v>9</v>
      </c>
      <c r="E1462" s="30">
        <v>114.2</v>
      </c>
      <c r="F1462" s="30">
        <v>2.8</v>
      </c>
    </row>
    <row r="1463" spans="1:6" hidden="1" x14ac:dyDescent="0.25">
      <c r="A1463" s="30" t="s">
        <v>112</v>
      </c>
      <c r="B1463" s="30">
        <v>2017</v>
      </c>
      <c r="C1463" s="30" t="s">
        <v>108</v>
      </c>
      <c r="D1463" s="30">
        <v>10</v>
      </c>
      <c r="E1463" s="30">
        <v>132.30000000000001</v>
      </c>
      <c r="F1463" s="30">
        <v>1.9</v>
      </c>
    </row>
    <row r="1464" spans="1:6" hidden="1" x14ac:dyDescent="0.25">
      <c r="A1464" s="30" t="s">
        <v>112</v>
      </c>
      <c r="B1464" s="30">
        <v>2017</v>
      </c>
      <c r="C1464" s="30" t="s">
        <v>109</v>
      </c>
      <c r="D1464" s="30">
        <v>11</v>
      </c>
      <c r="E1464" s="30">
        <v>264.60000000000002</v>
      </c>
      <c r="F1464" s="30">
        <v>0</v>
      </c>
    </row>
    <row r="1465" spans="1:6" hidden="1" x14ac:dyDescent="0.25">
      <c r="A1465" s="30" t="s">
        <v>112</v>
      </c>
      <c r="B1465" s="30">
        <v>2017</v>
      </c>
      <c r="C1465" s="30" t="s">
        <v>110</v>
      </c>
      <c r="D1465" s="30">
        <v>12</v>
      </c>
      <c r="E1465" s="30">
        <v>308.10000000000002</v>
      </c>
      <c r="F1465" s="30">
        <v>0</v>
      </c>
    </row>
    <row r="1466" spans="1:6" hidden="1" x14ac:dyDescent="0.25">
      <c r="A1466" s="30" t="s">
        <v>113</v>
      </c>
      <c r="B1466" s="30">
        <v>2017</v>
      </c>
      <c r="C1466" s="30" t="s">
        <v>99</v>
      </c>
      <c r="D1466" s="30">
        <v>1</v>
      </c>
      <c r="E1466" s="30">
        <v>446.4</v>
      </c>
      <c r="F1466" s="30">
        <v>0</v>
      </c>
    </row>
    <row r="1467" spans="1:6" hidden="1" x14ac:dyDescent="0.25">
      <c r="A1467" s="30" t="s">
        <v>113</v>
      </c>
      <c r="B1467" s="30">
        <v>2017</v>
      </c>
      <c r="C1467" s="30" t="s">
        <v>100</v>
      </c>
      <c r="D1467" s="30">
        <v>2</v>
      </c>
      <c r="E1467" s="30">
        <v>284.39999999999998</v>
      </c>
      <c r="F1467" s="30">
        <v>0</v>
      </c>
    </row>
    <row r="1468" spans="1:6" hidden="1" x14ac:dyDescent="0.25">
      <c r="A1468" s="30" t="s">
        <v>113</v>
      </c>
      <c r="B1468" s="30">
        <v>2017</v>
      </c>
      <c r="C1468" s="30" t="s">
        <v>101</v>
      </c>
      <c r="D1468" s="30">
        <v>3</v>
      </c>
      <c r="E1468" s="30">
        <v>233.1</v>
      </c>
      <c r="F1468" s="30">
        <v>2.5</v>
      </c>
    </row>
    <row r="1469" spans="1:6" hidden="1" x14ac:dyDescent="0.25">
      <c r="A1469" s="30" t="s">
        <v>113</v>
      </c>
      <c r="B1469" s="30">
        <v>2017</v>
      </c>
      <c r="C1469" s="30" t="s">
        <v>102</v>
      </c>
      <c r="D1469" s="30">
        <v>4</v>
      </c>
      <c r="E1469" s="30">
        <v>237.1</v>
      </c>
      <c r="F1469" s="30">
        <v>3.8</v>
      </c>
    </row>
    <row r="1470" spans="1:6" hidden="1" x14ac:dyDescent="0.25">
      <c r="A1470" s="30" t="s">
        <v>113</v>
      </c>
      <c r="B1470" s="30">
        <v>2017</v>
      </c>
      <c r="C1470" s="30" t="s">
        <v>103</v>
      </c>
      <c r="D1470" s="30">
        <v>5</v>
      </c>
      <c r="E1470" s="30">
        <v>111.2</v>
      </c>
      <c r="F1470" s="30">
        <v>32.9</v>
      </c>
    </row>
    <row r="1471" spans="1:6" hidden="1" x14ac:dyDescent="0.25">
      <c r="A1471" s="30" t="s">
        <v>113</v>
      </c>
      <c r="B1471" s="30">
        <v>2017</v>
      </c>
      <c r="C1471" s="30" t="s">
        <v>104</v>
      </c>
      <c r="D1471" s="30">
        <v>6</v>
      </c>
      <c r="E1471" s="30">
        <v>51.5</v>
      </c>
      <c r="F1471" s="30">
        <v>79</v>
      </c>
    </row>
    <row r="1472" spans="1:6" hidden="1" x14ac:dyDescent="0.25">
      <c r="A1472" s="30" t="s">
        <v>113</v>
      </c>
      <c r="B1472" s="30">
        <v>2017</v>
      </c>
      <c r="C1472" s="30" t="s">
        <v>105</v>
      </c>
      <c r="D1472" s="30">
        <v>7</v>
      </c>
      <c r="E1472" s="30">
        <v>31.8</v>
      </c>
      <c r="F1472" s="30">
        <v>88.3</v>
      </c>
    </row>
    <row r="1473" spans="1:6" hidden="1" x14ac:dyDescent="0.25">
      <c r="A1473" s="30" t="s">
        <v>113</v>
      </c>
      <c r="B1473" s="30">
        <v>2017</v>
      </c>
      <c r="C1473" s="30" t="s">
        <v>106</v>
      </c>
      <c r="D1473" s="30">
        <v>8</v>
      </c>
      <c r="E1473" s="30">
        <v>43.4</v>
      </c>
      <c r="F1473" s="30">
        <v>74.400000000000006</v>
      </c>
    </row>
    <row r="1474" spans="1:6" hidden="1" x14ac:dyDescent="0.25">
      <c r="A1474" s="30" t="s">
        <v>113</v>
      </c>
      <c r="B1474" s="30">
        <v>2017</v>
      </c>
      <c r="C1474" s="30" t="s">
        <v>107</v>
      </c>
      <c r="D1474" s="30">
        <v>9</v>
      </c>
      <c r="E1474" s="30">
        <v>102.2</v>
      </c>
      <c r="F1474" s="30">
        <v>12</v>
      </c>
    </row>
    <row r="1475" spans="1:6" hidden="1" x14ac:dyDescent="0.25">
      <c r="A1475" s="30" t="s">
        <v>113</v>
      </c>
      <c r="B1475" s="30">
        <v>2017</v>
      </c>
      <c r="C1475" s="30" t="s">
        <v>108</v>
      </c>
      <c r="D1475" s="30">
        <v>10</v>
      </c>
      <c r="E1475" s="30">
        <v>125.8</v>
      </c>
      <c r="F1475" s="30">
        <v>7.2</v>
      </c>
    </row>
    <row r="1476" spans="1:6" hidden="1" x14ac:dyDescent="0.25">
      <c r="A1476" s="30" t="s">
        <v>113</v>
      </c>
      <c r="B1476" s="30">
        <v>2017</v>
      </c>
      <c r="C1476" s="30" t="s">
        <v>109</v>
      </c>
      <c r="D1476" s="30">
        <v>11</v>
      </c>
      <c r="E1476" s="30">
        <v>290.8</v>
      </c>
      <c r="F1476" s="30">
        <v>0</v>
      </c>
    </row>
    <row r="1477" spans="1:6" hidden="1" x14ac:dyDescent="0.25">
      <c r="A1477" s="30" t="s">
        <v>113</v>
      </c>
      <c r="B1477" s="30">
        <v>2017</v>
      </c>
      <c r="C1477" s="30" t="s">
        <v>110</v>
      </c>
      <c r="D1477" s="30">
        <v>12</v>
      </c>
      <c r="E1477" s="30">
        <v>340</v>
      </c>
      <c r="F1477" s="30">
        <v>0</v>
      </c>
    </row>
    <row r="1478" spans="1:6" hidden="1" x14ac:dyDescent="0.25">
      <c r="A1478" s="30" t="s">
        <v>114</v>
      </c>
      <c r="B1478" s="30">
        <v>2017</v>
      </c>
      <c r="C1478" s="30" t="s">
        <v>99</v>
      </c>
      <c r="D1478" s="30">
        <v>1</v>
      </c>
      <c r="E1478" s="30">
        <v>416.4</v>
      </c>
      <c r="F1478" s="30">
        <v>0</v>
      </c>
    </row>
    <row r="1479" spans="1:6" hidden="1" x14ac:dyDescent="0.25">
      <c r="A1479" s="30" t="s">
        <v>114</v>
      </c>
      <c r="B1479" s="30">
        <v>2017</v>
      </c>
      <c r="C1479" s="30" t="s">
        <v>100</v>
      </c>
      <c r="D1479" s="30">
        <v>2</v>
      </c>
      <c r="E1479" s="30">
        <v>276.60000000000002</v>
      </c>
      <c r="F1479" s="30">
        <v>0</v>
      </c>
    </row>
    <row r="1480" spans="1:6" hidden="1" x14ac:dyDescent="0.25">
      <c r="A1480" s="30" t="s">
        <v>114</v>
      </c>
      <c r="B1480" s="30">
        <v>2017</v>
      </c>
      <c r="C1480" s="30" t="s">
        <v>101</v>
      </c>
      <c r="D1480" s="30">
        <v>3</v>
      </c>
      <c r="E1480" s="30">
        <v>232.6</v>
      </c>
      <c r="F1480" s="30">
        <v>1.9</v>
      </c>
    </row>
    <row r="1481" spans="1:6" hidden="1" x14ac:dyDescent="0.25">
      <c r="A1481" s="30" t="s">
        <v>114</v>
      </c>
      <c r="B1481" s="30">
        <v>2017</v>
      </c>
      <c r="C1481" s="30" t="s">
        <v>102</v>
      </c>
      <c r="D1481" s="30">
        <v>4</v>
      </c>
      <c r="E1481" s="30">
        <v>242.8</v>
      </c>
      <c r="F1481" s="30">
        <v>2.7</v>
      </c>
    </row>
    <row r="1482" spans="1:6" hidden="1" x14ac:dyDescent="0.25">
      <c r="A1482" s="30" t="s">
        <v>114</v>
      </c>
      <c r="B1482" s="30">
        <v>2017</v>
      </c>
      <c r="C1482" s="30" t="s">
        <v>103</v>
      </c>
      <c r="D1482" s="30">
        <v>5</v>
      </c>
      <c r="E1482" s="30">
        <v>119.6</v>
      </c>
      <c r="F1482" s="30">
        <v>21.3</v>
      </c>
    </row>
    <row r="1483" spans="1:6" hidden="1" x14ac:dyDescent="0.25">
      <c r="A1483" s="30" t="s">
        <v>114</v>
      </c>
      <c r="B1483" s="30">
        <v>2017</v>
      </c>
      <c r="C1483" s="30" t="s">
        <v>104</v>
      </c>
      <c r="D1483" s="30">
        <v>6</v>
      </c>
      <c r="E1483" s="30">
        <v>58.8</v>
      </c>
      <c r="F1483" s="30">
        <v>47.1</v>
      </c>
    </row>
    <row r="1484" spans="1:6" hidden="1" x14ac:dyDescent="0.25">
      <c r="A1484" s="30" t="s">
        <v>114</v>
      </c>
      <c r="B1484" s="30">
        <v>2017</v>
      </c>
      <c r="C1484" s="30" t="s">
        <v>105</v>
      </c>
      <c r="D1484" s="30">
        <v>7</v>
      </c>
      <c r="E1484" s="30">
        <v>35.4</v>
      </c>
      <c r="F1484" s="30">
        <v>46.7</v>
      </c>
    </row>
    <row r="1485" spans="1:6" hidden="1" x14ac:dyDescent="0.25">
      <c r="A1485" s="30" t="s">
        <v>114</v>
      </c>
      <c r="B1485" s="30">
        <v>2017</v>
      </c>
      <c r="C1485" s="30" t="s">
        <v>106</v>
      </c>
      <c r="D1485" s="30">
        <v>8</v>
      </c>
      <c r="E1485" s="30">
        <v>52.8</v>
      </c>
      <c r="F1485" s="30">
        <v>39.799999999999997</v>
      </c>
    </row>
    <row r="1486" spans="1:6" hidden="1" x14ac:dyDescent="0.25">
      <c r="A1486" s="30" t="s">
        <v>114</v>
      </c>
      <c r="B1486" s="30">
        <v>2017</v>
      </c>
      <c r="C1486" s="30" t="s">
        <v>107</v>
      </c>
      <c r="D1486" s="30">
        <v>9</v>
      </c>
      <c r="E1486" s="30">
        <v>99.6</v>
      </c>
      <c r="F1486" s="30">
        <v>6.4</v>
      </c>
    </row>
    <row r="1487" spans="1:6" hidden="1" x14ac:dyDescent="0.25">
      <c r="A1487" s="30" t="s">
        <v>114</v>
      </c>
      <c r="B1487" s="30">
        <v>2017</v>
      </c>
      <c r="C1487" s="30" t="s">
        <v>108</v>
      </c>
      <c r="D1487" s="30">
        <v>10</v>
      </c>
      <c r="E1487" s="30">
        <v>129.1</v>
      </c>
      <c r="F1487" s="30">
        <v>2.9</v>
      </c>
    </row>
    <row r="1488" spans="1:6" hidden="1" x14ac:dyDescent="0.25">
      <c r="A1488" s="30" t="s">
        <v>114</v>
      </c>
      <c r="B1488" s="30">
        <v>2017</v>
      </c>
      <c r="C1488" s="30" t="s">
        <v>109</v>
      </c>
      <c r="D1488" s="30">
        <v>11</v>
      </c>
      <c r="E1488" s="30">
        <v>268.3</v>
      </c>
      <c r="F1488" s="30">
        <v>0</v>
      </c>
    </row>
    <row r="1489" spans="1:6" hidden="1" x14ac:dyDescent="0.25">
      <c r="A1489" s="30" t="s">
        <v>114</v>
      </c>
      <c r="B1489" s="30">
        <v>2017</v>
      </c>
      <c r="C1489" s="30" t="s">
        <v>110</v>
      </c>
      <c r="D1489" s="30">
        <v>12</v>
      </c>
      <c r="E1489" s="30">
        <v>323.39999999999998</v>
      </c>
      <c r="F1489" s="30">
        <v>0</v>
      </c>
    </row>
    <row r="1490" spans="1:6" hidden="1" x14ac:dyDescent="0.25">
      <c r="A1490" s="30" t="s">
        <v>115</v>
      </c>
      <c r="B1490" s="30">
        <v>2017</v>
      </c>
      <c r="C1490" s="30" t="s">
        <v>99</v>
      </c>
      <c r="D1490" s="30">
        <v>1</v>
      </c>
      <c r="E1490" s="30">
        <v>407.8</v>
      </c>
      <c r="F1490" s="30">
        <v>0</v>
      </c>
    </row>
    <row r="1491" spans="1:6" hidden="1" x14ac:dyDescent="0.25">
      <c r="A1491" s="30" t="s">
        <v>115</v>
      </c>
      <c r="B1491" s="30">
        <v>2017</v>
      </c>
      <c r="C1491" s="30" t="s">
        <v>100</v>
      </c>
      <c r="D1491" s="30">
        <v>2</v>
      </c>
      <c r="E1491" s="30">
        <v>280</v>
      </c>
      <c r="F1491" s="30">
        <v>0</v>
      </c>
    </row>
    <row r="1492" spans="1:6" hidden="1" x14ac:dyDescent="0.25">
      <c r="A1492" s="30" t="s">
        <v>115</v>
      </c>
      <c r="B1492" s="30">
        <v>2017</v>
      </c>
      <c r="C1492" s="30" t="s">
        <v>101</v>
      </c>
      <c r="D1492" s="30">
        <v>3</v>
      </c>
      <c r="E1492" s="30">
        <v>235</v>
      </c>
      <c r="F1492" s="30">
        <v>0.1</v>
      </c>
    </row>
    <row r="1493" spans="1:6" hidden="1" x14ac:dyDescent="0.25">
      <c r="A1493" s="30" t="s">
        <v>115</v>
      </c>
      <c r="B1493" s="30">
        <v>2017</v>
      </c>
      <c r="C1493" s="30" t="s">
        <v>102</v>
      </c>
      <c r="D1493" s="30">
        <v>4</v>
      </c>
      <c r="E1493" s="30">
        <v>225.8</v>
      </c>
      <c r="F1493" s="30">
        <v>1.1000000000000001</v>
      </c>
    </row>
    <row r="1494" spans="1:6" hidden="1" x14ac:dyDescent="0.25">
      <c r="A1494" s="30" t="s">
        <v>115</v>
      </c>
      <c r="B1494" s="30">
        <v>2017</v>
      </c>
      <c r="C1494" s="30" t="s">
        <v>103</v>
      </c>
      <c r="D1494" s="30">
        <v>5</v>
      </c>
      <c r="E1494" s="30">
        <v>111.5</v>
      </c>
      <c r="F1494" s="30">
        <v>23</v>
      </c>
    </row>
    <row r="1495" spans="1:6" hidden="1" x14ac:dyDescent="0.25">
      <c r="A1495" s="30" t="s">
        <v>115</v>
      </c>
      <c r="B1495" s="30">
        <v>2017</v>
      </c>
      <c r="C1495" s="30" t="s">
        <v>104</v>
      </c>
      <c r="D1495" s="30">
        <v>6</v>
      </c>
      <c r="E1495" s="30">
        <v>59.1</v>
      </c>
      <c r="F1495" s="30">
        <v>47.9</v>
      </c>
    </row>
    <row r="1496" spans="1:6" hidden="1" x14ac:dyDescent="0.25">
      <c r="A1496" s="30" t="s">
        <v>115</v>
      </c>
      <c r="B1496" s="30">
        <v>2017</v>
      </c>
      <c r="C1496" s="30" t="s">
        <v>105</v>
      </c>
      <c r="D1496" s="30">
        <v>7</v>
      </c>
      <c r="E1496" s="30">
        <v>37.9</v>
      </c>
      <c r="F1496" s="30">
        <v>60</v>
      </c>
    </row>
    <row r="1497" spans="1:6" hidden="1" x14ac:dyDescent="0.25">
      <c r="A1497" s="30" t="s">
        <v>115</v>
      </c>
      <c r="B1497" s="30">
        <v>2017</v>
      </c>
      <c r="C1497" s="30" t="s">
        <v>106</v>
      </c>
      <c r="D1497" s="30">
        <v>8</v>
      </c>
      <c r="E1497" s="30">
        <v>53.3</v>
      </c>
      <c r="F1497" s="30">
        <v>55.3</v>
      </c>
    </row>
    <row r="1498" spans="1:6" hidden="1" x14ac:dyDescent="0.25">
      <c r="A1498" s="30" t="s">
        <v>115</v>
      </c>
      <c r="B1498" s="30">
        <v>2017</v>
      </c>
      <c r="C1498" s="30" t="s">
        <v>107</v>
      </c>
      <c r="D1498" s="30">
        <v>9</v>
      </c>
      <c r="E1498" s="30">
        <v>109.4</v>
      </c>
      <c r="F1498" s="30">
        <v>4.9000000000000004</v>
      </c>
    </row>
    <row r="1499" spans="1:6" hidden="1" x14ac:dyDescent="0.25">
      <c r="A1499" s="30" t="s">
        <v>115</v>
      </c>
      <c r="B1499" s="30">
        <v>2017</v>
      </c>
      <c r="C1499" s="30" t="s">
        <v>108</v>
      </c>
      <c r="D1499" s="30">
        <v>10</v>
      </c>
      <c r="E1499" s="30">
        <v>122.2</v>
      </c>
      <c r="F1499" s="30">
        <v>2.7</v>
      </c>
    </row>
    <row r="1500" spans="1:6" hidden="1" x14ac:dyDescent="0.25">
      <c r="A1500" s="30" t="s">
        <v>115</v>
      </c>
      <c r="B1500" s="30">
        <v>2017</v>
      </c>
      <c r="C1500" s="30" t="s">
        <v>109</v>
      </c>
      <c r="D1500" s="30">
        <v>11</v>
      </c>
      <c r="E1500" s="30">
        <v>273.7</v>
      </c>
      <c r="F1500" s="30">
        <v>0.1</v>
      </c>
    </row>
    <row r="1501" spans="1:6" hidden="1" x14ac:dyDescent="0.25">
      <c r="A1501" s="30" t="s">
        <v>115</v>
      </c>
      <c r="B1501" s="30">
        <v>2017</v>
      </c>
      <c r="C1501" s="30" t="s">
        <v>110</v>
      </c>
      <c r="D1501" s="30">
        <v>12</v>
      </c>
      <c r="E1501" s="30">
        <v>313.7</v>
      </c>
      <c r="F1501" s="30">
        <v>0</v>
      </c>
    </row>
    <row r="1502" spans="1:6" x14ac:dyDescent="0.25">
      <c r="A1502" s="30" t="s">
        <v>116</v>
      </c>
      <c r="B1502" s="30">
        <v>2017</v>
      </c>
      <c r="C1502" s="30" t="s">
        <v>99</v>
      </c>
      <c r="D1502" s="30">
        <v>1</v>
      </c>
      <c r="E1502" s="30">
        <v>424.6</v>
      </c>
      <c r="F1502" s="30">
        <v>0</v>
      </c>
    </row>
    <row r="1503" spans="1:6" x14ac:dyDescent="0.25">
      <c r="A1503" s="30" t="s">
        <v>116</v>
      </c>
      <c r="B1503" s="30">
        <v>2017</v>
      </c>
      <c r="C1503" s="30" t="s">
        <v>100</v>
      </c>
      <c r="D1503" s="30">
        <v>2</v>
      </c>
      <c r="E1503" s="30">
        <v>275.5</v>
      </c>
      <c r="F1503" s="30">
        <v>0</v>
      </c>
    </row>
    <row r="1504" spans="1:6" x14ac:dyDescent="0.25">
      <c r="A1504" s="30" t="s">
        <v>116</v>
      </c>
      <c r="B1504" s="30">
        <v>2017</v>
      </c>
      <c r="C1504" s="30" t="s">
        <v>101</v>
      </c>
      <c r="D1504" s="30">
        <v>3</v>
      </c>
      <c r="E1504" s="30">
        <v>218.4</v>
      </c>
      <c r="F1504" s="30">
        <v>0</v>
      </c>
    </row>
    <row r="1505" spans="1:6" x14ac:dyDescent="0.25">
      <c r="A1505" s="30" t="s">
        <v>116</v>
      </c>
      <c r="B1505" s="30">
        <v>2017</v>
      </c>
      <c r="C1505" s="30" t="s">
        <v>102</v>
      </c>
      <c r="D1505" s="30">
        <v>4</v>
      </c>
      <c r="E1505" s="30">
        <v>206.4</v>
      </c>
      <c r="F1505" s="30">
        <v>0</v>
      </c>
    </row>
    <row r="1506" spans="1:6" x14ac:dyDescent="0.25">
      <c r="A1506" s="30" t="s">
        <v>116</v>
      </c>
      <c r="B1506" s="30">
        <v>2017</v>
      </c>
      <c r="C1506" s="30" t="s">
        <v>103</v>
      </c>
      <c r="D1506" s="30">
        <v>5</v>
      </c>
      <c r="E1506" s="30">
        <v>83.9</v>
      </c>
      <c r="F1506" s="30">
        <v>18.899999999999999</v>
      </c>
    </row>
    <row r="1507" spans="1:6" x14ac:dyDescent="0.25">
      <c r="A1507" s="30" t="s">
        <v>116</v>
      </c>
      <c r="B1507" s="30">
        <v>2017</v>
      </c>
      <c r="C1507" s="30" t="s">
        <v>104</v>
      </c>
      <c r="D1507" s="30">
        <v>6</v>
      </c>
      <c r="E1507" s="30">
        <v>25.6</v>
      </c>
      <c r="F1507" s="30">
        <v>45.7</v>
      </c>
    </row>
    <row r="1508" spans="1:6" x14ac:dyDescent="0.25">
      <c r="A1508" s="30" t="s">
        <v>116</v>
      </c>
      <c r="B1508" s="30">
        <v>2017</v>
      </c>
      <c r="C1508" s="30" t="s">
        <v>105</v>
      </c>
      <c r="D1508" s="30">
        <v>7</v>
      </c>
      <c r="E1508" s="30">
        <v>5.5</v>
      </c>
      <c r="F1508" s="30">
        <v>58</v>
      </c>
    </row>
    <row r="1509" spans="1:6" x14ac:dyDescent="0.25">
      <c r="A1509" s="30" t="s">
        <v>116</v>
      </c>
      <c r="B1509" s="30">
        <v>2017</v>
      </c>
      <c r="C1509" s="30" t="s">
        <v>106</v>
      </c>
      <c r="D1509" s="30">
        <v>8</v>
      </c>
      <c r="E1509" s="30">
        <v>25.1</v>
      </c>
      <c r="F1509" s="30">
        <v>54.6</v>
      </c>
    </row>
    <row r="1510" spans="1:6" x14ac:dyDescent="0.25">
      <c r="A1510" s="30" t="s">
        <v>116</v>
      </c>
      <c r="B1510" s="30">
        <v>2017</v>
      </c>
      <c r="C1510" s="30" t="s">
        <v>107</v>
      </c>
      <c r="D1510" s="30">
        <v>9</v>
      </c>
      <c r="E1510" s="30">
        <v>92</v>
      </c>
      <c r="F1510" s="30">
        <v>2.9</v>
      </c>
    </row>
    <row r="1511" spans="1:6" x14ac:dyDescent="0.25">
      <c r="A1511" s="30" t="s">
        <v>116</v>
      </c>
      <c r="B1511" s="30">
        <v>2017</v>
      </c>
      <c r="C1511" s="30" t="s">
        <v>108</v>
      </c>
      <c r="D1511" s="30">
        <v>10</v>
      </c>
      <c r="E1511" s="30">
        <v>96.8</v>
      </c>
      <c r="F1511" s="30">
        <v>0.3</v>
      </c>
    </row>
    <row r="1512" spans="1:6" x14ac:dyDescent="0.25">
      <c r="A1512" s="30" t="s">
        <v>116</v>
      </c>
      <c r="B1512" s="30">
        <v>2017</v>
      </c>
      <c r="C1512" s="30" t="s">
        <v>109</v>
      </c>
      <c r="D1512" s="30">
        <v>11</v>
      </c>
      <c r="E1512" s="30">
        <v>273.7</v>
      </c>
      <c r="F1512" s="30">
        <v>0</v>
      </c>
    </row>
    <row r="1513" spans="1:6" x14ac:dyDescent="0.25">
      <c r="A1513" s="30" t="s">
        <v>116</v>
      </c>
      <c r="B1513" s="30">
        <v>2017</v>
      </c>
      <c r="C1513" s="30" t="s">
        <v>110</v>
      </c>
      <c r="D1513" s="30">
        <v>12</v>
      </c>
      <c r="E1513" s="30">
        <v>315.3</v>
      </c>
      <c r="F1513" s="30">
        <v>0</v>
      </c>
    </row>
    <row r="1514" spans="1:6" hidden="1" x14ac:dyDescent="0.25">
      <c r="A1514" s="30" t="s">
        <v>98</v>
      </c>
      <c r="B1514" s="30">
        <v>2018</v>
      </c>
      <c r="C1514" s="30" t="s">
        <v>99</v>
      </c>
      <c r="D1514" s="30">
        <v>1</v>
      </c>
      <c r="E1514" s="30">
        <v>297.7</v>
      </c>
      <c r="F1514" s="30">
        <v>0</v>
      </c>
    </row>
    <row r="1515" spans="1:6" hidden="1" x14ac:dyDescent="0.25">
      <c r="A1515" s="30" t="s">
        <v>98</v>
      </c>
      <c r="B1515" s="30">
        <v>2018</v>
      </c>
      <c r="C1515" s="30" t="s">
        <v>100</v>
      </c>
      <c r="D1515" s="30">
        <v>2</v>
      </c>
      <c r="E1515" s="30">
        <v>386.8</v>
      </c>
      <c r="F1515" s="30">
        <v>0</v>
      </c>
    </row>
    <row r="1516" spans="1:6" hidden="1" x14ac:dyDescent="0.25">
      <c r="A1516" s="30" t="s">
        <v>98</v>
      </c>
      <c r="B1516" s="30">
        <v>2018</v>
      </c>
      <c r="C1516" s="30" t="s">
        <v>101</v>
      </c>
      <c r="D1516" s="30">
        <v>3</v>
      </c>
      <c r="E1516" s="30">
        <v>334.5</v>
      </c>
      <c r="F1516" s="30">
        <v>0</v>
      </c>
    </row>
    <row r="1517" spans="1:6" hidden="1" x14ac:dyDescent="0.25">
      <c r="A1517" s="30" t="s">
        <v>98</v>
      </c>
      <c r="B1517" s="30">
        <v>2018</v>
      </c>
      <c r="C1517" s="30" t="s">
        <v>102</v>
      </c>
      <c r="D1517" s="30">
        <v>4</v>
      </c>
      <c r="E1517" s="30">
        <v>197.5</v>
      </c>
      <c r="F1517" s="30">
        <v>6.7</v>
      </c>
    </row>
    <row r="1518" spans="1:6" hidden="1" x14ac:dyDescent="0.25">
      <c r="A1518" s="30" t="s">
        <v>98</v>
      </c>
      <c r="B1518" s="30">
        <v>2018</v>
      </c>
      <c r="C1518" s="30" t="s">
        <v>103</v>
      </c>
      <c r="D1518" s="30">
        <v>5</v>
      </c>
      <c r="E1518" s="30">
        <v>157.5</v>
      </c>
      <c r="F1518" s="30">
        <v>6.4</v>
      </c>
    </row>
    <row r="1519" spans="1:6" hidden="1" x14ac:dyDescent="0.25">
      <c r="A1519" s="30" t="s">
        <v>98</v>
      </c>
      <c r="B1519" s="30">
        <v>2018</v>
      </c>
      <c r="C1519" s="30" t="s">
        <v>104</v>
      </c>
      <c r="D1519" s="30">
        <v>6</v>
      </c>
      <c r="E1519" s="30">
        <v>74.900000000000006</v>
      </c>
      <c r="F1519" s="30">
        <v>14.8</v>
      </c>
    </row>
    <row r="1520" spans="1:6" hidden="1" x14ac:dyDescent="0.25">
      <c r="A1520" s="30" t="s">
        <v>98</v>
      </c>
      <c r="B1520" s="30">
        <v>2018</v>
      </c>
      <c r="C1520" s="30" t="s">
        <v>105</v>
      </c>
      <c r="D1520" s="30">
        <v>7</v>
      </c>
      <c r="E1520" s="30">
        <v>31.5</v>
      </c>
      <c r="F1520" s="30">
        <v>54.5</v>
      </c>
    </row>
    <row r="1521" spans="1:6" hidden="1" x14ac:dyDescent="0.25">
      <c r="A1521" s="30" t="s">
        <v>98</v>
      </c>
      <c r="B1521" s="30">
        <v>2018</v>
      </c>
      <c r="C1521" s="30" t="s">
        <v>106</v>
      </c>
      <c r="D1521" s="30">
        <v>8</v>
      </c>
      <c r="E1521" s="30">
        <v>45.1</v>
      </c>
      <c r="F1521" s="30">
        <v>41.7</v>
      </c>
    </row>
    <row r="1522" spans="1:6" hidden="1" x14ac:dyDescent="0.25">
      <c r="A1522" s="30" t="s">
        <v>98</v>
      </c>
      <c r="B1522" s="30">
        <v>2018</v>
      </c>
      <c r="C1522" s="30" t="s">
        <v>107</v>
      </c>
      <c r="D1522" s="30">
        <v>9</v>
      </c>
      <c r="E1522" s="30">
        <v>85.9</v>
      </c>
      <c r="F1522" s="30">
        <v>29</v>
      </c>
    </row>
    <row r="1523" spans="1:6" hidden="1" x14ac:dyDescent="0.25">
      <c r="A1523" s="30" t="s">
        <v>98</v>
      </c>
      <c r="B1523" s="30">
        <v>2018</v>
      </c>
      <c r="C1523" s="30" t="s">
        <v>108</v>
      </c>
      <c r="D1523" s="30">
        <v>10</v>
      </c>
      <c r="E1523" s="30">
        <v>174.6</v>
      </c>
      <c r="F1523" s="30">
        <v>7.5</v>
      </c>
    </row>
    <row r="1524" spans="1:6" hidden="1" x14ac:dyDescent="0.25">
      <c r="A1524" s="30" t="s">
        <v>98</v>
      </c>
      <c r="B1524" s="30">
        <v>2018</v>
      </c>
      <c r="C1524" s="30" t="s">
        <v>109</v>
      </c>
      <c r="D1524" s="30">
        <v>11</v>
      </c>
      <c r="E1524" s="30">
        <v>272.60000000000002</v>
      </c>
      <c r="F1524" s="30">
        <v>0</v>
      </c>
    </row>
    <row r="1525" spans="1:6" hidden="1" x14ac:dyDescent="0.25">
      <c r="A1525" s="30" t="s">
        <v>98</v>
      </c>
      <c r="B1525" s="30">
        <v>2018</v>
      </c>
      <c r="C1525" s="30" t="s">
        <v>110</v>
      </c>
      <c r="D1525" s="30">
        <v>12</v>
      </c>
      <c r="E1525" s="30">
        <v>283.60000000000002</v>
      </c>
      <c r="F1525" s="30">
        <v>0</v>
      </c>
    </row>
    <row r="1526" spans="1:6" hidden="1" x14ac:dyDescent="0.25">
      <c r="A1526" s="30" t="s">
        <v>111</v>
      </c>
      <c r="B1526" s="30">
        <v>2018</v>
      </c>
      <c r="C1526" s="30" t="s">
        <v>99</v>
      </c>
      <c r="D1526" s="30">
        <v>1</v>
      </c>
      <c r="E1526" s="30">
        <v>298.39999999999998</v>
      </c>
      <c r="F1526" s="30">
        <v>0</v>
      </c>
    </row>
    <row r="1527" spans="1:6" hidden="1" x14ac:dyDescent="0.25">
      <c r="A1527" s="30" t="s">
        <v>111</v>
      </c>
      <c r="B1527" s="30">
        <v>2018</v>
      </c>
      <c r="C1527" s="30" t="s">
        <v>100</v>
      </c>
      <c r="D1527" s="30">
        <v>2</v>
      </c>
      <c r="E1527" s="30">
        <v>370.7</v>
      </c>
      <c r="F1527" s="30">
        <v>0</v>
      </c>
    </row>
    <row r="1528" spans="1:6" hidden="1" x14ac:dyDescent="0.25">
      <c r="A1528" s="30" t="s">
        <v>111</v>
      </c>
      <c r="B1528" s="30">
        <v>2018</v>
      </c>
      <c r="C1528" s="30" t="s">
        <v>101</v>
      </c>
      <c r="D1528" s="30">
        <v>3</v>
      </c>
      <c r="E1528" s="30">
        <v>339</v>
      </c>
      <c r="F1528" s="30">
        <v>0</v>
      </c>
    </row>
    <row r="1529" spans="1:6" hidden="1" x14ac:dyDescent="0.25">
      <c r="A1529" s="30" t="s">
        <v>111</v>
      </c>
      <c r="B1529" s="30">
        <v>2018</v>
      </c>
      <c r="C1529" s="30" t="s">
        <v>102</v>
      </c>
      <c r="D1529" s="30">
        <v>4</v>
      </c>
      <c r="E1529" s="30">
        <v>216.9</v>
      </c>
      <c r="F1529" s="30">
        <v>4</v>
      </c>
    </row>
    <row r="1530" spans="1:6" hidden="1" x14ac:dyDescent="0.25">
      <c r="A1530" s="30" t="s">
        <v>111</v>
      </c>
      <c r="B1530" s="30">
        <v>2018</v>
      </c>
      <c r="C1530" s="30" t="s">
        <v>103</v>
      </c>
      <c r="D1530" s="30">
        <v>5</v>
      </c>
      <c r="E1530" s="30">
        <v>163.5</v>
      </c>
      <c r="F1530" s="30">
        <v>10.1</v>
      </c>
    </row>
    <row r="1531" spans="1:6" hidden="1" x14ac:dyDescent="0.25">
      <c r="A1531" s="30" t="s">
        <v>111</v>
      </c>
      <c r="B1531" s="30">
        <v>2018</v>
      </c>
      <c r="C1531" s="30" t="s">
        <v>104</v>
      </c>
      <c r="D1531" s="30">
        <v>6</v>
      </c>
      <c r="E1531" s="30">
        <v>66</v>
      </c>
      <c r="F1531" s="30">
        <v>34.700000000000003</v>
      </c>
    </row>
    <row r="1532" spans="1:6" hidden="1" x14ac:dyDescent="0.25">
      <c r="A1532" s="30" t="s">
        <v>111</v>
      </c>
      <c r="B1532" s="30">
        <v>2018</v>
      </c>
      <c r="C1532" s="30" t="s">
        <v>105</v>
      </c>
      <c r="D1532" s="30">
        <v>7</v>
      </c>
      <c r="E1532" s="30">
        <v>39.1</v>
      </c>
      <c r="F1532" s="30">
        <v>56.6</v>
      </c>
    </row>
    <row r="1533" spans="1:6" hidden="1" x14ac:dyDescent="0.25">
      <c r="A1533" s="30" t="s">
        <v>111</v>
      </c>
      <c r="B1533" s="30">
        <v>2018</v>
      </c>
      <c r="C1533" s="30" t="s">
        <v>106</v>
      </c>
      <c r="D1533" s="30">
        <v>8</v>
      </c>
      <c r="E1533" s="30">
        <v>63</v>
      </c>
      <c r="F1533" s="30">
        <v>29.2</v>
      </c>
    </row>
    <row r="1534" spans="1:6" hidden="1" x14ac:dyDescent="0.25">
      <c r="A1534" s="30" t="s">
        <v>111</v>
      </c>
      <c r="B1534" s="30">
        <v>2018</v>
      </c>
      <c r="C1534" s="30" t="s">
        <v>107</v>
      </c>
      <c r="D1534" s="30">
        <v>9</v>
      </c>
      <c r="E1534" s="30">
        <v>97</v>
      </c>
      <c r="F1534" s="30">
        <v>17.600000000000001</v>
      </c>
    </row>
    <row r="1535" spans="1:6" hidden="1" x14ac:dyDescent="0.25">
      <c r="A1535" s="30" t="s">
        <v>111</v>
      </c>
      <c r="B1535" s="30">
        <v>2018</v>
      </c>
      <c r="C1535" s="30" t="s">
        <v>108</v>
      </c>
      <c r="D1535" s="30">
        <v>10</v>
      </c>
      <c r="E1535" s="30">
        <v>183.8</v>
      </c>
      <c r="F1535" s="30">
        <v>5.2</v>
      </c>
    </row>
    <row r="1536" spans="1:6" hidden="1" x14ac:dyDescent="0.25">
      <c r="A1536" s="30" t="s">
        <v>111</v>
      </c>
      <c r="B1536" s="30">
        <v>2018</v>
      </c>
      <c r="C1536" s="30" t="s">
        <v>109</v>
      </c>
      <c r="D1536" s="30">
        <v>11</v>
      </c>
      <c r="E1536" s="30">
        <v>254.8</v>
      </c>
      <c r="F1536" s="30">
        <v>0</v>
      </c>
    </row>
    <row r="1537" spans="1:6" hidden="1" x14ac:dyDescent="0.25">
      <c r="A1537" s="30" t="s">
        <v>111</v>
      </c>
      <c r="B1537" s="30">
        <v>2018</v>
      </c>
      <c r="C1537" s="30" t="s">
        <v>110</v>
      </c>
      <c r="D1537" s="30">
        <v>12</v>
      </c>
      <c r="E1537" s="30">
        <v>262.8</v>
      </c>
      <c r="F1537" s="30">
        <v>0</v>
      </c>
    </row>
    <row r="1538" spans="1:6" hidden="1" x14ac:dyDescent="0.25">
      <c r="A1538" s="30" t="s">
        <v>112</v>
      </c>
      <c r="B1538" s="30">
        <v>2018</v>
      </c>
      <c r="C1538" s="30" t="s">
        <v>99</v>
      </c>
      <c r="D1538" s="30">
        <v>1</v>
      </c>
      <c r="E1538" s="30">
        <v>290.2</v>
      </c>
      <c r="F1538" s="30">
        <v>0</v>
      </c>
    </row>
    <row r="1539" spans="1:6" hidden="1" x14ac:dyDescent="0.25">
      <c r="A1539" s="30" t="s">
        <v>112</v>
      </c>
      <c r="B1539" s="30">
        <v>2018</v>
      </c>
      <c r="C1539" s="30" t="s">
        <v>100</v>
      </c>
      <c r="D1539" s="30">
        <v>2</v>
      </c>
      <c r="E1539" s="30">
        <v>363.8</v>
      </c>
      <c r="F1539" s="30">
        <v>0</v>
      </c>
    </row>
    <row r="1540" spans="1:6" hidden="1" x14ac:dyDescent="0.25">
      <c r="A1540" s="30" t="s">
        <v>112</v>
      </c>
      <c r="B1540" s="30">
        <v>2018</v>
      </c>
      <c r="C1540" s="30" t="s">
        <v>101</v>
      </c>
      <c r="D1540" s="30">
        <v>3</v>
      </c>
      <c r="E1540" s="30">
        <v>326.89999999999998</v>
      </c>
      <c r="F1540" s="30">
        <v>0</v>
      </c>
    </row>
    <row r="1541" spans="1:6" hidden="1" x14ac:dyDescent="0.25">
      <c r="A1541" s="30" t="s">
        <v>112</v>
      </c>
      <c r="B1541" s="30">
        <v>2018</v>
      </c>
      <c r="C1541" s="30" t="s">
        <v>102</v>
      </c>
      <c r="D1541" s="30">
        <v>4</v>
      </c>
      <c r="E1541" s="30">
        <v>190.7</v>
      </c>
      <c r="F1541" s="30">
        <v>7</v>
      </c>
    </row>
    <row r="1542" spans="1:6" hidden="1" x14ac:dyDescent="0.25">
      <c r="A1542" s="30" t="s">
        <v>112</v>
      </c>
      <c r="B1542" s="30">
        <v>2018</v>
      </c>
      <c r="C1542" s="30" t="s">
        <v>103</v>
      </c>
      <c r="D1542" s="30">
        <v>5</v>
      </c>
      <c r="E1542" s="30">
        <v>128.80000000000001</v>
      </c>
      <c r="F1542" s="30">
        <v>21.2</v>
      </c>
    </row>
    <row r="1543" spans="1:6" hidden="1" x14ac:dyDescent="0.25">
      <c r="A1543" s="30" t="s">
        <v>112</v>
      </c>
      <c r="B1543" s="30">
        <v>2018</v>
      </c>
      <c r="C1543" s="30" t="s">
        <v>104</v>
      </c>
      <c r="D1543" s="30">
        <v>6</v>
      </c>
      <c r="E1543" s="30">
        <v>44.1</v>
      </c>
      <c r="F1543" s="30">
        <v>53.7</v>
      </c>
    </row>
    <row r="1544" spans="1:6" hidden="1" x14ac:dyDescent="0.25">
      <c r="A1544" s="30" t="s">
        <v>112</v>
      </c>
      <c r="B1544" s="30">
        <v>2018</v>
      </c>
      <c r="C1544" s="30" t="s">
        <v>105</v>
      </c>
      <c r="D1544" s="30">
        <v>7</v>
      </c>
      <c r="E1544" s="30">
        <v>26.5</v>
      </c>
      <c r="F1544" s="30">
        <v>75.400000000000006</v>
      </c>
    </row>
    <row r="1545" spans="1:6" hidden="1" x14ac:dyDescent="0.25">
      <c r="A1545" s="30" t="s">
        <v>112</v>
      </c>
      <c r="B1545" s="30">
        <v>2018</v>
      </c>
      <c r="C1545" s="30" t="s">
        <v>106</v>
      </c>
      <c r="D1545" s="30">
        <v>8</v>
      </c>
      <c r="E1545" s="30">
        <v>44.7</v>
      </c>
      <c r="F1545" s="30">
        <v>52.1</v>
      </c>
    </row>
    <row r="1546" spans="1:6" hidden="1" x14ac:dyDescent="0.25">
      <c r="A1546" s="30" t="s">
        <v>112</v>
      </c>
      <c r="B1546" s="30">
        <v>2018</v>
      </c>
      <c r="C1546" s="30" t="s">
        <v>107</v>
      </c>
      <c r="D1546" s="30">
        <v>9</v>
      </c>
      <c r="E1546" s="30">
        <v>78</v>
      </c>
      <c r="F1546" s="30">
        <v>27.6</v>
      </c>
    </row>
    <row r="1547" spans="1:6" hidden="1" x14ac:dyDescent="0.25">
      <c r="A1547" s="30" t="s">
        <v>112</v>
      </c>
      <c r="B1547" s="30">
        <v>2018</v>
      </c>
      <c r="C1547" s="30" t="s">
        <v>108</v>
      </c>
      <c r="D1547" s="30">
        <v>10</v>
      </c>
      <c r="E1547" s="30">
        <v>172.8</v>
      </c>
      <c r="F1547" s="30">
        <v>7.2</v>
      </c>
    </row>
    <row r="1548" spans="1:6" hidden="1" x14ac:dyDescent="0.25">
      <c r="A1548" s="30" t="s">
        <v>112</v>
      </c>
      <c r="B1548" s="30">
        <v>2018</v>
      </c>
      <c r="C1548" s="30" t="s">
        <v>109</v>
      </c>
      <c r="D1548" s="30">
        <v>11</v>
      </c>
      <c r="E1548" s="30">
        <v>247.6</v>
      </c>
      <c r="F1548" s="30">
        <v>0</v>
      </c>
    </row>
    <row r="1549" spans="1:6" hidden="1" x14ac:dyDescent="0.25">
      <c r="A1549" s="30" t="s">
        <v>112</v>
      </c>
      <c r="B1549" s="30">
        <v>2018</v>
      </c>
      <c r="C1549" s="30" t="s">
        <v>110</v>
      </c>
      <c r="D1549" s="30">
        <v>12</v>
      </c>
      <c r="E1549" s="30">
        <v>260.60000000000002</v>
      </c>
      <c r="F1549" s="30">
        <v>0</v>
      </c>
    </row>
    <row r="1550" spans="1:6" hidden="1" x14ac:dyDescent="0.25">
      <c r="A1550" s="30" t="s">
        <v>113</v>
      </c>
      <c r="B1550" s="30">
        <v>2018</v>
      </c>
      <c r="C1550" s="30" t="s">
        <v>99</v>
      </c>
      <c r="D1550" s="30">
        <v>1</v>
      </c>
      <c r="E1550" s="30">
        <v>295.8</v>
      </c>
      <c r="F1550" s="30">
        <v>0</v>
      </c>
    </row>
    <row r="1551" spans="1:6" hidden="1" x14ac:dyDescent="0.25">
      <c r="A1551" s="30" t="s">
        <v>113</v>
      </c>
      <c r="B1551" s="30">
        <v>2018</v>
      </c>
      <c r="C1551" s="30" t="s">
        <v>100</v>
      </c>
      <c r="D1551" s="30">
        <v>2</v>
      </c>
      <c r="E1551" s="30">
        <v>393.1</v>
      </c>
      <c r="F1551" s="30">
        <v>0</v>
      </c>
    </row>
    <row r="1552" spans="1:6" hidden="1" x14ac:dyDescent="0.25">
      <c r="A1552" s="30" t="s">
        <v>113</v>
      </c>
      <c r="B1552" s="30">
        <v>2018</v>
      </c>
      <c r="C1552" s="30" t="s">
        <v>101</v>
      </c>
      <c r="D1552" s="30">
        <v>3</v>
      </c>
      <c r="E1552" s="30">
        <v>316.7</v>
      </c>
      <c r="F1552" s="30">
        <v>0</v>
      </c>
    </row>
    <row r="1553" spans="1:6" hidden="1" x14ac:dyDescent="0.25">
      <c r="A1553" s="30" t="s">
        <v>113</v>
      </c>
      <c r="B1553" s="30">
        <v>2018</v>
      </c>
      <c r="C1553" s="30" t="s">
        <v>102</v>
      </c>
      <c r="D1553" s="30">
        <v>4</v>
      </c>
      <c r="E1553" s="30">
        <v>177.4</v>
      </c>
      <c r="F1553" s="30">
        <v>12.3</v>
      </c>
    </row>
    <row r="1554" spans="1:6" hidden="1" x14ac:dyDescent="0.25">
      <c r="A1554" s="30" t="s">
        <v>113</v>
      </c>
      <c r="B1554" s="30">
        <v>2018</v>
      </c>
      <c r="C1554" s="30" t="s">
        <v>103</v>
      </c>
      <c r="D1554" s="30">
        <v>5</v>
      </c>
      <c r="E1554" s="30">
        <v>129.9</v>
      </c>
      <c r="F1554" s="30">
        <v>33.200000000000003</v>
      </c>
    </row>
    <row r="1555" spans="1:6" hidden="1" x14ac:dyDescent="0.25">
      <c r="A1555" s="30" t="s">
        <v>113</v>
      </c>
      <c r="B1555" s="30">
        <v>2018</v>
      </c>
      <c r="C1555" s="30" t="s">
        <v>104</v>
      </c>
      <c r="D1555" s="30">
        <v>6</v>
      </c>
      <c r="E1555" s="30">
        <v>39.299999999999997</v>
      </c>
      <c r="F1555" s="30">
        <v>67.2</v>
      </c>
    </row>
    <row r="1556" spans="1:6" hidden="1" x14ac:dyDescent="0.25">
      <c r="A1556" s="30" t="s">
        <v>113</v>
      </c>
      <c r="B1556" s="30">
        <v>2018</v>
      </c>
      <c r="C1556" s="30" t="s">
        <v>105</v>
      </c>
      <c r="D1556" s="30">
        <v>7</v>
      </c>
      <c r="E1556" s="30">
        <v>21.8</v>
      </c>
      <c r="F1556" s="30">
        <v>116.7</v>
      </c>
    </row>
    <row r="1557" spans="1:6" hidden="1" x14ac:dyDescent="0.25">
      <c r="A1557" s="30" t="s">
        <v>113</v>
      </c>
      <c r="B1557" s="30">
        <v>2018</v>
      </c>
      <c r="C1557" s="30" t="s">
        <v>106</v>
      </c>
      <c r="D1557" s="30">
        <v>8</v>
      </c>
      <c r="E1557" s="30">
        <v>42.7</v>
      </c>
      <c r="F1557" s="30">
        <v>86.1</v>
      </c>
    </row>
    <row r="1558" spans="1:6" hidden="1" x14ac:dyDescent="0.25">
      <c r="A1558" s="30" t="s">
        <v>113</v>
      </c>
      <c r="B1558" s="30">
        <v>2018</v>
      </c>
      <c r="C1558" s="30" t="s">
        <v>107</v>
      </c>
      <c r="D1558" s="30">
        <v>9</v>
      </c>
      <c r="E1558" s="30">
        <v>82.1</v>
      </c>
      <c r="F1558" s="30">
        <v>46.8</v>
      </c>
    </row>
    <row r="1559" spans="1:6" hidden="1" x14ac:dyDescent="0.25">
      <c r="A1559" s="30" t="s">
        <v>113</v>
      </c>
      <c r="B1559" s="30">
        <v>2018</v>
      </c>
      <c r="C1559" s="30" t="s">
        <v>108</v>
      </c>
      <c r="D1559" s="30">
        <v>10</v>
      </c>
      <c r="E1559" s="30">
        <v>161.30000000000001</v>
      </c>
      <c r="F1559" s="30">
        <v>15.5</v>
      </c>
    </row>
    <row r="1560" spans="1:6" hidden="1" x14ac:dyDescent="0.25">
      <c r="A1560" s="30" t="s">
        <v>113</v>
      </c>
      <c r="B1560" s="30">
        <v>2018</v>
      </c>
      <c r="C1560" s="30" t="s">
        <v>109</v>
      </c>
      <c r="D1560" s="30">
        <v>11</v>
      </c>
      <c r="E1560" s="30">
        <v>275</v>
      </c>
      <c r="F1560" s="30">
        <v>0</v>
      </c>
    </row>
    <row r="1561" spans="1:6" hidden="1" x14ac:dyDescent="0.25">
      <c r="A1561" s="30" t="s">
        <v>113</v>
      </c>
      <c r="B1561" s="30">
        <v>2018</v>
      </c>
      <c r="C1561" s="30" t="s">
        <v>110</v>
      </c>
      <c r="D1561" s="30">
        <v>12</v>
      </c>
      <c r="E1561" s="30">
        <v>292.89999999999998</v>
      </c>
      <c r="F1561" s="30">
        <v>0</v>
      </c>
    </row>
    <row r="1562" spans="1:6" hidden="1" x14ac:dyDescent="0.25">
      <c r="A1562" s="30" t="s">
        <v>114</v>
      </c>
      <c r="B1562" s="30">
        <v>2018</v>
      </c>
      <c r="C1562" s="30" t="s">
        <v>99</v>
      </c>
      <c r="D1562" s="30">
        <v>1</v>
      </c>
      <c r="E1562" s="30">
        <v>295.39999999999998</v>
      </c>
      <c r="F1562" s="30">
        <v>0</v>
      </c>
    </row>
    <row r="1563" spans="1:6" hidden="1" x14ac:dyDescent="0.25">
      <c r="A1563" s="30" t="s">
        <v>114</v>
      </c>
      <c r="B1563" s="30">
        <v>2018</v>
      </c>
      <c r="C1563" s="30" t="s">
        <v>100</v>
      </c>
      <c r="D1563" s="30">
        <v>2</v>
      </c>
      <c r="E1563" s="30">
        <v>374.4</v>
      </c>
      <c r="F1563" s="30">
        <v>0</v>
      </c>
    </row>
    <row r="1564" spans="1:6" hidden="1" x14ac:dyDescent="0.25">
      <c r="A1564" s="30" t="s">
        <v>114</v>
      </c>
      <c r="B1564" s="30">
        <v>2018</v>
      </c>
      <c r="C1564" s="30" t="s">
        <v>101</v>
      </c>
      <c r="D1564" s="30">
        <v>3</v>
      </c>
      <c r="E1564" s="30">
        <v>318.39999999999998</v>
      </c>
      <c r="F1564" s="30">
        <v>0</v>
      </c>
    </row>
    <row r="1565" spans="1:6" hidden="1" x14ac:dyDescent="0.25">
      <c r="A1565" s="30" t="s">
        <v>114</v>
      </c>
      <c r="B1565" s="30">
        <v>2018</v>
      </c>
      <c r="C1565" s="30" t="s">
        <v>102</v>
      </c>
      <c r="D1565" s="30">
        <v>4</v>
      </c>
      <c r="E1565" s="30">
        <v>185.1</v>
      </c>
      <c r="F1565" s="30">
        <v>8.1</v>
      </c>
    </row>
    <row r="1566" spans="1:6" hidden="1" x14ac:dyDescent="0.25">
      <c r="A1566" s="30" t="s">
        <v>114</v>
      </c>
      <c r="B1566" s="30">
        <v>2018</v>
      </c>
      <c r="C1566" s="30" t="s">
        <v>103</v>
      </c>
      <c r="D1566" s="30">
        <v>5</v>
      </c>
      <c r="E1566" s="30">
        <v>146.19999999999999</v>
      </c>
      <c r="F1566" s="30">
        <v>10.9</v>
      </c>
    </row>
    <row r="1567" spans="1:6" hidden="1" x14ac:dyDescent="0.25">
      <c r="A1567" s="30" t="s">
        <v>114</v>
      </c>
      <c r="B1567" s="30">
        <v>2018</v>
      </c>
      <c r="C1567" s="30" t="s">
        <v>104</v>
      </c>
      <c r="D1567" s="30">
        <v>6</v>
      </c>
      <c r="E1567" s="30">
        <v>54.4</v>
      </c>
      <c r="F1567" s="30">
        <v>31.4</v>
      </c>
    </row>
    <row r="1568" spans="1:6" hidden="1" x14ac:dyDescent="0.25">
      <c r="A1568" s="30" t="s">
        <v>114</v>
      </c>
      <c r="B1568" s="30">
        <v>2018</v>
      </c>
      <c r="C1568" s="30" t="s">
        <v>105</v>
      </c>
      <c r="D1568" s="30">
        <v>7</v>
      </c>
      <c r="E1568" s="30">
        <v>24.8</v>
      </c>
      <c r="F1568" s="30">
        <v>66.099999999999994</v>
      </c>
    </row>
    <row r="1569" spans="1:6" hidden="1" x14ac:dyDescent="0.25">
      <c r="A1569" s="30" t="s">
        <v>114</v>
      </c>
      <c r="B1569" s="30">
        <v>2018</v>
      </c>
      <c r="C1569" s="30" t="s">
        <v>106</v>
      </c>
      <c r="D1569" s="30">
        <v>8</v>
      </c>
      <c r="E1569" s="30">
        <v>40.4</v>
      </c>
      <c r="F1569" s="30">
        <v>41.2</v>
      </c>
    </row>
    <row r="1570" spans="1:6" hidden="1" x14ac:dyDescent="0.25">
      <c r="A1570" s="30" t="s">
        <v>114</v>
      </c>
      <c r="B1570" s="30">
        <v>2018</v>
      </c>
      <c r="C1570" s="30" t="s">
        <v>107</v>
      </c>
      <c r="D1570" s="30">
        <v>9</v>
      </c>
      <c r="E1570" s="30">
        <v>78.400000000000006</v>
      </c>
      <c r="F1570" s="30">
        <v>30</v>
      </c>
    </row>
    <row r="1571" spans="1:6" hidden="1" x14ac:dyDescent="0.25">
      <c r="A1571" s="30" t="s">
        <v>114</v>
      </c>
      <c r="B1571" s="30">
        <v>2018</v>
      </c>
      <c r="C1571" s="30" t="s">
        <v>108</v>
      </c>
      <c r="D1571" s="30">
        <v>10</v>
      </c>
      <c r="E1571" s="30">
        <v>161.6</v>
      </c>
      <c r="F1571" s="30">
        <v>9.3000000000000007</v>
      </c>
    </row>
    <row r="1572" spans="1:6" hidden="1" x14ac:dyDescent="0.25">
      <c r="A1572" s="30" t="s">
        <v>114</v>
      </c>
      <c r="B1572" s="30">
        <v>2018</v>
      </c>
      <c r="C1572" s="30" t="s">
        <v>109</v>
      </c>
      <c r="D1572" s="30">
        <v>11</v>
      </c>
      <c r="E1572" s="30">
        <v>267.5</v>
      </c>
      <c r="F1572" s="30">
        <v>0</v>
      </c>
    </row>
    <row r="1573" spans="1:6" hidden="1" x14ac:dyDescent="0.25">
      <c r="A1573" s="30" t="s">
        <v>114</v>
      </c>
      <c r="B1573" s="30">
        <v>2018</v>
      </c>
      <c r="C1573" s="30" t="s">
        <v>110</v>
      </c>
      <c r="D1573" s="30">
        <v>12</v>
      </c>
      <c r="E1573" s="30">
        <v>288.60000000000002</v>
      </c>
      <c r="F1573" s="30">
        <v>0</v>
      </c>
    </row>
    <row r="1574" spans="1:6" hidden="1" x14ac:dyDescent="0.25">
      <c r="A1574" s="30" t="s">
        <v>115</v>
      </c>
      <c r="B1574" s="30">
        <v>2018</v>
      </c>
      <c r="C1574" s="30" t="s">
        <v>99</v>
      </c>
      <c r="D1574" s="30">
        <v>1</v>
      </c>
      <c r="E1574" s="30">
        <v>288.8</v>
      </c>
      <c r="F1574" s="30">
        <v>0</v>
      </c>
    </row>
    <row r="1575" spans="1:6" hidden="1" x14ac:dyDescent="0.25">
      <c r="A1575" s="30" t="s">
        <v>115</v>
      </c>
      <c r="B1575" s="30">
        <v>2018</v>
      </c>
      <c r="C1575" s="30" t="s">
        <v>100</v>
      </c>
      <c r="D1575" s="30">
        <v>2</v>
      </c>
      <c r="E1575" s="30">
        <v>366.2</v>
      </c>
      <c r="F1575" s="30">
        <v>0</v>
      </c>
    </row>
    <row r="1576" spans="1:6" hidden="1" x14ac:dyDescent="0.25">
      <c r="A1576" s="30" t="s">
        <v>115</v>
      </c>
      <c r="B1576" s="30">
        <v>2018</v>
      </c>
      <c r="C1576" s="30" t="s">
        <v>101</v>
      </c>
      <c r="D1576" s="30">
        <v>3</v>
      </c>
      <c r="E1576" s="30">
        <v>319.7</v>
      </c>
      <c r="F1576" s="30">
        <v>0</v>
      </c>
    </row>
    <row r="1577" spans="1:6" hidden="1" x14ac:dyDescent="0.25">
      <c r="A1577" s="30" t="s">
        <v>115</v>
      </c>
      <c r="B1577" s="30">
        <v>2018</v>
      </c>
      <c r="C1577" s="30" t="s">
        <v>102</v>
      </c>
      <c r="D1577" s="30">
        <v>4</v>
      </c>
      <c r="E1577" s="30">
        <v>185.4</v>
      </c>
      <c r="F1577" s="30">
        <v>6.3</v>
      </c>
    </row>
    <row r="1578" spans="1:6" hidden="1" x14ac:dyDescent="0.25">
      <c r="A1578" s="30" t="s">
        <v>115</v>
      </c>
      <c r="B1578" s="30">
        <v>2018</v>
      </c>
      <c r="C1578" s="30" t="s">
        <v>103</v>
      </c>
      <c r="D1578" s="30">
        <v>5</v>
      </c>
      <c r="E1578" s="30">
        <v>125.1</v>
      </c>
      <c r="F1578" s="30">
        <v>25</v>
      </c>
    </row>
    <row r="1579" spans="1:6" hidden="1" x14ac:dyDescent="0.25">
      <c r="A1579" s="30" t="s">
        <v>115</v>
      </c>
      <c r="B1579" s="30">
        <v>2018</v>
      </c>
      <c r="C1579" s="30" t="s">
        <v>104</v>
      </c>
      <c r="D1579" s="30">
        <v>6</v>
      </c>
      <c r="E1579" s="30">
        <v>38.5</v>
      </c>
      <c r="F1579" s="30">
        <v>59.6</v>
      </c>
    </row>
    <row r="1580" spans="1:6" hidden="1" x14ac:dyDescent="0.25">
      <c r="A1580" s="30" t="s">
        <v>115</v>
      </c>
      <c r="B1580" s="30">
        <v>2018</v>
      </c>
      <c r="C1580" s="30" t="s">
        <v>105</v>
      </c>
      <c r="D1580" s="30">
        <v>7</v>
      </c>
      <c r="E1580" s="30">
        <v>24.2</v>
      </c>
      <c r="F1580" s="30">
        <v>78.2</v>
      </c>
    </row>
    <row r="1581" spans="1:6" hidden="1" x14ac:dyDescent="0.25">
      <c r="A1581" s="30" t="s">
        <v>115</v>
      </c>
      <c r="B1581" s="30">
        <v>2018</v>
      </c>
      <c r="C1581" s="30" t="s">
        <v>106</v>
      </c>
      <c r="D1581" s="30">
        <v>8</v>
      </c>
      <c r="E1581" s="30">
        <v>43.4</v>
      </c>
      <c r="F1581" s="30">
        <v>65</v>
      </c>
    </row>
    <row r="1582" spans="1:6" hidden="1" x14ac:dyDescent="0.25">
      <c r="A1582" s="30" t="s">
        <v>115</v>
      </c>
      <c r="B1582" s="30">
        <v>2018</v>
      </c>
      <c r="C1582" s="30" t="s">
        <v>107</v>
      </c>
      <c r="D1582" s="30">
        <v>9</v>
      </c>
      <c r="E1582" s="30">
        <v>80.900000000000006</v>
      </c>
      <c r="F1582" s="30">
        <v>33</v>
      </c>
    </row>
    <row r="1583" spans="1:6" hidden="1" x14ac:dyDescent="0.25">
      <c r="A1583" s="30" t="s">
        <v>115</v>
      </c>
      <c r="B1583" s="30">
        <v>2018</v>
      </c>
      <c r="C1583" s="30" t="s">
        <v>108</v>
      </c>
      <c r="D1583" s="30">
        <v>10</v>
      </c>
      <c r="E1583" s="30">
        <v>160.9</v>
      </c>
      <c r="F1583" s="30">
        <v>7.7</v>
      </c>
    </row>
    <row r="1584" spans="1:6" hidden="1" x14ac:dyDescent="0.25">
      <c r="A1584" s="30" t="s">
        <v>115</v>
      </c>
      <c r="B1584" s="30">
        <v>2018</v>
      </c>
      <c r="C1584" s="30" t="s">
        <v>109</v>
      </c>
      <c r="D1584" s="30">
        <v>11</v>
      </c>
      <c r="E1584" s="30">
        <v>248.8</v>
      </c>
      <c r="F1584" s="30">
        <v>0</v>
      </c>
    </row>
    <row r="1585" spans="1:6" hidden="1" x14ac:dyDescent="0.25">
      <c r="A1585" s="30" t="s">
        <v>115</v>
      </c>
      <c r="B1585" s="30">
        <v>2018</v>
      </c>
      <c r="C1585" s="30" t="s">
        <v>110</v>
      </c>
      <c r="D1585" s="30">
        <v>12</v>
      </c>
      <c r="E1585" s="30">
        <v>269.39999999999998</v>
      </c>
      <c r="F1585" s="30">
        <v>0</v>
      </c>
    </row>
    <row r="1586" spans="1:6" x14ac:dyDescent="0.25">
      <c r="A1586" s="30" t="s">
        <v>116</v>
      </c>
      <c r="B1586" s="30">
        <v>2018</v>
      </c>
      <c r="C1586" s="30" t="s">
        <v>99</v>
      </c>
      <c r="D1586" s="30">
        <v>1</v>
      </c>
      <c r="E1586" s="30">
        <v>283.39999999999998</v>
      </c>
      <c r="F1586" s="30">
        <v>0</v>
      </c>
    </row>
    <row r="1587" spans="1:6" x14ac:dyDescent="0.25">
      <c r="A1587" s="30" t="s">
        <v>116</v>
      </c>
      <c r="B1587" s="30">
        <v>2018</v>
      </c>
      <c r="C1587" s="30" t="s">
        <v>100</v>
      </c>
      <c r="D1587" s="30">
        <v>2</v>
      </c>
      <c r="E1587" s="30">
        <v>368.5</v>
      </c>
      <c r="F1587" s="30">
        <v>0</v>
      </c>
    </row>
    <row r="1588" spans="1:6" x14ac:dyDescent="0.25">
      <c r="A1588" s="30" t="s">
        <v>116</v>
      </c>
      <c r="B1588" s="30">
        <v>2018</v>
      </c>
      <c r="C1588" s="30" t="s">
        <v>101</v>
      </c>
      <c r="D1588" s="30">
        <v>3</v>
      </c>
      <c r="E1588" s="30">
        <v>303</v>
      </c>
      <c r="F1588" s="30">
        <v>0</v>
      </c>
    </row>
    <row r="1589" spans="1:6" x14ac:dyDescent="0.25">
      <c r="A1589" s="30" t="s">
        <v>116</v>
      </c>
      <c r="B1589" s="30">
        <v>2018</v>
      </c>
      <c r="C1589" s="30" t="s">
        <v>102</v>
      </c>
      <c r="D1589" s="30">
        <v>4</v>
      </c>
      <c r="E1589" s="30">
        <v>166.7</v>
      </c>
      <c r="F1589" s="30">
        <v>2.1</v>
      </c>
    </row>
    <row r="1590" spans="1:6" x14ac:dyDescent="0.25">
      <c r="A1590" s="30" t="s">
        <v>116</v>
      </c>
      <c r="B1590" s="30">
        <v>2018</v>
      </c>
      <c r="C1590" s="30" t="s">
        <v>103</v>
      </c>
      <c r="D1590" s="30">
        <v>5</v>
      </c>
      <c r="E1590" s="30">
        <v>88.5</v>
      </c>
      <c r="F1590" s="30">
        <v>9.3000000000000007</v>
      </c>
    </row>
    <row r="1591" spans="1:6" x14ac:dyDescent="0.25">
      <c r="A1591" s="30" t="s">
        <v>116</v>
      </c>
      <c r="B1591" s="30">
        <v>2018</v>
      </c>
      <c r="C1591" s="30" t="s">
        <v>104</v>
      </c>
      <c r="D1591" s="30">
        <v>6</v>
      </c>
      <c r="E1591" s="30">
        <v>15.6</v>
      </c>
      <c r="F1591" s="30">
        <v>52.4</v>
      </c>
    </row>
    <row r="1592" spans="1:6" x14ac:dyDescent="0.25">
      <c r="A1592" s="30" t="s">
        <v>116</v>
      </c>
      <c r="B1592" s="30">
        <v>2018</v>
      </c>
      <c r="C1592" s="30" t="s">
        <v>105</v>
      </c>
      <c r="D1592" s="30">
        <v>7</v>
      </c>
      <c r="E1592" s="30">
        <v>0</v>
      </c>
      <c r="F1592" s="30">
        <v>86.7</v>
      </c>
    </row>
    <row r="1593" spans="1:6" x14ac:dyDescent="0.25">
      <c r="A1593" s="30" t="s">
        <v>116</v>
      </c>
      <c r="B1593" s="30">
        <v>2018</v>
      </c>
      <c r="C1593" s="30" t="s">
        <v>106</v>
      </c>
      <c r="D1593" s="30">
        <v>8</v>
      </c>
      <c r="E1593" s="30">
        <v>19.3</v>
      </c>
      <c r="F1593" s="30">
        <v>60.4</v>
      </c>
    </row>
    <row r="1594" spans="1:6" x14ac:dyDescent="0.25">
      <c r="A1594" s="30" t="s">
        <v>116</v>
      </c>
      <c r="B1594" s="30">
        <v>2018</v>
      </c>
      <c r="C1594" s="30" t="s">
        <v>107</v>
      </c>
      <c r="D1594" s="30">
        <v>9</v>
      </c>
      <c r="E1594" s="30">
        <v>41.1</v>
      </c>
      <c r="F1594" s="30">
        <v>12.6</v>
      </c>
    </row>
    <row r="1595" spans="1:6" x14ac:dyDescent="0.25">
      <c r="A1595" s="30" t="s">
        <v>116</v>
      </c>
      <c r="B1595" s="30">
        <v>2018</v>
      </c>
      <c r="C1595" s="30" t="s">
        <v>108</v>
      </c>
      <c r="D1595" s="30">
        <v>10</v>
      </c>
      <c r="E1595" s="30">
        <v>145</v>
      </c>
      <c r="F1595" s="30">
        <v>1.8</v>
      </c>
    </row>
    <row r="1596" spans="1:6" x14ac:dyDescent="0.25">
      <c r="A1596" s="30" t="s">
        <v>116</v>
      </c>
      <c r="B1596" s="30">
        <v>2018</v>
      </c>
      <c r="C1596" s="30" t="s">
        <v>109</v>
      </c>
      <c r="D1596" s="30">
        <v>11</v>
      </c>
      <c r="E1596" s="30">
        <v>253.1</v>
      </c>
      <c r="F1596" s="30">
        <v>0</v>
      </c>
    </row>
    <row r="1597" spans="1:6" x14ac:dyDescent="0.25">
      <c r="A1597" s="30" t="s">
        <v>116</v>
      </c>
      <c r="B1597" s="30">
        <v>2018</v>
      </c>
      <c r="C1597" s="30" t="s">
        <v>110</v>
      </c>
      <c r="D1597" s="30">
        <v>12</v>
      </c>
      <c r="E1597" s="30">
        <v>276.5</v>
      </c>
      <c r="F1597" s="30">
        <v>0</v>
      </c>
    </row>
    <row r="1598" spans="1:6" hidden="1" x14ac:dyDescent="0.25">
      <c r="A1598" s="30" t="s">
        <v>98</v>
      </c>
      <c r="B1598" s="30">
        <v>2019</v>
      </c>
      <c r="C1598" s="30" t="s">
        <v>99</v>
      </c>
      <c r="D1598" s="30">
        <v>1</v>
      </c>
      <c r="E1598" s="30">
        <v>372.8</v>
      </c>
      <c r="F1598" s="30">
        <v>0</v>
      </c>
    </row>
    <row r="1599" spans="1:6" hidden="1" x14ac:dyDescent="0.25">
      <c r="A1599" s="30" t="s">
        <v>98</v>
      </c>
      <c r="B1599" s="30">
        <v>2019</v>
      </c>
      <c r="C1599" s="30" t="s">
        <v>100</v>
      </c>
      <c r="D1599" s="30">
        <v>2</v>
      </c>
      <c r="E1599" s="30">
        <v>263.89999999999998</v>
      </c>
      <c r="F1599" s="30">
        <v>0.9</v>
      </c>
    </row>
    <row r="1600" spans="1:6" hidden="1" x14ac:dyDescent="0.25">
      <c r="A1600" s="30" t="s">
        <v>98</v>
      </c>
      <c r="B1600" s="30">
        <v>2019</v>
      </c>
      <c r="C1600" s="30" t="s">
        <v>101</v>
      </c>
      <c r="D1600" s="30">
        <v>3</v>
      </c>
      <c r="E1600" s="30">
        <v>279.39999999999998</v>
      </c>
      <c r="F1600" s="30">
        <v>0</v>
      </c>
    </row>
    <row r="1601" spans="1:6" hidden="1" x14ac:dyDescent="0.25">
      <c r="A1601" s="30" t="s">
        <v>98</v>
      </c>
      <c r="B1601" s="30">
        <v>2019</v>
      </c>
      <c r="C1601" s="30" t="s">
        <v>102</v>
      </c>
      <c r="D1601" s="30">
        <v>4</v>
      </c>
      <c r="E1601" s="30">
        <v>239.8</v>
      </c>
      <c r="F1601" s="30">
        <v>1.5</v>
      </c>
    </row>
    <row r="1602" spans="1:6" hidden="1" x14ac:dyDescent="0.25">
      <c r="A1602" s="30" t="s">
        <v>98</v>
      </c>
      <c r="B1602" s="30">
        <v>2019</v>
      </c>
      <c r="C1602" s="30" t="s">
        <v>103</v>
      </c>
      <c r="D1602" s="30">
        <v>5</v>
      </c>
      <c r="E1602" s="30">
        <v>187.9</v>
      </c>
      <c r="F1602" s="30">
        <v>1.2</v>
      </c>
    </row>
    <row r="1603" spans="1:6" hidden="1" x14ac:dyDescent="0.25">
      <c r="A1603" s="30" t="s">
        <v>98</v>
      </c>
      <c r="B1603" s="30">
        <v>2019</v>
      </c>
      <c r="C1603" s="30" t="s">
        <v>104</v>
      </c>
      <c r="D1603" s="30">
        <v>6</v>
      </c>
      <c r="E1603" s="30">
        <v>97.4</v>
      </c>
      <c r="F1603" s="30">
        <v>19.7</v>
      </c>
    </row>
    <row r="1604" spans="1:6" hidden="1" x14ac:dyDescent="0.25">
      <c r="A1604" s="30" t="s">
        <v>98</v>
      </c>
      <c r="B1604" s="30">
        <v>2019</v>
      </c>
      <c r="C1604" s="30" t="s">
        <v>105</v>
      </c>
      <c r="D1604" s="30">
        <v>7</v>
      </c>
      <c r="E1604" s="30">
        <v>44.6</v>
      </c>
      <c r="F1604" s="30">
        <v>53.6</v>
      </c>
    </row>
    <row r="1605" spans="1:6" hidden="1" x14ac:dyDescent="0.25">
      <c r="A1605" s="30" t="s">
        <v>98</v>
      </c>
      <c r="B1605" s="30">
        <v>2019</v>
      </c>
      <c r="C1605" s="30" t="s">
        <v>106</v>
      </c>
      <c r="D1605" s="30">
        <v>8</v>
      </c>
      <c r="E1605" s="30">
        <v>45.4</v>
      </c>
      <c r="F1605" s="30">
        <v>42.5</v>
      </c>
    </row>
    <row r="1606" spans="1:6" hidden="1" x14ac:dyDescent="0.25">
      <c r="A1606" s="30" t="s">
        <v>98</v>
      </c>
      <c r="B1606" s="30">
        <v>2019</v>
      </c>
      <c r="C1606" s="30" t="s">
        <v>107</v>
      </c>
      <c r="D1606" s="30">
        <v>9</v>
      </c>
      <c r="E1606" s="30">
        <v>76</v>
      </c>
      <c r="F1606" s="30">
        <v>12.5</v>
      </c>
    </row>
    <row r="1607" spans="1:6" hidden="1" x14ac:dyDescent="0.25">
      <c r="A1607" s="30" t="s">
        <v>98</v>
      </c>
      <c r="B1607" s="30">
        <v>2019</v>
      </c>
      <c r="C1607" s="30" t="s">
        <v>108</v>
      </c>
      <c r="D1607" s="30">
        <v>10</v>
      </c>
      <c r="E1607" s="30">
        <v>153.5</v>
      </c>
      <c r="F1607" s="30">
        <v>0.8</v>
      </c>
    </row>
    <row r="1608" spans="1:6" hidden="1" x14ac:dyDescent="0.25">
      <c r="A1608" s="30" t="s">
        <v>98</v>
      </c>
      <c r="B1608" s="30">
        <v>2019</v>
      </c>
      <c r="C1608" s="30" t="s">
        <v>109</v>
      </c>
      <c r="D1608" s="30">
        <v>11</v>
      </c>
      <c r="E1608" s="30">
        <v>277.10000000000002</v>
      </c>
      <c r="F1608" s="30">
        <v>0</v>
      </c>
    </row>
    <row r="1609" spans="1:6" hidden="1" x14ac:dyDescent="0.25">
      <c r="A1609" s="30" t="s">
        <v>98</v>
      </c>
      <c r="B1609" s="30">
        <v>2019</v>
      </c>
      <c r="C1609" s="30" t="s">
        <v>110</v>
      </c>
      <c r="D1609" s="30">
        <v>12</v>
      </c>
      <c r="E1609" s="30">
        <v>312.5</v>
      </c>
      <c r="F1609" s="30">
        <v>0</v>
      </c>
    </row>
    <row r="1610" spans="1:6" hidden="1" x14ac:dyDescent="0.25">
      <c r="A1610" s="30" t="s">
        <v>111</v>
      </c>
      <c r="B1610" s="30">
        <v>2019</v>
      </c>
      <c r="C1610" s="30" t="s">
        <v>99</v>
      </c>
      <c r="D1610" s="30">
        <v>1</v>
      </c>
      <c r="E1610" s="30">
        <v>351.1</v>
      </c>
      <c r="F1610" s="30">
        <v>0</v>
      </c>
    </row>
    <row r="1611" spans="1:6" hidden="1" x14ac:dyDescent="0.25">
      <c r="A1611" s="30" t="s">
        <v>111</v>
      </c>
      <c r="B1611" s="30">
        <v>2019</v>
      </c>
      <c r="C1611" s="30" t="s">
        <v>100</v>
      </c>
      <c r="D1611" s="30">
        <v>2</v>
      </c>
      <c r="E1611" s="30">
        <v>246.6</v>
      </c>
      <c r="F1611" s="30">
        <v>0.6</v>
      </c>
    </row>
    <row r="1612" spans="1:6" hidden="1" x14ac:dyDescent="0.25">
      <c r="A1612" s="30" t="s">
        <v>111</v>
      </c>
      <c r="B1612" s="30">
        <v>2019</v>
      </c>
      <c r="C1612" s="30" t="s">
        <v>101</v>
      </c>
      <c r="D1612" s="30">
        <v>3</v>
      </c>
      <c r="E1612" s="30">
        <v>272.2</v>
      </c>
      <c r="F1612" s="30">
        <v>0</v>
      </c>
    </row>
    <row r="1613" spans="1:6" hidden="1" x14ac:dyDescent="0.25">
      <c r="A1613" s="30" t="s">
        <v>111</v>
      </c>
      <c r="B1613" s="30">
        <v>2019</v>
      </c>
      <c r="C1613" s="30" t="s">
        <v>102</v>
      </c>
      <c r="D1613" s="30">
        <v>4</v>
      </c>
      <c r="E1613" s="30">
        <v>229.1</v>
      </c>
      <c r="F1613" s="30">
        <v>5.3</v>
      </c>
    </row>
    <row r="1614" spans="1:6" hidden="1" x14ac:dyDescent="0.25">
      <c r="A1614" s="30" t="s">
        <v>111</v>
      </c>
      <c r="B1614" s="30">
        <v>2019</v>
      </c>
      <c r="C1614" s="30" t="s">
        <v>103</v>
      </c>
      <c r="D1614" s="30">
        <v>5</v>
      </c>
      <c r="E1614" s="30">
        <v>181.3</v>
      </c>
      <c r="F1614" s="30">
        <v>4.2</v>
      </c>
    </row>
    <row r="1615" spans="1:6" hidden="1" x14ac:dyDescent="0.25">
      <c r="A1615" s="30" t="s">
        <v>111</v>
      </c>
      <c r="B1615" s="30">
        <v>2019</v>
      </c>
      <c r="C1615" s="30" t="s">
        <v>104</v>
      </c>
      <c r="D1615" s="30">
        <v>6</v>
      </c>
      <c r="E1615" s="30">
        <v>107.3</v>
      </c>
      <c r="F1615" s="30">
        <v>22.7</v>
      </c>
    </row>
    <row r="1616" spans="1:6" hidden="1" x14ac:dyDescent="0.25">
      <c r="A1616" s="30" t="s">
        <v>111</v>
      </c>
      <c r="B1616" s="30">
        <v>2019</v>
      </c>
      <c r="C1616" s="30" t="s">
        <v>105</v>
      </c>
      <c r="D1616" s="30">
        <v>7</v>
      </c>
      <c r="E1616" s="30">
        <v>48.5</v>
      </c>
      <c r="F1616" s="30">
        <v>54.2</v>
      </c>
    </row>
    <row r="1617" spans="1:6" hidden="1" x14ac:dyDescent="0.25">
      <c r="A1617" s="30" t="s">
        <v>111</v>
      </c>
      <c r="B1617" s="30">
        <v>2019</v>
      </c>
      <c r="C1617" s="30" t="s">
        <v>106</v>
      </c>
      <c r="D1617" s="30">
        <v>8</v>
      </c>
      <c r="E1617" s="30">
        <v>66.7</v>
      </c>
      <c r="F1617" s="30">
        <v>25.2</v>
      </c>
    </row>
    <row r="1618" spans="1:6" hidden="1" x14ac:dyDescent="0.25">
      <c r="A1618" s="30" t="s">
        <v>111</v>
      </c>
      <c r="B1618" s="30">
        <v>2019</v>
      </c>
      <c r="C1618" s="30" t="s">
        <v>107</v>
      </c>
      <c r="D1618" s="30">
        <v>9</v>
      </c>
      <c r="E1618" s="30">
        <v>90.7</v>
      </c>
      <c r="F1618" s="30">
        <v>7.6</v>
      </c>
    </row>
    <row r="1619" spans="1:6" hidden="1" x14ac:dyDescent="0.25">
      <c r="A1619" s="30" t="s">
        <v>111</v>
      </c>
      <c r="B1619" s="30">
        <v>2019</v>
      </c>
      <c r="C1619" s="30" t="s">
        <v>108</v>
      </c>
      <c r="D1619" s="30">
        <v>10</v>
      </c>
      <c r="E1619" s="30">
        <v>164</v>
      </c>
      <c r="F1619" s="30">
        <v>0</v>
      </c>
    </row>
    <row r="1620" spans="1:6" hidden="1" x14ac:dyDescent="0.25">
      <c r="A1620" s="30" t="s">
        <v>111</v>
      </c>
      <c r="B1620" s="30">
        <v>2019</v>
      </c>
      <c r="C1620" s="30" t="s">
        <v>109</v>
      </c>
      <c r="D1620" s="30">
        <v>11</v>
      </c>
      <c r="E1620" s="30">
        <v>262.89999999999998</v>
      </c>
      <c r="F1620" s="30">
        <v>0</v>
      </c>
    </row>
    <row r="1621" spans="1:6" hidden="1" x14ac:dyDescent="0.25">
      <c r="A1621" s="30" t="s">
        <v>111</v>
      </c>
      <c r="B1621" s="30">
        <v>2019</v>
      </c>
      <c r="C1621" s="30" t="s">
        <v>110</v>
      </c>
      <c r="D1621" s="30">
        <v>12</v>
      </c>
      <c r="E1621" s="30">
        <v>297.7</v>
      </c>
      <c r="F1621" s="30">
        <v>0</v>
      </c>
    </row>
    <row r="1622" spans="1:6" hidden="1" x14ac:dyDescent="0.25">
      <c r="A1622" s="30" t="s">
        <v>112</v>
      </c>
      <c r="B1622" s="30">
        <v>2019</v>
      </c>
      <c r="C1622" s="30" t="s">
        <v>99</v>
      </c>
      <c r="D1622" s="30">
        <v>1</v>
      </c>
      <c r="E1622" s="30">
        <v>351.4</v>
      </c>
      <c r="F1622" s="30">
        <v>0</v>
      </c>
    </row>
    <row r="1623" spans="1:6" hidden="1" x14ac:dyDescent="0.25">
      <c r="A1623" s="30" t="s">
        <v>112</v>
      </c>
      <c r="B1623" s="30">
        <v>2019</v>
      </c>
      <c r="C1623" s="30" t="s">
        <v>100</v>
      </c>
      <c r="D1623" s="30">
        <v>2</v>
      </c>
      <c r="E1623" s="30">
        <v>262.39999999999998</v>
      </c>
      <c r="F1623" s="30">
        <v>0.1</v>
      </c>
    </row>
    <row r="1624" spans="1:6" hidden="1" x14ac:dyDescent="0.25">
      <c r="A1624" s="30" t="s">
        <v>112</v>
      </c>
      <c r="B1624" s="30">
        <v>2019</v>
      </c>
      <c r="C1624" s="30" t="s">
        <v>101</v>
      </c>
      <c r="D1624" s="30">
        <v>3</v>
      </c>
      <c r="E1624" s="30">
        <v>253.6</v>
      </c>
      <c r="F1624" s="30">
        <v>0.1</v>
      </c>
    </row>
    <row r="1625" spans="1:6" hidden="1" x14ac:dyDescent="0.25">
      <c r="A1625" s="30" t="s">
        <v>112</v>
      </c>
      <c r="B1625" s="30">
        <v>2019</v>
      </c>
      <c r="C1625" s="30" t="s">
        <v>102</v>
      </c>
      <c r="D1625" s="30">
        <v>4</v>
      </c>
      <c r="E1625" s="30">
        <v>221.2</v>
      </c>
      <c r="F1625" s="30">
        <v>6.3</v>
      </c>
    </row>
    <row r="1626" spans="1:6" hidden="1" x14ac:dyDescent="0.25">
      <c r="A1626" s="30" t="s">
        <v>112</v>
      </c>
      <c r="B1626" s="30">
        <v>2019</v>
      </c>
      <c r="C1626" s="30" t="s">
        <v>103</v>
      </c>
      <c r="D1626" s="30">
        <v>5</v>
      </c>
      <c r="E1626" s="30">
        <v>164.2</v>
      </c>
      <c r="F1626" s="30">
        <v>4.4000000000000004</v>
      </c>
    </row>
    <row r="1627" spans="1:6" hidden="1" x14ac:dyDescent="0.25">
      <c r="A1627" s="30" t="s">
        <v>112</v>
      </c>
      <c r="B1627" s="30">
        <v>2019</v>
      </c>
      <c r="C1627" s="30" t="s">
        <v>104</v>
      </c>
      <c r="D1627" s="30">
        <v>6</v>
      </c>
      <c r="E1627" s="30">
        <v>98.1</v>
      </c>
      <c r="F1627" s="30">
        <v>28.9</v>
      </c>
    </row>
    <row r="1628" spans="1:6" hidden="1" x14ac:dyDescent="0.25">
      <c r="A1628" s="30" t="s">
        <v>112</v>
      </c>
      <c r="B1628" s="30">
        <v>2019</v>
      </c>
      <c r="C1628" s="30" t="s">
        <v>105</v>
      </c>
      <c r="D1628" s="30">
        <v>7</v>
      </c>
      <c r="E1628" s="30">
        <v>35.799999999999997</v>
      </c>
      <c r="F1628" s="30">
        <v>74</v>
      </c>
    </row>
    <row r="1629" spans="1:6" hidden="1" x14ac:dyDescent="0.25">
      <c r="A1629" s="30" t="s">
        <v>112</v>
      </c>
      <c r="B1629" s="30">
        <v>2019</v>
      </c>
      <c r="C1629" s="30" t="s">
        <v>106</v>
      </c>
      <c r="D1629" s="30">
        <v>8</v>
      </c>
      <c r="E1629" s="30">
        <v>52.2</v>
      </c>
      <c r="F1629" s="30">
        <v>34.5</v>
      </c>
    </row>
    <row r="1630" spans="1:6" hidden="1" x14ac:dyDescent="0.25">
      <c r="A1630" s="30" t="s">
        <v>112</v>
      </c>
      <c r="B1630" s="30">
        <v>2019</v>
      </c>
      <c r="C1630" s="30" t="s">
        <v>107</v>
      </c>
      <c r="D1630" s="30">
        <v>9</v>
      </c>
      <c r="E1630" s="30">
        <v>76.8</v>
      </c>
      <c r="F1630" s="30">
        <v>18.399999999999999</v>
      </c>
    </row>
    <row r="1631" spans="1:6" hidden="1" x14ac:dyDescent="0.25">
      <c r="A1631" s="30" t="s">
        <v>112</v>
      </c>
      <c r="B1631" s="30">
        <v>2019</v>
      </c>
      <c r="C1631" s="30" t="s">
        <v>108</v>
      </c>
      <c r="D1631" s="30">
        <v>10</v>
      </c>
      <c r="E1631" s="30">
        <v>147.80000000000001</v>
      </c>
      <c r="F1631" s="30">
        <v>0.1</v>
      </c>
    </row>
    <row r="1632" spans="1:6" hidden="1" x14ac:dyDescent="0.25">
      <c r="A1632" s="30" t="s">
        <v>112</v>
      </c>
      <c r="B1632" s="30">
        <v>2019</v>
      </c>
      <c r="C1632" s="30" t="s">
        <v>109</v>
      </c>
      <c r="D1632" s="30">
        <v>11</v>
      </c>
      <c r="E1632" s="30">
        <v>265.10000000000002</v>
      </c>
      <c r="F1632" s="30">
        <v>0</v>
      </c>
    </row>
    <row r="1633" spans="1:6" hidden="1" x14ac:dyDescent="0.25">
      <c r="A1633" s="30" t="s">
        <v>112</v>
      </c>
      <c r="B1633" s="30">
        <v>2019</v>
      </c>
      <c r="C1633" s="30" t="s">
        <v>110</v>
      </c>
      <c r="D1633" s="30">
        <v>12</v>
      </c>
      <c r="E1633" s="30">
        <v>297.5</v>
      </c>
      <c r="F1633" s="30">
        <v>0</v>
      </c>
    </row>
    <row r="1634" spans="1:6" hidden="1" x14ac:dyDescent="0.25">
      <c r="A1634" s="30" t="s">
        <v>113</v>
      </c>
      <c r="B1634" s="30">
        <v>2019</v>
      </c>
      <c r="C1634" s="30" t="s">
        <v>99</v>
      </c>
      <c r="D1634" s="30">
        <v>1</v>
      </c>
      <c r="E1634" s="30">
        <v>390.3</v>
      </c>
      <c r="F1634" s="30">
        <v>0</v>
      </c>
    </row>
    <row r="1635" spans="1:6" hidden="1" x14ac:dyDescent="0.25">
      <c r="A1635" s="30" t="s">
        <v>113</v>
      </c>
      <c r="B1635" s="30">
        <v>2019</v>
      </c>
      <c r="C1635" s="30" t="s">
        <v>100</v>
      </c>
      <c r="D1635" s="30">
        <v>2</v>
      </c>
      <c r="E1635" s="30">
        <v>285.3</v>
      </c>
      <c r="F1635" s="30">
        <v>0.5</v>
      </c>
    </row>
    <row r="1636" spans="1:6" hidden="1" x14ac:dyDescent="0.25">
      <c r="A1636" s="30" t="s">
        <v>113</v>
      </c>
      <c r="B1636" s="30">
        <v>2019</v>
      </c>
      <c r="C1636" s="30" t="s">
        <v>101</v>
      </c>
      <c r="D1636" s="30">
        <v>3</v>
      </c>
      <c r="E1636" s="30">
        <v>254.3</v>
      </c>
      <c r="F1636" s="30">
        <v>0.6</v>
      </c>
    </row>
    <row r="1637" spans="1:6" hidden="1" x14ac:dyDescent="0.25">
      <c r="A1637" s="30" t="s">
        <v>113</v>
      </c>
      <c r="B1637" s="30">
        <v>2019</v>
      </c>
      <c r="C1637" s="30" t="s">
        <v>102</v>
      </c>
      <c r="D1637" s="30">
        <v>4</v>
      </c>
      <c r="E1637" s="30">
        <v>219.8</v>
      </c>
      <c r="F1637" s="30">
        <v>8.6999999999999993</v>
      </c>
    </row>
    <row r="1638" spans="1:6" hidden="1" x14ac:dyDescent="0.25">
      <c r="A1638" s="30" t="s">
        <v>113</v>
      </c>
      <c r="B1638" s="30">
        <v>2019</v>
      </c>
      <c r="C1638" s="30" t="s">
        <v>103</v>
      </c>
      <c r="D1638" s="30">
        <v>5</v>
      </c>
      <c r="E1638" s="30">
        <v>160.1</v>
      </c>
      <c r="F1638" s="30">
        <v>9.5</v>
      </c>
    </row>
    <row r="1639" spans="1:6" hidden="1" x14ac:dyDescent="0.25">
      <c r="A1639" s="30" t="s">
        <v>113</v>
      </c>
      <c r="B1639" s="30">
        <v>2019</v>
      </c>
      <c r="C1639" s="30" t="s">
        <v>104</v>
      </c>
      <c r="D1639" s="30">
        <v>6</v>
      </c>
      <c r="E1639" s="30">
        <v>72.7</v>
      </c>
      <c r="F1639" s="30">
        <v>65.7</v>
      </c>
    </row>
    <row r="1640" spans="1:6" hidden="1" x14ac:dyDescent="0.25">
      <c r="A1640" s="30" t="s">
        <v>113</v>
      </c>
      <c r="B1640" s="30">
        <v>2019</v>
      </c>
      <c r="C1640" s="30" t="s">
        <v>105</v>
      </c>
      <c r="D1640" s="30">
        <v>7</v>
      </c>
      <c r="E1640" s="30">
        <v>27.6</v>
      </c>
      <c r="F1640" s="30">
        <v>122.6</v>
      </c>
    </row>
    <row r="1641" spans="1:6" hidden="1" x14ac:dyDescent="0.25">
      <c r="A1641" s="30" t="s">
        <v>113</v>
      </c>
      <c r="B1641" s="30">
        <v>2019</v>
      </c>
      <c r="C1641" s="30" t="s">
        <v>106</v>
      </c>
      <c r="D1641" s="30">
        <v>8</v>
      </c>
      <c r="E1641" s="30">
        <v>39.1</v>
      </c>
      <c r="F1641" s="30">
        <v>81.900000000000006</v>
      </c>
    </row>
    <row r="1642" spans="1:6" hidden="1" x14ac:dyDescent="0.25">
      <c r="A1642" s="30" t="s">
        <v>113</v>
      </c>
      <c r="B1642" s="30">
        <v>2019</v>
      </c>
      <c r="C1642" s="30" t="s">
        <v>107</v>
      </c>
      <c r="D1642" s="30">
        <v>9</v>
      </c>
      <c r="E1642" s="30">
        <v>66.599999999999994</v>
      </c>
      <c r="F1642" s="30">
        <v>37.700000000000003</v>
      </c>
    </row>
    <row r="1643" spans="1:6" hidden="1" x14ac:dyDescent="0.25">
      <c r="A1643" s="30" t="s">
        <v>113</v>
      </c>
      <c r="B1643" s="30">
        <v>2019</v>
      </c>
      <c r="C1643" s="30" t="s">
        <v>108</v>
      </c>
      <c r="D1643" s="30">
        <v>10</v>
      </c>
      <c r="E1643" s="30">
        <v>132.9</v>
      </c>
      <c r="F1643" s="30">
        <v>4.2</v>
      </c>
    </row>
    <row r="1644" spans="1:6" hidden="1" x14ac:dyDescent="0.25">
      <c r="A1644" s="30" t="s">
        <v>113</v>
      </c>
      <c r="B1644" s="30">
        <v>2019</v>
      </c>
      <c r="C1644" s="30" t="s">
        <v>109</v>
      </c>
      <c r="D1644" s="30">
        <v>11</v>
      </c>
      <c r="E1644" s="30">
        <v>286.5</v>
      </c>
      <c r="F1644" s="30">
        <v>0</v>
      </c>
    </row>
    <row r="1645" spans="1:6" hidden="1" x14ac:dyDescent="0.25">
      <c r="A1645" s="30" t="s">
        <v>113</v>
      </c>
      <c r="B1645" s="30">
        <v>2019</v>
      </c>
      <c r="C1645" s="30" t="s">
        <v>110</v>
      </c>
      <c r="D1645" s="30">
        <v>12</v>
      </c>
      <c r="E1645" s="30">
        <v>326.2</v>
      </c>
      <c r="F1645" s="30">
        <v>0</v>
      </c>
    </row>
    <row r="1646" spans="1:6" hidden="1" x14ac:dyDescent="0.25">
      <c r="A1646" s="30" t="s">
        <v>114</v>
      </c>
      <c r="B1646" s="30">
        <v>2019</v>
      </c>
      <c r="C1646" s="30" t="s">
        <v>99</v>
      </c>
      <c r="D1646" s="30">
        <v>1</v>
      </c>
      <c r="E1646" s="30">
        <v>358.7</v>
      </c>
      <c r="F1646" s="30">
        <v>0</v>
      </c>
    </row>
    <row r="1647" spans="1:6" hidden="1" x14ac:dyDescent="0.25">
      <c r="A1647" s="30" t="s">
        <v>114</v>
      </c>
      <c r="B1647" s="30">
        <v>2019</v>
      </c>
      <c r="C1647" s="30" t="s">
        <v>100</v>
      </c>
      <c r="D1647" s="30">
        <v>2</v>
      </c>
      <c r="E1647" s="30">
        <v>267.89999999999998</v>
      </c>
      <c r="F1647" s="30">
        <v>0.7</v>
      </c>
    </row>
    <row r="1648" spans="1:6" hidden="1" x14ac:dyDescent="0.25">
      <c r="A1648" s="30" t="s">
        <v>114</v>
      </c>
      <c r="B1648" s="30">
        <v>2019</v>
      </c>
      <c r="C1648" s="30" t="s">
        <v>101</v>
      </c>
      <c r="D1648" s="30">
        <v>3</v>
      </c>
      <c r="E1648" s="30">
        <v>263</v>
      </c>
      <c r="F1648" s="30">
        <v>0.3</v>
      </c>
    </row>
    <row r="1649" spans="1:6" hidden="1" x14ac:dyDescent="0.25">
      <c r="A1649" s="30" t="s">
        <v>114</v>
      </c>
      <c r="B1649" s="30">
        <v>2019</v>
      </c>
      <c r="C1649" s="30" t="s">
        <v>102</v>
      </c>
      <c r="D1649" s="30">
        <v>4</v>
      </c>
      <c r="E1649" s="30">
        <v>227.4</v>
      </c>
      <c r="F1649" s="30">
        <v>3.1</v>
      </c>
    </row>
    <row r="1650" spans="1:6" hidden="1" x14ac:dyDescent="0.25">
      <c r="A1650" s="30" t="s">
        <v>114</v>
      </c>
      <c r="B1650" s="30">
        <v>2019</v>
      </c>
      <c r="C1650" s="30" t="s">
        <v>103</v>
      </c>
      <c r="D1650" s="30">
        <v>5</v>
      </c>
      <c r="E1650" s="30">
        <v>174.3</v>
      </c>
      <c r="F1650" s="30">
        <v>2</v>
      </c>
    </row>
    <row r="1651" spans="1:6" hidden="1" x14ac:dyDescent="0.25">
      <c r="A1651" s="30" t="s">
        <v>114</v>
      </c>
      <c r="B1651" s="30">
        <v>2019</v>
      </c>
      <c r="C1651" s="30" t="s">
        <v>104</v>
      </c>
      <c r="D1651" s="30">
        <v>6</v>
      </c>
      <c r="E1651" s="30">
        <v>85</v>
      </c>
      <c r="F1651" s="30">
        <v>38.700000000000003</v>
      </c>
    </row>
    <row r="1652" spans="1:6" hidden="1" x14ac:dyDescent="0.25">
      <c r="A1652" s="30" t="s">
        <v>114</v>
      </c>
      <c r="B1652" s="30">
        <v>2019</v>
      </c>
      <c r="C1652" s="30" t="s">
        <v>105</v>
      </c>
      <c r="D1652" s="30">
        <v>7</v>
      </c>
      <c r="E1652" s="30">
        <v>37.1</v>
      </c>
      <c r="F1652" s="30">
        <v>64.2</v>
      </c>
    </row>
    <row r="1653" spans="1:6" hidden="1" x14ac:dyDescent="0.25">
      <c r="A1653" s="30" t="s">
        <v>114</v>
      </c>
      <c r="B1653" s="30">
        <v>2019</v>
      </c>
      <c r="C1653" s="30" t="s">
        <v>106</v>
      </c>
      <c r="D1653" s="30">
        <v>8</v>
      </c>
      <c r="E1653" s="30">
        <v>47.9</v>
      </c>
      <c r="F1653" s="30">
        <v>47.7</v>
      </c>
    </row>
    <row r="1654" spans="1:6" hidden="1" x14ac:dyDescent="0.25">
      <c r="A1654" s="30" t="s">
        <v>114</v>
      </c>
      <c r="B1654" s="30">
        <v>2019</v>
      </c>
      <c r="C1654" s="30" t="s">
        <v>107</v>
      </c>
      <c r="D1654" s="30">
        <v>9</v>
      </c>
      <c r="E1654" s="30">
        <v>71.2</v>
      </c>
      <c r="F1654" s="30">
        <v>19.7</v>
      </c>
    </row>
    <row r="1655" spans="1:6" hidden="1" x14ac:dyDescent="0.25">
      <c r="A1655" s="30" t="s">
        <v>114</v>
      </c>
      <c r="B1655" s="30">
        <v>2019</v>
      </c>
      <c r="C1655" s="30" t="s">
        <v>108</v>
      </c>
      <c r="D1655" s="30">
        <v>10</v>
      </c>
      <c r="E1655" s="30">
        <v>145.30000000000001</v>
      </c>
      <c r="F1655" s="30">
        <v>2</v>
      </c>
    </row>
    <row r="1656" spans="1:6" hidden="1" x14ac:dyDescent="0.25">
      <c r="A1656" s="30" t="s">
        <v>114</v>
      </c>
      <c r="B1656" s="30">
        <v>2019</v>
      </c>
      <c r="C1656" s="30" t="s">
        <v>109</v>
      </c>
      <c r="D1656" s="30">
        <v>11</v>
      </c>
      <c r="E1656" s="30">
        <v>279</v>
      </c>
      <c r="F1656" s="30">
        <v>0.1</v>
      </c>
    </row>
    <row r="1657" spans="1:6" hidden="1" x14ac:dyDescent="0.25">
      <c r="A1657" s="30" t="s">
        <v>114</v>
      </c>
      <c r="B1657" s="30">
        <v>2019</v>
      </c>
      <c r="C1657" s="30" t="s">
        <v>110</v>
      </c>
      <c r="D1657" s="30">
        <v>12</v>
      </c>
      <c r="E1657" s="30">
        <v>319.39999999999998</v>
      </c>
      <c r="F1657" s="30">
        <v>0</v>
      </c>
    </row>
    <row r="1658" spans="1:6" hidden="1" x14ac:dyDescent="0.25">
      <c r="A1658" s="30" t="s">
        <v>115</v>
      </c>
      <c r="B1658" s="30">
        <v>2019</v>
      </c>
      <c r="C1658" s="30" t="s">
        <v>99</v>
      </c>
      <c r="D1658" s="30">
        <v>1</v>
      </c>
      <c r="E1658" s="30">
        <v>353.2</v>
      </c>
      <c r="F1658" s="30">
        <v>0</v>
      </c>
    </row>
    <row r="1659" spans="1:6" hidden="1" x14ac:dyDescent="0.25">
      <c r="A1659" s="30" t="s">
        <v>115</v>
      </c>
      <c r="B1659" s="30">
        <v>2019</v>
      </c>
      <c r="C1659" s="30" t="s">
        <v>100</v>
      </c>
      <c r="D1659" s="30">
        <v>2</v>
      </c>
      <c r="E1659" s="30">
        <v>268.89999999999998</v>
      </c>
      <c r="F1659" s="30">
        <v>0</v>
      </c>
    </row>
    <row r="1660" spans="1:6" hidden="1" x14ac:dyDescent="0.25">
      <c r="A1660" s="30" t="s">
        <v>115</v>
      </c>
      <c r="B1660" s="30">
        <v>2019</v>
      </c>
      <c r="C1660" s="30" t="s">
        <v>101</v>
      </c>
      <c r="D1660" s="30">
        <v>3</v>
      </c>
      <c r="E1660" s="30">
        <v>256</v>
      </c>
      <c r="F1660" s="30">
        <v>0.1</v>
      </c>
    </row>
    <row r="1661" spans="1:6" hidden="1" x14ac:dyDescent="0.25">
      <c r="A1661" s="30" t="s">
        <v>115</v>
      </c>
      <c r="B1661" s="30">
        <v>2019</v>
      </c>
      <c r="C1661" s="30" t="s">
        <v>102</v>
      </c>
      <c r="D1661" s="30">
        <v>4</v>
      </c>
      <c r="E1661" s="30">
        <v>217.5</v>
      </c>
      <c r="F1661" s="30">
        <v>5.6</v>
      </c>
    </row>
    <row r="1662" spans="1:6" hidden="1" x14ac:dyDescent="0.25">
      <c r="A1662" s="30" t="s">
        <v>115</v>
      </c>
      <c r="B1662" s="30">
        <v>2019</v>
      </c>
      <c r="C1662" s="30" t="s">
        <v>103</v>
      </c>
      <c r="D1662" s="30">
        <v>5</v>
      </c>
      <c r="E1662" s="30">
        <v>167.3</v>
      </c>
      <c r="F1662" s="30">
        <v>3.1</v>
      </c>
    </row>
    <row r="1663" spans="1:6" hidden="1" x14ac:dyDescent="0.25">
      <c r="A1663" s="30" t="s">
        <v>115</v>
      </c>
      <c r="B1663" s="30">
        <v>2019</v>
      </c>
      <c r="C1663" s="30" t="s">
        <v>104</v>
      </c>
      <c r="D1663" s="30">
        <v>6</v>
      </c>
      <c r="E1663" s="30">
        <v>88.9</v>
      </c>
      <c r="F1663" s="30">
        <v>38.5</v>
      </c>
    </row>
    <row r="1664" spans="1:6" hidden="1" x14ac:dyDescent="0.25">
      <c r="A1664" s="30" t="s">
        <v>115</v>
      </c>
      <c r="B1664" s="30">
        <v>2019</v>
      </c>
      <c r="C1664" s="30" t="s">
        <v>105</v>
      </c>
      <c r="D1664" s="30">
        <v>7</v>
      </c>
      <c r="E1664" s="30">
        <v>31.2</v>
      </c>
      <c r="F1664" s="30">
        <v>83.3</v>
      </c>
    </row>
    <row r="1665" spans="1:6" hidden="1" x14ac:dyDescent="0.25">
      <c r="A1665" s="30" t="s">
        <v>115</v>
      </c>
      <c r="B1665" s="30">
        <v>2019</v>
      </c>
      <c r="C1665" s="30" t="s">
        <v>106</v>
      </c>
      <c r="D1665" s="30">
        <v>8</v>
      </c>
      <c r="E1665" s="30">
        <v>43.3</v>
      </c>
      <c r="F1665" s="30">
        <v>45.3</v>
      </c>
    </row>
    <row r="1666" spans="1:6" hidden="1" x14ac:dyDescent="0.25">
      <c r="A1666" s="30" t="s">
        <v>115</v>
      </c>
      <c r="B1666" s="30">
        <v>2019</v>
      </c>
      <c r="C1666" s="30" t="s">
        <v>107</v>
      </c>
      <c r="D1666" s="30">
        <v>9</v>
      </c>
      <c r="E1666" s="30">
        <v>70.5</v>
      </c>
      <c r="F1666" s="30">
        <v>26.7</v>
      </c>
    </row>
    <row r="1667" spans="1:6" hidden="1" x14ac:dyDescent="0.25">
      <c r="A1667" s="30" t="s">
        <v>115</v>
      </c>
      <c r="B1667" s="30">
        <v>2019</v>
      </c>
      <c r="C1667" s="30" t="s">
        <v>108</v>
      </c>
      <c r="D1667" s="30">
        <v>10</v>
      </c>
      <c r="E1667" s="30">
        <v>135.9</v>
      </c>
      <c r="F1667" s="30">
        <v>0.3</v>
      </c>
    </row>
    <row r="1668" spans="1:6" hidden="1" x14ac:dyDescent="0.25">
      <c r="A1668" s="30" t="s">
        <v>115</v>
      </c>
      <c r="B1668" s="30">
        <v>2019</v>
      </c>
      <c r="C1668" s="30" t="s">
        <v>109</v>
      </c>
      <c r="D1668" s="30">
        <v>11</v>
      </c>
      <c r="E1668" s="30">
        <v>259</v>
      </c>
      <c r="F1668" s="30">
        <v>0</v>
      </c>
    </row>
    <row r="1669" spans="1:6" hidden="1" x14ac:dyDescent="0.25">
      <c r="A1669" s="30" t="s">
        <v>115</v>
      </c>
      <c r="B1669" s="30">
        <v>2019</v>
      </c>
      <c r="C1669" s="30" t="s">
        <v>110</v>
      </c>
      <c r="D1669" s="30">
        <v>12</v>
      </c>
      <c r="E1669" s="30">
        <v>303.89999999999998</v>
      </c>
      <c r="F1669" s="30">
        <v>0</v>
      </c>
    </row>
    <row r="1670" spans="1:6" x14ac:dyDescent="0.25">
      <c r="A1670" s="30" t="s">
        <v>116</v>
      </c>
      <c r="B1670" s="30">
        <v>2019</v>
      </c>
      <c r="C1670" s="30" t="s">
        <v>99</v>
      </c>
      <c r="D1670" s="30">
        <v>1</v>
      </c>
      <c r="E1670" s="30">
        <v>358.9</v>
      </c>
      <c r="F1670" s="30">
        <v>0</v>
      </c>
    </row>
    <row r="1671" spans="1:6" x14ac:dyDescent="0.25">
      <c r="A1671" s="30" t="s">
        <v>116</v>
      </c>
      <c r="B1671" s="30">
        <v>2019</v>
      </c>
      <c r="C1671" s="30" t="s">
        <v>100</v>
      </c>
      <c r="D1671" s="30">
        <v>2</v>
      </c>
      <c r="E1671" s="30">
        <v>262.2</v>
      </c>
      <c r="F1671" s="30">
        <v>0</v>
      </c>
    </row>
    <row r="1672" spans="1:6" x14ac:dyDescent="0.25">
      <c r="A1672" s="30" t="s">
        <v>116</v>
      </c>
      <c r="B1672" s="30">
        <v>2019</v>
      </c>
      <c r="C1672" s="30" t="s">
        <v>101</v>
      </c>
      <c r="D1672" s="30">
        <v>3</v>
      </c>
      <c r="E1672" s="30">
        <v>238.4</v>
      </c>
      <c r="F1672" s="30">
        <v>0</v>
      </c>
    </row>
    <row r="1673" spans="1:6" x14ac:dyDescent="0.25">
      <c r="A1673" s="30" t="s">
        <v>116</v>
      </c>
      <c r="B1673" s="30">
        <v>2019</v>
      </c>
      <c r="C1673" s="30" t="s">
        <v>102</v>
      </c>
      <c r="D1673" s="30">
        <v>4</v>
      </c>
      <c r="E1673" s="30">
        <v>189.3</v>
      </c>
      <c r="F1673" s="30">
        <v>0.2</v>
      </c>
    </row>
    <row r="1674" spans="1:6" x14ac:dyDescent="0.25">
      <c r="A1674" s="30" t="s">
        <v>116</v>
      </c>
      <c r="B1674" s="30">
        <v>2019</v>
      </c>
      <c r="C1674" s="30" t="s">
        <v>103</v>
      </c>
      <c r="D1674" s="30">
        <v>5</v>
      </c>
      <c r="E1674" s="30">
        <v>143.4</v>
      </c>
      <c r="F1674" s="30">
        <v>0</v>
      </c>
    </row>
    <row r="1675" spans="1:6" x14ac:dyDescent="0.25">
      <c r="A1675" s="30" t="s">
        <v>116</v>
      </c>
      <c r="B1675" s="30">
        <v>2019</v>
      </c>
      <c r="C1675" s="30" t="s">
        <v>104</v>
      </c>
      <c r="D1675" s="30">
        <v>6</v>
      </c>
      <c r="E1675" s="30">
        <v>62.5</v>
      </c>
      <c r="F1675" s="30">
        <v>44.8</v>
      </c>
    </row>
    <row r="1676" spans="1:6" x14ac:dyDescent="0.25">
      <c r="A1676" s="30" t="s">
        <v>116</v>
      </c>
      <c r="B1676" s="30">
        <v>2019</v>
      </c>
      <c r="C1676" s="30" t="s">
        <v>105</v>
      </c>
      <c r="D1676" s="30">
        <v>7</v>
      </c>
      <c r="E1676" s="30">
        <v>2.4</v>
      </c>
      <c r="F1676" s="30">
        <v>76.3</v>
      </c>
    </row>
    <row r="1677" spans="1:6" x14ac:dyDescent="0.25">
      <c r="A1677" s="30" t="s">
        <v>116</v>
      </c>
      <c r="B1677" s="30">
        <v>2019</v>
      </c>
      <c r="C1677" s="30" t="s">
        <v>106</v>
      </c>
      <c r="D1677" s="30">
        <v>8</v>
      </c>
      <c r="E1677" s="30">
        <v>11.9</v>
      </c>
      <c r="F1677" s="30">
        <v>36.700000000000003</v>
      </c>
    </row>
    <row r="1678" spans="1:6" x14ac:dyDescent="0.25">
      <c r="A1678" s="30" t="s">
        <v>116</v>
      </c>
      <c r="B1678" s="30">
        <v>2019</v>
      </c>
      <c r="C1678" s="30" t="s">
        <v>107</v>
      </c>
      <c r="D1678" s="30">
        <v>9</v>
      </c>
      <c r="E1678" s="30">
        <v>42.6</v>
      </c>
      <c r="F1678" s="30">
        <v>16.5</v>
      </c>
    </row>
    <row r="1679" spans="1:6" x14ac:dyDescent="0.25">
      <c r="A1679" s="30" t="s">
        <v>116</v>
      </c>
      <c r="B1679" s="30">
        <v>2019</v>
      </c>
      <c r="C1679" s="30" t="s">
        <v>108</v>
      </c>
      <c r="D1679" s="30">
        <v>10</v>
      </c>
      <c r="E1679" s="30">
        <v>118.1</v>
      </c>
      <c r="F1679" s="30">
        <v>0</v>
      </c>
    </row>
    <row r="1680" spans="1:6" x14ac:dyDescent="0.25">
      <c r="A1680" s="30" t="s">
        <v>116</v>
      </c>
      <c r="B1680" s="30">
        <v>2019</v>
      </c>
      <c r="C1680" s="30" t="s">
        <v>109</v>
      </c>
      <c r="D1680" s="30">
        <v>11</v>
      </c>
      <c r="E1680" s="30">
        <v>268.3</v>
      </c>
      <c r="F1680" s="30">
        <v>0</v>
      </c>
    </row>
    <row r="1681" spans="1:6" x14ac:dyDescent="0.25">
      <c r="A1681" s="30" t="s">
        <v>116</v>
      </c>
      <c r="B1681" s="30">
        <v>2019</v>
      </c>
      <c r="C1681" s="30" t="s">
        <v>110</v>
      </c>
      <c r="D1681" s="30">
        <v>12</v>
      </c>
      <c r="E1681" s="30">
        <v>298.39999999999998</v>
      </c>
      <c r="F1681" s="30">
        <v>0</v>
      </c>
    </row>
    <row r="1682" spans="1:6" hidden="1" x14ac:dyDescent="0.25">
      <c r="A1682" s="30" t="s">
        <v>98</v>
      </c>
      <c r="B1682" s="30">
        <v>2020</v>
      </c>
      <c r="C1682" s="30" t="s">
        <v>99</v>
      </c>
      <c r="D1682" s="30">
        <v>1</v>
      </c>
      <c r="E1682" s="30">
        <v>320.2</v>
      </c>
      <c r="F1682" s="30">
        <v>0</v>
      </c>
    </row>
    <row r="1683" spans="1:6" hidden="1" x14ac:dyDescent="0.25">
      <c r="A1683" s="30" t="s">
        <v>98</v>
      </c>
      <c r="B1683" s="30">
        <v>2020</v>
      </c>
      <c r="C1683" s="30" t="s">
        <v>100</v>
      </c>
      <c r="D1683" s="30">
        <v>2</v>
      </c>
      <c r="E1683" s="30">
        <v>260.60000000000002</v>
      </c>
      <c r="F1683" s="30">
        <v>0</v>
      </c>
    </row>
    <row r="1684" spans="1:6" hidden="1" x14ac:dyDescent="0.25">
      <c r="A1684" s="30" t="s">
        <v>98</v>
      </c>
      <c r="B1684" s="30">
        <v>2020</v>
      </c>
      <c r="C1684" s="30" t="s">
        <v>101</v>
      </c>
      <c r="D1684" s="30">
        <v>3</v>
      </c>
      <c r="E1684" s="30">
        <v>305.2</v>
      </c>
      <c r="F1684" s="30">
        <v>0</v>
      </c>
    </row>
    <row r="1685" spans="1:6" hidden="1" x14ac:dyDescent="0.25">
      <c r="A1685" s="30" t="s">
        <v>98</v>
      </c>
      <c r="B1685" s="30">
        <v>2020</v>
      </c>
      <c r="C1685" s="30" t="s">
        <v>102</v>
      </c>
      <c r="D1685" s="30">
        <v>4</v>
      </c>
      <c r="E1685" s="30">
        <v>180.8</v>
      </c>
      <c r="F1685" s="30">
        <v>7.7</v>
      </c>
    </row>
    <row r="1686" spans="1:6" hidden="1" x14ac:dyDescent="0.25">
      <c r="A1686" s="30" t="s">
        <v>98</v>
      </c>
      <c r="B1686" s="30">
        <v>2020</v>
      </c>
      <c r="C1686" s="30" t="s">
        <v>103</v>
      </c>
      <c r="D1686" s="30">
        <v>5</v>
      </c>
      <c r="E1686" s="30">
        <v>146.80000000000001</v>
      </c>
      <c r="F1686" s="30">
        <v>11.5</v>
      </c>
    </row>
    <row r="1687" spans="1:6" hidden="1" x14ac:dyDescent="0.25">
      <c r="A1687" s="30" t="s">
        <v>98</v>
      </c>
      <c r="B1687" s="30">
        <v>2020</v>
      </c>
      <c r="C1687" s="30" t="s">
        <v>104</v>
      </c>
      <c r="D1687" s="30">
        <v>6</v>
      </c>
      <c r="E1687" s="30">
        <v>90.9</v>
      </c>
      <c r="F1687" s="30">
        <v>22.5</v>
      </c>
    </row>
    <row r="1688" spans="1:6" hidden="1" x14ac:dyDescent="0.25">
      <c r="A1688" s="30" t="s">
        <v>98</v>
      </c>
      <c r="B1688" s="30">
        <v>2020</v>
      </c>
      <c r="C1688" s="30" t="s">
        <v>105</v>
      </c>
      <c r="D1688" s="30">
        <v>7</v>
      </c>
      <c r="E1688" s="30">
        <v>63.7</v>
      </c>
      <c r="F1688" s="30">
        <v>29.8</v>
      </c>
    </row>
    <row r="1689" spans="1:6" hidden="1" x14ac:dyDescent="0.25">
      <c r="A1689" s="30" t="s">
        <v>98</v>
      </c>
      <c r="B1689" s="30">
        <v>2020</v>
      </c>
      <c r="C1689" s="30" t="s">
        <v>106</v>
      </c>
      <c r="D1689" s="30">
        <v>8</v>
      </c>
      <c r="E1689" s="30">
        <v>37.700000000000003</v>
      </c>
      <c r="F1689" s="30">
        <v>65.099999999999994</v>
      </c>
    </row>
    <row r="1690" spans="1:6" hidden="1" x14ac:dyDescent="0.25">
      <c r="A1690" s="30" t="s">
        <v>98</v>
      </c>
      <c r="B1690" s="30">
        <v>2020</v>
      </c>
      <c r="C1690" s="30" t="s">
        <v>107</v>
      </c>
      <c r="D1690" s="30">
        <v>9</v>
      </c>
      <c r="E1690" s="30">
        <v>80.3</v>
      </c>
      <c r="F1690" s="30">
        <v>22.7</v>
      </c>
    </row>
    <row r="1691" spans="1:6" hidden="1" x14ac:dyDescent="0.25">
      <c r="A1691" s="30" t="s">
        <v>98</v>
      </c>
      <c r="B1691" s="30">
        <v>2020</v>
      </c>
      <c r="C1691" s="30" t="s">
        <v>108</v>
      </c>
      <c r="D1691" s="30">
        <v>10</v>
      </c>
      <c r="E1691" s="30">
        <v>182.2</v>
      </c>
      <c r="F1691" s="30">
        <v>0.3</v>
      </c>
    </row>
    <row r="1692" spans="1:6" hidden="1" x14ac:dyDescent="0.25">
      <c r="A1692" s="30" t="s">
        <v>98</v>
      </c>
      <c r="B1692" s="30">
        <v>2020</v>
      </c>
      <c r="C1692" s="30" t="s">
        <v>109</v>
      </c>
      <c r="D1692" s="30">
        <v>11</v>
      </c>
      <c r="E1692" s="30">
        <v>219.2</v>
      </c>
      <c r="F1692" s="30">
        <v>0.1</v>
      </c>
    </row>
    <row r="1693" spans="1:6" hidden="1" x14ac:dyDescent="0.25">
      <c r="A1693" s="30" t="s">
        <v>98</v>
      </c>
      <c r="B1693" s="30">
        <v>2020</v>
      </c>
      <c r="C1693" s="30" t="s">
        <v>110</v>
      </c>
      <c r="D1693" s="30">
        <v>12</v>
      </c>
      <c r="E1693" s="30">
        <v>324.60000000000002</v>
      </c>
      <c r="F1693" s="30">
        <v>0</v>
      </c>
    </row>
    <row r="1694" spans="1:6" hidden="1" x14ac:dyDescent="0.25">
      <c r="A1694" s="30" t="s">
        <v>111</v>
      </c>
      <c r="B1694" s="30">
        <v>2020</v>
      </c>
      <c r="C1694" s="30" t="s">
        <v>99</v>
      </c>
      <c r="D1694" s="30">
        <v>1</v>
      </c>
      <c r="E1694" s="30">
        <v>307.2</v>
      </c>
      <c r="F1694" s="30">
        <v>0</v>
      </c>
    </row>
    <row r="1695" spans="1:6" hidden="1" x14ac:dyDescent="0.25">
      <c r="A1695" s="30" t="s">
        <v>111</v>
      </c>
      <c r="B1695" s="30">
        <v>2020</v>
      </c>
      <c r="C1695" s="30" t="s">
        <v>100</v>
      </c>
      <c r="D1695" s="30">
        <v>2</v>
      </c>
      <c r="E1695" s="30">
        <v>262.3</v>
      </c>
      <c r="F1695" s="30">
        <v>0</v>
      </c>
    </row>
    <row r="1696" spans="1:6" hidden="1" x14ac:dyDescent="0.25">
      <c r="A1696" s="30" t="s">
        <v>111</v>
      </c>
      <c r="B1696" s="30">
        <v>2020</v>
      </c>
      <c r="C1696" s="30" t="s">
        <v>101</v>
      </c>
      <c r="D1696" s="30">
        <v>3</v>
      </c>
      <c r="E1696" s="30">
        <v>296.3</v>
      </c>
      <c r="F1696" s="30">
        <v>0.1</v>
      </c>
    </row>
    <row r="1697" spans="1:6" hidden="1" x14ac:dyDescent="0.25">
      <c r="A1697" s="30" t="s">
        <v>111</v>
      </c>
      <c r="B1697" s="30">
        <v>2020</v>
      </c>
      <c r="C1697" s="30" t="s">
        <v>102</v>
      </c>
      <c r="D1697" s="30">
        <v>4</v>
      </c>
      <c r="E1697" s="30">
        <v>178.2</v>
      </c>
      <c r="F1697" s="30">
        <v>6.8</v>
      </c>
    </row>
    <row r="1698" spans="1:6" hidden="1" x14ac:dyDescent="0.25">
      <c r="A1698" s="30" t="s">
        <v>111</v>
      </c>
      <c r="B1698" s="30">
        <v>2020</v>
      </c>
      <c r="C1698" s="30" t="s">
        <v>103</v>
      </c>
      <c r="D1698" s="30">
        <v>5</v>
      </c>
      <c r="E1698" s="30">
        <v>130.69999999999999</v>
      </c>
      <c r="F1698" s="30">
        <v>31.7</v>
      </c>
    </row>
    <row r="1699" spans="1:6" hidden="1" x14ac:dyDescent="0.25">
      <c r="A1699" s="30" t="s">
        <v>111</v>
      </c>
      <c r="B1699" s="30">
        <v>2020</v>
      </c>
      <c r="C1699" s="30" t="s">
        <v>104</v>
      </c>
      <c r="D1699" s="30">
        <v>6</v>
      </c>
      <c r="E1699" s="30">
        <v>95.2</v>
      </c>
      <c r="F1699" s="30">
        <v>16.3</v>
      </c>
    </row>
    <row r="1700" spans="1:6" hidden="1" x14ac:dyDescent="0.25">
      <c r="A1700" s="30" t="s">
        <v>111</v>
      </c>
      <c r="B1700" s="30">
        <v>2020</v>
      </c>
      <c r="C1700" s="30" t="s">
        <v>105</v>
      </c>
      <c r="D1700" s="30">
        <v>7</v>
      </c>
      <c r="E1700" s="30">
        <v>79.900000000000006</v>
      </c>
      <c r="F1700" s="30">
        <v>18.7</v>
      </c>
    </row>
    <row r="1701" spans="1:6" hidden="1" x14ac:dyDescent="0.25">
      <c r="A1701" s="30" t="s">
        <v>111</v>
      </c>
      <c r="B1701" s="30">
        <v>2020</v>
      </c>
      <c r="C1701" s="30" t="s">
        <v>106</v>
      </c>
      <c r="D1701" s="30">
        <v>8</v>
      </c>
      <c r="E1701" s="30">
        <v>46.3</v>
      </c>
      <c r="F1701" s="30">
        <v>43.3</v>
      </c>
    </row>
    <row r="1702" spans="1:6" hidden="1" x14ac:dyDescent="0.25">
      <c r="A1702" s="30" t="s">
        <v>111</v>
      </c>
      <c r="B1702" s="30">
        <v>2020</v>
      </c>
      <c r="C1702" s="30" t="s">
        <v>107</v>
      </c>
      <c r="D1702" s="30">
        <v>9</v>
      </c>
      <c r="E1702" s="30">
        <v>97.4</v>
      </c>
      <c r="F1702" s="30">
        <v>23.5</v>
      </c>
    </row>
    <row r="1703" spans="1:6" hidden="1" x14ac:dyDescent="0.25">
      <c r="A1703" s="30" t="s">
        <v>111</v>
      </c>
      <c r="B1703" s="30">
        <v>2020</v>
      </c>
      <c r="C1703" s="30" t="s">
        <v>108</v>
      </c>
      <c r="D1703" s="30">
        <v>10</v>
      </c>
      <c r="E1703" s="30">
        <v>187.6</v>
      </c>
      <c r="F1703" s="30">
        <v>0</v>
      </c>
    </row>
    <row r="1704" spans="1:6" hidden="1" x14ac:dyDescent="0.25">
      <c r="A1704" s="30" t="s">
        <v>111</v>
      </c>
      <c r="B1704" s="30">
        <v>2020</v>
      </c>
      <c r="C1704" s="30" t="s">
        <v>109</v>
      </c>
      <c r="D1704" s="30">
        <v>11</v>
      </c>
      <c r="E1704" s="30">
        <v>202.8</v>
      </c>
      <c r="F1704" s="30">
        <v>0</v>
      </c>
    </row>
    <row r="1705" spans="1:6" hidden="1" x14ac:dyDescent="0.25">
      <c r="A1705" s="30" t="s">
        <v>111</v>
      </c>
      <c r="B1705" s="30">
        <v>2020</v>
      </c>
      <c r="C1705" s="30" t="s">
        <v>110</v>
      </c>
      <c r="D1705" s="30">
        <v>12</v>
      </c>
      <c r="E1705" s="30">
        <v>310</v>
      </c>
      <c r="F1705" s="30">
        <v>0</v>
      </c>
    </row>
    <row r="1706" spans="1:6" hidden="1" x14ac:dyDescent="0.25">
      <c r="A1706" s="30" t="s">
        <v>112</v>
      </c>
      <c r="B1706" s="30">
        <v>2020</v>
      </c>
      <c r="C1706" s="30" t="s">
        <v>99</v>
      </c>
      <c r="D1706" s="30">
        <v>1</v>
      </c>
      <c r="E1706" s="30">
        <v>302</v>
      </c>
      <c r="F1706" s="30">
        <v>0</v>
      </c>
    </row>
    <row r="1707" spans="1:6" hidden="1" x14ac:dyDescent="0.25">
      <c r="A1707" s="30" t="s">
        <v>112</v>
      </c>
      <c r="B1707" s="30">
        <v>2020</v>
      </c>
      <c r="C1707" s="30" t="s">
        <v>100</v>
      </c>
      <c r="D1707" s="30">
        <v>2</v>
      </c>
      <c r="E1707" s="30">
        <v>255.3</v>
      </c>
      <c r="F1707" s="30">
        <v>0</v>
      </c>
    </row>
    <row r="1708" spans="1:6" hidden="1" x14ac:dyDescent="0.25">
      <c r="A1708" s="30" t="s">
        <v>112</v>
      </c>
      <c r="B1708" s="30">
        <v>2020</v>
      </c>
      <c r="C1708" s="30" t="s">
        <v>101</v>
      </c>
      <c r="D1708" s="30">
        <v>3</v>
      </c>
      <c r="E1708" s="30">
        <v>280.2</v>
      </c>
      <c r="F1708" s="30">
        <v>0</v>
      </c>
    </row>
    <row r="1709" spans="1:6" hidden="1" x14ac:dyDescent="0.25">
      <c r="A1709" s="30" t="s">
        <v>112</v>
      </c>
      <c r="B1709" s="30">
        <v>2020</v>
      </c>
      <c r="C1709" s="30" t="s">
        <v>102</v>
      </c>
      <c r="D1709" s="30">
        <v>4</v>
      </c>
      <c r="E1709" s="30">
        <v>155.19999999999999</v>
      </c>
      <c r="F1709" s="30">
        <v>8.3000000000000007</v>
      </c>
    </row>
    <row r="1710" spans="1:6" hidden="1" x14ac:dyDescent="0.25">
      <c r="A1710" s="30" t="s">
        <v>112</v>
      </c>
      <c r="B1710" s="30">
        <v>2020</v>
      </c>
      <c r="C1710" s="30" t="s">
        <v>103</v>
      </c>
      <c r="D1710" s="30">
        <v>5</v>
      </c>
      <c r="E1710" s="30">
        <v>112.9</v>
      </c>
      <c r="F1710" s="30">
        <v>32.700000000000003</v>
      </c>
    </row>
    <row r="1711" spans="1:6" hidden="1" x14ac:dyDescent="0.25">
      <c r="A1711" s="30" t="s">
        <v>112</v>
      </c>
      <c r="B1711" s="30">
        <v>2020</v>
      </c>
      <c r="C1711" s="30" t="s">
        <v>104</v>
      </c>
      <c r="D1711" s="30">
        <v>6</v>
      </c>
      <c r="E1711" s="30">
        <v>81.099999999999994</v>
      </c>
      <c r="F1711" s="30">
        <v>23.8</v>
      </c>
    </row>
    <row r="1712" spans="1:6" hidden="1" x14ac:dyDescent="0.25">
      <c r="A1712" s="30" t="s">
        <v>112</v>
      </c>
      <c r="B1712" s="30">
        <v>2020</v>
      </c>
      <c r="C1712" s="30" t="s">
        <v>105</v>
      </c>
      <c r="D1712" s="30">
        <v>7</v>
      </c>
      <c r="E1712" s="30">
        <v>60.2</v>
      </c>
      <c r="F1712" s="30">
        <v>33.799999999999997</v>
      </c>
    </row>
    <row r="1713" spans="1:6" hidden="1" x14ac:dyDescent="0.25">
      <c r="A1713" s="30" t="s">
        <v>112</v>
      </c>
      <c r="B1713" s="30">
        <v>2020</v>
      </c>
      <c r="C1713" s="30" t="s">
        <v>106</v>
      </c>
      <c r="D1713" s="30">
        <v>8</v>
      </c>
      <c r="E1713" s="30">
        <v>36.9</v>
      </c>
      <c r="F1713" s="30">
        <v>63.8</v>
      </c>
    </row>
    <row r="1714" spans="1:6" hidden="1" x14ac:dyDescent="0.25">
      <c r="A1714" s="30" t="s">
        <v>112</v>
      </c>
      <c r="B1714" s="30">
        <v>2020</v>
      </c>
      <c r="C1714" s="30" t="s">
        <v>107</v>
      </c>
      <c r="D1714" s="30">
        <v>9</v>
      </c>
      <c r="E1714" s="30">
        <v>76.400000000000006</v>
      </c>
      <c r="F1714" s="30">
        <v>36.299999999999997</v>
      </c>
    </row>
    <row r="1715" spans="1:6" hidden="1" x14ac:dyDescent="0.25">
      <c r="A1715" s="30" t="s">
        <v>112</v>
      </c>
      <c r="B1715" s="30">
        <v>2020</v>
      </c>
      <c r="C1715" s="30" t="s">
        <v>108</v>
      </c>
      <c r="D1715" s="30">
        <v>10</v>
      </c>
      <c r="E1715" s="30">
        <v>179.1</v>
      </c>
      <c r="F1715" s="30">
        <v>0</v>
      </c>
    </row>
    <row r="1716" spans="1:6" hidden="1" x14ac:dyDescent="0.25">
      <c r="A1716" s="30" t="s">
        <v>112</v>
      </c>
      <c r="B1716" s="30">
        <v>2020</v>
      </c>
      <c r="C1716" s="30" t="s">
        <v>109</v>
      </c>
      <c r="D1716" s="30">
        <v>11</v>
      </c>
      <c r="E1716" s="30">
        <v>200.1</v>
      </c>
      <c r="F1716" s="30">
        <v>0</v>
      </c>
    </row>
    <row r="1717" spans="1:6" hidden="1" x14ac:dyDescent="0.25">
      <c r="A1717" s="30" t="s">
        <v>112</v>
      </c>
      <c r="B1717" s="30">
        <v>2020</v>
      </c>
      <c r="C1717" s="30" t="s">
        <v>110</v>
      </c>
      <c r="D1717" s="30">
        <v>12</v>
      </c>
      <c r="E1717" s="30">
        <v>304.89999999999998</v>
      </c>
      <c r="F1717" s="30">
        <v>0</v>
      </c>
    </row>
    <row r="1718" spans="1:6" hidden="1" x14ac:dyDescent="0.25">
      <c r="A1718" s="30" t="s">
        <v>113</v>
      </c>
      <c r="B1718" s="30">
        <v>2020</v>
      </c>
      <c r="C1718" s="30" t="s">
        <v>99</v>
      </c>
      <c r="D1718" s="30">
        <v>1</v>
      </c>
      <c r="E1718" s="30">
        <v>319.3</v>
      </c>
      <c r="F1718" s="30">
        <v>0</v>
      </c>
    </row>
    <row r="1719" spans="1:6" hidden="1" x14ac:dyDescent="0.25">
      <c r="A1719" s="30" t="s">
        <v>113</v>
      </c>
      <c r="B1719" s="30">
        <v>2020</v>
      </c>
      <c r="C1719" s="30" t="s">
        <v>100</v>
      </c>
      <c r="D1719" s="30">
        <v>2</v>
      </c>
      <c r="E1719" s="30">
        <v>249.4</v>
      </c>
      <c r="F1719" s="30">
        <v>0</v>
      </c>
    </row>
    <row r="1720" spans="1:6" hidden="1" x14ac:dyDescent="0.25">
      <c r="A1720" s="30" t="s">
        <v>113</v>
      </c>
      <c r="B1720" s="30">
        <v>2020</v>
      </c>
      <c r="C1720" s="30" t="s">
        <v>101</v>
      </c>
      <c r="D1720" s="30">
        <v>3</v>
      </c>
      <c r="E1720" s="30">
        <v>275.3</v>
      </c>
      <c r="F1720" s="30">
        <v>0.3</v>
      </c>
    </row>
    <row r="1721" spans="1:6" hidden="1" x14ac:dyDescent="0.25">
      <c r="A1721" s="30" t="s">
        <v>113</v>
      </c>
      <c r="B1721" s="30">
        <v>2020</v>
      </c>
      <c r="C1721" s="30" t="s">
        <v>102</v>
      </c>
      <c r="D1721" s="30">
        <v>4</v>
      </c>
      <c r="E1721" s="30">
        <v>139.30000000000001</v>
      </c>
      <c r="F1721" s="30">
        <v>17.8</v>
      </c>
    </row>
    <row r="1722" spans="1:6" hidden="1" x14ac:dyDescent="0.25">
      <c r="A1722" s="30" t="s">
        <v>113</v>
      </c>
      <c r="B1722" s="30">
        <v>2020</v>
      </c>
      <c r="C1722" s="30" t="s">
        <v>103</v>
      </c>
      <c r="D1722" s="30">
        <v>5</v>
      </c>
      <c r="E1722" s="30">
        <v>107.5</v>
      </c>
      <c r="F1722" s="30">
        <v>37.5</v>
      </c>
    </row>
    <row r="1723" spans="1:6" hidden="1" x14ac:dyDescent="0.25">
      <c r="A1723" s="30" t="s">
        <v>113</v>
      </c>
      <c r="B1723" s="30">
        <v>2020</v>
      </c>
      <c r="C1723" s="30" t="s">
        <v>104</v>
      </c>
      <c r="D1723" s="30">
        <v>6</v>
      </c>
      <c r="E1723" s="30">
        <v>70</v>
      </c>
      <c r="F1723" s="30">
        <v>37.6</v>
      </c>
    </row>
    <row r="1724" spans="1:6" hidden="1" x14ac:dyDescent="0.25">
      <c r="A1724" s="30" t="s">
        <v>113</v>
      </c>
      <c r="B1724" s="30">
        <v>2020</v>
      </c>
      <c r="C1724" s="30" t="s">
        <v>105</v>
      </c>
      <c r="D1724" s="30">
        <v>7</v>
      </c>
      <c r="E1724" s="30">
        <v>48.4</v>
      </c>
      <c r="F1724" s="30">
        <v>75.099999999999994</v>
      </c>
    </row>
    <row r="1725" spans="1:6" hidden="1" x14ac:dyDescent="0.25">
      <c r="A1725" s="30" t="s">
        <v>113</v>
      </c>
      <c r="B1725" s="30">
        <v>2020</v>
      </c>
      <c r="C1725" s="30" t="s">
        <v>106</v>
      </c>
      <c r="D1725" s="30">
        <v>8</v>
      </c>
      <c r="E1725" s="30">
        <v>34.5</v>
      </c>
      <c r="F1725" s="30">
        <v>100.2</v>
      </c>
    </row>
    <row r="1726" spans="1:6" hidden="1" x14ac:dyDescent="0.25">
      <c r="A1726" s="30" t="s">
        <v>113</v>
      </c>
      <c r="B1726" s="30">
        <v>2020</v>
      </c>
      <c r="C1726" s="30" t="s">
        <v>107</v>
      </c>
      <c r="D1726" s="30">
        <v>9</v>
      </c>
      <c r="E1726" s="30">
        <v>67.3</v>
      </c>
      <c r="F1726" s="30">
        <v>57.4</v>
      </c>
    </row>
    <row r="1727" spans="1:6" hidden="1" x14ac:dyDescent="0.25">
      <c r="A1727" s="30" t="s">
        <v>113</v>
      </c>
      <c r="B1727" s="30">
        <v>2020</v>
      </c>
      <c r="C1727" s="30" t="s">
        <v>108</v>
      </c>
      <c r="D1727" s="30">
        <v>10</v>
      </c>
      <c r="E1727" s="30">
        <v>166.6</v>
      </c>
      <c r="F1727" s="30">
        <v>0.9</v>
      </c>
    </row>
    <row r="1728" spans="1:6" hidden="1" x14ac:dyDescent="0.25">
      <c r="A1728" s="30" t="s">
        <v>113</v>
      </c>
      <c r="B1728" s="30">
        <v>2020</v>
      </c>
      <c r="C1728" s="30" t="s">
        <v>109</v>
      </c>
      <c r="D1728" s="30">
        <v>11</v>
      </c>
      <c r="E1728" s="30">
        <v>219.9</v>
      </c>
      <c r="F1728" s="30">
        <v>0.1</v>
      </c>
    </row>
    <row r="1729" spans="1:6" hidden="1" x14ac:dyDescent="0.25">
      <c r="A1729" s="30" t="s">
        <v>113</v>
      </c>
      <c r="B1729" s="30">
        <v>2020</v>
      </c>
      <c r="C1729" s="30" t="s">
        <v>110</v>
      </c>
      <c r="D1729" s="30">
        <v>12</v>
      </c>
      <c r="E1729" s="30">
        <v>329.2</v>
      </c>
      <c r="F1729" s="30">
        <v>0</v>
      </c>
    </row>
    <row r="1730" spans="1:6" hidden="1" x14ac:dyDescent="0.25">
      <c r="A1730" s="30" t="s">
        <v>114</v>
      </c>
      <c r="B1730" s="30">
        <v>2020</v>
      </c>
      <c r="C1730" s="30" t="s">
        <v>99</v>
      </c>
      <c r="D1730" s="30">
        <v>1</v>
      </c>
      <c r="E1730" s="30">
        <v>319.60000000000002</v>
      </c>
      <c r="F1730" s="30">
        <v>0</v>
      </c>
    </row>
    <row r="1731" spans="1:6" hidden="1" x14ac:dyDescent="0.25">
      <c r="A1731" s="30" t="s">
        <v>114</v>
      </c>
      <c r="B1731" s="30">
        <v>2020</v>
      </c>
      <c r="C1731" s="30" t="s">
        <v>100</v>
      </c>
      <c r="D1731" s="30">
        <v>2</v>
      </c>
      <c r="E1731" s="30">
        <v>253.3</v>
      </c>
      <c r="F1731" s="30">
        <v>0</v>
      </c>
    </row>
    <row r="1732" spans="1:6" hidden="1" x14ac:dyDescent="0.25">
      <c r="A1732" s="30" t="s">
        <v>114</v>
      </c>
      <c r="B1732" s="30">
        <v>2020</v>
      </c>
      <c r="C1732" s="30" t="s">
        <v>101</v>
      </c>
      <c r="D1732" s="30">
        <v>3</v>
      </c>
      <c r="E1732" s="30">
        <v>288.7</v>
      </c>
      <c r="F1732" s="30">
        <v>0</v>
      </c>
    </row>
    <row r="1733" spans="1:6" hidden="1" x14ac:dyDescent="0.25">
      <c r="A1733" s="30" t="s">
        <v>114</v>
      </c>
      <c r="B1733" s="30">
        <v>2020</v>
      </c>
      <c r="C1733" s="30" t="s">
        <v>102</v>
      </c>
      <c r="D1733" s="30">
        <v>4</v>
      </c>
      <c r="E1733" s="30">
        <v>167.1</v>
      </c>
      <c r="F1733" s="30">
        <v>11.8</v>
      </c>
    </row>
    <row r="1734" spans="1:6" hidden="1" x14ac:dyDescent="0.25">
      <c r="A1734" s="30" t="s">
        <v>114</v>
      </c>
      <c r="B1734" s="30">
        <v>2020</v>
      </c>
      <c r="C1734" s="30" t="s">
        <v>103</v>
      </c>
      <c r="D1734" s="30">
        <v>5</v>
      </c>
      <c r="E1734" s="30">
        <v>133.6</v>
      </c>
      <c r="F1734" s="30">
        <v>18.7</v>
      </c>
    </row>
    <row r="1735" spans="1:6" hidden="1" x14ac:dyDescent="0.25">
      <c r="A1735" s="30" t="s">
        <v>114</v>
      </c>
      <c r="B1735" s="30">
        <v>2020</v>
      </c>
      <c r="C1735" s="30" t="s">
        <v>104</v>
      </c>
      <c r="D1735" s="30">
        <v>6</v>
      </c>
      <c r="E1735" s="30">
        <v>86.4</v>
      </c>
      <c r="F1735" s="30">
        <v>24.9</v>
      </c>
    </row>
    <row r="1736" spans="1:6" hidden="1" x14ac:dyDescent="0.25">
      <c r="A1736" s="30" t="s">
        <v>114</v>
      </c>
      <c r="B1736" s="30">
        <v>2020</v>
      </c>
      <c r="C1736" s="30" t="s">
        <v>105</v>
      </c>
      <c r="D1736" s="30">
        <v>7</v>
      </c>
      <c r="E1736" s="30">
        <v>54.6</v>
      </c>
      <c r="F1736" s="30">
        <v>35.5</v>
      </c>
    </row>
    <row r="1737" spans="1:6" hidden="1" x14ac:dyDescent="0.25">
      <c r="A1737" s="30" t="s">
        <v>114</v>
      </c>
      <c r="B1737" s="30">
        <v>2020</v>
      </c>
      <c r="C1737" s="30" t="s">
        <v>106</v>
      </c>
      <c r="D1737" s="30">
        <v>8</v>
      </c>
      <c r="E1737" s="30">
        <v>37.9</v>
      </c>
      <c r="F1737" s="30">
        <v>61.8</v>
      </c>
    </row>
    <row r="1738" spans="1:6" hidden="1" x14ac:dyDescent="0.25">
      <c r="A1738" s="30" t="s">
        <v>114</v>
      </c>
      <c r="B1738" s="30">
        <v>2020</v>
      </c>
      <c r="C1738" s="30" t="s">
        <v>107</v>
      </c>
      <c r="D1738" s="30">
        <v>9</v>
      </c>
      <c r="E1738" s="30">
        <v>67.7</v>
      </c>
      <c r="F1738" s="30">
        <v>28.9</v>
      </c>
    </row>
    <row r="1739" spans="1:6" hidden="1" x14ac:dyDescent="0.25">
      <c r="A1739" s="30" t="s">
        <v>114</v>
      </c>
      <c r="B1739" s="30">
        <v>2020</v>
      </c>
      <c r="C1739" s="30" t="s">
        <v>108</v>
      </c>
      <c r="D1739" s="30">
        <v>10</v>
      </c>
      <c r="E1739" s="30">
        <v>170.1</v>
      </c>
      <c r="F1739" s="30">
        <v>0.6</v>
      </c>
    </row>
    <row r="1740" spans="1:6" hidden="1" x14ac:dyDescent="0.25">
      <c r="A1740" s="30" t="s">
        <v>114</v>
      </c>
      <c r="B1740" s="30">
        <v>2020</v>
      </c>
      <c r="C1740" s="30" t="s">
        <v>109</v>
      </c>
      <c r="D1740" s="30">
        <v>11</v>
      </c>
      <c r="E1740" s="30">
        <v>215.6</v>
      </c>
      <c r="F1740" s="30">
        <v>0.2</v>
      </c>
    </row>
    <row r="1741" spans="1:6" hidden="1" x14ac:dyDescent="0.25">
      <c r="A1741" s="30" t="s">
        <v>114</v>
      </c>
      <c r="B1741" s="30">
        <v>2020</v>
      </c>
      <c r="C1741" s="30" t="s">
        <v>110</v>
      </c>
      <c r="D1741" s="30">
        <v>12</v>
      </c>
      <c r="E1741" s="30">
        <v>318.39999999999998</v>
      </c>
      <c r="F1741" s="30">
        <v>0</v>
      </c>
    </row>
    <row r="1742" spans="1:6" hidden="1" x14ac:dyDescent="0.25">
      <c r="A1742" s="30" t="s">
        <v>115</v>
      </c>
      <c r="B1742" s="30">
        <v>2020</v>
      </c>
      <c r="C1742" s="30" t="s">
        <v>99</v>
      </c>
      <c r="D1742" s="30">
        <v>1</v>
      </c>
      <c r="E1742" s="30">
        <v>309</v>
      </c>
      <c r="F1742" s="30">
        <v>0</v>
      </c>
    </row>
    <row r="1743" spans="1:6" hidden="1" x14ac:dyDescent="0.25">
      <c r="A1743" s="30" t="s">
        <v>115</v>
      </c>
      <c r="B1743" s="30">
        <v>2020</v>
      </c>
      <c r="C1743" s="30" t="s">
        <v>100</v>
      </c>
      <c r="D1743" s="30">
        <v>2</v>
      </c>
      <c r="E1743" s="30">
        <v>251.5</v>
      </c>
      <c r="F1743" s="30">
        <v>0</v>
      </c>
    </row>
    <row r="1744" spans="1:6" hidden="1" x14ac:dyDescent="0.25">
      <c r="A1744" s="30" t="s">
        <v>115</v>
      </c>
      <c r="B1744" s="30">
        <v>2020</v>
      </c>
      <c r="C1744" s="30" t="s">
        <v>101</v>
      </c>
      <c r="D1744" s="30">
        <v>3</v>
      </c>
      <c r="E1744" s="30">
        <v>277.8</v>
      </c>
      <c r="F1744" s="30">
        <v>0.2</v>
      </c>
    </row>
    <row r="1745" spans="1:6" hidden="1" x14ac:dyDescent="0.25">
      <c r="A1745" s="30" t="s">
        <v>115</v>
      </c>
      <c r="B1745" s="30">
        <v>2020</v>
      </c>
      <c r="C1745" s="30" t="s">
        <v>102</v>
      </c>
      <c r="D1745" s="30">
        <v>4</v>
      </c>
      <c r="E1745" s="30">
        <v>158.19999999999999</v>
      </c>
      <c r="F1745" s="30">
        <v>5.9</v>
      </c>
    </row>
    <row r="1746" spans="1:6" hidden="1" x14ac:dyDescent="0.25">
      <c r="A1746" s="30" t="s">
        <v>115</v>
      </c>
      <c r="B1746" s="30">
        <v>2020</v>
      </c>
      <c r="C1746" s="30" t="s">
        <v>103</v>
      </c>
      <c r="D1746" s="30">
        <v>5</v>
      </c>
      <c r="E1746" s="30">
        <v>116.4</v>
      </c>
      <c r="F1746" s="30">
        <v>30.4</v>
      </c>
    </row>
    <row r="1747" spans="1:6" hidden="1" x14ac:dyDescent="0.25">
      <c r="A1747" s="30" t="s">
        <v>115</v>
      </c>
      <c r="B1747" s="30">
        <v>2020</v>
      </c>
      <c r="C1747" s="30" t="s">
        <v>104</v>
      </c>
      <c r="D1747" s="30">
        <v>6</v>
      </c>
      <c r="E1747" s="30">
        <v>76.5</v>
      </c>
      <c r="F1747" s="30">
        <v>24.3</v>
      </c>
    </row>
    <row r="1748" spans="1:6" hidden="1" x14ac:dyDescent="0.25">
      <c r="A1748" s="30" t="s">
        <v>115</v>
      </c>
      <c r="B1748" s="30">
        <v>2020</v>
      </c>
      <c r="C1748" s="30" t="s">
        <v>105</v>
      </c>
      <c r="D1748" s="30">
        <v>7</v>
      </c>
      <c r="E1748" s="30">
        <v>62.6</v>
      </c>
      <c r="F1748" s="30">
        <v>36.9</v>
      </c>
    </row>
    <row r="1749" spans="1:6" hidden="1" x14ac:dyDescent="0.25">
      <c r="A1749" s="30" t="s">
        <v>115</v>
      </c>
      <c r="B1749" s="30">
        <v>2020</v>
      </c>
      <c r="C1749" s="30" t="s">
        <v>106</v>
      </c>
      <c r="D1749" s="30">
        <v>8</v>
      </c>
      <c r="E1749" s="30">
        <v>41.5</v>
      </c>
      <c r="F1749" s="30">
        <v>64.3</v>
      </c>
    </row>
    <row r="1750" spans="1:6" hidden="1" x14ac:dyDescent="0.25">
      <c r="A1750" s="30" t="s">
        <v>115</v>
      </c>
      <c r="B1750" s="30">
        <v>2020</v>
      </c>
      <c r="C1750" s="30" t="s">
        <v>107</v>
      </c>
      <c r="D1750" s="30">
        <v>9</v>
      </c>
      <c r="E1750" s="30">
        <v>68.2</v>
      </c>
      <c r="F1750" s="30">
        <v>39.1</v>
      </c>
    </row>
    <row r="1751" spans="1:6" hidden="1" x14ac:dyDescent="0.25">
      <c r="A1751" s="30" t="s">
        <v>115</v>
      </c>
      <c r="B1751" s="30">
        <v>2020</v>
      </c>
      <c r="C1751" s="30" t="s">
        <v>108</v>
      </c>
      <c r="D1751" s="30">
        <v>10</v>
      </c>
      <c r="E1751" s="30">
        <v>170.1</v>
      </c>
      <c r="F1751" s="30">
        <v>0</v>
      </c>
    </row>
    <row r="1752" spans="1:6" hidden="1" x14ac:dyDescent="0.25">
      <c r="A1752" s="30" t="s">
        <v>115</v>
      </c>
      <c r="B1752" s="30">
        <v>2020</v>
      </c>
      <c r="C1752" s="30" t="s">
        <v>109</v>
      </c>
      <c r="D1752" s="30">
        <v>11</v>
      </c>
      <c r="E1752" s="30">
        <v>197.7</v>
      </c>
      <c r="F1752" s="30">
        <v>0</v>
      </c>
    </row>
    <row r="1753" spans="1:6" hidden="1" x14ac:dyDescent="0.25">
      <c r="A1753" s="30" t="s">
        <v>115</v>
      </c>
      <c r="B1753" s="30">
        <v>2020</v>
      </c>
      <c r="C1753" s="30" t="s">
        <v>110</v>
      </c>
      <c r="D1753" s="30">
        <v>12</v>
      </c>
      <c r="E1753" s="30">
        <v>300</v>
      </c>
      <c r="F1753" s="30">
        <v>0</v>
      </c>
    </row>
    <row r="1754" spans="1:6" x14ac:dyDescent="0.25">
      <c r="A1754" s="30" t="s">
        <v>116</v>
      </c>
      <c r="B1754" s="30">
        <v>2020</v>
      </c>
      <c r="C1754" s="30" t="s">
        <v>99</v>
      </c>
      <c r="D1754" s="30">
        <v>1</v>
      </c>
      <c r="E1754" s="30">
        <v>303</v>
      </c>
      <c r="F1754" s="30">
        <v>0</v>
      </c>
    </row>
    <row r="1755" spans="1:6" x14ac:dyDescent="0.25">
      <c r="A1755" s="30" t="s">
        <v>116</v>
      </c>
      <c r="B1755" s="30">
        <v>2020</v>
      </c>
      <c r="C1755" s="30" t="s">
        <v>100</v>
      </c>
      <c r="D1755" s="30">
        <v>2</v>
      </c>
      <c r="E1755" s="30">
        <v>235</v>
      </c>
      <c r="F1755" s="30">
        <v>0</v>
      </c>
    </row>
    <row r="1756" spans="1:6" x14ac:dyDescent="0.25">
      <c r="A1756" s="30" t="s">
        <v>116</v>
      </c>
      <c r="B1756" s="30">
        <v>2020</v>
      </c>
      <c r="C1756" s="30" t="s">
        <v>101</v>
      </c>
      <c r="D1756" s="30">
        <v>3</v>
      </c>
      <c r="E1756" s="30">
        <v>254.7</v>
      </c>
      <c r="F1756" s="30">
        <v>0.6</v>
      </c>
    </row>
    <row r="1757" spans="1:6" x14ac:dyDescent="0.25">
      <c r="A1757" s="30" t="s">
        <v>116</v>
      </c>
      <c r="B1757" s="30">
        <v>2020</v>
      </c>
      <c r="C1757" s="30" t="s">
        <v>102</v>
      </c>
      <c r="D1757" s="30">
        <v>4</v>
      </c>
      <c r="E1757" s="30">
        <v>140.19999999999999</v>
      </c>
      <c r="F1757" s="30">
        <v>9.8000000000000007</v>
      </c>
    </row>
    <row r="1758" spans="1:6" x14ac:dyDescent="0.25">
      <c r="A1758" s="30" t="s">
        <v>116</v>
      </c>
      <c r="B1758" s="30">
        <v>2020</v>
      </c>
      <c r="C1758" s="30" t="s">
        <v>103</v>
      </c>
      <c r="D1758" s="30">
        <v>5</v>
      </c>
      <c r="E1758" s="30">
        <v>97</v>
      </c>
      <c r="F1758" s="30">
        <v>37.200000000000003</v>
      </c>
    </row>
    <row r="1759" spans="1:6" x14ac:dyDescent="0.25">
      <c r="A1759" s="30" t="s">
        <v>116</v>
      </c>
      <c r="B1759" s="30">
        <v>2020</v>
      </c>
      <c r="C1759" s="30" t="s">
        <v>104</v>
      </c>
      <c r="D1759" s="30">
        <v>6</v>
      </c>
      <c r="E1759" s="30">
        <v>61.4</v>
      </c>
      <c r="F1759" s="30">
        <v>33.700000000000003</v>
      </c>
    </row>
    <row r="1760" spans="1:6" x14ac:dyDescent="0.25">
      <c r="A1760" s="30" t="s">
        <v>116</v>
      </c>
      <c r="B1760" s="30">
        <v>2020</v>
      </c>
      <c r="C1760" s="30" t="s">
        <v>105</v>
      </c>
      <c r="D1760" s="30">
        <v>7</v>
      </c>
      <c r="E1760" s="30">
        <v>48.2</v>
      </c>
      <c r="F1760" s="30">
        <v>61</v>
      </c>
    </row>
    <row r="1761" spans="1:6" x14ac:dyDescent="0.25">
      <c r="A1761" s="30" t="s">
        <v>116</v>
      </c>
      <c r="B1761" s="30">
        <v>2020</v>
      </c>
      <c r="C1761" s="30" t="s">
        <v>106</v>
      </c>
      <c r="D1761" s="30">
        <v>8</v>
      </c>
      <c r="E1761" s="30">
        <v>36</v>
      </c>
      <c r="F1761" s="30">
        <v>85.3</v>
      </c>
    </row>
    <row r="1762" spans="1:6" x14ac:dyDescent="0.25">
      <c r="A1762" s="30" t="s">
        <v>116</v>
      </c>
      <c r="B1762" s="30">
        <v>2020</v>
      </c>
      <c r="C1762" s="30" t="s">
        <v>107</v>
      </c>
      <c r="D1762" s="30">
        <v>9</v>
      </c>
      <c r="E1762" s="30">
        <v>60.3</v>
      </c>
      <c r="F1762" s="30">
        <v>52.5</v>
      </c>
    </row>
    <row r="1763" spans="1:6" x14ac:dyDescent="0.25">
      <c r="A1763" s="30" t="s">
        <v>116</v>
      </c>
      <c r="B1763" s="30">
        <v>2020</v>
      </c>
      <c r="C1763" s="30" t="s">
        <v>108</v>
      </c>
      <c r="D1763" s="30">
        <v>10</v>
      </c>
      <c r="E1763" s="30">
        <v>151.4</v>
      </c>
      <c r="F1763" s="30">
        <v>0.9</v>
      </c>
    </row>
    <row r="1764" spans="1:6" x14ac:dyDescent="0.25">
      <c r="A1764" s="30" t="s">
        <v>116</v>
      </c>
      <c r="B1764" s="30">
        <v>2020</v>
      </c>
      <c r="C1764" s="30" t="s">
        <v>109</v>
      </c>
      <c r="D1764" s="30">
        <v>11</v>
      </c>
      <c r="E1764" s="30">
        <v>200.4</v>
      </c>
      <c r="F1764" s="30">
        <v>0.1</v>
      </c>
    </row>
    <row r="1765" spans="1:6" x14ac:dyDescent="0.25">
      <c r="A1765" s="30" t="s">
        <v>116</v>
      </c>
      <c r="B1765" s="30">
        <v>2020</v>
      </c>
      <c r="C1765" s="30" t="s">
        <v>110</v>
      </c>
      <c r="D1765" s="30">
        <v>12</v>
      </c>
      <c r="E1765" s="30">
        <v>303.3</v>
      </c>
      <c r="F1765" s="30">
        <v>0</v>
      </c>
    </row>
    <row r="1766" spans="1:6" hidden="1" x14ac:dyDescent="0.25">
      <c r="A1766" s="30" t="s">
        <v>98</v>
      </c>
      <c r="B1766" s="30">
        <v>2021</v>
      </c>
      <c r="C1766" s="30" t="s">
        <v>99</v>
      </c>
      <c r="D1766" s="30">
        <v>1</v>
      </c>
      <c r="E1766" s="30">
        <v>368.1</v>
      </c>
      <c r="F1766" s="30">
        <v>0</v>
      </c>
    </row>
    <row r="1767" spans="1:6" hidden="1" x14ac:dyDescent="0.25">
      <c r="A1767" s="30" t="s">
        <v>98</v>
      </c>
      <c r="B1767" s="30">
        <v>2021</v>
      </c>
      <c r="C1767" s="30" t="s">
        <v>100</v>
      </c>
      <c r="D1767" s="30">
        <v>2</v>
      </c>
      <c r="E1767" s="30">
        <v>308.89999999999998</v>
      </c>
      <c r="F1767" s="30">
        <v>0</v>
      </c>
    </row>
    <row r="1768" spans="1:6" hidden="1" x14ac:dyDescent="0.25">
      <c r="A1768" s="30" t="s">
        <v>98</v>
      </c>
      <c r="B1768" s="30">
        <v>2021</v>
      </c>
      <c r="C1768" s="30" t="s">
        <v>101</v>
      </c>
      <c r="D1768" s="30">
        <v>3</v>
      </c>
      <c r="E1768" s="30">
        <v>294.5</v>
      </c>
      <c r="F1768" s="30">
        <v>3.6</v>
      </c>
    </row>
    <row r="1769" spans="1:6" hidden="1" x14ac:dyDescent="0.25">
      <c r="A1769" s="30" t="s">
        <v>98</v>
      </c>
      <c r="B1769" s="30">
        <v>2021</v>
      </c>
      <c r="C1769" s="30" t="s">
        <v>102</v>
      </c>
      <c r="D1769" s="30">
        <v>4</v>
      </c>
      <c r="E1769" s="30">
        <v>297.3</v>
      </c>
      <c r="F1769" s="30">
        <v>2.1</v>
      </c>
    </row>
    <row r="1770" spans="1:6" hidden="1" x14ac:dyDescent="0.25">
      <c r="A1770" s="30" t="s">
        <v>98</v>
      </c>
      <c r="B1770" s="30">
        <v>2021</v>
      </c>
      <c r="C1770" s="30" t="s">
        <v>103</v>
      </c>
      <c r="D1770" s="30">
        <v>5</v>
      </c>
      <c r="E1770" s="30">
        <v>203.1</v>
      </c>
      <c r="F1770" s="30">
        <v>0.8</v>
      </c>
    </row>
    <row r="1771" spans="1:6" hidden="1" x14ac:dyDescent="0.25">
      <c r="A1771" s="30" t="s">
        <v>98</v>
      </c>
      <c r="B1771" s="30">
        <v>2021</v>
      </c>
      <c r="C1771" s="30" t="s">
        <v>104</v>
      </c>
      <c r="D1771" s="30">
        <v>6</v>
      </c>
      <c r="E1771" s="30">
        <v>87.5</v>
      </c>
      <c r="F1771" s="30">
        <v>11.2</v>
      </c>
    </row>
    <row r="1772" spans="1:6" hidden="1" x14ac:dyDescent="0.25">
      <c r="A1772" s="30" t="s">
        <v>98</v>
      </c>
      <c r="B1772" s="30">
        <v>2021</v>
      </c>
      <c r="C1772" s="30" t="s">
        <v>105</v>
      </c>
      <c r="D1772" s="30">
        <v>7</v>
      </c>
      <c r="E1772" s="30">
        <v>49</v>
      </c>
      <c r="F1772" s="30">
        <v>32.6</v>
      </c>
    </row>
    <row r="1773" spans="1:6" hidden="1" x14ac:dyDescent="0.25">
      <c r="A1773" s="30" t="s">
        <v>98</v>
      </c>
      <c r="B1773" s="30">
        <v>2021</v>
      </c>
      <c r="C1773" s="30" t="s">
        <v>106</v>
      </c>
      <c r="D1773" s="30">
        <v>8</v>
      </c>
      <c r="E1773" s="30">
        <v>56.5</v>
      </c>
      <c r="F1773" s="30">
        <v>21</v>
      </c>
    </row>
    <row r="1774" spans="1:6" hidden="1" x14ac:dyDescent="0.25">
      <c r="A1774" s="30" t="s">
        <v>98</v>
      </c>
      <c r="B1774" s="30">
        <v>2021</v>
      </c>
      <c r="C1774" s="30" t="s">
        <v>107</v>
      </c>
      <c r="D1774" s="30">
        <v>9</v>
      </c>
      <c r="E1774" s="30">
        <v>61.2</v>
      </c>
      <c r="F1774" s="30">
        <v>28.8</v>
      </c>
    </row>
    <row r="1775" spans="1:6" hidden="1" x14ac:dyDescent="0.25">
      <c r="A1775" s="30" t="s">
        <v>98</v>
      </c>
      <c r="B1775" s="30">
        <v>2021</v>
      </c>
      <c r="C1775" s="30" t="s">
        <v>108</v>
      </c>
      <c r="D1775" s="30">
        <v>10</v>
      </c>
      <c r="E1775" s="30">
        <v>142.9</v>
      </c>
      <c r="F1775" s="30">
        <v>1.6</v>
      </c>
    </row>
    <row r="1776" spans="1:6" hidden="1" x14ac:dyDescent="0.25">
      <c r="A1776" s="30" t="s">
        <v>98</v>
      </c>
      <c r="B1776" s="30">
        <v>2021</v>
      </c>
      <c r="C1776" s="30" t="s">
        <v>109</v>
      </c>
      <c r="D1776" s="30">
        <v>11</v>
      </c>
      <c r="E1776" s="30">
        <v>273.5</v>
      </c>
      <c r="F1776" s="30">
        <v>0</v>
      </c>
    </row>
    <row r="1777" spans="1:6" hidden="1" x14ac:dyDescent="0.25">
      <c r="A1777" s="30" t="s">
        <v>98</v>
      </c>
      <c r="B1777" s="30">
        <v>2021</v>
      </c>
      <c r="C1777" s="30" t="s">
        <v>110</v>
      </c>
      <c r="D1777" s="30">
        <v>12</v>
      </c>
      <c r="E1777" s="30">
        <v>316.2</v>
      </c>
      <c r="F1777" s="30">
        <v>0</v>
      </c>
    </row>
    <row r="1778" spans="1:6" hidden="1" x14ac:dyDescent="0.25">
      <c r="A1778" s="30" t="s">
        <v>111</v>
      </c>
      <c r="B1778" s="30">
        <v>2021</v>
      </c>
      <c r="C1778" s="30" t="s">
        <v>99</v>
      </c>
      <c r="D1778" s="30">
        <v>1</v>
      </c>
      <c r="E1778" s="30">
        <v>351.4</v>
      </c>
      <c r="F1778" s="30">
        <v>0</v>
      </c>
    </row>
    <row r="1779" spans="1:6" hidden="1" x14ac:dyDescent="0.25">
      <c r="A1779" s="30" t="s">
        <v>111</v>
      </c>
      <c r="B1779" s="30">
        <v>2021</v>
      </c>
      <c r="C1779" s="30" t="s">
        <v>100</v>
      </c>
      <c r="D1779" s="30">
        <v>2</v>
      </c>
      <c r="E1779" s="30">
        <v>293.89999999999998</v>
      </c>
      <c r="F1779" s="30">
        <v>0</v>
      </c>
    </row>
    <row r="1780" spans="1:6" hidden="1" x14ac:dyDescent="0.25">
      <c r="A1780" s="30" t="s">
        <v>111</v>
      </c>
      <c r="B1780" s="30">
        <v>2021</v>
      </c>
      <c r="C1780" s="30" t="s">
        <v>101</v>
      </c>
      <c r="D1780" s="30">
        <v>3</v>
      </c>
      <c r="E1780" s="30">
        <v>289.7</v>
      </c>
      <c r="F1780" s="30">
        <v>2.8</v>
      </c>
    </row>
    <row r="1781" spans="1:6" hidden="1" x14ac:dyDescent="0.25">
      <c r="A1781" s="30" t="s">
        <v>111</v>
      </c>
      <c r="B1781" s="30">
        <v>2021</v>
      </c>
      <c r="C1781" s="30" t="s">
        <v>102</v>
      </c>
      <c r="D1781" s="30">
        <v>4</v>
      </c>
      <c r="E1781" s="30">
        <v>269.2</v>
      </c>
      <c r="F1781" s="30">
        <v>6.9</v>
      </c>
    </row>
    <row r="1782" spans="1:6" hidden="1" x14ac:dyDescent="0.25">
      <c r="A1782" s="30" t="s">
        <v>111</v>
      </c>
      <c r="B1782" s="30">
        <v>2021</v>
      </c>
      <c r="C1782" s="30" t="s">
        <v>103</v>
      </c>
      <c r="D1782" s="30">
        <v>5</v>
      </c>
      <c r="E1782" s="30">
        <v>209.9</v>
      </c>
      <c r="F1782" s="30">
        <v>4.2</v>
      </c>
    </row>
    <row r="1783" spans="1:6" hidden="1" x14ac:dyDescent="0.25">
      <c r="A1783" s="30" t="s">
        <v>111</v>
      </c>
      <c r="B1783" s="30">
        <v>2021</v>
      </c>
      <c r="C1783" s="30" t="s">
        <v>104</v>
      </c>
      <c r="D1783" s="30">
        <v>6</v>
      </c>
      <c r="E1783" s="30">
        <v>90.1</v>
      </c>
      <c r="F1783" s="30">
        <v>17.2</v>
      </c>
    </row>
    <row r="1784" spans="1:6" hidden="1" x14ac:dyDescent="0.25">
      <c r="A1784" s="30" t="s">
        <v>111</v>
      </c>
      <c r="B1784" s="30">
        <v>2021</v>
      </c>
      <c r="C1784" s="30" t="s">
        <v>105</v>
      </c>
      <c r="D1784" s="30">
        <v>7</v>
      </c>
      <c r="E1784" s="30">
        <v>55.2</v>
      </c>
      <c r="F1784" s="30">
        <v>39.299999999999997</v>
      </c>
    </row>
    <row r="1785" spans="1:6" hidden="1" x14ac:dyDescent="0.25">
      <c r="A1785" s="30" t="s">
        <v>111</v>
      </c>
      <c r="B1785" s="30">
        <v>2021</v>
      </c>
      <c r="C1785" s="30" t="s">
        <v>106</v>
      </c>
      <c r="D1785" s="30">
        <v>8</v>
      </c>
      <c r="E1785" s="30">
        <v>63.8</v>
      </c>
      <c r="F1785" s="30">
        <v>16.399999999999999</v>
      </c>
    </row>
    <row r="1786" spans="1:6" hidden="1" x14ac:dyDescent="0.25">
      <c r="A1786" s="30" t="s">
        <v>111</v>
      </c>
      <c r="B1786" s="30">
        <v>2021</v>
      </c>
      <c r="C1786" s="30" t="s">
        <v>107</v>
      </c>
      <c r="D1786" s="30">
        <v>9</v>
      </c>
      <c r="E1786" s="30">
        <v>68.7</v>
      </c>
      <c r="F1786" s="30">
        <v>36.799999999999997</v>
      </c>
    </row>
    <row r="1787" spans="1:6" hidden="1" x14ac:dyDescent="0.25">
      <c r="A1787" s="30" t="s">
        <v>111</v>
      </c>
      <c r="B1787" s="30">
        <v>2021</v>
      </c>
      <c r="C1787" s="30" t="s">
        <v>108</v>
      </c>
      <c r="D1787" s="30">
        <v>10</v>
      </c>
      <c r="E1787" s="30">
        <v>150</v>
      </c>
      <c r="F1787" s="30">
        <v>1.7</v>
      </c>
    </row>
    <row r="1788" spans="1:6" hidden="1" x14ac:dyDescent="0.25">
      <c r="A1788" s="30" t="s">
        <v>111</v>
      </c>
      <c r="B1788" s="30">
        <v>2021</v>
      </c>
      <c r="C1788" s="30" t="s">
        <v>109</v>
      </c>
      <c r="D1788" s="30">
        <v>11</v>
      </c>
      <c r="E1788" s="30">
        <v>269</v>
      </c>
      <c r="F1788" s="30">
        <v>0</v>
      </c>
    </row>
    <row r="1789" spans="1:6" hidden="1" x14ac:dyDescent="0.25">
      <c r="A1789" s="30" t="s">
        <v>111</v>
      </c>
      <c r="B1789" s="30">
        <v>2021</v>
      </c>
      <c r="C1789" s="30" t="s">
        <v>110</v>
      </c>
      <c r="D1789" s="30">
        <v>12</v>
      </c>
      <c r="E1789" s="30">
        <v>289.39999999999998</v>
      </c>
      <c r="F1789" s="30">
        <v>0</v>
      </c>
    </row>
    <row r="1790" spans="1:6" hidden="1" x14ac:dyDescent="0.25">
      <c r="A1790" s="30" t="s">
        <v>112</v>
      </c>
      <c r="B1790" s="30">
        <v>2021</v>
      </c>
      <c r="C1790" s="30" t="s">
        <v>99</v>
      </c>
      <c r="D1790" s="30">
        <v>1</v>
      </c>
      <c r="E1790" s="30">
        <v>354.4</v>
      </c>
      <c r="F1790" s="30">
        <v>0</v>
      </c>
    </row>
    <row r="1791" spans="1:6" hidden="1" x14ac:dyDescent="0.25">
      <c r="A1791" s="30" t="s">
        <v>112</v>
      </c>
      <c r="B1791" s="30">
        <v>2021</v>
      </c>
      <c r="C1791" s="30" t="s">
        <v>100</v>
      </c>
      <c r="D1791" s="30">
        <v>2</v>
      </c>
      <c r="E1791" s="30">
        <v>288.8</v>
      </c>
      <c r="F1791" s="30">
        <v>0</v>
      </c>
    </row>
    <row r="1792" spans="1:6" hidden="1" x14ac:dyDescent="0.25">
      <c r="A1792" s="30" t="s">
        <v>112</v>
      </c>
      <c r="B1792" s="30">
        <v>2021</v>
      </c>
      <c r="C1792" s="30" t="s">
        <v>101</v>
      </c>
      <c r="D1792" s="30">
        <v>3</v>
      </c>
      <c r="E1792" s="30">
        <v>279.89999999999998</v>
      </c>
      <c r="F1792" s="30">
        <v>0.8</v>
      </c>
    </row>
    <row r="1793" spans="1:6" hidden="1" x14ac:dyDescent="0.25">
      <c r="A1793" s="30" t="s">
        <v>112</v>
      </c>
      <c r="B1793" s="30">
        <v>2021</v>
      </c>
      <c r="C1793" s="30" t="s">
        <v>102</v>
      </c>
      <c r="D1793" s="30">
        <v>4</v>
      </c>
      <c r="E1793" s="30">
        <v>244.4</v>
      </c>
      <c r="F1793" s="30">
        <v>5.4</v>
      </c>
    </row>
    <row r="1794" spans="1:6" hidden="1" x14ac:dyDescent="0.25">
      <c r="A1794" s="30" t="s">
        <v>112</v>
      </c>
      <c r="B1794" s="30">
        <v>2021</v>
      </c>
      <c r="C1794" s="30" t="s">
        <v>103</v>
      </c>
      <c r="D1794" s="30">
        <v>5</v>
      </c>
      <c r="E1794" s="30">
        <v>193.2</v>
      </c>
      <c r="F1794" s="30">
        <v>5.4</v>
      </c>
    </row>
    <row r="1795" spans="1:6" hidden="1" x14ac:dyDescent="0.25">
      <c r="A1795" s="30" t="s">
        <v>112</v>
      </c>
      <c r="B1795" s="30">
        <v>2021</v>
      </c>
      <c r="C1795" s="30" t="s">
        <v>104</v>
      </c>
      <c r="D1795" s="30">
        <v>6</v>
      </c>
      <c r="E1795" s="30">
        <v>73.599999999999994</v>
      </c>
      <c r="F1795" s="30">
        <v>27.6</v>
      </c>
    </row>
    <row r="1796" spans="1:6" hidden="1" x14ac:dyDescent="0.25">
      <c r="A1796" s="30" t="s">
        <v>112</v>
      </c>
      <c r="B1796" s="30">
        <v>2021</v>
      </c>
      <c r="C1796" s="30" t="s">
        <v>105</v>
      </c>
      <c r="D1796" s="30">
        <v>7</v>
      </c>
      <c r="E1796" s="30">
        <v>48</v>
      </c>
      <c r="F1796" s="30">
        <v>52.5</v>
      </c>
    </row>
    <row r="1797" spans="1:6" hidden="1" x14ac:dyDescent="0.25">
      <c r="A1797" s="30" t="s">
        <v>112</v>
      </c>
      <c r="B1797" s="30">
        <v>2021</v>
      </c>
      <c r="C1797" s="30" t="s">
        <v>106</v>
      </c>
      <c r="D1797" s="30">
        <v>8</v>
      </c>
      <c r="E1797" s="30">
        <v>53.9</v>
      </c>
      <c r="F1797" s="30">
        <v>28.1</v>
      </c>
    </row>
    <row r="1798" spans="1:6" hidden="1" x14ac:dyDescent="0.25">
      <c r="A1798" s="30" t="s">
        <v>112</v>
      </c>
      <c r="B1798" s="30">
        <v>2021</v>
      </c>
      <c r="C1798" s="30" t="s">
        <v>107</v>
      </c>
      <c r="D1798" s="30">
        <v>9</v>
      </c>
      <c r="E1798" s="30">
        <v>57.9</v>
      </c>
      <c r="F1798" s="30">
        <v>42.5</v>
      </c>
    </row>
    <row r="1799" spans="1:6" hidden="1" x14ac:dyDescent="0.25">
      <c r="A1799" s="30" t="s">
        <v>112</v>
      </c>
      <c r="B1799" s="30">
        <v>2021</v>
      </c>
      <c r="C1799" s="30" t="s">
        <v>108</v>
      </c>
      <c r="D1799" s="30">
        <v>10</v>
      </c>
      <c r="E1799" s="30">
        <v>134.5</v>
      </c>
      <c r="F1799" s="30">
        <v>2.2000000000000002</v>
      </c>
    </row>
    <row r="1800" spans="1:6" hidden="1" x14ac:dyDescent="0.25">
      <c r="A1800" s="30" t="s">
        <v>112</v>
      </c>
      <c r="B1800" s="30">
        <v>2021</v>
      </c>
      <c r="C1800" s="30" t="s">
        <v>109</v>
      </c>
      <c r="D1800" s="30">
        <v>11</v>
      </c>
      <c r="E1800" s="30">
        <v>270.7</v>
      </c>
      <c r="F1800" s="30">
        <v>0</v>
      </c>
    </row>
    <row r="1801" spans="1:6" hidden="1" x14ac:dyDescent="0.25">
      <c r="A1801" s="30" t="s">
        <v>112</v>
      </c>
      <c r="B1801" s="30">
        <v>2021</v>
      </c>
      <c r="C1801" s="30" t="s">
        <v>110</v>
      </c>
      <c r="D1801" s="30">
        <v>12</v>
      </c>
      <c r="E1801" s="30">
        <v>294.8</v>
      </c>
      <c r="F1801" s="30">
        <v>0</v>
      </c>
    </row>
    <row r="1802" spans="1:6" hidden="1" x14ac:dyDescent="0.25">
      <c r="A1802" s="30" t="s">
        <v>113</v>
      </c>
      <c r="B1802" s="30">
        <v>2021</v>
      </c>
      <c r="C1802" s="30" t="s">
        <v>99</v>
      </c>
      <c r="D1802" s="30">
        <v>1</v>
      </c>
      <c r="E1802" s="30">
        <v>387.7</v>
      </c>
      <c r="F1802" s="30">
        <v>0</v>
      </c>
    </row>
    <row r="1803" spans="1:6" hidden="1" x14ac:dyDescent="0.25">
      <c r="A1803" s="30" t="s">
        <v>113</v>
      </c>
      <c r="B1803" s="30">
        <v>2021</v>
      </c>
      <c r="C1803" s="30" t="s">
        <v>100</v>
      </c>
      <c r="D1803" s="30">
        <v>2</v>
      </c>
      <c r="E1803" s="30">
        <v>296.10000000000002</v>
      </c>
      <c r="F1803" s="30">
        <v>0.1</v>
      </c>
    </row>
    <row r="1804" spans="1:6" hidden="1" x14ac:dyDescent="0.25">
      <c r="A1804" s="30" t="s">
        <v>113</v>
      </c>
      <c r="B1804" s="30">
        <v>2021</v>
      </c>
      <c r="C1804" s="30" t="s">
        <v>101</v>
      </c>
      <c r="D1804" s="30">
        <v>3</v>
      </c>
      <c r="E1804" s="30">
        <v>300.10000000000002</v>
      </c>
      <c r="F1804" s="30">
        <v>2.7</v>
      </c>
    </row>
    <row r="1805" spans="1:6" hidden="1" x14ac:dyDescent="0.25">
      <c r="A1805" s="30" t="s">
        <v>113</v>
      </c>
      <c r="B1805" s="30">
        <v>2021</v>
      </c>
      <c r="C1805" s="30" t="s">
        <v>102</v>
      </c>
      <c r="D1805" s="30">
        <v>4</v>
      </c>
      <c r="E1805" s="30">
        <v>268.89999999999998</v>
      </c>
      <c r="F1805" s="30">
        <v>4.7</v>
      </c>
    </row>
    <row r="1806" spans="1:6" hidden="1" x14ac:dyDescent="0.25">
      <c r="A1806" s="30" t="s">
        <v>113</v>
      </c>
      <c r="B1806" s="30">
        <v>2021</v>
      </c>
      <c r="C1806" s="30" t="s">
        <v>103</v>
      </c>
      <c r="D1806" s="30">
        <v>5</v>
      </c>
      <c r="E1806" s="30">
        <v>168.4</v>
      </c>
      <c r="F1806" s="30">
        <v>7.9</v>
      </c>
    </row>
    <row r="1807" spans="1:6" hidden="1" x14ac:dyDescent="0.25">
      <c r="A1807" s="30" t="s">
        <v>113</v>
      </c>
      <c r="B1807" s="30">
        <v>2021</v>
      </c>
      <c r="C1807" s="30" t="s">
        <v>104</v>
      </c>
      <c r="D1807" s="30">
        <v>6</v>
      </c>
      <c r="E1807" s="30">
        <v>59.9</v>
      </c>
      <c r="F1807" s="30">
        <v>45.1</v>
      </c>
    </row>
    <row r="1808" spans="1:6" hidden="1" x14ac:dyDescent="0.25">
      <c r="A1808" s="30" t="s">
        <v>113</v>
      </c>
      <c r="B1808" s="30">
        <v>2021</v>
      </c>
      <c r="C1808" s="30" t="s">
        <v>105</v>
      </c>
      <c r="D1808" s="30">
        <v>7</v>
      </c>
      <c r="E1808" s="30">
        <v>34.5</v>
      </c>
      <c r="F1808" s="30">
        <v>67.599999999999994</v>
      </c>
    </row>
    <row r="1809" spans="1:6" hidden="1" x14ac:dyDescent="0.25">
      <c r="A1809" s="30" t="s">
        <v>113</v>
      </c>
      <c r="B1809" s="30">
        <v>2021</v>
      </c>
      <c r="C1809" s="30" t="s">
        <v>106</v>
      </c>
      <c r="D1809" s="30">
        <v>8</v>
      </c>
      <c r="E1809" s="30">
        <v>48.3</v>
      </c>
      <c r="F1809" s="30">
        <v>41.2</v>
      </c>
    </row>
    <row r="1810" spans="1:6" hidden="1" x14ac:dyDescent="0.25">
      <c r="A1810" s="30" t="s">
        <v>113</v>
      </c>
      <c r="B1810" s="30">
        <v>2021</v>
      </c>
      <c r="C1810" s="30" t="s">
        <v>107</v>
      </c>
      <c r="D1810" s="30">
        <v>9</v>
      </c>
      <c r="E1810" s="30">
        <v>54.5</v>
      </c>
      <c r="F1810" s="30">
        <v>58.8</v>
      </c>
    </row>
    <row r="1811" spans="1:6" hidden="1" x14ac:dyDescent="0.25">
      <c r="A1811" s="30" t="s">
        <v>113</v>
      </c>
      <c r="B1811" s="30">
        <v>2021</v>
      </c>
      <c r="C1811" s="30" t="s">
        <v>108</v>
      </c>
      <c r="D1811" s="30">
        <v>10</v>
      </c>
      <c r="E1811" s="30">
        <v>149.80000000000001</v>
      </c>
      <c r="F1811" s="30">
        <v>4.2</v>
      </c>
    </row>
    <row r="1812" spans="1:6" hidden="1" x14ac:dyDescent="0.25">
      <c r="A1812" s="30" t="s">
        <v>113</v>
      </c>
      <c r="B1812" s="30">
        <v>2021</v>
      </c>
      <c r="C1812" s="30" t="s">
        <v>109</v>
      </c>
      <c r="D1812" s="30">
        <v>11</v>
      </c>
      <c r="E1812" s="30">
        <v>304.8</v>
      </c>
      <c r="F1812" s="30">
        <v>0</v>
      </c>
    </row>
    <row r="1813" spans="1:6" hidden="1" x14ac:dyDescent="0.25">
      <c r="A1813" s="30" t="s">
        <v>113</v>
      </c>
      <c r="B1813" s="30">
        <v>2021</v>
      </c>
      <c r="C1813" s="30" t="s">
        <v>110</v>
      </c>
      <c r="D1813" s="30">
        <v>12</v>
      </c>
      <c r="E1813" s="30">
        <v>319.7</v>
      </c>
      <c r="F1813" s="30">
        <v>0</v>
      </c>
    </row>
    <row r="1814" spans="1:6" hidden="1" x14ac:dyDescent="0.25">
      <c r="A1814" s="30" t="s">
        <v>114</v>
      </c>
      <c r="B1814" s="30">
        <v>2021</v>
      </c>
      <c r="C1814" s="30" t="s">
        <v>99</v>
      </c>
      <c r="D1814" s="30">
        <v>1</v>
      </c>
      <c r="E1814" s="30">
        <v>377.7</v>
      </c>
      <c r="F1814" s="30">
        <v>0</v>
      </c>
    </row>
    <row r="1815" spans="1:6" hidden="1" x14ac:dyDescent="0.25">
      <c r="A1815" s="30" t="s">
        <v>114</v>
      </c>
      <c r="B1815" s="30">
        <v>2021</v>
      </c>
      <c r="C1815" s="30" t="s">
        <v>100</v>
      </c>
      <c r="D1815" s="30">
        <v>2</v>
      </c>
      <c r="E1815" s="30">
        <v>305</v>
      </c>
      <c r="F1815" s="30">
        <v>0</v>
      </c>
    </row>
    <row r="1816" spans="1:6" hidden="1" x14ac:dyDescent="0.25">
      <c r="A1816" s="30" t="s">
        <v>114</v>
      </c>
      <c r="B1816" s="30">
        <v>2021</v>
      </c>
      <c r="C1816" s="30" t="s">
        <v>101</v>
      </c>
      <c r="D1816" s="30">
        <v>3</v>
      </c>
      <c r="E1816" s="30">
        <v>297.3</v>
      </c>
      <c r="F1816" s="30">
        <v>3</v>
      </c>
    </row>
    <row r="1817" spans="1:6" hidden="1" x14ac:dyDescent="0.25">
      <c r="A1817" s="30" t="s">
        <v>114</v>
      </c>
      <c r="B1817" s="30">
        <v>2021</v>
      </c>
      <c r="C1817" s="30" t="s">
        <v>102</v>
      </c>
      <c r="D1817" s="30">
        <v>4</v>
      </c>
      <c r="E1817" s="30">
        <v>278.7</v>
      </c>
      <c r="F1817" s="30">
        <v>3</v>
      </c>
    </row>
    <row r="1818" spans="1:6" hidden="1" x14ac:dyDescent="0.25">
      <c r="A1818" s="30" t="s">
        <v>114</v>
      </c>
      <c r="B1818" s="30">
        <v>2021</v>
      </c>
      <c r="C1818" s="30" t="s">
        <v>103</v>
      </c>
      <c r="D1818" s="30">
        <v>5</v>
      </c>
      <c r="E1818" s="30">
        <v>191.7</v>
      </c>
      <c r="F1818" s="30">
        <v>3.7</v>
      </c>
    </row>
    <row r="1819" spans="1:6" hidden="1" x14ac:dyDescent="0.25">
      <c r="A1819" s="30" t="s">
        <v>114</v>
      </c>
      <c r="B1819" s="30">
        <v>2021</v>
      </c>
      <c r="C1819" s="30" t="s">
        <v>104</v>
      </c>
      <c r="D1819" s="30">
        <v>6</v>
      </c>
      <c r="E1819" s="30">
        <v>80.8</v>
      </c>
      <c r="F1819" s="30">
        <v>17.2</v>
      </c>
    </row>
    <row r="1820" spans="1:6" hidden="1" x14ac:dyDescent="0.25">
      <c r="A1820" s="30" t="s">
        <v>114</v>
      </c>
      <c r="B1820" s="30">
        <v>2021</v>
      </c>
      <c r="C1820" s="30" t="s">
        <v>105</v>
      </c>
      <c r="D1820" s="30">
        <v>7</v>
      </c>
      <c r="E1820" s="30">
        <v>42</v>
      </c>
      <c r="F1820" s="30">
        <v>42.8</v>
      </c>
    </row>
    <row r="1821" spans="1:6" hidden="1" x14ac:dyDescent="0.25">
      <c r="A1821" s="30" t="s">
        <v>114</v>
      </c>
      <c r="B1821" s="30">
        <v>2021</v>
      </c>
      <c r="C1821" s="30" t="s">
        <v>106</v>
      </c>
      <c r="D1821" s="30">
        <v>8</v>
      </c>
      <c r="E1821" s="30">
        <v>47.6</v>
      </c>
      <c r="F1821" s="30">
        <v>24.8</v>
      </c>
    </row>
    <row r="1822" spans="1:6" hidden="1" x14ac:dyDescent="0.25">
      <c r="A1822" s="30" t="s">
        <v>114</v>
      </c>
      <c r="B1822" s="30">
        <v>2021</v>
      </c>
      <c r="C1822" s="30" t="s">
        <v>107</v>
      </c>
      <c r="D1822" s="30">
        <v>9</v>
      </c>
      <c r="E1822" s="30">
        <v>54.6</v>
      </c>
      <c r="F1822" s="30">
        <v>35.1</v>
      </c>
    </row>
    <row r="1823" spans="1:6" hidden="1" x14ac:dyDescent="0.25">
      <c r="A1823" s="30" t="s">
        <v>114</v>
      </c>
      <c r="B1823" s="30">
        <v>2021</v>
      </c>
      <c r="C1823" s="30" t="s">
        <v>108</v>
      </c>
      <c r="D1823" s="30">
        <v>10</v>
      </c>
      <c r="E1823" s="30">
        <v>142.6</v>
      </c>
      <c r="F1823" s="30">
        <v>2.6</v>
      </c>
    </row>
    <row r="1824" spans="1:6" hidden="1" x14ac:dyDescent="0.25">
      <c r="A1824" s="30" t="s">
        <v>114</v>
      </c>
      <c r="B1824" s="30">
        <v>2021</v>
      </c>
      <c r="C1824" s="30" t="s">
        <v>109</v>
      </c>
      <c r="D1824" s="30">
        <v>11</v>
      </c>
      <c r="E1824" s="30">
        <v>273.2</v>
      </c>
      <c r="F1824" s="30">
        <v>0</v>
      </c>
    </row>
    <row r="1825" spans="1:6" hidden="1" x14ac:dyDescent="0.25">
      <c r="A1825" s="30" t="s">
        <v>114</v>
      </c>
      <c r="B1825" s="30">
        <v>2021</v>
      </c>
      <c r="C1825" s="30" t="s">
        <v>110</v>
      </c>
      <c r="D1825" s="30">
        <v>12</v>
      </c>
      <c r="E1825" s="30">
        <v>312.2</v>
      </c>
      <c r="F1825" s="30">
        <v>0</v>
      </c>
    </row>
    <row r="1826" spans="1:6" hidden="1" x14ac:dyDescent="0.25">
      <c r="A1826" s="30" t="s">
        <v>115</v>
      </c>
      <c r="B1826" s="30">
        <v>2021</v>
      </c>
      <c r="C1826" s="30" t="s">
        <v>99</v>
      </c>
      <c r="D1826" s="30">
        <v>1</v>
      </c>
      <c r="E1826" s="30">
        <v>365.2</v>
      </c>
      <c r="F1826" s="30">
        <v>0</v>
      </c>
    </row>
    <row r="1827" spans="1:6" hidden="1" x14ac:dyDescent="0.25">
      <c r="A1827" s="30" t="s">
        <v>115</v>
      </c>
      <c r="B1827" s="30">
        <v>2021</v>
      </c>
      <c r="C1827" s="30" t="s">
        <v>100</v>
      </c>
      <c r="D1827" s="30">
        <v>2</v>
      </c>
      <c r="E1827" s="30">
        <v>294.3</v>
      </c>
      <c r="F1827" s="30">
        <v>0</v>
      </c>
    </row>
    <row r="1828" spans="1:6" hidden="1" x14ac:dyDescent="0.25">
      <c r="A1828" s="30" t="s">
        <v>115</v>
      </c>
      <c r="B1828" s="30">
        <v>2021</v>
      </c>
      <c r="C1828" s="30" t="s">
        <v>101</v>
      </c>
      <c r="D1828" s="30">
        <v>3</v>
      </c>
      <c r="E1828" s="30">
        <v>283.89999999999998</v>
      </c>
      <c r="F1828" s="30">
        <v>0.3</v>
      </c>
    </row>
    <row r="1829" spans="1:6" hidden="1" x14ac:dyDescent="0.25">
      <c r="A1829" s="30" t="s">
        <v>115</v>
      </c>
      <c r="B1829" s="30">
        <v>2021</v>
      </c>
      <c r="C1829" s="30" t="s">
        <v>102</v>
      </c>
      <c r="D1829" s="30">
        <v>4</v>
      </c>
      <c r="E1829" s="30">
        <v>246.5</v>
      </c>
      <c r="F1829" s="30">
        <v>5.5</v>
      </c>
    </row>
    <row r="1830" spans="1:6" hidden="1" x14ac:dyDescent="0.25">
      <c r="A1830" s="30" t="s">
        <v>115</v>
      </c>
      <c r="B1830" s="30">
        <v>2021</v>
      </c>
      <c r="C1830" s="30" t="s">
        <v>103</v>
      </c>
      <c r="D1830" s="30">
        <v>5</v>
      </c>
      <c r="E1830" s="30">
        <v>180.3</v>
      </c>
      <c r="F1830" s="30">
        <v>6.1</v>
      </c>
    </row>
    <row r="1831" spans="1:6" hidden="1" x14ac:dyDescent="0.25">
      <c r="A1831" s="30" t="s">
        <v>115</v>
      </c>
      <c r="B1831" s="30">
        <v>2021</v>
      </c>
      <c r="C1831" s="30" t="s">
        <v>104</v>
      </c>
      <c r="D1831" s="30">
        <v>6</v>
      </c>
      <c r="E1831" s="30">
        <v>67.400000000000006</v>
      </c>
      <c r="F1831" s="30">
        <v>30.1</v>
      </c>
    </row>
    <row r="1832" spans="1:6" hidden="1" x14ac:dyDescent="0.25">
      <c r="A1832" s="30" t="s">
        <v>115</v>
      </c>
      <c r="B1832" s="30">
        <v>2021</v>
      </c>
      <c r="C1832" s="30" t="s">
        <v>105</v>
      </c>
      <c r="D1832" s="30">
        <v>7</v>
      </c>
      <c r="E1832" s="30">
        <v>43.7</v>
      </c>
      <c r="F1832" s="30">
        <v>55.1</v>
      </c>
    </row>
    <row r="1833" spans="1:6" hidden="1" x14ac:dyDescent="0.25">
      <c r="A1833" s="30" t="s">
        <v>115</v>
      </c>
      <c r="B1833" s="30">
        <v>2021</v>
      </c>
      <c r="C1833" s="30" t="s">
        <v>106</v>
      </c>
      <c r="D1833" s="30">
        <v>8</v>
      </c>
      <c r="E1833" s="30">
        <v>49.8</v>
      </c>
      <c r="F1833" s="30">
        <v>26.7</v>
      </c>
    </row>
    <row r="1834" spans="1:6" hidden="1" x14ac:dyDescent="0.25">
      <c r="A1834" s="30" t="s">
        <v>115</v>
      </c>
      <c r="B1834" s="30">
        <v>2021</v>
      </c>
      <c r="C1834" s="30" t="s">
        <v>107</v>
      </c>
      <c r="D1834" s="30">
        <v>9</v>
      </c>
      <c r="E1834" s="30">
        <v>58.3</v>
      </c>
      <c r="F1834" s="30">
        <v>42.3</v>
      </c>
    </row>
    <row r="1835" spans="1:6" hidden="1" x14ac:dyDescent="0.25">
      <c r="A1835" s="30" t="s">
        <v>115</v>
      </c>
      <c r="B1835" s="30">
        <v>2021</v>
      </c>
      <c r="C1835" s="30" t="s">
        <v>108</v>
      </c>
      <c r="D1835" s="30">
        <v>10</v>
      </c>
      <c r="E1835" s="30">
        <v>139.1</v>
      </c>
      <c r="F1835" s="30">
        <v>1.7</v>
      </c>
    </row>
    <row r="1836" spans="1:6" hidden="1" x14ac:dyDescent="0.25">
      <c r="A1836" s="30" t="s">
        <v>115</v>
      </c>
      <c r="B1836" s="30">
        <v>2021</v>
      </c>
      <c r="C1836" s="30" t="s">
        <v>109</v>
      </c>
      <c r="D1836" s="30">
        <v>11</v>
      </c>
      <c r="E1836" s="30">
        <v>282.2</v>
      </c>
      <c r="F1836" s="30">
        <v>0</v>
      </c>
    </row>
    <row r="1837" spans="1:6" hidden="1" x14ac:dyDescent="0.25">
      <c r="A1837" s="30" t="s">
        <v>115</v>
      </c>
      <c r="B1837" s="30">
        <v>2021</v>
      </c>
      <c r="C1837" s="30" t="s">
        <v>110</v>
      </c>
      <c r="D1837" s="30">
        <v>12</v>
      </c>
      <c r="E1837" s="30">
        <v>311.10000000000002</v>
      </c>
      <c r="F1837" s="30">
        <v>0</v>
      </c>
    </row>
    <row r="1838" spans="1:6" x14ac:dyDescent="0.25">
      <c r="A1838" s="30" t="s">
        <v>116</v>
      </c>
      <c r="B1838" s="30">
        <v>2021</v>
      </c>
      <c r="C1838" s="30" t="s">
        <v>99</v>
      </c>
      <c r="D1838" s="30">
        <v>1</v>
      </c>
      <c r="E1838" s="30">
        <v>308.2</v>
      </c>
      <c r="F1838" s="30">
        <v>0</v>
      </c>
    </row>
    <row r="1839" spans="1:6" x14ac:dyDescent="0.25">
      <c r="A1839" s="30" t="s">
        <v>116</v>
      </c>
      <c r="B1839" s="30">
        <v>2021</v>
      </c>
      <c r="C1839" s="30" t="s">
        <v>100</v>
      </c>
      <c r="D1839" s="30">
        <v>2</v>
      </c>
      <c r="E1839" s="30">
        <v>287.3</v>
      </c>
      <c r="F1839" s="30">
        <v>0</v>
      </c>
    </row>
    <row r="1840" spans="1:6" x14ac:dyDescent="0.25">
      <c r="A1840" s="30" t="s">
        <v>116</v>
      </c>
      <c r="B1840" s="30">
        <v>2021</v>
      </c>
      <c r="C1840" s="30" t="s">
        <v>101</v>
      </c>
      <c r="D1840" s="30">
        <v>3</v>
      </c>
      <c r="E1840" s="30">
        <v>277</v>
      </c>
      <c r="F1840" s="30">
        <v>2.2000000000000002</v>
      </c>
    </row>
    <row r="1841" spans="1:6" x14ac:dyDescent="0.25">
      <c r="A1841" s="30" t="s">
        <v>116</v>
      </c>
      <c r="B1841" s="30">
        <v>2021</v>
      </c>
      <c r="C1841" s="30" t="s">
        <v>102</v>
      </c>
      <c r="D1841" s="30">
        <v>4</v>
      </c>
      <c r="E1841" s="30">
        <v>236.5</v>
      </c>
      <c r="F1841" s="30">
        <v>7</v>
      </c>
    </row>
    <row r="1842" spans="1:6" x14ac:dyDescent="0.25">
      <c r="A1842" s="30" t="s">
        <v>116</v>
      </c>
      <c r="B1842" s="30">
        <v>2021</v>
      </c>
      <c r="C1842" s="30" t="s">
        <v>103</v>
      </c>
      <c r="D1842" s="30">
        <v>5</v>
      </c>
      <c r="E1842" s="30">
        <v>166.1</v>
      </c>
      <c r="F1842" s="30">
        <v>7.8</v>
      </c>
    </row>
    <row r="1843" spans="1:6" x14ac:dyDescent="0.25">
      <c r="A1843" s="30" t="s">
        <v>116</v>
      </c>
      <c r="B1843" s="30">
        <v>2021</v>
      </c>
      <c r="C1843" s="30" t="s">
        <v>104</v>
      </c>
      <c r="D1843" s="30">
        <v>6</v>
      </c>
      <c r="E1843" s="30">
        <v>53</v>
      </c>
      <c r="F1843" s="30">
        <v>46.6</v>
      </c>
    </row>
    <row r="1844" spans="1:6" x14ac:dyDescent="0.25">
      <c r="A1844" s="30" t="s">
        <v>116</v>
      </c>
      <c r="B1844" s="30">
        <v>2021</v>
      </c>
      <c r="C1844" s="30" t="s">
        <v>105</v>
      </c>
      <c r="D1844" s="30">
        <v>7</v>
      </c>
      <c r="E1844" s="30">
        <v>31</v>
      </c>
      <c r="F1844" s="30">
        <v>71.3</v>
      </c>
    </row>
    <row r="1845" spans="1:6" x14ac:dyDescent="0.25">
      <c r="A1845" s="30" t="s">
        <v>116</v>
      </c>
      <c r="B1845" s="30">
        <v>2021</v>
      </c>
      <c r="C1845" s="30" t="s">
        <v>106</v>
      </c>
      <c r="D1845" s="30">
        <v>8</v>
      </c>
      <c r="E1845" s="30">
        <v>40.799999999999997</v>
      </c>
      <c r="F1845" s="30">
        <v>44.5</v>
      </c>
    </row>
    <row r="1846" spans="1:6" x14ac:dyDescent="0.25">
      <c r="A1846" s="30" t="s">
        <v>116</v>
      </c>
      <c r="B1846" s="30">
        <v>2021</v>
      </c>
      <c r="C1846" s="30" t="s">
        <v>107</v>
      </c>
      <c r="D1846" s="30">
        <v>9</v>
      </c>
      <c r="E1846" s="30">
        <v>47.6</v>
      </c>
      <c r="F1846" s="30">
        <v>62.4</v>
      </c>
    </row>
    <row r="1847" spans="1:6" x14ac:dyDescent="0.25">
      <c r="A1847" s="30" t="s">
        <v>116</v>
      </c>
      <c r="B1847" s="30">
        <v>2021</v>
      </c>
      <c r="C1847" s="30" t="s">
        <v>108</v>
      </c>
      <c r="D1847" s="30">
        <v>10</v>
      </c>
      <c r="E1847" s="30">
        <v>135.6</v>
      </c>
      <c r="F1847" s="30">
        <v>3.9</v>
      </c>
    </row>
    <row r="1848" spans="1:6" x14ac:dyDescent="0.25">
      <c r="A1848" s="30" t="s">
        <v>116</v>
      </c>
      <c r="B1848" s="30">
        <v>2021</v>
      </c>
      <c r="C1848" s="30" t="s">
        <v>109</v>
      </c>
      <c r="D1848" s="30">
        <v>11</v>
      </c>
      <c r="E1848" s="30">
        <v>293.89999999999998</v>
      </c>
      <c r="F1848" s="30">
        <v>0</v>
      </c>
    </row>
    <row r="1849" spans="1:6" x14ac:dyDescent="0.25">
      <c r="A1849" s="30" t="s">
        <v>116</v>
      </c>
      <c r="B1849" s="30">
        <v>2021</v>
      </c>
      <c r="C1849" s="30" t="s">
        <v>110</v>
      </c>
      <c r="D1849" s="30">
        <v>12</v>
      </c>
      <c r="E1849" s="30">
        <v>310.8</v>
      </c>
      <c r="F1849" s="30">
        <v>0</v>
      </c>
    </row>
    <row r="1850" spans="1:6" hidden="1" x14ac:dyDescent="0.25">
      <c r="A1850" s="30" t="s">
        <v>98</v>
      </c>
      <c r="B1850" s="30">
        <v>2022</v>
      </c>
      <c r="C1850" s="30" t="s">
        <v>99</v>
      </c>
      <c r="D1850" s="30">
        <v>1</v>
      </c>
      <c r="E1850" s="30">
        <v>346</v>
      </c>
      <c r="F1850" s="30">
        <v>0</v>
      </c>
    </row>
    <row r="1851" spans="1:6" hidden="1" x14ac:dyDescent="0.25">
      <c r="A1851" s="30" t="s">
        <v>98</v>
      </c>
      <c r="B1851" s="30">
        <v>2022</v>
      </c>
      <c r="C1851" s="30" t="s">
        <v>100</v>
      </c>
      <c r="D1851" s="30">
        <v>2</v>
      </c>
      <c r="E1851" s="30">
        <v>274.8</v>
      </c>
      <c r="F1851" s="30">
        <v>0</v>
      </c>
    </row>
    <row r="1852" spans="1:6" hidden="1" x14ac:dyDescent="0.25">
      <c r="A1852" s="30" t="s">
        <v>98</v>
      </c>
      <c r="B1852" s="30">
        <v>2022</v>
      </c>
      <c r="C1852" s="30" t="s">
        <v>101</v>
      </c>
      <c r="D1852" s="30">
        <v>3</v>
      </c>
      <c r="E1852" s="30">
        <v>274.2</v>
      </c>
      <c r="F1852" s="30">
        <v>0.2</v>
      </c>
    </row>
    <row r="1853" spans="1:6" hidden="1" x14ac:dyDescent="0.25">
      <c r="A1853" s="30" t="s">
        <v>98</v>
      </c>
      <c r="B1853" s="30">
        <v>2022</v>
      </c>
      <c r="C1853" s="30" t="s">
        <v>102</v>
      </c>
      <c r="D1853" s="30">
        <v>4</v>
      </c>
      <c r="E1853" s="30">
        <v>234.9</v>
      </c>
      <c r="F1853" s="30">
        <v>0.9</v>
      </c>
    </row>
    <row r="1854" spans="1:6" hidden="1" x14ac:dyDescent="0.25">
      <c r="A1854" s="30" t="s">
        <v>98</v>
      </c>
      <c r="B1854" s="30">
        <v>2022</v>
      </c>
      <c r="C1854" s="30" t="s">
        <v>103</v>
      </c>
      <c r="D1854" s="30">
        <v>5</v>
      </c>
      <c r="E1854" s="30">
        <v>137</v>
      </c>
      <c r="F1854" s="30">
        <v>12.6</v>
      </c>
    </row>
    <row r="1855" spans="1:6" hidden="1" x14ac:dyDescent="0.25">
      <c r="A1855" s="30" t="s">
        <v>98</v>
      </c>
      <c r="B1855" s="30">
        <v>2022</v>
      </c>
      <c r="C1855" s="30" t="s">
        <v>104</v>
      </c>
      <c r="D1855" s="30">
        <v>6</v>
      </c>
      <c r="E1855" s="30">
        <v>78</v>
      </c>
      <c r="F1855" s="30">
        <v>25</v>
      </c>
    </row>
    <row r="1856" spans="1:6" hidden="1" x14ac:dyDescent="0.25">
      <c r="A1856" s="30" t="s">
        <v>98</v>
      </c>
      <c r="B1856" s="30">
        <v>2022</v>
      </c>
      <c r="C1856" s="30" t="s">
        <v>105</v>
      </c>
      <c r="D1856" s="30">
        <v>7</v>
      </c>
      <c r="E1856" s="30">
        <v>47.6</v>
      </c>
      <c r="F1856" s="30">
        <v>73.599999999999994</v>
      </c>
    </row>
    <row r="1857" spans="1:6" hidden="1" x14ac:dyDescent="0.25">
      <c r="A1857" s="30" t="s">
        <v>98</v>
      </c>
      <c r="B1857" s="30">
        <v>2022</v>
      </c>
      <c r="C1857" s="30" t="s">
        <v>106</v>
      </c>
      <c r="D1857" s="30">
        <v>8</v>
      </c>
      <c r="E1857" s="30">
        <v>27.7</v>
      </c>
      <c r="F1857" s="30">
        <v>69.099999999999994</v>
      </c>
    </row>
    <row r="1858" spans="1:6" hidden="1" x14ac:dyDescent="0.25">
      <c r="A1858" s="30" t="s">
        <v>98</v>
      </c>
      <c r="B1858" s="30">
        <v>2022</v>
      </c>
      <c r="C1858" s="30" t="s">
        <v>107</v>
      </c>
      <c r="D1858" s="30">
        <v>9</v>
      </c>
      <c r="E1858" s="30">
        <v>77.2</v>
      </c>
      <c r="F1858" s="30">
        <v>28.5</v>
      </c>
    </row>
    <row r="1859" spans="1:6" hidden="1" x14ac:dyDescent="0.25">
      <c r="A1859" s="30" t="s">
        <v>98</v>
      </c>
      <c r="B1859" s="30">
        <v>2022</v>
      </c>
      <c r="C1859" s="30" t="s">
        <v>108</v>
      </c>
      <c r="D1859" s="30">
        <v>10</v>
      </c>
      <c r="E1859" s="30">
        <v>88.7</v>
      </c>
      <c r="F1859" s="30">
        <v>5.7</v>
      </c>
    </row>
    <row r="1860" spans="1:6" hidden="1" x14ac:dyDescent="0.25">
      <c r="A1860" s="30" t="s">
        <v>98</v>
      </c>
      <c r="B1860" s="30">
        <v>2022</v>
      </c>
      <c r="C1860" s="30" t="s">
        <v>109</v>
      </c>
      <c r="D1860" s="30">
        <v>11</v>
      </c>
      <c r="E1860" s="30">
        <v>209.8</v>
      </c>
      <c r="F1860" s="30">
        <v>0.2</v>
      </c>
    </row>
    <row r="1861" spans="1:6" hidden="1" x14ac:dyDescent="0.25">
      <c r="A1861" s="30" t="s">
        <v>98</v>
      </c>
      <c r="B1861" s="30">
        <v>2022</v>
      </c>
      <c r="C1861" s="30" t="s">
        <v>110</v>
      </c>
      <c r="D1861" s="30">
        <v>12</v>
      </c>
      <c r="E1861" s="30">
        <v>366.3</v>
      </c>
      <c r="F1861" s="30">
        <v>0</v>
      </c>
    </row>
    <row r="1862" spans="1:6" hidden="1" x14ac:dyDescent="0.25">
      <c r="A1862" s="30" t="s">
        <v>111</v>
      </c>
      <c r="B1862" s="30">
        <v>2022</v>
      </c>
      <c r="C1862" s="30" t="s">
        <v>99</v>
      </c>
      <c r="D1862" s="30">
        <v>1</v>
      </c>
      <c r="E1862" s="30">
        <v>329</v>
      </c>
      <c r="F1862" s="30">
        <v>0</v>
      </c>
    </row>
    <row r="1863" spans="1:6" hidden="1" x14ac:dyDescent="0.25">
      <c r="A1863" s="30" t="s">
        <v>111</v>
      </c>
      <c r="B1863" s="30">
        <v>2022</v>
      </c>
      <c r="C1863" s="30" t="s">
        <v>100</v>
      </c>
      <c r="D1863" s="30">
        <v>2</v>
      </c>
      <c r="E1863" s="30">
        <v>265</v>
      </c>
      <c r="F1863" s="30">
        <v>0</v>
      </c>
    </row>
    <row r="1864" spans="1:6" hidden="1" x14ac:dyDescent="0.25">
      <c r="A1864" s="30" t="s">
        <v>111</v>
      </c>
      <c r="B1864" s="30">
        <v>2022</v>
      </c>
      <c r="C1864" s="30" t="s">
        <v>101</v>
      </c>
      <c r="D1864" s="30">
        <v>3</v>
      </c>
      <c r="E1864" s="30">
        <v>253</v>
      </c>
      <c r="F1864" s="30">
        <v>1.6</v>
      </c>
    </row>
    <row r="1865" spans="1:6" hidden="1" x14ac:dyDescent="0.25">
      <c r="A1865" s="30" t="s">
        <v>111</v>
      </c>
      <c r="B1865" s="30">
        <v>2022</v>
      </c>
      <c r="C1865" s="30" t="s">
        <v>102</v>
      </c>
      <c r="D1865" s="30">
        <v>4</v>
      </c>
      <c r="E1865" s="30">
        <v>217.5</v>
      </c>
      <c r="F1865" s="30">
        <v>2</v>
      </c>
    </row>
    <row r="1866" spans="1:6" hidden="1" x14ac:dyDescent="0.25">
      <c r="A1866" s="30" t="s">
        <v>111</v>
      </c>
      <c r="B1866" s="30">
        <v>2022</v>
      </c>
      <c r="C1866" s="30" t="s">
        <v>103</v>
      </c>
      <c r="D1866" s="30">
        <v>5</v>
      </c>
      <c r="E1866" s="30">
        <v>136.4</v>
      </c>
      <c r="F1866" s="30">
        <v>8</v>
      </c>
    </row>
    <row r="1867" spans="1:6" hidden="1" x14ac:dyDescent="0.25">
      <c r="A1867" s="30" t="s">
        <v>111</v>
      </c>
      <c r="B1867" s="30">
        <v>2022</v>
      </c>
      <c r="C1867" s="30" t="s">
        <v>104</v>
      </c>
      <c r="D1867" s="30">
        <v>6</v>
      </c>
      <c r="E1867" s="30">
        <v>85.3</v>
      </c>
      <c r="F1867" s="30">
        <v>25.2</v>
      </c>
    </row>
    <row r="1868" spans="1:6" hidden="1" x14ac:dyDescent="0.25">
      <c r="A1868" s="30" t="s">
        <v>111</v>
      </c>
      <c r="B1868" s="30">
        <v>2022</v>
      </c>
      <c r="C1868" s="30" t="s">
        <v>105</v>
      </c>
      <c r="D1868" s="30">
        <v>7</v>
      </c>
      <c r="E1868" s="30">
        <v>54.8</v>
      </c>
      <c r="F1868" s="30">
        <v>68</v>
      </c>
    </row>
    <row r="1869" spans="1:6" hidden="1" x14ac:dyDescent="0.25">
      <c r="A1869" s="30" t="s">
        <v>111</v>
      </c>
      <c r="B1869" s="30">
        <v>2022</v>
      </c>
      <c r="C1869" s="30" t="s">
        <v>106</v>
      </c>
      <c r="D1869" s="30">
        <v>8</v>
      </c>
      <c r="E1869" s="30">
        <v>30.9</v>
      </c>
      <c r="F1869" s="30">
        <v>83.6</v>
      </c>
    </row>
    <row r="1870" spans="1:6" hidden="1" x14ac:dyDescent="0.25">
      <c r="A1870" s="30" t="s">
        <v>111</v>
      </c>
      <c r="B1870" s="30">
        <v>2022</v>
      </c>
      <c r="C1870" s="30" t="s">
        <v>107</v>
      </c>
      <c r="D1870" s="30">
        <v>9</v>
      </c>
      <c r="E1870" s="30">
        <v>90.3</v>
      </c>
      <c r="F1870" s="30">
        <v>27.4</v>
      </c>
    </row>
    <row r="1871" spans="1:6" hidden="1" x14ac:dyDescent="0.25">
      <c r="A1871" s="30" t="s">
        <v>111</v>
      </c>
      <c r="B1871" s="30">
        <v>2022</v>
      </c>
      <c r="C1871" s="30" t="s">
        <v>108</v>
      </c>
      <c r="D1871" s="30">
        <v>10</v>
      </c>
      <c r="E1871" s="30">
        <v>99.3</v>
      </c>
      <c r="F1871" s="30">
        <v>4.8</v>
      </c>
    </row>
    <row r="1872" spans="1:6" hidden="1" x14ac:dyDescent="0.25">
      <c r="A1872" s="30" t="s">
        <v>111</v>
      </c>
      <c r="B1872" s="30">
        <v>2022</v>
      </c>
      <c r="C1872" s="30" t="s">
        <v>109</v>
      </c>
      <c r="D1872" s="30">
        <v>11</v>
      </c>
      <c r="E1872" s="30">
        <v>196</v>
      </c>
      <c r="F1872" s="30">
        <v>0.1</v>
      </c>
    </row>
    <row r="1873" spans="1:6" hidden="1" x14ac:dyDescent="0.25">
      <c r="A1873" s="30" t="s">
        <v>111</v>
      </c>
      <c r="B1873" s="30">
        <v>2022</v>
      </c>
      <c r="C1873" s="30" t="s">
        <v>110</v>
      </c>
      <c r="D1873" s="30">
        <v>12</v>
      </c>
      <c r="E1873" s="30">
        <v>355.8</v>
      </c>
      <c r="F1873" s="30">
        <v>0</v>
      </c>
    </row>
    <row r="1874" spans="1:6" hidden="1" x14ac:dyDescent="0.25">
      <c r="A1874" s="30" t="s">
        <v>112</v>
      </c>
      <c r="B1874" s="30">
        <v>2022</v>
      </c>
      <c r="C1874" s="30" t="s">
        <v>99</v>
      </c>
      <c r="D1874" s="30">
        <v>1</v>
      </c>
      <c r="E1874" s="30">
        <v>332</v>
      </c>
      <c r="F1874" s="30">
        <v>0</v>
      </c>
    </row>
    <row r="1875" spans="1:6" hidden="1" x14ac:dyDescent="0.25">
      <c r="A1875" s="30" t="s">
        <v>112</v>
      </c>
      <c r="B1875" s="30">
        <v>2022</v>
      </c>
      <c r="C1875" s="30" t="s">
        <v>100</v>
      </c>
      <c r="D1875" s="30">
        <v>2</v>
      </c>
      <c r="E1875" s="30">
        <v>266.5</v>
      </c>
      <c r="F1875" s="30">
        <v>0</v>
      </c>
    </row>
    <row r="1876" spans="1:6" hidden="1" x14ac:dyDescent="0.25">
      <c r="A1876" s="30" t="s">
        <v>112</v>
      </c>
      <c r="B1876" s="30">
        <v>2022</v>
      </c>
      <c r="C1876" s="30" t="s">
        <v>101</v>
      </c>
      <c r="D1876" s="30">
        <v>3</v>
      </c>
      <c r="E1876" s="30">
        <v>245.2</v>
      </c>
      <c r="F1876" s="30">
        <v>1.6</v>
      </c>
    </row>
    <row r="1877" spans="1:6" hidden="1" x14ac:dyDescent="0.25">
      <c r="A1877" s="30" t="s">
        <v>112</v>
      </c>
      <c r="B1877" s="30">
        <v>2022</v>
      </c>
      <c r="C1877" s="30" t="s">
        <v>102</v>
      </c>
      <c r="D1877" s="30">
        <v>4</v>
      </c>
      <c r="E1877" s="30">
        <v>199</v>
      </c>
      <c r="F1877" s="30">
        <v>4.0999999999999996</v>
      </c>
    </row>
    <row r="1878" spans="1:6" hidden="1" x14ac:dyDescent="0.25">
      <c r="A1878" s="30" t="s">
        <v>112</v>
      </c>
      <c r="B1878" s="30">
        <v>2022</v>
      </c>
      <c r="C1878" s="30" t="s">
        <v>103</v>
      </c>
      <c r="D1878" s="30">
        <v>5</v>
      </c>
      <c r="E1878" s="30">
        <v>117.6</v>
      </c>
      <c r="F1878" s="30">
        <v>14.9</v>
      </c>
    </row>
    <row r="1879" spans="1:6" hidden="1" x14ac:dyDescent="0.25">
      <c r="A1879" s="30" t="s">
        <v>112</v>
      </c>
      <c r="B1879" s="30">
        <v>2022</v>
      </c>
      <c r="C1879" s="30" t="s">
        <v>104</v>
      </c>
      <c r="D1879" s="30">
        <v>6</v>
      </c>
      <c r="E1879" s="30">
        <v>71.099999999999994</v>
      </c>
      <c r="F1879" s="30">
        <v>42</v>
      </c>
    </row>
    <row r="1880" spans="1:6" hidden="1" x14ac:dyDescent="0.25">
      <c r="A1880" s="30" t="s">
        <v>112</v>
      </c>
      <c r="B1880" s="30">
        <v>2022</v>
      </c>
      <c r="C1880" s="30" t="s">
        <v>105</v>
      </c>
      <c r="D1880" s="30">
        <v>7</v>
      </c>
      <c r="E1880" s="30">
        <v>38.5</v>
      </c>
      <c r="F1880" s="30">
        <v>94.3</v>
      </c>
    </row>
    <row r="1881" spans="1:6" hidden="1" x14ac:dyDescent="0.25">
      <c r="A1881" s="30" t="s">
        <v>112</v>
      </c>
      <c r="B1881" s="30">
        <v>2022</v>
      </c>
      <c r="C1881" s="30" t="s">
        <v>106</v>
      </c>
      <c r="D1881" s="30">
        <v>8</v>
      </c>
      <c r="E1881" s="30">
        <v>19.3</v>
      </c>
      <c r="F1881" s="30">
        <v>110.7</v>
      </c>
    </row>
    <row r="1882" spans="1:6" hidden="1" x14ac:dyDescent="0.25">
      <c r="A1882" s="30" t="s">
        <v>112</v>
      </c>
      <c r="B1882" s="30">
        <v>2022</v>
      </c>
      <c r="C1882" s="30" t="s">
        <v>107</v>
      </c>
      <c r="D1882" s="30">
        <v>9</v>
      </c>
      <c r="E1882" s="30">
        <v>72.8</v>
      </c>
      <c r="F1882" s="30">
        <v>26.9</v>
      </c>
    </row>
    <row r="1883" spans="1:6" hidden="1" x14ac:dyDescent="0.25">
      <c r="A1883" s="30" t="s">
        <v>112</v>
      </c>
      <c r="B1883" s="30">
        <v>2022</v>
      </c>
      <c r="C1883" s="30" t="s">
        <v>108</v>
      </c>
      <c r="D1883" s="30">
        <v>10</v>
      </c>
      <c r="E1883" s="30">
        <v>95.8</v>
      </c>
      <c r="F1883" s="30">
        <v>3.1</v>
      </c>
    </row>
    <row r="1884" spans="1:6" hidden="1" x14ac:dyDescent="0.25">
      <c r="A1884" s="30" t="s">
        <v>112</v>
      </c>
      <c r="B1884" s="30">
        <v>2022</v>
      </c>
      <c r="C1884" s="30" t="s">
        <v>109</v>
      </c>
      <c r="D1884" s="30">
        <v>11</v>
      </c>
      <c r="E1884" s="30">
        <v>191.4</v>
      </c>
      <c r="F1884" s="30">
        <v>0</v>
      </c>
    </row>
    <row r="1885" spans="1:6" hidden="1" x14ac:dyDescent="0.25">
      <c r="A1885" s="30" t="s">
        <v>112</v>
      </c>
      <c r="B1885" s="30">
        <v>2022</v>
      </c>
      <c r="C1885" s="30" t="s">
        <v>110</v>
      </c>
      <c r="D1885" s="30">
        <v>12</v>
      </c>
      <c r="E1885" s="30">
        <v>360.9</v>
      </c>
      <c r="F1885" s="30">
        <v>0</v>
      </c>
    </row>
    <row r="1886" spans="1:6" hidden="1" x14ac:dyDescent="0.25">
      <c r="A1886" s="30" t="s">
        <v>113</v>
      </c>
      <c r="B1886" s="30">
        <v>2022</v>
      </c>
      <c r="C1886" s="30" t="s">
        <v>99</v>
      </c>
      <c r="D1886" s="30">
        <v>1</v>
      </c>
      <c r="E1886" s="30">
        <v>362.4</v>
      </c>
      <c r="F1886" s="30">
        <v>0</v>
      </c>
    </row>
    <row r="1887" spans="1:6" hidden="1" x14ac:dyDescent="0.25">
      <c r="A1887" s="30" t="s">
        <v>113</v>
      </c>
      <c r="B1887" s="30">
        <v>2022</v>
      </c>
      <c r="C1887" s="30" t="s">
        <v>100</v>
      </c>
      <c r="D1887" s="30">
        <v>2</v>
      </c>
      <c r="E1887" s="30">
        <v>270.5</v>
      </c>
      <c r="F1887" s="30">
        <v>0</v>
      </c>
    </row>
    <row r="1888" spans="1:6" hidden="1" x14ac:dyDescent="0.25">
      <c r="A1888" s="30" t="s">
        <v>113</v>
      </c>
      <c r="B1888" s="30">
        <v>2022</v>
      </c>
      <c r="C1888" s="30" t="s">
        <v>101</v>
      </c>
      <c r="D1888" s="30">
        <v>3</v>
      </c>
      <c r="E1888" s="30">
        <v>243.2</v>
      </c>
      <c r="F1888" s="30">
        <v>1.9</v>
      </c>
    </row>
    <row r="1889" spans="1:6" hidden="1" x14ac:dyDescent="0.25">
      <c r="A1889" s="30" t="s">
        <v>113</v>
      </c>
      <c r="B1889" s="30">
        <v>2022</v>
      </c>
      <c r="C1889" s="30" t="s">
        <v>102</v>
      </c>
      <c r="D1889" s="30">
        <v>4</v>
      </c>
      <c r="E1889" s="30">
        <v>201.5</v>
      </c>
      <c r="F1889" s="30">
        <v>7.3</v>
      </c>
    </row>
    <row r="1890" spans="1:6" hidden="1" x14ac:dyDescent="0.25">
      <c r="A1890" s="30" t="s">
        <v>113</v>
      </c>
      <c r="B1890" s="30">
        <v>2022</v>
      </c>
      <c r="C1890" s="30" t="s">
        <v>103</v>
      </c>
      <c r="D1890" s="30">
        <v>5</v>
      </c>
      <c r="E1890" s="30">
        <v>101.4</v>
      </c>
      <c r="F1890" s="30">
        <v>36.5</v>
      </c>
    </row>
    <row r="1891" spans="1:6" hidden="1" x14ac:dyDescent="0.25">
      <c r="A1891" s="30" t="s">
        <v>113</v>
      </c>
      <c r="B1891" s="30">
        <v>2022</v>
      </c>
      <c r="C1891" s="30" t="s">
        <v>104</v>
      </c>
      <c r="D1891" s="30">
        <v>6</v>
      </c>
      <c r="E1891" s="30">
        <v>51</v>
      </c>
      <c r="F1891" s="30">
        <v>69</v>
      </c>
    </row>
    <row r="1892" spans="1:6" hidden="1" x14ac:dyDescent="0.25">
      <c r="A1892" s="30" t="s">
        <v>113</v>
      </c>
      <c r="B1892" s="30">
        <v>2022</v>
      </c>
      <c r="C1892" s="30" t="s">
        <v>105</v>
      </c>
      <c r="D1892" s="30">
        <v>7</v>
      </c>
      <c r="E1892" s="30">
        <v>36</v>
      </c>
      <c r="F1892" s="30">
        <v>127.7</v>
      </c>
    </row>
    <row r="1893" spans="1:6" hidden="1" x14ac:dyDescent="0.25">
      <c r="A1893" s="30" t="s">
        <v>113</v>
      </c>
      <c r="B1893" s="30">
        <v>2022</v>
      </c>
      <c r="C1893" s="30" t="s">
        <v>106</v>
      </c>
      <c r="D1893" s="30">
        <v>8</v>
      </c>
      <c r="E1893" s="30">
        <v>21.8</v>
      </c>
      <c r="F1893" s="30">
        <v>129.80000000000001</v>
      </c>
    </row>
    <row r="1894" spans="1:6" hidden="1" x14ac:dyDescent="0.25">
      <c r="A1894" s="30" t="s">
        <v>113</v>
      </c>
      <c r="B1894" s="30">
        <v>2022</v>
      </c>
      <c r="C1894" s="30" t="s">
        <v>107</v>
      </c>
      <c r="D1894" s="30">
        <v>9</v>
      </c>
      <c r="E1894" s="30">
        <v>72.7</v>
      </c>
      <c r="F1894" s="30">
        <v>47.5</v>
      </c>
    </row>
    <row r="1895" spans="1:6" hidden="1" x14ac:dyDescent="0.25">
      <c r="A1895" s="30" t="s">
        <v>113</v>
      </c>
      <c r="B1895" s="30">
        <v>2022</v>
      </c>
      <c r="C1895" s="30" t="s">
        <v>108</v>
      </c>
      <c r="D1895" s="30">
        <v>10</v>
      </c>
      <c r="E1895" s="30">
        <v>73.599999999999994</v>
      </c>
      <c r="F1895" s="30">
        <v>17.600000000000001</v>
      </c>
    </row>
    <row r="1896" spans="1:6" hidden="1" x14ac:dyDescent="0.25">
      <c r="A1896" s="30" t="s">
        <v>113</v>
      </c>
      <c r="B1896" s="30">
        <v>2022</v>
      </c>
      <c r="C1896" s="30" t="s">
        <v>109</v>
      </c>
      <c r="D1896" s="30">
        <v>11</v>
      </c>
      <c r="E1896" s="30">
        <v>209.1</v>
      </c>
      <c r="F1896" s="30">
        <v>0</v>
      </c>
    </row>
    <row r="1897" spans="1:6" hidden="1" x14ac:dyDescent="0.25">
      <c r="A1897" s="30" t="s">
        <v>113</v>
      </c>
      <c r="B1897" s="30">
        <v>2022</v>
      </c>
      <c r="C1897" s="30" t="s">
        <v>110</v>
      </c>
      <c r="D1897" s="30">
        <v>12</v>
      </c>
      <c r="E1897" s="30">
        <v>376.3</v>
      </c>
      <c r="F1897" s="30">
        <v>0</v>
      </c>
    </row>
    <row r="1898" spans="1:6" hidden="1" x14ac:dyDescent="0.25">
      <c r="A1898" s="30" t="s">
        <v>114</v>
      </c>
      <c r="B1898" s="30">
        <v>2022</v>
      </c>
      <c r="C1898" s="30" t="s">
        <v>99</v>
      </c>
      <c r="D1898" s="30">
        <v>1</v>
      </c>
      <c r="E1898" s="30">
        <v>354.8</v>
      </c>
      <c r="F1898" s="30">
        <v>0</v>
      </c>
    </row>
    <row r="1899" spans="1:6" hidden="1" x14ac:dyDescent="0.25">
      <c r="A1899" s="30" t="s">
        <v>114</v>
      </c>
      <c r="B1899" s="30">
        <v>2022</v>
      </c>
      <c r="C1899" s="30" t="s">
        <v>100</v>
      </c>
      <c r="D1899" s="30">
        <v>2</v>
      </c>
      <c r="E1899" s="30">
        <v>276.5</v>
      </c>
      <c r="F1899" s="30">
        <v>0</v>
      </c>
    </row>
    <row r="1900" spans="1:6" hidden="1" x14ac:dyDescent="0.25">
      <c r="A1900" s="30" t="s">
        <v>114</v>
      </c>
      <c r="B1900" s="30">
        <v>2022</v>
      </c>
      <c r="C1900" s="30" t="s">
        <v>101</v>
      </c>
      <c r="D1900" s="30">
        <v>3</v>
      </c>
      <c r="E1900" s="30">
        <v>250.7</v>
      </c>
      <c r="F1900" s="30">
        <v>0.6</v>
      </c>
    </row>
    <row r="1901" spans="1:6" hidden="1" x14ac:dyDescent="0.25">
      <c r="A1901" s="30" t="s">
        <v>114</v>
      </c>
      <c r="B1901" s="30">
        <v>2022</v>
      </c>
      <c r="C1901" s="30" t="s">
        <v>102</v>
      </c>
      <c r="D1901" s="30">
        <v>4</v>
      </c>
      <c r="E1901" s="30">
        <v>217.9</v>
      </c>
      <c r="F1901" s="30">
        <v>1.5</v>
      </c>
    </row>
    <row r="1902" spans="1:6" hidden="1" x14ac:dyDescent="0.25">
      <c r="A1902" s="30" t="s">
        <v>114</v>
      </c>
      <c r="B1902" s="30">
        <v>2022</v>
      </c>
      <c r="C1902" s="30" t="s">
        <v>103</v>
      </c>
      <c r="D1902" s="30">
        <v>5</v>
      </c>
      <c r="E1902" s="30">
        <v>130.4</v>
      </c>
      <c r="F1902" s="30">
        <v>16</v>
      </c>
    </row>
    <row r="1903" spans="1:6" hidden="1" x14ac:dyDescent="0.25">
      <c r="A1903" s="30" t="s">
        <v>114</v>
      </c>
      <c r="B1903" s="30">
        <v>2022</v>
      </c>
      <c r="C1903" s="30" t="s">
        <v>104</v>
      </c>
      <c r="D1903" s="30">
        <v>6</v>
      </c>
      <c r="E1903" s="30">
        <v>66.8</v>
      </c>
      <c r="F1903" s="30">
        <v>36.1</v>
      </c>
    </row>
    <row r="1904" spans="1:6" hidden="1" x14ac:dyDescent="0.25">
      <c r="A1904" s="30" t="s">
        <v>114</v>
      </c>
      <c r="B1904" s="30">
        <v>2022</v>
      </c>
      <c r="C1904" s="30" t="s">
        <v>105</v>
      </c>
      <c r="D1904" s="30">
        <v>7</v>
      </c>
      <c r="E1904" s="30">
        <v>36.9</v>
      </c>
      <c r="F1904" s="30">
        <v>84.1</v>
      </c>
    </row>
    <row r="1905" spans="1:6" hidden="1" x14ac:dyDescent="0.25">
      <c r="A1905" s="30" t="s">
        <v>114</v>
      </c>
      <c r="B1905" s="30">
        <v>2022</v>
      </c>
      <c r="C1905" s="30" t="s">
        <v>106</v>
      </c>
      <c r="D1905" s="30">
        <v>8</v>
      </c>
      <c r="E1905" s="30">
        <v>19.8</v>
      </c>
      <c r="F1905" s="30">
        <v>81.400000000000006</v>
      </c>
    </row>
    <row r="1906" spans="1:6" hidden="1" x14ac:dyDescent="0.25">
      <c r="A1906" s="30" t="s">
        <v>114</v>
      </c>
      <c r="B1906" s="30">
        <v>2022</v>
      </c>
      <c r="C1906" s="30" t="s">
        <v>107</v>
      </c>
      <c r="D1906" s="30">
        <v>9</v>
      </c>
      <c r="E1906" s="30">
        <v>74.599999999999994</v>
      </c>
      <c r="F1906" s="30">
        <v>34.200000000000003</v>
      </c>
    </row>
    <row r="1907" spans="1:6" hidden="1" x14ac:dyDescent="0.25">
      <c r="A1907" s="30" t="s">
        <v>114</v>
      </c>
      <c r="B1907" s="30">
        <v>2022</v>
      </c>
      <c r="C1907" s="30" t="s">
        <v>108</v>
      </c>
      <c r="D1907" s="30">
        <v>10</v>
      </c>
      <c r="E1907" s="30">
        <v>82</v>
      </c>
      <c r="F1907" s="30">
        <v>10.3</v>
      </c>
    </row>
    <row r="1908" spans="1:6" hidden="1" x14ac:dyDescent="0.25">
      <c r="A1908" s="30" t="s">
        <v>114</v>
      </c>
      <c r="B1908" s="30">
        <v>2022</v>
      </c>
      <c r="C1908" s="30" t="s">
        <v>109</v>
      </c>
      <c r="D1908" s="30">
        <v>11</v>
      </c>
      <c r="E1908" s="30">
        <v>208.9</v>
      </c>
      <c r="F1908" s="30">
        <v>0.1</v>
      </c>
    </row>
    <row r="1909" spans="1:6" hidden="1" x14ac:dyDescent="0.25">
      <c r="A1909" s="30" t="s">
        <v>114</v>
      </c>
      <c r="B1909" s="30">
        <v>2022</v>
      </c>
      <c r="C1909" s="30" t="s">
        <v>110</v>
      </c>
      <c r="D1909" s="30">
        <v>12</v>
      </c>
      <c r="E1909" s="30">
        <v>373.3</v>
      </c>
      <c r="F1909" s="30">
        <v>0</v>
      </c>
    </row>
    <row r="1910" spans="1:6" hidden="1" x14ac:dyDescent="0.25">
      <c r="A1910" s="30" t="s">
        <v>115</v>
      </c>
      <c r="B1910" s="30">
        <v>2022</v>
      </c>
      <c r="C1910" s="30" t="s">
        <v>99</v>
      </c>
      <c r="D1910" s="30">
        <v>1</v>
      </c>
      <c r="E1910" s="30">
        <v>350.1</v>
      </c>
      <c r="F1910" s="30">
        <v>0</v>
      </c>
    </row>
    <row r="1911" spans="1:6" hidden="1" x14ac:dyDescent="0.25">
      <c r="A1911" s="30" t="s">
        <v>115</v>
      </c>
      <c r="B1911" s="30">
        <v>2022</v>
      </c>
      <c r="C1911" s="30" t="s">
        <v>100</v>
      </c>
      <c r="D1911" s="30">
        <v>2</v>
      </c>
      <c r="E1911" s="30">
        <v>272.2</v>
      </c>
      <c r="F1911" s="30">
        <v>0</v>
      </c>
    </row>
    <row r="1912" spans="1:6" hidden="1" x14ac:dyDescent="0.25">
      <c r="A1912" s="30" t="s">
        <v>115</v>
      </c>
      <c r="B1912" s="30">
        <v>2022</v>
      </c>
      <c r="C1912" s="30" t="s">
        <v>101</v>
      </c>
      <c r="D1912" s="30">
        <v>3</v>
      </c>
      <c r="E1912" s="30">
        <v>249.2</v>
      </c>
      <c r="F1912" s="30">
        <v>0.8</v>
      </c>
    </row>
    <row r="1913" spans="1:6" hidden="1" x14ac:dyDescent="0.25">
      <c r="A1913" s="30" t="s">
        <v>115</v>
      </c>
      <c r="B1913" s="30">
        <v>2022</v>
      </c>
      <c r="C1913" s="30" t="s">
        <v>102</v>
      </c>
      <c r="D1913" s="30">
        <v>4</v>
      </c>
      <c r="E1913" s="30">
        <v>206.8</v>
      </c>
      <c r="F1913" s="30">
        <v>3</v>
      </c>
    </row>
    <row r="1914" spans="1:6" hidden="1" x14ac:dyDescent="0.25">
      <c r="A1914" s="30" t="s">
        <v>115</v>
      </c>
      <c r="B1914" s="30">
        <v>2022</v>
      </c>
      <c r="C1914" s="30" t="s">
        <v>103</v>
      </c>
      <c r="D1914" s="30">
        <v>5</v>
      </c>
      <c r="E1914" s="30">
        <v>121.3</v>
      </c>
      <c r="F1914" s="30">
        <v>13.9</v>
      </c>
    </row>
    <row r="1915" spans="1:6" hidden="1" x14ac:dyDescent="0.25">
      <c r="A1915" s="30" t="s">
        <v>115</v>
      </c>
      <c r="B1915" s="30">
        <v>2022</v>
      </c>
      <c r="C1915" s="30" t="s">
        <v>104</v>
      </c>
      <c r="D1915" s="30">
        <v>6</v>
      </c>
      <c r="E1915" s="30">
        <v>63.4</v>
      </c>
      <c r="F1915" s="30">
        <v>43.4</v>
      </c>
    </row>
    <row r="1916" spans="1:6" hidden="1" x14ac:dyDescent="0.25">
      <c r="A1916" s="30" t="s">
        <v>115</v>
      </c>
      <c r="B1916" s="30">
        <v>2022</v>
      </c>
      <c r="C1916" s="30" t="s">
        <v>105</v>
      </c>
      <c r="D1916" s="30">
        <v>7</v>
      </c>
      <c r="E1916" s="30">
        <v>40.299999999999997</v>
      </c>
      <c r="F1916" s="30">
        <v>101.4</v>
      </c>
    </row>
    <row r="1917" spans="1:6" hidden="1" x14ac:dyDescent="0.25">
      <c r="A1917" s="30" t="s">
        <v>115</v>
      </c>
      <c r="B1917" s="30">
        <v>2022</v>
      </c>
      <c r="C1917" s="30" t="s">
        <v>106</v>
      </c>
      <c r="D1917" s="30">
        <v>8</v>
      </c>
      <c r="E1917" s="30">
        <v>18.100000000000001</v>
      </c>
      <c r="F1917" s="30">
        <v>109.6</v>
      </c>
    </row>
    <row r="1918" spans="1:6" hidden="1" x14ac:dyDescent="0.25">
      <c r="A1918" s="30" t="s">
        <v>115</v>
      </c>
      <c r="B1918" s="30">
        <v>2022</v>
      </c>
      <c r="C1918" s="30" t="s">
        <v>107</v>
      </c>
      <c r="D1918" s="30">
        <v>9</v>
      </c>
      <c r="E1918" s="30">
        <v>75.3</v>
      </c>
      <c r="F1918" s="30">
        <v>33.799999999999997</v>
      </c>
    </row>
    <row r="1919" spans="1:6" hidden="1" x14ac:dyDescent="0.25">
      <c r="A1919" s="30" t="s">
        <v>115</v>
      </c>
      <c r="B1919" s="30">
        <v>2022</v>
      </c>
      <c r="C1919" s="30" t="s">
        <v>108</v>
      </c>
      <c r="D1919" s="30">
        <v>10</v>
      </c>
      <c r="E1919" s="30">
        <v>88.7</v>
      </c>
      <c r="F1919" s="30">
        <v>3.6</v>
      </c>
    </row>
    <row r="1920" spans="1:6" hidden="1" x14ac:dyDescent="0.25">
      <c r="A1920" s="30" t="s">
        <v>115</v>
      </c>
      <c r="B1920" s="30">
        <v>2022</v>
      </c>
      <c r="C1920" s="30" t="s">
        <v>109</v>
      </c>
      <c r="D1920" s="30">
        <v>11</v>
      </c>
      <c r="E1920" s="30">
        <v>191.3</v>
      </c>
      <c r="F1920" s="30">
        <v>0</v>
      </c>
    </row>
    <row r="1921" spans="1:6" hidden="1" x14ac:dyDescent="0.25">
      <c r="A1921" s="30" t="s">
        <v>115</v>
      </c>
      <c r="B1921" s="30">
        <v>2022</v>
      </c>
      <c r="C1921" s="30" t="s">
        <v>110</v>
      </c>
      <c r="D1921" s="30">
        <v>12</v>
      </c>
      <c r="E1921" s="30">
        <v>369.2</v>
      </c>
      <c r="F1921" s="30">
        <v>0</v>
      </c>
    </row>
    <row r="1922" spans="1:6" x14ac:dyDescent="0.25">
      <c r="A1922" s="30" t="s">
        <v>116</v>
      </c>
      <c r="B1922" s="30">
        <v>2022</v>
      </c>
      <c r="C1922" s="30" t="s">
        <v>99</v>
      </c>
      <c r="D1922" s="30">
        <v>1</v>
      </c>
      <c r="E1922" s="30">
        <v>357.7</v>
      </c>
      <c r="F1922" s="30">
        <v>0</v>
      </c>
    </row>
    <row r="1923" spans="1:6" x14ac:dyDescent="0.25">
      <c r="A1923" s="30" t="s">
        <v>116</v>
      </c>
      <c r="B1923" s="30">
        <v>2022</v>
      </c>
      <c r="C1923" s="30" t="s">
        <v>100</v>
      </c>
      <c r="D1923" s="30">
        <v>2</v>
      </c>
      <c r="E1923" s="30">
        <v>262.2</v>
      </c>
      <c r="F1923" s="30">
        <v>0</v>
      </c>
    </row>
    <row r="1924" spans="1:6" x14ac:dyDescent="0.25">
      <c r="A1924" s="30" t="s">
        <v>116</v>
      </c>
      <c r="B1924" s="30">
        <v>2022</v>
      </c>
      <c r="C1924" s="30" t="s">
        <v>101</v>
      </c>
      <c r="D1924" s="30">
        <v>3</v>
      </c>
      <c r="E1924" s="30">
        <v>230.2</v>
      </c>
      <c r="F1924" s="30">
        <v>1.7</v>
      </c>
    </row>
    <row r="1925" spans="1:6" x14ac:dyDescent="0.25">
      <c r="A1925" s="30" t="s">
        <v>116</v>
      </c>
      <c r="B1925" s="30">
        <v>2022</v>
      </c>
      <c r="C1925" s="30" t="s">
        <v>102</v>
      </c>
      <c r="D1925" s="30">
        <v>4</v>
      </c>
      <c r="E1925" s="30">
        <v>186.8</v>
      </c>
      <c r="F1925" s="30">
        <v>7</v>
      </c>
    </row>
    <row r="1926" spans="1:6" x14ac:dyDescent="0.25">
      <c r="A1926" s="30" t="s">
        <v>116</v>
      </c>
      <c r="B1926" s="30">
        <v>2022</v>
      </c>
      <c r="C1926" s="30" t="s">
        <v>103</v>
      </c>
      <c r="D1926" s="30">
        <v>5</v>
      </c>
      <c r="E1926" s="30">
        <v>97.2</v>
      </c>
      <c r="F1926" s="30">
        <v>30</v>
      </c>
    </row>
    <row r="1927" spans="1:6" x14ac:dyDescent="0.25">
      <c r="A1927" s="30" t="s">
        <v>116</v>
      </c>
      <c r="B1927" s="30">
        <v>2022</v>
      </c>
      <c r="C1927" s="30" t="s">
        <v>104</v>
      </c>
      <c r="D1927" s="30">
        <v>6</v>
      </c>
      <c r="E1927" s="30">
        <v>38.700000000000003</v>
      </c>
      <c r="F1927" s="30">
        <v>66</v>
      </c>
    </row>
    <row r="1928" spans="1:6" x14ac:dyDescent="0.25">
      <c r="A1928" s="30" t="s">
        <v>116</v>
      </c>
      <c r="B1928" s="30">
        <v>2022</v>
      </c>
      <c r="C1928" s="30" t="s">
        <v>105</v>
      </c>
      <c r="D1928" s="30">
        <v>7</v>
      </c>
      <c r="E1928" s="30">
        <v>30.6</v>
      </c>
      <c r="F1928" s="30">
        <v>130.9</v>
      </c>
    </row>
    <row r="1929" spans="1:6" x14ac:dyDescent="0.25">
      <c r="A1929" s="30" t="s">
        <v>116</v>
      </c>
      <c r="B1929" s="30">
        <v>2022</v>
      </c>
      <c r="C1929" s="30" t="s">
        <v>106</v>
      </c>
      <c r="D1929" s="30">
        <v>8</v>
      </c>
      <c r="E1929" s="30">
        <v>13.5</v>
      </c>
      <c r="F1929" s="30">
        <v>134.5</v>
      </c>
    </row>
    <row r="1930" spans="1:6" x14ac:dyDescent="0.25">
      <c r="A1930" s="30" t="s">
        <v>116</v>
      </c>
      <c r="B1930" s="30">
        <v>2022</v>
      </c>
      <c r="C1930" s="30" t="s">
        <v>107</v>
      </c>
      <c r="D1930" s="30">
        <v>9</v>
      </c>
      <c r="E1930" s="30">
        <v>68.599999999999994</v>
      </c>
      <c r="F1930" s="30">
        <v>50.1</v>
      </c>
    </row>
    <row r="1931" spans="1:6" x14ac:dyDescent="0.25">
      <c r="A1931" s="30" t="s">
        <v>116</v>
      </c>
      <c r="B1931" s="30">
        <v>2022</v>
      </c>
      <c r="C1931" s="30" t="s">
        <v>108</v>
      </c>
      <c r="D1931" s="30">
        <v>10</v>
      </c>
      <c r="E1931" s="30">
        <v>68</v>
      </c>
      <c r="F1931" s="30">
        <v>13.7</v>
      </c>
    </row>
    <row r="1932" spans="1:6" x14ac:dyDescent="0.25">
      <c r="A1932" s="30" t="s">
        <v>116</v>
      </c>
      <c r="B1932" s="30">
        <v>2022</v>
      </c>
      <c r="C1932" s="30" t="s">
        <v>109</v>
      </c>
      <c r="D1932" s="30">
        <v>11</v>
      </c>
      <c r="E1932" s="30">
        <v>179.8</v>
      </c>
      <c r="F1932" s="30">
        <v>0.4</v>
      </c>
    </row>
    <row r="1933" spans="1:6" x14ac:dyDescent="0.25">
      <c r="A1933" s="30" t="s">
        <v>116</v>
      </c>
      <c r="B1933" s="30">
        <v>2022</v>
      </c>
      <c r="C1933" s="30" t="s">
        <v>110</v>
      </c>
      <c r="D1933" s="30">
        <v>12</v>
      </c>
      <c r="E1933" s="30">
        <v>366</v>
      </c>
      <c r="F1933" s="30">
        <v>0</v>
      </c>
    </row>
    <row r="1934" spans="1:6" hidden="1" x14ac:dyDescent="0.25">
      <c r="A1934" s="53" t="s">
        <v>144</v>
      </c>
      <c r="B1934" s="53">
        <v>2001</v>
      </c>
      <c r="C1934" s="53" t="s">
        <v>99</v>
      </c>
      <c r="D1934" s="30">
        <v>1</v>
      </c>
      <c r="E1934" s="53">
        <v>343.2</v>
      </c>
      <c r="F1934" s="53">
        <v>0</v>
      </c>
    </row>
    <row r="1935" spans="1:6" hidden="1" x14ac:dyDescent="0.25">
      <c r="A1935" s="54" t="s">
        <v>144</v>
      </c>
      <c r="B1935" s="54">
        <v>2001</v>
      </c>
      <c r="C1935" s="54" t="s">
        <v>100</v>
      </c>
      <c r="D1935" s="30">
        <v>2</v>
      </c>
      <c r="E1935" s="54">
        <v>312</v>
      </c>
      <c r="F1935" s="54">
        <v>0</v>
      </c>
    </row>
    <row r="1936" spans="1:6" hidden="1" x14ac:dyDescent="0.25">
      <c r="A1936" s="54" t="s">
        <v>144</v>
      </c>
      <c r="B1936" s="54">
        <v>2001</v>
      </c>
      <c r="C1936" s="54" t="s">
        <v>101</v>
      </c>
      <c r="D1936" s="30">
        <v>3</v>
      </c>
      <c r="E1936" s="54">
        <v>236</v>
      </c>
      <c r="F1936" s="54">
        <v>0.1</v>
      </c>
    </row>
    <row r="1937" spans="1:6" hidden="1" x14ac:dyDescent="0.25">
      <c r="A1937" s="54" t="s">
        <v>144</v>
      </c>
      <c r="B1937" s="54">
        <v>2001</v>
      </c>
      <c r="C1937" s="54" t="s">
        <v>102</v>
      </c>
      <c r="D1937" s="30">
        <v>4</v>
      </c>
      <c r="E1937" s="54">
        <v>238</v>
      </c>
      <c r="F1937" s="54">
        <v>0.2</v>
      </c>
    </row>
    <row r="1938" spans="1:6" hidden="1" x14ac:dyDescent="0.25">
      <c r="A1938" s="54" t="s">
        <v>144</v>
      </c>
      <c r="B1938" s="54">
        <v>2001</v>
      </c>
      <c r="C1938" s="54" t="s">
        <v>103</v>
      </c>
      <c r="D1938" s="30">
        <v>5</v>
      </c>
      <c r="E1938" s="54">
        <v>122.6</v>
      </c>
      <c r="F1938" s="54">
        <v>31.6</v>
      </c>
    </row>
    <row r="1939" spans="1:6" hidden="1" x14ac:dyDescent="0.25">
      <c r="A1939" s="54" t="s">
        <v>144</v>
      </c>
      <c r="B1939" s="54">
        <v>2001</v>
      </c>
      <c r="C1939" s="54" t="s">
        <v>104</v>
      </c>
      <c r="D1939" s="30">
        <v>6</v>
      </c>
      <c r="E1939" s="54">
        <v>71.3</v>
      </c>
      <c r="F1939" s="54">
        <v>53</v>
      </c>
    </row>
    <row r="1940" spans="1:6" hidden="1" x14ac:dyDescent="0.25">
      <c r="A1940" s="54" t="s">
        <v>144</v>
      </c>
      <c r="B1940" s="54">
        <v>2001</v>
      </c>
      <c r="C1940" s="54" t="s">
        <v>105</v>
      </c>
      <c r="D1940" s="30">
        <v>7</v>
      </c>
      <c r="E1940" s="54">
        <v>40</v>
      </c>
      <c r="F1940" s="54">
        <v>74.8</v>
      </c>
    </row>
    <row r="1941" spans="1:6" hidden="1" x14ac:dyDescent="0.25">
      <c r="A1941" s="54" t="s">
        <v>144</v>
      </c>
      <c r="B1941" s="54">
        <v>2001</v>
      </c>
      <c r="C1941" s="54" t="s">
        <v>106</v>
      </c>
      <c r="D1941" s="30">
        <v>8</v>
      </c>
      <c r="E1941" s="54">
        <v>33.700000000000003</v>
      </c>
      <c r="F1941" s="54">
        <v>84.2</v>
      </c>
    </row>
    <row r="1942" spans="1:6" hidden="1" x14ac:dyDescent="0.25">
      <c r="A1942" s="54" t="s">
        <v>144</v>
      </c>
      <c r="B1942" s="54">
        <v>2001</v>
      </c>
      <c r="C1942" s="54" t="s">
        <v>107</v>
      </c>
      <c r="D1942" s="30">
        <v>9</v>
      </c>
      <c r="E1942" s="54">
        <v>104</v>
      </c>
      <c r="F1942" s="54">
        <v>18.3</v>
      </c>
    </row>
    <row r="1943" spans="1:6" hidden="1" x14ac:dyDescent="0.25">
      <c r="A1943" s="54" t="s">
        <v>144</v>
      </c>
      <c r="B1943" s="54">
        <v>2001</v>
      </c>
      <c r="C1943" s="54" t="s">
        <v>108</v>
      </c>
      <c r="D1943" s="30">
        <v>10</v>
      </c>
      <c r="E1943" s="54">
        <v>82.8</v>
      </c>
      <c r="F1943" s="54">
        <v>16.399999999999999</v>
      </c>
    </row>
    <row r="1944" spans="1:6" hidden="1" x14ac:dyDescent="0.25">
      <c r="A1944" s="54" t="s">
        <v>144</v>
      </c>
      <c r="B1944" s="54">
        <v>2001</v>
      </c>
      <c r="C1944" s="54" t="s">
        <v>109</v>
      </c>
      <c r="D1944" s="30">
        <v>11</v>
      </c>
      <c r="E1944" s="54">
        <v>316.39999999999998</v>
      </c>
      <c r="F1944" s="54">
        <v>0</v>
      </c>
    </row>
    <row r="1945" spans="1:6" hidden="1" x14ac:dyDescent="0.25">
      <c r="A1945" s="54" t="s">
        <v>144</v>
      </c>
      <c r="B1945" s="54">
        <v>2001</v>
      </c>
      <c r="C1945" s="54" t="s">
        <v>110</v>
      </c>
      <c r="D1945" s="30">
        <v>12</v>
      </c>
      <c r="E1945" s="54">
        <v>441.2</v>
      </c>
      <c r="F1945" s="54">
        <v>0</v>
      </c>
    </row>
    <row r="1946" spans="1:6" hidden="1" x14ac:dyDescent="0.25">
      <c r="A1946" s="54" t="s">
        <v>145</v>
      </c>
      <c r="B1946" s="54">
        <v>2001</v>
      </c>
      <c r="C1946" s="54" t="s">
        <v>99</v>
      </c>
      <c r="D1946" s="30">
        <v>1</v>
      </c>
      <c r="E1946" s="54">
        <v>360.2</v>
      </c>
      <c r="F1946" s="54">
        <v>0</v>
      </c>
    </row>
    <row r="1947" spans="1:6" hidden="1" x14ac:dyDescent="0.25">
      <c r="A1947" s="54" t="s">
        <v>145</v>
      </c>
      <c r="B1947" s="54">
        <v>2001</v>
      </c>
      <c r="C1947" s="54" t="s">
        <v>100</v>
      </c>
      <c r="D1947" s="30">
        <v>2</v>
      </c>
      <c r="E1947" s="54">
        <v>311.7</v>
      </c>
      <c r="F1947" s="54">
        <v>0</v>
      </c>
    </row>
    <row r="1948" spans="1:6" hidden="1" x14ac:dyDescent="0.25">
      <c r="A1948" s="54" t="s">
        <v>145</v>
      </c>
      <c r="B1948" s="54">
        <v>2001</v>
      </c>
      <c r="C1948" s="54" t="s">
        <v>101</v>
      </c>
      <c r="D1948" s="30">
        <v>3</v>
      </c>
      <c r="E1948" s="54">
        <v>241.3</v>
      </c>
      <c r="F1948" s="54">
        <v>0</v>
      </c>
    </row>
    <row r="1949" spans="1:6" hidden="1" x14ac:dyDescent="0.25">
      <c r="A1949" s="54" t="s">
        <v>145</v>
      </c>
      <c r="B1949" s="54">
        <v>2001</v>
      </c>
      <c r="C1949" s="54" t="s">
        <v>102</v>
      </c>
      <c r="D1949" s="30">
        <v>4</v>
      </c>
      <c r="E1949" s="54">
        <v>241.9</v>
      </c>
      <c r="F1949" s="54">
        <v>0.8</v>
      </c>
    </row>
    <row r="1950" spans="1:6" hidden="1" x14ac:dyDescent="0.25">
      <c r="A1950" s="54" t="s">
        <v>145</v>
      </c>
      <c r="B1950" s="54">
        <v>2001</v>
      </c>
      <c r="C1950" s="54" t="s">
        <v>103</v>
      </c>
      <c r="D1950" s="30">
        <v>5</v>
      </c>
      <c r="E1950" s="54">
        <v>114.4</v>
      </c>
      <c r="F1950" s="54">
        <v>34.1</v>
      </c>
    </row>
    <row r="1951" spans="1:6" hidden="1" x14ac:dyDescent="0.25">
      <c r="A1951" s="54" t="s">
        <v>145</v>
      </c>
      <c r="B1951" s="54">
        <v>2001</v>
      </c>
      <c r="C1951" s="54" t="s">
        <v>104</v>
      </c>
      <c r="D1951" s="30">
        <v>6</v>
      </c>
      <c r="E1951" s="54">
        <v>72.7</v>
      </c>
      <c r="F1951" s="54">
        <v>61</v>
      </c>
    </row>
    <row r="1952" spans="1:6" hidden="1" x14ac:dyDescent="0.25">
      <c r="A1952" s="54" t="s">
        <v>145</v>
      </c>
      <c r="B1952" s="54">
        <v>2001</v>
      </c>
      <c r="C1952" s="54" t="s">
        <v>105</v>
      </c>
      <c r="D1952" s="30">
        <v>7</v>
      </c>
      <c r="E1952" s="54">
        <v>37.1</v>
      </c>
      <c r="F1952" s="54">
        <v>83.8</v>
      </c>
    </row>
    <row r="1953" spans="1:6" hidden="1" x14ac:dyDescent="0.25">
      <c r="A1953" s="54" t="s">
        <v>145</v>
      </c>
      <c r="B1953" s="54">
        <v>2001</v>
      </c>
      <c r="C1953" s="54" t="s">
        <v>106</v>
      </c>
      <c r="D1953" s="30">
        <v>8</v>
      </c>
      <c r="E1953" s="54">
        <v>30.3</v>
      </c>
      <c r="F1953" s="54">
        <v>95.2</v>
      </c>
    </row>
    <row r="1954" spans="1:6" hidden="1" x14ac:dyDescent="0.25">
      <c r="A1954" s="54" t="s">
        <v>145</v>
      </c>
      <c r="B1954" s="54">
        <v>2001</v>
      </c>
      <c r="C1954" s="54" t="s">
        <v>107</v>
      </c>
      <c r="D1954" s="30">
        <v>9</v>
      </c>
      <c r="E1954" s="54">
        <v>104.2</v>
      </c>
      <c r="F1954" s="54">
        <v>18.7</v>
      </c>
    </row>
    <row r="1955" spans="1:6" hidden="1" x14ac:dyDescent="0.25">
      <c r="A1955" s="54" t="s">
        <v>145</v>
      </c>
      <c r="B1955" s="54">
        <v>2001</v>
      </c>
      <c r="C1955" s="54" t="s">
        <v>108</v>
      </c>
      <c r="D1955" s="30">
        <v>10</v>
      </c>
      <c r="E1955" s="54">
        <v>81.8</v>
      </c>
      <c r="F1955" s="54">
        <v>17.3</v>
      </c>
    </row>
    <row r="1956" spans="1:6" hidden="1" x14ac:dyDescent="0.25">
      <c r="A1956" s="54" t="s">
        <v>145</v>
      </c>
      <c r="B1956" s="54">
        <v>2001</v>
      </c>
      <c r="C1956" s="54" t="s">
        <v>109</v>
      </c>
      <c r="D1956" s="30">
        <v>11</v>
      </c>
      <c r="E1956" s="54">
        <v>324.8</v>
      </c>
      <c r="F1956" s="54">
        <v>0</v>
      </c>
    </row>
    <row r="1957" spans="1:6" hidden="1" x14ac:dyDescent="0.25">
      <c r="A1957" s="54" t="s">
        <v>145</v>
      </c>
      <c r="B1957" s="54">
        <v>2001</v>
      </c>
      <c r="C1957" s="54" t="s">
        <v>110</v>
      </c>
      <c r="D1957" s="30">
        <v>12</v>
      </c>
      <c r="E1957" s="54">
        <v>450.1</v>
      </c>
      <c r="F1957" s="54">
        <v>0</v>
      </c>
    </row>
    <row r="1958" spans="1:6" hidden="1" x14ac:dyDescent="0.25">
      <c r="A1958" s="53" t="s">
        <v>144</v>
      </c>
      <c r="B1958" s="53">
        <v>2002</v>
      </c>
      <c r="C1958" s="53" t="s">
        <v>99</v>
      </c>
      <c r="D1958" s="30">
        <v>1</v>
      </c>
      <c r="E1958" s="53">
        <v>308.5</v>
      </c>
      <c r="F1958" s="53">
        <v>0</v>
      </c>
    </row>
    <row r="1959" spans="1:6" hidden="1" x14ac:dyDescent="0.25">
      <c r="A1959" s="54" t="s">
        <v>144</v>
      </c>
      <c r="B1959" s="54">
        <v>2002</v>
      </c>
      <c r="C1959" s="54" t="s">
        <v>100</v>
      </c>
      <c r="D1959" s="30">
        <v>2</v>
      </c>
      <c r="E1959" s="54">
        <v>258.7</v>
      </c>
      <c r="F1959" s="54">
        <v>0</v>
      </c>
    </row>
    <row r="1960" spans="1:6" hidden="1" x14ac:dyDescent="0.25">
      <c r="A1960" s="54" t="s">
        <v>144</v>
      </c>
      <c r="B1960" s="54">
        <v>2002</v>
      </c>
      <c r="C1960" s="54" t="s">
        <v>101</v>
      </c>
      <c r="D1960" s="30">
        <v>3</v>
      </c>
      <c r="E1960" s="54">
        <v>262.39999999999998</v>
      </c>
      <c r="F1960" s="54">
        <v>0.2</v>
      </c>
    </row>
    <row r="1961" spans="1:6" hidden="1" x14ac:dyDescent="0.25">
      <c r="A1961" s="54" t="s">
        <v>144</v>
      </c>
      <c r="B1961" s="54">
        <v>2002</v>
      </c>
      <c r="C1961" s="54" t="s">
        <v>102</v>
      </c>
      <c r="D1961" s="30">
        <v>4</v>
      </c>
      <c r="E1961" s="54">
        <v>211</v>
      </c>
      <c r="F1961" s="54">
        <v>4.4000000000000004</v>
      </c>
    </row>
    <row r="1962" spans="1:6" hidden="1" x14ac:dyDescent="0.25">
      <c r="A1962" s="54" t="s">
        <v>144</v>
      </c>
      <c r="B1962" s="54">
        <v>2002</v>
      </c>
      <c r="C1962" s="54" t="s">
        <v>103</v>
      </c>
      <c r="D1962" s="30">
        <v>5</v>
      </c>
      <c r="E1962" s="54">
        <v>144.9</v>
      </c>
      <c r="F1962" s="54">
        <v>12.8</v>
      </c>
    </row>
    <row r="1963" spans="1:6" hidden="1" x14ac:dyDescent="0.25">
      <c r="A1963" s="54" t="s">
        <v>144</v>
      </c>
      <c r="B1963" s="54">
        <v>2002</v>
      </c>
      <c r="C1963" s="54" t="s">
        <v>104</v>
      </c>
      <c r="D1963" s="30">
        <v>6</v>
      </c>
      <c r="E1963" s="54">
        <v>70.3</v>
      </c>
      <c r="F1963" s="54">
        <v>41.8</v>
      </c>
    </row>
    <row r="1964" spans="1:6" hidden="1" x14ac:dyDescent="0.25">
      <c r="A1964" s="54" t="s">
        <v>144</v>
      </c>
      <c r="B1964" s="54">
        <v>2002</v>
      </c>
      <c r="C1964" s="54" t="s">
        <v>105</v>
      </c>
      <c r="D1964" s="30">
        <v>7</v>
      </c>
      <c r="E1964" s="54">
        <v>52.4</v>
      </c>
      <c r="F1964" s="54">
        <v>55.8</v>
      </c>
    </row>
    <row r="1965" spans="1:6" hidden="1" x14ac:dyDescent="0.25">
      <c r="A1965" s="54" t="s">
        <v>144</v>
      </c>
      <c r="B1965" s="54">
        <v>2002</v>
      </c>
      <c r="C1965" s="54" t="s">
        <v>106</v>
      </c>
      <c r="D1965" s="30">
        <v>8</v>
      </c>
      <c r="E1965" s="54">
        <v>43</v>
      </c>
      <c r="F1965" s="54">
        <v>57.8</v>
      </c>
    </row>
    <row r="1966" spans="1:6" hidden="1" x14ac:dyDescent="0.25">
      <c r="A1966" s="54" t="s">
        <v>144</v>
      </c>
      <c r="B1966" s="54">
        <v>2002</v>
      </c>
      <c r="C1966" s="54" t="s">
        <v>107</v>
      </c>
      <c r="D1966" s="30">
        <v>9</v>
      </c>
      <c r="E1966" s="54">
        <v>78.8</v>
      </c>
      <c r="F1966" s="54">
        <v>35.1</v>
      </c>
    </row>
    <row r="1967" spans="1:6" hidden="1" x14ac:dyDescent="0.25">
      <c r="A1967" s="54" t="s">
        <v>144</v>
      </c>
      <c r="B1967" s="54">
        <v>2002</v>
      </c>
      <c r="C1967" s="54" t="s">
        <v>108</v>
      </c>
      <c r="D1967" s="30">
        <v>10</v>
      </c>
      <c r="E1967" s="54">
        <v>145.30000000000001</v>
      </c>
      <c r="F1967" s="54">
        <v>4.8</v>
      </c>
    </row>
    <row r="1968" spans="1:6" hidden="1" x14ac:dyDescent="0.25">
      <c r="A1968" s="54" t="s">
        <v>144</v>
      </c>
      <c r="B1968" s="54">
        <v>2002</v>
      </c>
      <c r="C1968" s="54" t="s">
        <v>109</v>
      </c>
      <c r="D1968" s="30">
        <v>11</v>
      </c>
      <c r="E1968" s="54">
        <v>220.6</v>
      </c>
      <c r="F1968" s="54">
        <v>0</v>
      </c>
    </row>
    <row r="1969" spans="1:6" hidden="1" x14ac:dyDescent="0.25">
      <c r="A1969" s="54" t="s">
        <v>144</v>
      </c>
      <c r="B1969" s="54">
        <v>2002</v>
      </c>
      <c r="C1969" s="54" t="s">
        <v>110</v>
      </c>
      <c r="D1969" s="30">
        <v>12</v>
      </c>
      <c r="E1969" s="54">
        <v>285.3</v>
      </c>
      <c r="F1969" s="54">
        <v>0</v>
      </c>
    </row>
    <row r="1970" spans="1:6" hidden="1" x14ac:dyDescent="0.25">
      <c r="A1970" s="54" t="s">
        <v>145</v>
      </c>
      <c r="B1970" s="54">
        <v>2002</v>
      </c>
      <c r="C1970" s="54" t="s">
        <v>99</v>
      </c>
      <c r="D1970" s="30">
        <v>1</v>
      </c>
      <c r="E1970" s="54">
        <v>320</v>
      </c>
      <c r="F1970" s="54">
        <v>0</v>
      </c>
    </row>
    <row r="1971" spans="1:6" hidden="1" x14ac:dyDescent="0.25">
      <c r="A1971" s="54" t="s">
        <v>145</v>
      </c>
      <c r="B1971" s="54">
        <v>2002</v>
      </c>
      <c r="C1971" s="54" t="s">
        <v>100</v>
      </c>
      <c r="D1971" s="30">
        <v>2</v>
      </c>
      <c r="E1971" s="54">
        <v>258.7</v>
      </c>
      <c r="F1971" s="54">
        <v>0</v>
      </c>
    </row>
    <row r="1972" spans="1:6" hidden="1" x14ac:dyDescent="0.25">
      <c r="A1972" s="54" t="s">
        <v>145</v>
      </c>
      <c r="B1972" s="54">
        <v>2002</v>
      </c>
      <c r="C1972" s="54" t="s">
        <v>101</v>
      </c>
      <c r="D1972" s="30">
        <v>3</v>
      </c>
      <c r="E1972" s="54">
        <v>271.3</v>
      </c>
      <c r="F1972" s="54">
        <v>0.2</v>
      </c>
    </row>
    <row r="1973" spans="1:6" hidden="1" x14ac:dyDescent="0.25">
      <c r="A1973" s="54" t="s">
        <v>145</v>
      </c>
      <c r="B1973" s="54">
        <v>2002</v>
      </c>
      <c r="C1973" s="54" t="s">
        <v>102</v>
      </c>
      <c r="D1973" s="30">
        <v>4</v>
      </c>
      <c r="E1973" s="54">
        <v>213</v>
      </c>
      <c r="F1973" s="54">
        <v>4.2</v>
      </c>
    </row>
    <row r="1974" spans="1:6" hidden="1" x14ac:dyDescent="0.25">
      <c r="A1974" s="54" t="s">
        <v>145</v>
      </c>
      <c r="B1974" s="54">
        <v>2002</v>
      </c>
      <c r="C1974" s="54" t="s">
        <v>103</v>
      </c>
      <c r="D1974" s="30">
        <v>5</v>
      </c>
      <c r="E1974" s="54">
        <v>144.4</v>
      </c>
      <c r="F1974" s="54">
        <v>15.3</v>
      </c>
    </row>
    <row r="1975" spans="1:6" hidden="1" x14ac:dyDescent="0.25">
      <c r="A1975" s="54" t="s">
        <v>145</v>
      </c>
      <c r="B1975" s="54">
        <v>2002</v>
      </c>
      <c r="C1975" s="54" t="s">
        <v>104</v>
      </c>
      <c r="D1975" s="30">
        <v>6</v>
      </c>
      <c r="E1975" s="54">
        <v>65.900000000000006</v>
      </c>
      <c r="F1975" s="54">
        <v>57.5</v>
      </c>
    </row>
    <row r="1976" spans="1:6" hidden="1" x14ac:dyDescent="0.25">
      <c r="A1976" s="54" t="s">
        <v>145</v>
      </c>
      <c r="B1976" s="54">
        <v>2002</v>
      </c>
      <c r="C1976" s="54" t="s">
        <v>105</v>
      </c>
      <c r="D1976" s="30">
        <v>7</v>
      </c>
      <c r="E1976" s="54">
        <v>50.4</v>
      </c>
      <c r="F1976" s="54">
        <v>66</v>
      </c>
    </row>
    <row r="1977" spans="1:6" hidden="1" x14ac:dyDescent="0.25">
      <c r="A1977" s="54" t="s">
        <v>145</v>
      </c>
      <c r="B1977" s="54">
        <v>2002</v>
      </c>
      <c r="C1977" s="54" t="s">
        <v>106</v>
      </c>
      <c r="D1977" s="30">
        <v>8</v>
      </c>
      <c r="E1977" s="54">
        <v>41</v>
      </c>
      <c r="F1977" s="54">
        <v>61.1</v>
      </c>
    </row>
    <row r="1978" spans="1:6" hidden="1" x14ac:dyDescent="0.25">
      <c r="A1978" s="54" t="s">
        <v>145</v>
      </c>
      <c r="B1978" s="54">
        <v>2002</v>
      </c>
      <c r="C1978" s="54" t="s">
        <v>107</v>
      </c>
      <c r="D1978" s="30">
        <v>9</v>
      </c>
      <c r="E1978" s="54">
        <v>93</v>
      </c>
      <c r="F1978" s="54">
        <v>30.1</v>
      </c>
    </row>
    <row r="1979" spans="1:6" hidden="1" x14ac:dyDescent="0.25">
      <c r="A1979" s="54" t="s">
        <v>145</v>
      </c>
      <c r="B1979" s="54">
        <v>2002</v>
      </c>
      <c r="C1979" s="54" t="s">
        <v>108</v>
      </c>
      <c r="D1979" s="30">
        <v>10</v>
      </c>
      <c r="E1979" s="54">
        <v>147.69999999999999</v>
      </c>
      <c r="F1979" s="54">
        <v>3.8</v>
      </c>
    </row>
    <row r="1980" spans="1:6" hidden="1" x14ac:dyDescent="0.25">
      <c r="A1980" s="54" t="s">
        <v>145</v>
      </c>
      <c r="B1980" s="54">
        <v>2002</v>
      </c>
      <c r="C1980" s="54" t="s">
        <v>109</v>
      </c>
      <c r="D1980" s="30">
        <v>11</v>
      </c>
      <c r="E1980" s="54">
        <v>234.6</v>
      </c>
      <c r="F1980" s="54">
        <v>0</v>
      </c>
    </row>
    <row r="1981" spans="1:6" hidden="1" x14ac:dyDescent="0.25">
      <c r="A1981" s="54" t="s">
        <v>145</v>
      </c>
      <c r="B1981" s="54">
        <v>2002</v>
      </c>
      <c r="C1981" s="54" t="s">
        <v>110</v>
      </c>
      <c r="D1981" s="30">
        <v>12</v>
      </c>
      <c r="E1981" s="54">
        <v>297.5</v>
      </c>
      <c r="F1981" s="54">
        <v>0</v>
      </c>
    </row>
    <row r="1982" spans="1:6" hidden="1" x14ac:dyDescent="0.25">
      <c r="A1982" s="53" t="s">
        <v>144</v>
      </c>
      <c r="B1982" s="53">
        <v>2003</v>
      </c>
      <c r="C1982" s="53" t="s">
        <v>99</v>
      </c>
      <c r="D1982" s="30">
        <v>1</v>
      </c>
      <c r="E1982" s="53">
        <v>424.8</v>
      </c>
      <c r="F1982" s="53">
        <v>0</v>
      </c>
    </row>
    <row r="1983" spans="1:6" hidden="1" x14ac:dyDescent="0.25">
      <c r="A1983" s="54" t="s">
        <v>144</v>
      </c>
      <c r="B1983" s="54">
        <v>2003</v>
      </c>
      <c r="C1983" s="54" t="s">
        <v>100</v>
      </c>
      <c r="D1983" s="30">
        <v>2</v>
      </c>
      <c r="E1983" s="54">
        <v>347.2</v>
      </c>
      <c r="F1983" s="54">
        <v>0</v>
      </c>
    </row>
    <row r="1984" spans="1:6" hidden="1" x14ac:dyDescent="0.25">
      <c r="A1984" s="54" t="s">
        <v>144</v>
      </c>
      <c r="B1984" s="54">
        <v>2003</v>
      </c>
      <c r="C1984" s="54" t="s">
        <v>101</v>
      </c>
      <c r="D1984" s="30">
        <v>3</v>
      </c>
      <c r="E1984" s="54">
        <v>218.6</v>
      </c>
      <c r="F1984" s="54">
        <v>2.7</v>
      </c>
    </row>
    <row r="1985" spans="1:6" hidden="1" x14ac:dyDescent="0.25">
      <c r="A1985" s="54" t="s">
        <v>144</v>
      </c>
      <c r="B1985" s="54">
        <v>2003</v>
      </c>
      <c r="C1985" s="54" t="s">
        <v>102</v>
      </c>
      <c r="D1985" s="30">
        <v>4</v>
      </c>
      <c r="E1985" s="54">
        <v>180.2</v>
      </c>
      <c r="F1985" s="54">
        <v>10.9</v>
      </c>
    </row>
    <row r="1986" spans="1:6" hidden="1" x14ac:dyDescent="0.25">
      <c r="A1986" s="54" t="s">
        <v>144</v>
      </c>
      <c r="B1986" s="54">
        <v>2003</v>
      </c>
      <c r="C1986" s="54" t="s">
        <v>103</v>
      </c>
      <c r="D1986" s="30">
        <v>5</v>
      </c>
      <c r="E1986" s="54">
        <v>126.3</v>
      </c>
      <c r="F1986" s="54">
        <v>20.399999999999999</v>
      </c>
    </row>
    <row r="1987" spans="1:6" hidden="1" x14ac:dyDescent="0.25">
      <c r="A1987" s="54" t="s">
        <v>144</v>
      </c>
      <c r="B1987" s="54">
        <v>2003</v>
      </c>
      <c r="C1987" s="54" t="s">
        <v>104</v>
      </c>
      <c r="D1987" s="30">
        <v>6</v>
      </c>
      <c r="E1987" s="54">
        <v>25.9</v>
      </c>
      <c r="F1987" s="54">
        <v>96.2</v>
      </c>
    </row>
    <row r="1988" spans="1:6" hidden="1" x14ac:dyDescent="0.25">
      <c r="A1988" s="54" t="s">
        <v>144</v>
      </c>
      <c r="B1988" s="54">
        <v>2003</v>
      </c>
      <c r="C1988" s="54" t="s">
        <v>105</v>
      </c>
      <c r="D1988" s="30">
        <v>7</v>
      </c>
      <c r="E1988" s="54">
        <v>24.9</v>
      </c>
      <c r="F1988" s="54">
        <v>93</v>
      </c>
    </row>
    <row r="1989" spans="1:6" hidden="1" x14ac:dyDescent="0.25">
      <c r="A1989" s="54" t="s">
        <v>144</v>
      </c>
      <c r="B1989" s="54">
        <v>2003</v>
      </c>
      <c r="C1989" s="54" t="s">
        <v>106</v>
      </c>
      <c r="D1989" s="30">
        <v>8</v>
      </c>
      <c r="E1989" s="54">
        <v>12.3</v>
      </c>
      <c r="F1989" s="54">
        <v>187.2</v>
      </c>
    </row>
    <row r="1990" spans="1:6" hidden="1" x14ac:dyDescent="0.25">
      <c r="A1990" s="54" t="s">
        <v>144</v>
      </c>
      <c r="B1990" s="54">
        <v>2003</v>
      </c>
      <c r="C1990" s="54" t="s">
        <v>107</v>
      </c>
      <c r="D1990" s="30">
        <v>9</v>
      </c>
      <c r="E1990" s="54">
        <v>60.5</v>
      </c>
      <c r="F1990" s="54">
        <v>56.6</v>
      </c>
    </row>
    <row r="1991" spans="1:6" hidden="1" x14ac:dyDescent="0.25">
      <c r="A1991" s="54" t="s">
        <v>144</v>
      </c>
      <c r="B1991" s="54">
        <v>2003</v>
      </c>
      <c r="C1991" s="54" t="s">
        <v>108</v>
      </c>
      <c r="D1991" s="30">
        <v>10</v>
      </c>
      <c r="E1991" s="54">
        <v>214.6</v>
      </c>
      <c r="F1991" s="54">
        <v>4.3</v>
      </c>
    </row>
    <row r="1992" spans="1:6" hidden="1" x14ac:dyDescent="0.25">
      <c r="A1992" s="54" t="s">
        <v>144</v>
      </c>
      <c r="B1992" s="54">
        <v>2003</v>
      </c>
      <c r="C1992" s="54" t="s">
        <v>109</v>
      </c>
      <c r="D1992" s="30">
        <v>11</v>
      </c>
      <c r="E1992" s="54">
        <v>232.6</v>
      </c>
      <c r="F1992" s="54">
        <v>0.2</v>
      </c>
    </row>
    <row r="1993" spans="1:6" hidden="1" x14ac:dyDescent="0.25">
      <c r="A1993" s="54" t="s">
        <v>144</v>
      </c>
      <c r="B1993" s="54">
        <v>2003</v>
      </c>
      <c r="C1993" s="54" t="s">
        <v>110</v>
      </c>
      <c r="D1993" s="30">
        <v>12</v>
      </c>
      <c r="E1993" s="54">
        <v>351.8</v>
      </c>
      <c r="F1993" s="54">
        <v>0</v>
      </c>
    </row>
    <row r="1994" spans="1:6" hidden="1" x14ac:dyDescent="0.25">
      <c r="A1994" s="54" t="s">
        <v>145</v>
      </c>
      <c r="B1994" s="54">
        <v>2003</v>
      </c>
      <c r="C1994" s="54" t="s">
        <v>99</v>
      </c>
      <c r="D1994" s="30">
        <v>1</v>
      </c>
      <c r="E1994" s="54">
        <v>437.1</v>
      </c>
      <c r="F1994" s="54">
        <v>0</v>
      </c>
    </row>
    <row r="1995" spans="1:6" hidden="1" x14ac:dyDescent="0.25">
      <c r="A1995" s="54" t="s">
        <v>145</v>
      </c>
      <c r="B1995" s="54">
        <v>2003</v>
      </c>
      <c r="C1995" s="54" t="s">
        <v>100</v>
      </c>
      <c r="D1995" s="30">
        <v>2</v>
      </c>
      <c r="E1995" s="54">
        <v>309.3</v>
      </c>
      <c r="F1995" s="54">
        <v>0</v>
      </c>
    </row>
    <row r="1996" spans="1:6" hidden="1" x14ac:dyDescent="0.25">
      <c r="A1996" s="54" t="s">
        <v>145</v>
      </c>
      <c r="B1996" s="54">
        <v>2003</v>
      </c>
      <c r="C1996" s="54" t="s">
        <v>101</v>
      </c>
      <c r="D1996" s="30">
        <v>3</v>
      </c>
      <c r="E1996" s="54">
        <v>223.5</v>
      </c>
      <c r="F1996" s="54">
        <v>3.7</v>
      </c>
    </row>
    <row r="1997" spans="1:6" hidden="1" x14ac:dyDescent="0.25">
      <c r="A1997" s="54" t="s">
        <v>145</v>
      </c>
      <c r="B1997" s="54">
        <v>2003</v>
      </c>
      <c r="C1997" s="54" t="s">
        <v>102</v>
      </c>
      <c r="D1997" s="30">
        <v>4</v>
      </c>
      <c r="E1997" s="54">
        <v>196.5</v>
      </c>
      <c r="F1997" s="54">
        <v>12.2</v>
      </c>
    </row>
    <row r="1998" spans="1:6" hidden="1" x14ac:dyDescent="0.25">
      <c r="A1998" s="54" t="s">
        <v>145</v>
      </c>
      <c r="B1998" s="54">
        <v>2003</v>
      </c>
      <c r="C1998" s="54" t="s">
        <v>103</v>
      </c>
      <c r="D1998" s="30">
        <v>5</v>
      </c>
      <c r="E1998" s="54">
        <v>129.5</v>
      </c>
      <c r="F1998" s="54">
        <v>24</v>
      </c>
    </row>
    <row r="1999" spans="1:6" hidden="1" x14ac:dyDescent="0.25">
      <c r="A1999" s="54" t="s">
        <v>145</v>
      </c>
      <c r="B1999" s="54">
        <v>2003</v>
      </c>
      <c r="C1999" s="54" t="s">
        <v>104</v>
      </c>
      <c r="D1999" s="30">
        <v>6</v>
      </c>
      <c r="E1999" s="54">
        <v>22.5</v>
      </c>
      <c r="F1999" s="54">
        <v>111.3</v>
      </c>
    </row>
    <row r="2000" spans="1:6" hidden="1" x14ac:dyDescent="0.25">
      <c r="A2000" s="54" t="s">
        <v>145</v>
      </c>
      <c r="B2000" s="54">
        <v>2003</v>
      </c>
      <c r="C2000" s="54" t="s">
        <v>105</v>
      </c>
      <c r="D2000" s="30">
        <v>7</v>
      </c>
      <c r="E2000" s="54">
        <v>23</v>
      </c>
      <c r="F2000" s="54">
        <v>97.9</v>
      </c>
    </row>
    <row r="2001" spans="1:6" hidden="1" x14ac:dyDescent="0.25">
      <c r="A2001" s="54" t="s">
        <v>145</v>
      </c>
      <c r="B2001" s="54">
        <v>2003</v>
      </c>
      <c r="C2001" s="54" t="s">
        <v>106</v>
      </c>
      <c r="D2001" s="30">
        <v>8</v>
      </c>
      <c r="E2001" s="54">
        <v>17.8</v>
      </c>
      <c r="F2001" s="54">
        <v>180.3</v>
      </c>
    </row>
    <row r="2002" spans="1:6" hidden="1" x14ac:dyDescent="0.25">
      <c r="A2002" s="54" t="s">
        <v>145</v>
      </c>
      <c r="B2002" s="54">
        <v>2003</v>
      </c>
      <c r="C2002" s="54" t="s">
        <v>107</v>
      </c>
      <c r="D2002" s="30">
        <v>9</v>
      </c>
      <c r="E2002" s="54">
        <v>76.3</v>
      </c>
      <c r="F2002" s="54">
        <v>53</v>
      </c>
    </row>
    <row r="2003" spans="1:6" hidden="1" x14ac:dyDescent="0.25">
      <c r="A2003" s="54" t="s">
        <v>145</v>
      </c>
      <c r="B2003" s="54">
        <v>2003</v>
      </c>
      <c r="C2003" s="54" t="s">
        <v>108</v>
      </c>
      <c r="D2003" s="30">
        <v>10</v>
      </c>
      <c r="E2003" s="54">
        <v>230.9</v>
      </c>
      <c r="F2003" s="54">
        <v>4.4000000000000004</v>
      </c>
    </row>
    <row r="2004" spans="1:6" hidden="1" x14ac:dyDescent="0.25">
      <c r="A2004" s="54" t="s">
        <v>145</v>
      </c>
      <c r="B2004" s="54">
        <v>2003</v>
      </c>
      <c r="C2004" s="54" t="s">
        <v>109</v>
      </c>
      <c r="D2004" s="30">
        <v>11</v>
      </c>
      <c r="E2004" s="54">
        <v>247.9</v>
      </c>
      <c r="F2004" s="54">
        <v>0</v>
      </c>
    </row>
    <row r="2005" spans="1:6" hidden="1" x14ac:dyDescent="0.25">
      <c r="A2005" s="54" t="s">
        <v>145</v>
      </c>
      <c r="B2005" s="54">
        <v>2003</v>
      </c>
      <c r="C2005" s="54" t="s">
        <v>110</v>
      </c>
      <c r="D2005" s="30">
        <v>12</v>
      </c>
      <c r="E2005" s="54">
        <v>371.7</v>
      </c>
      <c r="F2005" s="54">
        <v>0</v>
      </c>
    </row>
    <row r="2006" spans="1:6" hidden="1" x14ac:dyDescent="0.25">
      <c r="A2006" s="53" t="s">
        <v>144</v>
      </c>
      <c r="B2006" s="53">
        <v>2004</v>
      </c>
      <c r="C2006" s="53" t="s">
        <v>99</v>
      </c>
      <c r="D2006" s="30">
        <v>1</v>
      </c>
      <c r="E2006" s="53">
        <v>348.8</v>
      </c>
      <c r="F2006" s="53">
        <v>0</v>
      </c>
    </row>
    <row r="2007" spans="1:6" hidden="1" x14ac:dyDescent="0.25">
      <c r="A2007" s="54" t="s">
        <v>144</v>
      </c>
      <c r="B2007" s="54">
        <v>2004</v>
      </c>
      <c r="C2007" s="54" t="s">
        <v>100</v>
      </c>
      <c r="D2007" s="30">
        <v>2</v>
      </c>
      <c r="E2007" s="54">
        <v>343.7</v>
      </c>
      <c r="F2007" s="54">
        <v>0</v>
      </c>
    </row>
    <row r="2008" spans="1:6" hidden="1" x14ac:dyDescent="0.25">
      <c r="A2008" s="54" t="s">
        <v>144</v>
      </c>
      <c r="B2008" s="54">
        <v>2004</v>
      </c>
      <c r="C2008" s="54" t="s">
        <v>101</v>
      </c>
      <c r="D2008" s="30">
        <v>3</v>
      </c>
      <c r="E2008" s="54">
        <v>328.5</v>
      </c>
      <c r="F2008" s="54">
        <v>0.8</v>
      </c>
    </row>
    <row r="2009" spans="1:6" hidden="1" x14ac:dyDescent="0.25">
      <c r="A2009" s="54" t="s">
        <v>144</v>
      </c>
      <c r="B2009" s="54">
        <v>2004</v>
      </c>
      <c r="C2009" s="54" t="s">
        <v>102</v>
      </c>
      <c r="D2009" s="30">
        <v>4</v>
      </c>
      <c r="E2009" s="54">
        <v>218.9</v>
      </c>
      <c r="F2009" s="54">
        <v>1.5</v>
      </c>
    </row>
    <row r="2010" spans="1:6" hidden="1" x14ac:dyDescent="0.25">
      <c r="A2010" s="54" t="s">
        <v>144</v>
      </c>
      <c r="B2010" s="54">
        <v>2004</v>
      </c>
      <c r="C2010" s="54" t="s">
        <v>103</v>
      </c>
      <c r="D2010" s="30">
        <v>5</v>
      </c>
      <c r="E2010" s="54">
        <v>138.6</v>
      </c>
      <c r="F2010" s="54">
        <v>21.4</v>
      </c>
    </row>
    <row r="2011" spans="1:6" hidden="1" x14ac:dyDescent="0.25">
      <c r="A2011" s="54" t="s">
        <v>144</v>
      </c>
      <c r="B2011" s="54">
        <v>2004</v>
      </c>
      <c r="C2011" s="54" t="s">
        <v>104</v>
      </c>
      <c r="D2011" s="30">
        <v>6</v>
      </c>
      <c r="E2011" s="54">
        <v>47.2</v>
      </c>
      <c r="F2011" s="54">
        <v>68.400000000000006</v>
      </c>
    </row>
    <row r="2012" spans="1:6" hidden="1" x14ac:dyDescent="0.25">
      <c r="A2012" s="54" t="s">
        <v>144</v>
      </c>
      <c r="B2012" s="54">
        <v>2004</v>
      </c>
      <c r="C2012" s="54" t="s">
        <v>105</v>
      </c>
      <c r="D2012" s="30">
        <v>7</v>
      </c>
      <c r="E2012" s="54">
        <v>47</v>
      </c>
      <c r="F2012" s="54">
        <v>66.2</v>
      </c>
    </row>
    <row r="2013" spans="1:6" hidden="1" x14ac:dyDescent="0.25">
      <c r="A2013" s="54" t="s">
        <v>144</v>
      </c>
      <c r="B2013" s="54">
        <v>2004</v>
      </c>
      <c r="C2013" s="54" t="s">
        <v>106</v>
      </c>
      <c r="D2013" s="30">
        <v>8</v>
      </c>
      <c r="E2013" s="54">
        <v>26.6</v>
      </c>
      <c r="F2013" s="54">
        <v>87.4</v>
      </c>
    </row>
    <row r="2014" spans="1:6" hidden="1" x14ac:dyDescent="0.25">
      <c r="A2014" s="54" t="s">
        <v>144</v>
      </c>
      <c r="B2014" s="54">
        <v>2004</v>
      </c>
      <c r="C2014" s="54" t="s">
        <v>107</v>
      </c>
      <c r="D2014" s="30">
        <v>9</v>
      </c>
      <c r="E2014" s="54">
        <v>62</v>
      </c>
      <c r="F2014" s="54">
        <v>65.900000000000006</v>
      </c>
    </row>
    <row r="2015" spans="1:6" hidden="1" x14ac:dyDescent="0.25">
      <c r="A2015" s="54" t="s">
        <v>144</v>
      </c>
      <c r="B2015" s="54">
        <v>2004</v>
      </c>
      <c r="C2015" s="54" t="s">
        <v>108</v>
      </c>
      <c r="D2015" s="30">
        <v>10</v>
      </c>
      <c r="E2015" s="54">
        <v>151.30000000000001</v>
      </c>
      <c r="F2015" s="54">
        <v>4.5999999999999996</v>
      </c>
    </row>
    <row r="2016" spans="1:6" hidden="1" x14ac:dyDescent="0.25">
      <c r="A2016" s="54" t="s">
        <v>144</v>
      </c>
      <c r="B2016" s="54">
        <v>2004</v>
      </c>
      <c r="C2016" s="54" t="s">
        <v>109</v>
      </c>
      <c r="D2016" s="30">
        <v>11</v>
      </c>
      <c r="E2016" s="54">
        <v>263.39999999999998</v>
      </c>
      <c r="F2016" s="54">
        <v>0</v>
      </c>
    </row>
    <row r="2017" spans="1:6" hidden="1" x14ac:dyDescent="0.25">
      <c r="A2017" s="54" t="s">
        <v>144</v>
      </c>
      <c r="B2017" s="54">
        <v>2004</v>
      </c>
      <c r="C2017" s="54" t="s">
        <v>110</v>
      </c>
      <c r="D2017" s="30">
        <v>12</v>
      </c>
      <c r="E2017" s="54">
        <v>386.7</v>
      </c>
      <c r="F2017" s="54">
        <v>0</v>
      </c>
    </row>
    <row r="2018" spans="1:6" hidden="1" x14ac:dyDescent="0.25">
      <c r="A2018" s="54" t="s">
        <v>145</v>
      </c>
      <c r="B2018" s="54">
        <v>2004</v>
      </c>
      <c r="C2018" s="54" t="s">
        <v>99</v>
      </c>
      <c r="D2018" s="30">
        <v>1</v>
      </c>
      <c r="E2018" s="54">
        <v>351</v>
      </c>
      <c r="F2018" s="54">
        <v>0</v>
      </c>
    </row>
    <row r="2019" spans="1:6" hidden="1" x14ac:dyDescent="0.25">
      <c r="A2019" s="54" t="s">
        <v>145</v>
      </c>
      <c r="B2019" s="54">
        <v>2004</v>
      </c>
      <c r="C2019" s="54" t="s">
        <v>100</v>
      </c>
      <c r="D2019" s="30">
        <v>2</v>
      </c>
      <c r="E2019" s="54">
        <v>343</v>
      </c>
      <c r="F2019" s="54">
        <v>0.1</v>
      </c>
    </row>
    <row r="2020" spans="1:6" hidden="1" x14ac:dyDescent="0.25">
      <c r="A2020" s="54" t="s">
        <v>145</v>
      </c>
      <c r="B2020" s="54">
        <v>2004</v>
      </c>
      <c r="C2020" s="54" t="s">
        <v>101</v>
      </c>
      <c r="D2020" s="30">
        <v>3</v>
      </c>
      <c r="E2020" s="54">
        <v>334.3</v>
      </c>
      <c r="F2020" s="54">
        <v>1.4</v>
      </c>
    </row>
    <row r="2021" spans="1:6" hidden="1" x14ac:dyDescent="0.25">
      <c r="A2021" s="54" t="s">
        <v>145</v>
      </c>
      <c r="B2021" s="54">
        <v>2004</v>
      </c>
      <c r="C2021" s="54" t="s">
        <v>102</v>
      </c>
      <c r="D2021" s="30">
        <v>4</v>
      </c>
      <c r="E2021" s="54">
        <v>220.6</v>
      </c>
      <c r="F2021" s="54">
        <v>1.7</v>
      </c>
    </row>
    <row r="2022" spans="1:6" hidden="1" x14ac:dyDescent="0.25">
      <c r="A2022" s="54" t="s">
        <v>145</v>
      </c>
      <c r="B2022" s="54">
        <v>2004</v>
      </c>
      <c r="C2022" s="54" t="s">
        <v>103</v>
      </c>
      <c r="D2022" s="30">
        <v>5</v>
      </c>
      <c r="E2022" s="54">
        <v>147.5</v>
      </c>
      <c r="F2022" s="54">
        <v>21.1</v>
      </c>
    </row>
    <row r="2023" spans="1:6" hidden="1" x14ac:dyDescent="0.25">
      <c r="A2023" s="54" t="s">
        <v>145</v>
      </c>
      <c r="B2023" s="54">
        <v>2004</v>
      </c>
      <c r="C2023" s="54" t="s">
        <v>104</v>
      </c>
      <c r="D2023" s="30">
        <v>6</v>
      </c>
      <c r="E2023" s="54">
        <v>54.6</v>
      </c>
      <c r="F2023" s="54">
        <v>72.900000000000006</v>
      </c>
    </row>
    <row r="2024" spans="1:6" hidden="1" x14ac:dyDescent="0.25">
      <c r="A2024" s="54" t="s">
        <v>145</v>
      </c>
      <c r="B2024" s="54">
        <v>2004</v>
      </c>
      <c r="C2024" s="54" t="s">
        <v>105</v>
      </c>
      <c r="D2024" s="30">
        <v>7</v>
      </c>
      <c r="E2024" s="54">
        <v>45.4</v>
      </c>
      <c r="F2024" s="54">
        <v>76.900000000000006</v>
      </c>
    </row>
    <row r="2025" spans="1:6" hidden="1" x14ac:dyDescent="0.25">
      <c r="A2025" s="54" t="s">
        <v>145</v>
      </c>
      <c r="B2025" s="54">
        <v>2004</v>
      </c>
      <c r="C2025" s="54" t="s">
        <v>106</v>
      </c>
      <c r="D2025" s="30">
        <v>8</v>
      </c>
      <c r="E2025" s="54">
        <v>22.1</v>
      </c>
      <c r="F2025" s="54">
        <v>96.1</v>
      </c>
    </row>
    <row r="2026" spans="1:6" hidden="1" x14ac:dyDescent="0.25">
      <c r="A2026" s="54" t="s">
        <v>145</v>
      </c>
      <c r="B2026" s="54">
        <v>2004</v>
      </c>
      <c r="C2026" s="54" t="s">
        <v>107</v>
      </c>
      <c r="D2026" s="30">
        <v>9</v>
      </c>
      <c r="E2026" s="54">
        <v>63.5</v>
      </c>
      <c r="F2026" s="54">
        <v>64.099999999999994</v>
      </c>
    </row>
    <row r="2027" spans="1:6" hidden="1" x14ac:dyDescent="0.25">
      <c r="A2027" s="54" t="s">
        <v>145</v>
      </c>
      <c r="B2027" s="54">
        <v>2004</v>
      </c>
      <c r="C2027" s="54" t="s">
        <v>108</v>
      </c>
      <c r="D2027" s="30">
        <v>10</v>
      </c>
      <c r="E2027" s="54">
        <v>143.30000000000001</v>
      </c>
      <c r="F2027" s="54">
        <v>7</v>
      </c>
    </row>
    <row r="2028" spans="1:6" hidden="1" x14ac:dyDescent="0.25">
      <c r="A2028" s="54" t="s">
        <v>145</v>
      </c>
      <c r="B2028" s="54">
        <v>2004</v>
      </c>
      <c r="C2028" s="54" t="s">
        <v>109</v>
      </c>
      <c r="D2028" s="30">
        <v>11</v>
      </c>
      <c r="E2028" s="54">
        <v>279.5</v>
      </c>
      <c r="F2028" s="54">
        <v>0</v>
      </c>
    </row>
    <row r="2029" spans="1:6" hidden="1" x14ac:dyDescent="0.25">
      <c r="A2029" s="54" t="s">
        <v>145</v>
      </c>
      <c r="B2029" s="54">
        <v>2004</v>
      </c>
      <c r="C2029" s="54" t="s">
        <v>110</v>
      </c>
      <c r="D2029" s="30">
        <v>12</v>
      </c>
      <c r="E2029" s="54">
        <v>409.4</v>
      </c>
      <c r="F2029" s="54">
        <v>0</v>
      </c>
    </row>
    <row r="2030" spans="1:6" hidden="1" x14ac:dyDescent="0.25">
      <c r="A2030" s="53" t="s">
        <v>144</v>
      </c>
      <c r="B2030" s="53">
        <v>2005</v>
      </c>
      <c r="C2030" s="53" t="s">
        <v>99</v>
      </c>
      <c r="D2030" s="30">
        <v>1</v>
      </c>
      <c r="E2030" s="53">
        <v>337.5</v>
      </c>
      <c r="F2030" s="53">
        <v>0</v>
      </c>
    </row>
    <row r="2031" spans="1:6" hidden="1" x14ac:dyDescent="0.25">
      <c r="A2031" s="54" t="s">
        <v>144</v>
      </c>
      <c r="B2031" s="54">
        <v>2005</v>
      </c>
      <c r="C2031" s="54" t="s">
        <v>100</v>
      </c>
      <c r="D2031" s="30">
        <v>2</v>
      </c>
      <c r="E2031" s="54">
        <v>375.8</v>
      </c>
      <c r="F2031" s="54">
        <v>0</v>
      </c>
    </row>
    <row r="2032" spans="1:6" hidden="1" x14ac:dyDescent="0.25">
      <c r="A2032" s="54" t="s">
        <v>144</v>
      </c>
      <c r="B2032" s="54">
        <v>2005</v>
      </c>
      <c r="C2032" s="54" t="s">
        <v>101</v>
      </c>
      <c r="D2032" s="30">
        <v>3</v>
      </c>
      <c r="E2032" s="54">
        <v>286.3</v>
      </c>
      <c r="F2032" s="54">
        <v>4.5</v>
      </c>
    </row>
    <row r="2033" spans="1:6" hidden="1" x14ac:dyDescent="0.25">
      <c r="A2033" s="54" t="s">
        <v>144</v>
      </c>
      <c r="B2033" s="54">
        <v>2005</v>
      </c>
      <c r="C2033" s="54" t="s">
        <v>102</v>
      </c>
      <c r="D2033" s="30">
        <v>4</v>
      </c>
      <c r="E2033" s="54">
        <v>217.5</v>
      </c>
      <c r="F2033" s="54">
        <v>4.2</v>
      </c>
    </row>
    <row r="2034" spans="1:6" hidden="1" x14ac:dyDescent="0.25">
      <c r="A2034" s="54" t="s">
        <v>144</v>
      </c>
      <c r="B2034" s="54">
        <v>2005</v>
      </c>
      <c r="C2034" s="54" t="s">
        <v>103</v>
      </c>
      <c r="D2034" s="30">
        <v>5</v>
      </c>
      <c r="E2034" s="54">
        <v>141.4</v>
      </c>
      <c r="F2034" s="54">
        <v>15</v>
      </c>
    </row>
    <row r="2035" spans="1:6" hidden="1" x14ac:dyDescent="0.25">
      <c r="A2035" s="54" t="s">
        <v>144</v>
      </c>
      <c r="B2035" s="54">
        <v>2005</v>
      </c>
      <c r="C2035" s="54" t="s">
        <v>104</v>
      </c>
      <c r="D2035" s="30">
        <v>6</v>
      </c>
      <c r="E2035" s="54">
        <v>40.9</v>
      </c>
      <c r="F2035" s="54">
        <v>101.1</v>
      </c>
    </row>
    <row r="2036" spans="1:6" hidden="1" x14ac:dyDescent="0.25">
      <c r="A2036" s="54" t="s">
        <v>144</v>
      </c>
      <c r="B2036" s="54">
        <v>2005</v>
      </c>
      <c r="C2036" s="54" t="s">
        <v>105</v>
      </c>
      <c r="D2036" s="30">
        <v>7</v>
      </c>
      <c r="E2036" s="54">
        <v>29.4</v>
      </c>
      <c r="F2036" s="54">
        <v>101.8</v>
      </c>
    </row>
    <row r="2037" spans="1:6" hidden="1" x14ac:dyDescent="0.25">
      <c r="A2037" s="54" t="s">
        <v>144</v>
      </c>
      <c r="B2037" s="54">
        <v>2005</v>
      </c>
      <c r="C2037" s="54" t="s">
        <v>106</v>
      </c>
      <c r="D2037" s="30">
        <v>8</v>
      </c>
      <c r="E2037" s="54">
        <v>40.299999999999997</v>
      </c>
      <c r="F2037" s="54">
        <v>88.7</v>
      </c>
    </row>
    <row r="2038" spans="1:6" hidden="1" x14ac:dyDescent="0.25">
      <c r="A2038" s="54" t="s">
        <v>144</v>
      </c>
      <c r="B2038" s="54">
        <v>2005</v>
      </c>
      <c r="C2038" s="54" t="s">
        <v>107</v>
      </c>
      <c r="D2038" s="30">
        <v>9</v>
      </c>
      <c r="E2038" s="54">
        <v>59.2</v>
      </c>
      <c r="F2038" s="54">
        <v>53.5</v>
      </c>
    </row>
    <row r="2039" spans="1:6" hidden="1" x14ac:dyDescent="0.25">
      <c r="A2039" s="54" t="s">
        <v>144</v>
      </c>
      <c r="B2039" s="54">
        <v>2005</v>
      </c>
      <c r="C2039" s="54" t="s">
        <v>108</v>
      </c>
      <c r="D2039" s="30">
        <v>10</v>
      </c>
      <c r="E2039" s="54">
        <v>72.400000000000006</v>
      </c>
      <c r="F2039" s="54">
        <v>20</v>
      </c>
    </row>
    <row r="2040" spans="1:6" hidden="1" x14ac:dyDescent="0.25">
      <c r="A2040" s="54" t="s">
        <v>144</v>
      </c>
      <c r="B2040" s="54">
        <v>2005</v>
      </c>
      <c r="C2040" s="54" t="s">
        <v>109</v>
      </c>
      <c r="D2040" s="30">
        <v>11</v>
      </c>
      <c r="E2040" s="54">
        <v>302.10000000000002</v>
      </c>
      <c r="F2040" s="54">
        <v>0.1</v>
      </c>
    </row>
    <row r="2041" spans="1:6" hidden="1" x14ac:dyDescent="0.25">
      <c r="A2041" s="54" t="s">
        <v>144</v>
      </c>
      <c r="B2041" s="54">
        <v>2005</v>
      </c>
      <c r="C2041" s="54" t="s">
        <v>110</v>
      </c>
      <c r="D2041" s="30">
        <v>12</v>
      </c>
      <c r="E2041" s="54">
        <v>418.1</v>
      </c>
      <c r="F2041" s="54">
        <v>0</v>
      </c>
    </row>
    <row r="2042" spans="1:6" hidden="1" x14ac:dyDescent="0.25">
      <c r="A2042" s="54" t="s">
        <v>145</v>
      </c>
      <c r="B2042" s="54">
        <v>2005</v>
      </c>
      <c r="C2042" s="54" t="s">
        <v>99</v>
      </c>
      <c r="D2042" s="30">
        <v>1</v>
      </c>
      <c r="E2042" s="54">
        <v>350.7</v>
      </c>
      <c r="F2042" s="54">
        <v>0</v>
      </c>
    </row>
    <row r="2043" spans="1:6" hidden="1" x14ac:dyDescent="0.25">
      <c r="A2043" s="54" t="s">
        <v>145</v>
      </c>
      <c r="B2043" s="54">
        <v>2005</v>
      </c>
      <c r="C2043" s="54" t="s">
        <v>100</v>
      </c>
      <c r="D2043" s="30">
        <v>2</v>
      </c>
      <c r="E2043" s="54">
        <v>388.2</v>
      </c>
      <c r="F2043" s="54">
        <v>0</v>
      </c>
    </row>
    <row r="2044" spans="1:6" hidden="1" x14ac:dyDescent="0.25">
      <c r="A2044" s="54" t="s">
        <v>145</v>
      </c>
      <c r="B2044" s="54">
        <v>2005</v>
      </c>
      <c r="C2044" s="54" t="s">
        <v>101</v>
      </c>
      <c r="D2044" s="30">
        <v>3</v>
      </c>
      <c r="E2044" s="54">
        <v>300.8</v>
      </c>
      <c r="F2044" s="54">
        <v>4.5999999999999996</v>
      </c>
    </row>
    <row r="2045" spans="1:6" hidden="1" x14ac:dyDescent="0.25">
      <c r="A2045" s="54" t="s">
        <v>145</v>
      </c>
      <c r="B2045" s="54">
        <v>2005</v>
      </c>
      <c r="C2045" s="54" t="s">
        <v>102</v>
      </c>
      <c r="D2045" s="30">
        <v>4</v>
      </c>
      <c r="E2045" s="54">
        <v>210.5</v>
      </c>
      <c r="F2045" s="54">
        <v>4.7</v>
      </c>
    </row>
    <row r="2046" spans="1:6" hidden="1" x14ac:dyDescent="0.25">
      <c r="A2046" s="54" t="s">
        <v>145</v>
      </c>
      <c r="B2046" s="54">
        <v>2005</v>
      </c>
      <c r="C2046" s="54" t="s">
        <v>103</v>
      </c>
      <c r="D2046" s="30">
        <v>5</v>
      </c>
      <c r="E2046" s="54">
        <v>137.1</v>
      </c>
      <c r="F2046" s="54">
        <v>20.9</v>
      </c>
    </row>
    <row r="2047" spans="1:6" hidden="1" x14ac:dyDescent="0.25">
      <c r="A2047" s="54" t="s">
        <v>145</v>
      </c>
      <c r="B2047" s="54">
        <v>2005</v>
      </c>
      <c r="C2047" s="54" t="s">
        <v>104</v>
      </c>
      <c r="D2047" s="30">
        <v>6</v>
      </c>
      <c r="E2047" s="54">
        <v>50.7</v>
      </c>
      <c r="F2047" s="54">
        <v>101.1</v>
      </c>
    </row>
    <row r="2048" spans="1:6" hidden="1" x14ac:dyDescent="0.25">
      <c r="A2048" s="54" t="s">
        <v>145</v>
      </c>
      <c r="B2048" s="54">
        <v>2005</v>
      </c>
      <c r="C2048" s="54" t="s">
        <v>105</v>
      </c>
      <c r="D2048" s="30">
        <v>7</v>
      </c>
      <c r="E2048" s="54">
        <v>28.5</v>
      </c>
      <c r="F2048" s="54">
        <v>103.4</v>
      </c>
    </row>
    <row r="2049" spans="1:6" hidden="1" x14ac:dyDescent="0.25">
      <c r="A2049" s="54" t="s">
        <v>145</v>
      </c>
      <c r="B2049" s="54">
        <v>2005</v>
      </c>
      <c r="C2049" s="54" t="s">
        <v>106</v>
      </c>
      <c r="D2049" s="30">
        <v>8</v>
      </c>
      <c r="E2049" s="54">
        <v>48.2</v>
      </c>
      <c r="F2049" s="54">
        <v>86.2</v>
      </c>
    </row>
    <row r="2050" spans="1:6" hidden="1" x14ac:dyDescent="0.25">
      <c r="A2050" s="54" t="s">
        <v>145</v>
      </c>
      <c r="B2050" s="54">
        <v>2005</v>
      </c>
      <c r="C2050" s="54" t="s">
        <v>107</v>
      </c>
      <c r="D2050" s="30">
        <v>9</v>
      </c>
      <c r="E2050" s="54">
        <v>64.5</v>
      </c>
      <c r="F2050" s="54">
        <v>57.1</v>
      </c>
    </row>
    <row r="2051" spans="1:6" hidden="1" x14ac:dyDescent="0.25">
      <c r="A2051" s="54" t="s">
        <v>145</v>
      </c>
      <c r="B2051" s="54">
        <v>2005</v>
      </c>
      <c r="C2051" s="54" t="s">
        <v>108</v>
      </c>
      <c r="D2051" s="30">
        <v>10</v>
      </c>
      <c r="E2051" s="54">
        <v>75.3</v>
      </c>
      <c r="F2051" s="54">
        <v>25</v>
      </c>
    </row>
    <row r="2052" spans="1:6" hidden="1" x14ac:dyDescent="0.25">
      <c r="A2052" s="54" t="s">
        <v>145</v>
      </c>
      <c r="B2052" s="54">
        <v>2005</v>
      </c>
      <c r="C2052" s="54" t="s">
        <v>109</v>
      </c>
      <c r="D2052" s="30">
        <v>11</v>
      </c>
      <c r="E2052" s="54">
        <v>310.5</v>
      </c>
      <c r="F2052" s="54">
        <v>0.2</v>
      </c>
    </row>
    <row r="2053" spans="1:6" hidden="1" x14ac:dyDescent="0.25">
      <c r="A2053" s="54" t="s">
        <v>145</v>
      </c>
      <c r="B2053" s="54">
        <v>2005</v>
      </c>
      <c r="C2053" s="54" t="s">
        <v>110</v>
      </c>
      <c r="D2053" s="30">
        <v>12</v>
      </c>
      <c r="E2053" s="54">
        <v>434.7</v>
      </c>
      <c r="F2053" s="54">
        <v>0</v>
      </c>
    </row>
    <row r="2054" spans="1:6" hidden="1" x14ac:dyDescent="0.25">
      <c r="A2054" s="53" t="s">
        <v>144</v>
      </c>
      <c r="B2054" s="53">
        <v>2006</v>
      </c>
      <c r="C2054" s="53" t="s">
        <v>99</v>
      </c>
      <c r="D2054" s="30">
        <v>1</v>
      </c>
      <c r="E2054" s="53">
        <v>421.1</v>
      </c>
      <c r="F2054" s="53">
        <v>0</v>
      </c>
    </row>
    <row r="2055" spans="1:6" hidden="1" x14ac:dyDescent="0.25">
      <c r="A2055" s="54" t="s">
        <v>144</v>
      </c>
      <c r="B2055" s="54">
        <v>2006</v>
      </c>
      <c r="C2055" s="54" t="s">
        <v>100</v>
      </c>
      <c r="D2055" s="30">
        <v>2</v>
      </c>
      <c r="E2055" s="54">
        <v>387.2</v>
      </c>
      <c r="F2055" s="54">
        <v>0</v>
      </c>
    </row>
    <row r="2056" spans="1:6" hidden="1" x14ac:dyDescent="0.25">
      <c r="A2056" s="54" t="s">
        <v>144</v>
      </c>
      <c r="B2056" s="54">
        <v>2006</v>
      </c>
      <c r="C2056" s="54" t="s">
        <v>101</v>
      </c>
      <c r="D2056" s="30">
        <v>3</v>
      </c>
      <c r="E2056" s="54">
        <v>308.7</v>
      </c>
      <c r="F2056" s="54">
        <v>0.4</v>
      </c>
    </row>
    <row r="2057" spans="1:6" hidden="1" x14ac:dyDescent="0.25">
      <c r="A2057" s="54" t="s">
        <v>144</v>
      </c>
      <c r="B2057" s="54">
        <v>2006</v>
      </c>
      <c r="C2057" s="54" t="s">
        <v>102</v>
      </c>
      <c r="D2057" s="30">
        <v>4</v>
      </c>
      <c r="E2057" s="54">
        <v>208.9</v>
      </c>
      <c r="F2057" s="54">
        <v>3.9</v>
      </c>
    </row>
    <row r="2058" spans="1:6" hidden="1" x14ac:dyDescent="0.25">
      <c r="A2058" s="54" t="s">
        <v>144</v>
      </c>
      <c r="B2058" s="54">
        <v>2006</v>
      </c>
      <c r="C2058" s="54" t="s">
        <v>103</v>
      </c>
      <c r="D2058" s="30">
        <v>5</v>
      </c>
      <c r="E2058" s="54">
        <v>131.6</v>
      </c>
      <c r="F2058" s="54">
        <v>9.9</v>
      </c>
    </row>
    <row r="2059" spans="1:6" hidden="1" x14ac:dyDescent="0.25">
      <c r="A2059" s="54" t="s">
        <v>144</v>
      </c>
      <c r="B2059" s="54">
        <v>2006</v>
      </c>
      <c r="C2059" s="54" t="s">
        <v>104</v>
      </c>
      <c r="D2059" s="30">
        <v>6</v>
      </c>
      <c r="E2059" s="54">
        <v>42.1</v>
      </c>
      <c r="F2059" s="54">
        <v>78.400000000000006</v>
      </c>
    </row>
    <row r="2060" spans="1:6" hidden="1" x14ac:dyDescent="0.25">
      <c r="A2060" s="54" t="s">
        <v>144</v>
      </c>
      <c r="B2060" s="54">
        <v>2006</v>
      </c>
      <c r="C2060" s="54" t="s">
        <v>105</v>
      </c>
      <c r="D2060" s="30">
        <v>7</v>
      </c>
      <c r="E2060" s="54">
        <v>7.4</v>
      </c>
      <c r="F2060" s="54">
        <v>166.4</v>
      </c>
    </row>
    <row r="2061" spans="1:6" hidden="1" x14ac:dyDescent="0.25">
      <c r="A2061" s="54" t="s">
        <v>144</v>
      </c>
      <c r="B2061" s="54">
        <v>2006</v>
      </c>
      <c r="C2061" s="54" t="s">
        <v>106</v>
      </c>
      <c r="D2061" s="30">
        <v>8</v>
      </c>
      <c r="E2061" s="54">
        <v>51.5</v>
      </c>
      <c r="F2061" s="54">
        <v>49.2</v>
      </c>
    </row>
    <row r="2062" spans="1:6" hidden="1" x14ac:dyDescent="0.25">
      <c r="A2062" s="54" t="s">
        <v>144</v>
      </c>
      <c r="B2062" s="54">
        <v>2006</v>
      </c>
      <c r="C2062" s="54" t="s">
        <v>107</v>
      </c>
      <c r="D2062" s="30">
        <v>9</v>
      </c>
      <c r="E2062" s="54">
        <v>37.700000000000003</v>
      </c>
      <c r="F2062" s="54">
        <v>69.2</v>
      </c>
    </row>
    <row r="2063" spans="1:6" hidden="1" x14ac:dyDescent="0.25">
      <c r="A2063" s="54" t="s">
        <v>144</v>
      </c>
      <c r="B2063" s="54">
        <v>2006</v>
      </c>
      <c r="C2063" s="54" t="s">
        <v>108</v>
      </c>
      <c r="D2063" s="30">
        <v>10</v>
      </c>
      <c r="E2063" s="54">
        <v>85.3</v>
      </c>
      <c r="F2063" s="54">
        <v>11</v>
      </c>
    </row>
    <row r="2064" spans="1:6" hidden="1" x14ac:dyDescent="0.25">
      <c r="A2064" s="54" t="s">
        <v>144</v>
      </c>
      <c r="B2064" s="54">
        <v>2006</v>
      </c>
      <c r="C2064" s="54" t="s">
        <v>109</v>
      </c>
      <c r="D2064" s="30">
        <v>11</v>
      </c>
      <c r="E2064" s="54">
        <v>223.7</v>
      </c>
      <c r="F2064" s="54">
        <v>0</v>
      </c>
    </row>
    <row r="2065" spans="1:6" hidden="1" x14ac:dyDescent="0.25">
      <c r="A2065" s="54" t="s">
        <v>144</v>
      </c>
      <c r="B2065" s="54">
        <v>2006</v>
      </c>
      <c r="C2065" s="54" t="s">
        <v>110</v>
      </c>
      <c r="D2065" s="30">
        <v>12</v>
      </c>
      <c r="E2065" s="54">
        <v>367.6</v>
      </c>
      <c r="F2065" s="54">
        <v>0</v>
      </c>
    </row>
    <row r="2066" spans="1:6" hidden="1" x14ac:dyDescent="0.25">
      <c r="A2066" s="54" t="s">
        <v>145</v>
      </c>
      <c r="B2066" s="54">
        <v>2006</v>
      </c>
      <c r="C2066" s="54" t="s">
        <v>99</v>
      </c>
      <c r="D2066" s="30">
        <v>1</v>
      </c>
      <c r="E2066" s="54">
        <v>428.2</v>
      </c>
      <c r="F2066" s="54">
        <v>0</v>
      </c>
    </row>
    <row r="2067" spans="1:6" hidden="1" x14ac:dyDescent="0.25">
      <c r="A2067" s="54" t="s">
        <v>145</v>
      </c>
      <c r="B2067" s="54">
        <v>2006</v>
      </c>
      <c r="C2067" s="54" t="s">
        <v>100</v>
      </c>
      <c r="D2067" s="30">
        <v>2</v>
      </c>
      <c r="E2067" s="54">
        <v>395.4</v>
      </c>
      <c r="F2067" s="54">
        <v>0</v>
      </c>
    </row>
    <row r="2068" spans="1:6" hidden="1" x14ac:dyDescent="0.25">
      <c r="A2068" s="54" t="s">
        <v>145</v>
      </c>
      <c r="B2068" s="54">
        <v>2006</v>
      </c>
      <c r="C2068" s="54" t="s">
        <v>101</v>
      </c>
      <c r="D2068" s="30">
        <v>3</v>
      </c>
      <c r="E2068" s="54">
        <v>318.39999999999998</v>
      </c>
      <c r="F2068" s="54">
        <v>0.8</v>
      </c>
    </row>
    <row r="2069" spans="1:6" hidden="1" x14ac:dyDescent="0.25">
      <c r="A2069" s="54" t="s">
        <v>145</v>
      </c>
      <c r="B2069" s="54">
        <v>2006</v>
      </c>
      <c r="C2069" s="54" t="s">
        <v>102</v>
      </c>
      <c r="D2069" s="30">
        <v>4</v>
      </c>
      <c r="E2069" s="54">
        <v>212.9</v>
      </c>
      <c r="F2069" s="54">
        <v>3.8</v>
      </c>
    </row>
    <row r="2070" spans="1:6" hidden="1" x14ac:dyDescent="0.25">
      <c r="A2070" s="54" t="s">
        <v>145</v>
      </c>
      <c r="B2070" s="54">
        <v>2006</v>
      </c>
      <c r="C2070" s="54" t="s">
        <v>103</v>
      </c>
      <c r="D2070" s="30">
        <v>5</v>
      </c>
      <c r="E2070" s="54">
        <v>122.7</v>
      </c>
      <c r="F2070" s="54">
        <v>17.100000000000001</v>
      </c>
    </row>
    <row r="2071" spans="1:6" hidden="1" x14ac:dyDescent="0.25">
      <c r="A2071" s="54" t="s">
        <v>145</v>
      </c>
      <c r="B2071" s="54">
        <v>2006</v>
      </c>
      <c r="C2071" s="54" t="s">
        <v>104</v>
      </c>
      <c r="D2071" s="30">
        <v>6</v>
      </c>
      <c r="E2071" s="54">
        <v>44.8</v>
      </c>
      <c r="F2071" s="54">
        <v>89.5</v>
      </c>
    </row>
    <row r="2072" spans="1:6" hidden="1" x14ac:dyDescent="0.25">
      <c r="A2072" s="54" t="s">
        <v>145</v>
      </c>
      <c r="B2072" s="54">
        <v>2006</v>
      </c>
      <c r="C2072" s="54" t="s">
        <v>105</v>
      </c>
      <c r="D2072" s="30">
        <v>7</v>
      </c>
      <c r="E2072" s="54">
        <v>5.6</v>
      </c>
      <c r="F2072" s="54">
        <v>184.8</v>
      </c>
    </row>
    <row r="2073" spans="1:6" hidden="1" x14ac:dyDescent="0.25">
      <c r="A2073" s="54" t="s">
        <v>145</v>
      </c>
      <c r="B2073" s="54">
        <v>2006</v>
      </c>
      <c r="C2073" s="54" t="s">
        <v>106</v>
      </c>
      <c r="D2073" s="30">
        <v>8</v>
      </c>
      <c r="E2073" s="54">
        <v>43</v>
      </c>
      <c r="F2073" s="54">
        <v>58.1</v>
      </c>
    </row>
    <row r="2074" spans="1:6" hidden="1" x14ac:dyDescent="0.25">
      <c r="A2074" s="54" t="s">
        <v>145</v>
      </c>
      <c r="B2074" s="54">
        <v>2006</v>
      </c>
      <c r="C2074" s="54" t="s">
        <v>107</v>
      </c>
      <c r="D2074" s="30">
        <v>9</v>
      </c>
      <c r="E2074" s="54">
        <v>35.299999999999997</v>
      </c>
      <c r="F2074" s="54">
        <v>76.3</v>
      </c>
    </row>
    <row r="2075" spans="1:6" hidden="1" x14ac:dyDescent="0.25">
      <c r="A2075" s="54" t="s">
        <v>145</v>
      </c>
      <c r="B2075" s="54">
        <v>2006</v>
      </c>
      <c r="C2075" s="54" t="s">
        <v>108</v>
      </c>
      <c r="D2075" s="30">
        <v>10</v>
      </c>
      <c r="E2075" s="54">
        <v>84.5</v>
      </c>
      <c r="F2075" s="54">
        <v>9.9</v>
      </c>
    </row>
    <row r="2076" spans="1:6" hidden="1" x14ac:dyDescent="0.25">
      <c r="A2076" s="54" t="s">
        <v>145</v>
      </c>
      <c r="B2076" s="54">
        <v>2006</v>
      </c>
      <c r="C2076" s="54" t="s">
        <v>109</v>
      </c>
      <c r="D2076" s="30">
        <v>11</v>
      </c>
      <c r="E2076" s="54">
        <v>240.9</v>
      </c>
      <c r="F2076" s="54">
        <v>0</v>
      </c>
    </row>
    <row r="2077" spans="1:6" hidden="1" x14ac:dyDescent="0.25">
      <c r="A2077" s="54" t="s">
        <v>145</v>
      </c>
      <c r="B2077" s="54">
        <v>2006</v>
      </c>
      <c r="C2077" s="54" t="s">
        <v>110</v>
      </c>
      <c r="D2077" s="30">
        <v>12</v>
      </c>
      <c r="E2077" s="54">
        <v>372.6</v>
      </c>
      <c r="F2077" s="54">
        <v>0</v>
      </c>
    </row>
    <row r="2078" spans="1:6" hidden="1" x14ac:dyDescent="0.25">
      <c r="A2078" s="53" t="s">
        <v>144</v>
      </c>
      <c r="B2078" s="53">
        <v>2007</v>
      </c>
      <c r="C2078" s="53" t="s">
        <v>99</v>
      </c>
      <c r="D2078" s="30">
        <v>1</v>
      </c>
      <c r="E2078" s="53">
        <v>302.89999999999998</v>
      </c>
      <c r="F2078" s="53">
        <v>0</v>
      </c>
    </row>
    <row r="2079" spans="1:6" hidden="1" x14ac:dyDescent="0.25">
      <c r="A2079" s="54" t="s">
        <v>144</v>
      </c>
      <c r="B2079" s="54">
        <v>2007</v>
      </c>
      <c r="C2079" s="54" t="s">
        <v>100</v>
      </c>
      <c r="D2079" s="30">
        <v>2</v>
      </c>
      <c r="E2079" s="54">
        <v>242.3</v>
      </c>
      <c r="F2079" s="54">
        <v>0</v>
      </c>
    </row>
    <row r="2080" spans="1:6" hidden="1" x14ac:dyDescent="0.25">
      <c r="A2080" s="54" t="s">
        <v>144</v>
      </c>
      <c r="B2080" s="54">
        <v>2007</v>
      </c>
      <c r="C2080" s="54" t="s">
        <v>101</v>
      </c>
      <c r="D2080" s="30">
        <v>3</v>
      </c>
      <c r="E2080" s="54">
        <v>290</v>
      </c>
      <c r="F2080" s="54">
        <v>0.2</v>
      </c>
    </row>
    <row r="2081" spans="1:6" hidden="1" x14ac:dyDescent="0.25">
      <c r="A2081" s="54" t="s">
        <v>144</v>
      </c>
      <c r="B2081" s="54">
        <v>2007</v>
      </c>
      <c r="C2081" s="54" t="s">
        <v>102</v>
      </c>
      <c r="D2081" s="30">
        <v>4</v>
      </c>
      <c r="E2081" s="54">
        <v>117.5</v>
      </c>
      <c r="F2081" s="54">
        <v>20.3</v>
      </c>
    </row>
    <row r="2082" spans="1:6" hidden="1" x14ac:dyDescent="0.25">
      <c r="A2082" s="54" t="s">
        <v>144</v>
      </c>
      <c r="B2082" s="54">
        <v>2007</v>
      </c>
      <c r="C2082" s="54" t="s">
        <v>103</v>
      </c>
      <c r="D2082" s="30">
        <v>5</v>
      </c>
      <c r="E2082" s="54">
        <v>110.9</v>
      </c>
      <c r="F2082" s="54">
        <v>12.3</v>
      </c>
    </row>
    <row r="2083" spans="1:6" hidden="1" x14ac:dyDescent="0.25">
      <c r="A2083" s="54" t="s">
        <v>144</v>
      </c>
      <c r="B2083" s="54">
        <v>2007</v>
      </c>
      <c r="C2083" s="54" t="s">
        <v>104</v>
      </c>
      <c r="D2083" s="30">
        <v>6</v>
      </c>
      <c r="E2083" s="54">
        <v>53.5</v>
      </c>
      <c r="F2083" s="54">
        <v>36.5</v>
      </c>
    </row>
    <row r="2084" spans="1:6" hidden="1" x14ac:dyDescent="0.25">
      <c r="A2084" s="54" t="s">
        <v>144</v>
      </c>
      <c r="B2084" s="54">
        <v>2007</v>
      </c>
      <c r="C2084" s="54" t="s">
        <v>105</v>
      </c>
      <c r="D2084" s="30">
        <v>7</v>
      </c>
      <c r="E2084" s="54">
        <v>49.2</v>
      </c>
      <c r="F2084" s="54">
        <v>33.4</v>
      </c>
    </row>
    <row r="2085" spans="1:6" hidden="1" x14ac:dyDescent="0.25">
      <c r="A2085" s="54" t="s">
        <v>144</v>
      </c>
      <c r="B2085" s="54">
        <v>2007</v>
      </c>
      <c r="C2085" s="54" t="s">
        <v>106</v>
      </c>
      <c r="D2085" s="30">
        <v>8</v>
      </c>
      <c r="E2085" s="54">
        <v>51.5</v>
      </c>
      <c r="F2085" s="54">
        <v>44.1</v>
      </c>
    </row>
    <row r="2086" spans="1:6" hidden="1" x14ac:dyDescent="0.25">
      <c r="A2086" s="54" t="s">
        <v>144</v>
      </c>
      <c r="B2086" s="54">
        <v>2007</v>
      </c>
      <c r="C2086" s="54" t="s">
        <v>107</v>
      </c>
      <c r="D2086" s="30">
        <v>9</v>
      </c>
      <c r="E2086" s="54">
        <v>102.5</v>
      </c>
      <c r="F2086" s="54">
        <v>24.3</v>
      </c>
    </row>
    <row r="2087" spans="1:6" hidden="1" x14ac:dyDescent="0.25">
      <c r="A2087" s="54" t="s">
        <v>144</v>
      </c>
      <c r="B2087" s="54">
        <v>2007</v>
      </c>
      <c r="C2087" s="54" t="s">
        <v>108</v>
      </c>
      <c r="D2087" s="30">
        <v>10</v>
      </c>
      <c r="E2087" s="54">
        <v>172.6</v>
      </c>
      <c r="F2087" s="54">
        <v>7.3</v>
      </c>
    </row>
    <row r="2088" spans="1:6" hidden="1" x14ac:dyDescent="0.25">
      <c r="A2088" s="54" t="s">
        <v>144</v>
      </c>
      <c r="B2088" s="54">
        <v>2007</v>
      </c>
      <c r="C2088" s="54" t="s">
        <v>109</v>
      </c>
      <c r="D2088" s="30">
        <v>11</v>
      </c>
      <c r="E2088" s="54">
        <v>300.7</v>
      </c>
      <c r="F2088" s="54">
        <v>0</v>
      </c>
    </row>
    <row r="2089" spans="1:6" hidden="1" x14ac:dyDescent="0.25">
      <c r="A2089" s="54" t="s">
        <v>144</v>
      </c>
      <c r="B2089" s="54">
        <v>2007</v>
      </c>
      <c r="C2089" s="54" t="s">
        <v>110</v>
      </c>
      <c r="D2089" s="30">
        <v>12</v>
      </c>
      <c r="E2089" s="54">
        <v>382</v>
      </c>
      <c r="F2089" s="54">
        <v>0</v>
      </c>
    </row>
    <row r="2090" spans="1:6" hidden="1" x14ac:dyDescent="0.25">
      <c r="A2090" s="54" t="s">
        <v>145</v>
      </c>
      <c r="B2090" s="54">
        <v>2007</v>
      </c>
      <c r="C2090" s="54" t="s">
        <v>99</v>
      </c>
      <c r="D2090" s="30">
        <v>1</v>
      </c>
      <c r="E2090" s="54">
        <v>306.60000000000002</v>
      </c>
      <c r="F2090" s="54">
        <v>0</v>
      </c>
    </row>
    <row r="2091" spans="1:6" hidden="1" x14ac:dyDescent="0.25">
      <c r="A2091" s="54" t="s">
        <v>145</v>
      </c>
      <c r="B2091" s="54">
        <v>2007</v>
      </c>
      <c r="C2091" s="54" t="s">
        <v>100</v>
      </c>
      <c r="D2091" s="30">
        <v>2</v>
      </c>
      <c r="E2091" s="54">
        <v>241.6</v>
      </c>
      <c r="F2091" s="54">
        <v>0</v>
      </c>
    </row>
    <row r="2092" spans="1:6" hidden="1" x14ac:dyDescent="0.25">
      <c r="A2092" s="54" t="s">
        <v>145</v>
      </c>
      <c r="B2092" s="54">
        <v>2007</v>
      </c>
      <c r="C2092" s="54" t="s">
        <v>101</v>
      </c>
      <c r="D2092" s="30">
        <v>3</v>
      </c>
      <c r="E2092" s="54">
        <v>301.10000000000002</v>
      </c>
      <c r="F2092" s="54">
        <v>0.2</v>
      </c>
    </row>
    <row r="2093" spans="1:6" hidden="1" x14ac:dyDescent="0.25">
      <c r="A2093" s="54" t="s">
        <v>145</v>
      </c>
      <c r="B2093" s="54">
        <v>2007</v>
      </c>
      <c r="C2093" s="54" t="s">
        <v>102</v>
      </c>
      <c r="D2093" s="30">
        <v>4</v>
      </c>
      <c r="E2093" s="54">
        <v>126.6</v>
      </c>
      <c r="F2093" s="54">
        <v>24.3</v>
      </c>
    </row>
    <row r="2094" spans="1:6" hidden="1" x14ac:dyDescent="0.25">
      <c r="A2094" s="54" t="s">
        <v>145</v>
      </c>
      <c r="B2094" s="54">
        <v>2007</v>
      </c>
      <c r="C2094" s="54" t="s">
        <v>103</v>
      </c>
      <c r="D2094" s="30">
        <v>5</v>
      </c>
      <c r="E2094" s="54">
        <v>103.8</v>
      </c>
      <c r="F2094" s="54">
        <v>16.2</v>
      </c>
    </row>
    <row r="2095" spans="1:6" hidden="1" x14ac:dyDescent="0.25">
      <c r="A2095" s="54" t="s">
        <v>145</v>
      </c>
      <c r="B2095" s="54">
        <v>2007</v>
      </c>
      <c r="C2095" s="54" t="s">
        <v>104</v>
      </c>
      <c r="D2095" s="30">
        <v>6</v>
      </c>
      <c r="E2095" s="54">
        <v>46.1</v>
      </c>
      <c r="F2095" s="54">
        <v>43.6</v>
      </c>
    </row>
    <row r="2096" spans="1:6" hidden="1" x14ac:dyDescent="0.25">
      <c r="A2096" s="54" t="s">
        <v>145</v>
      </c>
      <c r="B2096" s="54">
        <v>2007</v>
      </c>
      <c r="C2096" s="54" t="s">
        <v>105</v>
      </c>
      <c r="D2096" s="30">
        <v>7</v>
      </c>
      <c r="E2096" s="54">
        <v>41</v>
      </c>
      <c r="F2096" s="54">
        <v>44.7</v>
      </c>
    </row>
    <row r="2097" spans="1:6" hidden="1" x14ac:dyDescent="0.25">
      <c r="A2097" s="54" t="s">
        <v>145</v>
      </c>
      <c r="B2097" s="54">
        <v>2007</v>
      </c>
      <c r="C2097" s="54" t="s">
        <v>106</v>
      </c>
      <c r="D2097" s="30">
        <v>8</v>
      </c>
      <c r="E2097" s="54">
        <v>52.6</v>
      </c>
      <c r="F2097" s="54">
        <v>42.8</v>
      </c>
    </row>
    <row r="2098" spans="1:6" hidden="1" x14ac:dyDescent="0.25">
      <c r="A2098" s="54" t="s">
        <v>145</v>
      </c>
      <c r="B2098" s="54">
        <v>2007</v>
      </c>
      <c r="C2098" s="54" t="s">
        <v>107</v>
      </c>
      <c r="D2098" s="30">
        <v>9</v>
      </c>
      <c r="E2098" s="54">
        <v>108.2</v>
      </c>
      <c r="F2098" s="54">
        <v>22.4</v>
      </c>
    </row>
    <row r="2099" spans="1:6" hidden="1" x14ac:dyDescent="0.25">
      <c r="A2099" s="54" t="s">
        <v>145</v>
      </c>
      <c r="B2099" s="54">
        <v>2007</v>
      </c>
      <c r="C2099" s="54" t="s">
        <v>108</v>
      </c>
      <c r="D2099" s="30">
        <v>10</v>
      </c>
      <c r="E2099" s="54">
        <v>184.1</v>
      </c>
      <c r="F2099" s="54">
        <v>7.1</v>
      </c>
    </row>
    <row r="2100" spans="1:6" hidden="1" x14ac:dyDescent="0.25">
      <c r="A2100" s="54" t="s">
        <v>145</v>
      </c>
      <c r="B2100" s="54">
        <v>2007</v>
      </c>
      <c r="C2100" s="54" t="s">
        <v>109</v>
      </c>
      <c r="D2100" s="30">
        <v>11</v>
      </c>
      <c r="E2100" s="54">
        <v>308.2</v>
      </c>
      <c r="F2100" s="54">
        <v>0</v>
      </c>
    </row>
    <row r="2101" spans="1:6" hidden="1" x14ac:dyDescent="0.25">
      <c r="A2101" s="54" t="s">
        <v>145</v>
      </c>
      <c r="B2101" s="54">
        <v>2007</v>
      </c>
      <c r="C2101" s="54" t="s">
        <v>110</v>
      </c>
      <c r="D2101" s="30">
        <v>12</v>
      </c>
      <c r="E2101" s="54">
        <v>398</v>
      </c>
      <c r="F2101" s="54">
        <v>0</v>
      </c>
    </row>
    <row r="2102" spans="1:6" hidden="1" x14ac:dyDescent="0.25">
      <c r="A2102" s="53" t="s">
        <v>144</v>
      </c>
      <c r="B2102" s="53">
        <v>2008</v>
      </c>
      <c r="C2102" s="53" t="s">
        <v>99</v>
      </c>
      <c r="D2102" s="30">
        <v>1</v>
      </c>
      <c r="E2102" s="53">
        <v>317.89999999999998</v>
      </c>
      <c r="F2102" s="53">
        <v>0</v>
      </c>
    </row>
    <row r="2103" spans="1:6" hidden="1" x14ac:dyDescent="0.25">
      <c r="A2103" s="54" t="s">
        <v>144</v>
      </c>
      <c r="B2103" s="54">
        <v>2008</v>
      </c>
      <c r="C2103" s="54" t="s">
        <v>100</v>
      </c>
      <c r="D2103" s="30">
        <v>2</v>
      </c>
      <c r="E2103" s="54">
        <v>277.5</v>
      </c>
      <c r="F2103" s="54">
        <v>0</v>
      </c>
    </row>
    <row r="2104" spans="1:6" hidden="1" x14ac:dyDescent="0.25">
      <c r="A2104" s="54" t="s">
        <v>144</v>
      </c>
      <c r="B2104" s="54">
        <v>2008</v>
      </c>
      <c r="C2104" s="54" t="s">
        <v>101</v>
      </c>
      <c r="D2104" s="30">
        <v>3</v>
      </c>
      <c r="E2104" s="54">
        <v>295.2</v>
      </c>
      <c r="F2104" s="54">
        <v>0</v>
      </c>
    </row>
    <row r="2105" spans="1:6" hidden="1" x14ac:dyDescent="0.25">
      <c r="A2105" s="54" t="s">
        <v>144</v>
      </c>
      <c r="B2105" s="54">
        <v>2008</v>
      </c>
      <c r="C2105" s="54" t="s">
        <v>102</v>
      </c>
      <c r="D2105" s="30">
        <v>4</v>
      </c>
      <c r="E2105" s="54">
        <v>226.9</v>
      </c>
      <c r="F2105" s="54">
        <v>1.9</v>
      </c>
    </row>
    <row r="2106" spans="1:6" hidden="1" x14ac:dyDescent="0.25">
      <c r="A2106" s="54" t="s">
        <v>144</v>
      </c>
      <c r="B2106" s="54">
        <v>2008</v>
      </c>
      <c r="C2106" s="54" t="s">
        <v>103</v>
      </c>
      <c r="D2106" s="30">
        <v>5</v>
      </c>
      <c r="E2106" s="54">
        <v>86</v>
      </c>
      <c r="F2106" s="54">
        <v>28.9</v>
      </c>
    </row>
    <row r="2107" spans="1:6" hidden="1" x14ac:dyDescent="0.25">
      <c r="A2107" s="54" t="s">
        <v>144</v>
      </c>
      <c r="B2107" s="54">
        <v>2008</v>
      </c>
      <c r="C2107" s="54" t="s">
        <v>104</v>
      </c>
      <c r="D2107" s="30">
        <v>6</v>
      </c>
      <c r="E2107" s="54">
        <v>65.8</v>
      </c>
      <c r="F2107" s="54">
        <v>39.4</v>
      </c>
    </row>
    <row r="2108" spans="1:6" hidden="1" x14ac:dyDescent="0.25">
      <c r="A2108" s="54" t="s">
        <v>144</v>
      </c>
      <c r="B2108" s="54">
        <v>2008</v>
      </c>
      <c r="C2108" s="54" t="s">
        <v>105</v>
      </c>
      <c r="D2108" s="30">
        <v>7</v>
      </c>
      <c r="E2108" s="54">
        <v>47.9</v>
      </c>
      <c r="F2108" s="54">
        <v>54.8</v>
      </c>
    </row>
    <row r="2109" spans="1:6" hidden="1" x14ac:dyDescent="0.25">
      <c r="A2109" s="54" t="s">
        <v>144</v>
      </c>
      <c r="B2109" s="54">
        <v>2008</v>
      </c>
      <c r="C2109" s="54" t="s">
        <v>106</v>
      </c>
      <c r="D2109" s="30">
        <v>8</v>
      </c>
      <c r="E2109" s="54">
        <v>42.2</v>
      </c>
      <c r="F2109" s="54">
        <v>44.7</v>
      </c>
    </row>
    <row r="2110" spans="1:6" hidden="1" x14ac:dyDescent="0.25">
      <c r="A2110" s="54" t="s">
        <v>144</v>
      </c>
      <c r="B2110" s="54">
        <v>2008</v>
      </c>
      <c r="C2110" s="54" t="s">
        <v>107</v>
      </c>
      <c r="D2110" s="30">
        <v>9</v>
      </c>
      <c r="E2110" s="54">
        <v>107.4</v>
      </c>
      <c r="F2110" s="54">
        <v>13.7</v>
      </c>
    </row>
    <row r="2111" spans="1:6" hidden="1" x14ac:dyDescent="0.25">
      <c r="A2111" s="54" t="s">
        <v>144</v>
      </c>
      <c r="B2111" s="54">
        <v>2008</v>
      </c>
      <c r="C2111" s="54" t="s">
        <v>108</v>
      </c>
      <c r="D2111" s="30">
        <v>10</v>
      </c>
      <c r="E2111" s="54">
        <v>195.4</v>
      </c>
      <c r="F2111" s="54">
        <v>4.0999999999999996</v>
      </c>
    </row>
    <row r="2112" spans="1:6" hidden="1" x14ac:dyDescent="0.25">
      <c r="A2112" s="54" t="s">
        <v>144</v>
      </c>
      <c r="B2112" s="54">
        <v>2008</v>
      </c>
      <c r="C2112" s="54" t="s">
        <v>109</v>
      </c>
      <c r="D2112" s="30">
        <v>11</v>
      </c>
      <c r="E2112" s="54">
        <v>270.39999999999998</v>
      </c>
      <c r="F2112" s="54">
        <v>0</v>
      </c>
    </row>
    <row r="2113" spans="1:6" hidden="1" x14ac:dyDescent="0.25">
      <c r="A2113" s="54" t="s">
        <v>144</v>
      </c>
      <c r="B2113" s="54">
        <v>2008</v>
      </c>
      <c r="C2113" s="54" t="s">
        <v>110</v>
      </c>
      <c r="D2113" s="30">
        <v>12</v>
      </c>
      <c r="E2113" s="54">
        <v>396.8</v>
      </c>
      <c r="F2113" s="54">
        <v>0</v>
      </c>
    </row>
    <row r="2114" spans="1:6" hidden="1" x14ac:dyDescent="0.25">
      <c r="A2114" s="54" t="s">
        <v>145</v>
      </c>
      <c r="B2114" s="54">
        <v>2008</v>
      </c>
      <c r="C2114" s="54" t="s">
        <v>99</v>
      </c>
      <c r="D2114" s="30">
        <v>1</v>
      </c>
      <c r="E2114" s="54">
        <v>324.5</v>
      </c>
      <c r="F2114" s="54">
        <v>0</v>
      </c>
    </row>
    <row r="2115" spans="1:6" hidden="1" x14ac:dyDescent="0.25">
      <c r="A2115" s="54" t="s">
        <v>145</v>
      </c>
      <c r="B2115" s="54">
        <v>2008</v>
      </c>
      <c r="C2115" s="54" t="s">
        <v>100</v>
      </c>
      <c r="D2115" s="30">
        <v>2</v>
      </c>
      <c r="E2115" s="54">
        <v>299</v>
      </c>
      <c r="F2115" s="54">
        <v>0</v>
      </c>
    </row>
    <row r="2116" spans="1:6" hidden="1" x14ac:dyDescent="0.25">
      <c r="A2116" s="54" t="s">
        <v>145</v>
      </c>
      <c r="B2116" s="54">
        <v>2008</v>
      </c>
      <c r="C2116" s="54" t="s">
        <v>101</v>
      </c>
      <c r="D2116" s="30">
        <v>3</v>
      </c>
      <c r="E2116" s="54">
        <v>299.8</v>
      </c>
      <c r="F2116" s="54">
        <v>0</v>
      </c>
    </row>
    <row r="2117" spans="1:6" hidden="1" x14ac:dyDescent="0.25">
      <c r="A2117" s="54" t="s">
        <v>145</v>
      </c>
      <c r="B2117" s="54">
        <v>2008</v>
      </c>
      <c r="C2117" s="54" t="s">
        <v>102</v>
      </c>
      <c r="D2117" s="30">
        <v>4</v>
      </c>
      <c r="E2117" s="54">
        <v>238.2</v>
      </c>
      <c r="F2117" s="54">
        <v>2.1</v>
      </c>
    </row>
    <row r="2118" spans="1:6" hidden="1" x14ac:dyDescent="0.25">
      <c r="A2118" s="54" t="s">
        <v>145</v>
      </c>
      <c r="B2118" s="54">
        <v>2008</v>
      </c>
      <c r="C2118" s="54" t="s">
        <v>103</v>
      </c>
      <c r="D2118" s="30">
        <v>5</v>
      </c>
      <c r="E2118" s="54">
        <v>91.4</v>
      </c>
      <c r="F2118" s="54">
        <v>31</v>
      </c>
    </row>
    <row r="2119" spans="1:6" hidden="1" x14ac:dyDescent="0.25">
      <c r="A2119" s="54" t="s">
        <v>145</v>
      </c>
      <c r="B2119" s="54">
        <v>2008</v>
      </c>
      <c r="C2119" s="54" t="s">
        <v>104</v>
      </c>
      <c r="D2119" s="30">
        <v>6</v>
      </c>
      <c r="E2119" s="54">
        <v>65.2</v>
      </c>
      <c r="F2119" s="54">
        <v>43.8</v>
      </c>
    </row>
    <row r="2120" spans="1:6" hidden="1" x14ac:dyDescent="0.25">
      <c r="A2120" s="54" t="s">
        <v>145</v>
      </c>
      <c r="B2120" s="54">
        <v>2008</v>
      </c>
      <c r="C2120" s="54" t="s">
        <v>105</v>
      </c>
      <c r="D2120" s="30">
        <v>7</v>
      </c>
      <c r="E2120" s="54">
        <v>41.7</v>
      </c>
      <c r="F2120" s="54">
        <v>72.599999999999994</v>
      </c>
    </row>
    <row r="2121" spans="1:6" hidden="1" x14ac:dyDescent="0.25">
      <c r="A2121" s="54" t="s">
        <v>145</v>
      </c>
      <c r="B2121" s="54">
        <v>2008</v>
      </c>
      <c r="C2121" s="54" t="s">
        <v>106</v>
      </c>
      <c r="D2121" s="30">
        <v>8</v>
      </c>
      <c r="E2121" s="54">
        <v>35.799999999999997</v>
      </c>
      <c r="F2121" s="54">
        <v>61.5</v>
      </c>
    </row>
    <row r="2122" spans="1:6" hidden="1" x14ac:dyDescent="0.25">
      <c r="A2122" s="54" t="s">
        <v>145</v>
      </c>
      <c r="B2122" s="54">
        <v>2008</v>
      </c>
      <c r="C2122" s="54" t="s">
        <v>107</v>
      </c>
      <c r="D2122" s="30">
        <v>9</v>
      </c>
      <c r="E2122" s="54">
        <v>115.6</v>
      </c>
      <c r="F2122" s="54">
        <v>13.6</v>
      </c>
    </row>
    <row r="2123" spans="1:6" hidden="1" x14ac:dyDescent="0.25">
      <c r="A2123" s="54" t="s">
        <v>145</v>
      </c>
      <c r="B2123" s="54">
        <v>2008</v>
      </c>
      <c r="C2123" s="54" t="s">
        <v>108</v>
      </c>
      <c r="D2123" s="30">
        <v>10</v>
      </c>
      <c r="E2123" s="54">
        <v>199.8</v>
      </c>
      <c r="F2123" s="54">
        <v>4.5999999999999996</v>
      </c>
    </row>
    <row r="2124" spans="1:6" hidden="1" x14ac:dyDescent="0.25">
      <c r="A2124" s="54" t="s">
        <v>145</v>
      </c>
      <c r="B2124" s="54">
        <v>2008</v>
      </c>
      <c r="C2124" s="54" t="s">
        <v>109</v>
      </c>
      <c r="D2124" s="30">
        <v>11</v>
      </c>
      <c r="E2124" s="54">
        <v>273.10000000000002</v>
      </c>
      <c r="F2124" s="54">
        <v>0</v>
      </c>
    </row>
    <row r="2125" spans="1:6" hidden="1" x14ac:dyDescent="0.25">
      <c r="A2125" s="54" t="s">
        <v>145</v>
      </c>
      <c r="B2125" s="54">
        <v>2008</v>
      </c>
      <c r="C2125" s="54" t="s">
        <v>110</v>
      </c>
      <c r="D2125" s="30">
        <v>12</v>
      </c>
      <c r="E2125" s="54">
        <v>414.8</v>
      </c>
      <c r="F2125" s="54">
        <v>0</v>
      </c>
    </row>
    <row r="2126" spans="1:6" hidden="1" x14ac:dyDescent="0.25">
      <c r="A2126" s="53" t="s">
        <v>144</v>
      </c>
      <c r="B2126" s="53">
        <v>2009</v>
      </c>
      <c r="C2126" s="53" t="s">
        <v>99</v>
      </c>
      <c r="D2126" s="30">
        <v>1</v>
      </c>
      <c r="E2126" s="53">
        <v>432.6</v>
      </c>
      <c r="F2126" s="53">
        <v>0</v>
      </c>
    </row>
    <row r="2127" spans="1:6" hidden="1" x14ac:dyDescent="0.25">
      <c r="A2127" s="54" t="s">
        <v>144</v>
      </c>
      <c r="B2127" s="54">
        <v>2009</v>
      </c>
      <c r="C2127" s="54" t="s">
        <v>100</v>
      </c>
      <c r="D2127" s="30">
        <v>2</v>
      </c>
      <c r="E2127" s="54">
        <v>339.3</v>
      </c>
      <c r="F2127" s="54">
        <v>0</v>
      </c>
    </row>
    <row r="2128" spans="1:6" hidden="1" x14ac:dyDescent="0.25">
      <c r="A2128" s="54" t="s">
        <v>144</v>
      </c>
      <c r="B2128" s="54">
        <v>2009</v>
      </c>
      <c r="C2128" s="54" t="s">
        <v>101</v>
      </c>
      <c r="D2128" s="30">
        <v>3</v>
      </c>
      <c r="E2128" s="54">
        <v>290.8</v>
      </c>
      <c r="F2128" s="54">
        <v>0.4</v>
      </c>
    </row>
    <row r="2129" spans="1:6" hidden="1" x14ac:dyDescent="0.25">
      <c r="A2129" s="54" t="s">
        <v>144</v>
      </c>
      <c r="B2129" s="54">
        <v>2009</v>
      </c>
      <c r="C2129" s="54" t="s">
        <v>102</v>
      </c>
      <c r="D2129" s="30">
        <v>4</v>
      </c>
      <c r="E2129" s="54">
        <v>207.8</v>
      </c>
      <c r="F2129" s="54">
        <v>2.2000000000000002</v>
      </c>
    </row>
    <row r="2130" spans="1:6" hidden="1" x14ac:dyDescent="0.25">
      <c r="A2130" s="54" t="s">
        <v>144</v>
      </c>
      <c r="B2130" s="54">
        <v>2009</v>
      </c>
      <c r="C2130" s="54" t="s">
        <v>103</v>
      </c>
      <c r="D2130" s="30">
        <v>5</v>
      </c>
      <c r="E2130" s="54">
        <v>112.2</v>
      </c>
      <c r="F2130" s="54">
        <v>20.6</v>
      </c>
    </row>
    <row r="2131" spans="1:6" hidden="1" x14ac:dyDescent="0.25">
      <c r="A2131" s="54" t="s">
        <v>144</v>
      </c>
      <c r="B2131" s="54">
        <v>2009</v>
      </c>
      <c r="C2131" s="54" t="s">
        <v>104</v>
      </c>
      <c r="D2131" s="30">
        <v>6</v>
      </c>
      <c r="E2131" s="54">
        <v>55.6</v>
      </c>
      <c r="F2131" s="54">
        <v>64.7</v>
      </c>
    </row>
    <row r="2132" spans="1:6" hidden="1" x14ac:dyDescent="0.25">
      <c r="A2132" s="54" t="s">
        <v>144</v>
      </c>
      <c r="B2132" s="54">
        <v>2009</v>
      </c>
      <c r="C2132" s="54" t="s">
        <v>105</v>
      </c>
      <c r="D2132" s="30">
        <v>7</v>
      </c>
      <c r="E2132" s="54">
        <v>50.3</v>
      </c>
      <c r="F2132" s="54">
        <v>61.9</v>
      </c>
    </row>
    <row r="2133" spans="1:6" hidden="1" x14ac:dyDescent="0.25">
      <c r="A2133" s="54" t="s">
        <v>144</v>
      </c>
      <c r="B2133" s="54">
        <v>2009</v>
      </c>
      <c r="C2133" s="54" t="s">
        <v>106</v>
      </c>
      <c r="D2133" s="30">
        <v>8</v>
      </c>
      <c r="E2133" s="54">
        <v>37.200000000000003</v>
      </c>
      <c r="F2133" s="54">
        <v>95</v>
      </c>
    </row>
    <row r="2134" spans="1:6" hidden="1" x14ac:dyDescent="0.25">
      <c r="A2134" s="54" t="s">
        <v>144</v>
      </c>
      <c r="B2134" s="54">
        <v>2009</v>
      </c>
      <c r="C2134" s="54" t="s">
        <v>107</v>
      </c>
      <c r="D2134" s="30">
        <v>9</v>
      </c>
      <c r="E2134" s="54">
        <v>56.3</v>
      </c>
      <c r="F2134" s="54">
        <v>50.4</v>
      </c>
    </row>
    <row r="2135" spans="1:6" hidden="1" x14ac:dyDescent="0.25">
      <c r="A2135" s="54" t="s">
        <v>144</v>
      </c>
      <c r="B2135" s="54">
        <v>2009</v>
      </c>
      <c r="C2135" s="54" t="s">
        <v>108</v>
      </c>
      <c r="D2135" s="30">
        <v>10</v>
      </c>
      <c r="E2135" s="54">
        <v>141.5</v>
      </c>
      <c r="F2135" s="54">
        <v>12.1</v>
      </c>
    </row>
    <row r="2136" spans="1:6" hidden="1" x14ac:dyDescent="0.25">
      <c r="A2136" s="54" t="s">
        <v>144</v>
      </c>
      <c r="B2136" s="54">
        <v>2009</v>
      </c>
      <c r="C2136" s="54" t="s">
        <v>109</v>
      </c>
      <c r="D2136" s="30">
        <v>11</v>
      </c>
      <c r="E2136" s="54">
        <v>208.4</v>
      </c>
      <c r="F2136" s="54">
        <v>0</v>
      </c>
    </row>
    <row r="2137" spans="1:6" hidden="1" x14ac:dyDescent="0.25">
      <c r="A2137" s="54" t="s">
        <v>144</v>
      </c>
      <c r="B2137" s="54">
        <v>2009</v>
      </c>
      <c r="C2137" s="54" t="s">
        <v>110</v>
      </c>
      <c r="D2137" s="30">
        <v>12</v>
      </c>
      <c r="E2137" s="54">
        <v>384.4</v>
      </c>
      <c r="F2137" s="54">
        <v>0</v>
      </c>
    </row>
    <row r="2138" spans="1:6" hidden="1" x14ac:dyDescent="0.25">
      <c r="A2138" s="54" t="s">
        <v>145</v>
      </c>
      <c r="B2138" s="54">
        <v>2009</v>
      </c>
      <c r="C2138" s="54" t="s">
        <v>99</v>
      </c>
      <c r="D2138" s="30">
        <v>1</v>
      </c>
      <c r="E2138" s="54">
        <v>459.4</v>
      </c>
      <c r="F2138" s="54">
        <v>0</v>
      </c>
    </row>
    <row r="2139" spans="1:6" hidden="1" x14ac:dyDescent="0.25">
      <c r="A2139" s="54" t="s">
        <v>145</v>
      </c>
      <c r="B2139" s="54">
        <v>2009</v>
      </c>
      <c r="C2139" s="54" t="s">
        <v>100</v>
      </c>
      <c r="D2139" s="30">
        <v>2</v>
      </c>
      <c r="E2139" s="54">
        <v>353.4</v>
      </c>
      <c r="F2139" s="54">
        <v>0</v>
      </c>
    </row>
    <row r="2140" spans="1:6" hidden="1" x14ac:dyDescent="0.25">
      <c r="A2140" s="54" t="s">
        <v>145</v>
      </c>
      <c r="B2140" s="54">
        <v>2009</v>
      </c>
      <c r="C2140" s="54" t="s">
        <v>101</v>
      </c>
      <c r="D2140" s="30">
        <v>3</v>
      </c>
      <c r="E2140" s="54">
        <v>299.7</v>
      </c>
      <c r="F2140" s="54">
        <v>0.2</v>
      </c>
    </row>
    <row r="2141" spans="1:6" hidden="1" x14ac:dyDescent="0.25">
      <c r="A2141" s="54" t="s">
        <v>145</v>
      </c>
      <c r="B2141" s="54">
        <v>2009</v>
      </c>
      <c r="C2141" s="54" t="s">
        <v>102</v>
      </c>
      <c r="D2141" s="30">
        <v>4</v>
      </c>
      <c r="E2141" s="54">
        <v>203.2</v>
      </c>
      <c r="F2141" s="54">
        <v>2.2000000000000002</v>
      </c>
    </row>
    <row r="2142" spans="1:6" hidden="1" x14ac:dyDescent="0.25">
      <c r="A2142" s="54" t="s">
        <v>145</v>
      </c>
      <c r="B2142" s="54">
        <v>2009</v>
      </c>
      <c r="C2142" s="54" t="s">
        <v>103</v>
      </c>
      <c r="D2142" s="30">
        <v>5</v>
      </c>
      <c r="E2142" s="54">
        <v>111</v>
      </c>
      <c r="F2142" s="54">
        <v>22.3</v>
      </c>
    </row>
    <row r="2143" spans="1:6" hidden="1" x14ac:dyDescent="0.25">
      <c r="A2143" s="54" t="s">
        <v>145</v>
      </c>
      <c r="B2143" s="54">
        <v>2009</v>
      </c>
      <c r="C2143" s="54" t="s">
        <v>104</v>
      </c>
      <c r="D2143" s="30">
        <v>6</v>
      </c>
      <c r="E2143" s="54">
        <v>62</v>
      </c>
      <c r="F2143" s="54">
        <v>61</v>
      </c>
    </row>
    <row r="2144" spans="1:6" hidden="1" x14ac:dyDescent="0.25">
      <c r="A2144" s="54" t="s">
        <v>145</v>
      </c>
      <c r="B2144" s="54">
        <v>2009</v>
      </c>
      <c r="C2144" s="54" t="s">
        <v>105</v>
      </c>
      <c r="D2144" s="30">
        <v>7</v>
      </c>
      <c r="E2144" s="54">
        <v>36.299999999999997</v>
      </c>
      <c r="F2144" s="54">
        <v>79.5</v>
      </c>
    </row>
    <row r="2145" spans="1:6" hidden="1" x14ac:dyDescent="0.25">
      <c r="A2145" s="54" t="s">
        <v>145</v>
      </c>
      <c r="B2145" s="54">
        <v>2009</v>
      </c>
      <c r="C2145" s="54" t="s">
        <v>106</v>
      </c>
      <c r="D2145" s="30">
        <v>8</v>
      </c>
      <c r="E2145" s="54">
        <v>31.7</v>
      </c>
      <c r="F2145" s="54">
        <v>106.9</v>
      </c>
    </row>
    <row r="2146" spans="1:6" hidden="1" x14ac:dyDescent="0.25">
      <c r="A2146" s="54" t="s">
        <v>145</v>
      </c>
      <c r="B2146" s="54">
        <v>2009</v>
      </c>
      <c r="C2146" s="54" t="s">
        <v>107</v>
      </c>
      <c r="D2146" s="30">
        <v>9</v>
      </c>
      <c r="E2146" s="54">
        <v>64.8</v>
      </c>
      <c r="F2146" s="54">
        <v>45</v>
      </c>
    </row>
    <row r="2147" spans="1:6" hidden="1" x14ac:dyDescent="0.25">
      <c r="A2147" s="54" t="s">
        <v>145</v>
      </c>
      <c r="B2147" s="54">
        <v>2009</v>
      </c>
      <c r="C2147" s="54" t="s">
        <v>108</v>
      </c>
      <c r="D2147" s="30">
        <v>10</v>
      </c>
      <c r="E2147" s="54">
        <v>150</v>
      </c>
      <c r="F2147" s="54">
        <v>12.7</v>
      </c>
    </row>
    <row r="2148" spans="1:6" hidden="1" x14ac:dyDescent="0.25">
      <c r="A2148" s="54" t="s">
        <v>145</v>
      </c>
      <c r="B2148" s="54">
        <v>2009</v>
      </c>
      <c r="C2148" s="54" t="s">
        <v>109</v>
      </c>
      <c r="D2148" s="30">
        <v>11</v>
      </c>
      <c r="E2148" s="54">
        <v>212.6</v>
      </c>
      <c r="F2148" s="54">
        <v>0</v>
      </c>
    </row>
    <row r="2149" spans="1:6" hidden="1" x14ac:dyDescent="0.25">
      <c r="A2149" s="54" t="s">
        <v>145</v>
      </c>
      <c r="B2149" s="54">
        <v>2009</v>
      </c>
      <c r="C2149" s="54" t="s">
        <v>110</v>
      </c>
      <c r="D2149" s="30">
        <v>12</v>
      </c>
      <c r="E2149" s="54">
        <v>397.6</v>
      </c>
      <c r="F2149" s="54">
        <v>0</v>
      </c>
    </row>
    <row r="2150" spans="1:6" hidden="1" x14ac:dyDescent="0.25">
      <c r="A2150" s="53" t="s">
        <v>144</v>
      </c>
      <c r="B2150" s="53">
        <v>2010</v>
      </c>
      <c r="C2150" s="53" t="s">
        <v>99</v>
      </c>
      <c r="D2150" s="30">
        <v>1</v>
      </c>
      <c r="E2150" s="53">
        <v>461.3</v>
      </c>
      <c r="F2150" s="53">
        <v>0</v>
      </c>
    </row>
    <row r="2151" spans="1:6" hidden="1" x14ac:dyDescent="0.25">
      <c r="A2151" s="54" t="s">
        <v>144</v>
      </c>
      <c r="B2151" s="54">
        <v>2010</v>
      </c>
      <c r="C2151" s="54" t="s">
        <v>100</v>
      </c>
      <c r="D2151" s="30">
        <v>2</v>
      </c>
      <c r="E2151" s="54">
        <v>353.5</v>
      </c>
      <c r="F2151" s="54">
        <v>0</v>
      </c>
    </row>
    <row r="2152" spans="1:6" hidden="1" x14ac:dyDescent="0.25">
      <c r="A2152" s="54" t="s">
        <v>144</v>
      </c>
      <c r="B2152" s="54">
        <v>2010</v>
      </c>
      <c r="C2152" s="54" t="s">
        <v>101</v>
      </c>
      <c r="D2152" s="30">
        <v>3</v>
      </c>
      <c r="E2152" s="54">
        <v>312.89999999999998</v>
      </c>
      <c r="F2152" s="54">
        <v>0.2</v>
      </c>
    </row>
    <row r="2153" spans="1:6" hidden="1" x14ac:dyDescent="0.25">
      <c r="A2153" s="54" t="s">
        <v>144</v>
      </c>
      <c r="B2153" s="54">
        <v>2010</v>
      </c>
      <c r="C2153" s="54" t="s">
        <v>102</v>
      </c>
      <c r="D2153" s="30">
        <v>4</v>
      </c>
      <c r="E2153" s="54">
        <v>182.4</v>
      </c>
      <c r="F2153" s="54">
        <v>7.4</v>
      </c>
    </row>
    <row r="2154" spans="1:6" hidden="1" x14ac:dyDescent="0.25">
      <c r="A2154" s="54" t="s">
        <v>144</v>
      </c>
      <c r="B2154" s="54">
        <v>2010</v>
      </c>
      <c r="C2154" s="54" t="s">
        <v>103</v>
      </c>
      <c r="D2154" s="30">
        <v>5</v>
      </c>
      <c r="E2154" s="54">
        <v>154.80000000000001</v>
      </c>
      <c r="F2154" s="54">
        <v>22.4</v>
      </c>
    </row>
    <row r="2155" spans="1:6" hidden="1" x14ac:dyDescent="0.25">
      <c r="A2155" s="54" t="s">
        <v>144</v>
      </c>
      <c r="B2155" s="54">
        <v>2010</v>
      </c>
      <c r="C2155" s="54" t="s">
        <v>104</v>
      </c>
      <c r="D2155" s="30">
        <v>6</v>
      </c>
      <c r="E2155" s="54">
        <v>46.4</v>
      </c>
      <c r="F2155" s="54">
        <v>66.400000000000006</v>
      </c>
    </row>
    <row r="2156" spans="1:6" hidden="1" x14ac:dyDescent="0.25">
      <c r="A2156" s="54" t="s">
        <v>144</v>
      </c>
      <c r="B2156" s="54">
        <v>2010</v>
      </c>
      <c r="C2156" s="54" t="s">
        <v>105</v>
      </c>
      <c r="D2156" s="30">
        <v>7</v>
      </c>
      <c r="E2156" s="54">
        <v>25.6</v>
      </c>
      <c r="F2156" s="54">
        <v>102</v>
      </c>
    </row>
    <row r="2157" spans="1:6" hidden="1" x14ac:dyDescent="0.25">
      <c r="A2157" s="54" t="s">
        <v>144</v>
      </c>
      <c r="B2157" s="54">
        <v>2010</v>
      </c>
      <c r="C2157" s="54" t="s">
        <v>106</v>
      </c>
      <c r="D2157" s="30">
        <v>8</v>
      </c>
      <c r="E2157" s="54">
        <v>47.9</v>
      </c>
      <c r="F2157" s="54">
        <v>64.599999999999994</v>
      </c>
    </row>
    <row r="2158" spans="1:6" hidden="1" x14ac:dyDescent="0.25">
      <c r="A2158" s="54" t="s">
        <v>144</v>
      </c>
      <c r="B2158" s="54">
        <v>2010</v>
      </c>
      <c r="C2158" s="54" t="s">
        <v>107</v>
      </c>
      <c r="D2158" s="30">
        <v>9</v>
      </c>
      <c r="E2158" s="54">
        <v>92.3</v>
      </c>
      <c r="F2158" s="54">
        <v>43.5</v>
      </c>
    </row>
    <row r="2159" spans="1:6" hidden="1" x14ac:dyDescent="0.25">
      <c r="A2159" s="54" t="s">
        <v>144</v>
      </c>
      <c r="B2159" s="54">
        <v>2010</v>
      </c>
      <c r="C2159" s="54" t="s">
        <v>108</v>
      </c>
      <c r="D2159" s="30">
        <v>10</v>
      </c>
      <c r="E2159" s="54">
        <v>174.5</v>
      </c>
      <c r="F2159" s="54">
        <v>11.4</v>
      </c>
    </row>
    <row r="2160" spans="1:6" hidden="1" x14ac:dyDescent="0.25">
      <c r="A2160" s="54" t="s">
        <v>144</v>
      </c>
      <c r="B2160" s="54">
        <v>2010</v>
      </c>
      <c r="C2160" s="54" t="s">
        <v>109</v>
      </c>
      <c r="D2160" s="30">
        <v>11</v>
      </c>
      <c r="E2160" s="54">
        <v>299</v>
      </c>
      <c r="F2160" s="54">
        <v>0</v>
      </c>
    </row>
    <row r="2161" spans="1:6" hidden="1" x14ac:dyDescent="0.25">
      <c r="A2161" s="54" t="s">
        <v>144</v>
      </c>
      <c r="B2161" s="54">
        <v>2010</v>
      </c>
      <c r="C2161" s="54" t="s">
        <v>110</v>
      </c>
      <c r="D2161" s="30">
        <v>12</v>
      </c>
      <c r="E2161" s="54">
        <v>479.1</v>
      </c>
      <c r="F2161" s="54">
        <v>0</v>
      </c>
    </row>
    <row r="2162" spans="1:6" hidden="1" x14ac:dyDescent="0.25">
      <c r="A2162" s="54" t="s">
        <v>145</v>
      </c>
      <c r="B2162" s="54">
        <v>2010</v>
      </c>
      <c r="C2162" s="54" t="s">
        <v>99</v>
      </c>
      <c r="D2162" s="30">
        <v>1</v>
      </c>
      <c r="E2162" s="54">
        <v>476.2</v>
      </c>
      <c r="F2162" s="54">
        <v>0</v>
      </c>
    </row>
    <row r="2163" spans="1:6" hidden="1" x14ac:dyDescent="0.25">
      <c r="A2163" s="54" t="s">
        <v>145</v>
      </c>
      <c r="B2163" s="54">
        <v>2010</v>
      </c>
      <c r="C2163" s="54" t="s">
        <v>100</v>
      </c>
      <c r="D2163" s="30">
        <v>2</v>
      </c>
      <c r="E2163" s="54">
        <v>359.6</v>
      </c>
      <c r="F2163" s="54">
        <v>0</v>
      </c>
    </row>
    <row r="2164" spans="1:6" hidden="1" x14ac:dyDescent="0.25">
      <c r="A2164" s="54" t="s">
        <v>145</v>
      </c>
      <c r="B2164" s="54">
        <v>2010</v>
      </c>
      <c r="C2164" s="54" t="s">
        <v>101</v>
      </c>
      <c r="D2164" s="30">
        <v>3</v>
      </c>
      <c r="E2164" s="54">
        <v>306.60000000000002</v>
      </c>
      <c r="F2164" s="54">
        <v>0.5</v>
      </c>
    </row>
    <row r="2165" spans="1:6" hidden="1" x14ac:dyDescent="0.25">
      <c r="A2165" s="54" t="s">
        <v>145</v>
      </c>
      <c r="B2165" s="54">
        <v>2010</v>
      </c>
      <c r="C2165" s="54" t="s">
        <v>102</v>
      </c>
      <c r="D2165" s="30">
        <v>4</v>
      </c>
      <c r="E2165" s="54">
        <v>195.3</v>
      </c>
      <c r="F2165" s="54">
        <v>8.3000000000000007</v>
      </c>
    </row>
    <row r="2166" spans="1:6" hidden="1" x14ac:dyDescent="0.25">
      <c r="A2166" s="54" t="s">
        <v>145</v>
      </c>
      <c r="B2166" s="54">
        <v>2010</v>
      </c>
      <c r="C2166" s="54" t="s">
        <v>103</v>
      </c>
      <c r="D2166" s="30">
        <v>5</v>
      </c>
      <c r="E2166" s="54">
        <v>164.5</v>
      </c>
      <c r="F2166" s="54">
        <v>21.7</v>
      </c>
    </row>
    <row r="2167" spans="1:6" hidden="1" x14ac:dyDescent="0.25">
      <c r="A2167" s="54" t="s">
        <v>145</v>
      </c>
      <c r="B2167" s="54">
        <v>2010</v>
      </c>
      <c r="C2167" s="54" t="s">
        <v>104</v>
      </c>
      <c r="D2167" s="30">
        <v>6</v>
      </c>
      <c r="E2167" s="54">
        <v>47.6</v>
      </c>
      <c r="F2167" s="54">
        <v>66.099999999999994</v>
      </c>
    </row>
    <row r="2168" spans="1:6" hidden="1" x14ac:dyDescent="0.25">
      <c r="A2168" s="54" t="s">
        <v>145</v>
      </c>
      <c r="B2168" s="54">
        <v>2010</v>
      </c>
      <c r="C2168" s="54" t="s">
        <v>105</v>
      </c>
      <c r="D2168" s="30">
        <v>7</v>
      </c>
      <c r="E2168" s="54">
        <v>21.1</v>
      </c>
      <c r="F2168" s="54">
        <v>127.1</v>
      </c>
    </row>
    <row r="2169" spans="1:6" hidden="1" x14ac:dyDescent="0.25">
      <c r="A2169" s="54" t="s">
        <v>145</v>
      </c>
      <c r="B2169" s="54">
        <v>2010</v>
      </c>
      <c r="C2169" s="54" t="s">
        <v>106</v>
      </c>
      <c r="D2169" s="30">
        <v>8</v>
      </c>
      <c r="E2169" s="54">
        <v>38.299999999999997</v>
      </c>
      <c r="F2169" s="54">
        <v>80.2</v>
      </c>
    </row>
    <row r="2170" spans="1:6" hidden="1" x14ac:dyDescent="0.25">
      <c r="A2170" s="54" t="s">
        <v>145</v>
      </c>
      <c r="B2170" s="54">
        <v>2010</v>
      </c>
      <c r="C2170" s="54" t="s">
        <v>107</v>
      </c>
      <c r="D2170" s="30">
        <v>9</v>
      </c>
      <c r="E2170" s="54">
        <v>88.7</v>
      </c>
      <c r="F2170" s="54">
        <v>43.5</v>
      </c>
    </row>
    <row r="2171" spans="1:6" hidden="1" x14ac:dyDescent="0.25">
      <c r="A2171" s="54" t="s">
        <v>145</v>
      </c>
      <c r="B2171" s="54">
        <v>2010</v>
      </c>
      <c r="C2171" s="54" t="s">
        <v>108</v>
      </c>
      <c r="D2171" s="30">
        <v>10</v>
      </c>
      <c r="E2171" s="54">
        <v>180.9</v>
      </c>
      <c r="F2171" s="54">
        <v>10.9</v>
      </c>
    </row>
    <row r="2172" spans="1:6" hidden="1" x14ac:dyDescent="0.25">
      <c r="A2172" s="54" t="s">
        <v>145</v>
      </c>
      <c r="B2172" s="54">
        <v>2010</v>
      </c>
      <c r="C2172" s="54" t="s">
        <v>109</v>
      </c>
      <c r="D2172" s="30">
        <v>11</v>
      </c>
      <c r="E2172" s="54">
        <v>297.7</v>
      </c>
      <c r="F2172" s="54">
        <v>0.1</v>
      </c>
    </row>
    <row r="2173" spans="1:6" hidden="1" x14ac:dyDescent="0.25">
      <c r="A2173" s="54" t="s">
        <v>145</v>
      </c>
      <c r="B2173" s="54">
        <v>2010</v>
      </c>
      <c r="C2173" s="54" t="s">
        <v>110</v>
      </c>
      <c r="D2173" s="30">
        <v>12</v>
      </c>
      <c r="E2173" s="54">
        <v>493.1</v>
      </c>
      <c r="F2173" s="54">
        <v>0</v>
      </c>
    </row>
    <row r="2174" spans="1:6" hidden="1" x14ac:dyDescent="0.25">
      <c r="A2174" s="53" t="s">
        <v>144</v>
      </c>
      <c r="B2174" s="53">
        <v>2011</v>
      </c>
      <c r="C2174" s="53" t="s">
        <v>99</v>
      </c>
      <c r="D2174" s="30">
        <v>1</v>
      </c>
      <c r="E2174" s="53">
        <v>377.7</v>
      </c>
      <c r="F2174" s="53">
        <v>0</v>
      </c>
    </row>
    <row r="2175" spans="1:6" hidden="1" x14ac:dyDescent="0.25">
      <c r="A2175" s="54" t="s">
        <v>144</v>
      </c>
      <c r="B2175" s="54">
        <v>2011</v>
      </c>
      <c r="C2175" s="54" t="s">
        <v>100</v>
      </c>
      <c r="D2175" s="30">
        <v>2</v>
      </c>
      <c r="E2175" s="54">
        <v>271.3</v>
      </c>
      <c r="F2175" s="54">
        <v>0</v>
      </c>
    </row>
    <row r="2176" spans="1:6" hidden="1" x14ac:dyDescent="0.25">
      <c r="A2176" s="54" t="s">
        <v>144</v>
      </c>
      <c r="B2176" s="54">
        <v>2011</v>
      </c>
      <c r="C2176" s="54" t="s">
        <v>101</v>
      </c>
      <c r="D2176" s="30">
        <v>3</v>
      </c>
      <c r="E2176" s="54">
        <v>256.39999999999998</v>
      </c>
      <c r="F2176" s="54">
        <v>1</v>
      </c>
    </row>
    <row r="2177" spans="1:6" hidden="1" x14ac:dyDescent="0.25">
      <c r="A2177" s="54" t="s">
        <v>144</v>
      </c>
      <c r="B2177" s="54">
        <v>2011</v>
      </c>
      <c r="C2177" s="54" t="s">
        <v>102</v>
      </c>
      <c r="D2177" s="30">
        <v>4</v>
      </c>
      <c r="E2177" s="54">
        <v>123.5</v>
      </c>
      <c r="F2177" s="54">
        <v>24.8</v>
      </c>
    </row>
    <row r="2178" spans="1:6" hidden="1" x14ac:dyDescent="0.25">
      <c r="A2178" s="54" t="s">
        <v>144</v>
      </c>
      <c r="B2178" s="54">
        <v>2011</v>
      </c>
      <c r="C2178" s="54" t="s">
        <v>103</v>
      </c>
      <c r="D2178" s="30">
        <v>5</v>
      </c>
      <c r="E2178" s="54">
        <v>98.5</v>
      </c>
      <c r="F2178" s="54">
        <v>27.2</v>
      </c>
    </row>
    <row r="2179" spans="1:6" hidden="1" x14ac:dyDescent="0.25">
      <c r="A2179" s="54" t="s">
        <v>144</v>
      </c>
      <c r="B2179" s="54">
        <v>2011</v>
      </c>
      <c r="C2179" s="54" t="s">
        <v>104</v>
      </c>
      <c r="D2179" s="30">
        <v>6</v>
      </c>
      <c r="E2179" s="54">
        <v>67.099999999999994</v>
      </c>
      <c r="F2179" s="54">
        <v>46.3</v>
      </c>
    </row>
    <row r="2180" spans="1:6" hidden="1" x14ac:dyDescent="0.25">
      <c r="A2180" s="54" t="s">
        <v>144</v>
      </c>
      <c r="B2180" s="54">
        <v>2011</v>
      </c>
      <c r="C2180" s="54" t="s">
        <v>105</v>
      </c>
      <c r="D2180" s="30">
        <v>7</v>
      </c>
      <c r="E2180" s="54">
        <v>53</v>
      </c>
      <c r="F2180" s="54">
        <v>49.4</v>
      </c>
    </row>
    <row r="2181" spans="1:6" hidden="1" x14ac:dyDescent="0.25">
      <c r="A2181" s="54" t="s">
        <v>144</v>
      </c>
      <c r="B2181" s="54">
        <v>2011</v>
      </c>
      <c r="C2181" s="54" t="s">
        <v>106</v>
      </c>
      <c r="D2181" s="30">
        <v>8</v>
      </c>
      <c r="E2181" s="54">
        <v>39.1</v>
      </c>
      <c r="F2181" s="54">
        <v>59.2</v>
      </c>
    </row>
    <row r="2182" spans="1:6" hidden="1" x14ac:dyDescent="0.25">
      <c r="A2182" s="54" t="s">
        <v>144</v>
      </c>
      <c r="B2182" s="54">
        <v>2011</v>
      </c>
      <c r="C2182" s="54" t="s">
        <v>107</v>
      </c>
      <c r="D2182" s="30">
        <v>9</v>
      </c>
      <c r="E2182" s="54">
        <v>51.9</v>
      </c>
      <c r="F2182" s="54">
        <v>49.4</v>
      </c>
    </row>
    <row r="2183" spans="1:6" hidden="1" x14ac:dyDescent="0.25">
      <c r="A2183" s="54" t="s">
        <v>144</v>
      </c>
      <c r="B2183" s="54">
        <v>2011</v>
      </c>
      <c r="C2183" s="54" t="s">
        <v>108</v>
      </c>
      <c r="D2183" s="30">
        <v>10</v>
      </c>
      <c r="E2183" s="54">
        <v>131.30000000000001</v>
      </c>
      <c r="F2183" s="54">
        <v>16.5</v>
      </c>
    </row>
    <row r="2184" spans="1:6" hidden="1" x14ac:dyDescent="0.25">
      <c r="A2184" s="54" t="s">
        <v>144</v>
      </c>
      <c r="B2184" s="54">
        <v>2011</v>
      </c>
      <c r="C2184" s="54" t="s">
        <v>109</v>
      </c>
      <c r="D2184" s="30">
        <v>11</v>
      </c>
      <c r="E2184" s="54">
        <v>169.3</v>
      </c>
      <c r="F2184" s="54">
        <v>0.6</v>
      </c>
    </row>
    <row r="2185" spans="1:6" hidden="1" x14ac:dyDescent="0.25">
      <c r="A2185" s="54" t="s">
        <v>144</v>
      </c>
      <c r="B2185" s="54">
        <v>2011</v>
      </c>
      <c r="C2185" s="54" t="s">
        <v>110</v>
      </c>
      <c r="D2185" s="30">
        <v>12</v>
      </c>
      <c r="E2185" s="54">
        <v>290.39999999999998</v>
      </c>
      <c r="F2185" s="54">
        <v>0</v>
      </c>
    </row>
    <row r="2186" spans="1:6" hidden="1" x14ac:dyDescent="0.25">
      <c r="A2186" s="54" t="s">
        <v>145</v>
      </c>
      <c r="B2186" s="54">
        <v>2011</v>
      </c>
      <c r="C2186" s="54" t="s">
        <v>99</v>
      </c>
      <c r="D2186" s="30">
        <v>1</v>
      </c>
      <c r="E2186" s="54">
        <v>387.8</v>
      </c>
      <c r="F2186" s="54">
        <v>0</v>
      </c>
    </row>
    <row r="2187" spans="1:6" hidden="1" x14ac:dyDescent="0.25">
      <c r="A2187" s="54" t="s">
        <v>145</v>
      </c>
      <c r="B2187" s="54">
        <v>2011</v>
      </c>
      <c r="C2187" s="54" t="s">
        <v>100</v>
      </c>
      <c r="D2187" s="30">
        <v>2</v>
      </c>
      <c r="E2187" s="54">
        <v>283.7</v>
      </c>
      <c r="F2187" s="54">
        <v>0</v>
      </c>
    </row>
    <row r="2188" spans="1:6" hidden="1" x14ac:dyDescent="0.25">
      <c r="A2188" s="54" t="s">
        <v>145</v>
      </c>
      <c r="B2188" s="54">
        <v>2011</v>
      </c>
      <c r="C2188" s="54" t="s">
        <v>101</v>
      </c>
      <c r="D2188" s="30">
        <v>3</v>
      </c>
      <c r="E2188" s="54">
        <v>179.5</v>
      </c>
      <c r="F2188" s="54">
        <v>1.2</v>
      </c>
    </row>
    <row r="2189" spans="1:6" hidden="1" x14ac:dyDescent="0.25">
      <c r="A2189" s="54" t="s">
        <v>145</v>
      </c>
      <c r="B2189" s="54">
        <v>2011</v>
      </c>
      <c r="C2189" s="54" t="s">
        <v>102</v>
      </c>
      <c r="D2189" s="30">
        <v>4</v>
      </c>
      <c r="E2189" s="54">
        <v>131.6</v>
      </c>
      <c r="F2189" s="54">
        <v>25.5</v>
      </c>
    </row>
    <row r="2190" spans="1:6" hidden="1" x14ac:dyDescent="0.25">
      <c r="A2190" s="54" t="s">
        <v>145</v>
      </c>
      <c r="B2190" s="54">
        <v>2011</v>
      </c>
      <c r="C2190" s="54" t="s">
        <v>103</v>
      </c>
      <c r="D2190" s="30">
        <v>5</v>
      </c>
      <c r="E2190" s="54">
        <v>101.6</v>
      </c>
      <c r="F2190" s="54">
        <v>32.9</v>
      </c>
    </row>
    <row r="2191" spans="1:6" hidden="1" x14ac:dyDescent="0.25">
      <c r="A2191" s="54" t="s">
        <v>145</v>
      </c>
      <c r="B2191" s="54">
        <v>2011</v>
      </c>
      <c r="C2191" s="54" t="s">
        <v>104</v>
      </c>
      <c r="D2191" s="30">
        <v>6</v>
      </c>
      <c r="E2191" s="54">
        <v>62.3</v>
      </c>
      <c r="F2191" s="54">
        <v>54</v>
      </c>
    </row>
    <row r="2192" spans="1:6" hidden="1" x14ac:dyDescent="0.25">
      <c r="A2192" s="54" t="s">
        <v>145</v>
      </c>
      <c r="B2192" s="54">
        <v>2011</v>
      </c>
      <c r="C2192" s="54" t="s">
        <v>105</v>
      </c>
      <c r="D2192" s="30">
        <v>7</v>
      </c>
      <c r="E2192" s="54">
        <v>50.3</v>
      </c>
      <c r="F2192" s="54">
        <v>53.7</v>
      </c>
    </row>
    <row r="2193" spans="1:6" hidden="1" x14ac:dyDescent="0.25">
      <c r="A2193" s="54" t="s">
        <v>145</v>
      </c>
      <c r="B2193" s="54">
        <v>2011</v>
      </c>
      <c r="C2193" s="54" t="s">
        <v>106</v>
      </c>
      <c r="D2193" s="30">
        <v>8</v>
      </c>
      <c r="E2193" s="54">
        <v>38.6</v>
      </c>
      <c r="F2193" s="54">
        <v>68.900000000000006</v>
      </c>
    </row>
    <row r="2194" spans="1:6" hidden="1" x14ac:dyDescent="0.25">
      <c r="A2194" s="54" t="s">
        <v>145</v>
      </c>
      <c r="B2194" s="54">
        <v>2011</v>
      </c>
      <c r="C2194" s="54" t="s">
        <v>107</v>
      </c>
      <c r="D2194" s="30">
        <v>9</v>
      </c>
      <c r="E2194" s="54">
        <v>68.8</v>
      </c>
      <c r="F2194" s="54">
        <v>38.6</v>
      </c>
    </row>
    <row r="2195" spans="1:6" hidden="1" x14ac:dyDescent="0.25">
      <c r="A2195" s="54" t="s">
        <v>145</v>
      </c>
      <c r="B2195" s="54">
        <v>2011</v>
      </c>
      <c r="C2195" s="54" t="s">
        <v>108</v>
      </c>
      <c r="D2195" s="30">
        <v>10</v>
      </c>
      <c r="E2195" s="54">
        <v>139</v>
      </c>
      <c r="F2195" s="54">
        <v>17.899999999999999</v>
      </c>
    </row>
    <row r="2196" spans="1:6" hidden="1" x14ac:dyDescent="0.25">
      <c r="A2196" s="54" t="s">
        <v>145</v>
      </c>
      <c r="B2196" s="54">
        <v>2011</v>
      </c>
      <c r="C2196" s="54" t="s">
        <v>109</v>
      </c>
      <c r="D2196" s="30">
        <v>11</v>
      </c>
      <c r="E2196" s="54">
        <v>181.3</v>
      </c>
      <c r="F2196" s="54">
        <v>0.8</v>
      </c>
    </row>
    <row r="2197" spans="1:6" hidden="1" x14ac:dyDescent="0.25">
      <c r="A2197" s="54" t="s">
        <v>145</v>
      </c>
      <c r="B2197" s="54">
        <v>2011</v>
      </c>
      <c r="C2197" s="54" t="s">
        <v>110</v>
      </c>
      <c r="D2197" s="30">
        <v>12</v>
      </c>
      <c r="E2197" s="54">
        <v>294</v>
      </c>
      <c r="F2197" s="54">
        <v>0</v>
      </c>
    </row>
    <row r="2198" spans="1:6" hidden="1" x14ac:dyDescent="0.25">
      <c r="A2198" s="53" t="s">
        <v>144</v>
      </c>
      <c r="B2198" s="53">
        <v>2012</v>
      </c>
      <c r="C2198" s="53" t="s">
        <v>99</v>
      </c>
      <c r="D2198" s="30">
        <v>1</v>
      </c>
      <c r="E2198" s="53">
        <v>335.8</v>
      </c>
      <c r="F2198" s="53">
        <v>0</v>
      </c>
    </row>
    <row r="2199" spans="1:6" hidden="1" x14ac:dyDescent="0.25">
      <c r="A2199" s="54" t="s">
        <v>144</v>
      </c>
      <c r="B2199" s="54">
        <v>2012</v>
      </c>
      <c r="C2199" s="54" t="s">
        <v>100</v>
      </c>
      <c r="D2199" s="30">
        <v>2</v>
      </c>
      <c r="E2199" s="54">
        <v>424.4</v>
      </c>
      <c r="F2199" s="54">
        <v>0</v>
      </c>
    </row>
    <row r="2200" spans="1:6" hidden="1" x14ac:dyDescent="0.25">
      <c r="A2200" s="54" t="s">
        <v>144</v>
      </c>
      <c r="B2200" s="54">
        <v>2012</v>
      </c>
      <c r="C2200" s="54" t="s">
        <v>101</v>
      </c>
      <c r="D2200" s="30">
        <v>3</v>
      </c>
      <c r="E2200" s="54">
        <v>231.2</v>
      </c>
      <c r="F2200" s="54">
        <v>6.6</v>
      </c>
    </row>
    <row r="2201" spans="1:6" hidden="1" x14ac:dyDescent="0.25">
      <c r="A2201" s="54" t="s">
        <v>144</v>
      </c>
      <c r="B2201" s="54">
        <v>2012</v>
      </c>
      <c r="C2201" s="54" t="s">
        <v>102</v>
      </c>
      <c r="D2201" s="30">
        <v>4</v>
      </c>
      <c r="E2201" s="54">
        <v>247.5</v>
      </c>
      <c r="F2201" s="54">
        <v>0</v>
      </c>
    </row>
    <row r="2202" spans="1:6" hidden="1" x14ac:dyDescent="0.25">
      <c r="A2202" s="54" t="s">
        <v>144</v>
      </c>
      <c r="B2202" s="54">
        <v>2012</v>
      </c>
      <c r="C2202" s="54" t="s">
        <v>103</v>
      </c>
      <c r="D2202" s="30">
        <v>5</v>
      </c>
      <c r="E2202" s="54">
        <v>121.3</v>
      </c>
      <c r="F2202" s="54">
        <v>28.5</v>
      </c>
    </row>
    <row r="2203" spans="1:6" hidden="1" x14ac:dyDescent="0.25">
      <c r="A2203" s="54" t="s">
        <v>144</v>
      </c>
      <c r="B2203" s="54">
        <v>2012</v>
      </c>
      <c r="C2203" s="54" t="s">
        <v>104</v>
      </c>
      <c r="D2203" s="30">
        <v>6</v>
      </c>
      <c r="E2203" s="54">
        <v>61.8</v>
      </c>
      <c r="F2203" s="54">
        <v>32.5</v>
      </c>
    </row>
    <row r="2204" spans="1:6" hidden="1" x14ac:dyDescent="0.25">
      <c r="A2204" s="54" t="s">
        <v>144</v>
      </c>
      <c r="B2204" s="54">
        <v>2012</v>
      </c>
      <c r="C2204" s="54" t="s">
        <v>105</v>
      </c>
      <c r="D2204" s="30">
        <v>7</v>
      </c>
      <c r="E2204" s="54">
        <v>55.5</v>
      </c>
      <c r="F2204" s="54">
        <v>55.1</v>
      </c>
    </row>
    <row r="2205" spans="1:6" hidden="1" x14ac:dyDescent="0.25">
      <c r="A2205" s="54" t="s">
        <v>144</v>
      </c>
      <c r="B2205" s="54">
        <v>2012</v>
      </c>
      <c r="C2205" s="54" t="s">
        <v>106</v>
      </c>
      <c r="D2205" s="30">
        <v>8</v>
      </c>
      <c r="E2205" s="54">
        <v>30.8</v>
      </c>
      <c r="F2205" s="54">
        <v>98.1</v>
      </c>
    </row>
    <row r="2206" spans="1:6" hidden="1" x14ac:dyDescent="0.25">
      <c r="A2206" s="54" t="s">
        <v>144</v>
      </c>
      <c r="B2206" s="54">
        <v>2012</v>
      </c>
      <c r="C2206" s="54" t="s">
        <v>107</v>
      </c>
      <c r="D2206" s="30">
        <v>9</v>
      </c>
      <c r="E2206" s="54">
        <v>85.6</v>
      </c>
      <c r="F2206" s="54">
        <v>38.9</v>
      </c>
    </row>
    <row r="2207" spans="1:6" hidden="1" x14ac:dyDescent="0.25">
      <c r="A2207" s="54" t="s">
        <v>144</v>
      </c>
      <c r="B2207" s="54">
        <v>2012</v>
      </c>
      <c r="C2207" s="54" t="s">
        <v>108</v>
      </c>
      <c r="D2207" s="30">
        <v>10</v>
      </c>
      <c r="E2207" s="54">
        <v>147</v>
      </c>
      <c r="F2207" s="54">
        <v>6.7</v>
      </c>
    </row>
    <row r="2208" spans="1:6" hidden="1" x14ac:dyDescent="0.25">
      <c r="A2208" s="54" t="s">
        <v>144</v>
      </c>
      <c r="B2208" s="54">
        <v>2012</v>
      </c>
      <c r="C2208" s="54" t="s">
        <v>109</v>
      </c>
      <c r="D2208" s="30">
        <v>11</v>
      </c>
      <c r="E2208" s="54">
        <v>269.5</v>
      </c>
      <c r="F2208" s="54">
        <v>0</v>
      </c>
    </row>
    <row r="2209" spans="1:6" hidden="1" x14ac:dyDescent="0.25">
      <c r="A2209" s="54" t="s">
        <v>144</v>
      </c>
      <c r="B2209" s="54">
        <v>2012</v>
      </c>
      <c r="C2209" s="54" t="s">
        <v>110</v>
      </c>
      <c r="D2209" s="30">
        <v>12</v>
      </c>
      <c r="E2209" s="54">
        <v>304.60000000000002</v>
      </c>
      <c r="F2209" s="54">
        <v>0</v>
      </c>
    </row>
    <row r="2210" spans="1:6" hidden="1" x14ac:dyDescent="0.25">
      <c r="A2210" s="54" t="s">
        <v>145</v>
      </c>
      <c r="B2210" s="54">
        <v>2012</v>
      </c>
      <c r="C2210" s="54" t="s">
        <v>99</v>
      </c>
      <c r="D2210" s="30">
        <v>1</v>
      </c>
      <c r="E2210" s="54">
        <v>341.3</v>
      </c>
      <c r="F2210" s="54">
        <v>0</v>
      </c>
    </row>
    <row r="2211" spans="1:6" hidden="1" x14ac:dyDescent="0.25">
      <c r="A2211" s="54" t="s">
        <v>145</v>
      </c>
      <c r="B2211" s="54">
        <v>2012</v>
      </c>
      <c r="C2211" s="54" t="s">
        <v>100</v>
      </c>
      <c r="D2211" s="30">
        <v>2</v>
      </c>
      <c r="E2211" s="54">
        <v>451.6</v>
      </c>
      <c r="F2211" s="54">
        <v>0</v>
      </c>
    </row>
    <row r="2212" spans="1:6" hidden="1" x14ac:dyDescent="0.25">
      <c r="A2212" s="54" t="s">
        <v>145</v>
      </c>
      <c r="B2212" s="54">
        <v>2012</v>
      </c>
      <c r="C2212" s="54" t="s">
        <v>101</v>
      </c>
      <c r="D2212" s="30">
        <v>3</v>
      </c>
      <c r="E2212" s="54">
        <v>244</v>
      </c>
      <c r="F2212" s="54">
        <v>5.6</v>
      </c>
    </row>
    <row r="2213" spans="1:6" hidden="1" x14ac:dyDescent="0.25">
      <c r="A2213" s="54" t="s">
        <v>145</v>
      </c>
      <c r="B2213" s="54">
        <v>2012</v>
      </c>
      <c r="C2213" s="54" t="s">
        <v>102</v>
      </c>
      <c r="D2213" s="30">
        <v>4</v>
      </c>
      <c r="E2213" s="54">
        <v>251.2</v>
      </c>
      <c r="F2213" s="54">
        <v>0</v>
      </c>
    </row>
    <row r="2214" spans="1:6" hidden="1" x14ac:dyDescent="0.25">
      <c r="A2214" s="54" t="s">
        <v>145</v>
      </c>
      <c r="B2214" s="54">
        <v>2012</v>
      </c>
      <c r="C2214" s="54" t="s">
        <v>103</v>
      </c>
      <c r="D2214" s="30">
        <v>5</v>
      </c>
      <c r="E2214" s="54">
        <v>123</v>
      </c>
      <c r="F2214" s="54">
        <v>30.2</v>
      </c>
    </row>
    <row r="2215" spans="1:6" hidden="1" x14ac:dyDescent="0.25">
      <c r="A2215" s="54" t="s">
        <v>145</v>
      </c>
      <c r="B2215" s="54">
        <v>2012</v>
      </c>
      <c r="C2215" s="54" t="s">
        <v>104</v>
      </c>
      <c r="D2215" s="30">
        <v>6</v>
      </c>
      <c r="E2215" s="54">
        <v>54.8</v>
      </c>
      <c r="F2215" s="54">
        <v>37.4</v>
      </c>
    </row>
    <row r="2216" spans="1:6" hidden="1" x14ac:dyDescent="0.25">
      <c r="A2216" s="54" t="s">
        <v>145</v>
      </c>
      <c r="B2216" s="54">
        <v>2012</v>
      </c>
      <c r="C2216" s="54" t="s">
        <v>105</v>
      </c>
      <c r="D2216" s="30">
        <v>7</v>
      </c>
      <c r="E2216" s="54">
        <v>48.3</v>
      </c>
      <c r="F2216" s="54">
        <v>61</v>
      </c>
    </row>
    <row r="2217" spans="1:6" hidden="1" x14ac:dyDescent="0.25">
      <c r="A2217" s="54" t="s">
        <v>145</v>
      </c>
      <c r="B2217" s="54">
        <v>2012</v>
      </c>
      <c r="C2217" s="54" t="s">
        <v>106</v>
      </c>
      <c r="D2217" s="30">
        <v>8</v>
      </c>
      <c r="E2217" s="54">
        <v>27</v>
      </c>
      <c r="F2217" s="54">
        <v>101</v>
      </c>
    </row>
    <row r="2218" spans="1:6" hidden="1" x14ac:dyDescent="0.25">
      <c r="A2218" s="54" t="s">
        <v>145</v>
      </c>
      <c r="B2218" s="54">
        <v>2012</v>
      </c>
      <c r="C2218" s="54" t="s">
        <v>107</v>
      </c>
      <c r="D2218" s="30">
        <v>9</v>
      </c>
      <c r="E2218" s="54">
        <v>94.5</v>
      </c>
      <c r="F2218" s="54">
        <v>36.700000000000003</v>
      </c>
    </row>
    <row r="2219" spans="1:6" hidden="1" x14ac:dyDescent="0.25">
      <c r="A2219" s="54" t="s">
        <v>145</v>
      </c>
      <c r="B2219" s="54">
        <v>2012</v>
      </c>
      <c r="C2219" s="54" t="s">
        <v>108</v>
      </c>
      <c r="D2219" s="30">
        <v>10</v>
      </c>
      <c r="E2219" s="54">
        <v>146.5</v>
      </c>
      <c r="F2219" s="54">
        <v>7.7</v>
      </c>
    </row>
    <row r="2220" spans="1:6" hidden="1" x14ac:dyDescent="0.25">
      <c r="A2220" s="54" t="s">
        <v>145</v>
      </c>
      <c r="B2220" s="54">
        <v>2012</v>
      </c>
      <c r="C2220" s="54" t="s">
        <v>109</v>
      </c>
      <c r="D2220" s="30">
        <v>11</v>
      </c>
      <c r="E2220" s="54">
        <v>280.60000000000002</v>
      </c>
      <c r="F2220" s="54">
        <v>0</v>
      </c>
    </row>
    <row r="2221" spans="1:6" hidden="1" x14ac:dyDescent="0.25">
      <c r="A2221" s="54" t="s">
        <v>145</v>
      </c>
      <c r="B2221" s="54">
        <v>2012</v>
      </c>
      <c r="C2221" s="54" t="s">
        <v>110</v>
      </c>
      <c r="D2221" s="30">
        <v>12</v>
      </c>
      <c r="E2221" s="54">
        <v>312.2</v>
      </c>
      <c r="F2221" s="54">
        <v>0</v>
      </c>
    </row>
    <row r="2222" spans="1:6" hidden="1" x14ac:dyDescent="0.25">
      <c r="A2222" s="53" t="s">
        <v>144</v>
      </c>
      <c r="B2222" s="53">
        <v>2013</v>
      </c>
      <c r="C2222" s="53" t="s">
        <v>99</v>
      </c>
      <c r="D2222" s="30">
        <v>1</v>
      </c>
      <c r="E2222" s="53">
        <v>378.2</v>
      </c>
      <c r="F2222" s="53">
        <v>0</v>
      </c>
    </row>
    <row r="2223" spans="1:6" hidden="1" x14ac:dyDescent="0.25">
      <c r="A2223" s="54" t="s">
        <v>144</v>
      </c>
      <c r="B2223" s="54">
        <v>2013</v>
      </c>
      <c r="C2223" s="54" t="s">
        <v>100</v>
      </c>
      <c r="D2223" s="30">
        <v>2</v>
      </c>
      <c r="E2223" s="54">
        <v>361.1</v>
      </c>
      <c r="F2223" s="54">
        <v>0</v>
      </c>
    </row>
    <row r="2224" spans="1:6" hidden="1" x14ac:dyDescent="0.25">
      <c r="A2224" s="54" t="s">
        <v>144</v>
      </c>
      <c r="B2224" s="54">
        <v>2013</v>
      </c>
      <c r="C2224" s="54" t="s">
        <v>101</v>
      </c>
      <c r="D2224" s="30">
        <v>3</v>
      </c>
      <c r="E2224" s="54">
        <v>335.2</v>
      </c>
      <c r="F2224" s="54">
        <v>0</v>
      </c>
    </row>
    <row r="2225" spans="1:6" hidden="1" x14ac:dyDescent="0.25">
      <c r="A2225" s="54" t="s">
        <v>144</v>
      </c>
      <c r="B2225" s="54">
        <v>2013</v>
      </c>
      <c r="C2225" s="54" t="s">
        <v>102</v>
      </c>
      <c r="D2225" s="30">
        <v>4</v>
      </c>
      <c r="E2225" s="54">
        <v>243.2</v>
      </c>
      <c r="F2225" s="54">
        <v>5.6</v>
      </c>
    </row>
    <row r="2226" spans="1:6" hidden="1" x14ac:dyDescent="0.25">
      <c r="A2226" s="54" t="s">
        <v>144</v>
      </c>
      <c r="B2226" s="54">
        <v>2013</v>
      </c>
      <c r="C2226" s="54" t="s">
        <v>103</v>
      </c>
      <c r="D2226" s="30">
        <v>5</v>
      </c>
      <c r="E2226" s="54">
        <v>178.2</v>
      </c>
      <c r="F2226" s="54">
        <v>3.6</v>
      </c>
    </row>
    <row r="2227" spans="1:6" hidden="1" x14ac:dyDescent="0.25">
      <c r="A2227" s="54" t="s">
        <v>144</v>
      </c>
      <c r="B2227" s="54">
        <v>2013</v>
      </c>
      <c r="C2227" s="54" t="s">
        <v>104</v>
      </c>
      <c r="D2227" s="30">
        <v>6</v>
      </c>
      <c r="E2227" s="54">
        <v>72.7</v>
      </c>
      <c r="F2227" s="54">
        <v>30.8</v>
      </c>
    </row>
    <row r="2228" spans="1:6" hidden="1" x14ac:dyDescent="0.25">
      <c r="A2228" s="54" t="s">
        <v>144</v>
      </c>
      <c r="B2228" s="54">
        <v>2013</v>
      </c>
      <c r="C2228" s="54" t="s">
        <v>105</v>
      </c>
      <c r="D2228" s="30">
        <v>7</v>
      </c>
      <c r="E2228" s="54">
        <v>12.2</v>
      </c>
      <c r="F2228" s="54">
        <v>146.30000000000001</v>
      </c>
    </row>
    <row r="2229" spans="1:6" hidden="1" x14ac:dyDescent="0.25">
      <c r="A2229" s="54" t="s">
        <v>144</v>
      </c>
      <c r="B2229" s="54">
        <v>2013</v>
      </c>
      <c r="C2229" s="54" t="s">
        <v>106</v>
      </c>
      <c r="D2229" s="30">
        <v>8</v>
      </c>
      <c r="E2229" s="54">
        <v>37</v>
      </c>
      <c r="F2229" s="54">
        <v>86.2</v>
      </c>
    </row>
    <row r="2230" spans="1:6" hidden="1" x14ac:dyDescent="0.25">
      <c r="A2230" s="54" t="s">
        <v>144</v>
      </c>
      <c r="B2230" s="54">
        <v>2013</v>
      </c>
      <c r="C2230" s="54" t="s">
        <v>107</v>
      </c>
      <c r="D2230" s="30">
        <v>9</v>
      </c>
      <c r="E2230" s="54">
        <v>61.3</v>
      </c>
      <c r="F2230" s="54">
        <v>54.1</v>
      </c>
    </row>
    <row r="2231" spans="1:6" hidden="1" x14ac:dyDescent="0.25">
      <c r="A2231" s="54" t="s">
        <v>144</v>
      </c>
      <c r="B2231" s="54">
        <v>2013</v>
      </c>
      <c r="C2231" s="54" t="s">
        <v>108</v>
      </c>
      <c r="D2231" s="30">
        <v>10</v>
      </c>
      <c r="E2231" s="54">
        <v>102</v>
      </c>
      <c r="F2231" s="54">
        <v>17.3</v>
      </c>
    </row>
    <row r="2232" spans="1:6" hidden="1" x14ac:dyDescent="0.25">
      <c r="A2232" s="54" t="s">
        <v>144</v>
      </c>
      <c r="B2232" s="54">
        <v>2013</v>
      </c>
      <c r="C2232" s="54" t="s">
        <v>109</v>
      </c>
      <c r="D2232" s="30">
        <v>11</v>
      </c>
      <c r="E2232" s="54">
        <v>278</v>
      </c>
      <c r="F2232" s="54">
        <v>0</v>
      </c>
    </row>
    <row r="2233" spans="1:6" hidden="1" x14ac:dyDescent="0.25">
      <c r="A2233" s="54" t="s">
        <v>144</v>
      </c>
      <c r="B2233" s="54">
        <v>2013</v>
      </c>
      <c r="C2233" s="54" t="s">
        <v>110</v>
      </c>
      <c r="D2233" s="30">
        <v>12</v>
      </c>
      <c r="E2233" s="54">
        <v>340.6</v>
      </c>
      <c r="F2233" s="54">
        <v>0</v>
      </c>
    </row>
    <row r="2234" spans="1:6" hidden="1" x14ac:dyDescent="0.25">
      <c r="A2234" s="54" t="s">
        <v>145</v>
      </c>
      <c r="B2234" s="54">
        <v>2013</v>
      </c>
      <c r="C2234" s="54" t="s">
        <v>99</v>
      </c>
      <c r="D2234" s="30">
        <v>1</v>
      </c>
      <c r="E2234" s="54">
        <v>391.2</v>
      </c>
      <c r="F2234" s="54">
        <v>0</v>
      </c>
    </row>
    <row r="2235" spans="1:6" hidden="1" x14ac:dyDescent="0.25">
      <c r="A2235" s="54" t="s">
        <v>145</v>
      </c>
      <c r="B2235" s="54">
        <v>2013</v>
      </c>
      <c r="C2235" s="54" t="s">
        <v>100</v>
      </c>
      <c r="D2235" s="30">
        <v>2</v>
      </c>
      <c r="E2235" s="54">
        <v>378.6</v>
      </c>
      <c r="F2235" s="54">
        <v>0</v>
      </c>
    </row>
    <row r="2236" spans="1:6" hidden="1" x14ac:dyDescent="0.25">
      <c r="A2236" s="54" t="s">
        <v>145</v>
      </c>
      <c r="B2236" s="54">
        <v>2013</v>
      </c>
      <c r="C2236" s="54" t="s">
        <v>101</v>
      </c>
      <c r="D2236" s="30">
        <v>3</v>
      </c>
      <c r="E2236" s="54">
        <v>347</v>
      </c>
      <c r="F2236" s="54">
        <v>0.1</v>
      </c>
    </row>
    <row r="2237" spans="1:6" hidden="1" x14ac:dyDescent="0.25">
      <c r="A2237" s="54" t="s">
        <v>145</v>
      </c>
      <c r="B2237" s="54">
        <v>2013</v>
      </c>
      <c r="C2237" s="54" t="s">
        <v>102</v>
      </c>
      <c r="D2237" s="30">
        <v>4</v>
      </c>
      <c r="E2237" s="54">
        <v>246.8</v>
      </c>
      <c r="F2237" s="54">
        <v>6.9</v>
      </c>
    </row>
    <row r="2238" spans="1:6" hidden="1" x14ac:dyDescent="0.25">
      <c r="A2238" s="54" t="s">
        <v>145</v>
      </c>
      <c r="B2238" s="54">
        <v>2013</v>
      </c>
      <c r="C2238" s="54" t="s">
        <v>103</v>
      </c>
      <c r="D2238" s="30">
        <v>5</v>
      </c>
      <c r="E2238" s="54">
        <v>182.6</v>
      </c>
      <c r="F2238" s="54">
        <v>3</v>
      </c>
    </row>
    <row r="2239" spans="1:6" hidden="1" x14ac:dyDescent="0.25">
      <c r="A2239" s="54" t="s">
        <v>145</v>
      </c>
      <c r="B2239" s="54">
        <v>2013</v>
      </c>
      <c r="C2239" s="54" t="s">
        <v>104</v>
      </c>
      <c r="D2239" s="30">
        <v>6</v>
      </c>
      <c r="E2239" s="54">
        <v>72.2</v>
      </c>
      <c r="F2239" s="54">
        <v>30.9</v>
      </c>
    </row>
    <row r="2240" spans="1:6" hidden="1" x14ac:dyDescent="0.25">
      <c r="A2240" s="54" t="s">
        <v>145</v>
      </c>
      <c r="B2240" s="54">
        <v>2013</v>
      </c>
      <c r="C2240" s="54" t="s">
        <v>105</v>
      </c>
      <c r="D2240" s="30">
        <v>7</v>
      </c>
      <c r="E2240" s="54">
        <v>13.6</v>
      </c>
      <c r="F2240" s="54">
        <v>125.3</v>
      </c>
    </row>
    <row r="2241" spans="1:6" hidden="1" x14ac:dyDescent="0.25">
      <c r="A2241" s="54" t="s">
        <v>145</v>
      </c>
      <c r="B2241" s="54">
        <v>2013</v>
      </c>
      <c r="C2241" s="54" t="s">
        <v>106</v>
      </c>
      <c r="D2241" s="30">
        <v>8</v>
      </c>
      <c r="E2241" s="54">
        <v>36.700000000000003</v>
      </c>
      <c r="F2241" s="54">
        <v>91.6</v>
      </c>
    </row>
    <row r="2242" spans="1:6" hidden="1" x14ac:dyDescent="0.25">
      <c r="A2242" s="54" t="s">
        <v>145</v>
      </c>
      <c r="B2242" s="54">
        <v>2013</v>
      </c>
      <c r="C2242" s="54" t="s">
        <v>107</v>
      </c>
      <c r="D2242" s="30">
        <v>9</v>
      </c>
      <c r="E2242" s="54">
        <v>63.5</v>
      </c>
      <c r="F2242" s="54">
        <v>47.7</v>
      </c>
    </row>
    <row r="2243" spans="1:6" hidden="1" x14ac:dyDescent="0.25">
      <c r="A2243" s="54" t="s">
        <v>145</v>
      </c>
      <c r="B2243" s="54">
        <v>2013</v>
      </c>
      <c r="C2243" s="54" t="s">
        <v>108</v>
      </c>
      <c r="D2243" s="30">
        <v>10</v>
      </c>
      <c r="E2243" s="54">
        <v>103.6</v>
      </c>
      <c r="F2243" s="54">
        <v>16</v>
      </c>
    </row>
    <row r="2244" spans="1:6" hidden="1" x14ac:dyDescent="0.25">
      <c r="A2244" s="54" t="s">
        <v>145</v>
      </c>
      <c r="B2244" s="54">
        <v>2013</v>
      </c>
      <c r="C2244" s="54" t="s">
        <v>109</v>
      </c>
      <c r="D2244" s="30">
        <v>11</v>
      </c>
      <c r="E2244" s="54">
        <v>293.89999999999998</v>
      </c>
      <c r="F2244" s="54">
        <v>0</v>
      </c>
    </row>
    <row r="2245" spans="1:6" hidden="1" x14ac:dyDescent="0.25">
      <c r="A2245" s="54" t="s">
        <v>145</v>
      </c>
      <c r="B2245" s="54">
        <v>2013</v>
      </c>
      <c r="C2245" s="54" t="s">
        <v>110</v>
      </c>
      <c r="D2245" s="30">
        <v>12</v>
      </c>
      <c r="E2245" s="54">
        <v>355.4</v>
      </c>
      <c r="F2245" s="54">
        <v>0</v>
      </c>
    </row>
    <row r="2246" spans="1:6" hidden="1" x14ac:dyDescent="0.25">
      <c r="A2246" s="53" t="s">
        <v>144</v>
      </c>
      <c r="B2246" s="53">
        <v>2014</v>
      </c>
      <c r="C2246" s="53" t="s">
        <v>99</v>
      </c>
      <c r="D2246" s="30">
        <v>1</v>
      </c>
      <c r="E2246" s="53">
        <v>300.5</v>
      </c>
      <c r="F2246" s="53">
        <v>0</v>
      </c>
    </row>
    <row r="2247" spans="1:6" hidden="1" x14ac:dyDescent="0.25">
      <c r="A2247" s="54" t="s">
        <v>144</v>
      </c>
      <c r="B2247" s="54">
        <v>2014</v>
      </c>
      <c r="C2247" s="54" t="s">
        <v>100</v>
      </c>
      <c r="D2247" s="30">
        <v>2</v>
      </c>
      <c r="E2247" s="54">
        <v>269.89999999999998</v>
      </c>
      <c r="F2247" s="54">
        <v>0</v>
      </c>
    </row>
    <row r="2248" spans="1:6" hidden="1" x14ac:dyDescent="0.25">
      <c r="A2248" s="54" t="s">
        <v>144</v>
      </c>
      <c r="B2248" s="54">
        <v>2014</v>
      </c>
      <c r="C2248" s="54" t="s">
        <v>101</v>
      </c>
      <c r="D2248" s="30">
        <v>3</v>
      </c>
      <c r="E2248" s="54">
        <v>259.39999999999998</v>
      </c>
      <c r="F2248" s="54">
        <v>1.4</v>
      </c>
    </row>
    <row r="2249" spans="1:6" hidden="1" x14ac:dyDescent="0.25">
      <c r="A2249" s="54" t="s">
        <v>144</v>
      </c>
      <c r="B2249" s="54">
        <v>2014</v>
      </c>
      <c r="C2249" s="54" t="s">
        <v>102</v>
      </c>
      <c r="D2249" s="30">
        <v>4</v>
      </c>
      <c r="E2249" s="54">
        <v>172.4</v>
      </c>
      <c r="F2249" s="54">
        <v>2</v>
      </c>
    </row>
    <row r="2250" spans="1:6" hidden="1" x14ac:dyDescent="0.25">
      <c r="A2250" s="54" t="s">
        <v>144</v>
      </c>
      <c r="B2250" s="54">
        <v>2014</v>
      </c>
      <c r="C2250" s="54" t="s">
        <v>103</v>
      </c>
      <c r="D2250" s="30">
        <v>5</v>
      </c>
      <c r="E2250" s="54">
        <v>137.19999999999999</v>
      </c>
      <c r="F2250" s="54">
        <v>8.6</v>
      </c>
    </row>
    <row r="2251" spans="1:6" hidden="1" x14ac:dyDescent="0.25">
      <c r="A2251" s="54" t="s">
        <v>144</v>
      </c>
      <c r="B2251" s="54">
        <v>2014</v>
      </c>
      <c r="C2251" s="54" t="s">
        <v>104</v>
      </c>
      <c r="D2251" s="30">
        <v>6</v>
      </c>
      <c r="E2251" s="54">
        <v>49.8</v>
      </c>
      <c r="F2251" s="54">
        <v>63.1</v>
      </c>
    </row>
    <row r="2252" spans="1:6" hidden="1" x14ac:dyDescent="0.25">
      <c r="A2252" s="54" t="s">
        <v>144</v>
      </c>
      <c r="B2252" s="54">
        <v>2014</v>
      </c>
      <c r="C2252" s="54" t="s">
        <v>105</v>
      </c>
      <c r="D2252" s="30">
        <v>7</v>
      </c>
      <c r="E2252" s="54">
        <v>27.6</v>
      </c>
      <c r="F2252" s="54">
        <v>103.5</v>
      </c>
    </row>
    <row r="2253" spans="1:6" hidden="1" x14ac:dyDescent="0.25">
      <c r="A2253" s="54" t="s">
        <v>144</v>
      </c>
      <c r="B2253" s="54">
        <v>2014</v>
      </c>
      <c r="C2253" s="54" t="s">
        <v>106</v>
      </c>
      <c r="D2253" s="30">
        <v>8</v>
      </c>
      <c r="E2253" s="54">
        <v>55.2</v>
      </c>
      <c r="F2253" s="54">
        <v>46.6</v>
      </c>
    </row>
    <row r="2254" spans="1:6" hidden="1" x14ac:dyDescent="0.25">
      <c r="A2254" s="54" t="s">
        <v>144</v>
      </c>
      <c r="B2254" s="54">
        <v>2014</v>
      </c>
      <c r="C2254" s="54" t="s">
        <v>107</v>
      </c>
      <c r="D2254" s="30">
        <v>9</v>
      </c>
      <c r="E2254" s="54">
        <v>41.7</v>
      </c>
      <c r="F2254" s="54">
        <v>79</v>
      </c>
    </row>
    <row r="2255" spans="1:6" hidden="1" x14ac:dyDescent="0.25">
      <c r="A2255" s="54" t="s">
        <v>144</v>
      </c>
      <c r="B2255" s="54">
        <v>2014</v>
      </c>
      <c r="C2255" s="54" t="s">
        <v>108</v>
      </c>
      <c r="D2255" s="30">
        <v>10</v>
      </c>
      <c r="E2255" s="54">
        <v>99.6</v>
      </c>
      <c r="F2255" s="54">
        <v>20.5</v>
      </c>
    </row>
    <row r="2256" spans="1:6" hidden="1" x14ac:dyDescent="0.25">
      <c r="A2256" s="54" t="s">
        <v>144</v>
      </c>
      <c r="B2256" s="54">
        <v>2014</v>
      </c>
      <c r="C2256" s="54" t="s">
        <v>109</v>
      </c>
      <c r="D2256" s="30">
        <v>11</v>
      </c>
      <c r="E2256" s="54">
        <v>195.3</v>
      </c>
      <c r="F2256" s="54">
        <v>0.2</v>
      </c>
    </row>
    <row r="2257" spans="1:6" hidden="1" x14ac:dyDescent="0.25">
      <c r="A2257" s="54" t="s">
        <v>144</v>
      </c>
      <c r="B2257" s="54">
        <v>2014</v>
      </c>
      <c r="C2257" s="54" t="s">
        <v>110</v>
      </c>
      <c r="D2257" s="30">
        <v>12</v>
      </c>
      <c r="E2257" s="54">
        <v>338.1</v>
      </c>
      <c r="F2257" s="54">
        <v>0</v>
      </c>
    </row>
    <row r="2258" spans="1:6" hidden="1" x14ac:dyDescent="0.25">
      <c r="A2258" s="54" t="s">
        <v>145</v>
      </c>
      <c r="B2258" s="54">
        <v>2014</v>
      </c>
      <c r="C2258" s="54" t="s">
        <v>99</v>
      </c>
      <c r="D2258" s="30">
        <v>1</v>
      </c>
      <c r="E2258" s="54">
        <v>311.60000000000002</v>
      </c>
      <c r="F2258" s="54">
        <v>0</v>
      </c>
    </row>
    <row r="2259" spans="1:6" hidden="1" x14ac:dyDescent="0.25">
      <c r="A2259" s="54" t="s">
        <v>145</v>
      </c>
      <c r="B2259" s="54">
        <v>2014</v>
      </c>
      <c r="C2259" s="54" t="s">
        <v>100</v>
      </c>
      <c r="D2259" s="30">
        <v>2</v>
      </c>
      <c r="E2259" s="54">
        <v>267.2</v>
      </c>
      <c r="F2259" s="54">
        <v>0</v>
      </c>
    </row>
    <row r="2260" spans="1:6" hidden="1" x14ac:dyDescent="0.25">
      <c r="A2260" s="54" t="s">
        <v>145</v>
      </c>
      <c r="B2260" s="54">
        <v>2014</v>
      </c>
      <c r="C2260" s="54" t="s">
        <v>101</v>
      </c>
      <c r="D2260" s="30">
        <v>3</v>
      </c>
      <c r="E2260" s="54">
        <v>261.60000000000002</v>
      </c>
      <c r="F2260" s="54">
        <v>1.7</v>
      </c>
    </row>
    <row r="2261" spans="1:6" hidden="1" x14ac:dyDescent="0.25">
      <c r="A2261" s="54" t="s">
        <v>145</v>
      </c>
      <c r="B2261" s="54">
        <v>2014</v>
      </c>
      <c r="C2261" s="54" t="s">
        <v>102</v>
      </c>
      <c r="D2261" s="30">
        <v>4</v>
      </c>
      <c r="E2261" s="54">
        <v>178.2</v>
      </c>
      <c r="F2261" s="54">
        <v>2.2999999999999998</v>
      </c>
    </row>
    <row r="2262" spans="1:6" hidden="1" x14ac:dyDescent="0.25">
      <c r="A2262" s="54" t="s">
        <v>145</v>
      </c>
      <c r="B2262" s="54">
        <v>2014</v>
      </c>
      <c r="C2262" s="54" t="s">
        <v>103</v>
      </c>
      <c r="D2262" s="30">
        <v>5</v>
      </c>
      <c r="E2262" s="54">
        <v>136.69999999999999</v>
      </c>
      <c r="F2262" s="54">
        <v>8.4</v>
      </c>
    </row>
    <row r="2263" spans="1:6" hidden="1" x14ac:dyDescent="0.25">
      <c r="A2263" s="54" t="s">
        <v>145</v>
      </c>
      <c r="B2263" s="54">
        <v>2014</v>
      </c>
      <c r="C2263" s="54" t="s">
        <v>104</v>
      </c>
      <c r="D2263" s="30">
        <v>6</v>
      </c>
      <c r="E2263" s="54">
        <v>53.7</v>
      </c>
      <c r="F2263" s="54">
        <v>53.7</v>
      </c>
    </row>
    <row r="2264" spans="1:6" hidden="1" x14ac:dyDescent="0.25">
      <c r="A2264" s="54" t="s">
        <v>145</v>
      </c>
      <c r="B2264" s="54">
        <v>2014</v>
      </c>
      <c r="C2264" s="54" t="s">
        <v>105</v>
      </c>
      <c r="D2264" s="30">
        <v>7</v>
      </c>
      <c r="E2264" s="54">
        <v>25.1</v>
      </c>
      <c r="F2264" s="54">
        <v>99.3</v>
      </c>
    </row>
    <row r="2265" spans="1:6" hidden="1" x14ac:dyDescent="0.25">
      <c r="A2265" s="54" t="s">
        <v>145</v>
      </c>
      <c r="B2265" s="54">
        <v>2014</v>
      </c>
      <c r="C2265" s="54" t="s">
        <v>106</v>
      </c>
      <c r="D2265" s="30">
        <v>8</v>
      </c>
      <c r="E2265" s="54">
        <v>47</v>
      </c>
      <c r="F2265" s="54">
        <v>49.1</v>
      </c>
    </row>
    <row r="2266" spans="1:6" hidden="1" x14ac:dyDescent="0.25">
      <c r="A2266" s="54" t="s">
        <v>145</v>
      </c>
      <c r="B2266" s="54">
        <v>2014</v>
      </c>
      <c r="C2266" s="54" t="s">
        <v>107</v>
      </c>
      <c r="D2266" s="30">
        <v>9</v>
      </c>
      <c r="E2266" s="54">
        <v>56.9</v>
      </c>
      <c r="F2266" s="54">
        <v>63.3</v>
      </c>
    </row>
    <row r="2267" spans="1:6" hidden="1" x14ac:dyDescent="0.25">
      <c r="A2267" s="54" t="s">
        <v>145</v>
      </c>
      <c r="B2267" s="54">
        <v>2014</v>
      </c>
      <c r="C2267" s="54" t="s">
        <v>108</v>
      </c>
      <c r="D2267" s="30">
        <v>10</v>
      </c>
      <c r="E2267" s="54">
        <v>106.1</v>
      </c>
      <c r="F2267" s="54">
        <v>17.5</v>
      </c>
    </row>
    <row r="2268" spans="1:6" hidden="1" x14ac:dyDescent="0.25">
      <c r="A2268" s="54" t="s">
        <v>145</v>
      </c>
      <c r="B2268" s="54">
        <v>2014</v>
      </c>
      <c r="C2268" s="54" t="s">
        <v>109</v>
      </c>
      <c r="D2268" s="30">
        <v>11</v>
      </c>
      <c r="E2268" s="54">
        <v>207.2</v>
      </c>
      <c r="F2268" s="54">
        <v>0.3</v>
      </c>
    </row>
    <row r="2269" spans="1:6" hidden="1" x14ac:dyDescent="0.25">
      <c r="A2269" s="54" t="s">
        <v>145</v>
      </c>
      <c r="B2269" s="54">
        <v>2014</v>
      </c>
      <c r="C2269" s="54" t="s">
        <v>110</v>
      </c>
      <c r="D2269" s="30">
        <v>12</v>
      </c>
      <c r="E2269" s="54">
        <v>359.6</v>
      </c>
      <c r="F2269" s="54">
        <v>0</v>
      </c>
    </row>
    <row r="2270" spans="1:6" hidden="1" x14ac:dyDescent="0.25">
      <c r="A2270" s="53" t="s">
        <v>144</v>
      </c>
      <c r="B2270" s="53">
        <v>2015</v>
      </c>
      <c r="C2270" s="53" t="s">
        <v>99</v>
      </c>
      <c r="D2270" s="30">
        <v>1</v>
      </c>
      <c r="E2270" s="53">
        <v>358</v>
      </c>
      <c r="F2270" s="53">
        <v>0</v>
      </c>
    </row>
    <row r="2271" spans="1:6" hidden="1" x14ac:dyDescent="0.25">
      <c r="A2271" s="54" t="s">
        <v>144</v>
      </c>
      <c r="B2271" s="54">
        <v>2015</v>
      </c>
      <c r="C2271" s="54" t="s">
        <v>100</v>
      </c>
      <c r="D2271" s="30">
        <v>2</v>
      </c>
      <c r="E2271" s="54">
        <v>351.3</v>
      </c>
      <c r="F2271" s="54">
        <v>0</v>
      </c>
    </row>
    <row r="2272" spans="1:6" hidden="1" x14ac:dyDescent="0.25">
      <c r="A2272" s="54" t="s">
        <v>144</v>
      </c>
      <c r="B2272" s="54">
        <v>2015</v>
      </c>
      <c r="C2272" s="54" t="s">
        <v>101</v>
      </c>
      <c r="D2272" s="30">
        <v>3</v>
      </c>
      <c r="E2272" s="54">
        <v>278</v>
      </c>
      <c r="F2272" s="54">
        <v>0</v>
      </c>
    </row>
    <row r="2273" spans="1:6" hidden="1" x14ac:dyDescent="0.25">
      <c r="A2273" s="54" t="s">
        <v>144</v>
      </c>
      <c r="B2273" s="54">
        <v>2015</v>
      </c>
      <c r="C2273" s="54" t="s">
        <v>102</v>
      </c>
      <c r="D2273" s="30">
        <v>4</v>
      </c>
      <c r="E2273" s="54">
        <v>157.19999999999999</v>
      </c>
      <c r="F2273" s="54">
        <v>13.3</v>
      </c>
    </row>
    <row r="2274" spans="1:6" hidden="1" x14ac:dyDescent="0.25">
      <c r="A2274" s="54" t="s">
        <v>144</v>
      </c>
      <c r="B2274" s="54">
        <v>2015</v>
      </c>
      <c r="C2274" s="54" t="s">
        <v>103</v>
      </c>
      <c r="D2274" s="30">
        <v>5</v>
      </c>
      <c r="E2274" s="54">
        <v>132.9</v>
      </c>
      <c r="F2274" s="54">
        <v>11.2</v>
      </c>
    </row>
    <row r="2275" spans="1:6" hidden="1" x14ac:dyDescent="0.25">
      <c r="A2275" s="54" t="s">
        <v>144</v>
      </c>
      <c r="B2275" s="54">
        <v>2015</v>
      </c>
      <c r="C2275" s="54" t="s">
        <v>104</v>
      </c>
      <c r="D2275" s="30">
        <v>6</v>
      </c>
      <c r="E2275" s="54">
        <v>55.3</v>
      </c>
      <c r="F2275" s="54">
        <v>64.8</v>
      </c>
    </row>
    <row r="2276" spans="1:6" hidden="1" x14ac:dyDescent="0.25">
      <c r="A2276" s="54" t="s">
        <v>144</v>
      </c>
      <c r="B2276" s="54">
        <v>2015</v>
      </c>
      <c r="C2276" s="54" t="s">
        <v>105</v>
      </c>
      <c r="D2276" s="30">
        <v>7</v>
      </c>
      <c r="E2276" s="54">
        <v>32.1</v>
      </c>
      <c r="F2276" s="54">
        <v>92.7</v>
      </c>
    </row>
    <row r="2277" spans="1:6" hidden="1" x14ac:dyDescent="0.25">
      <c r="A2277" s="54" t="s">
        <v>144</v>
      </c>
      <c r="B2277" s="54">
        <v>2015</v>
      </c>
      <c r="C2277" s="54" t="s">
        <v>106</v>
      </c>
      <c r="D2277" s="30">
        <v>8</v>
      </c>
      <c r="E2277" s="54">
        <v>36.6</v>
      </c>
      <c r="F2277" s="54">
        <v>88.9</v>
      </c>
    </row>
    <row r="2278" spans="1:6" hidden="1" x14ac:dyDescent="0.25">
      <c r="A2278" s="54" t="s">
        <v>144</v>
      </c>
      <c r="B2278" s="54">
        <v>2015</v>
      </c>
      <c r="C2278" s="54" t="s">
        <v>107</v>
      </c>
      <c r="D2278" s="30">
        <v>9</v>
      </c>
      <c r="E2278" s="54">
        <v>90.3</v>
      </c>
      <c r="F2278" s="54">
        <v>17.399999999999999</v>
      </c>
    </row>
    <row r="2279" spans="1:6" hidden="1" x14ac:dyDescent="0.25">
      <c r="A2279" s="54" t="s">
        <v>144</v>
      </c>
      <c r="B2279" s="54">
        <v>2015</v>
      </c>
      <c r="C2279" s="54" t="s">
        <v>108</v>
      </c>
      <c r="D2279" s="30">
        <v>10</v>
      </c>
      <c r="E2279" s="54">
        <v>170.4</v>
      </c>
      <c r="F2279" s="54">
        <v>2</v>
      </c>
    </row>
    <row r="2280" spans="1:6" hidden="1" x14ac:dyDescent="0.25">
      <c r="A2280" s="54" t="s">
        <v>144</v>
      </c>
      <c r="B2280" s="54">
        <v>2015</v>
      </c>
      <c r="C2280" s="54" t="s">
        <v>109</v>
      </c>
      <c r="D2280" s="30">
        <v>11</v>
      </c>
      <c r="E2280" s="54">
        <v>166.7</v>
      </c>
      <c r="F2280" s="54">
        <v>2.7</v>
      </c>
    </row>
    <row r="2281" spans="1:6" hidden="1" x14ac:dyDescent="0.25">
      <c r="A2281" s="54" t="s">
        <v>144</v>
      </c>
      <c r="B2281" s="54">
        <v>2015</v>
      </c>
      <c r="C2281" s="54" t="s">
        <v>110</v>
      </c>
      <c r="D2281" s="30">
        <v>12</v>
      </c>
      <c r="E2281" s="54">
        <v>241.6</v>
      </c>
      <c r="F2281" s="54">
        <v>0</v>
      </c>
    </row>
    <row r="2282" spans="1:6" hidden="1" x14ac:dyDescent="0.25">
      <c r="A2282" s="54" t="s">
        <v>145</v>
      </c>
      <c r="B2282" s="54">
        <v>2015</v>
      </c>
      <c r="C2282" s="54" t="s">
        <v>99</v>
      </c>
      <c r="D2282" s="30">
        <v>1</v>
      </c>
      <c r="E2282" s="54">
        <v>371.4</v>
      </c>
      <c r="F2282" s="54">
        <v>0</v>
      </c>
    </row>
    <row r="2283" spans="1:6" hidden="1" x14ac:dyDescent="0.25">
      <c r="A2283" s="54" t="s">
        <v>145</v>
      </c>
      <c r="B2283" s="54">
        <v>2015</v>
      </c>
      <c r="C2283" s="54" t="s">
        <v>100</v>
      </c>
      <c r="D2283" s="30">
        <v>2</v>
      </c>
      <c r="E2283" s="54">
        <v>360.7</v>
      </c>
      <c r="F2283" s="54">
        <v>0</v>
      </c>
    </row>
    <row r="2284" spans="1:6" hidden="1" x14ac:dyDescent="0.25">
      <c r="A2284" s="54" t="s">
        <v>145</v>
      </c>
      <c r="B2284" s="54">
        <v>2015</v>
      </c>
      <c r="C2284" s="54" t="s">
        <v>101</v>
      </c>
      <c r="D2284" s="30">
        <v>3</v>
      </c>
      <c r="E2284" s="54">
        <v>288.5</v>
      </c>
      <c r="F2284" s="54">
        <v>0.1</v>
      </c>
    </row>
    <row r="2285" spans="1:6" hidden="1" x14ac:dyDescent="0.25">
      <c r="A2285" s="54" t="s">
        <v>145</v>
      </c>
      <c r="B2285" s="54">
        <v>2015</v>
      </c>
      <c r="C2285" s="54" t="s">
        <v>102</v>
      </c>
      <c r="D2285" s="30">
        <v>4</v>
      </c>
      <c r="E2285" s="54">
        <v>168.3</v>
      </c>
      <c r="F2285" s="54">
        <v>13.9</v>
      </c>
    </row>
    <row r="2286" spans="1:6" hidden="1" x14ac:dyDescent="0.25">
      <c r="A2286" s="54" t="s">
        <v>145</v>
      </c>
      <c r="B2286" s="54">
        <v>2015</v>
      </c>
      <c r="C2286" s="54" t="s">
        <v>103</v>
      </c>
      <c r="D2286" s="30">
        <v>5</v>
      </c>
      <c r="E2286" s="54">
        <v>125.7</v>
      </c>
      <c r="F2286" s="54">
        <v>10.8</v>
      </c>
    </row>
    <row r="2287" spans="1:6" hidden="1" x14ac:dyDescent="0.25">
      <c r="A2287" s="54" t="s">
        <v>145</v>
      </c>
      <c r="B2287" s="54">
        <v>2015</v>
      </c>
      <c r="C2287" s="54" t="s">
        <v>104</v>
      </c>
      <c r="D2287" s="30">
        <v>6</v>
      </c>
      <c r="E2287" s="54">
        <v>55.6</v>
      </c>
      <c r="F2287" s="54">
        <v>64.7</v>
      </c>
    </row>
    <row r="2288" spans="1:6" hidden="1" x14ac:dyDescent="0.25">
      <c r="A2288" s="54" t="s">
        <v>145</v>
      </c>
      <c r="B2288" s="54">
        <v>2015</v>
      </c>
      <c r="C2288" s="54" t="s">
        <v>105</v>
      </c>
      <c r="D2288" s="30">
        <v>7</v>
      </c>
      <c r="E2288" s="54">
        <v>29</v>
      </c>
      <c r="F2288" s="54">
        <v>111</v>
      </c>
    </row>
    <row r="2289" spans="1:6" hidden="1" x14ac:dyDescent="0.25">
      <c r="A2289" s="54" t="s">
        <v>145</v>
      </c>
      <c r="B2289" s="54">
        <v>2015</v>
      </c>
      <c r="C2289" s="54" t="s">
        <v>106</v>
      </c>
      <c r="D2289" s="30">
        <v>8</v>
      </c>
      <c r="E2289" s="54">
        <v>33.9</v>
      </c>
      <c r="F2289" s="54">
        <v>106.1</v>
      </c>
    </row>
    <row r="2290" spans="1:6" hidden="1" x14ac:dyDescent="0.25">
      <c r="A2290" s="54" t="s">
        <v>145</v>
      </c>
      <c r="B2290" s="54">
        <v>2015</v>
      </c>
      <c r="C2290" s="54" t="s">
        <v>107</v>
      </c>
      <c r="D2290" s="30">
        <v>9</v>
      </c>
      <c r="E2290" s="54">
        <v>99.2</v>
      </c>
      <c r="F2290" s="54">
        <v>14.1</v>
      </c>
    </row>
    <row r="2291" spans="1:6" hidden="1" x14ac:dyDescent="0.25">
      <c r="A2291" s="54" t="s">
        <v>145</v>
      </c>
      <c r="B2291" s="54">
        <v>2015</v>
      </c>
      <c r="C2291" s="54" t="s">
        <v>108</v>
      </c>
      <c r="D2291" s="30">
        <v>10</v>
      </c>
      <c r="E2291" s="54">
        <v>177.5</v>
      </c>
      <c r="F2291" s="54">
        <v>2.2000000000000002</v>
      </c>
    </row>
    <row r="2292" spans="1:6" hidden="1" x14ac:dyDescent="0.25">
      <c r="A2292" s="54" t="s">
        <v>145</v>
      </c>
      <c r="B2292" s="54">
        <v>2015</v>
      </c>
      <c r="C2292" s="54" t="s">
        <v>109</v>
      </c>
      <c r="D2292" s="30">
        <v>11</v>
      </c>
      <c r="E2292" s="54">
        <v>175.4</v>
      </c>
      <c r="F2292" s="54">
        <v>3.6</v>
      </c>
    </row>
    <row r="2293" spans="1:6" hidden="1" x14ac:dyDescent="0.25">
      <c r="A2293" s="54" t="s">
        <v>145</v>
      </c>
      <c r="B2293" s="54">
        <v>2015</v>
      </c>
      <c r="C2293" s="54" t="s">
        <v>110</v>
      </c>
      <c r="D2293" s="30">
        <v>12</v>
      </c>
      <c r="E2293" s="54">
        <v>241</v>
      </c>
      <c r="F2293" s="54">
        <v>0</v>
      </c>
    </row>
    <row r="2294" spans="1:6" hidden="1" x14ac:dyDescent="0.25">
      <c r="A2294" s="53" t="s">
        <v>144</v>
      </c>
      <c r="B2294" s="53">
        <v>2016</v>
      </c>
      <c r="C2294" s="53" t="s">
        <v>99</v>
      </c>
      <c r="D2294" s="30">
        <v>1</v>
      </c>
      <c r="E2294" s="53">
        <v>317.7</v>
      </c>
      <c r="F2294" s="53">
        <v>0</v>
      </c>
    </row>
    <row r="2295" spans="1:6" hidden="1" x14ac:dyDescent="0.25">
      <c r="A2295" s="54" t="s">
        <v>144</v>
      </c>
      <c r="B2295" s="54">
        <v>2016</v>
      </c>
      <c r="C2295" s="54" t="s">
        <v>100</v>
      </c>
      <c r="D2295" s="30">
        <v>2</v>
      </c>
      <c r="E2295" s="54">
        <v>302.8</v>
      </c>
      <c r="F2295" s="54">
        <v>0</v>
      </c>
    </row>
    <row r="2296" spans="1:6" hidden="1" x14ac:dyDescent="0.25">
      <c r="A2296" s="54" t="s">
        <v>144</v>
      </c>
      <c r="B2296" s="54">
        <v>2016</v>
      </c>
      <c r="C2296" s="54" t="s">
        <v>101</v>
      </c>
      <c r="D2296" s="30">
        <v>3</v>
      </c>
      <c r="E2296" s="54">
        <v>310.39999999999998</v>
      </c>
      <c r="F2296" s="54">
        <v>0</v>
      </c>
    </row>
    <row r="2297" spans="1:6" hidden="1" x14ac:dyDescent="0.25">
      <c r="A2297" s="54" t="s">
        <v>144</v>
      </c>
      <c r="B2297" s="54">
        <v>2016</v>
      </c>
      <c r="C2297" s="54" t="s">
        <v>102</v>
      </c>
      <c r="D2297" s="30">
        <v>4</v>
      </c>
      <c r="E2297" s="54">
        <v>241</v>
      </c>
      <c r="F2297" s="54">
        <v>0.6</v>
      </c>
    </row>
    <row r="2298" spans="1:6" hidden="1" x14ac:dyDescent="0.25">
      <c r="A2298" s="54" t="s">
        <v>144</v>
      </c>
      <c r="B2298" s="54">
        <v>2016</v>
      </c>
      <c r="C2298" s="54" t="s">
        <v>103</v>
      </c>
      <c r="D2298" s="30">
        <v>5</v>
      </c>
      <c r="E2298" s="54">
        <v>121</v>
      </c>
      <c r="F2298" s="54">
        <v>15.2</v>
      </c>
    </row>
    <row r="2299" spans="1:6" hidden="1" x14ac:dyDescent="0.25">
      <c r="A2299" s="54" t="s">
        <v>144</v>
      </c>
      <c r="B2299" s="54">
        <v>2016</v>
      </c>
      <c r="C2299" s="54" t="s">
        <v>104</v>
      </c>
      <c r="D2299" s="30">
        <v>6</v>
      </c>
      <c r="E2299" s="54">
        <v>51.4</v>
      </c>
      <c r="F2299" s="54">
        <v>34.1</v>
      </c>
    </row>
    <row r="2300" spans="1:6" hidden="1" x14ac:dyDescent="0.25">
      <c r="A2300" s="54" t="s">
        <v>144</v>
      </c>
      <c r="B2300" s="54">
        <v>2016</v>
      </c>
      <c r="C2300" s="54" t="s">
        <v>105</v>
      </c>
      <c r="D2300" s="30">
        <v>7</v>
      </c>
      <c r="E2300" s="54">
        <v>36.5</v>
      </c>
      <c r="F2300" s="54">
        <v>87.5</v>
      </c>
    </row>
    <row r="2301" spans="1:6" hidden="1" x14ac:dyDescent="0.25">
      <c r="A2301" s="54" t="s">
        <v>144</v>
      </c>
      <c r="B2301" s="54">
        <v>2016</v>
      </c>
      <c r="C2301" s="54" t="s">
        <v>106</v>
      </c>
      <c r="D2301" s="30">
        <v>8</v>
      </c>
      <c r="E2301" s="54">
        <v>29.5</v>
      </c>
      <c r="F2301" s="54">
        <v>121.3</v>
      </c>
    </row>
    <row r="2302" spans="1:6" hidden="1" x14ac:dyDescent="0.25">
      <c r="A2302" s="54" t="s">
        <v>144</v>
      </c>
      <c r="B2302" s="54">
        <v>2016</v>
      </c>
      <c r="C2302" s="54" t="s">
        <v>107</v>
      </c>
      <c r="D2302" s="30">
        <v>9</v>
      </c>
      <c r="E2302" s="54">
        <v>42.4</v>
      </c>
      <c r="F2302" s="54">
        <v>73</v>
      </c>
    </row>
    <row r="2303" spans="1:6" hidden="1" x14ac:dyDescent="0.25">
      <c r="A2303" s="54" t="s">
        <v>144</v>
      </c>
      <c r="B2303" s="54">
        <v>2016</v>
      </c>
      <c r="C2303" s="54" t="s">
        <v>108</v>
      </c>
      <c r="D2303" s="30">
        <v>10</v>
      </c>
      <c r="E2303" s="54">
        <v>186.1</v>
      </c>
      <c r="F2303" s="54">
        <v>1.8</v>
      </c>
    </row>
    <row r="2304" spans="1:6" hidden="1" x14ac:dyDescent="0.25">
      <c r="A2304" s="54" t="s">
        <v>144</v>
      </c>
      <c r="B2304" s="54">
        <v>2016</v>
      </c>
      <c r="C2304" s="54" t="s">
        <v>109</v>
      </c>
      <c r="D2304" s="30">
        <v>11</v>
      </c>
      <c r="E2304" s="54">
        <v>264.10000000000002</v>
      </c>
      <c r="F2304" s="54">
        <v>0</v>
      </c>
    </row>
    <row r="2305" spans="1:6" hidden="1" x14ac:dyDescent="0.25">
      <c r="A2305" s="54" t="s">
        <v>144</v>
      </c>
      <c r="B2305" s="54">
        <v>2016</v>
      </c>
      <c r="C2305" s="54" t="s">
        <v>110</v>
      </c>
      <c r="D2305" s="30">
        <v>12</v>
      </c>
      <c r="E2305" s="54">
        <v>355.6</v>
      </c>
      <c r="F2305" s="54">
        <v>0</v>
      </c>
    </row>
    <row r="2306" spans="1:6" hidden="1" x14ac:dyDescent="0.25">
      <c r="A2306" s="54" t="s">
        <v>145</v>
      </c>
      <c r="B2306" s="54">
        <v>2016</v>
      </c>
      <c r="C2306" s="54" t="s">
        <v>99</v>
      </c>
      <c r="D2306" s="30">
        <v>1</v>
      </c>
      <c r="E2306" s="54">
        <v>328.7</v>
      </c>
      <c r="F2306" s="54">
        <v>0</v>
      </c>
    </row>
    <row r="2307" spans="1:6" hidden="1" x14ac:dyDescent="0.25">
      <c r="A2307" s="54" t="s">
        <v>145</v>
      </c>
      <c r="B2307" s="54">
        <v>2016</v>
      </c>
      <c r="C2307" s="54" t="s">
        <v>100</v>
      </c>
      <c r="D2307" s="30">
        <v>2</v>
      </c>
      <c r="E2307" s="54">
        <v>314.5</v>
      </c>
      <c r="F2307" s="54">
        <v>0</v>
      </c>
    </row>
    <row r="2308" spans="1:6" hidden="1" x14ac:dyDescent="0.25">
      <c r="A2308" s="54" t="s">
        <v>145</v>
      </c>
      <c r="B2308" s="54">
        <v>2016</v>
      </c>
      <c r="C2308" s="54" t="s">
        <v>101</v>
      </c>
      <c r="D2308" s="30">
        <v>3</v>
      </c>
      <c r="E2308" s="54">
        <v>324.89999999999998</v>
      </c>
      <c r="F2308" s="54">
        <v>0</v>
      </c>
    </row>
    <row r="2309" spans="1:6" hidden="1" x14ac:dyDescent="0.25">
      <c r="A2309" s="54" t="s">
        <v>145</v>
      </c>
      <c r="B2309" s="54">
        <v>2016</v>
      </c>
      <c r="C2309" s="54" t="s">
        <v>102</v>
      </c>
      <c r="D2309" s="30">
        <v>4</v>
      </c>
      <c r="E2309" s="54">
        <v>241.6</v>
      </c>
      <c r="F2309" s="54">
        <v>0.4</v>
      </c>
    </row>
    <row r="2310" spans="1:6" hidden="1" x14ac:dyDescent="0.25">
      <c r="A2310" s="54" t="s">
        <v>145</v>
      </c>
      <c r="B2310" s="54">
        <v>2016</v>
      </c>
      <c r="C2310" s="54" t="s">
        <v>103</v>
      </c>
      <c r="D2310" s="30">
        <v>5</v>
      </c>
      <c r="E2310" s="54">
        <v>122.4</v>
      </c>
      <c r="F2310" s="54">
        <v>15.3</v>
      </c>
    </row>
    <row r="2311" spans="1:6" hidden="1" x14ac:dyDescent="0.25">
      <c r="A2311" s="54" t="s">
        <v>145</v>
      </c>
      <c r="B2311" s="54">
        <v>2016</v>
      </c>
      <c r="C2311" s="54" t="s">
        <v>104</v>
      </c>
      <c r="D2311" s="30">
        <v>6</v>
      </c>
      <c r="E2311" s="54">
        <v>49.7</v>
      </c>
      <c r="F2311" s="54">
        <v>37.200000000000003</v>
      </c>
    </row>
    <row r="2312" spans="1:6" hidden="1" x14ac:dyDescent="0.25">
      <c r="A2312" s="54" t="s">
        <v>145</v>
      </c>
      <c r="B2312" s="54">
        <v>2016</v>
      </c>
      <c r="C2312" s="54" t="s">
        <v>105</v>
      </c>
      <c r="D2312" s="30">
        <v>7</v>
      </c>
      <c r="E2312" s="54">
        <v>33.799999999999997</v>
      </c>
      <c r="F2312" s="54">
        <v>95.2</v>
      </c>
    </row>
    <row r="2313" spans="1:6" hidden="1" x14ac:dyDescent="0.25">
      <c r="A2313" s="54" t="s">
        <v>145</v>
      </c>
      <c r="B2313" s="54">
        <v>2016</v>
      </c>
      <c r="C2313" s="54" t="s">
        <v>106</v>
      </c>
      <c r="D2313" s="30">
        <v>8</v>
      </c>
      <c r="E2313" s="54">
        <v>30.3</v>
      </c>
      <c r="F2313" s="54">
        <v>128.5</v>
      </c>
    </row>
    <row r="2314" spans="1:6" hidden="1" x14ac:dyDescent="0.25">
      <c r="A2314" s="54" t="s">
        <v>145</v>
      </c>
      <c r="B2314" s="54">
        <v>2016</v>
      </c>
      <c r="C2314" s="54" t="s">
        <v>107</v>
      </c>
      <c r="D2314" s="30">
        <v>9</v>
      </c>
      <c r="E2314" s="54">
        <v>36.1</v>
      </c>
      <c r="F2314" s="54">
        <v>78.5</v>
      </c>
    </row>
    <row r="2315" spans="1:6" hidden="1" x14ac:dyDescent="0.25">
      <c r="A2315" s="54" t="s">
        <v>145</v>
      </c>
      <c r="B2315" s="54">
        <v>2016</v>
      </c>
      <c r="C2315" s="54" t="s">
        <v>108</v>
      </c>
      <c r="D2315" s="30">
        <v>10</v>
      </c>
      <c r="E2315" s="54">
        <v>198.4</v>
      </c>
      <c r="F2315" s="54">
        <v>1.8</v>
      </c>
    </row>
    <row r="2316" spans="1:6" hidden="1" x14ac:dyDescent="0.25">
      <c r="A2316" s="54" t="s">
        <v>145</v>
      </c>
      <c r="B2316" s="54">
        <v>2016</v>
      </c>
      <c r="C2316" s="54" t="s">
        <v>109</v>
      </c>
      <c r="D2316" s="30">
        <v>11</v>
      </c>
      <c r="E2316" s="54">
        <v>275.7</v>
      </c>
      <c r="F2316" s="54">
        <v>0</v>
      </c>
    </row>
    <row r="2317" spans="1:6" hidden="1" x14ac:dyDescent="0.25">
      <c r="A2317" s="54" t="s">
        <v>145</v>
      </c>
      <c r="B2317" s="54">
        <v>2016</v>
      </c>
      <c r="C2317" s="54" t="s">
        <v>110</v>
      </c>
      <c r="D2317" s="30">
        <v>12</v>
      </c>
      <c r="E2317" s="54">
        <v>384.6</v>
      </c>
      <c r="F2317" s="54">
        <v>0</v>
      </c>
    </row>
    <row r="2318" spans="1:6" hidden="1" x14ac:dyDescent="0.25">
      <c r="A2318" s="53" t="s">
        <v>144</v>
      </c>
      <c r="B2318" s="53">
        <v>2017</v>
      </c>
      <c r="C2318" s="53" t="s">
        <v>99</v>
      </c>
      <c r="D2318" s="30">
        <v>1</v>
      </c>
      <c r="E2318" s="53">
        <v>427.2</v>
      </c>
      <c r="F2318" s="53">
        <v>0</v>
      </c>
    </row>
    <row r="2319" spans="1:6" hidden="1" x14ac:dyDescent="0.25">
      <c r="A2319" s="54" t="s">
        <v>144</v>
      </c>
      <c r="B2319" s="54">
        <v>2017</v>
      </c>
      <c r="C2319" s="54" t="s">
        <v>100</v>
      </c>
      <c r="D2319" s="30">
        <v>2</v>
      </c>
      <c r="E2319" s="54">
        <v>270.7</v>
      </c>
      <c r="F2319" s="54">
        <v>0</v>
      </c>
    </row>
    <row r="2320" spans="1:6" hidden="1" x14ac:dyDescent="0.25">
      <c r="A2320" s="54" t="s">
        <v>144</v>
      </c>
      <c r="B2320" s="54">
        <v>2017</v>
      </c>
      <c r="C2320" s="54" t="s">
        <v>101</v>
      </c>
      <c r="D2320" s="30">
        <v>3</v>
      </c>
      <c r="E2320" s="54">
        <v>222.3</v>
      </c>
      <c r="F2320" s="54">
        <v>2.8</v>
      </c>
    </row>
    <row r="2321" spans="1:6" hidden="1" x14ac:dyDescent="0.25">
      <c r="A2321" s="54" t="s">
        <v>144</v>
      </c>
      <c r="B2321" s="54">
        <v>2017</v>
      </c>
      <c r="C2321" s="54" t="s">
        <v>102</v>
      </c>
      <c r="D2321" s="30">
        <v>4</v>
      </c>
      <c r="E2321" s="54">
        <v>213.5</v>
      </c>
      <c r="F2321" s="54">
        <v>5.5</v>
      </c>
    </row>
    <row r="2322" spans="1:6" hidden="1" x14ac:dyDescent="0.25">
      <c r="A2322" s="54" t="s">
        <v>144</v>
      </c>
      <c r="B2322" s="54">
        <v>2017</v>
      </c>
      <c r="C2322" s="54" t="s">
        <v>103</v>
      </c>
      <c r="D2322" s="30">
        <v>5</v>
      </c>
      <c r="E2322" s="54">
        <v>93.2</v>
      </c>
      <c r="F2322" s="54">
        <v>49.9</v>
      </c>
    </row>
    <row r="2323" spans="1:6" hidden="1" x14ac:dyDescent="0.25">
      <c r="A2323" s="54" t="s">
        <v>144</v>
      </c>
      <c r="B2323" s="54">
        <v>2017</v>
      </c>
      <c r="C2323" s="54" t="s">
        <v>104</v>
      </c>
      <c r="D2323" s="30">
        <v>6</v>
      </c>
      <c r="E2323" s="54">
        <v>41.3</v>
      </c>
      <c r="F2323" s="54">
        <v>89.4</v>
      </c>
    </row>
    <row r="2324" spans="1:6" hidden="1" x14ac:dyDescent="0.25">
      <c r="A2324" s="54" t="s">
        <v>144</v>
      </c>
      <c r="B2324" s="54">
        <v>2017</v>
      </c>
      <c r="C2324" s="54" t="s">
        <v>105</v>
      </c>
      <c r="D2324" s="30">
        <v>7</v>
      </c>
      <c r="E2324" s="54">
        <v>25.5</v>
      </c>
      <c r="F2324" s="54">
        <v>102.9</v>
      </c>
    </row>
    <row r="2325" spans="1:6" hidden="1" x14ac:dyDescent="0.25">
      <c r="A2325" s="54" t="s">
        <v>144</v>
      </c>
      <c r="B2325" s="54">
        <v>2017</v>
      </c>
      <c r="C2325" s="54" t="s">
        <v>106</v>
      </c>
      <c r="D2325" s="30">
        <v>8</v>
      </c>
      <c r="E2325" s="54">
        <v>37.700000000000003</v>
      </c>
      <c r="F2325" s="54">
        <v>90.9</v>
      </c>
    </row>
    <row r="2326" spans="1:6" hidden="1" x14ac:dyDescent="0.25">
      <c r="A2326" s="54" t="s">
        <v>144</v>
      </c>
      <c r="B2326" s="54">
        <v>2017</v>
      </c>
      <c r="C2326" s="54" t="s">
        <v>107</v>
      </c>
      <c r="D2326" s="30">
        <v>9</v>
      </c>
      <c r="E2326" s="54">
        <v>88.6</v>
      </c>
      <c r="F2326" s="54">
        <v>19.7</v>
      </c>
    </row>
    <row r="2327" spans="1:6" hidden="1" x14ac:dyDescent="0.25">
      <c r="A2327" s="54" t="s">
        <v>144</v>
      </c>
      <c r="B2327" s="54">
        <v>2017</v>
      </c>
      <c r="C2327" s="54" t="s">
        <v>108</v>
      </c>
      <c r="D2327" s="30">
        <v>10</v>
      </c>
      <c r="E2327" s="54">
        <v>110.5</v>
      </c>
      <c r="F2327" s="54">
        <v>14.8</v>
      </c>
    </row>
    <row r="2328" spans="1:6" hidden="1" x14ac:dyDescent="0.25">
      <c r="A2328" s="54" t="s">
        <v>144</v>
      </c>
      <c r="B2328" s="54">
        <v>2017</v>
      </c>
      <c r="C2328" s="54" t="s">
        <v>109</v>
      </c>
      <c r="D2328" s="30">
        <v>11</v>
      </c>
      <c r="E2328" s="54">
        <v>278.7</v>
      </c>
      <c r="F2328" s="54">
        <v>0.5</v>
      </c>
    </row>
    <row r="2329" spans="1:6" hidden="1" x14ac:dyDescent="0.25">
      <c r="A2329" s="54" t="s">
        <v>144</v>
      </c>
      <c r="B2329" s="54">
        <v>2017</v>
      </c>
      <c r="C2329" s="54" t="s">
        <v>110</v>
      </c>
      <c r="D2329" s="30">
        <v>12</v>
      </c>
      <c r="E2329" s="54">
        <v>335.8</v>
      </c>
      <c r="F2329" s="54">
        <v>0</v>
      </c>
    </row>
    <row r="2330" spans="1:6" hidden="1" x14ac:dyDescent="0.25">
      <c r="A2330" s="54" t="s">
        <v>145</v>
      </c>
      <c r="B2330" s="54">
        <v>2017</v>
      </c>
      <c r="C2330" s="54" t="s">
        <v>99</v>
      </c>
      <c r="D2330" s="30">
        <v>1</v>
      </c>
      <c r="E2330" s="54">
        <v>444.3</v>
      </c>
      <c r="F2330" s="54">
        <v>0</v>
      </c>
    </row>
    <row r="2331" spans="1:6" hidden="1" x14ac:dyDescent="0.25">
      <c r="A2331" s="54" t="s">
        <v>145</v>
      </c>
      <c r="B2331" s="54">
        <v>2017</v>
      </c>
      <c r="C2331" s="54" t="s">
        <v>100</v>
      </c>
      <c r="D2331" s="30">
        <v>2</v>
      </c>
      <c r="E2331" s="54">
        <v>278.39999999999998</v>
      </c>
      <c r="F2331" s="54">
        <v>0</v>
      </c>
    </row>
    <row r="2332" spans="1:6" hidden="1" x14ac:dyDescent="0.25">
      <c r="A2332" s="54" t="s">
        <v>145</v>
      </c>
      <c r="B2332" s="54">
        <v>2017</v>
      </c>
      <c r="C2332" s="54" t="s">
        <v>101</v>
      </c>
      <c r="D2332" s="30">
        <v>3</v>
      </c>
      <c r="E2332" s="54">
        <v>225.6</v>
      </c>
      <c r="F2332" s="54">
        <v>2.7</v>
      </c>
    </row>
    <row r="2333" spans="1:6" hidden="1" x14ac:dyDescent="0.25">
      <c r="A2333" s="54" t="s">
        <v>145</v>
      </c>
      <c r="B2333" s="54">
        <v>2017</v>
      </c>
      <c r="C2333" s="54" t="s">
        <v>102</v>
      </c>
      <c r="D2333" s="30">
        <v>4</v>
      </c>
      <c r="E2333" s="54">
        <v>228.5</v>
      </c>
      <c r="F2333" s="54">
        <v>5.2</v>
      </c>
    </row>
    <row r="2334" spans="1:6" hidden="1" x14ac:dyDescent="0.25">
      <c r="A2334" s="54" t="s">
        <v>145</v>
      </c>
      <c r="B2334" s="54">
        <v>2017</v>
      </c>
      <c r="C2334" s="54" t="s">
        <v>103</v>
      </c>
      <c r="D2334" s="30">
        <v>5</v>
      </c>
      <c r="E2334" s="54">
        <v>100.1</v>
      </c>
      <c r="F2334" s="54">
        <v>40</v>
      </c>
    </row>
    <row r="2335" spans="1:6" hidden="1" x14ac:dyDescent="0.25">
      <c r="A2335" s="54" t="s">
        <v>145</v>
      </c>
      <c r="B2335" s="54">
        <v>2017</v>
      </c>
      <c r="C2335" s="54" t="s">
        <v>104</v>
      </c>
      <c r="D2335" s="30">
        <v>6</v>
      </c>
      <c r="E2335" s="54">
        <v>36</v>
      </c>
      <c r="F2335" s="54">
        <v>107.8</v>
      </c>
    </row>
    <row r="2336" spans="1:6" hidden="1" x14ac:dyDescent="0.25">
      <c r="A2336" s="54" t="s">
        <v>145</v>
      </c>
      <c r="B2336" s="54">
        <v>2017</v>
      </c>
      <c r="C2336" s="54" t="s">
        <v>105</v>
      </c>
      <c r="D2336" s="30">
        <v>7</v>
      </c>
      <c r="E2336" s="54">
        <v>22.2</v>
      </c>
      <c r="F2336" s="54">
        <v>108.4</v>
      </c>
    </row>
    <row r="2337" spans="1:6" hidden="1" x14ac:dyDescent="0.25">
      <c r="A2337" s="54" t="s">
        <v>145</v>
      </c>
      <c r="B2337" s="54">
        <v>2017</v>
      </c>
      <c r="C2337" s="54" t="s">
        <v>106</v>
      </c>
      <c r="D2337" s="30">
        <v>8</v>
      </c>
      <c r="E2337" s="54">
        <v>31</v>
      </c>
      <c r="F2337" s="54">
        <v>97.8</v>
      </c>
    </row>
    <row r="2338" spans="1:6" hidden="1" x14ac:dyDescent="0.25">
      <c r="A2338" s="54" t="s">
        <v>145</v>
      </c>
      <c r="B2338" s="54">
        <v>2017</v>
      </c>
      <c r="C2338" s="54" t="s">
        <v>107</v>
      </c>
      <c r="D2338" s="30">
        <v>9</v>
      </c>
      <c r="E2338" s="54">
        <v>80.3</v>
      </c>
      <c r="F2338" s="54">
        <v>21.7</v>
      </c>
    </row>
    <row r="2339" spans="1:6" hidden="1" x14ac:dyDescent="0.25">
      <c r="A2339" s="54" t="s">
        <v>145</v>
      </c>
      <c r="B2339" s="54">
        <v>2017</v>
      </c>
      <c r="C2339" s="54" t="s">
        <v>108</v>
      </c>
      <c r="D2339" s="30">
        <v>10</v>
      </c>
      <c r="E2339" s="54">
        <v>117.9</v>
      </c>
      <c r="F2339" s="54">
        <v>13.3</v>
      </c>
    </row>
    <row r="2340" spans="1:6" hidden="1" x14ac:dyDescent="0.25">
      <c r="A2340" s="54" t="s">
        <v>145</v>
      </c>
      <c r="B2340" s="54">
        <v>2017</v>
      </c>
      <c r="C2340" s="54" t="s">
        <v>109</v>
      </c>
      <c r="D2340" s="30">
        <v>11</v>
      </c>
      <c r="E2340" s="54">
        <v>281.7</v>
      </c>
      <c r="F2340" s="54">
        <v>0.3</v>
      </c>
    </row>
    <row r="2341" spans="1:6" hidden="1" x14ac:dyDescent="0.25">
      <c r="A2341" s="54" t="s">
        <v>145</v>
      </c>
      <c r="B2341" s="54">
        <v>2017</v>
      </c>
      <c r="C2341" s="54" t="s">
        <v>110</v>
      </c>
      <c r="D2341" s="30">
        <v>12</v>
      </c>
      <c r="E2341" s="54">
        <v>347.2</v>
      </c>
      <c r="F2341" s="54">
        <v>0</v>
      </c>
    </row>
    <row r="2342" spans="1:6" hidden="1" x14ac:dyDescent="0.25">
      <c r="A2342" s="53" t="s">
        <v>144</v>
      </c>
      <c r="B2342" s="53">
        <v>2018</v>
      </c>
      <c r="C2342" s="53" t="s">
        <v>99</v>
      </c>
      <c r="D2342" s="30">
        <v>1</v>
      </c>
      <c r="E2342" s="53">
        <v>278.60000000000002</v>
      </c>
      <c r="F2342" s="53">
        <v>0</v>
      </c>
    </row>
    <row r="2343" spans="1:6" hidden="1" x14ac:dyDescent="0.25">
      <c r="A2343" s="54" t="s">
        <v>144</v>
      </c>
      <c r="B2343" s="54">
        <v>2018</v>
      </c>
      <c r="C2343" s="54" t="s">
        <v>100</v>
      </c>
      <c r="D2343" s="30">
        <v>2</v>
      </c>
      <c r="E2343" s="54">
        <v>377.9</v>
      </c>
      <c r="F2343" s="54">
        <v>0</v>
      </c>
    </row>
    <row r="2344" spans="1:6" hidden="1" x14ac:dyDescent="0.25">
      <c r="A2344" s="54" t="s">
        <v>144</v>
      </c>
      <c r="B2344" s="54">
        <v>2018</v>
      </c>
      <c r="C2344" s="54" t="s">
        <v>101</v>
      </c>
      <c r="D2344" s="30">
        <v>3</v>
      </c>
      <c r="E2344" s="54">
        <v>295.39999999999998</v>
      </c>
      <c r="F2344" s="54">
        <v>0</v>
      </c>
    </row>
    <row r="2345" spans="1:6" hidden="1" x14ac:dyDescent="0.25">
      <c r="A2345" s="54" t="s">
        <v>144</v>
      </c>
      <c r="B2345" s="54">
        <v>2018</v>
      </c>
      <c r="C2345" s="54" t="s">
        <v>102</v>
      </c>
      <c r="D2345" s="30">
        <v>4</v>
      </c>
      <c r="E2345" s="54">
        <v>157.9</v>
      </c>
      <c r="F2345" s="54">
        <v>13.9</v>
      </c>
    </row>
    <row r="2346" spans="1:6" hidden="1" x14ac:dyDescent="0.25">
      <c r="A2346" s="54" t="s">
        <v>144</v>
      </c>
      <c r="B2346" s="54">
        <v>2018</v>
      </c>
      <c r="C2346" s="54" t="s">
        <v>103</v>
      </c>
      <c r="D2346" s="30">
        <v>5</v>
      </c>
      <c r="E2346" s="54">
        <v>92</v>
      </c>
      <c r="F2346" s="54">
        <v>39</v>
      </c>
    </row>
    <row r="2347" spans="1:6" hidden="1" x14ac:dyDescent="0.25">
      <c r="A2347" s="54" t="s">
        <v>144</v>
      </c>
      <c r="B2347" s="54">
        <v>2018</v>
      </c>
      <c r="C2347" s="54" t="s">
        <v>104</v>
      </c>
      <c r="D2347" s="30">
        <v>6</v>
      </c>
      <c r="E2347" s="54">
        <v>27.3</v>
      </c>
      <c r="F2347" s="54">
        <v>84.4</v>
      </c>
    </row>
    <row r="2348" spans="1:6" hidden="1" x14ac:dyDescent="0.25">
      <c r="A2348" s="54" t="s">
        <v>144</v>
      </c>
      <c r="B2348" s="54">
        <v>2018</v>
      </c>
      <c r="C2348" s="54" t="s">
        <v>105</v>
      </c>
      <c r="D2348" s="30">
        <v>7</v>
      </c>
      <c r="E2348" s="54">
        <v>11.6</v>
      </c>
      <c r="F2348" s="54">
        <v>135</v>
      </c>
    </row>
    <row r="2349" spans="1:6" hidden="1" x14ac:dyDescent="0.25">
      <c r="A2349" s="54" t="s">
        <v>144</v>
      </c>
      <c r="B2349" s="54">
        <v>2018</v>
      </c>
      <c r="C2349" s="54" t="s">
        <v>106</v>
      </c>
      <c r="D2349" s="30">
        <v>8</v>
      </c>
      <c r="E2349" s="54">
        <v>29.7</v>
      </c>
      <c r="F2349" s="54">
        <v>123.5</v>
      </c>
    </row>
    <row r="2350" spans="1:6" hidden="1" x14ac:dyDescent="0.25">
      <c r="A2350" s="54" t="s">
        <v>144</v>
      </c>
      <c r="B2350" s="54">
        <v>2018</v>
      </c>
      <c r="C2350" s="54" t="s">
        <v>107</v>
      </c>
      <c r="D2350" s="30">
        <v>9</v>
      </c>
      <c r="E2350" s="54">
        <v>61.1</v>
      </c>
      <c r="F2350" s="54">
        <v>61.6</v>
      </c>
    </row>
    <row r="2351" spans="1:6" hidden="1" x14ac:dyDescent="0.25">
      <c r="A2351" s="54" t="s">
        <v>144</v>
      </c>
      <c r="B2351" s="54">
        <v>2018</v>
      </c>
      <c r="C2351" s="54" t="s">
        <v>108</v>
      </c>
      <c r="D2351" s="30">
        <v>10</v>
      </c>
      <c r="E2351" s="54">
        <v>146.6</v>
      </c>
      <c r="F2351" s="54">
        <v>20.9</v>
      </c>
    </row>
    <row r="2352" spans="1:6" hidden="1" x14ac:dyDescent="0.25">
      <c r="A2352" s="54" t="s">
        <v>144</v>
      </c>
      <c r="B2352" s="54">
        <v>2018</v>
      </c>
      <c r="C2352" s="54" t="s">
        <v>109</v>
      </c>
      <c r="D2352" s="30">
        <v>11</v>
      </c>
      <c r="E2352" s="54">
        <v>267.7</v>
      </c>
      <c r="F2352" s="54">
        <v>0.1</v>
      </c>
    </row>
    <row r="2353" spans="1:6" hidden="1" x14ac:dyDescent="0.25">
      <c r="A2353" s="54" t="s">
        <v>144</v>
      </c>
      <c r="B2353" s="54">
        <v>2018</v>
      </c>
      <c r="C2353" s="54" t="s">
        <v>110</v>
      </c>
      <c r="D2353" s="30">
        <v>12</v>
      </c>
      <c r="E2353" s="54">
        <v>285.89999999999998</v>
      </c>
      <c r="F2353" s="54">
        <v>0</v>
      </c>
    </row>
    <row r="2354" spans="1:6" hidden="1" x14ac:dyDescent="0.25">
      <c r="A2354" s="54" t="s">
        <v>145</v>
      </c>
      <c r="B2354" s="54">
        <v>2018</v>
      </c>
      <c r="C2354" s="54" t="s">
        <v>99</v>
      </c>
      <c r="D2354" s="30">
        <v>1</v>
      </c>
      <c r="E2354" s="54">
        <v>277.39999999999998</v>
      </c>
      <c r="F2354" s="54">
        <v>0</v>
      </c>
    </row>
    <row r="2355" spans="1:6" hidden="1" x14ac:dyDescent="0.25">
      <c r="A2355" s="54" t="s">
        <v>145</v>
      </c>
      <c r="B2355" s="54">
        <v>2018</v>
      </c>
      <c r="C2355" s="54" t="s">
        <v>100</v>
      </c>
      <c r="D2355" s="30">
        <v>2</v>
      </c>
      <c r="E2355" s="54">
        <v>393.5</v>
      </c>
      <c r="F2355" s="54">
        <v>0</v>
      </c>
    </row>
    <row r="2356" spans="1:6" hidden="1" x14ac:dyDescent="0.25">
      <c r="A2356" s="54" t="s">
        <v>145</v>
      </c>
      <c r="B2356" s="54">
        <v>2018</v>
      </c>
      <c r="C2356" s="54" t="s">
        <v>101</v>
      </c>
      <c r="D2356" s="30">
        <v>3</v>
      </c>
      <c r="E2356" s="54">
        <v>296</v>
      </c>
      <c r="F2356" s="54">
        <v>0</v>
      </c>
    </row>
    <row r="2357" spans="1:6" hidden="1" x14ac:dyDescent="0.25">
      <c r="A2357" s="54" t="s">
        <v>145</v>
      </c>
      <c r="B2357" s="54">
        <v>2018</v>
      </c>
      <c r="C2357" s="54" t="s">
        <v>102</v>
      </c>
      <c r="D2357" s="30">
        <v>4</v>
      </c>
      <c r="E2357" s="54">
        <v>152.4</v>
      </c>
      <c r="F2357" s="54">
        <v>16</v>
      </c>
    </row>
    <row r="2358" spans="1:6" hidden="1" x14ac:dyDescent="0.25">
      <c r="A2358" s="54" t="s">
        <v>145</v>
      </c>
      <c r="B2358" s="54">
        <v>2018</v>
      </c>
      <c r="C2358" s="54" t="s">
        <v>103</v>
      </c>
      <c r="D2358" s="30">
        <v>5</v>
      </c>
      <c r="E2358" s="54">
        <v>95</v>
      </c>
      <c r="F2358" s="54">
        <v>42.1</v>
      </c>
    </row>
    <row r="2359" spans="1:6" hidden="1" x14ac:dyDescent="0.25">
      <c r="A2359" s="54" t="s">
        <v>145</v>
      </c>
      <c r="B2359" s="54">
        <v>2018</v>
      </c>
      <c r="C2359" s="54" t="s">
        <v>104</v>
      </c>
      <c r="D2359" s="30">
        <v>6</v>
      </c>
      <c r="E2359" s="54">
        <v>29.5</v>
      </c>
      <c r="F2359" s="54">
        <v>74.5</v>
      </c>
    </row>
    <row r="2360" spans="1:6" hidden="1" x14ac:dyDescent="0.25">
      <c r="A2360" s="54" t="s">
        <v>145</v>
      </c>
      <c r="B2360" s="54">
        <v>2018</v>
      </c>
      <c r="C2360" s="54" t="s">
        <v>105</v>
      </c>
      <c r="D2360" s="30">
        <v>7</v>
      </c>
      <c r="E2360" s="54">
        <v>10.8</v>
      </c>
      <c r="F2360" s="54">
        <v>155.5</v>
      </c>
    </row>
    <row r="2361" spans="1:6" hidden="1" x14ac:dyDescent="0.25">
      <c r="A2361" s="54" t="s">
        <v>145</v>
      </c>
      <c r="B2361" s="54">
        <v>2018</v>
      </c>
      <c r="C2361" s="54" t="s">
        <v>106</v>
      </c>
      <c r="D2361" s="30">
        <v>8</v>
      </c>
      <c r="E2361" s="54">
        <v>26.5</v>
      </c>
      <c r="F2361" s="54">
        <v>135</v>
      </c>
    </row>
    <row r="2362" spans="1:6" hidden="1" x14ac:dyDescent="0.25">
      <c r="A2362" s="54" t="s">
        <v>145</v>
      </c>
      <c r="B2362" s="54">
        <v>2018</v>
      </c>
      <c r="C2362" s="54" t="s">
        <v>107</v>
      </c>
      <c r="D2362" s="30">
        <v>9</v>
      </c>
      <c r="E2362" s="54">
        <v>74.5</v>
      </c>
      <c r="F2362" s="54">
        <v>61.2</v>
      </c>
    </row>
    <row r="2363" spans="1:6" hidden="1" x14ac:dyDescent="0.25">
      <c r="A2363" s="54" t="s">
        <v>145</v>
      </c>
      <c r="B2363" s="54">
        <v>2018</v>
      </c>
      <c r="C2363" s="54" t="s">
        <v>108</v>
      </c>
      <c r="D2363" s="30">
        <v>10</v>
      </c>
      <c r="E2363" s="54">
        <v>156.9</v>
      </c>
      <c r="F2363" s="54">
        <v>20.7</v>
      </c>
    </row>
    <row r="2364" spans="1:6" hidden="1" x14ac:dyDescent="0.25">
      <c r="A2364" s="54" t="s">
        <v>145</v>
      </c>
      <c r="B2364" s="54">
        <v>2018</v>
      </c>
      <c r="C2364" s="54" t="s">
        <v>109</v>
      </c>
      <c r="D2364" s="30">
        <v>11</v>
      </c>
      <c r="E2364" s="54">
        <v>274.5</v>
      </c>
      <c r="F2364" s="54">
        <v>0</v>
      </c>
    </row>
    <row r="2365" spans="1:6" hidden="1" x14ac:dyDescent="0.25">
      <c r="A2365" s="54" t="s">
        <v>145</v>
      </c>
      <c r="B2365" s="54">
        <v>2018</v>
      </c>
      <c r="C2365" s="54" t="s">
        <v>110</v>
      </c>
      <c r="D2365" s="30">
        <v>12</v>
      </c>
      <c r="E2365" s="54">
        <v>302.89999999999998</v>
      </c>
      <c r="F2365" s="54">
        <v>0</v>
      </c>
    </row>
    <row r="2366" spans="1:6" hidden="1" x14ac:dyDescent="0.25">
      <c r="A2366" s="53" t="s">
        <v>144</v>
      </c>
      <c r="B2366" s="53">
        <v>2019</v>
      </c>
      <c r="C2366" s="53" t="s">
        <v>99</v>
      </c>
      <c r="D2366" s="30">
        <v>1</v>
      </c>
      <c r="E2366" s="53">
        <v>375.6</v>
      </c>
      <c r="F2366" s="53">
        <v>0</v>
      </c>
    </row>
    <row r="2367" spans="1:6" hidden="1" x14ac:dyDescent="0.25">
      <c r="A2367" s="54" t="s">
        <v>144</v>
      </c>
      <c r="B2367" s="54">
        <v>2019</v>
      </c>
      <c r="C2367" s="54" t="s">
        <v>100</v>
      </c>
      <c r="D2367" s="30">
        <v>2</v>
      </c>
      <c r="E2367" s="54">
        <v>268.3</v>
      </c>
      <c r="F2367" s="54">
        <v>1.5</v>
      </c>
    </row>
    <row r="2368" spans="1:6" hidden="1" x14ac:dyDescent="0.25">
      <c r="A2368" s="54" t="s">
        <v>144</v>
      </c>
      <c r="B2368" s="54">
        <v>2019</v>
      </c>
      <c r="C2368" s="54" t="s">
        <v>101</v>
      </c>
      <c r="D2368" s="30">
        <v>3</v>
      </c>
      <c r="E2368" s="54">
        <v>249.7</v>
      </c>
      <c r="F2368" s="54">
        <v>0.8</v>
      </c>
    </row>
    <row r="2369" spans="1:6" hidden="1" x14ac:dyDescent="0.25">
      <c r="A2369" s="54" t="s">
        <v>144</v>
      </c>
      <c r="B2369" s="54">
        <v>2019</v>
      </c>
      <c r="C2369" s="54" t="s">
        <v>102</v>
      </c>
      <c r="D2369" s="30">
        <v>4</v>
      </c>
      <c r="E2369" s="54">
        <v>201.3</v>
      </c>
      <c r="F2369" s="54">
        <v>8.4</v>
      </c>
    </row>
    <row r="2370" spans="1:6" hidden="1" x14ac:dyDescent="0.25">
      <c r="A2370" s="54" t="s">
        <v>144</v>
      </c>
      <c r="B2370" s="54">
        <v>2019</v>
      </c>
      <c r="C2370" s="54" t="s">
        <v>103</v>
      </c>
      <c r="D2370" s="30">
        <v>5</v>
      </c>
      <c r="E2370" s="54">
        <v>141.9</v>
      </c>
      <c r="F2370" s="54">
        <v>11.9</v>
      </c>
    </row>
    <row r="2371" spans="1:6" hidden="1" x14ac:dyDescent="0.25">
      <c r="A2371" s="54" t="s">
        <v>144</v>
      </c>
      <c r="B2371" s="54">
        <v>2019</v>
      </c>
      <c r="C2371" s="54" t="s">
        <v>104</v>
      </c>
      <c r="D2371" s="30">
        <v>6</v>
      </c>
      <c r="E2371" s="54">
        <v>63.9</v>
      </c>
      <c r="F2371" s="54">
        <v>83.3</v>
      </c>
    </row>
    <row r="2372" spans="1:6" hidden="1" x14ac:dyDescent="0.25">
      <c r="A2372" s="54" t="s">
        <v>144</v>
      </c>
      <c r="B2372" s="54">
        <v>2019</v>
      </c>
      <c r="C2372" s="54" t="s">
        <v>105</v>
      </c>
      <c r="D2372" s="30">
        <v>7</v>
      </c>
      <c r="E2372" s="54">
        <v>17.100000000000001</v>
      </c>
      <c r="F2372" s="54">
        <v>144.30000000000001</v>
      </c>
    </row>
    <row r="2373" spans="1:6" hidden="1" x14ac:dyDescent="0.25">
      <c r="A2373" s="54" t="s">
        <v>144</v>
      </c>
      <c r="B2373" s="54">
        <v>2019</v>
      </c>
      <c r="C2373" s="54" t="s">
        <v>106</v>
      </c>
      <c r="D2373" s="30">
        <v>8</v>
      </c>
      <c r="E2373" s="54">
        <v>28.9</v>
      </c>
      <c r="F2373" s="54">
        <v>98.3</v>
      </c>
    </row>
    <row r="2374" spans="1:6" hidden="1" x14ac:dyDescent="0.25">
      <c r="A2374" s="54" t="s">
        <v>144</v>
      </c>
      <c r="B2374" s="54">
        <v>2019</v>
      </c>
      <c r="C2374" s="54" t="s">
        <v>107</v>
      </c>
      <c r="D2374" s="30">
        <v>9</v>
      </c>
      <c r="E2374" s="54">
        <v>54</v>
      </c>
      <c r="F2374" s="54">
        <v>51.9</v>
      </c>
    </row>
    <row r="2375" spans="1:6" hidden="1" x14ac:dyDescent="0.25">
      <c r="A2375" s="54" t="s">
        <v>144</v>
      </c>
      <c r="B2375" s="54">
        <v>2019</v>
      </c>
      <c r="C2375" s="54" t="s">
        <v>108</v>
      </c>
      <c r="D2375" s="30">
        <v>10</v>
      </c>
      <c r="E2375" s="54">
        <v>116.9</v>
      </c>
      <c r="F2375" s="54">
        <v>5.8</v>
      </c>
    </row>
    <row r="2376" spans="1:6" hidden="1" x14ac:dyDescent="0.25">
      <c r="A2376" s="54" t="s">
        <v>144</v>
      </c>
      <c r="B2376" s="54">
        <v>2019</v>
      </c>
      <c r="C2376" s="54" t="s">
        <v>109</v>
      </c>
      <c r="D2376" s="30">
        <v>11</v>
      </c>
      <c r="E2376" s="54">
        <v>282.39999999999998</v>
      </c>
      <c r="F2376" s="54">
        <v>0</v>
      </c>
    </row>
    <row r="2377" spans="1:6" hidden="1" x14ac:dyDescent="0.25">
      <c r="A2377" s="54" t="s">
        <v>144</v>
      </c>
      <c r="B2377" s="54">
        <v>2019</v>
      </c>
      <c r="C2377" s="54" t="s">
        <v>110</v>
      </c>
      <c r="D2377" s="30">
        <v>12</v>
      </c>
      <c r="E2377" s="54">
        <v>302.60000000000002</v>
      </c>
      <c r="F2377" s="54">
        <v>0</v>
      </c>
    </row>
    <row r="2378" spans="1:6" hidden="1" x14ac:dyDescent="0.25">
      <c r="A2378" s="54" t="s">
        <v>145</v>
      </c>
      <c r="B2378" s="54">
        <v>2019</v>
      </c>
      <c r="C2378" s="54" t="s">
        <v>99</v>
      </c>
      <c r="D2378" s="30">
        <v>1</v>
      </c>
      <c r="E2378" s="54">
        <v>390.6</v>
      </c>
      <c r="F2378" s="54">
        <v>0</v>
      </c>
    </row>
    <row r="2379" spans="1:6" hidden="1" x14ac:dyDescent="0.25">
      <c r="A2379" s="54" t="s">
        <v>145</v>
      </c>
      <c r="B2379" s="54">
        <v>2019</v>
      </c>
      <c r="C2379" s="54" t="s">
        <v>100</v>
      </c>
      <c r="D2379" s="30">
        <v>2</v>
      </c>
      <c r="E2379" s="54">
        <v>283.8</v>
      </c>
      <c r="F2379" s="54">
        <v>0.6</v>
      </c>
    </row>
    <row r="2380" spans="1:6" hidden="1" x14ac:dyDescent="0.25">
      <c r="A2380" s="54" t="s">
        <v>145</v>
      </c>
      <c r="B2380" s="54">
        <v>2019</v>
      </c>
      <c r="C2380" s="54" t="s">
        <v>101</v>
      </c>
      <c r="D2380" s="30">
        <v>3</v>
      </c>
      <c r="E2380" s="54">
        <v>253.7</v>
      </c>
      <c r="F2380" s="54">
        <v>0.7</v>
      </c>
    </row>
    <row r="2381" spans="1:6" hidden="1" x14ac:dyDescent="0.25">
      <c r="A2381" s="54" t="s">
        <v>145</v>
      </c>
      <c r="B2381" s="54">
        <v>2019</v>
      </c>
      <c r="C2381" s="54" t="s">
        <v>102</v>
      </c>
      <c r="D2381" s="30">
        <v>4</v>
      </c>
      <c r="E2381" s="54">
        <v>208.8</v>
      </c>
      <c r="F2381" s="54">
        <v>8.1999999999999993</v>
      </c>
    </row>
    <row r="2382" spans="1:6" hidden="1" x14ac:dyDescent="0.25">
      <c r="A2382" s="54" t="s">
        <v>145</v>
      </c>
      <c r="B2382" s="54">
        <v>2019</v>
      </c>
      <c r="C2382" s="54" t="s">
        <v>103</v>
      </c>
      <c r="D2382" s="30">
        <v>5</v>
      </c>
      <c r="E2382" s="54">
        <v>146.4</v>
      </c>
      <c r="F2382" s="54">
        <v>13.2</v>
      </c>
    </row>
    <row r="2383" spans="1:6" hidden="1" x14ac:dyDescent="0.25">
      <c r="A2383" s="54" t="s">
        <v>145</v>
      </c>
      <c r="B2383" s="54">
        <v>2019</v>
      </c>
      <c r="C2383" s="54" t="s">
        <v>104</v>
      </c>
      <c r="D2383" s="30">
        <v>6</v>
      </c>
      <c r="E2383" s="54">
        <v>57.8</v>
      </c>
      <c r="F2383" s="54">
        <v>95.9</v>
      </c>
    </row>
    <row r="2384" spans="1:6" hidden="1" x14ac:dyDescent="0.25">
      <c r="A2384" s="54" t="s">
        <v>145</v>
      </c>
      <c r="B2384" s="54">
        <v>2019</v>
      </c>
      <c r="C2384" s="54" t="s">
        <v>105</v>
      </c>
      <c r="D2384" s="30">
        <v>7</v>
      </c>
      <c r="E2384" s="54">
        <v>20.2</v>
      </c>
      <c r="F2384" s="54">
        <v>151.6</v>
      </c>
    </row>
    <row r="2385" spans="1:6" hidden="1" x14ac:dyDescent="0.25">
      <c r="A2385" s="54" t="s">
        <v>145</v>
      </c>
      <c r="B2385" s="54">
        <v>2019</v>
      </c>
      <c r="C2385" s="54" t="s">
        <v>106</v>
      </c>
      <c r="D2385" s="30">
        <v>8</v>
      </c>
      <c r="E2385" s="54">
        <v>28.7</v>
      </c>
      <c r="F2385" s="54">
        <v>107.1</v>
      </c>
    </row>
    <row r="2386" spans="1:6" hidden="1" x14ac:dyDescent="0.25">
      <c r="A2386" s="54" t="s">
        <v>145</v>
      </c>
      <c r="B2386" s="54">
        <v>2019</v>
      </c>
      <c r="C2386" s="54" t="s">
        <v>107</v>
      </c>
      <c r="D2386" s="30">
        <v>9</v>
      </c>
      <c r="E2386" s="54">
        <v>63.1</v>
      </c>
      <c r="F2386" s="54">
        <v>48.3</v>
      </c>
    </row>
    <row r="2387" spans="1:6" hidden="1" x14ac:dyDescent="0.25">
      <c r="A2387" s="54" t="s">
        <v>145</v>
      </c>
      <c r="B2387" s="54">
        <v>2019</v>
      </c>
      <c r="C2387" s="54" t="s">
        <v>108</v>
      </c>
      <c r="D2387" s="30">
        <v>10</v>
      </c>
      <c r="E2387" s="54">
        <v>115.9</v>
      </c>
      <c r="F2387" s="54">
        <v>9.3000000000000007</v>
      </c>
    </row>
    <row r="2388" spans="1:6" hidden="1" x14ac:dyDescent="0.25">
      <c r="A2388" s="54" t="s">
        <v>145</v>
      </c>
      <c r="B2388" s="54">
        <v>2019</v>
      </c>
      <c r="C2388" s="54" t="s">
        <v>109</v>
      </c>
      <c r="D2388" s="30">
        <v>11</v>
      </c>
      <c r="E2388" s="54">
        <v>282.3</v>
      </c>
      <c r="F2388" s="54">
        <v>0</v>
      </c>
    </row>
    <row r="2389" spans="1:6" hidden="1" x14ac:dyDescent="0.25">
      <c r="A2389" s="54" t="s">
        <v>145</v>
      </c>
      <c r="B2389" s="54">
        <v>2019</v>
      </c>
      <c r="C2389" s="54" t="s">
        <v>110</v>
      </c>
      <c r="D2389" s="30">
        <v>12</v>
      </c>
      <c r="E2389" s="54">
        <v>309.60000000000002</v>
      </c>
      <c r="F2389" s="54">
        <v>0</v>
      </c>
    </row>
    <row r="2390" spans="1:6" hidden="1" x14ac:dyDescent="0.25">
      <c r="A2390" s="53" t="s">
        <v>144</v>
      </c>
      <c r="B2390" s="53">
        <v>2020</v>
      </c>
      <c r="C2390" s="53" t="s">
        <v>99</v>
      </c>
      <c r="D2390" s="30">
        <v>1</v>
      </c>
      <c r="E2390" s="53">
        <v>306.3</v>
      </c>
      <c r="F2390" s="53">
        <v>0</v>
      </c>
    </row>
    <row r="2391" spans="1:6" hidden="1" x14ac:dyDescent="0.25">
      <c r="A2391" s="54" t="s">
        <v>144</v>
      </c>
      <c r="B2391" s="54">
        <v>2020</v>
      </c>
      <c r="C2391" s="54" t="s">
        <v>100</v>
      </c>
      <c r="D2391" s="30">
        <v>2</v>
      </c>
      <c r="E2391" s="54">
        <v>240.6</v>
      </c>
      <c r="F2391" s="54">
        <v>0</v>
      </c>
    </row>
    <row r="2392" spans="1:6" hidden="1" x14ac:dyDescent="0.25">
      <c r="A2392" s="54" t="s">
        <v>144</v>
      </c>
      <c r="B2392" s="54">
        <v>2020</v>
      </c>
      <c r="C2392" s="54" t="s">
        <v>101</v>
      </c>
      <c r="D2392" s="30">
        <v>3</v>
      </c>
      <c r="E2392" s="54">
        <v>258</v>
      </c>
      <c r="F2392" s="54">
        <v>1.2</v>
      </c>
    </row>
    <row r="2393" spans="1:6" hidden="1" x14ac:dyDescent="0.25">
      <c r="A2393" s="54" t="s">
        <v>144</v>
      </c>
      <c r="B2393" s="54">
        <v>2020</v>
      </c>
      <c r="C2393" s="54" t="s">
        <v>102</v>
      </c>
      <c r="D2393" s="30">
        <v>4</v>
      </c>
      <c r="E2393" s="54">
        <v>126</v>
      </c>
      <c r="F2393" s="54">
        <v>18.899999999999999</v>
      </c>
    </row>
    <row r="2394" spans="1:6" hidden="1" x14ac:dyDescent="0.25">
      <c r="A2394" s="54" t="s">
        <v>144</v>
      </c>
      <c r="B2394" s="54">
        <v>2020</v>
      </c>
      <c r="C2394" s="54" t="s">
        <v>103</v>
      </c>
      <c r="D2394" s="30">
        <v>5</v>
      </c>
      <c r="E2394" s="54">
        <v>86.7</v>
      </c>
      <c r="F2394" s="54">
        <v>47.7</v>
      </c>
    </row>
    <row r="2395" spans="1:6" hidden="1" x14ac:dyDescent="0.25">
      <c r="A2395" s="54" t="s">
        <v>144</v>
      </c>
      <c r="B2395" s="54">
        <v>2020</v>
      </c>
      <c r="C2395" s="54" t="s">
        <v>104</v>
      </c>
      <c r="D2395" s="30">
        <v>6</v>
      </c>
      <c r="E2395" s="54">
        <v>61.6</v>
      </c>
      <c r="F2395" s="54">
        <v>40.6</v>
      </c>
    </row>
    <row r="2396" spans="1:6" hidden="1" x14ac:dyDescent="0.25">
      <c r="A2396" s="54" t="s">
        <v>144</v>
      </c>
      <c r="B2396" s="54">
        <v>2020</v>
      </c>
      <c r="C2396" s="54" t="s">
        <v>105</v>
      </c>
      <c r="D2396" s="30">
        <v>7</v>
      </c>
      <c r="E2396" s="54">
        <v>34.799999999999997</v>
      </c>
      <c r="F2396" s="54">
        <v>90</v>
      </c>
    </row>
    <row r="2397" spans="1:6" hidden="1" x14ac:dyDescent="0.25">
      <c r="A2397" s="54" t="s">
        <v>144</v>
      </c>
      <c r="B2397" s="54">
        <v>2020</v>
      </c>
      <c r="C2397" s="54" t="s">
        <v>106</v>
      </c>
      <c r="D2397" s="30">
        <v>8</v>
      </c>
      <c r="E2397" s="54">
        <v>29.5</v>
      </c>
      <c r="F2397" s="54">
        <v>118.2</v>
      </c>
    </row>
    <row r="2398" spans="1:6" hidden="1" x14ac:dyDescent="0.25">
      <c r="A2398" s="54" t="s">
        <v>144</v>
      </c>
      <c r="B2398" s="54">
        <v>2020</v>
      </c>
      <c r="C2398" s="54" t="s">
        <v>107</v>
      </c>
      <c r="D2398" s="30">
        <v>9</v>
      </c>
      <c r="E2398" s="54">
        <v>59.1</v>
      </c>
      <c r="F2398" s="54">
        <v>68.8</v>
      </c>
    </row>
    <row r="2399" spans="1:6" hidden="1" x14ac:dyDescent="0.25">
      <c r="A2399" s="54" t="s">
        <v>144</v>
      </c>
      <c r="B2399" s="54">
        <v>2020</v>
      </c>
      <c r="C2399" s="54" t="s">
        <v>108</v>
      </c>
      <c r="D2399" s="30">
        <v>10</v>
      </c>
      <c r="E2399" s="54">
        <v>164.3</v>
      </c>
      <c r="F2399" s="54">
        <v>1.6</v>
      </c>
    </row>
    <row r="2400" spans="1:6" hidden="1" x14ac:dyDescent="0.25">
      <c r="A2400" s="54" t="s">
        <v>144</v>
      </c>
      <c r="B2400" s="54">
        <v>2020</v>
      </c>
      <c r="C2400" s="54" t="s">
        <v>109</v>
      </c>
      <c r="D2400" s="30">
        <v>11</v>
      </c>
      <c r="E2400" s="54">
        <v>218.5</v>
      </c>
      <c r="F2400" s="54">
        <v>0.6</v>
      </c>
    </row>
    <row r="2401" spans="1:6" hidden="1" x14ac:dyDescent="0.25">
      <c r="A2401" s="54" t="s">
        <v>144</v>
      </c>
      <c r="B2401" s="54">
        <v>2020</v>
      </c>
      <c r="C2401" s="54" t="s">
        <v>110</v>
      </c>
      <c r="D2401" s="30">
        <v>12</v>
      </c>
      <c r="E2401" s="54">
        <v>321.60000000000002</v>
      </c>
      <c r="F2401" s="54">
        <v>0</v>
      </c>
    </row>
    <row r="2402" spans="1:6" hidden="1" x14ac:dyDescent="0.25">
      <c r="A2402" s="54" t="s">
        <v>145</v>
      </c>
      <c r="B2402" s="54">
        <v>2020</v>
      </c>
      <c r="C2402" s="54" t="s">
        <v>99</v>
      </c>
      <c r="D2402" s="30">
        <v>1</v>
      </c>
      <c r="E2402" s="54">
        <v>316.8</v>
      </c>
      <c r="F2402" s="54">
        <v>0</v>
      </c>
    </row>
    <row r="2403" spans="1:6" hidden="1" x14ac:dyDescent="0.25">
      <c r="A2403" s="54" t="s">
        <v>145</v>
      </c>
      <c r="B2403" s="54">
        <v>2020</v>
      </c>
      <c r="C2403" s="54" t="s">
        <v>100</v>
      </c>
      <c r="D2403" s="30">
        <v>2</v>
      </c>
      <c r="E2403" s="54">
        <v>239.4</v>
      </c>
      <c r="F2403" s="54">
        <v>0.1</v>
      </c>
    </row>
    <row r="2404" spans="1:6" hidden="1" x14ac:dyDescent="0.25">
      <c r="A2404" s="54" t="s">
        <v>145</v>
      </c>
      <c r="B2404" s="54">
        <v>2020</v>
      </c>
      <c r="C2404" s="54" t="s">
        <v>101</v>
      </c>
      <c r="D2404" s="30">
        <v>3</v>
      </c>
      <c r="E2404" s="54">
        <v>270.5</v>
      </c>
      <c r="F2404" s="54">
        <v>1.2</v>
      </c>
    </row>
    <row r="2405" spans="1:6" hidden="1" x14ac:dyDescent="0.25">
      <c r="A2405" s="54" t="s">
        <v>145</v>
      </c>
      <c r="B2405" s="54">
        <v>2020</v>
      </c>
      <c r="C2405" s="54" t="s">
        <v>102</v>
      </c>
      <c r="D2405" s="30">
        <v>4</v>
      </c>
      <c r="E2405" s="54">
        <v>132.69999999999999</v>
      </c>
      <c r="F2405" s="54">
        <v>23.1</v>
      </c>
    </row>
    <row r="2406" spans="1:6" hidden="1" x14ac:dyDescent="0.25">
      <c r="A2406" s="54" t="s">
        <v>145</v>
      </c>
      <c r="B2406" s="54">
        <v>2020</v>
      </c>
      <c r="C2406" s="54" t="s">
        <v>103</v>
      </c>
      <c r="D2406" s="30">
        <v>5</v>
      </c>
      <c r="E2406" s="54">
        <v>99.9</v>
      </c>
      <c r="F2406" s="54">
        <v>42.8</v>
      </c>
    </row>
    <row r="2407" spans="1:6" hidden="1" x14ac:dyDescent="0.25">
      <c r="A2407" s="54" t="s">
        <v>145</v>
      </c>
      <c r="B2407" s="54">
        <v>2020</v>
      </c>
      <c r="C2407" s="54" t="s">
        <v>104</v>
      </c>
      <c r="D2407" s="30">
        <v>6</v>
      </c>
      <c r="E2407" s="54">
        <v>59.4</v>
      </c>
      <c r="F2407" s="54">
        <v>47.2</v>
      </c>
    </row>
    <row r="2408" spans="1:6" hidden="1" x14ac:dyDescent="0.25">
      <c r="A2408" s="54" t="s">
        <v>145</v>
      </c>
      <c r="B2408" s="54">
        <v>2020</v>
      </c>
      <c r="C2408" s="54" t="s">
        <v>105</v>
      </c>
      <c r="D2408" s="30">
        <v>7</v>
      </c>
      <c r="E2408" s="54">
        <v>36.200000000000003</v>
      </c>
      <c r="F2408" s="54">
        <v>95.6</v>
      </c>
    </row>
    <row r="2409" spans="1:6" hidden="1" x14ac:dyDescent="0.25">
      <c r="A2409" s="54" t="s">
        <v>145</v>
      </c>
      <c r="B2409" s="54">
        <v>2020</v>
      </c>
      <c r="C2409" s="54" t="s">
        <v>106</v>
      </c>
      <c r="D2409" s="30">
        <v>8</v>
      </c>
      <c r="E2409" s="54">
        <v>24.6</v>
      </c>
      <c r="F2409" s="54">
        <v>128.5</v>
      </c>
    </row>
    <row r="2410" spans="1:6" hidden="1" x14ac:dyDescent="0.25">
      <c r="A2410" s="54" t="s">
        <v>145</v>
      </c>
      <c r="B2410" s="54">
        <v>2020</v>
      </c>
      <c r="C2410" s="54" t="s">
        <v>107</v>
      </c>
      <c r="D2410" s="30">
        <v>9</v>
      </c>
      <c r="E2410" s="54">
        <v>59.5</v>
      </c>
      <c r="F2410" s="54">
        <v>72</v>
      </c>
    </row>
    <row r="2411" spans="1:6" hidden="1" x14ac:dyDescent="0.25">
      <c r="A2411" s="54" t="s">
        <v>145</v>
      </c>
      <c r="B2411" s="54">
        <v>2020</v>
      </c>
      <c r="C2411" s="54" t="s">
        <v>108</v>
      </c>
      <c r="D2411" s="30">
        <v>10</v>
      </c>
      <c r="E2411" s="54">
        <v>157.9</v>
      </c>
      <c r="F2411" s="54">
        <v>1.7</v>
      </c>
    </row>
    <row r="2412" spans="1:6" hidden="1" x14ac:dyDescent="0.25">
      <c r="A2412" s="54" t="s">
        <v>145</v>
      </c>
      <c r="B2412" s="54">
        <v>2020</v>
      </c>
      <c r="C2412" s="54" t="s">
        <v>109</v>
      </c>
      <c r="D2412" s="30">
        <v>11</v>
      </c>
      <c r="E2412" s="54">
        <v>226.2</v>
      </c>
      <c r="F2412" s="54">
        <v>0.5</v>
      </c>
    </row>
    <row r="2413" spans="1:6" hidden="1" x14ac:dyDescent="0.25">
      <c r="A2413" s="54" t="s">
        <v>145</v>
      </c>
      <c r="B2413" s="54">
        <v>2020</v>
      </c>
      <c r="C2413" s="54" t="s">
        <v>110</v>
      </c>
      <c r="D2413" s="30">
        <v>12</v>
      </c>
      <c r="E2413" s="54">
        <v>321.5</v>
      </c>
      <c r="F2413" s="54">
        <v>0</v>
      </c>
    </row>
    <row r="2414" spans="1:6" hidden="1" x14ac:dyDescent="0.25">
      <c r="A2414" s="53" t="s">
        <v>144</v>
      </c>
      <c r="B2414" s="53">
        <v>2021</v>
      </c>
      <c r="C2414" s="53" t="s">
        <v>99</v>
      </c>
      <c r="D2414" s="30">
        <v>1</v>
      </c>
      <c r="E2414" s="53">
        <v>391.4</v>
      </c>
      <c r="F2414" s="53">
        <v>0</v>
      </c>
    </row>
    <row r="2415" spans="1:6" hidden="1" x14ac:dyDescent="0.25">
      <c r="A2415" s="54" t="s">
        <v>144</v>
      </c>
      <c r="B2415" s="54">
        <v>2021</v>
      </c>
      <c r="C2415" s="54" t="s">
        <v>100</v>
      </c>
      <c r="D2415" s="30">
        <v>2</v>
      </c>
      <c r="E2415" s="54">
        <v>281.60000000000002</v>
      </c>
      <c r="F2415" s="54">
        <v>0.1</v>
      </c>
    </row>
    <row r="2416" spans="1:6" hidden="1" x14ac:dyDescent="0.25">
      <c r="A2416" s="54" t="s">
        <v>144</v>
      </c>
      <c r="B2416" s="54">
        <v>2021</v>
      </c>
      <c r="C2416" s="54" t="s">
        <v>101</v>
      </c>
      <c r="D2416" s="30">
        <v>3</v>
      </c>
      <c r="E2416" s="54">
        <v>283.2</v>
      </c>
      <c r="F2416" s="54">
        <v>3.4</v>
      </c>
    </row>
    <row r="2417" spans="1:6" hidden="1" x14ac:dyDescent="0.25">
      <c r="A2417" s="54" t="s">
        <v>144</v>
      </c>
      <c r="B2417" s="54">
        <v>2021</v>
      </c>
      <c r="C2417" s="54" t="s">
        <v>102</v>
      </c>
      <c r="D2417" s="30">
        <v>4</v>
      </c>
      <c r="E2417" s="54">
        <v>227.9</v>
      </c>
      <c r="F2417" s="54">
        <v>8.4</v>
      </c>
    </row>
    <row r="2418" spans="1:6" hidden="1" x14ac:dyDescent="0.25">
      <c r="A2418" s="54" t="s">
        <v>144</v>
      </c>
      <c r="B2418" s="54">
        <v>2021</v>
      </c>
      <c r="C2418" s="54" t="s">
        <v>103</v>
      </c>
      <c r="D2418" s="30">
        <v>5</v>
      </c>
      <c r="E2418" s="54">
        <v>156.1</v>
      </c>
      <c r="F2418" s="54">
        <v>12</v>
      </c>
    </row>
    <row r="2419" spans="1:6" hidden="1" x14ac:dyDescent="0.25">
      <c r="A2419" s="54" t="s">
        <v>144</v>
      </c>
      <c r="B2419" s="54">
        <v>2021</v>
      </c>
      <c r="C2419" s="54" t="s">
        <v>104</v>
      </c>
      <c r="D2419" s="30">
        <v>6</v>
      </c>
      <c r="E2419" s="54">
        <v>43.4</v>
      </c>
      <c r="F2419" s="54">
        <v>69.2</v>
      </c>
    </row>
    <row r="2420" spans="1:6" hidden="1" x14ac:dyDescent="0.25">
      <c r="A2420" s="54" t="s">
        <v>144</v>
      </c>
      <c r="B2420" s="54">
        <v>2021</v>
      </c>
      <c r="C2420" s="54" t="s">
        <v>105</v>
      </c>
      <c r="D2420" s="30">
        <v>7</v>
      </c>
      <c r="E2420" s="54">
        <v>32.6</v>
      </c>
      <c r="F2420" s="54">
        <v>76.3</v>
      </c>
    </row>
    <row r="2421" spans="1:6" hidden="1" x14ac:dyDescent="0.25">
      <c r="A2421" s="54" t="s">
        <v>144</v>
      </c>
      <c r="B2421" s="54">
        <v>2021</v>
      </c>
      <c r="C2421" s="54" t="s">
        <v>106</v>
      </c>
      <c r="D2421" s="30">
        <v>8</v>
      </c>
      <c r="E2421" s="54">
        <v>38.700000000000003</v>
      </c>
      <c r="F2421" s="54">
        <v>56.4</v>
      </c>
    </row>
    <row r="2422" spans="1:6" hidden="1" x14ac:dyDescent="0.25">
      <c r="A2422" s="54" t="s">
        <v>144</v>
      </c>
      <c r="B2422" s="54">
        <v>2021</v>
      </c>
      <c r="C2422" s="54" t="s">
        <v>107</v>
      </c>
      <c r="D2422" s="30">
        <v>9</v>
      </c>
      <c r="E2422" s="54">
        <v>42</v>
      </c>
      <c r="F2422" s="54">
        <v>77.5</v>
      </c>
    </row>
    <row r="2423" spans="1:6" hidden="1" x14ac:dyDescent="0.25">
      <c r="A2423" s="54" t="s">
        <v>144</v>
      </c>
      <c r="B2423" s="54">
        <v>2021</v>
      </c>
      <c r="C2423" s="54" t="s">
        <v>108</v>
      </c>
      <c r="D2423" s="30">
        <v>10</v>
      </c>
      <c r="E2423" s="54">
        <v>148.4</v>
      </c>
      <c r="F2423" s="54">
        <v>4.9000000000000004</v>
      </c>
    </row>
    <row r="2424" spans="1:6" hidden="1" x14ac:dyDescent="0.25">
      <c r="A2424" s="54" t="s">
        <v>144</v>
      </c>
      <c r="B2424" s="54">
        <v>2021</v>
      </c>
      <c r="C2424" s="54" t="s">
        <v>109</v>
      </c>
      <c r="D2424" s="30">
        <v>11</v>
      </c>
      <c r="E2424" s="54">
        <v>316.3</v>
      </c>
      <c r="F2424" s="54">
        <v>0</v>
      </c>
    </row>
    <row r="2425" spans="1:6" hidden="1" x14ac:dyDescent="0.25">
      <c r="A2425" s="54" t="s">
        <v>144</v>
      </c>
      <c r="B2425" s="54">
        <v>2021</v>
      </c>
      <c r="C2425" s="54" t="s">
        <v>110</v>
      </c>
      <c r="D2425" s="30">
        <v>12</v>
      </c>
      <c r="E2425" s="54">
        <v>312.7</v>
      </c>
      <c r="F2425" s="54">
        <v>0</v>
      </c>
    </row>
    <row r="2426" spans="1:6" hidden="1" x14ac:dyDescent="0.25">
      <c r="A2426" s="54" t="s">
        <v>145</v>
      </c>
      <c r="B2426" s="54">
        <v>2021</v>
      </c>
      <c r="C2426" s="54" t="s">
        <v>99</v>
      </c>
      <c r="D2426" s="30">
        <v>1</v>
      </c>
      <c r="E2426" s="54">
        <v>398.3</v>
      </c>
      <c r="F2426" s="54">
        <v>0</v>
      </c>
    </row>
    <row r="2427" spans="1:6" hidden="1" x14ac:dyDescent="0.25">
      <c r="A2427" s="54" t="s">
        <v>145</v>
      </c>
      <c r="B2427" s="54">
        <v>2021</v>
      </c>
      <c r="C2427" s="54" t="s">
        <v>100</v>
      </c>
      <c r="D2427" s="30">
        <v>2</v>
      </c>
      <c r="E2427" s="54">
        <v>283.89999999999998</v>
      </c>
      <c r="F2427" s="54">
        <v>0.2</v>
      </c>
    </row>
    <row r="2428" spans="1:6" hidden="1" x14ac:dyDescent="0.25">
      <c r="A2428" s="54" t="s">
        <v>145</v>
      </c>
      <c r="B2428" s="54">
        <v>2021</v>
      </c>
      <c r="C2428" s="54" t="s">
        <v>101</v>
      </c>
      <c r="D2428" s="30">
        <v>3</v>
      </c>
      <c r="E2428" s="54">
        <v>295.8</v>
      </c>
      <c r="F2428" s="54">
        <v>3.7</v>
      </c>
    </row>
    <row r="2429" spans="1:6" hidden="1" x14ac:dyDescent="0.25">
      <c r="A2429" s="54" t="s">
        <v>145</v>
      </c>
      <c r="B2429" s="54">
        <v>2021</v>
      </c>
      <c r="C2429" s="54" t="s">
        <v>102</v>
      </c>
      <c r="D2429" s="30">
        <v>4</v>
      </c>
      <c r="E2429" s="54">
        <v>245.3</v>
      </c>
      <c r="F2429" s="54">
        <v>6.1</v>
      </c>
    </row>
    <row r="2430" spans="1:6" hidden="1" x14ac:dyDescent="0.25">
      <c r="A2430" s="54" t="s">
        <v>145</v>
      </c>
      <c r="B2430" s="54">
        <v>2021</v>
      </c>
      <c r="C2430" s="54" t="s">
        <v>103</v>
      </c>
      <c r="D2430" s="30">
        <v>5</v>
      </c>
      <c r="E2430" s="54">
        <v>155</v>
      </c>
      <c r="F2430" s="54">
        <v>10</v>
      </c>
    </row>
    <row r="2431" spans="1:6" hidden="1" x14ac:dyDescent="0.25">
      <c r="A2431" s="54" t="s">
        <v>145</v>
      </c>
      <c r="B2431" s="54">
        <v>2021</v>
      </c>
      <c r="C2431" s="54" t="s">
        <v>104</v>
      </c>
      <c r="D2431" s="30">
        <v>6</v>
      </c>
      <c r="E2431" s="54">
        <v>43.5</v>
      </c>
      <c r="F2431" s="54">
        <v>67.7</v>
      </c>
    </row>
    <row r="2432" spans="1:6" hidden="1" x14ac:dyDescent="0.25">
      <c r="A2432" s="54" t="s">
        <v>145</v>
      </c>
      <c r="B2432" s="54">
        <v>2021</v>
      </c>
      <c r="C2432" s="54" t="s">
        <v>105</v>
      </c>
      <c r="D2432" s="30">
        <v>7</v>
      </c>
      <c r="E2432" s="54">
        <v>26.9</v>
      </c>
      <c r="F2432" s="54">
        <v>76.7</v>
      </c>
    </row>
    <row r="2433" spans="1:6" hidden="1" x14ac:dyDescent="0.25">
      <c r="A2433" s="54" t="s">
        <v>145</v>
      </c>
      <c r="B2433" s="54">
        <v>2021</v>
      </c>
      <c r="C2433" s="54" t="s">
        <v>106</v>
      </c>
      <c r="D2433" s="30">
        <v>8</v>
      </c>
      <c r="E2433" s="54">
        <v>37.200000000000003</v>
      </c>
      <c r="F2433" s="54">
        <v>57.3</v>
      </c>
    </row>
    <row r="2434" spans="1:6" hidden="1" x14ac:dyDescent="0.25">
      <c r="A2434" s="54" t="s">
        <v>145</v>
      </c>
      <c r="B2434" s="54">
        <v>2021</v>
      </c>
      <c r="C2434" s="54" t="s">
        <v>107</v>
      </c>
      <c r="D2434" s="30">
        <v>9</v>
      </c>
      <c r="E2434" s="54">
        <v>44.9</v>
      </c>
      <c r="F2434" s="54">
        <v>74.7</v>
      </c>
    </row>
    <row r="2435" spans="1:6" hidden="1" x14ac:dyDescent="0.25">
      <c r="A2435" s="54" t="s">
        <v>145</v>
      </c>
      <c r="B2435" s="54">
        <v>2021</v>
      </c>
      <c r="C2435" s="54" t="s">
        <v>108</v>
      </c>
      <c r="D2435" s="30">
        <v>10</v>
      </c>
      <c r="E2435" s="54">
        <v>148.19999999999999</v>
      </c>
      <c r="F2435" s="54">
        <v>5.3</v>
      </c>
    </row>
    <row r="2436" spans="1:6" hidden="1" x14ac:dyDescent="0.25">
      <c r="A2436" s="54" t="s">
        <v>145</v>
      </c>
      <c r="B2436" s="54">
        <v>2021</v>
      </c>
      <c r="C2436" s="54" t="s">
        <v>109</v>
      </c>
      <c r="D2436" s="30">
        <v>11</v>
      </c>
      <c r="E2436" s="54">
        <v>325.3</v>
      </c>
      <c r="F2436" s="54">
        <v>0</v>
      </c>
    </row>
    <row r="2437" spans="1:6" hidden="1" x14ac:dyDescent="0.25">
      <c r="A2437" s="54" t="s">
        <v>145</v>
      </c>
      <c r="B2437" s="54">
        <v>2021</v>
      </c>
      <c r="C2437" s="54" t="s">
        <v>110</v>
      </c>
      <c r="D2437" s="30">
        <v>12</v>
      </c>
      <c r="E2437" s="54">
        <v>325.10000000000002</v>
      </c>
      <c r="F2437" s="54">
        <v>0</v>
      </c>
    </row>
    <row r="2438" spans="1:6" hidden="1" x14ac:dyDescent="0.25">
      <c r="A2438" s="53" t="s">
        <v>146</v>
      </c>
      <c r="B2438" s="53">
        <v>2001</v>
      </c>
      <c r="C2438" s="53" t="s">
        <v>99</v>
      </c>
      <c r="D2438" s="30">
        <v>1</v>
      </c>
      <c r="E2438" s="53">
        <v>347</v>
      </c>
      <c r="F2438" s="53">
        <v>0</v>
      </c>
    </row>
    <row r="2439" spans="1:6" hidden="1" x14ac:dyDescent="0.25">
      <c r="A2439" s="54" t="s">
        <v>146</v>
      </c>
      <c r="B2439" s="54">
        <v>2001</v>
      </c>
      <c r="C2439" s="54" t="s">
        <v>100</v>
      </c>
      <c r="D2439" s="30">
        <v>2</v>
      </c>
      <c r="E2439" s="54">
        <v>324.7</v>
      </c>
      <c r="F2439" s="54">
        <v>0</v>
      </c>
    </row>
    <row r="2440" spans="1:6" hidden="1" x14ac:dyDescent="0.25">
      <c r="A2440" s="54" t="s">
        <v>146</v>
      </c>
      <c r="B2440" s="54">
        <v>2001</v>
      </c>
      <c r="C2440" s="54" t="s">
        <v>101</v>
      </c>
      <c r="D2440" s="30">
        <v>3</v>
      </c>
      <c r="E2440" s="54">
        <v>233.5</v>
      </c>
      <c r="F2440" s="54">
        <v>0.4</v>
      </c>
    </row>
    <row r="2441" spans="1:6" hidden="1" x14ac:dyDescent="0.25">
      <c r="A2441" s="54" t="s">
        <v>146</v>
      </c>
      <c r="B2441" s="54">
        <v>2001</v>
      </c>
      <c r="C2441" s="54" t="s">
        <v>102</v>
      </c>
      <c r="D2441" s="30">
        <v>4</v>
      </c>
      <c r="E2441" s="54">
        <v>246.8</v>
      </c>
      <c r="F2441" s="54">
        <v>1.5</v>
      </c>
    </row>
    <row r="2442" spans="1:6" hidden="1" x14ac:dyDescent="0.25">
      <c r="A2442" s="54" t="s">
        <v>146</v>
      </c>
      <c r="B2442" s="54">
        <v>2001</v>
      </c>
      <c r="C2442" s="54" t="s">
        <v>103</v>
      </c>
      <c r="D2442" s="30">
        <v>5</v>
      </c>
      <c r="E2442" s="54">
        <v>115.4</v>
      </c>
      <c r="F2442" s="54">
        <v>38.1</v>
      </c>
    </row>
    <row r="2443" spans="1:6" hidden="1" x14ac:dyDescent="0.25">
      <c r="A2443" s="54" t="s">
        <v>146</v>
      </c>
      <c r="B2443" s="54">
        <v>2001</v>
      </c>
      <c r="C2443" s="54" t="s">
        <v>104</v>
      </c>
      <c r="D2443" s="30">
        <v>6</v>
      </c>
      <c r="E2443" s="54">
        <v>61.5</v>
      </c>
      <c r="F2443" s="54">
        <v>61.5</v>
      </c>
    </row>
    <row r="2444" spans="1:6" hidden="1" x14ac:dyDescent="0.25">
      <c r="A2444" s="54" t="s">
        <v>146</v>
      </c>
      <c r="B2444" s="54">
        <v>2001</v>
      </c>
      <c r="C2444" s="54" t="s">
        <v>105</v>
      </c>
      <c r="D2444" s="30">
        <v>7</v>
      </c>
      <c r="E2444" s="54">
        <v>34</v>
      </c>
      <c r="F2444" s="54">
        <v>85.7</v>
      </c>
    </row>
    <row r="2445" spans="1:6" hidden="1" x14ac:dyDescent="0.25">
      <c r="A2445" s="54" t="s">
        <v>146</v>
      </c>
      <c r="B2445" s="54">
        <v>2001</v>
      </c>
      <c r="C2445" s="54" t="s">
        <v>106</v>
      </c>
      <c r="D2445" s="30">
        <v>8</v>
      </c>
      <c r="E2445" s="54">
        <v>23.6</v>
      </c>
      <c r="F2445" s="54">
        <v>102.7</v>
      </c>
    </row>
    <row r="2446" spans="1:6" hidden="1" x14ac:dyDescent="0.25">
      <c r="A2446" s="54" t="s">
        <v>146</v>
      </c>
      <c r="B2446" s="54">
        <v>2001</v>
      </c>
      <c r="C2446" s="54" t="s">
        <v>107</v>
      </c>
      <c r="D2446" s="30">
        <v>9</v>
      </c>
      <c r="E2446" s="54">
        <v>114</v>
      </c>
      <c r="F2446" s="54">
        <v>20.9</v>
      </c>
    </row>
    <row r="2447" spans="1:6" hidden="1" x14ac:dyDescent="0.25">
      <c r="A2447" s="54" t="s">
        <v>146</v>
      </c>
      <c r="B2447" s="54">
        <v>2001</v>
      </c>
      <c r="C2447" s="54" t="s">
        <v>108</v>
      </c>
      <c r="D2447" s="30">
        <v>10</v>
      </c>
      <c r="E2447" s="54">
        <v>74.8</v>
      </c>
      <c r="F2447" s="54">
        <v>26.8</v>
      </c>
    </row>
    <row r="2448" spans="1:6" hidden="1" x14ac:dyDescent="0.25">
      <c r="A2448" s="54" t="s">
        <v>146</v>
      </c>
      <c r="B2448" s="54">
        <v>2001</v>
      </c>
      <c r="C2448" s="54" t="s">
        <v>109</v>
      </c>
      <c r="D2448" s="30">
        <v>11</v>
      </c>
      <c r="E2448" s="54">
        <v>334.6</v>
      </c>
      <c r="F2448" s="54">
        <v>0</v>
      </c>
    </row>
    <row r="2449" spans="1:6" hidden="1" x14ac:dyDescent="0.25">
      <c r="A2449" s="54" t="s">
        <v>146</v>
      </c>
      <c r="B2449" s="54">
        <v>2001</v>
      </c>
      <c r="C2449" s="54" t="s">
        <v>110</v>
      </c>
      <c r="D2449" s="30">
        <v>12</v>
      </c>
      <c r="E2449" s="54">
        <v>459.7</v>
      </c>
      <c r="F2449" s="54">
        <v>0</v>
      </c>
    </row>
    <row r="2450" spans="1:6" hidden="1" x14ac:dyDescent="0.25">
      <c r="A2450" s="54" t="s">
        <v>146</v>
      </c>
      <c r="B2450" s="54">
        <v>2002</v>
      </c>
      <c r="C2450" s="54" t="s">
        <v>99</v>
      </c>
      <c r="D2450" s="30">
        <v>1</v>
      </c>
      <c r="E2450" s="54">
        <v>331.3</v>
      </c>
      <c r="F2450" s="54">
        <v>0</v>
      </c>
    </row>
    <row r="2451" spans="1:6" hidden="1" x14ac:dyDescent="0.25">
      <c r="A2451" s="54" t="s">
        <v>146</v>
      </c>
      <c r="B2451" s="54">
        <v>2002</v>
      </c>
      <c r="C2451" s="54" t="s">
        <v>100</v>
      </c>
      <c r="D2451" s="30">
        <v>2</v>
      </c>
      <c r="E2451" s="54">
        <v>274.39999999999998</v>
      </c>
      <c r="F2451" s="54">
        <v>0</v>
      </c>
    </row>
    <row r="2452" spans="1:6" hidden="1" x14ac:dyDescent="0.25">
      <c r="A2452" s="54" t="s">
        <v>146</v>
      </c>
      <c r="B2452" s="54">
        <v>2002</v>
      </c>
      <c r="C2452" s="54" t="s">
        <v>101</v>
      </c>
      <c r="D2452" s="30">
        <v>3</v>
      </c>
      <c r="E2452" s="54">
        <v>262.3</v>
      </c>
      <c r="F2452" s="54">
        <v>0.8</v>
      </c>
    </row>
    <row r="2453" spans="1:6" hidden="1" x14ac:dyDescent="0.25">
      <c r="A2453" s="54" t="s">
        <v>146</v>
      </c>
      <c r="B2453" s="54">
        <v>2002</v>
      </c>
      <c r="C2453" s="54" t="s">
        <v>102</v>
      </c>
      <c r="D2453" s="30">
        <v>4</v>
      </c>
      <c r="E2453" s="54">
        <v>211.4</v>
      </c>
      <c r="F2453" s="54">
        <v>6.2</v>
      </c>
    </row>
    <row r="2454" spans="1:6" hidden="1" x14ac:dyDescent="0.25">
      <c r="A2454" s="54" t="s">
        <v>146</v>
      </c>
      <c r="B2454" s="54">
        <v>2002</v>
      </c>
      <c r="C2454" s="54" t="s">
        <v>103</v>
      </c>
      <c r="D2454" s="30">
        <v>5</v>
      </c>
      <c r="E2454" s="54">
        <v>142.9</v>
      </c>
      <c r="F2454" s="54">
        <v>20.100000000000001</v>
      </c>
    </row>
    <row r="2455" spans="1:6" hidden="1" x14ac:dyDescent="0.25">
      <c r="A2455" s="54" t="s">
        <v>146</v>
      </c>
      <c r="B2455" s="54">
        <v>2002</v>
      </c>
      <c r="C2455" s="54" t="s">
        <v>104</v>
      </c>
      <c r="D2455" s="30">
        <v>6</v>
      </c>
      <c r="E2455" s="54">
        <v>56.3</v>
      </c>
      <c r="F2455" s="54">
        <v>68.900000000000006</v>
      </c>
    </row>
    <row r="2456" spans="1:6" hidden="1" x14ac:dyDescent="0.25">
      <c r="A2456" s="54" t="s">
        <v>146</v>
      </c>
      <c r="B2456" s="54">
        <v>2002</v>
      </c>
      <c r="C2456" s="54" t="s">
        <v>105</v>
      </c>
      <c r="D2456" s="30">
        <v>7</v>
      </c>
      <c r="E2456" s="54">
        <v>49.2</v>
      </c>
      <c r="F2456" s="54">
        <v>79.8</v>
      </c>
    </row>
    <row r="2457" spans="1:6" hidden="1" x14ac:dyDescent="0.25">
      <c r="A2457" s="54" t="s">
        <v>146</v>
      </c>
      <c r="B2457" s="54">
        <v>2002</v>
      </c>
      <c r="C2457" s="54" t="s">
        <v>106</v>
      </c>
      <c r="D2457" s="30">
        <v>8</v>
      </c>
      <c r="E2457" s="54">
        <v>41.3</v>
      </c>
      <c r="F2457" s="54">
        <v>57.4</v>
      </c>
    </row>
    <row r="2458" spans="1:6" hidden="1" x14ac:dyDescent="0.25">
      <c r="A2458" s="54" t="s">
        <v>146</v>
      </c>
      <c r="B2458" s="54">
        <v>2002</v>
      </c>
      <c r="C2458" s="54" t="s">
        <v>107</v>
      </c>
      <c r="D2458" s="30">
        <v>9</v>
      </c>
      <c r="E2458" s="54">
        <v>78.5</v>
      </c>
      <c r="F2458" s="54">
        <v>38.9</v>
      </c>
    </row>
    <row r="2459" spans="1:6" hidden="1" x14ac:dyDescent="0.25">
      <c r="A2459" s="54" t="s">
        <v>146</v>
      </c>
      <c r="B2459" s="54">
        <v>2002</v>
      </c>
      <c r="C2459" s="54" t="s">
        <v>108</v>
      </c>
      <c r="D2459" s="30">
        <v>10</v>
      </c>
      <c r="E2459" s="54">
        <v>129.19999999999999</v>
      </c>
      <c r="F2459" s="54">
        <v>6.2</v>
      </c>
    </row>
    <row r="2460" spans="1:6" hidden="1" x14ac:dyDescent="0.25">
      <c r="A2460" s="54" t="s">
        <v>146</v>
      </c>
      <c r="B2460" s="54">
        <v>2002</v>
      </c>
      <c r="C2460" s="54" t="s">
        <v>109</v>
      </c>
      <c r="D2460" s="30">
        <v>11</v>
      </c>
      <c r="E2460" s="54">
        <v>229.8</v>
      </c>
      <c r="F2460" s="54">
        <v>0</v>
      </c>
    </row>
    <row r="2461" spans="1:6" hidden="1" x14ac:dyDescent="0.25">
      <c r="A2461" s="54" t="s">
        <v>146</v>
      </c>
      <c r="B2461" s="54">
        <v>2002</v>
      </c>
      <c r="C2461" s="54" t="s">
        <v>110</v>
      </c>
      <c r="D2461" s="30">
        <v>12</v>
      </c>
      <c r="E2461" s="54">
        <v>287.8</v>
      </c>
      <c r="F2461" s="54">
        <v>0</v>
      </c>
    </row>
    <row r="2462" spans="1:6" hidden="1" x14ac:dyDescent="0.25">
      <c r="A2462" s="54" t="s">
        <v>146</v>
      </c>
      <c r="B2462" s="54">
        <v>2003</v>
      </c>
      <c r="C2462" s="54" t="s">
        <v>99</v>
      </c>
      <c r="D2462" s="30">
        <v>1</v>
      </c>
      <c r="E2462" s="54">
        <v>438.5</v>
      </c>
      <c r="F2462" s="54">
        <v>0</v>
      </c>
    </row>
    <row r="2463" spans="1:6" hidden="1" x14ac:dyDescent="0.25">
      <c r="A2463" s="54" t="s">
        <v>146</v>
      </c>
      <c r="B2463" s="54">
        <v>2003</v>
      </c>
      <c r="C2463" s="54" t="s">
        <v>100</v>
      </c>
      <c r="D2463" s="30">
        <v>2</v>
      </c>
      <c r="E2463" s="54">
        <v>359.1</v>
      </c>
      <c r="F2463" s="54">
        <v>0</v>
      </c>
    </row>
    <row r="2464" spans="1:6" hidden="1" x14ac:dyDescent="0.25">
      <c r="A2464" s="54" t="s">
        <v>146</v>
      </c>
      <c r="B2464" s="54">
        <v>2003</v>
      </c>
      <c r="C2464" s="54" t="s">
        <v>101</v>
      </c>
      <c r="D2464" s="30">
        <v>3</v>
      </c>
      <c r="E2464" s="54">
        <v>216.1</v>
      </c>
      <c r="F2464" s="54">
        <v>4</v>
      </c>
    </row>
    <row r="2465" spans="1:6" hidden="1" x14ac:dyDescent="0.25">
      <c r="A2465" s="54" t="s">
        <v>146</v>
      </c>
      <c r="B2465" s="54">
        <v>2003</v>
      </c>
      <c r="C2465" s="54" t="s">
        <v>102</v>
      </c>
      <c r="D2465" s="30">
        <v>4</v>
      </c>
      <c r="E2465" s="54">
        <v>175.1</v>
      </c>
      <c r="F2465" s="54">
        <v>19.600000000000001</v>
      </c>
    </row>
    <row r="2466" spans="1:6" hidden="1" x14ac:dyDescent="0.25">
      <c r="A2466" s="54" t="s">
        <v>146</v>
      </c>
      <c r="B2466" s="54">
        <v>2003</v>
      </c>
      <c r="C2466" s="54" t="s">
        <v>103</v>
      </c>
      <c r="D2466" s="30">
        <v>5</v>
      </c>
      <c r="E2466" s="54">
        <v>120.3</v>
      </c>
      <c r="F2466" s="54">
        <v>27.8</v>
      </c>
    </row>
    <row r="2467" spans="1:6" hidden="1" x14ac:dyDescent="0.25">
      <c r="A2467" s="54" t="s">
        <v>146</v>
      </c>
      <c r="B2467" s="54">
        <v>2003</v>
      </c>
      <c r="C2467" s="54" t="s">
        <v>104</v>
      </c>
      <c r="D2467" s="30">
        <v>6</v>
      </c>
      <c r="E2467" s="54">
        <v>17.600000000000001</v>
      </c>
      <c r="F2467" s="54">
        <v>129.1</v>
      </c>
    </row>
    <row r="2468" spans="1:6" hidden="1" x14ac:dyDescent="0.25">
      <c r="A2468" s="54" t="s">
        <v>146</v>
      </c>
      <c r="B2468" s="54">
        <v>2003</v>
      </c>
      <c r="C2468" s="54" t="s">
        <v>105</v>
      </c>
      <c r="D2468" s="30">
        <v>7</v>
      </c>
      <c r="E2468" s="54">
        <v>24.8</v>
      </c>
      <c r="F2468" s="54">
        <v>118.7</v>
      </c>
    </row>
    <row r="2469" spans="1:6" hidden="1" x14ac:dyDescent="0.25">
      <c r="A2469" s="54" t="s">
        <v>146</v>
      </c>
      <c r="B2469" s="54">
        <v>2003</v>
      </c>
      <c r="C2469" s="54" t="s">
        <v>106</v>
      </c>
      <c r="D2469" s="30">
        <v>8</v>
      </c>
      <c r="E2469" s="54">
        <v>9.6</v>
      </c>
      <c r="F2469" s="54">
        <v>228.3</v>
      </c>
    </row>
    <row r="2470" spans="1:6" hidden="1" x14ac:dyDescent="0.25">
      <c r="A2470" s="54" t="s">
        <v>146</v>
      </c>
      <c r="B2470" s="54">
        <v>2003</v>
      </c>
      <c r="C2470" s="54" t="s">
        <v>107</v>
      </c>
      <c r="D2470" s="30">
        <v>9</v>
      </c>
      <c r="E2470" s="54">
        <v>58</v>
      </c>
      <c r="F2470" s="54">
        <v>66.3</v>
      </c>
    </row>
    <row r="2471" spans="1:6" hidden="1" x14ac:dyDescent="0.25">
      <c r="A2471" s="54" t="s">
        <v>146</v>
      </c>
      <c r="B2471" s="54">
        <v>2003</v>
      </c>
      <c r="C2471" s="54" t="s">
        <v>108</v>
      </c>
      <c r="D2471" s="30">
        <v>10</v>
      </c>
      <c r="E2471" s="54">
        <v>211.3</v>
      </c>
      <c r="F2471" s="54">
        <v>7.9</v>
      </c>
    </row>
    <row r="2472" spans="1:6" hidden="1" x14ac:dyDescent="0.25">
      <c r="A2472" s="54" t="s">
        <v>146</v>
      </c>
      <c r="B2472" s="54">
        <v>2003</v>
      </c>
      <c r="C2472" s="54" t="s">
        <v>109</v>
      </c>
      <c r="D2472" s="30">
        <v>11</v>
      </c>
      <c r="E2472" s="54">
        <v>238</v>
      </c>
      <c r="F2472" s="54">
        <v>0.4</v>
      </c>
    </row>
    <row r="2473" spans="1:6" hidden="1" x14ac:dyDescent="0.25">
      <c r="A2473" s="54" t="s">
        <v>146</v>
      </c>
      <c r="B2473" s="54">
        <v>2003</v>
      </c>
      <c r="C2473" s="54" t="s">
        <v>110</v>
      </c>
      <c r="D2473" s="30">
        <v>12</v>
      </c>
      <c r="E2473" s="54">
        <v>358.5</v>
      </c>
      <c r="F2473" s="54">
        <v>0</v>
      </c>
    </row>
    <row r="2474" spans="1:6" hidden="1" x14ac:dyDescent="0.25">
      <c r="A2474" s="54" t="s">
        <v>146</v>
      </c>
      <c r="B2474" s="54">
        <v>2004</v>
      </c>
      <c r="C2474" s="54" t="s">
        <v>99</v>
      </c>
      <c r="D2474" s="30">
        <v>1</v>
      </c>
      <c r="E2474" s="54">
        <v>361.8</v>
      </c>
      <c r="F2474" s="54">
        <v>0</v>
      </c>
    </row>
    <row r="2475" spans="1:6" hidden="1" x14ac:dyDescent="0.25">
      <c r="A2475" s="54" t="s">
        <v>146</v>
      </c>
      <c r="B2475" s="54">
        <v>2004</v>
      </c>
      <c r="C2475" s="54" t="s">
        <v>100</v>
      </c>
      <c r="D2475" s="30">
        <v>2</v>
      </c>
      <c r="E2475" s="54">
        <v>347.9</v>
      </c>
      <c r="F2475" s="54">
        <v>0</v>
      </c>
    </row>
    <row r="2476" spans="1:6" hidden="1" x14ac:dyDescent="0.25">
      <c r="A2476" s="54" t="s">
        <v>146</v>
      </c>
      <c r="B2476" s="54">
        <v>2004</v>
      </c>
      <c r="C2476" s="54" t="s">
        <v>101</v>
      </c>
      <c r="D2476" s="30">
        <v>3</v>
      </c>
      <c r="E2476" s="54">
        <v>333</v>
      </c>
      <c r="F2476" s="54">
        <v>1.7</v>
      </c>
    </row>
    <row r="2477" spans="1:6" hidden="1" x14ac:dyDescent="0.25">
      <c r="A2477" s="54" t="s">
        <v>146</v>
      </c>
      <c r="B2477" s="54">
        <v>2004</v>
      </c>
      <c r="C2477" s="54" t="s">
        <v>102</v>
      </c>
      <c r="D2477" s="30">
        <v>4</v>
      </c>
      <c r="E2477" s="54">
        <v>224.9</v>
      </c>
      <c r="F2477" s="54">
        <v>1.8</v>
      </c>
    </row>
    <row r="2478" spans="1:6" hidden="1" x14ac:dyDescent="0.25">
      <c r="A2478" s="54" t="s">
        <v>146</v>
      </c>
      <c r="B2478" s="54">
        <v>2004</v>
      </c>
      <c r="C2478" s="54" t="s">
        <v>103</v>
      </c>
      <c r="D2478" s="30">
        <v>5</v>
      </c>
      <c r="E2478" s="54">
        <v>134.69999999999999</v>
      </c>
      <c r="F2478" s="54">
        <v>31</v>
      </c>
    </row>
    <row r="2479" spans="1:6" hidden="1" x14ac:dyDescent="0.25">
      <c r="A2479" s="54" t="s">
        <v>146</v>
      </c>
      <c r="B2479" s="54">
        <v>2004</v>
      </c>
      <c r="C2479" s="54" t="s">
        <v>104</v>
      </c>
      <c r="D2479" s="30">
        <v>6</v>
      </c>
      <c r="E2479" s="54">
        <v>41.1</v>
      </c>
      <c r="F2479" s="54">
        <v>89</v>
      </c>
    </row>
    <row r="2480" spans="1:6" hidden="1" x14ac:dyDescent="0.25">
      <c r="A2480" s="54" t="s">
        <v>146</v>
      </c>
      <c r="B2480" s="54">
        <v>2004</v>
      </c>
      <c r="C2480" s="54" t="s">
        <v>105</v>
      </c>
      <c r="D2480" s="30">
        <v>7</v>
      </c>
      <c r="E2480" s="54">
        <v>38.6</v>
      </c>
      <c r="F2480" s="54">
        <v>88</v>
      </c>
    </row>
    <row r="2481" spans="1:6" hidden="1" x14ac:dyDescent="0.25">
      <c r="A2481" s="54" t="s">
        <v>146</v>
      </c>
      <c r="B2481" s="54">
        <v>2004</v>
      </c>
      <c r="C2481" s="54" t="s">
        <v>106</v>
      </c>
      <c r="D2481" s="30">
        <v>8</v>
      </c>
      <c r="E2481" s="54">
        <v>24.9</v>
      </c>
      <c r="F2481" s="54">
        <v>92.4</v>
      </c>
    </row>
    <row r="2482" spans="1:6" hidden="1" x14ac:dyDescent="0.25">
      <c r="A2482" s="54" t="s">
        <v>146</v>
      </c>
      <c r="B2482" s="54">
        <v>2004</v>
      </c>
      <c r="C2482" s="54" t="s">
        <v>107</v>
      </c>
      <c r="D2482" s="30">
        <v>9</v>
      </c>
      <c r="E2482" s="54">
        <v>63.4</v>
      </c>
      <c r="F2482" s="54">
        <v>69.400000000000006</v>
      </c>
    </row>
    <row r="2483" spans="1:6" hidden="1" x14ac:dyDescent="0.25">
      <c r="A2483" s="54" t="s">
        <v>146</v>
      </c>
      <c r="B2483" s="54">
        <v>2004</v>
      </c>
      <c r="C2483" s="54" t="s">
        <v>108</v>
      </c>
      <c r="D2483" s="30">
        <v>10</v>
      </c>
      <c r="E2483" s="54">
        <v>125.9</v>
      </c>
      <c r="F2483" s="54">
        <v>14.2</v>
      </c>
    </row>
    <row r="2484" spans="1:6" hidden="1" x14ac:dyDescent="0.25">
      <c r="A2484" s="54" t="s">
        <v>146</v>
      </c>
      <c r="B2484" s="54">
        <v>2004</v>
      </c>
      <c r="C2484" s="54" t="s">
        <v>109</v>
      </c>
      <c r="D2484" s="30">
        <v>11</v>
      </c>
      <c r="E2484" s="54">
        <v>296.3</v>
      </c>
      <c r="F2484" s="54">
        <v>0</v>
      </c>
    </row>
    <row r="2485" spans="1:6" hidden="1" x14ac:dyDescent="0.25">
      <c r="A2485" s="54" t="s">
        <v>146</v>
      </c>
      <c r="B2485" s="54">
        <v>2004</v>
      </c>
      <c r="C2485" s="54" t="s">
        <v>110</v>
      </c>
      <c r="D2485" s="30">
        <v>12</v>
      </c>
      <c r="E2485" s="54">
        <v>415.1</v>
      </c>
      <c r="F2485" s="54">
        <v>0</v>
      </c>
    </row>
    <row r="2486" spans="1:6" hidden="1" x14ac:dyDescent="0.25">
      <c r="A2486" s="54" t="s">
        <v>146</v>
      </c>
      <c r="B2486" s="54">
        <v>2005</v>
      </c>
      <c r="C2486" s="54" t="s">
        <v>99</v>
      </c>
      <c r="D2486" s="30">
        <v>1</v>
      </c>
      <c r="E2486" s="54">
        <v>375.4</v>
      </c>
      <c r="F2486" s="54">
        <v>0</v>
      </c>
    </row>
    <row r="2487" spans="1:6" hidden="1" x14ac:dyDescent="0.25">
      <c r="A2487" s="54" t="s">
        <v>146</v>
      </c>
      <c r="B2487" s="54">
        <v>2005</v>
      </c>
      <c r="C2487" s="54" t="s">
        <v>100</v>
      </c>
      <c r="D2487" s="30">
        <v>2</v>
      </c>
      <c r="E2487" s="54">
        <v>385.3</v>
      </c>
      <c r="F2487" s="54">
        <v>0</v>
      </c>
    </row>
    <row r="2488" spans="1:6" hidden="1" x14ac:dyDescent="0.25">
      <c r="A2488" s="54" t="s">
        <v>146</v>
      </c>
      <c r="B2488" s="54">
        <v>2005</v>
      </c>
      <c r="C2488" s="54" t="s">
        <v>101</v>
      </c>
      <c r="D2488" s="30">
        <v>3</v>
      </c>
      <c r="E2488" s="54">
        <v>289.3</v>
      </c>
      <c r="F2488" s="54">
        <v>8.4</v>
      </c>
    </row>
    <row r="2489" spans="1:6" hidden="1" x14ac:dyDescent="0.25">
      <c r="A2489" s="54" t="s">
        <v>146</v>
      </c>
      <c r="B2489" s="54">
        <v>2005</v>
      </c>
      <c r="C2489" s="54" t="s">
        <v>102</v>
      </c>
      <c r="D2489" s="30">
        <v>4</v>
      </c>
      <c r="E2489" s="54">
        <v>209.6</v>
      </c>
      <c r="F2489" s="54">
        <v>8.1</v>
      </c>
    </row>
    <row r="2490" spans="1:6" hidden="1" x14ac:dyDescent="0.25">
      <c r="A2490" s="54" t="s">
        <v>146</v>
      </c>
      <c r="B2490" s="54">
        <v>2005</v>
      </c>
      <c r="C2490" s="54" t="s">
        <v>103</v>
      </c>
      <c r="D2490" s="30">
        <v>5</v>
      </c>
      <c r="E2490" s="54">
        <v>125.1</v>
      </c>
      <c r="F2490" s="54">
        <v>28.8</v>
      </c>
    </row>
    <row r="2491" spans="1:6" hidden="1" x14ac:dyDescent="0.25">
      <c r="A2491" s="54" t="s">
        <v>146</v>
      </c>
      <c r="B2491" s="54">
        <v>2005</v>
      </c>
      <c r="C2491" s="54" t="s">
        <v>104</v>
      </c>
      <c r="D2491" s="30">
        <v>6</v>
      </c>
      <c r="E2491" s="54">
        <v>41.8</v>
      </c>
      <c r="F2491" s="54">
        <v>115.6</v>
      </c>
    </row>
    <row r="2492" spans="1:6" hidden="1" x14ac:dyDescent="0.25">
      <c r="A2492" s="54" t="s">
        <v>146</v>
      </c>
      <c r="B2492" s="54">
        <v>2005</v>
      </c>
      <c r="C2492" s="54" t="s">
        <v>105</v>
      </c>
      <c r="D2492" s="30">
        <v>7</v>
      </c>
      <c r="E2492" s="54">
        <v>28.2</v>
      </c>
      <c r="F2492" s="54">
        <v>121.2</v>
      </c>
    </row>
    <row r="2493" spans="1:6" hidden="1" x14ac:dyDescent="0.25">
      <c r="A2493" s="54" t="s">
        <v>146</v>
      </c>
      <c r="B2493" s="54">
        <v>2005</v>
      </c>
      <c r="C2493" s="54" t="s">
        <v>106</v>
      </c>
      <c r="D2493" s="30">
        <v>8</v>
      </c>
      <c r="E2493" s="54">
        <v>35.9</v>
      </c>
      <c r="F2493" s="54">
        <v>103.2</v>
      </c>
    </row>
    <row r="2494" spans="1:6" hidden="1" x14ac:dyDescent="0.25">
      <c r="A2494" s="54" t="s">
        <v>146</v>
      </c>
      <c r="B2494" s="54">
        <v>2005</v>
      </c>
      <c r="C2494" s="54" t="s">
        <v>107</v>
      </c>
      <c r="D2494" s="30">
        <v>9</v>
      </c>
      <c r="E2494" s="54">
        <v>57.7</v>
      </c>
      <c r="F2494" s="54">
        <v>59.5</v>
      </c>
    </row>
    <row r="2495" spans="1:6" hidden="1" x14ac:dyDescent="0.25">
      <c r="A2495" s="54" t="s">
        <v>146</v>
      </c>
      <c r="B2495" s="54">
        <v>2005</v>
      </c>
      <c r="C2495" s="54" t="s">
        <v>108</v>
      </c>
      <c r="D2495" s="30">
        <v>10</v>
      </c>
      <c r="E2495" s="54">
        <v>69.7</v>
      </c>
      <c r="F2495" s="54">
        <v>26.4</v>
      </c>
    </row>
    <row r="2496" spans="1:6" hidden="1" x14ac:dyDescent="0.25">
      <c r="A2496" s="54" t="s">
        <v>146</v>
      </c>
      <c r="B2496" s="54">
        <v>2005</v>
      </c>
      <c r="C2496" s="54" t="s">
        <v>109</v>
      </c>
      <c r="D2496" s="30">
        <v>11</v>
      </c>
      <c r="E2496" s="54">
        <v>325.8</v>
      </c>
      <c r="F2496" s="54">
        <v>0.3</v>
      </c>
    </row>
    <row r="2497" spans="1:6" hidden="1" x14ac:dyDescent="0.25">
      <c r="A2497" s="54" t="s">
        <v>146</v>
      </c>
      <c r="B2497" s="54">
        <v>2005</v>
      </c>
      <c r="C2497" s="54" t="s">
        <v>110</v>
      </c>
      <c r="D2497" s="30">
        <v>12</v>
      </c>
      <c r="E2497" s="54">
        <v>435.9</v>
      </c>
      <c r="F2497" s="54">
        <v>0</v>
      </c>
    </row>
    <row r="2498" spans="1:6" hidden="1" x14ac:dyDescent="0.25">
      <c r="A2498" s="54" t="s">
        <v>146</v>
      </c>
      <c r="B2498" s="54">
        <v>2006</v>
      </c>
      <c r="C2498" s="54" t="s">
        <v>99</v>
      </c>
      <c r="D2498" s="30">
        <v>1</v>
      </c>
      <c r="E2498" s="54">
        <v>420.7</v>
      </c>
      <c r="F2498" s="54">
        <v>0</v>
      </c>
    </row>
    <row r="2499" spans="1:6" hidden="1" x14ac:dyDescent="0.25">
      <c r="A2499" s="54" t="s">
        <v>146</v>
      </c>
      <c r="B2499" s="54">
        <v>2006</v>
      </c>
      <c r="C2499" s="54" t="s">
        <v>100</v>
      </c>
      <c r="D2499" s="30">
        <v>2</v>
      </c>
      <c r="E2499" s="54">
        <v>384.7</v>
      </c>
      <c r="F2499" s="54">
        <v>0</v>
      </c>
    </row>
    <row r="2500" spans="1:6" hidden="1" x14ac:dyDescent="0.25">
      <c r="A2500" s="54" t="s">
        <v>146</v>
      </c>
      <c r="B2500" s="54">
        <v>2006</v>
      </c>
      <c r="C2500" s="54" t="s">
        <v>101</v>
      </c>
      <c r="D2500" s="30">
        <v>3</v>
      </c>
      <c r="E2500" s="54">
        <v>298.5</v>
      </c>
      <c r="F2500" s="54">
        <v>0.8</v>
      </c>
    </row>
    <row r="2501" spans="1:6" hidden="1" x14ac:dyDescent="0.25">
      <c r="A2501" s="54" t="s">
        <v>146</v>
      </c>
      <c r="B2501" s="54">
        <v>2006</v>
      </c>
      <c r="C2501" s="54" t="s">
        <v>102</v>
      </c>
      <c r="D2501" s="30">
        <v>4</v>
      </c>
      <c r="E2501" s="54">
        <v>217.3</v>
      </c>
      <c r="F2501" s="54">
        <v>4.0999999999999996</v>
      </c>
    </row>
    <row r="2502" spans="1:6" hidden="1" x14ac:dyDescent="0.25">
      <c r="A2502" s="54" t="s">
        <v>146</v>
      </c>
      <c r="B2502" s="54">
        <v>2006</v>
      </c>
      <c r="C2502" s="54" t="s">
        <v>103</v>
      </c>
      <c r="D2502" s="30">
        <v>5</v>
      </c>
      <c r="E2502" s="54">
        <v>123.8</v>
      </c>
      <c r="F2502" s="54">
        <v>25</v>
      </c>
    </row>
    <row r="2503" spans="1:6" hidden="1" x14ac:dyDescent="0.25">
      <c r="A2503" s="54" t="s">
        <v>146</v>
      </c>
      <c r="B2503" s="54">
        <v>2006</v>
      </c>
      <c r="C2503" s="54" t="s">
        <v>104</v>
      </c>
      <c r="D2503" s="30">
        <v>6</v>
      </c>
      <c r="E2503" s="54">
        <v>43.2</v>
      </c>
      <c r="F2503" s="54">
        <v>98.4</v>
      </c>
    </row>
    <row r="2504" spans="1:6" hidden="1" x14ac:dyDescent="0.25">
      <c r="A2504" s="54" t="s">
        <v>146</v>
      </c>
      <c r="B2504" s="54">
        <v>2006</v>
      </c>
      <c r="C2504" s="54" t="s">
        <v>105</v>
      </c>
      <c r="D2504" s="30">
        <v>7</v>
      </c>
      <c r="E2504" s="54">
        <v>6.8</v>
      </c>
      <c r="F2504" s="54">
        <v>188.1</v>
      </c>
    </row>
    <row r="2505" spans="1:6" hidden="1" x14ac:dyDescent="0.25">
      <c r="A2505" s="54" t="s">
        <v>146</v>
      </c>
      <c r="B2505" s="54">
        <v>2006</v>
      </c>
      <c r="C2505" s="54" t="s">
        <v>106</v>
      </c>
      <c r="D2505" s="30">
        <v>8</v>
      </c>
      <c r="E2505" s="54">
        <v>44.6</v>
      </c>
      <c r="F2505" s="54">
        <v>60.3</v>
      </c>
    </row>
    <row r="2506" spans="1:6" hidden="1" x14ac:dyDescent="0.25">
      <c r="A2506" s="54" t="s">
        <v>146</v>
      </c>
      <c r="B2506" s="54">
        <v>2006</v>
      </c>
      <c r="C2506" s="54" t="s">
        <v>107</v>
      </c>
      <c r="D2506" s="30">
        <v>9</v>
      </c>
      <c r="E2506" s="54">
        <v>33.9</v>
      </c>
      <c r="F2506" s="54">
        <v>85.3</v>
      </c>
    </row>
    <row r="2507" spans="1:6" hidden="1" x14ac:dyDescent="0.25">
      <c r="A2507" s="54" t="s">
        <v>146</v>
      </c>
      <c r="B2507" s="54">
        <v>2006</v>
      </c>
      <c r="C2507" s="54" t="s">
        <v>108</v>
      </c>
      <c r="D2507" s="30">
        <v>10</v>
      </c>
      <c r="E2507" s="54">
        <v>73.2</v>
      </c>
      <c r="F2507" s="54">
        <v>19.8</v>
      </c>
    </row>
    <row r="2508" spans="1:6" hidden="1" x14ac:dyDescent="0.25">
      <c r="A2508" s="54" t="s">
        <v>146</v>
      </c>
      <c r="B2508" s="54">
        <v>2006</v>
      </c>
      <c r="C2508" s="54" t="s">
        <v>109</v>
      </c>
      <c r="D2508" s="30">
        <v>11</v>
      </c>
      <c r="E2508" s="54">
        <v>216</v>
      </c>
      <c r="F2508" s="54">
        <v>0</v>
      </c>
    </row>
    <row r="2509" spans="1:6" hidden="1" x14ac:dyDescent="0.25">
      <c r="A2509" s="54" t="s">
        <v>146</v>
      </c>
      <c r="B2509" s="54">
        <v>2006</v>
      </c>
      <c r="C2509" s="54" t="s">
        <v>110</v>
      </c>
      <c r="D2509" s="30">
        <v>12</v>
      </c>
      <c r="E2509" s="54">
        <v>398.8</v>
      </c>
      <c r="F2509" s="54">
        <v>0</v>
      </c>
    </row>
    <row r="2510" spans="1:6" hidden="1" x14ac:dyDescent="0.25">
      <c r="A2510" s="54" t="s">
        <v>146</v>
      </c>
      <c r="B2510" s="54">
        <v>2007</v>
      </c>
      <c r="C2510" s="54" t="s">
        <v>99</v>
      </c>
      <c r="D2510" s="30">
        <v>1</v>
      </c>
      <c r="E2510" s="54">
        <v>318.8</v>
      </c>
      <c r="F2510" s="54">
        <v>0</v>
      </c>
    </row>
    <row r="2511" spans="1:6" hidden="1" x14ac:dyDescent="0.25">
      <c r="A2511" s="54" t="s">
        <v>146</v>
      </c>
      <c r="B2511" s="54">
        <v>2007</v>
      </c>
      <c r="C2511" s="54" t="s">
        <v>100</v>
      </c>
      <c r="D2511" s="30">
        <v>2</v>
      </c>
      <c r="E2511" s="54">
        <v>246.5</v>
      </c>
      <c r="F2511" s="54">
        <v>0</v>
      </c>
    </row>
    <row r="2512" spans="1:6" hidden="1" x14ac:dyDescent="0.25">
      <c r="A2512" s="54" t="s">
        <v>146</v>
      </c>
      <c r="B2512" s="54">
        <v>2007</v>
      </c>
      <c r="C2512" s="54" t="s">
        <v>101</v>
      </c>
      <c r="D2512" s="30">
        <v>3</v>
      </c>
      <c r="E2512" s="54">
        <v>297</v>
      </c>
      <c r="F2512" s="54">
        <v>0.4</v>
      </c>
    </row>
    <row r="2513" spans="1:6" hidden="1" x14ac:dyDescent="0.25">
      <c r="A2513" s="54" t="s">
        <v>146</v>
      </c>
      <c r="B2513" s="54">
        <v>2007</v>
      </c>
      <c r="C2513" s="54" t="s">
        <v>102</v>
      </c>
      <c r="D2513" s="30">
        <v>4</v>
      </c>
      <c r="E2513" s="54">
        <v>118</v>
      </c>
      <c r="F2513" s="54">
        <v>31.3</v>
      </c>
    </row>
    <row r="2514" spans="1:6" hidden="1" x14ac:dyDescent="0.25">
      <c r="A2514" s="54" t="s">
        <v>146</v>
      </c>
      <c r="B2514" s="54">
        <v>2007</v>
      </c>
      <c r="C2514" s="54" t="s">
        <v>103</v>
      </c>
      <c r="D2514" s="30">
        <v>5</v>
      </c>
      <c r="E2514" s="54">
        <v>93.3</v>
      </c>
      <c r="F2514" s="54">
        <v>21.2</v>
      </c>
    </row>
    <row r="2515" spans="1:6" hidden="1" x14ac:dyDescent="0.25">
      <c r="A2515" s="54" t="s">
        <v>146</v>
      </c>
      <c r="B2515" s="54">
        <v>2007</v>
      </c>
      <c r="C2515" s="54" t="s">
        <v>104</v>
      </c>
      <c r="D2515" s="30">
        <v>6</v>
      </c>
      <c r="E2515" s="54">
        <v>49.1</v>
      </c>
      <c r="F2515" s="54">
        <v>50.6</v>
      </c>
    </row>
    <row r="2516" spans="1:6" hidden="1" x14ac:dyDescent="0.25">
      <c r="A2516" s="54" t="s">
        <v>146</v>
      </c>
      <c r="B2516" s="54">
        <v>2007</v>
      </c>
      <c r="C2516" s="54" t="s">
        <v>105</v>
      </c>
      <c r="D2516" s="30">
        <v>7</v>
      </c>
      <c r="E2516" s="54">
        <v>46.1</v>
      </c>
      <c r="F2516" s="54">
        <v>52.1</v>
      </c>
    </row>
    <row r="2517" spans="1:6" hidden="1" x14ac:dyDescent="0.25">
      <c r="A2517" s="54" t="s">
        <v>146</v>
      </c>
      <c r="B2517" s="54">
        <v>2007</v>
      </c>
      <c r="C2517" s="54" t="s">
        <v>106</v>
      </c>
      <c r="D2517" s="30">
        <v>8</v>
      </c>
      <c r="E2517" s="54">
        <v>48.6</v>
      </c>
      <c r="F2517" s="54">
        <v>63.5</v>
      </c>
    </row>
    <row r="2518" spans="1:6" hidden="1" x14ac:dyDescent="0.25">
      <c r="A2518" s="54" t="s">
        <v>146</v>
      </c>
      <c r="B2518" s="54">
        <v>2007</v>
      </c>
      <c r="C2518" s="54" t="s">
        <v>107</v>
      </c>
      <c r="D2518" s="30">
        <v>9</v>
      </c>
      <c r="E2518" s="54">
        <v>96.8</v>
      </c>
      <c r="F2518" s="54">
        <v>37.700000000000003</v>
      </c>
    </row>
    <row r="2519" spans="1:6" hidden="1" x14ac:dyDescent="0.25">
      <c r="A2519" s="54" t="s">
        <v>146</v>
      </c>
      <c r="B2519" s="54">
        <v>2007</v>
      </c>
      <c r="C2519" s="54" t="s">
        <v>108</v>
      </c>
      <c r="D2519" s="30">
        <v>10</v>
      </c>
      <c r="E2519" s="54">
        <v>167.8</v>
      </c>
      <c r="F2519" s="54">
        <v>13.7</v>
      </c>
    </row>
    <row r="2520" spans="1:6" hidden="1" x14ac:dyDescent="0.25">
      <c r="A2520" s="54" t="s">
        <v>146</v>
      </c>
      <c r="B2520" s="54">
        <v>2007</v>
      </c>
      <c r="C2520" s="54" t="s">
        <v>109</v>
      </c>
      <c r="D2520" s="30">
        <v>11</v>
      </c>
      <c r="E2520" s="54">
        <v>323.2</v>
      </c>
      <c r="F2520" s="54">
        <v>0</v>
      </c>
    </row>
    <row r="2521" spans="1:6" hidden="1" x14ac:dyDescent="0.25">
      <c r="A2521" s="54" t="s">
        <v>146</v>
      </c>
      <c r="B2521" s="54">
        <v>2007</v>
      </c>
      <c r="C2521" s="54" t="s">
        <v>110</v>
      </c>
      <c r="D2521" s="30">
        <v>12</v>
      </c>
      <c r="E2521" s="54">
        <v>391.7</v>
      </c>
      <c r="F2521" s="54">
        <v>0</v>
      </c>
    </row>
    <row r="2522" spans="1:6" hidden="1" x14ac:dyDescent="0.25">
      <c r="A2522" s="54" t="s">
        <v>146</v>
      </c>
      <c r="B2522" s="54">
        <v>2008</v>
      </c>
      <c r="C2522" s="54" t="s">
        <v>99</v>
      </c>
      <c r="D2522" s="30">
        <v>1</v>
      </c>
      <c r="E2522" s="54">
        <v>325.2</v>
      </c>
      <c r="F2522" s="54">
        <v>0</v>
      </c>
    </row>
    <row r="2523" spans="1:6" hidden="1" x14ac:dyDescent="0.25">
      <c r="A2523" s="54" t="s">
        <v>146</v>
      </c>
      <c r="B2523" s="54">
        <v>2008</v>
      </c>
      <c r="C2523" s="54" t="s">
        <v>100</v>
      </c>
      <c r="D2523" s="30">
        <v>2</v>
      </c>
      <c r="E2523" s="54">
        <v>281.2</v>
      </c>
      <c r="F2523" s="54">
        <v>0</v>
      </c>
    </row>
    <row r="2524" spans="1:6" hidden="1" x14ac:dyDescent="0.25">
      <c r="A2524" s="54" t="s">
        <v>146</v>
      </c>
      <c r="B2524" s="54">
        <v>2008</v>
      </c>
      <c r="C2524" s="54" t="s">
        <v>101</v>
      </c>
      <c r="D2524" s="30">
        <v>3</v>
      </c>
      <c r="E2524" s="54">
        <v>301.89999999999998</v>
      </c>
      <c r="F2524" s="54">
        <v>0</v>
      </c>
    </row>
    <row r="2525" spans="1:6" hidden="1" x14ac:dyDescent="0.25">
      <c r="A2525" s="54" t="s">
        <v>146</v>
      </c>
      <c r="B2525" s="54">
        <v>2008</v>
      </c>
      <c r="C2525" s="54" t="s">
        <v>102</v>
      </c>
      <c r="D2525" s="30">
        <v>4</v>
      </c>
      <c r="E2525" s="54">
        <v>239</v>
      </c>
      <c r="F2525" s="54">
        <v>2.2999999999999998</v>
      </c>
    </row>
    <row r="2526" spans="1:6" hidden="1" x14ac:dyDescent="0.25">
      <c r="A2526" s="54" t="s">
        <v>146</v>
      </c>
      <c r="B2526" s="54">
        <v>2008</v>
      </c>
      <c r="C2526" s="54" t="s">
        <v>103</v>
      </c>
      <c r="D2526" s="30">
        <v>5</v>
      </c>
      <c r="E2526" s="54">
        <v>97.7</v>
      </c>
      <c r="F2526" s="54">
        <v>27.4</v>
      </c>
    </row>
    <row r="2527" spans="1:6" hidden="1" x14ac:dyDescent="0.25">
      <c r="A2527" s="54" t="s">
        <v>146</v>
      </c>
      <c r="B2527" s="54">
        <v>2008</v>
      </c>
      <c r="C2527" s="54" t="s">
        <v>104</v>
      </c>
      <c r="D2527" s="30">
        <v>6</v>
      </c>
      <c r="E2527" s="54">
        <v>59.8</v>
      </c>
      <c r="F2527" s="54">
        <v>52.1</v>
      </c>
    </row>
    <row r="2528" spans="1:6" hidden="1" x14ac:dyDescent="0.25">
      <c r="A2528" s="54" t="s">
        <v>146</v>
      </c>
      <c r="B2528" s="54">
        <v>2008</v>
      </c>
      <c r="C2528" s="54" t="s">
        <v>105</v>
      </c>
      <c r="D2528" s="30">
        <v>7</v>
      </c>
      <c r="E2528" s="54">
        <v>43.4</v>
      </c>
      <c r="F2528" s="54">
        <v>76</v>
      </c>
    </row>
    <row r="2529" spans="1:6" hidden="1" x14ac:dyDescent="0.25">
      <c r="A2529" s="54" t="s">
        <v>146</v>
      </c>
      <c r="B2529" s="54">
        <v>2008</v>
      </c>
      <c r="C2529" s="54" t="s">
        <v>106</v>
      </c>
      <c r="D2529" s="30">
        <v>8</v>
      </c>
      <c r="E2529" s="54">
        <v>39.5</v>
      </c>
      <c r="F2529" s="54">
        <v>73.2</v>
      </c>
    </row>
    <row r="2530" spans="1:6" hidden="1" x14ac:dyDescent="0.25">
      <c r="A2530" s="54" t="s">
        <v>146</v>
      </c>
      <c r="B2530" s="54">
        <v>2008</v>
      </c>
      <c r="C2530" s="54" t="s">
        <v>107</v>
      </c>
      <c r="D2530" s="30">
        <v>9</v>
      </c>
      <c r="E2530" s="54">
        <v>105.1</v>
      </c>
      <c r="F2530" s="54">
        <v>19.100000000000001</v>
      </c>
    </row>
    <row r="2531" spans="1:6" hidden="1" x14ac:dyDescent="0.25">
      <c r="A2531" s="54" t="s">
        <v>146</v>
      </c>
      <c r="B2531" s="54">
        <v>2008</v>
      </c>
      <c r="C2531" s="54" t="s">
        <v>108</v>
      </c>
      <c r="D2531" s="30">
        <v>10</v>
      </c>
      <c r="E2531" s="54">
        <v>187.9</v>
      </c>
      <c r="F2531" s="54">
        <v>8</v>
      </c>
    </row>
    <row r="2532" spans="1:6" hidden="1" x14ac:dyDescent="0.25">
      <c r="A2532" s="54" t="s">
        <v>146</v>
      </c>
      <c r="B2532" s="54">
        <v>2008</v>
      </c>
      <c r="C2532" s="54" t="s">
        <v>109</v>
      </c>
      <c r="D2532" s="30">
        <v>11</v>
      </c>
      <c r="E2532" s="54">
        <v>288.60000000000002</v>
      </c>
      <c r="F2532" s="54">
        <v>0</v>
      </c>
    </row>
    <row r="2533" spans="1:6" hidden="1" x14ac:dyDescent="0.25">
      <c r="A2533" s="54" t="s">
        <v>146</v>
      </c>
      <c r="B2533" s="54">
        <v>2008</v>
      </c>
      <c r="C2533" s="54" t="s">
        <v>110</v>
      </c>
      <c r="D2533" s="30">
        <v>12</v>
      </c>
      <c r="E2533" s="54">
        <v>422</v>
      </c>
      <c r="F2533" s="54">
        <v>0</v>
      </c>
    </row>
    <row r="2534" spans="1:6" hidden="1" x14ac:dyDescent="0.25">
      <c r="A2534" s="54" t="s">
        <v>146</v>
      </c>
      <c r="B2534" s="54">
        <v>2009</v>
      </c>
      <c r="C2534" s="54" t="s">
        <v>99</v>
      </c>
      <c r="D2534" s="30">
        <v>1</v>
      </c>
      <c r="E2534" s="54">
        <v>458.7</v>
      </c>
      <c r="F2534" s="54">
        <v>0</v>
      </c>
    </row>
    <row r="2535" spans="1:6" hidden="1" x14ac:dyDescent="0.25">
      <c r="A2535" s="54" t="s">
        <v>146</v>
      </c>
      <c r="B2535" s="54">
        <v>2009</v>
      </c>
      <c r="C2535" s="54" t="s">
        <v>100</v>
      </c>
      <c r="D2535" s="30">
        <v>2</v>
      </c>
      <c r="E2535" s="54">
        <v>343.1</v>
      </c>
      <c r="F2535" s="54">
        <v>0.2</v>
      </c>
    </row>
    <row r="2536" spans="1:6" hidden="1" x14ac:dyDescent="0.25">
      <c r="A2536" s="54" t="s">
        <v>146</v>
      </c>
      <c r="B2536" s="54">
        <v>2009</v>
      </c>
      <c r="C2536" s="54" t="s">
        <v>101</v>
      </c>
      <c r="D2536" s="30">
        <v>3</v>
      </c>
      <c r="E2536" s="54">
        <v>303.89999999999998</v>
      </c>
      <c r="F2536" s="54">
        <v>0.8</v>
      </c>
    </row>
    <row r="2537" spans="1:6" hidden="1" x14ac:dyDescent="0.25">
      <c r="A2537" s="54" t="s">
        <v>146</v>
      </c>
      <c r="B2537" s="54">
        <v>2009</v>
      </c>
      <c r="C2537" s="54" t="s">
        <v>102</v>
      </c>
      <c r="D2537" s="30">
        <v>4</v>
      </c>
      <c r="E2537" s="54">
        <v>207.8</v>
      </c>
      <c r="F2537" s="54">
        <v>4.2</v>
      </c>
    </row>
    <row r="2538" spans="1:6" hidden="1" x14ac:dyDescent="0.25">
      <c r="A2538" s="54" t="s">
        <v>146</v>
      </c>
      <c r="B2538" s="54">
        <v>2009</v>
      </c>
      <c r="C2538" s="54" t="s">
        <v>103</v>
      </c>
      <c r="D2538" s="30">
        <v>5</v>
      </c>
      <c r="E2538" s="54">
        <v>99</v>
      </c>
      <c r="F2538" s="54">
        <v>30.7</v>
      </c>
    </row>
    <row r="2539" spans="1:6" hidden="1" x14ac:dyDescent="0.25">
      <c r="A2539" s="54" t="s">
        <v>146</v>
      </c>
      <c r="B2539" s="54">
        <v>2009</v>
      </c>
      <c r="C2539" s="54" t="s">
        <v>104</v>
      </c>
      <c r="D2539" s="30">
        <v>6</v>
      </c>
      <c r="E2539" s="54">
        <v>53.5</v>
      </c>
      <c r="F2539" s="54">
        <v>70</v>
      </c>
    </row>
    <row r="2540" spans="1:6" hidden="1" x14ac:dyDescent="0.25">
      <c r="A2540" s="54" t="s">
        <v>146</v>
      </c>
      <c r="B2540" s="54">
        <v>2009</v>
      </c>
      <c r="C2540" s="54" t="s">
        <v>105</v>
      </c>
      <c r="D2540" s="30">
        <v>7</v>
      </c>
      <c r="E2540" s="54">
        <v>37.9</v>
      </c>
      <c r="F2540" s="54">
        <v>86.2</v>
      </c>
    </row>
    <row r="2541" spans="1:6" hidden="1" x14ac:dyDescent="0.25">
      <c r="A2541" s="54" t="s">
        <v>146</v>
      </c>
      <c r="B2541" s="54">
        <v>2009</v>
      </c>
      <c r="C2541" s="54" t="s">
        <v>106</v>
      </c>
      <c r="D2541" s="30">
        <v>8</v>
      </c>
      <c r="E2541" s="54">
        <v>28.7</v>
      </c>
      <c r="F2541" s="54">
        <v>124</v>
      </c>
    </row>
    <row r="2542" spans="1:6" hidden="1" x14ac:dyDescent="0.25">
      <c r="A2542" s="54" t="s">
        <v>146</v>
      </c>
      <c r="B2542" s="54">
        <v>2009</v>
      </c>
      <c r="C2542" s="54" t="s">
        <v>107</v>
      </c>
      <c r="D2542" s="30">
        <v>9</v>
      </c>
      <c r="E2542" s="54">
        <v>52.1</v>
      </c>
      <c r="F2542" s="54">
        <v>58.2</v>
      </c>
    </row>
    <row r="2543" spans="1:6" hidden="1" x14ac:dyDescent="0.25">
      <c r="A2543" s="54" t="s">
        <v>146</v>
      </c>
      <c r="B2543" s="54">
        <v>2009</v>
      </c>
      <c r="C2543" s="54" t="s">
        <v>108</v>
      </c>
      <c r="D2543" s="30">
        <v>10</v>
      </c>
      <c r="E2543" s="54">
        <v>139.6</v>
      </c>
      <c r="F2543" s="54">
        <v>20.9</v>
      </c>
    </row>
    <row r="2544" spans="1:6" hidden="1" x14ac:dyDescent="0.25">
      <c r="A2544" s="54" t="s">
        <v>146</v>
      </c>
      <c r="B2544" s="54">
        <v>2009</v>
      </c>
      <c r="C2544" s="54" t="s">
        <v>109</v>
      </c>
      <c r="D2544" s="30">
        <v>11</v>
      </c>
      <c r="E2544" s="54">
        <v>214.6</v>
      </c>
      <c r="F2544" s="54">
        <v>0.1</v>
      </c>
    </row>
    <row r="2545" spans="1:6" hidden="1" x14ac:dyDescent="0.25">
      <c r="A2545" s="54" t="s">
        <v>146</v>
      </c>
      <c r="B2545" s="54">
        <v>2009</v>
      </c>
      <c r="C2545" s="54" t="s">
        <v>110</v>
      </c>
      <c r="D2545" s="30">
        <v>12</v>
      </c>
      <c r="E2545" s="54">
        <v>375.8</v>
      </c>
      <c r="F2545" s="54">
        <v>0</v>
      </c>
    </row>
    <row r="2546" spans="1:6" hidden="1" x14ac:dyDescent="0.25">
      <c r="A2546" s="54" t="s">
        <v>146</v>
      </c>
      <c r="B2546" s="54">
        <v>2010</v>
      </c>
      <c r="C2546" s="54" t="s">
        <v>99</v>
      </c>
      <c r="D2546" s="30">
        <v>1</v>
      </c>
      <c r="E2546" s="54">
        <v>490</v>
      </c>
      <c r="F2546" s="54">
        <v>0</v>
      </c>
    </row>
    <row r="2547" spans="1:6" hidden="1" x14ac:dyDescent="0.25">
      <c r="A2547" s="54" t="s">
        <v>146</v>
      </c>
      <c r="B2547" s="54">
        <v>2010</v>
      </c>
      <c r="C2547" s="54" t="s">
        <v>100</v>
      </c>
      <c r="D2547" s="30">
        <v>2</v>
      </c>
      <c r="E2547" s="54">
        <v>366.7</v>
      </c>
      <c r="F2547" s="54">
        <v>0</v>
      </c>
    </row>
    <row r="2548" spans="1:6" hidden="1" x14ac:dyDescent="0.25">
      <c r="A2548" s="54" t="s">
        <v>146</v>
      </c>
      <c r="B2548" s="54">
        <v>2010</v>
      </c>
      <c r="C2548" s="54" t="s">
        <v>101</v>
      </c>
      <c r="D2548" s="30">
        <v>3</v>
      </c>
      <c r="E2548" s="54">
        <v>313.39999999999998</v>
      </c>
      <c r="F2548" s="54">
        <v>1.9</v>
      </c>
    </row>
    <row r="2549" spans="1:6" hidden="1" x14ac:dyDescent="0.25">
      <c r="A2549" s="54" t="s">
        <v>146</v>
      </c>
      <c r="B2549" s="54">
        <v>2010</v>
      </c>
      <c r="C2549" s="54" t="s">
        <v>102</v>
      </c>
      <c r="D2549" s="30">
        <v>4</v>
      </c>
      <c r="E2549" s="54">
        <v>184.8</v>
      </c>
      <c r="F2549" s="54">
        <v>10.1</v>
      </c>
    </row>
    <row r="2550" spans="1:6" hidden="1" x14ac:dyDescent="0.25">
      <c r="A2550" s="54" t="s">
        <v>146</v>
      </c>
      <c r="B2550" s="54">
        <v>2010</v>
      </c>
      <c r="C2550" s="54" t="s">
        <v>103</v>
      </c>
      <c r="D2550" s="30">
        <v>5</v>
      </c>
      <c r="E2550" s="54">
        <v>152.4</v>
      </c>
      <c r="F2550" s="54">
        <v>22.5</v>
      </c>
    </row>
    <row r="2551" spans="1:6" hidden="1" x14ac:dyDescent="0.25">
      <c r="A2551" s="54" t="s">
        <v>146</v>
      </c>
      <c r="B2551" s="54">
        <v>2010</v>
      </c>
      <c r="C2551" s="54" t="s">
        <v>104</v>
      </c>
      <c r="D2551" s="30">
        <v>6</v>
      </c>
      <c r="E2551" s="54">
        <v>48.3</v>
      </c>
      <c r="F2551" s="54">
        <v>71.400000000000006</v>
      </c>
    </row>
    <row r="2552" spans="1:6" hidden="1" x14ac:dyDescent="0.25">
      <c r="A2552" s="54" t="s">
        <v>146</v>
      </c>
      <c r="B2552" s="54">
        <v>2010</v>
      </c>
      <c r="C2552" s="54" t="s">
        <v>105</v>
      </c>
      <c r="D2552" s="30">
        <v>7</v>
      </c>
      <c r="E2552" s="54">
        <v>24.9</v>
      </c>
      <c r="F2552" s="54">
        <v>118.3</v>
      </c>
    </row>
    <row r="2553" spans="1:6" hidden="1" x14ac:dyDescent="0.25">
      <c r="A2553" s="54" t="s">
        <v>146</v>
      </c>
      <c r="B2553" s="54">
        <v>2010</v>
      </c>
      <c r="C2553" s="54" t="s">
        <v>106</v>
      </c>
      <c r="D2553" s="30">
        <v>8</v>
      </c>
      <c r="E2553" s="54">
        <v>39.5</v>
      </c>
      <c r="F2553" s="54">
        <v>84.5</v>
      </c>
    </row>
    <row r="2554" spans="1:6" hidden="1" x14ac:dyDescent="0.25">
      <c r="A2554" s="54" t="s">
        <v>146</v>
      </c>
      <c r="B2554" s="54">
        <v>2010</v>
      </c>
      <c r="C2554" s="54" t="s">
        <v>107</v>
      </c>
      <c r="D2554" s="30">
        <v>9</v>
      </c>
      <c r="E2554" s="54">
        <v>78.400000000000006</v>
      </c>
      <c r="F2554" s="54">
        <v>45</v>
      </c>
    </row>
    <row r="2555" spans="1:6" hidden="1" x14ac:dyDescent="0.25">
      <c r="A2555" s="54" t="s">
        <v>146</v>
      </c>
      <c r="B2555" s="54">
        <v>2010</v>
      </c>
      <c r="C2555" s="54" t="s">
        <v>108</v>
      </c>
      <c r="D2555" s="30">
        <v>10</v>
      </c>
      <c r="E2555" s="54">
        <v>177.2</v>
      </c>
      <c r="F2555" s="54">
        <v>17.899999999999999</v>
      </c>
    </row>
    <row r="2556" spans="1:6" hidden="1" x14ac:dyDescent="0.25">
      <c r="A2556" s="54" t="s">
        <v>146</v>
      </c>
      <c r="B2556" s="54">
        <v>2010</v>
      </c>
      <c r="C2556" s="54" t="s">
        <v>109</v>
      </c>
      <c r="D2556" s="30">
        <v>11</v>
      </c>
      <c r="E2556" s="54">
        <v>295.89999999999998</v>
      </c>
      <c r="F2556" s="54">
        <v>0</v>
      </c>
    </row>
    <row r="2557" spans="1:6" hidden="1" x14ac:dyDescent="0.25">
      <c r="A2557" s="54" t="s">
        <v>146</v>
      </c>
      <c r="B2557" s="54">
        <v>2010</v>
      </c>
      <c r="C2557" s="54" t="s">
        <v>110</v>
      </c>
      <c r="D2557" s="30">
        <v>12</v>
      </c>
      <c r="E2557" s="54">
        <v>478.3</v>
      </c>
      <c r="F2557" s="54">
        <v>0</v>
      </c>
    </row>
    <row r="2558" spans="1:6" hidden="1" x14ac:dyDescent="0.25">
      <c r="A2558" s="54" t="s">
        <v>146</v>
      </c>
      <c r="B2558" s="54">
        <v>2011</v>
      </c>
      <c r="C2558" s="54" t="s">
        <v>99</v>
      </c>
      <c r="D2558" s="30">
        <v>1</v>
      </c>
      <c r="E2558" s="54">
        <v>403.7</v>
      </c>
      <c r="F2558" s="54">
        <v>0</v>
      </c>
    </row>
    <row r="2559" spans="1:6" hidden="1" x14ac:dyDescent="0.25">
      <c r="A2559" s="54" t="s">
        <v>146</v>
      </c>
      <c r="B2559" s="54">
        <v>2011</v>
      </c>
      <c r="C2559" s="54" t="s">
        <v>100</v>
      </c>
      <c r="D2559" s="30">
        <v>2</v>
      </c>
      <c r="E2559" s="54">
        <v>301.8</v>
      </c>
      <c r="F2559" s="54">
        <v>0</v>
      </c>
    </row>
    <row r="2560" spans="1:6" hidden="1" x14ac:dyDescent="0.25">
      <c r="A2560" s="54" t="s">
        <v>146</v>
      </c>
      <c r="B2560" s="54">
        <v>2011</v>
      </c>
      <c r="C2560" s="54" t="s">
        <v>101</v>
      </c>
      <c r="D2560" s="30">
        <v>3</v>
      </c>
      <c r="E2560" s="54">
        <v>262.60000000000002</v>
      </c>
      <c r="F2560" s="54">
        <v>2.2000000000000002</v>
      </c>
    </row>
    <row r="2561" spans="1:6" hidden="1" x14ac:dyDescent="0.25">
      <c r="A2561" s="54" t="s">
        <v>146</v>
      </c>
      <c r="B2561" s="54">
        <v>2011</v>
      </c>
      <c r="C2561" s="54" t="s">
        <v>102</v>
      </c>
      <c r="D2561" s="30">
        <v>4</v>
      </c>
      <c r="E2561" s="54">
        <v>124.5</v>
      </c>
      <c r="F2561" s="54">
        <v>27.5</v>
      </c>
    </row>
    <row r="2562" spans="1:6" hidden="1" x14ac:dyDescent="0.25">
      <c r="A2562" s="54" t="s">
        <v>146</v>
      </c>
      <c r="B2562" s="54">
        <v>2011</v>
      </c>
      <c r="C2562" s="54" t="s">
        <v>103</v>
      </c>
      <c r="D2562" s="30">
        <v>5</v>
      </c>
      <c r="E2562" s="54">
        <v>82.5</v>
      </c>
      <c r="F2562" s="54">
        <v>49</v>
      </c>
    </row>
    <row r="2563" spans="1:6" hidden="1" x14ac:dyDescent="0.25">
      <c r="A2563" s="54" t="s">
        <v>146</v>
      </c>
      <c r="B2563" s="54">
        <v>2011</v>
      </c>
      <c r="C2563" s="54" t="s">
        <v>104</v>
      </c>
      <c r="D2563" s="30">
        <v>6</v>
      </c>
      <c r="E2563" s="54">
        <v>56.3</v>
      </c>
      <c r="F2563" s="54">
        <v>59.3</v>
      </c>
    </row>
    <row r="2564" spans="1:6" hidden="1" x14ac:dyDescent="0.25">
      <c r="A2564" s="54" t="s">
        <v>146</v>
      </c>
      <c r="B2564" s="54">
        <v>2011</v>
      </c>
      <c r="C2564" s="54" t="s">
        <v>105</v>
      </c>
      <c r="D2564" s="30">
        <v>7</v>
      </c>
      <c r="E2564" s="54">
        <v>43.2</v>
      </c>
      <c r="F2564" s="54">
        <v>63.4</v>
      </c>
    </row>
    <row r="2565" spans="1:6" hidden="1" x14ac:dyDescent="0.25">
      <c r="A2565" s="54" t="s">
        <v>146</v>
      </c>
      <c r="B2565" s="54">
        <v>2011</v>
      </c>
      <c r="C2565" s="54" t="s">
        <v>106</v>
      </c>
      <c r="D2565" s="30">
        <v>8</v>
      </c>
      <c r="E2565" s="54">
        <v>32.4</v>
      </c>
      <c r="F2565" s="54">
        <v>87.1</v>
      </c>
    </row>
    <row r="2566" spans="1:6" hidden="1" x14ac:dyDescent="0.25">
      <c r="A2566" s="54" t="s">
        <v>146</v>
      </c>
      <c r="B2566" s="54">
        <v>2011</v>
      </c>
      <c r="C2566" s="54" t="s">
        <v>107</v>
      </c>
      <c r="D2566" s="30">
        <v>9</v>
      </c>
      <c r="E2566" s="54">
        <v>43.8</v>
      </c>
      <c r="F2566" s="54">
        <v>66.2</v>
      </c>
    </row>
    <row r="2567" spans="1:6" hidden="1" x14ac:dyDescent="0.25">
      <c r="A2567" s="54" t="s">
        <v>146</v>
      </c>
      <c r="B2567" s="54">
        <v>2011</v>
      </c>
      <c r="C2567" s="54" t="s">
        <v>108</v>
      </c>
      <c r="D2567" s="30">
        <v>10</v>
      </c>
      <c r="E2567" s="54">
        <v>130.80000000000001</v>
      </c>
      <c r="F2567" s="54">
        <v>23.1</v>
      </c>
    </row>
    <row r="2568" spans="1:6" hidden="1" x14ac:dyDescent="0.25">
      <c r="A2568" s="54" t="s">
        <v>146</v>
      </c>
      <c r="B2568" s="54">
        <v>2011</v>
      </c>
      <c r="C2568" s="54" t="s">
        <v>109</v>
      </c>
      <c r="D2568" s="30">
        <v>11</v>
      </c>
      <c r="E2568" s="54">
        <v>168.6</v>
      </c>
      <c r="F2568" s="54">
        <v>1.6</v>
      </c>
    </row>
    <row r="2569" spans="1:6" hidden="1" x14ac:dyDescent="0.25">
      <c r="A2569" s="54" t="s">
        <v>146</v>
      </c>
      <c r="B2569" s="54">
        <v>2011</v>
      </c>
      <c r="C2569" s="54" t="s">
        <v>110</v>
      </c>
      <c r="D2569" s="30">
        <v>12</v>
      </c>
      <c r="E2569" s="54">
        <v>297.3</v>
      </c>
      <c r="F2569" s="54">
        <v>0</v>
      </c>
    </row>
    <row r="2570" spans="1:6" hidden="1" x14ac:dyDescent="0.25">
      <c r="A2570" s="54" t="s">
        <v>146</v>
      </c>
      <c r="B2570" s="54">
        <v>2012</v>
      </c>
      <c r="C2570" s="54" t="s">
        <v>99</v>
      </c>
      <c r="D2570" s="30">
        <v>1</v>
      </c>
      <c r="E2570" s="54">
        <v>367.2</v>
      </c>
      <c r="F2570" s="54">
        <v>0</v>
      </c>
    </row>
    <row r="2571" spans="1:6" hidden="1" x14ac:dyDescent="0.25">
      <c r="A2571" s="54" t="s">
        <v>146</v>
      </c>
      <c r="B2571" s="54">
        <v>2012</v>
      </c>
      <c r="C2571" s="54" t="s">
        <v>100</v>
      </c>
      <c r="D2571" s="30">
        <v>2</v>
      </c>
      <c r="E2571" s="54">
        <v>472.5</v>
      </c>
      <c r="F2571" s="54">
        <v>0</v>
      </c>
    </row>
    <row r="2572" spans="1:6" hidden="1" x14ac:dyDescent="0.25">
      <c r="A2572" s="54" t="s">
        <v>146</v>
      </c>
      <c r="B2572" s="54">
        <v>2012</v>
      </c>
      <c r="C2572" s="54" t="s">
        <v>101</v>
      </c>
      <c r="D2572" s="30">
        <v>3</v>
      </c>
      <c r="E2572" s="54">
        <v>243.6</v>
      </c>
      <c r="F2572" s="54">
        <v>7.7</v>
      </c>
    </row>
    <row r="2573" spans="1:6" hidden="1" x14ac:dyDescent="0.25">
      <c r="A2573" s="54" t="s">
        <v>146</v>
      </c>
      <c r="B2573" s="54">
        <v>2012</v>
      </c>
      <c r="C2573" s="54" t="s">
        <v>102</v>
      </c>
      <c r="D2573" s="30">
        <v>4</v>
      </c>
      <c r="E2573" s="54">
        <v>250.4</v>
      </c>
      <c r="F2573" s="54">
        <v>0.1</v>
      </c>
    </row>
    <row r="2574" spans="1:6" hidden="1" x14ac:dyDescent="0.25">
      <c r="A2574" s="54" t="s">
        <v>146</v>
      </c>
      <c r="B2574" s="54">
        <v>2012</v>
      </c>
      <c r="C2574" s="54" t="s">
        <v>103</v>
      </c>
      <c r="D2574" s="30">
        <v>5</v>
      </c>
      <c r="E2574" s="54">
        <v>111.7</v>
      </c>
      <c r="F2574" s="54">
        <v>38.700000000000003</v>
      </c>
    </row>
    <row r="2575" spans="1:6" hidden="1" x14ac:dyDescent="0.25">
      <c r="A2575" s="54" t="s">
        <v>146</v>
      </c>
      <c r="B2575" s="54">
        <v>2012</v>
      </c>
      <c r="C2575" s="54" t="s">
        <v>104</v>
      </c>
      <c r="D2575" s="30">
        <v>6</v>
      </c>
      <c r="E2575" s="54">
        <v>56.1</v>
      </c>
      <c r="F2575" s="54">
        <v>51.6</v>
      </c>
    </row>
    <row r="2576" spans="1:6" hidden="1" x14ac:dyDescent="0.25">
      <c r="A2576" s="54" t="s">
        <v>146</v>
      </c>
      <c r="B2576" s="54">
        <v>2012</v>
      </c>
      <c r="C2576" s="54" t="s">
        <v>105</v>
      </c>
      <c r="D2576" s="30">
        <v>7</v>
      </c>
      <c r="E2576" s="54">
        <v>45.7</v>
      </c>
      <c r="F2576" s="54">
        <v>72.7</v>
      </c>
    </row>
    <row r="2577" spans="1:6" hidden="1" x14ac:dyDescent="0.25">
      <c r="A2577" s="54" t="s">
        <v>146</v>
      </c>
      <c r="B2577" s="54">
        <v>2012</v>
      </c>
      <c r="C2577" s="54" t="s">
        <v>106</v>
      </c>
      <c r="D2577" s="30">
        <v>8</v>
      </c>
      <c r="E2577" s="54">
        <v>25.4</v>
      </c>
      <c r="F2577" s="54">
        <v>123.8</v>
      </c>
    </row>
    <row r="2578" spans="1:6" hidden="1" x14ac:dyDescent="0.25">
      <c r="A2578" s="54" t="s">
        <v>146</v>
      </c>
      <c r="B2578" s="54">
        <v>2012</v>
      </c>
      <c r="C2578" s="54" t="s">
        <v>107</v>
      </c>
      <c r="D2578" s="30">
        <v>9</v>
      </c>
      <c r="E2578" s="54">
        <v>73.3</v>
      </c>
      <c r="F2578" s="54">
        <v>51.4</v>
      </c>
    </row>
    <row r="2579" spans="1:6" hidden="1" x14ac:dyDescent="0.25">
      <c r="A2579" s="54" t="s">
        <v>146</v>
      </c>
      <c r="B2579" s="54">
        <v>2012</v>
      </c>
      <c r="C2579" s="54" t="s">
        <v>108</v>
      </c>
      <c r="D2579" s="30">
        <v>10</v>
      </c>
      <c r="E2579" s="54">
        <v>136.19999999999999</v>
      </c>
      <c r="F2579" s="54">
        <v>10.199999999999999</v>
      </c>
    </row>
    <row r="2580" spans="1:6" hidden="1" x14ac:dyDescent="0.25">
      <c r="A2580" s="54" t="s">
        <v>146</v>
      </c>
      <c r="B2580" s="54">
        <v>2012</v>
      </c>
      <c r="C2580" s="54" t="s">
        <v>109</v>
      </c>
      <c r="D2580" s="30">
        <v>11</v>
      </c>
      <c r="E2580" s="54">
        <v>261.8</v>
      </c>
      <c r="F2580" s="54">
        <v>0</v>
      </c>
    </row>
    <row r="2581" spans="1:6" hidden="1" x14ac:dyDescent="0.25">
      <c r="A2581" s="54" t="s">
        <v>146</v>
      </c>
      <c r="B2581" s="54">
        <v>2012</v>
      </c>
      <c r="C2581" s="54" t="s">
        <v>110</v>
      </c>
      <c r="D2581" s="30">
        <v>12</v>
      </c>
      <c r="E2581" s="54">
        <v>326.3</v>
      </c>
      <c r="F2581" s="54">
        <v>0</v>
      </c>
    </row>
    <row r="2582" spans="1:6" hidden="1" x14ac:dyDescent="0.25">
      <c r="A2582" s="54" t="s">
        <v>146</v>
      </c>
      <c r="B2582" s="54">
        <v>2013</v>
      </c>
      <c r="C2582" s="54" t="s">
        <v>99</v>
      </c>
      <c r="D2582" s="30">
        <v>1</v>
      </c>
      <c r="E2582" s="54">
        <v>387.9</v>
      </c>
      <c r="F2582" s="54">
        <v>0</v>
      </c>
    </row>
    <row r="2583" spans="1:6" hidden="1" x14ac:dyDescent="0.25">
      <c r="A2583" s="54" t="s">
        <v>146</v>
      </c>
      <c r="B2583" s="54">
        <v>2013</v>
      </c>
      <c r="C2583" s="54" t="s">
        <v>100</v>
      </c>
      <c r="D2583" s="30">
        <v>2</v>
      </c>
      <c r="E2583" s="54">
        <v>372.5</v>
      </c>
      <c r="F2583" s="54">
        <v>0</v>
      </c>
    </row>
    <row r="2584" spans="1:6" hidden="1" x14ac:dyDescent="0.25">
      <c r="A2584" s="54" t="s">
        <v>146</v>
      </c>
      <c r="B2584" s="54">
        <v>2013</v>
      </c>
      <c r="C2584" s="54" t="s">
        <v>101</v>
      </c>
      <c r="D2584" s="30">
        <v>3</v>
      </c>
      <c r="E2584" s="54">
        <v>327.10000000000002</v>
      </c>
      <c r="F2584" s="54">
        <v>0.3</v>
      </c>
    </row>
    <row r="2585" spans="1:6" hidden="1" x14ac:dyDescent="0.25">
      <c r="A2585" s="54" t="s">
        <v>146</v>
      </c>
      <c r="B2585" s="54">
        <v>2013</v>
      </c>
      <c r="C2585" s="54" t="s">
        <v>102</v>
      </c>
      <c r="D2585" s="30">
        <v>4</v>
      </c>
      <c r="E2585" s="54">
        <v>234.4</v>
      </c>
      <c r="F2585" s="54">
        <v>8.5</v>
      </c>
    </row>
    <row r="2586" spans="1:6" hidden="1" x14ac:dyDescent="0.25">
      <c r="A2586" s="54" t="s">
        <v>146</v>
      </c>
      <c r="B2586" s="54">
        <v>2013</v>
      </c>
      <c r="C2586" s="54" t="s">
        <v>103</v>
      </c>
      <c r="D2586" s="30">
        <v>5</v>
      </c>
      <c r="E2586" s="54">
        <v>183.3</v>
      </c>
      <c r="F2586" s="54">
        <v>3.8</v>
      </c>
    </row>
    <row r="2587" spans="1:6" hidden="1" x14ac:dyDescent="0.25">
      <c r="A2587" s="54" t="s">
        <v>146</v>
      </c>
      <c r="B2587" s="54">
        <v>2013</v>
      </c>
      <c r="C2587" s="54" t="s">
        <v>104</v>
      </c>
      <c r="D2587" s="30">
        <v>6</v>
      </c>
      <c r="E2587" s="54">
        <v>74.7</v>
      </c>
      <c r="F2587" s="54">
        <v>32.6</v>
      </c>
    </row>
    <row r="2588" spans="1:6" hidden="1" x14ac:dyDescent="0.25">
      <c r="A2588" s="54" t="s">
        <v>146</v>
      </c>
      <c r="B2588" s="54">
        <v>2013</v>
      </c>
      <c r="C2588" s="54" t="s">
        <v>105</v>
      </c>
      <c r="D2588" s="30">
        <v>7</v>
      </c>
      <c r="E2588" s="54">
        <v>10.7</v>
      </c>
      <c r="F2588" s="54">
        <v>154.19999999999999</v>
      </c>
    </row>
    <row r="2589" spans="1:6" hidden="1" x14ac:dyDescent="0.25">
      <c r="A2589" s="54" t="s">
        <v>146</v>
      </c>
      <c r="B2589" s="54">
        <v>2013</v>
      </c>
      <c r="C2589" s="54" t="s">
        <v>106</v>
      </c>
      <c r="D2589" s="30">
        <v>8</v>
      </c>
      <c r="E2589" s="54">
        <v>39.9</v>
      </c>
      <c r="F2589" s="54">
        <v>88.2</v>
      </c>
    </row>
    <row r="2590" spans="1:6" hidden="1" x14ac:dyDescent="0.25">
      <c r="A2590" s="54" t="s">
        <v>146</v>
      </c>
      <c r="B2590" s="54">
        <v>2013</v>
      </c>
      <c r="C2590" s="54" t="s">
        <v>107</v>
      </c>
      <c r="D2590" s="30">
        <v>9</v>
      </c>
      <c r="E2590" s="54">
        <v>57.7</v>
      </c>
      <c r="F2590" s="54">
        <v>53.4</v>
      </c>
    </row>
    <row r="2591" spans="1:6" hidden="1" x14ac:dyDescent="0.25">
      <c r="A2591" s="54" t="s">
        <v>146</v>
      </c>
      <c r="B2591" s="54">
        <v>2013</v>
      </c>
      <c r="C2591" s="54" t="s">
        <v>108</v>
      </c>
      <c r="D2591" s="30">
        <v>10</v>
      </c>
      <c r="E2591" s="54">
        <v>107.3</v>
      </c>
      <c r="F2591" s="54">
        <v>17.399999999999999</v>
      </c>
    </row>
    <row r="2592" spans="1:6" hidden="1" x14ac:dyDescent="0.25">
      <c r="A2592" s="54" t="s">
        <v>146</v>
      </c>
      <c r="B2592" s="54">
        <v>2013</v>
      </c>
      <c r="C2592" s="54" t="s">
        <v>109</v>
      </c>
      <c r="D2592" s="30">
        <v>11</v>
      </c>
      <c r="E2592" s="54">
        <v>293.60000000000002</v>
      </c>
      <c r="F2592" s="54">
        <v>0.1</v>
      </c>
    </row>
    <row r="2593" spans="1:6" hidden="1" x14ac:dyDescent="0.25">
      <c r="A2593" s="54" t="s">
        <v>146</v>
      </c>
      <c r="B2593" s="54">
        <v>2013</v>
      </c>
      <c r="C2593" s="54" t="s">
        <v>110</v>
      </c>
      <c r="D2593" s="30">
        <v>12</v>
      </c>
      <c r="E2593" s="54">
        <v>362.5</v>
      </c>
      <c r="F2593" s="54">
        <v>0</v>
      </c>
    </row>
    <row r="2594" spans="1:6" hidden="1" x14ac:dyDescent="0.25">
      <c r="A2594" s="54" t="s">
        <v>146</v>
      </c>
      <c r="B2594" s="54">
        <v>2014</v>
      </c>
      <c r="C2594" s="54" t="s">
        <v>99</v>
      </c>
      <c r="D2594" s="30">
        <v>1</v>
      </c>
      <c r="E2594" s="54">
        <v>277.8</v>
      </c>
      <c r="F2594" s="54">
        <v>0</v>
      </c>
    </row>
    <row r="2595" spans="1:6" hidden="1" x14ac:dyDescent="0.25">
      <c r="A2595" s="54" t="s">
        <v>146</v>
      </c>
      <c r="B2595" s="54">
        <v>2014</v>
      </c>
      <c r="C2595" s="54" t="s">
        <v>100</v>
      </c>
      <c r="D2595" s="30">
        <v>2</v>
      </c>
      <c r="E2595" s="54">
        <v>281.39999999999998</v>
      </c>
      <c r="F2595" s="54">
        <v>0</v>
      </c>
    </row>
    <row r="2596" spans="1:6" hidden="1" x14ac:dyDescent="0.25">
      <c r="A2596" s="54" t="s">
        <v>146</v>
      </c>
      <c r="B2596" s="54">
        <v>2014</v>
      </c>
      <c r="C2596" s="54" t="s">
        <v>101</v>
      </c>
      <c r="D2596" s="30">
        <v>3</v>
      </c>
      <c r="E2596" s="54">
        <v>262.2</v>
      </c>
      <c r="F2596" s="54">
        <v>1.9</v>
      </c>
    </row>
    <row r="2597" spans="1:6" hidden="1" x14ac:dyDescent="0.25">
      <c r="A2597" s="54" t="s">
        <v>146</v>
      </c>
      <c r="B2597" s="54">
        <v>2014</v>
      </c>
      <c r="C2597" s="54" t="s">
        <v>102</v>
      </c>
      <c r="D2597" s="30">
        <v>4</v>
      </c>
      <c r="E2597" s="54">
        <v>170.8</v>
      </c>
      <c r="F2597" s="54">
        <v>4.8</v>
      </c>
    </row>
    <row r="2598" spans="1:6" hidden="1" x14ac:dyDescent="0.25">
      <c r="A2598" s="54" t="s">
        <v>146</v>
      </c>
      <c r="B2598" s="54">
        <v>2014</v>
      </c>
      <c r="C2598" s="54" t="s">
        <v>103</v>
      </c>
      <c r="D2598" s="30">
        <v>5</v>
      </c>
      <c r="E2598" s="54">
        <v>151</v>
      </c>
      <c r="F2598" s="54">
        <v>11.2</v>
      </c>
    </row>
    <row r="2599" spans="1:6" hidden="1" x14ac:dyDescent="0.25">
      <c r="A2599" s="54" t="s">
        <v>146</v>
      </c>
      <c r="B2599" s="54">
        <v>2014</v>
      </c>
      <c r="C2599" s="54" t="s">
        <v>104</v>
      </c>
      <c r="D2599" s="30">
        <v>6</v>
      </c>
      <c r="E2599" s="54">
        <v>41.8</v>
      </c>
      <c r="F2599" s="54">
        <v>60.3</v>
      </c>
    </row>
    <row r="2600" spans="1:6" hidden="1" x14ac:dyDescent="0.25">
      <c r="A2600" s="54" t="s">
        <v>146</v>
      </c>
      <c r="B2600" s="54">
        <v>2014</v>
      </c>
      <c r="C2600" s="54" t="s">
        <v>105</v>
      </c>
      <c r="D2600" s="30">
        <v>7</v>
      </c>
      <c r="E2600" s="54">
        <v>24.2</v>
      </c>
      <c r="F2600" s="54">
        <v>101.8</v>
      </c>
    </row>
    <row r="2601" spans="1:6" hidden="1" x14ac:dyDescent="0.25">
      <c r="A2601" s="54" t="s">
        <v>146</v>
      </c>
      <c r="B2601" s="54">
        <v>2014</v>
      </c>
      <c r="C2601" s="54" t="s">
        <v>106</v>
      </c>
      <c r="D2601" s="30">
        <v>8</v>
      </c>
      <c r="E2601" s="54">
        <v>60</v>
      </c>
      <c r="F2601" s="54">
        <v>48.1</v>
      </c>
    </row>
    <row r="2602" spans="1:6" hidden="1" x14ac:dyDescent="0.25">
      <c r="A2602" s="54" t="s">
        <v>146</v>
      </c>
      <c r="B2602" s="54">
        <v>2014</v>
      </c>
      <c r="C2602" s="54" t="s">
        <v>107</v>
      </c>
      <c r="D2602" s="30">
        <v>9</v>
      </c>
      <c r="E2602" s="54">
        <v>43.3</v>
      </c>
      <c r="F2602" s="54">
        <v>81.7</v>
      </c>
    </row>
    <row r="2603" spans="1:6" hidden="1" x14ac:dyDescent="0.25">
      <c r="A2603" s="54" t="s">
        <v>146</v>
      </c>
      <c r="B2603" s="54">
        <v>2014</v>
      </c>
      <c r="C2603" s="54" t="s">
        <v>108</v>
      </c>
      <c r="D2603" s="30">
        <v>10</v>
      </c>
      <c r="E2603" s="54">
        <v>93</v>
      </c>
      <c r="F2603" s="54">
        <v>27.1</v>
      </c>
    </row>
    <row r="2604" spans="1:6" hidden="1" x14ac:dyDescent="0.25">
      <c r="A2604" s="54" t="s">
        <v>146</v>
      </c>
      <c r="B2604" s="54">
        <v>2014</v>
      </c>
      <c r="C2604" s="54" t="s">
        <v>109</v>
      </c>
      <c r="D2604" s="30">
        <v>11</v>
      </c>
      <c r="E2604" s="54">
        <v>188.3</v>
      </c>
      <c r="F2604" s="54">
        <v>1.2</v>
      </c>
    </row>
    <row r="2605" spans="1:6" hidden="1" x14ac:dyDescent="0.25">
      <c r="A2605" s="54" t="s">
        <v>146</v>
      </c>
      <c r="B2605" s="54">
        <v>2014</v>
      </c>
      <c r="C2605" s="54" t="s">
        <v>110</v>
      </c>
      <c r="D2605" s="30">
        <v>12</v>
      </c>
      <c r="E2605" s="54">
        <v>375.5</v>
      </c>
      <c r="F2605" s="54">
        <v>0</v>
      </c>
    </row>
    <row r="2606" spans="1:6" hidden="1" x14ac:dyDescent="0.25">
      <c r="A2606" s="54" t="s">
        <v>146</v>
      </c>
      <c r="B2606" s="54">
        <v>2015</v>
      </c>
      <c r="C2606" s="54" t="s">
        <v>99</v>
      </c>
      <c r="D2606" s="30">
        <v>1</v>
      </c>
      <c r="E2606" s="54">
        <v>390.5</v>
      </c>
      <c r="F2606" s="54">
        <v>0</v>
      </c>
    </row>
    <row r="2607" spans="1:6" hidden="1" x14ac:dyDescent="0.25">
      <c r="A2607" s="54" t="s">
        <v>146</v>
      </c>
      <c r="B2607" s="54">
        <v>2015</v>
      </c>
      <c r="C2607" s="54" t="s">
        <v>100</v>
      </c>
      <c r="D2607" s="30">
        <v>2</v>
      </c>
      <c r="E2607" s="54">
        <v>364.1</v>
      </c>
      <c r="F2607" s="54">
        <v>0</v>
      </c>
    </row>
    <row r="2608" spans="1:6" hidden="1" x14ac:dyDescent="0.25">
      <c r="A2608" s="54" t="s">
        <v>146</v>
      </c>
      <c r="B2608" s="54">
        <v>2015</v>
      </c>
      <c r="C2608" s="54" t="s">
        <v>101</v>
      </c>
      <c r="D2608" s="30">
        <v>3</v>
      </c>
      <c r="E2608" s="54">
        <v>289.3</v>
      </c>
      <c r="F2608" s="54">
        <v>0.4</v>
      </c>
    </row>
    <row r="2609" spans="1:6" hidden="1" x14ac:dyDescent="0.25">
      <c r="A2609" s="54" t="s">
        <v>146</v>
      </c>
      <c r="B2609" s="54">
        <v>2015</v>
      </c>
      <c r="C2609" s="54" t="s">
        <v>102</v>
      </c>
      <c r="D2609" s="30">
        <v>4</v>
      </c>
      <c r="E2609" s="54">
        <v>174.5</v>
      </c>
      <c r="F2609" s="54">
        <v>12.4</v>
      </c>
    </row>
    <row r="2610" spans="1:6" hidden="1" x14ac:dyDescent="0.25">
      <c r="A2610" s="54" t="s">
        <v>146</v>
      </c>
      <c r="B2610" s="54">
        <v>2015</v>
      </c>
      <c r="C2610" s="54" t="s">
        <v>103</v>
      </c>
      <c r="D2610" s="30">
        <v>5</v>
      </c>
      <c r="E2610" s="54">
        <v>122.1</v>
      </c>
      <c r="F2610" s="54">
        <v>18.399999999999999</v>
      </c>
    </row>
    <row r="2611" spans="1:6" hidden="1" x14ac:dyDescent="0.25">
      <c r="A2611" s="54" t="s">
        <v>146</v>
      </c>
      <c r="B2611" s="54">
        <v>2015</v>
      </c>
      <c r="C2611" s="54" t="s">
        <v>104</v>
      </c>
      <c r="D2611" s="30">
        <v>6</v>
      </c>
      <c r="E2611" s="54">
        <v>40.9</v>
      </c>
      <c r="F2611" s="54">
        <v>82.6</v>
      </c>
    </row>
    <row r="2612" spans="1:6" hidden="1" x14ac:dyDescent="0.25">
      <c r="A2612" s="54" t="s">
        <v>146</v>
      </c>
      <c r="B2612" s="54">
        <v>2015</v>
      </c>
      <c r="C2612" s="54" t="s">
        <v>105</v>
      </c>
      <c r="D2612" s="30">
        <v>7</v>
      </c>
      <c r="E2612" s="54">
        <v>24.5</v>
      </c>
      <c r="F2612" s="54">
        <v>122.2</v>
      </c>
    </row>
    <row r="2613" spans="1:6" hidden="1" x14ac:dyDescent="0.25">
      <c r="A2613" s="54" t="s">
        <v>146</v>
      </c>
      <c r="B2613" s="54">
        <v>2015</v>
      </c>
      <c r="C2613" s="54" t="s">
        <v>106</v>
      </c>
      <c r="D2613" s="30">
        <v>8</v>
      </c>
      <c r="E2613" s="54">
        <v>29.1</v>
      </c>
      <c r="F2613" s="54">
        <v>108.6</v>
      </c>
    </row>
    <row r="2614" spans="1:6" hidden="1" x14ac:dyDescent="0.25">
      <c r="A2614" s="54" t="s">
        <v>146</v>
      </c>
      <c r="B2614" s="54">
        <v>2015</v>
      </c>
      <c r="C2614" s="54" t="s">
        <v>107</v>
      </c>
      <c r="D2614" s="30">
        <v>9</v>
      </c>
      <c r="E2614" s="54">
        <v>89.8</v>
      </c>
      <c r="F2614" s="54">
        <v>18.5</v>
      </c>
    </row>
    <row r="2615" spans="1:6" hidden="1" x14ac:dyDescent="0.25">
      <c r="A2615" s="54" t="s">
        <v>146</v>
      </c>
      <c r="B2615" s="54">
        <v>2015</v>
      </c>
      <c r="C2615" s="54" t="s">
        <v>108</v>
      </c>
      <c r="D2615" s="30">
        <v>10</v>
      </c>
      <c r="E2615" s="54">
        <v>176.5</v>
      </c>
      <c r="F2615" s="54">
        <v>3.4</v>
      </c>
    </row>
    <row r="2616" spans="1:6" hidden="1" x14ac:dyDescent="0.25">
      <c r="A2616" s="54" t="s">
        <v>146</v>
      </c>
      <c r="B2616" s="54">
        <v>2015</v>
      </c>
      <c r="C2616" s="54" t="s">
        <v>109</v>
      </c>
      <c r="D2616" s="30">
        <v>11</v>
      </c>
      <c r="E2616" s="54">
        <v>190.8</v>
      </c>
      <c r="F2616" s="54">
        <v>4.7</v>
      </c>
    </row>
    <row r="2617" spans="1:6" hidden="1" x14ac:dyDescent="0.25">
      <c r="A2617" s="54" t="s">
        <v>146</v>
      </c>
      <c r="B2617" s="54">
        <v>2015</v>
      </c>
      <c r="C2617" s="54" t="s">
        <v>110</v>
      </c>
      <c r="D2617" s="30">
        <v>12</v>
      </c>
      <c r="E2617" s="54">
        <v>257.8</v>
      </c>
      <c r="F2617" s="54">
        <v>0</v>
      </c>
    </row>
    <row r="2618" spans="1:6" hidden="1" x14ac:dyDescent="0.25">
      <c r="A2618" s="54" t="s">
        <v>146</v>
      </c>
      <c r="B2618" s="54">
        <v>2016</v>
      </c>
      <c r="C2618" s="54" t="s">
        <v>99</v>
      </c>
      <c r="D2618" s="30">
        <v>1</v>
      </c>
      <c r="E2618" s="54">
        <v>324.3</v>
      </c>
      <c r="F2618" s="54">
        <v>0</v>
      </c>
    </row>
    <row r="2619" spans="1:6" hidden="1" x14ac:dyDescent="0.25">
      <c r="A2619" s="54" t="s">
        <v>146</v>
      </c>
      <c r="B2619" s="54">
        <v>2016</v>
      </c>
      <c r="C2619" s="54" t="s">
        <v>100</v>
      </c>
      <c r="D2619" s="30">
        <v>2</v>
      </c>
      <c r="E2619" s="54">
        <v>307.39999999999998</v>
      </c>
      <c r="F2619" s="54">
        <v>0</v>
      </c>
    </row>
    <row r="2620" spans="1:6" hidden="1" x14ac:dyDescent="0.25">
      <c r="A2620" s="54" t="s">
        <v>146</v>
      </c>
      <c r="B2620" s="54">
        <v>2016</v>
      </c>
      <c r="C2620" s="54" t="s">
        <v>101</v>
      </c>
      <c r="D2620" s="30">
        <v>3</v>
      </c>
      <c r="E2620" s="54">
        <v>309.8</v>
      </c>
      <c r="F2620" s="54">
        <v>0.2</v>
      </c>
    </row>
    <row r="2621" spans="1:6" hidden="1" x14ac:dyDescent="0.25">
      <c r="A2621" s="54" t="s">
        <v>146</v>
      </c>
      <c r="B2621" s="54">
        <v>2016</v>
      </c>
      <c r="C2621" s="54" t="s">
        <v>102</v>
      </c>
      <c r="D2621" s="30">
        <v>4</v>
      </c>
      <c r="E2621" s="54">
        <v>243.3</v>
      </c>
      <c r="F2621" s="54">
        <v>0.7</v>
      </c>
    </row>
    <row r="2622" spans="1:6" hidden="1" x14ac:dyDescent="0.25">
      <c r="A2622" s="54" t="s">
        <v>146</v>
      </c>
      <c r="B2622" s="54">
        <v>2016</v>
      </c>
      <c r="C2622" s="54" t="s">
        <v>103</v>
      </c>
      <c r="D2622" s="30">
        <v>5</v>
      </c>
      <c r="E2622" s="54">
        <v>122.1</v>
      </c>
      <c r="F2622" s="54">
        <v>18</v>
      </c>
    </row>
    <row r="2623" spans="1:6" hidden="1" x14ac:dyDescent="0.25">
      <c r="A2623" s="54" t="s">
        <v>146</v>
      </c>
      <c r="B2623" s="54">
        <v>2016</v>
      </c>
      <c r="C2623" s="54" t="s">
        <v>104</v>
      </c>
      <c r="D2623" s="30">
        <v>6</v>
      </c>
      <c r="E2623" s="54">
        <v>52.8</v>
      </c>
      <c r="F2623" s="54">
        <v>46.4</v>
      </c>
    </row>
    <row r="2624" spans="1:6" hidden="1" x14ac:dyDescent="0.25">
      <c r="A2624" s="54" t="s">
        <v>146</v>
      </c>
      <c r="B2624" s="54">
        <v>2016</v>
      </c>
      <c r="C2624" s="54" t="s">
        <v>105</v>
      </c>
      <c r="D2624" s="30">
        <v>7</v>
      </c>
      <c r="E2624" s="54">
        <v>31.1</v>
      </c>
      <c r="F2624" s="54">
        <v>109.9</v>
      </c>
    </row>
    <row r="2625" spans="1:6" hidden="1" x14ac:dyDescent="0.25">
      <c r="A2625" s="54" t="s">
        <v>146</v>
      </c>
      <c r="B2625" s="54">
        <v>2016</v>
      </c>
      <c r="C2625" s="54" t="s">
        <v>106</v>
      </c>
      <c r="D2625" s="30">
        <v>8</v>
      </c>
      <c r="E2625" s="54">
        <v>30.6</v>
      </c>
      <c r="F2625" s="54">
        <v>133.1</v>
      </c>
    </row>
    <row r="2626" spans="1:6" hidden="1" x14ac:dyDescent="0.25">
      <c r="A2626" s="54" t="s">
        <v>146</v>
      </c>
      <c r="B2626" s="54">
        <v>2016</v>
      </c>
      <c r="C2626" s="54" t="s">
        <v>107</v>
      </c>
      <c r="D2626" s="30">
        <v>9</v>
      </c>
      <c r="E2626" s="54">
        <v>49.3</v>
      </c>
      <c r="F2626" s="54">
        <v>82.5</v>
      </c>
    </row>
    <row r="2627" spans="1:6" hidden="1" x14ac:dyDescent="0.25">
      <c r="A2627" s="54" t="s">
        <v>146</v>
      </c>
      <c r="B2627" s="54">
        <v>2016</v>
      </c>
      <c r="C2627" s="54" t="s">
        <v>108</v>
      </c>
      <c r="D2627" s="30">
        <v>10</v>
      </c>
      <c r="E2627" s="54">
        <v>169.4</v>
      </c>
      <c r="F2627" s="54">
        <v>5.9</v>
      </c>
    </row>
    <row r="2628" spans="1:6" hidden="1" x14ac:dyDescent="0.25">
      <c r="A2628" s="54" t="s">
        <v>146</v>
      </c>
      <c r="B2628" s="54">
        <v>2016</v>
      </c>
      <c r="C2628" s="54" t="s">
        <v>109</v>
      </c>
      <c r="D2628" s="30">
        <v>11</v>
      </c>
      <c r="E2628" s="54">
        <v>269.3</v>
      </c>
      <c r="F2628" s="54">
        <v>0.3</v>
      </c>
    </row>
    <row r="2629" spans="1:6" hidden="1" x14ac:dyDescent="0.25">
      <c r="A2629" s="54" t="s">
        <v>146</v>
      </c>
      <c r="B2629" s="54">
        <v>2016</v>
      </c>
      <c r="C2629" s="54" t="s">
        <v>110</v>
      </c>
      <c r="D2629" s="30">
        <v>12</v>
      </c>
      <c r="E2629" s="54">
        <v>357.9</v>
      </c>
      <c r="F2629" s="54">
        <v>0</v>
      </c>
    </row>
    <row r="2630" spans="1:6" hidden="1" x14ac:dyDescent="0.25">
      <c r="A2630" s="54" t="s">
        <v>146</v>
      </c>
      <c r="B2630" s="54">
        <v>2017</v>
      </c>
      <c r="C2630" s="54" t="s">
        <v>99</v>
      </c>
      <c r="D2630" s="30">
        <v>1</v>
      </c>
      <c r="E2630" s="54">
        <v>430.9</v>
      </c>
      <c r="F2630" s="54">
        <v>0</v>
      </c>
    </row>
    <row r="2631" spans="1:6" hidden="1" x14ac:dyDescent="0.25">
      <c r="A2631" s="54" t="s">
        <v>146</v>
      </c>
      <c r="B2631" s="54">
        <v>2017</v>
      </c>
      <c r="C2631" s="54" t="s">
        <v>100</v>
      </c>
      <c r="D2631" s="30">
        <v>2</v>
      </c>
      <c r="E2631" s="54">
        <v>276.3</v>
      </c>
      <c r="F2631" s="54">
        <v>0</v>
      </c>
    </row>
    <row r="2632" spans="1:6" hidden="1" x14ac:dyDescent="0.25">
      <c r="A2632" s="54" t="s">
        <v>146</v>
      </c>
      <c r="B2632" s="54">
        <v>2017</v>
      </c>
      <c r="C2632" s="54" t="s">
        <v>101</v>
      </c>
      <c r="D2632" s="30">
        <v>3</v>
      </c>
      <c r="E2632" s="54">
        <v>228.6</v>
      </c>
      <c r="F2632" s="54">
        <v>3.7</v>
      </c>
    </row>
    <row r="2633" spans="1:6" hidden="1" x14ac:dyDescent="0.25">
      <c r="A2633" s="54" t="s">
        <v>146</v>
      </c>
      <c r="B2633" s="54">
        <v>2017</v>
      </c>
      <c r="C2633" s="54" t="s">
        <v>102</v>
      </c>
      <c r="D2633" s="30">
        <v>4</v>
      </c>
      <c r="E2633" s="54">
        <v>205.7</v>
      </c>
      <c r="F2633" s="54">
        <v>7.4</v>
      </c>
    </row>
    <row r="2634" spans="1:6" hidden="1" x14ac:dyDescent="0.25">
      <c r="A2634" s="54" t="s">
        <v>146</v>
      </c>
      <c r="B2634" s="54">
        <v>2017</v>
      </c>
      <c r="C2634" s="54" t="s">
        <v>103</v>
      </c>
      <c r="D2634" s="30">
        <v>5</v>
      </c>
      <c r="E2634" s="54">
        <v>101.6</v>
      </c>
      <c r="F2634" s="54">
        <v>53.6</v>
      </c>
    </row>
    <row r="2635" spans="1:6" hidden="1" x14ac:dyDescent="0.25">
      <c r="A2635" s="54" t="s">
        <v>146</v>
      </c>
      <c r="B2635" s="54">
        <v>2017</v>
      </c>
      <c r="C2635" s="54" t="s">
        <v>104</v>
      </c>
      <c r="D2635" s="30">
        <v>6</v>
      </c>
      <c r="E2635" s="54">
        <v>36.4</v>
      </c>
      <c r="F2635" s="54">
        <v>110.5</v>
      </c>
    </row>
    <row r="2636" spans="1:6" hidden="1" x14ac:dyDescent="0.25">
      <c r="A2636" s="54" t="s">
        <v>146</v>
      </c>
      <c r="B2636" s="54">
        <v>2017</v>
      </c>
      <c r="C2636" s="54" t="s">
        <v>105</v>
      </c>
      <c r="D2636" s="30">
        <v>7</v>
      </c>
      <c r="E2636" s="54">
        <v>21.1</v>
      </c>
      <c r="F2636" s="54">
        <v>111.3</v>
      </c>
    </row>
    <row r="2637" spans="1:6" hidden="1" x14ac:dyDescent="0.25">
      <c r="A2637" s="54" t="s">
        <v>146</v>
      </c>
      <c r="B2637" s="54">
        <v>2017</v>
      </c>
      <c r="C2637" s="54" t="s">
        <v>106</v>
      </c>
      <c r="D2637" s="30">
        <v>8</v>
      </c>
      <c r="E2637" s="54">
        <v>35.5</v>
      </c>
      <c r="F2637" s="54">
        <v>108</v>
      </c>
    </row>
    <row r="2638" spans="1:6" hidden="1" x14ac:dyDescent="0.25">
      <c r="A2638" s="54" t="s">
        <v>146</v>
      </c>
      <c r="B2638" s="54">
        <v>2017</v>
      </c>
      <c r="C2638" s="54" t="s">
        <v>107</v>
      </c>
      <c r="D2638" s="30">
        <v>9</v>
      </c>
      <c r="E2638" s="54">
        <v>86.3</v>
      </c>
      <c r="F2638" s="54">
        <v>29.4</v>
      </c>
    </row>
    <row r="2639" spans="1:6" hidden="1" x14ac:dyDescent="0.25">
      <c r="A2639" s="54" t="s">
        <v>146</v>
      </c>
      <c r="B2639" s="54">
        <v>2017</v>
      </c>
      <c r="C2639" s="54" t="s">
        <v>108</v>
      </c>
      <c r="D2639" s="30">
        <v>10</v>
      </c>
      <c r="E2639" s="54">
        <v>110.2</v>
      </c>
      <c r="F2639" s="54">
        <v>25.6</v>
      </c>
    </row>
    <row r="2640" spans="1:6" hidden="1" x14ac:dyDescent="0.25">
      <c r="A2640" s="54" t="s">
        <v>146</v>
      </c>
      <c r="B2640" s="54">
        <v>2017</v>
      </c>
      <c r="C2640" s="54" t="s">
        <v>109</v>
      </c>
      <c r="D2640" s="30">
        <v>11</v>
      </c>
      <c r="E2640" s="54">
        <v>299.39999999999998</v>
      </c>
      <c r="F2640" s="54">
        <v>0.8</v>
      </c>
    </row>
    <row r="2641" spans="1:6" hidden="1" x14ac:dyDescent="0.25">
      <c r="A2641" s="54" t="s">
        <v>146</v>
      </c>
      <c r="B2641" s="54">
        <v>2017</v>
      </c>
      <c r="C2641" s="54" t="s">
        <v>110</v>
      </c>
      <c r="D2641" s="30">
        <v>12</v>
      </c>
      <c r="E2641" s="54">
        <v>376</v>
      </c>
      <c r="F2641" s="54">
        <v>0</v>
      </c>
    </row>
    <row r="2642" spans="1:6" hidden="1" x14ac:dyDescent="0.25">
      <c r="A2642" s="54" t="s">
        <v>146</v>
      </c>
      <c r="B2642" s="54">
        <v>2018</v>
      </c>
      <c r="C2642" s="54" t="s">
        <v>99</v>
      </c>
      <c r="D2642" s="30">
        <v>1</v>
      </c>
      <c r="E2642" s="54">
        <v>291.7</v>
      </c>
      <c r="F2642" s="54">
        <v>0</v>
      </c>
    </row>
    <row r="2643" spans="1:6" hidden="1" x14ac:dyDescent="0.25">
      <c r="A2643" s="54" t="s">
        <v>146</v>
      </c>
      <c r="B2643" s="54">
        <v>2018</v>
      </c>
      <c r="C2643" s="54" t="s">
        <v>100</v>
      </c>
      <c r="D2643" s="30">
        <v>2</v>
      </c>
      <c r="E2643" s="54">
        <v>402</v>
      </c>
      <c r="F2643" s="54">
        <v>0</v>
      </c>
    </row>
    <row r="2644" spans="1:6" hidden="1" x14ac:dyDescent="0.25">
      <c r="A2644" s="54" t="s">
        <v>146</v>
      </c>
      <c r="B2644" s="54">
        <v>2018</v>
      </c>
      <c r="C2644" s="54" t="s">
        <v>101</v>
      </c>
      <c r="D2644" s="30">
        <v>3</v>
      </c>
      <c r="E2644" s="54">
        <v>299.60000000000002</v>
      </c>
      <c r="F2644" s="54">
        <v>0</v>
      </c>
    </row>
    <row r="2645" spans="1:6" hidden="1" x14ac:dyDescent="0.25">
      <c r="A2645" s="54" t="s">
        <v>146</v>
      </c>
      <c r="B2645" s="54">
        <v>2018</v>
      </c>
      <c r="C2645" s="54" t="s">
        <v>102</v>
      </c>
      <c r="D2645" s="30">
        <v>4</v>
      </c>
      <c r="E2645" s="54">
        <v>163</v>
      </c>
      <c r="F2645" s="54">
        <v>17.100000000000001</v>
      </c>
    </row>
    <row r="2646" spans="1:6" hidden="1" x14ac:dyDescent="0.25">
      <c r="A2646" s="54" t="s">
        <v>146</v>
      </c>
      <c r="B2646" s="54">
        <v>2018</v>
      </c>
      <c r="C2646" s="54" t="s">
        <v>103</v>
      </c>
      <c r="D2646" s="30">
        <v>5</v>
      </c>
      <c r="E2646" s="54">
        <v>102.1</v>
      </c>
      <c r="F2646" s="54">
        <v>38.700000000000003</v>
      </c>
    </row>
    <row r="2647" spans="1:6" hidden="1" x14ac:dyDescent="0.25">
      <c r="A2647" s="54" t="s">
        <v>146</v>
      </c>
      <c r="B2647" s="54">
        <v>2018</v>
      </c>
      <c r="C2647" s="54" t="s">
        <v>104</v>
      </c>
      <c r="D2647" s="30">
        <v>6</v>
      </c>
      <c r="E2647" s="54">
        <v>24.4</v>
      </c>
      <c r="F2647" s="54">
        <v>86.3</v>
      </c>
    </row>
    <row r="2648" spans="1:6" hidden="1" x14ac:dyDescent="0.25">
      <c r="A2648" s="54" t="s">
        <v>146</v>
      </c>
      <c r="B2648" s="54">
        <v>2018</v>
      </c>
      <c r="C2648" s="54" t="s">
        <v>105</v>
      </c>
      <c r="D2648" s="30">
        <v>7</v>
      </c>
      <c r="E2648" s="54">
        <v>8.5</v>
      </c>
      <c r="F2648" s="54">
        <v>157.30000000000001</v>
      </c>
    </row>
    <row r="2649" spans="1:6" hidden="1" x14ac:dyDescent="0.25">
      <c r="A2649" s="54" t="s">
        <v>146</v>
      </c>
      <c r="B2649" s="54">
        <v>2018</v>
      </c>
      <c r="C2649" s="54" t="s">
        <v>106</v>
      </c>
      <c r="D2649" s="30">
        <v>8</v>
      </c>
      <c r="E2649" s="54">
        <v>22.5</v>
      </c>
      <c r="F2649" s="54">
        <v>145.4</v>
      </c>
    </row>
    <row r="2650" spans="1:6" hidden="1" x14ac:dyDescent="0.25">
      <c r="A2650" s="54" t="s">
        <v>146</v>
      </c>
      <c r="B2650" s="54">
        <v>2018</v>
      </c>
      <c r="C2650" s="54" t="s">
        <v>107</v>
      </c>
      <c r="D2650" s="30">
        <v>9</v>
      </c>
      <c r="E2650" s="54">
        <v>49.3</v>
      </c>
      <c r="F2650" s="54">
        <v>82.6</v>
      </c>
    </row>
    <row r="2651" spans="1:6" hidden="1" x14ac:dyDescent="0.25">
      <c r="A2651" s="54" t="s">
        <v>146</v>
      </c>
      <c r="B2651" s="54">
        <v>2018</v>
      </c>
      <c r="C2651" s="54" t="s">
        <v>108</v>
      </c>
      <c r="D2651" s="30">
        <v>10</v>
      </c>
      <c r="E2651" s="54">
        <v>137.6</v>
      </c>
      <c r="F2651" s="54">
        <v>26.5</v>
      </c>
    </row>
    <row r="2652" spans="1:6" hidden="1" x14ac:dyDescent="0.25">
      <c r="A2652" s="54" t="s">
        <v>146</v>
      </c>
      <c r="B2652" s="54">
        <v>2018</v>
      </c>
      <c r="C2652" s="54" t="s">
        <v>109</v>
      </c>
      <c r="D2652" s="30">
        <v>11</v>
      </c>
      <c r="E2652" s="54">
        <v>253.3</v>
      </c>
      <c r="F2652" s="54">
        <v>0.5</v>
      </c>
    </row>
    <row r="2653" spans="1:6" hidden="1" x14ac:dyDescent="0.25">
      <c r="A2653" s="54" t="s">
        <v>146</v>
      </c>
      <c r="B2653" s="54">
        <v>2018</v>
      </c>
      <c r="C2653" s="54" t="s">
        <v>110</v>
      </c>
      <c r="D2653" s="30">
        <v>12</v>
      </c>
      <c r="E2653" s="54">
        <v>309.2</v>
      </c>
      <c r="F2653" s="54">
        <v>0</v>
      </c>
    </row>
    <row r="2654" spans="1:6" hidden="1" x14ac:dyDescent="0.25">
      <c r="A2654" s="54" t="s">
        <v>146</v>
      </c>
      <c r="B2654" s="54">
        <v>2019</v>
      </c>
      <c r="C2654" s="54" t="s">
        <v>99</v>
      </c>
      <c r="D2654" s="30">
        <v>1</v>
      </c>
      <c r="E2654" s="54">
        <v>397.8</v>
      </c>
      <c r="F2654" s="54">
        <v>0</v>
      </c>
    </row>
    <row r="2655" spans="1:6" hidden="1" x14ac:dyDescent="0.25">
      <c r="A2655" s="54" t="s">
        <v>146</v>
      </c>
      <c r="B2655" s="54">
        <v>2019</v>
      </c>
      <c r="C2655" s="54" t="s">
        <v>100</v>
      </c>
      <c r="D2655" s="30">
        <v>2</v>
      </c>
      <c r="E2655" s="54">
        <v>267.5</v>
      </c>
      <c r="F2655" s="54">
        <v>1.7</v>
      </c>
    </row>
    <row r="2656" spans="1:6" hidden="1" x14ac:dyDescent="0.25">
      <c r="A2656" s="54" t="s">
        <v>146</v>
      </c>
      <c r="B2656" s="54">
        <v>2019</v>
      </c>
      <c r="C2656" s="54" t="s">
        <v>101</v>
      </c>
      <c r="D2656" s="30">
        <v>3</v>
      </c>
      <c r="E2656" s="54">
        <v>247</v>
      </c>
      <c r="F2656" s="54">
        <v>1.5</v>
      </c>
    </row>
    <row r="2657" spans="1:6" hidden="1" x14ac:dyDescent="0.25">
      <c r="A2657" s="54" t="s">
        <v>146</v>
      </c>
      <c r="B2657" s="54">
        <v>2019</v>
      </c>
      <c r="C2657" s="54" t="s">
        <v>102</v>
      </c>
      <c r="D2657" s="30">
        <v>4</v>
      </c>
      <c r="E2657" s="54">
        <v>202.7</v>
      </c>
      <c r="F2657" s="54">
        <v>6.9</v>
      </c>
    </row>
    <row r="2658" spans="1:6" hidden="1" x14ac:dyDescent="0.25">
      <c r="A2658" s="54" t="s">
        <v>146</v>
      </c>
      <c r="B2658" s="54">
        <v>2019</v>
      </c>
      <c r="C2658" s="54" t="s">
        <v>103</v>
      </c>
      <c r="D2658" s="30">
        <v>5</v>
      </c>
      <c r="E2658" s="54">
        <v>141</v>
      </c>
      <c r="F2658" s="54">
        <v>13.8</v>
      </c>
    </row>
    <row r="2659" spans="1:6" hidden="1" x14ac:dyDescent="0.25">
      <c r="A2659" s="54" t="s">
        <v>146</v>
      </c>
      <c r="B2659" s="54">
        <v>2019</v>
      </c>
      <c r="C2659" s="54" t="s">
        <v>104</v>
      </c>
      <c r="D2659" s="30">
        <v>6</v>
      </c>
      <c r="E2659" s="54">
        <v>54.7</v>
      </c>
      <c r="F2659" s="54">
        <v>94.3</v>
      </c>
    </row>
    <row r="2660" spans="1:6" hidden="1" x14ac:dyDescent="0.25">
      <c r="A2660" s="54" t="s">
        <v>146</v>
      </c>
      <c r="B2660" s="54">
        <v>2019</v>
      </c>
      <c r="C2660" s="54" t="s">
        <v>105</v>
      </c>
      <c r="D2660" s="30">
        <v>7</v>
      </c>
      <c r="E2660" s="54">
        <v>13.9</v>
      </c>
      <c r="F2660" s="54">
        <v>166.7</v>
      </c>
    </row>
    <row r="2661" spans="1:6" hidden="1" x14ac:dyDescent="0.25">
      <c r="A2661" s="54" t="s">
        <v>146</v>
      </c>
      <c r="B2661" s="54">
        <v>2019</v>
      </c>
      <c r="C2661" s="54" t="s">
        <v>106</v>
      </c>
      <c r="D2661" s="30">
        <v>8</v>
      </c>
      <c r="E2661" s="54">
        <v>28.3</v>
      </c>
      <c r="F2661" s="54">
        <v>113.4</v>
      </c>
    </row>
    <row r="2662" spans="1:6" hidden="1" x14ac:dyDescent="0.25">
      <c r="A2662" s="54" t="s">
        <v>146</v>
      </c>
      <c r="B2662" s="54">
        <v>2019</v>
      </c>
      <c r="C2662" s="54" t="s">
        <v>107</v>
      </c>
      <c r="D2662" s="30">
        <v>9</v>
      </c>
      <c r="E2662" s="54">
        <v>51.6</v>
      </c>
      <c r="F2662" s="54">
        <v>69.2</v>
      </c>
    </row>
    <row r="2663" spans="1:6" hidden="1" x14ac:dyDescent="0.25">
      <c r="A2663" s="54" t="s">
        <v>146</v>
      </c>
      <c r="B2663" s="54">
        <v>2019</v>
      </c>
      <c r="C2663" s="54" t="s">
        <v>108</v>
      </c>
      <c r="D2663" s="30">
        <v>10</v>
      </c>
      <c r="E2663" s="54">
        <v>107.1</v>
      </c>
      <c r="F2663" s="54">
        <v>11.8</v>
      </c>
    </row>
    <row r="2664" spans="1:6" hidden="1" x14ac:dyDescent="0.25">
      <c r="A2664" s="54" t="s">
        <v>146</v>
      </c>
      <c r="B2664" s="54">
        <v>2019</v>
      </c>
      <c r="C2664" s="54" t="s">
        <v>109</v>
      </c>
      <c r="D2664" s="30">
        <v>11</v>
      </c>
      <c r="E2664" s="54">
        <v>277.2</v>
      </c>
      <c r="F2664" s="54">
        <v>0</v>
      </c>
    </row>
    <row r="2665" spans="1:6" hidden="1" x14ac:dyDescent="0.25">
      <c r="A2665" s="54" t="s">
        <v>146</v>
      </c>
      <c r="B2665" s="54">
        <v>2019</v>
      </c>
      <c r="C2665" s="54" t="s">
        <v>110</v>
      </c>
      <c r="D2665" s="30">
        <v>12</v>
      </c>
      <c r="E2665" s="54">
        <v>289.8</v>
      </c>
      <c r="F2665" s="54">
        <v>0</v>
      </c>
    </row>
    <row r="2666" spans="1:6" hidden="1" x14ac:dyDescent="0.25">
      <c r="A2666" s="54" t="s">
        <v>146</v>
      </c>
      <c r="B2666" s="54">
        <v>2020</v>
      </c>
      <c r="C2666" s="54" t="s">
        <v>99</v>
      </c>
      <c r="D2666" s="30">
        <v>1</v>
      </c>
      <c r="E2666" s="54">
        <v>318.7</v>
      </c>
      <c r="F2666" s="54">
        <v>0</v>
      </c>
    </row>
    <row r="2667" spans="1:6" hidden="1" x14ac:dyDescent="0.25">
      <c r="A2667" s="54" t="s">
        <v>146</v>
      </c>
      <c r="B2667" s="54">
        <v>2020</v>
      </c>
      <c r="C2667" s="54" t="s">
        <v>100</v>
      </c>
      <c r="D2667" s="30">
        <v>2</v>
      </c>
      <c r="E2667" s="54">
        <v>244.3</v>
      </c>
      <c r="F2667" s="54">
        <v>0.1</v>
      </c>
    </row>
    <row r="2668" spans="1:6" hidden="1" x14ac:dyDescent="0.25">
      <c r="A2668" s="54" t="s">
        <v>146</v>
      </c>
      <c r="B2668" s="54">
        <v>2020</v>
      </c>
      <c r="C2668" s="54" t="s">
        <v>101</v>
      </c>
      <c r="D2668" s="30">
        <v>3</v>
      </c>
      <c r="E2668" s="54">
        <v>247.7</v>
      </c>
      <c r="F2668" s="54">
        <v>2</v>
      </c>
    </row>
    <row r="2669" spans="1:6" hidden="1" x14ac:dyDescent="0.25">
      <c r="A2669" s="54" t="s">
        <v>146</v>
      </c>
      <c r="B2669" s="54">
        <v>2020</v>
      </c>
      <c r="C2669" s="54" t="s">
        <v>102</v>
      </c>
      <c r="D2669" s="30">
        <v>4</v>
      </c>
      <c r="E2669" s="54">
        <v>121.1</v>
      </c>
      <c r="F2669" s="54">
        <v>23.4</v>
      </c>
    </row>
    <row r="2670" spans="1:6" hidden="1" x14ac:dyDescent="0.25">
      <c r="A2670" s="54" t="s">
        <v>146</v>
      </c>
      <c r="B2670" s="54">
        <v>2020</v>
      </c>
      <c r="C2670" s="54" t="s">
        <v>103</v>
      </c>
      <c r="D2670" s="30">
        <v>5</v>
      </c>
      <c r="E2670" s="54">
        <v>89.1</v>
      </c>
      <c r="F2670" s="54">
        <v>48.5</v>
      </c>
    </row>
    <row r="2671" spans="1:6" hidden="1" x14ac:dyDescent="0.25">
      <c r="A2671" s="54" t="s">
        <v>146</v>
      </c>
      <c r="B2671" s="54">
        <v>2020</v>
      </c>
      <c r="C2671" s="54" t="s">
        <v>104</v>
      </c>
      <c r="D2671" s="30">
        <v>6</v>
      </c>
      <c r="E2671" s="54">
        <v>63.7</v>
      </c>
      <c r="F2671" s="54">
        <v>45.3</v>
      </c>
    </row>
    <row r="2672" spans="1:6" hidden="1" x14ac:dyDescent="0.25">
      <c r="A2672" s="54" t="s">
        <v>146</v>
      </c>
      <c r="B2672" s="54">
        <v>2020</v>
      </c>
      <c r="C2672" s="54" t="s">
        <v>105</v>
      </c>
      <c r="D2672" s="30">
        <v>7</v>
      </c>
      <c r="E2672" s="54">
        <v>23.8</v>
      </c>
      <c r="F2672" s="54">
        <v>121.8</v>
      </c>
    </row>
    <row r="2673" spans="1:6" hidden="1" x14ac:dyDescent="0.25">
      <c r="A2673" s="54" t="s">
        <v>146</v>
      </c>
      <c r="B2673" s="54">
        <v>2020</v>
      </c>
      <c r="C2673" s="54" t="s">
        <v>106</v>
      </c>
      <c r="D2673" s="30">
        <v>8</v>
      </c>
      <c r="E2673" s="54">
        <v>23.1</v>
      </c>
      <c r="F2673" s="54">
        <v>139.1</v>
      </c>
    </row>
    <row r="2674" spans="1:6" hidden="1" x14ac:dyDescent="0.25">
      <c r="A2674" s="54" t="s">
        <v>146</v>
      </c>
      <c r="B2674" s="54">
        <v>2020</v>
      </c>
      <c r="C2674" s="54" t="s">
        <v>107</v>
      </c>
      <c r="D2674" s="30">
        <v>9</v>
      </c>
      <c r="E2674" s="54">
        <v>56.2</v>
      </c>
      <c r="F2674" s="54">
        <v>92.6</v>
      </c>
    </row>
    <row r="2675" spans="1:6" hidden="1" x14ac:dyDescent="0.25">
      <c r="A2675" s="54" t="s">
        <v>146</v>
      </c>
      <c r="B2675" s="54">
        <v>2020</v>
      </c>
      <c r="C2675" s="54" t="s">
        <v>108</v>
      </c>
      <c r="D2675" s="30">
        <v>10</v>
      </c>
      <c r="E2675" s="54">
        <v>157.6</v>
      </c>
      <c r="F2675" s="54">
        <v>3.4</v>
      </c>
    </row>
    <row r="2676" spans="1:6" hidden="1" x14ac:dyDescent="0.25">
      <c r="A2676" s="54" t="s">
        <v>146</v>
      </c>
      <c r="B2676" s="54">
        <v>2020</v>
      </c>
      <c r="C2676" s="54" t="s">
        <v>109</v>
      </c>
      <c r="D2676" s="30">
        <v>11</v>
      </c>
      <c r="E2676" s="54">
        <v>210.8</v>
      </c>
      <c r="F2676" s="54">
        <v>1.5</v>
      </c>
    </row>
    <row r="2677" spans="1:6" hidden="1" x14ac:dyDescent="0.25">
      <c r="A2677" s="54" t="s">
        <v>146</v>
      </c>
      <c r="B2677" s="54">
        <v>2020</v>
      </c>
      <c r="C2677" s="54" t="s">
        <v>110</v>
      </c>
      <c r="D2677" s="30">
        <v>12</v>
      </c>
      <c r="E2677" s="54">
        <v>339.2</v>
      </c>
      <c r="F2677" s="54">
        <v>0</v>
      </c>
    </row>
    <row r="2678" spans="1:6" hidden="1" x14ac:dyDescent="0.25">
      <c r="A2678" s="54" t="s">
        <v>146</v>
      </c>
      <c r="B2678" s="54">
        <v>2021</v>
      </c>
      <c r="C2678" s="54" t="s">
        <v>99</v>
      </c>
      <c r="D2678" s="30">
        <v>1</v>
      </c>
      <c r="E2678" s="54">
        <v>397.8</v>
      </c>
      <c r="F2678" s="54">
        <v>0</v>
      </c>
    </row>
    <row r="2679" spans="1:6" hidden="1" x14ac:dyDescent="0.25">
      <c r="A2679" s="54" t="s">
        <v>146</v>
      </c>
      <c r="B2679" s="54">
        <v>2021</v>
      </c>
      <c r="C2679" s="54" t="s">
        <v>100</v>
      </c>
      <c r="D2679" s="30">
        <v>2</v>
      </c>
      <c r="E2679" s="54">
        <v>256.2</v>
      </c>
      <c r="F2679" s="54">
        <v>0.1</v>
      </c>
    </row>
    <row r="2680" spans="1:6" hidden="1" x14ac:dyDescent="0.25">
      <c r="A2680" s="54" t="s">
        <v>146</v>
      </c>
      <c r="B2680" s="54">
        <v>2021</v>
      </c>
      <c r="C2680" s="54" t="s">
        <v>101</v>
      </c>
      <c r="D2680" s="30">
        <v>3</v>
      </c>
      <c r="E2680" s="54">
        <v>288.7</v>
      </c>
      <c r="F2680" s="54">
        <v>4.7</v>
      </c>
    </row>
    <row r="2681" spans="1:6" hidden="1" x14ac:dyDescent="0.25">
      <c r="A2681" s="54" t="s">
        <v>146</v>
      </c>
      <c r="B2681" s="54">
        <v>2021</v>
      </c>
      <c r="C2681" s="54" t="s">
        <v>102</v>
      </c>
      <c r="D2681" s="30">
        <v>4</v>
      </c>
      <c r="E2681" s="54">
        <v>218.7</v>
      </c>
      <c r="F2681" s="54">
        <v>10.1</v>
      </c>
    </row>
    <row r="2682" spans="1:6" hidden="1" x14ac:dyDescent="0.25">
      <c r="A2682" s="54" t="s">
        <v>146</v>
      </c>
      <c r="B2682" s="54">
        <v>2021</v>
      </c>
      <c r="C2682" s="54" t="s">
        <v>103</v>
      </c>
      <c r="D2682" s="30">
        <v>5</v>
      </c>
      <c r="E2682" s="54">
        <v>155.6</v>
      </c>
      <c r="F2682" s="54">
        <v>14.7</v>
      </c>
    </row>
    <row r="2683" spans="1:6" hidden="1" x14ac:dyDescent="0.25">
      <c r="A2683" s="54" t="s">
        <v>146</v>
      </c>
      <c r="B2683" s="54">
        <v>2021</v>
      </c>
      <c r="C2683" s="54" t="s">
        <v>104</v>
      </c>
      <c r="D2683" s="30">
        <v>6</v>
      </c>
      <c r="E2683" s="54">
        <v>34.799999999999997</v>
      </c>
      <c r="F2683" s="54">
        <v>82.1</v>
      </c>
    </row>
    <row r="2684" spans="1:6" hidden="1" x14ac:dyDescent="0.25">
      <c r="A2684" s="54" t="s">
        <v>146</v>
      </c>
      <c r="B2684" s="54">
        <v>2021</v>
      </c>
      <c r="C2684" s="54" t="s">
        <v>105</v>
      </c>
      <c r="D2684" s="30">
        <v>7</v>
      </c>
      <c r="E2684" s="54">
        <v>31.5</v>
      </c>
      <c r="F2684" s="54">
        <v>82.6</v>
      </c>
    </row>
    <row r="2685" spans="1:6" hidden="1" x14ac:dyDescent="0.25">
      <c r="A2685" s="54" t="s">
        <v>146</v>
      </c>
      <c r="B2685" s="54">
        <v>2021</v>
      </c>
      <c r="C2685" s="54" t="s">
        <v>106</v>
      </c>
      <c r="D2685" s="30">
        <v>8</v>
      </c>
      <c r="E2685" s="54">
        <v>33.299999999999997</v>
      </c>
      <c r="F2685" s="54">
        <v>73.400000000000006</v>
      </c>
    </row>
    <row r="2686" spans="1:6" hidden="1" x14ac:dyDescent="0.25">
      <c r="A2686" s="54" t="s">
        <v>146</v>
      </c>
      <c r="B2686" s="54">
        <v>2021</v>
      </c>
      <c r="C2686" s="54" t="s">
        <v>107</v>
      </c>
      <c r="D2686" s="30">
        <v>9</v>
      </c>
      <c r="E2686" s="54">
        <v>35.4</v>
      </c>
      <c r="F2686" s="54">
        <v>86.5</v>
      </c>
    </row>
    <row r="2687" spans="1:6" hidden="1" x14ac:dyDescent="0.25">
      <c r="A2687" s="54" t="s">
        <v>146</v>
      </c>
      <c r="B2687" s="54">
        <v>2021</v>
      </c>
      <c r="C2687" s="54" t="s">
        <v>108</v>
      </c>
      <c r="D2687" s="30">
        <v>10</v>
      </c>
      <c r="E2687" s="54">
        <v>146.9</v>
      </c>
      <c r="F2687" s="54">
        <v>8</v>
      </c>
    </row>
    <row r="2688" spans="1:6" hidden="1" x14ac:dyDescent="0.25">
      <c r="A2688" s="54" t="s">
        <v>146</v>
      </c>
      <c r="B2688" s="54">
        <v>2021</v>
      </c>
      <c r="C2688" s="54" t="s">
        <v>109</v>
      </c>
      <c r="D2688" s="30">
        <v>11</v>
      </c>
      <c r="E2688" s="54">
        <v>321.5</v>
      </c>
      <c r="F2688" s="54">
        <v>0</v>
      </c>
    </row>
    <row r="2689" spans="1:6" hidden="1" x14ac:dyDescent="0.25">
      <c r="A2689" s="54" t="s">
        <v>146</v>
      </c>
      <c r="B2689" s="54">
        <v>2021</v>
      </c>
      <c r="C2689" s="54" t="s">
        <v>110</v>
      </c>
      <c r="D2689" s="30">
        <v>12</v>
      </c>
      <c r="E2689" s="54">
        <v>334.6</v>
      </c>
      <c r="F2689" s="54">
        <v>0</v>
      </c>
    </row>
    <row r="2690" spans="1:6" hidden="1" x14ac:dyDescent="0.25">
      <c r="A2690" s="54" t="s">
        <v>146</v>
      </c>
      <c r="B2690" s="54">
        <v>2022</v>
      </c>
      <c r="C2690" s="54" t="s">
        <v>99</v>
      </c>
      <c r="D2690" s="30">
        <v>1</v>
      </c>
      <c r="E2690" s="54">
        <v>395</v>
      </c>
      <c r="F2690" s="54">
        <v>0</v>
      </c>
    </row>
    <row r="2691" spans="1:6" hidden="1" x14ac:dyDescent="0.25">
      <c r="A2691" s="54" t="s">
        <v>146</v>
      </c>
      <c r="B2691" s="54">
        <v>2022</v>
      </c>
      <c r="C2691" s="54" t="s">
        <v>100</v>
      </c>
      <c r="D2691" s="30">
        <v>2</v>
      </c>
      <c r="E2691" s="54">
        <v>283.7</v>
      </c>
      <c r="F2691" s="54">
        <v>0.1</v>
      </c>
    </row>
    <row r="2692" spans="1:6" hidden="1" x14ac:dyDescent="0.25">
      <c r="A2692" s="54" t="s">
        <v>146</v>
      </c>
      <c r="B2692" s="54">
        <v>2022</v>
      </c>
      <c r="C2692" s="54" t="s">
        <v>101</v>
      </c>
      <c r="D2692" s="30">
        <v>3</v>
      </c>
      <c r="E2692" s="54">
        <v>234.2</v>
      </c>
      <c r="F2692" s="54">
        <v>2.8</v>
      </c>
    </row>
    <row r="2693" spans="1:6" hidden="1" x14ac:dyDescent="0.25">
      <c r="A2693" s="54" t="s">
        <v>146</v>
      </c>
      <c r="B2693" s="54">
        <v>2022</v>
      </c>
      <c r="C2693" s="54" t="s">
        <v>102</v>
      </c>
      <c r="D2693" s="30">
        <v>4</v>
      </c>
      <c r="E2693" s="54">
        <v>189</v>
      </c>
      <c r="F2693" s="54">
        <v>8.6999999999999993</v>
      </c>
    </row>
    <row r="2694" spans="1:6" hidden="1" x14ac:dyDescent="0.25">
      <c r="A2694" s="54" t="s">
        <v>146</v>
      </c>
      <c r="B2694" s="54">
        <v>2022</v>
      </c>
      <c r="C2694" s="54" t="s">
        <v>103</v>
      </c>
      <c r="D2694" s="30">
        <v>5</v>
      </c>
      <c r="E2694" s="54">
        <v>64.400000000000006</v>
      </c>
      <c r="F2694" s="54">
        <v>70.400000000000006</v>
      </c>
    </row>
    <row r="2695" spans="1:6" hidden="1" x14ac:dyDescent="0.25">
      <c r="A2695" s="54" t="s">
        <v>146</v>
      </c>
      <c r="B2695" s="54">
        <v>2022</v>
      </c>
      <c r="C2695" s="54" t="s">
        <v>104</v>
      </c>
      <c r="D2695" s="30">
        <v>6</v>
      </c>
      <c r="E2695" s="54">
        <v>31.4</v>
      </c>
      <c r="F2695" s="54">
        <v>111.4</v>
      </c>
    </row>
    <row r="2696" spans="1:6" hidden="1" x14ac:dyDescent="0.25">
      <c r="A2696" s="54" t="s">
        <v>146</v>
      </c>
      <c r="B2696" s="54">
        <v>2022</v>
      </c>
      <c r="C2696" s="54" t="s">
        <v>105</v>
      </c>
      <c r="D2696" s="30">
        <v>7</v>
      </c>
      <c r="E2696" s="54">
        <v>17.100000000000001</v>
      </c>
      <c r="F2696" s="54">
        <v>170.2</v>
      </c>
    </row>
    <row r="2697" spans="1:6" hidden="1" x14ac:dyDescent="0.25">
      <c r="A2697" s="54" t="s">
        <v>146</v>
      </c>
      <c r="B2697" s="54">
        <v>2022</v>
      </c>
      <c r="C2697" s="54" t="s">
        <v>106</v>
      </c>
      <c r="D2697" s="30">
        <v>8</v>
      </c>
      <c r="E2697" s="54">
        <v>5.8</v>
      </c>
      <c r="F2697" s="54">
        <v>197.5</v>
      </c>
    </row>
    <row r="2698" spans="1:6" hidden="1" x14ac:dyDescent="0.25">
      <c r="A2698" s="54" t="s">
        <v>146</v>
      </c>
      <c r="B2698" s="54">
        <v>2022</v>
      </c>
      <c r="C2698" s="54" t="s">
        <v>107</v>
      </c>
      <c r="D2698" s="30">
        <v>9</v>
      </c>
      <c r="E2698" s="54">
        <v>68</v>
      </c>
      <c r="F2698" s="54">
        <v>65.400000000000006</v>
      </c>
    </row>
    <row r="2699" spans="1:6" hidden="1" x14ac:dyDescent="0.25">
      <c r="A2699" s="54" t="s">
        <v>146</v>
      </c>
      <c r="B2699" s="54">
        <v>2022</v>
      </c>
      <c r="C2699" s="54" t="s">
        <v>108</v>
      </c>
      <c r="D2699" s="30">
        <v>10</v>
      </c>
      <c r="E2699" s="54">
        <v>53.1</v>
      </c>
      <c r="F2699" s="54">
        <v>36.299999999999997</v>
      </c>
    </row>
    <row r="2700" spans="1:6" hidden="1" x14ac:dyDescent="0.25">
      <c r="A2700" s="54" t="s">
        <v>146</v>
      </c>
      <c r="B2700" s="54">
        <v>2022</v>
      </c>
      <c r="C2700" s="54" t="s">
        <v>109</v>
      </c>
      <c r="D2700" s="30">
        <v>11</v>
      </c>
      <c r="E2700" s="54">
        <v>215.9</v>
      </c>
      <c r="F2700" s="54">
        <v>0.8</v>
      </c>
    </row>
    <row r="2701" spans="1:6" hidden="1" x14ac:dyDescent="0.25">
      <c r="A2701" s="54" t="s">
        <v>146</v>
      </c>
      <c r="B2701" s="54">
        <v>2022</v>
      </c>
      <c r="C2701" s="54" t="s">
        <v>110</v>
      </c>
      <c r="D2701" s="30">
        <v>12</v>
      </c>
      <c r="E2701" s="54">
        <v>351.6</v>
      </c>
      <c r="F2701" s="54">
        <v>0</v>
      </c>
    </row>
    <row r="2702" spans="1:6" hidden="1" x14ac:dyDescent="0.25">
      <c r="A2702" s="54" t="s">
        <v>144</v>
      </c>
      <c r="B2702" s="54">
        <v>2022</v>
      </c>
      <c r="C2702" s="54" t="s">
        <v>99</v>
      </c>
      <c r="D2702" s="30">
        <v>1</v>
      </c>
      <c r="E2702" s="54">
        <v>377.6</v>
      </c>
      <c r="F2702" s="54">
        <v>0</v>
      </c>
    </row>
    <row r="2703" spans="1:6" hidden="1" x14ac:dyDescent="0.25">
      <c r="A2703" s="54" t="s">
        <v>144</v>
      </c>
      <c r="B2703" s="54">
        <v>2022</v>
      </c>
      <c r="C2703" s="54" t="s">
        <v>100</v>
      </c>
      <c r="D2703" s="30">
        <v>2</v>
      </c>
      <c r="E2703" s="54">
        <v>267.10000000000002</v>
      </c>
      <c r="F2703" s="54">
        <v>0</v>
      </c>
    </row>
    <row r="2704" spans="1:6" hidden="1" x14ac:dyDescent="0.25">
      <c r="A2704" s="54" t="s">
        <v>144</v>
      </c>
      <c r="B2704" s="54">
        <v>2022</v>
      </c>
      <c r="C2704" s="54" t="s">
        <v>101</v>
      </c>
      <c r="D2704" s="30">
        <v>3</v>
      </c>
      <c r="E2704" s="54">
        <v>225.3</v>
      </c>
      <c r="F2704" s="54">
        <v>2.4</v>
      </c>
    </row>
    <row r="2705" spans="1:6" hidden="1" x14ac:dyDescent="0.25">
      <c r="A2705" s="54" t="s">
        <v>144</v>
      </c>
      <c r="B2705" s="54">
        <v>2022</v>
      </c>
      <c r="C2705" s="54" t="s">
        <v>102</v>
      </c>
      <c r="D2705" s="30">
        <v>4</v>
      </c>
      <c r="E2705" s="54">
        <v>176.1</v>
      </c>
      <c r="F2705" s="54">
        <v>8.5</v>
      </c>
    </row>
    <row r="2706" spans="1:6" hidden="1" x14ac:dyDescent="0.25">
      <c r="A2706" s="54" t="s">
        <v>144</v>
      </c>
      <c r="B2706" s="54">
        <v>2022</v>
      </c>
      <c r="C2706" s="54" t="s">
        <v>103</v>
      </c>
      <c r="D2706" s="30">
        <v>5</v>
      </c>
      <c r="E2706" s="54">
        <v>79.099999999999994</v>
      </c>
      <c r="F2706" s="54">
        <v>48.5</v>
      </c>
    </row>
    <row r="2707" spans="1:6" hidden="1" x14ac:dyDescent="0.25">
      <c r="A2707" s="54" t="s">
        <v>144</v>
      </c>
      <c r="B2707" s="54">
        <v>2022</v>
      </c>
      <c r="C2707" s="54" t="s">
        <v>104</v>
      </c>
      <c r="D2707" s="30">
        <v>6</v>
      </c>
      <c r="E2707" s="54">
        <v>38.299999999999997</v>
      </c>
      <c r="F2707" s="54">
        <v>86.4</v>
      </c>
    </row>
    <row r="2708" spans="1:6" hidden="1" x14ac:dyDescent="0.25">
      <c r="A2708" s="54" t="s">
        <v>144</v>
      </c>
      <c r="B2708" s="54">
        <v>2022</v>
      </c>
      <c r="C2708" s="54" t="s">
        <v>105</v>
      </c>
      <c r="D2708" s="30">
        <v>7</v>
      </c>
      <c r="E2708" s="54">
        <v>20.2</v>
      </c>
      <c r="F2708" s="54">
        <v>159.4</v>
      </c>
    </row>
    <row r="2709" spans="1:6" hidden="1" x14ac:dyDescent="0.25">
      <c r="A2709" s="54" t="s">
        <v>144</v>
      </c>
      <c r="B2709" s="54">
        <v>2022</v>
      </c>
      <c r="C2709" s="54" t="s">
        <v>106</v>
      </c>
      <c r="D2709" s="30">
        <v>8</v>
      </c>
      <c r="E2709" s="54">
        <v>7.8</v>
      </c>
      <c r="F2709" s="54">
        <v>171.4</v>
      </c>
    </row>
    <row r="2710" spans="1:6" hidden="1" x14ac:dyDescent="0.25">
      <c r="A2710" s="54" t="s">
        <v>144</v>
      </c>
      <c r="B2710" s="54">
        <v>2022</v>
      </c>
      <c r="C2710" s="54" t="s">
        <v>107</v>
      </c>
      <c r="D2710" s="30">
        <v>9</v>
      </c>
      <c r="E2710" s="54">
        <v>65.7</v>
      </c>
      <c r="F2710" s="54">
        <v>61.5</v>
      </c>
    </row>
    <row r="2711" spans="1:6" hidden="1" x14ac:dyDescent="0.25">
      <c r="A2711" s="54" t="s">
        <v>144</v>
      </c>
      <c r="B2711" s="54">
        <v>2022</v>
      </c>
      <c r="C2711" s="54" t="s">
        <v>108</v>
      </c>
      <c r="D2711" s="30">
        <v>10</v>
      </c>
      <c r="E2711" s="54">
        <v>61.2</v>
      </c>
      <c r="F2711" s="54">
        <v>29.2</v>
      </c>
    </row>
    <row r="2712" spans="1:6" hidden="1" x14ac:dyDescent="0.25">
      <c r="A2712" s="54" t="s">
        <v>144</v>
      </c>
      <c r="B2712" s="54">
        <v>2022</v>
      </c>
      <c r="C2712" s="54" t="s">
        <v>109</v>
      </c>
      <c r="D2712" s="30">
        <v>11</v>
      </c>
      <c r="E2712" s="54">
        <v>197.4</v>
      </c>
      <c r="F2712" s="54">
        <v>0.8</v>
      </c>
    </row>
    <row r="2713" spans="1:6" hidden="1" x14ac:dyDescent="0.25">
      <c r="A2713" s="54" t="s">
        <v>144</v>
      </c>
      <c r="B2713" s="54">
        <v>2022</v>
      </c>
      <c r="C2713" s="54" t="s">
        <v>110</v>
      </c>
      <c r="D2713" s="30">
        <v>12</v>
      </c>
      <c r="E2713" s="54">
        <v>362.6</v>
      </c>
      <c r="F2713" s="54">
        <v>0</v>
      </c>
    </row>
    <row r="2714" spans="1:6" hidden="1" x14ac:dyDescent="0.25">
      <c r="A2714" s="54" t="s">
        <v>145</v>
      </c>
      <c r="B2714" s="54">
        <v>2022</v>
      </c>
      <c r="C2714" s="54" t="s">
        <v>99</v>
      </c>
      <c r="D2714" s="30">
        <v>1</v>
      </c>
      <c r="E2714" s="54">
        <v>393</v>
      </c>
      <c r="F2714" s="54">
        <v>0</v>
      </c>
    </row>
    <row r="2715" spans="1:6" hidden="1" x14ac:dyDescent="0.25">
      <c r="A2715" s="54" t="s">
        <v>145</v>
      </c>
      <c r="B2715" s="54">
        <v>2022</v>
      </c>
      <c r="C2715" s="54" t="s">
        <v>100</v>
      </c>
      <c r="D2715" s="30">
        <v>2</v>
      </c>
      <c r="E2715" s="54">
        <v>270.3</v>
      </c>
      <c r="F2715" s="54">
        <v>0</v>
      </c>
    </row>
    <row r="2716" spans="1:6" hidden="1" x14ac:dyDescent="0.25">
      <c r="A2716" s="54" t="s">
        <v>145</v>
      </c>
      <c r="B2716" s="54">
        <v>2022</v>
      </c>
      <c r="C2716" s="54" t="s">
        <v>101</v>
      </c>
      <c r="D2716" s="30">
        <v>3</v>
      </c>
      <c r="E2716" s="54">
        <v>230.5</v>
      </c>
      <c r="F2716" s="54">
        <v>2.5</v>
      </c>
    </row>
    <row r="2717" spans="1:6" hidden="1" x14ac:dyDescent="0.25">
      <c r="A2717" s="54" t="s">
        <v>145</v>
      </c>
      <c r="B2717" s="54">
        <v>2022</v>
      </c>
      <c r="C2717" s="54" t="s">
        <v>102</v>
      </c>
      <c r="D2717" s="30">
        <v>4</v>
      </c>
      <c r="E2717" s="54">
        <v>191.3</v>
      </c>
      <c r="F2717" s="54">
        <v>7.5</v>
      </c>
    </row>
    <row r="2718" spans="1:6" hidden="1" x14ac:dyDescent="0.25">
      <c r="A2718" s="54" t="s">
        <v>145</v>
      </c>
      <c r="B2718" s="54">
        <v>2022</v>
      </c>
      <c r="C2718" s="54" t="s">
        <v>103</v>
      </c>
      <c r="D2718" s="30">
        <v>5</v>
      </c>
      <c r="E2718" s="54">
        <v>86.1</v>
      </c>
      <c r="F2718" s="54">
        <v>47.7</v>
      </c>
    </row>
    <row r="2719" spans="1:6" hidden="1" x14ac:dyDescent="0.25">
      <c r="A2719" s="54" t="s">
        <v>145</v>
      </c>
      <c r="B2719" s="54">
        <v>2022</v>
      </c>
      <c r="C2719" s="54" t="s">
        <v>104</v>
      </c>
      <c r="D2719" s="30">
        <v>6</v>
      </c>
      <c r="E2719" s="54">
        <v>37.4</v>
      </c>
      <c r="F2719" s="54">
        <v>87.4</v>
      </c>
    </row>
    <row r="2720" spans="1:6" hidden="1" x14ac:dyDescent="0.25">
      <c r="A2720" s="54" t="s">
        <v>145</v>
      </c>
      <c r="B2720" s="54">
        <v>2022</v>
      </c>
      <c r="C2720" s="54" t="s">
        <v>105</v>
      </c>
      <c r="D2720" s="30">
        <v>7</v>
      </c>
      <c r="E2720" s="54">
        <v>24.4</v>
      </c>
      <c r="F2720" s="54">
        <v>156.4</v>
      </c>
    </row>
    <row r="2721" spans="1:6" hidden="1" x14ac:dyDescent="0.25">
      <c r="A2721" s="54" t="s">
        <v>145</v>
      </c>
      <c r="B2721" s="54">
        <v>2022</v>
      </c>
      <c r="C2721" s="54" t="s">
        <v>106</v>
      </c>
      <c r="D2721" s="30">
        <v>8</v>
      </c>
      <c r="E2721" s="54">
        <v>11.1</v>
      </c>
      <c r="F2721" s="54">
        <v>160.9</v>
      </c>
    </row>
    <row r="2722" spans="1:6" hidden="1" x14ac:dyDescent="0.25">
      <c r="A2722" s="54" t="s">
        <v>145</v>
      </c>
      <c r="B2722" s="54">
        <v>2022</v>
      </c>
      <c r="C2722" s="54" t="s">
        <v>107</v>
      </c>
      <c r="D2722" s="30">
        <v>9</v>
      </c>
      <c r="E2722" s="54">
        <v>73.2</v>
      </c>
      <c r="F2722" s="54">
        <v>59.6</v>
      </c>
    </row>
    <row r="2723" spans="1:6" hidden="1" x14ac:dyDescent="0.25">
      <c r="A2723" s="54" t="s">
        <v>145</v>
      </c>
      <c r="B2723" s="54">
        <v>2022</v>
      </c>
      <c r="C2723" s="54" t="s">
        <v>108</v>
      </c>
      <c r="D2723" s="30">
        <v>10</v>
      </c>
      <c r="E2723" s="54">
        <v>64.7</v>
      </c>
      <c r="F2723" s="54">
        <v>31.5</v>
      </c>
    </row>
    <row r="2724" spans="1:6" hidden="1" x14ac:dyDescent="0.25">
      <c r="A2724" s="54" t="s">
        <v>145</v>
      </c>
      <c r="B2724" s="54">
        <v>2022</v>
      </c>
      <c r="C2724" s="54" t="s">
        <v>109</v>
      </c>
      <c r="D2724" s="30">
        <v>11</v>
      </c>
      <c r="E2724" s="54">
        <v>199.6</v>
      </c>
      <c r="F2724" s="54">
        <v>0.3</v>
      </c>
    </row>
    <row r="2725" spans="1:6" hidden="1" x14ac:dyDescent="0.25">
      <c r="A2725" s="54" t="s">
        <v>145</v>
      </c>
      <c r="B2725" s="54">
        <v>2022</v>
      </c>
      <c r="C2725" s="54" t="s">
        <v>110</v>
      </c>
      <c r="D2725" s="30">
        <v>12</v>
      </c>
      <c r="E2725" s="54">
        <v>370.2</v>
      </c>
      <c r="F2725" s="54">
        <v>0</v>
      </c>
    </row>
    <row r="2726" spans="1:6" hidden="1" x14ac:dyDescent="0.25">
      <c r="A2726" s="102" t="s">
        <v>236</v>
      </c>
      <c r="B2726" s="102">
        <v>2001</v>
      </c>
      <c r="C2726" s="102" t="s">
        <v>99</v>
      </c>
      <c r="D2726" s="30">
        <v>1</v>
      </c>
      <c r="E2726" s="102">
        <v>385</v>
      </c>
      <c r="F2726" s="102">
        <v>0</v>
      </c>
    </row>
    <row r="2727" spans="1:6" hidden="1" x14ac:dyDescent="0.25">
      <c r="A2727" s="103" t="s">
        <v>236</v>
      </c>
      <c r="B2727" s="103">
        <v>2001</v>
      </c>
      <c r="C2727" s="103" t="s">
        <v>100</v>
      </c>
      <c r="D2727" s="30">
        <v>2</v>
      </c>
      <c r="E2727" s="103">
        <v>325.8</v>
      </c>
      <c r="F2727" s="103">
        <v>0</v>
      </c>
    </row>
    <row r="2728" spans="1:6" hidden="1" x14ac:dyDescent="0.25">
      <c r="A2728" s="103" t="s">
        <v>236</v>
      </c>
      <c r="B2728" s="103">
        <v>2001</v>
      </c>
      <c r="C2728" s="103" t="s">
        <v>101</v>
      </c>
      <c r="D2728" s="30">
        <v>3</v>
      </c>
      <c r="E2728" s="103">
        <v>265.60000000000002</v>
      </c>
      <c r="F2728" s="103">
        <v>0</v>
      </c>
    </row>
    <row r="2729" spans="1:6" hidden="1" x14ac:dyDescent="0.25">
      <c r="A2729" s="103" t="s">
        <v>236</v>
      </c>
      <c r="B2729" s="103">
        <v>2001</v>
      </c>
      <c r="C2729" s="103" t="s">
        <v>102</v>
      </c>
      <c r="D2729" s="30">
        <v>4</v>
      </c>
      <c r="E2729" s="103">
        <v>247.3</v>
      </c>
      <c r="F2729" s="103">
        <v>1.3</v>
      </c>
    </row>
    <row r="2730" spans="1:6" hidden="1" x14ac:dyDescent="0.25">
      <c r="A2730" s="103" t="s">
        <v>236</v>
      </c>
      <c r="B2730" s="103">
        <v>2001</v>
      </c>
      <c r="C2730" s="103" t="s">
        <v>103</v>
      </c>
      <c r="D2730" s="30">
        <v>5</v>
      </c>
      <c r="E2730" s="103">
        <v>88.1</v>
      </c>
      <c r="F2730" s="103">
        <v>44.6</v>
      </c>
    </row>
    <row r="2731" spans="1:6" hidden="1" x14ac:dyDescent="0.25">
      <c r="A2731" s="103" t="s">
        <v>236</v>
      </c>
      <c r="B2731" s="103">
        <v>2001</v>
      </c>
      <c r="C2731" s="103" t="s">
        <v>104</v>
      </c>
      <c r="D2731" s="103">
        <v>6</v>
      </c>
      <c r="E2731" s="103">
        <v>63</v>
      </c>
      <c r="F2731" s="103">
        <v>55.6</v>
      </c>
    </row>
    <row r="2732" spans="1:6" hidden="1" x14ac:dyDescent="0.25">
      <c r="A2732" s="103" t="s">
        <v>236</v>
      </c>
      <c r="B2732" s="103">
        <v>2001</v>
      </c>
      <c r="C2732" s="103" t="s">
        <v>105</v>
      </c>
      <c r="D2732" s="103">
        <v>7</v>
      </c>
      <c r="E2732" s="103">
        <v>25.5</v>
      </c>
      <c r="F2732" s="103">
        <v>99.5</v>
      </c>
    </row>
    <row r="2733" spans="1:6" hidden="1" x14ac:dyDescent="0.25">
      <c r="A2733" s="103" t="s">
        <v>236</v>
      </c>
      <c r="B2733" s="103">
        <v>2001</v>
      </c>
      <c r="C2733" t="s">
        <v>106</v>
      </c>
      <c r="D2733" s="103">
        <v>8</v>
      </c>
      <c r="E2733" s="103">
        <v>15.5</v>
      </c>
      <c r="F2733" s="103">
        <v>106.4</v>
      </c>
    </row>
    <row r="2734" spans="1:6" hidden="1" x14ac:dyDescent="0.25">
      <c r="A2734" s="103" t="s">
        <v>236</v>
      </c>
      <c r="B2734" s="103">
        <v>2001</v>
      </c>
      <c r="C2734" s="103" t="s">
        <v>107</v>
      </c>
      <c r="D2734" s="103">
        <v>9</v>
      </c>
      <c r="E2734" s="103">
        <v>103.8</v>
      </c>
      <c r="F2734" s="103">
        <v>6.6</v>
      </c>
    </row>
    <row r="2735" spans="1:6" hidden="1" x14ac:dyDescent="0.25">
      <c r="A2735" s="103" t="s">
        <v>236</v>
      </c>
      <c r="B2735" s="103">
        <v>2001</v>
      </c>
      <c r="C2735" s="103" t="s">
        <v>108</v>
      </c>
      <c r="D2735" s="103">
        <v>10</v>
      </c>
      <c r="E2735" s="103">
        <v>90</v>
      </c>
      <c r="F2735" s="103">
        <v>9.6999999999999993</v>
      </c>
    </row>
    <row r="2736" spans="1:6" hidden="1" x14ac:dyDescent="0.25">
      <c r="A2736" s="103" t="s">
        <v>236</v>
      </c>
      <c r="B2736" s="103">
        <v>2001</v>
      </c>
      <c r="C2736" s="103" t="s">
        <v>109</v>
      </c>
      <c r="D2736" s="103">
        <v>11</v>
      </c>
      <c r="E2736" s="103">
        <v>317</v>
      </c>
      <c r="F2736" s="103">
        <v>0</v>
      </c>
    </row>
    <row r="2737" spans="1:6" hidden="1" x14ac:dyDescent="0.25">
      <c r="A2737" s="103" t="s">
        <v>236</v>
      </c>
      <c r="B2737" s="103">
        <v>2001</v>
      </c>
      <c r="C2737" s="103" t="s">
        <v>110</v>
      </c>
      <c r="D2737" s="103">
        <v>12</v>
      </c>
      <c r="E2737" s="103">
        <v>424.4</v>
      </c>
      <c r="F2737" s="103">
        <v>0</v>
      </c>
    </row>
    <row r="2738" spans="1:6" hidden="1" x14ac:dyDescent="0.25">
      <c r="A2738" s="103" t="s">
        <v>237</v>
      </c>
      <c r="B2738" s="103">
        <v>2001</v>
      </c>
      <c r="C2738" s="103" t="s">
        <v>99</v>
      </c>
      <c r="D2738" s="30">
        <v>1</v>
      </c>
      <c r="E2738" s="103">
        <v>258</v>
      </c>
      <c r="F2738" s="103">
        <v>0</v>
      </c>
    </row>
    <row r="2739" spans="1:6" hidden="1" x14ac:dyDescent="0.25">
      <c r="A2739" s="103" t="s">
        <v>237</v>
      </c>
      <c r="B2739" s="103">
        <v>2001</v>
      </c>
      <c r="C2739" s="103" t="s">
        <v>100</v>
      </c>
      <c r="D2739" s="30">
        <v>2</v>
      </c>
      <c r="E2739" s="103">
        <v>250.9</v>
      </c>
      <c r="F2739" s="103">
        <v>0</v>
      </c>
    </row>
    <row r="2740" spans="1:6" hidden="1" x14ac:dyDescent="0.25">
      <c r="A2740" s="103" t="s">
        <v>237</v>
      </c>
      <c r="B2740" s="103">
        <v>2001</v>
      </c>
      <c r="C2740" s="103" t="s">
        <v>101</v>
      </c>
      <c r="D2740" s="30">
        <v>3</v>
      </c>
      <c r="E2740" s="103">
        <v>142.19999999999999</v>
      </c>
      <c r="F2740" s="103">
        <v>5.9</v>
      </c>
    </row>
    <row r="2741" spans="1:6" hidden="1" x14ac:dyDescent="0.25">
      <c r="A2741" s="103" t="s">
        <v>237</v>
      </c>
      <c r="B2741" s="103">
        <v>2001</v>
      </c>
      <c r="C2741" s="103" t="s">
        <v>102</v>
      </c>
      <c r="D2741" s="30">
        <v>4</v>
      </c>
      <c r="E2741" s="103">
        <v>143</v>
      </c>
      <c r="F2741" s="103">
        <v>7</v>
      </c>
    </row>
    <row r="2742" spans="1:6" hidden="1" x14ac:dyDescent="0.25">
      <c r="A2742" s="103" t="s">
        <v>237</v>
      </c>
      <c r="B2742" s="103">
        <v>2001</v>
      </c>
      <c r="C2742" s="103" t="s">
        <v>103</v>
      </c>
      <c r="D2742" s="30">
        <v>5</v>
      </c>
      <c r="E2742" s="103">
        <v>44</v>
      </c>
      <c r="F2742" s="103">
        <v>70.3</v>
      </c>
    </row>
    <row r="2743" spans="1:6" hidden="1" x14ac:dyDescent="0.25">
      <c r="A2743" s="103" t="s">
        <v>237</v>
      </c>
      <c r="B2743" s="103">
        <v>2001</v>
      </c>
      <c r="C2743" s="103" t="s">
        <v>104</v>
      </c>
      <c r="D2743" s="103">
        <v>6</v>
      </c>
      <c r="E2743" s="103">
        <v>12.9</v>
      </c>
      <c r="F2743" s="103">
        <v>134.1</v>
      </c>
    </row>
    <row r="2744" spans="1:6" hidden="1" x14ac:dyDescent="0.25">
      <c r="A2744" s="103" t="s">
        <v>237</v>
      </c>
      <c r="B2744" s="103">
        <v>2001</v>
      </c>
      <c r="C2744" s="103" t="s">
        <v>105</v>
      </c>
      <c r="D2744" s="103">
        <v>7</v>
      </c>
      <c r="E2744" s="103">
        <v>3.2</v>
      </c>
      <c r="F2744" s="103">
        <v>210.3</v>
      </c>
    </row>
    <row r="2745" spans="1:6" hidden="1" x14ac:dyDescent="0.25">
      <c r="A2745" s="103" t="s">
        <v>237</v>
      </c>
      <c r="B2745" s="103">
        <v>2001</v>
      </c>
      <c r="C2745" s="103" t="s">
        <v>106</v>
      </c>
      <c r="D2745" s="103">
        <v>8</v>
      </c>
      <c r="E2745" s="103">
        <v>0.8</v>
      </c>
      <c r="F2745" s="103">
        <v>230.5</v>
      </c>
    </row>
    <row r="2746" spans="1:6" hidden="1" x14ac:dyDescent="0.25">
      <c r="A2746" s="103" t="s">
        <v>237</v>
      </c>
      <c r="B2746" s="103">
        <v>2001</v>
      </c>
      <c r="C2746" s="103" t="s">
        <v>107</v>
      </c>
      <c r="D2746" s="103">
        <v>9</v>
      </c>
      <c r="E2746" s="103">
        <v>34.299999999999997</v>
      </c>
      <c r="F2746" s="103">
        <v>64.5</v>
      </c>
    </row>
    <row r="2747" spans="1:6" hidden="1" x14ac:dyDescent="0.25">
      <c r="A2747" s="103" t="s">
        <v>237</v>
      </c>
      <c r="B2747" s="103">
        <v>2001</v>
      </c>
      <c r="C2747" s="103" t="s">
        <v>108</v>
      </c>
      <c r="D2747" s="103">
        <v>10</v>
      </c>
      <c r="E2747" s="103">
        <v>21.4</v>
      </c>
      <c r="F2747" s="103">
        <v>73.599999999999994</v>
      </c>
    </row>
    <row r="2748" spans="1:6" hidden="1" x14ac:dyDescent="0.25">
      <c r="A2748" s="103" t="s">
        <v>237</v>
      </c>
      <c r="B2748" s="103">
        <v>2001</v>
      </c>
      <c r="C2748" s="103" t="s">
        <v>109</v>
      </c>
      <c r="D2748" s="103">
        <v>11</v>
      </c>
      <c r="E2748" s="103">
        <v>245.4</v>
      </c>
      <c r="F2748" s="103">
        <v>0.4</v>
      </c>
    </row>
    <row r="2749" spans="1:6" hidden="1" x14ac:dyDescent="0.25">
      <c r="A2749" s="103" t="s">
        <v>237</v>
      </c>
      <c r="B2749" s="103">
        <v>2001</v>
      </c>
      <c r="C2749" s="103" t="s">
        <v>110</v>
      </c>
      <c r="D2749" s="103">
        <v>12</v>
      </c>
      <c r="E2749" s="103">
        <v>409.2</v>
      </c>
      <c r="F2749" s="103">
        <v>0</v>
      </c>
    </row>
    <row r="2750" spans="1:6" hidden="1" x14ac:dyDescent="0.25">
      <c r="A2750" s="103" t="s">
        <v>236</v>
      </c>
      <c r="B2750" s="103">
        <v>2002</v>
      </c>
      <c r="C2750" s="103" t="s">
        <v>99</v>
      </c>
      <c r="D2750" s="30">
        <v>1</v>
      </c>
      <c r="E2750" s="103">
        <v>371.9</v>
      </c>
      <c r="F2750" s="103">
        <v>0</v>
      </c>
    </row>
    <row r="2751" spans="1:6" hidden="1" x14ac:dyDescent="0.25">
      <c r="A2751" s="103" t="s">
        <v>236</v>
      </c>
      <c r="B2751" s="103">
        <v>2002</v>
      </c>
      <c r="C2751" s="103" t="s">
        <v>100</v>
      </c>
      <c r="D2751" s="30">
        <v>2</v>
      </c>
      <c r="E2751" s="103">
        <v>273</v>
      </c>
      <c r="F2751" s="103">
        <v>0</v>
      </c>
    </row>
    <row r="2752" spans="1:6" hidden="1" x14ac:dyDescent="0.25">
      <c r="A2752" s="103" t="s">
        <v>236</v>
      </c>
      <c r="B2752" s="103">
        <v>2002</v>
      </c>
      <c r="C2752" s="103" t="s">
        <v>101</v>
      </c>
      <c r="D2752" s="30">
        <v>3</v>
      </c>
      <c r="E2752" s="103">
        <v>248.9</v>
      </c>
      <c r="F2752" s="103">
        <v>0.3</v>
      </c>
    </row>
    <row r="2753" spans="1:6" hidden="1" x14ac:dyDescent="0.25">
      <c r="A2753" s="103" t="s">
        <v>236</v>
      </c>
      <c r="B2753" s="103">
        <v>2002</v>
      </c>
      <c r="C2753" s="103" t="s">
        <v>102</v>
      </c>
      <c r="D2753" s="30">
        <v>4</v>
      </c>
      <c r="E2753" s="103">
        <v>184.2</v>
      </c>
      <c r="F2753" s="103">
        <v>4.7</v>
      </c>
    </row>
    <row r="2754" spans="1:6" hidden="1" x14ac:dyDescent="0.25">
      <c r="A2754" s="103" t="s">
        <v>236</v>
      </c>
      <c r="B2754" s="103">
        <v>2002</v>
      </c>
      <c r="C2754" s="103" t="s">
        <v>103</v>
      </c>
      <c r="D2754" s="30">
        <v>5</v>
      </c>
      <c r="E2754" s="103">
        <v>133.30000000000001</v>
      </c>
      <c r="F2754" s="103">
        <v>16</v>
      </c>
    </row>
    <row r="2755" spans="1:6" hidden="1" x14ac:dyDescent="0.25">
      <c r="A2755" s="103" t="s">
        <v>236</v>
      </c>
      <c r="B2755" s="103">
        <v>2002</v>
      </c>
      <c r="C2755" s="103" t="s">
        <v>104</v>
      </c>
      <c r="D2755" s="103">
        <v>6</v>
      </c>
      <c r="E2755" s="103">
        <v>38.200000000000003</v>
      </c>
      <c r="F2755" s="103">
        <v>62.8</v>
      </c>
    </row>
    <row r="2756" spans="1:6" hidden="1" x14ac:dyDescent="0.25">
      <c r="A2756" s="103" t="s">
        <v>236</v>
      </c>
      <c r="B2756" s="103">
        <v>2002</v>
      </c>
      <c r="C2756" s="103" t="s">
        <v>105</v>
      </c>
      <c r="D2756" s="103">
        <v>7</v>
      </c>
      <c r="E2756" s="103">
        <v>32.299999999999997</v>
      </c>
      <c r="F2756" s="103">
        <v>71.099999999999994</v>
      </c>
    </row>
    <row r="2757" spans="1:6" hidden="1" x14ac:dyDescent="0.25">
      <c r="A2757" s="103" t="s">
        <v>236</v>
      </c>
      <c r="B2757" s="103">
        <v>2002</v>
      </c>
      <c r="C2757" s="103" t="s">
        <v>106</v>
      </c>
      <c r="D2757" s="103">
        <v>8</v>
      </c>
      <c r="E2757" s="103">
        <v>21</v>
      </c>
      <c r="F2757" s="103">
        <v>72.3</v>
      </c>
    </row>
    <row r="2758" spans="1:6" hidden="1" x14ac:dyDescent="0.25">
      <c r="A2758" s="103" t="s">
        <v>236</v>
      </c>
      <c r="B2758" s="103">
        <v>2002</v>
      </c>
      <c r="C2758" s="103" t="s">
        <v>107</v>
      </c>
      <c r="D2758" s="103">
        <v>9</v>
      </c>
      <c r="E2758" s="103">
        <v>73.3</v>
      </c>
      <c r="F2758" s="103">
        <v>19.8</v>
      </c>
    </row>
    <row r="2759" spans="1:6" hidden="1" x14ac:dyDescent="0.25">
      <c r="A2759" s="103" t="s">
        <v>236</v>
      </c>
      <c r="B2759" s="103">
        <v>2002</v>
      </c>
      <c r="C2759" s="103" t="s">
        <v>108</v>
      </c>
      <c r="D2759" s="103">
        <v>10</v>
      </c>
      <c r="E2759" s="103">
        <v>167.1</v>
      </c>
      <c r="F2759" s="103">
        <v>2.1</v>
      </c>
    </row>
    <row r="2760" spans="1:6" hidden="1" x14ac:dyDescent="0.25">
      <c r="A2760" s="103" t="s">
        <v>236</v>
      </c>
      <c r="B2760" s="103">
        <v>2002</v>
      </c>
      <c r="C2760" s="103" t="s">
        <v>109</v>
      </c>
      <c r="D2760" s="103">
        <v>11</v>
      </c>
      <c r="E2760" s="103">
        <v>253.5</v>
      </c>
      <c r="F2760" s="103">
        <v>0</v>
      </c>
    </row>
    <row r="2761" spans="1:6" hidden="1" x14ac:dyDescent="0.25">
      <c r="A2761" s="103" t="s">
        <v>236</v>
      </c>
      <c r="B2761" s="103">
        <v>2002</v>
      </c>
      <c r="C2761" s="103" t="s">
        <v>110</v>
      </c>
      <c r="D2761" s="103">
        <v>12</v>
      </c>
      <c r="E2761" s="103">
        <v>335.6</v>
      </c>
      <c r="F2761" s="103">
        <v>0</v>
      </c>
    </row>
    <row r="2762" spans="1:6" hidden="1" x14ac:dyDescent="0.25">
      <c r="A2762" s="103" t="s">
        <v>237</v>
      </c>
      <c r="B2762" s="103">
        <v>2002</v>
      </c>
      <c r="C2762" s="103" t="s">
        <v>99</v>
      </c>
      <c r="D2762" s="30">
        <v>1</v>
      </c>
      <c r="E2762" s="103">
        <v>336.7</v>
      </c>
      <c r="F2762" s="103">
        <v>0.3</v>
      </c>
    </row>
    <row r="2763" spans="1:6" hidden="1" x14ac:dyDescent="0.25">
      <c r="A2763" s="103" t="s">
        <v>237</v>
      </c>
      <c r="B2763" s="103">
        <v>2002</v>
      </c>
      <c r="C2763" s="103" t="s">
        <v>100</v>
      </c>
      <c r="D2763" s="30">
        <v>2</v>
      </c>
      <c r="E2763" s="103">
        <v>218.9</v>
      </c>
      <c r="F2763" s="103">
        <v>0.2</v>
      </c>
    </row>
    <row r="2764" spans="1:6" hidden="1" x14ac:dyDescent="0.25">
      <c r="A2764" s="103" t="s">
        <v>237</v>
      </c>
      <c r="B2764" s="103">
        <v>2002</v>
      </c>
      <c r="C2764" s="103" t="s">
        <v>101</v>
      </c>
      <c r="D2764" s="30">
        <v>3</v>
      </c>
      <c r="E2764" s="103">
        <v>163.6</v>
      </c>
      <c r="F2764" s="103">
        <v>7.1</v>
      </c>
    </row>
    <row r="2765" spans="1:6" hidden="1" x14ac:dyDescent="0.25">
      <c r="A2765" s="103" t="s">
        <v>237</v>
      </c>
      <c r="B2765" s="103">
        <v>2002</v>
      </c>
      <c r="C2765" s="103" t="s">
        <v>102</v>
      </c>
      <c r="D2765" s="30">
        <v>4</v>
      </c>
      <c r="E2765" s="103">
        <v>109.6</v>
      </c>
      <c r="F2765" s="103">
        <v>17.3</v>
      </c>
    </row>
    <row r="2766" spans="1:6" hidden="1" x14ac:dyDescent="0.25">
      <c r="A2766" s="103" t="s">
        <v>237</v>
      </c>
      <c r="B2766" s="103">
        <v>2002</v>
      </c>
      <c r="C2766" s="103" t="s">
        <v>103</v>
      </c>
      <c r="D2766" s="30">
        <v>5</v>
      </c>
      <c r="E2766" s="103">
        <v>63.6</v>
      </c>
      <c r="F2766" s="103">
        <v>41.9</v>
      </c>
    </row>
    <row r="2767" spans="1:6" hidden="1" x14ac:dyDescent="0.25">
      <c r="A2767" s="103" t="s">
        <v>237</v>
      </c>
      <c r="B2767" s="103">
        <v>2002</v>
      </c>
      <c r="C2767" s="103" t="s">
        <v>104</v>
      </c>
      <c r="D2767" s="103">
        <v>6</v>
      </c>
      <c r="E2767" s="103">
        <v>8.5</v>
      </c>
      <c r="F2767" s="103">
        <v>157.69999999999999</v>
      </c>
    </row>
    <row r="2768" spans="1:6" hidden="1" x14ac:dyDescent="0.25">
      <c r="A2768" s="103" t="s">
        <v>237</v>
      </c>
      <c r="B2768" s="103">
        <v>2002</v>
      </c>
      <c r="C2768" s="103" t="s">
        <v>105</v>
      </c>
      <c r="D2768" s="103">
        <v>7</v>
      </c>
      <c r="E2768" s="103">
        <v>1.7</v>
      </c>
      <c r="F2768" s="103">
        <v>187.4</v>
      </c>
    </row>
    <row r="2769" spans="1:6" hidden="1" x14ac:dyDescent="0.25">
      <c r="A2769" s="103" t="s">
        <v>237</v>
      </c>
      <c r="B2769" s="103">
        <v>2002</v>
      </c>
      <c r="C2769" s="103" t="s">
        <v>106</v>
      </c>
      <c r="D2769" s="103">
        <v>8</v>
      </c>
      <c r="E2769" s="103">
        <v>1.7</v>
      </c>
      <c r="F2769" s="103">
        <v>167.4</v>
      </c>
    </row>
    <row r="2770" spans="1:6" hidden="1" x14ac:dyDescent="0.25">
      <c r="A2770" s="103" t="s">
        <v>237</v>
      </c>
      <c r="B2770" s="103">
        <v>2002</v>
      </c>
      <c r="C2770" s="103" t="s">
        <v>107</v>
      </c>
      <c r="D2770" s="103">
        <v>9</v>
      </c>
      <c r="E2770" s="103">
        <v>29</v>
      </c>
      <c r="F2770" s="103">
        <v>77.599999999999994</v>
      </c>
    </row>
    <row r="2771" spans="1:6" hidden="1" x14ac:dyDescent="0.25">
      <c r="A2771" s="103" t="s">
        <v>237</v>
      </c>
      <c r="B2771" s="103">
        <v>2002</v>
      </c>
      <c r="C2771" s="103" t="s">
        <v>108</v>
      </c>
      <c r="D2771" s="103">
        <v>10</v>
      </c>
      <c r="E2771" s="103">
        <v>68.8</v>
      </c>
      <c r="F2771" s="103">
        <v>26.8</v>
      </c>
    </row>
    <row r="2772" spans="1:6" hidden="1" x14ac:dyDescent="0.25">
      <c r="A2772" s="103" t="s">
        <v>237</v>
      </c>
      <c r="B2772" s="103">
        <v>2002</v>
      </c>
      <c r="C2772" s="103" t="s">
        <v>109</v>
      </c>
      <c r="D2772" s="103">
        <v>11</v>
      </c>
      <c r="E2772" s="103">
        <v>140.5</v>
      </c>
      <c r="F2772" s="103">
        <v>2.4</v>
      </c>
    </row>
    <row r="2773" spans="1:6" hidden="1" x14ac:dyDescent="0.25">
      <c r="A2773" s="103" t="s">
        <v>237</v>
      </c>
      <c r="B2773" s="103">
        <v>2002</v>
      </c>
      <c r="C2773" s="103" t="s">
        <v>110</v>
      </c>
      <c r="D2773" s="103">
        <v>12</v>
      </c>
      <c r="E2773" s="103">
        <v>265.5</v>
      </c>
      <c r="F2773" s="103">
        <v>0</v>
      </c>
    </row>
    <row r="2774" spans="1:6" hidden="1" x14ac:dyDescent="0.25">
      <c r="A2774" s="103" t="s">
        <v>236</v>
      </c>
      <c r="B2774" s="103">
        <v>2003</v>
      </c>
      <c r="C2774" s="103" t="s">
        <v>99</v>
      </c>
      <c r="D2774" s="30">
        <v>1</v>
      </c>
      <c r="E2774" s="103">
        <v>433.5</v>
      </c>
      <c r="F2774" s="103">
        <v>0</v>
      </c>
    </row>
    <row r="2775" spans="1:6" hidden="1" x14ac:dyDescent="0.25">
      <c r="A2775" s="103" t="s">
        <v>236</v>
      </c>
      <c r="B2775" s="103">
        <v>2003</v>
      </c>
      <c r="C2775" s="103" t="s">
        <v>100</v>
      </c>
      <c r="D2775" s="30">
        <v>2</v>
      </c>
      <c r="E2775" s="103">
        <v>382.6</v>
      </c>
      <c r="F2775" s="103">
        <v>0</v>
      </c>
    </row>
    <row r="2776" spans="1:6" hidden="1" x14ac:dyDescent="0.25">
      <c r="A2776" s="103" t="s">
        <v>236</v>
      </c>
      <c r="B2776" s="103">
        <v>2003</v>
      </c>
      <c r="C2776" s="103" t="s">
        <v>101</v>
      </c>
      <c r="D2776" s="30">
        <v>3</v>
      </c>
      <c r="E2776" s="103">
        <v>220</v>
      </c>
      <c r="F2776" s="103">
        <v>4.0999999999999996</v>
      </c>
    </row>
    <row r="2777" spans="1:6" hidden="1" x14ac:dyDescent="0.25">
      <c r="A2777" s="103" t="s">
        <v>236</v>
      </c>
      <c r="B2777" s="103">
        <v>2003</v>
      </c>
      <c r="C2777" s="103" t="s">
        <v>102</v>
      </c>
      <c r="D2777" s="30">
        <v>4</v>
      </c>
      <c r="E2777" s="103">
        <v>184.2</v>
      </c>
      <c r="F2777" s="103">
        <v>16</v>
      </c>
    </row>
    <row r="2778" spans="1:6" hidden="1" x14ac:dyDescent="0.25">
      <c r="A2778" s="103" t="s">
        <v>236</v>
      </c>
      <c r="B2778" s="103">
        <v>2003</v>
      </c>
      <c r="C2778" s="103" t="s">
        <v>103</v>
      </c>
      <c r="D2778" s="30">
        <v>5</v>
      </c>
      <c r="E2778" s="103">
        <v>110.1</v>
      </c>
      <c r="F2778" s="103">
        <v>24.6</v>
      </c>
    </row>
    <row r="2779" spans="1:6" hidden="1" x14ac:dyDescent="0.25">
      <c r="A2779" s="103" t="s">
        <v>236</v>
      </c>
      <c r="B2779" s="103">
        <v>2003</v>
      </c>
      <c r="C2779" s="103" t="s">
        <v>104</v>
      </c>
      <c r="D2779" s="103">
        <v>6</v>
      </c>
      <c r="E2779" s="103">
        <v>7.1</v>
      </c>
      <c r="F2779" s="103">
        <v>122.2</v>
      </c>
    </row>
    <row r="2780" spans="1:6" hidden="1" x14ac:dyDescent="0.25">
      <c r="A2780" s="103" t="s">
        <v>236</v>
      </c>
      <c r="B2780" s="103">
        <v>2003</v>
      </c>
      <c r="C2780" s="103" t="s">
        <v>105</v>
      </c>
      <c r="D2780" s="103">
        <v>7</v>
      </c>
      <c r="E2780" s="103">
        <v>11</v>
      </c>
      <c r="F2780" s="103">
        <v>116.2</v>
      </c>
    </row>
    <row r="2781" spans="1:6" hidden="1" x14ac:dyDescent="0.25">
      <c r="A2781" s="103" t="s">
        <v>236</v>
      </c>
      <c r="B2781" s="103">
        <v>2003</v>
      </c>
      <c r="C2781" s="103" t="s">
        <v>106</v>
      </c>
      <c r="D2781" s="103">
        <v>8</v>
      </c>
      <c r="E2781" s="103">
        <v>9.4</v>
      </c>
      <c r="F2781" s="103">
        <v>207.5</v>
      </c>
    </row>
    <row r="2782" spans="1:6" hidden="1" x14ac:dyDescent="0.25">
      <c r="A2782" s="103" t="s">
        <v>236</v>
      </c>
      <c r="B2782" s="103">
        <v>2003</v>
      </c>
      <c r="C2782" s="103" t="s">
        <v>107</v>
      </c>
      <c r="D2782" s="103">
        <v>9</v>
      </c>
      <c r="E2782" s="103">
        <v>61.6</v>
      </c>
      <c r="F2782" s="103">
        <v>38.6</v>
      </c>
    </row>
    <row r="2783" spans="1:6" hidden="1" x14ac:dyDescent="0.25">
      <c r="A2783" s="103" t="s">
        <v>236</v>
      </c>
      <c r="B2783" s="103">
        <v>2003</v>
      </c>
      <c r="C2783" s="103" t="s">
        <v>108</v>
      </c>
      <c r="D2783" s="103">
        <v>10</v>
      </c>
      <c r="E2783" s="103">
        <v>246.6</v>
      </c>
      <c r="F2783" s="103">
        <v>2.7</v>
      </c>
    </row>
    <row r="2784" spans="1:6" hidden="1" x14ac:dyDescent="0.25">
      <c r="A2784" s="103" t="s">
        <v>236</v>
      </c>
      <c r="B2784" s="103">
        <v>2003</v>
      </c>
      <c r="C2784" s="103" t="s">
        <v>109</v>
      </c>
      <c r="D2784" s="103">
        <v>11</v>
      </c>
      <c r="E2784" s="103">
        <v>263.7</v>
      </c>
      <c r="F2784" s="103">
        <v>0</v>
      </c>
    </row>
    <row r="2785" spans="1:6" hidden="1" x14ac:dyDescent="0.25">
      <c r="A2785" s="103" t="s">
        <v>236</v>
      </c>
      <c r="B2785" s="103">
        <v>2003</v>
      </c>
      <c r="C2785" s="103" t="s">
        <v>110</v>
      </c>
      <c r="D2785" s="103">
        <v>12</v>
      </c>
      <c r="E2785" s="103">
        <v>376.3</v>
      </c>
      <c r="F2785" s="103">
        <v>0</v>
      </c>
    </row>
    <row r="2786" spans="1:6" hidden="1" x14ac:dyDescent="0.25">
      <c r="A2786" s="103" t="s">
        <v>237</v>
      </c>
      <c r="B2786" s="103">
        <v>2003</v>
      </c>
      <c r="C2786" s="103" t="s">
        <v>99</v>
      </c>
      <c r="D2786" s="30">
        <v>1</v>
      </c>
      <c r="E2786" s="103">
        <v>375.6</v>
      </c>
      <c r="F2786" s="103">
        <v>0</v>
      </c>
    </row>
    <row r="2787" spans="1:6" hidden="1" x14ac:dyDescent="0.25">
      <c r="A2787" s="103" t="s">
        <v>237</v>
      </c>
      <c r="B2787" s="103">
        <v>2003</v>
      </c>
      <c r="C2787" s="103" t="s">
        <v>100</v>
      </c>
      <c r="D2787" s="30">
        <v>2</v>
      </c>
      <c r="E2787" s="103">
        <v>316</v>
      </c>
      <c r="F2787" s="103">
        <v>0</v>
      </c>
    </row>
    <row r="2788" spans="1:6" hidden="1" x14ac:dyDescent="0.25">
      <c r="A2788" s="103" t="s">
        <v>237</v>
      </c>
      <c r="B2788" s="103">
        <v>2003</v>
      </c>
      <c r="C2788" s="103" t="s">
        <v>101</v>
      </c>
      <c r="D2788" s="30">
        <v>3</v>
      </c>
      <c r="E2788" s="103">
        <v>205.4</v>
      </c>
      <c r="F2788" s="103">
        <v>2.4</v>
      </c>
    </row>
    <row r="2789" spans="1:6" hidden="1" x14ac:dyDescent="0.25">
      <c r="A2789" s="103" t="s">
        <v>237</v>
      </c>
      <c r="B2789" s="103">
        <v>2003</v>
      </c>
      <c r="C2789" s="103" t="s">
        <v>102</v>
      </c>
      <c r="D2789" s="30">
        <v>4</v>
      </c>
      <c r="E2789" s="103">
        <v>127.3</v>
      </c>
      <c r="F2789" s="103">
        <v>17.2</v>
      </c>
    </row>
    <row r="2790" spans="1:6" hidden="1" x14ac:dyDescent="0.25">
      <c r="A2790" s="103" t="s">
        <v>237</v>
      </c>
      <c r="B2790" s="103">
        <v>2003</v>
      </c>
      <c r="C2790" s="103" t="s">
        <v>103</v>
      </c>
      <c r="D2790" s="30">
        <v>5</v>
      </c>
      <c r="E2790" s="103">
        <v>34.799999999999997</v>
      </c>
      <c r="F2790" s="103">
        <v>78.5</v>
      </c>
    </row>
    <row r="2791" spans="1:6" hidden="1" x14ac:dyDescent="0.25">
      <c r="A2791" s="103" t="s">
        <v>237</v>
      </c>
      <c r="B2791" s="103">
        <v>2003</v>
      </c>
      <c r="C2791" s="103" t="s">
        <v>104</v>
      </c>
      <c r="D2791" s="103">
        <v>6</v>
      </c>
      <c r="E2791" s="103">
        <v>0.4</v>
      </c>
      <c r="F2791" s="103">
        <v>241.6</v>
      </c>
    </row>
    <row r="2792" spans="1:6" hidden="1" x14ac:dyDescent="0.25">
      <c r="A2792" s="103" t="s">
        <v>237</v>
      </c>
      <c r="B2792" s="103">
        <v>2003</v>
      </c>
      <c r="C2792" s="103" t="s">
        <v>105</v>
      </c>
      <c r="D2792" s="103">
        <v>7</v>
      </c>
      <c r="E2792" s="103">
        <v>0.4</v>
      </c>
      <c r="F2792" s="103">
        <v>266</v>
      </c>
    </row>
    <row r="2793" spans="1:6" hidden="1" x14ac:dyDescent="0.25">
      <c r="A2793" s="103" t="s">
        <v>237</v>
      </c>
      <c r="B2793" s="103">
        <v>2003</v>
      </c>
      <c r="C2793" s="103" t="s">
        <v>106</v>
      </c>
      <c r="D2793" s="103">
        <v>8</v>
      </c>
      <c r="E2793" s="103">
        <v>0.1</v>
      </c>
      <c r="F2793" s="103">
        <v>317.3</v>
      </c>
    </row>
    <row r="2794" spans="1:6" hidden="1" x14ac:dyDescent="0.25">
      <c r="A2794" s="103" t="s">
        <v>237</v>
      </c>
      <c r="B2794" s="103">
        <v>2003</v>
      </c>
      <c r="C2794" s="103" t="s">
        <v>107</v>
      </c>
      <c r="D2794" s="103">
        <v>9</v>
      </c>
      <c r="E2794" s="103">
        <v>17</v>
      </c>
      <c r="F2794" s="103">
        <v>90.1</v>
      </c>
    </row>
    <row r="2795" spans="1:6" hidden="1" x14ac:dyDescent="0.25">
      <c r="A2795" s="103" t="s">
        <v>237</v>
      </c>
      <c r="B2795" s="103">
        <v>2003</v>
      </c>
      <c r="C2795" s="103" t="s">
        <v>108</v>
      </c>
      <c r="D2795" s="103">
        <v>10</v>
      </c>
      <c r="E2795" s="103">
        <v>108.8</v>
      </c>
      <c r="F2795" s="103">
        <v>32.5</v>
      </c>
    </row>
    <row r="2796" spans="1:6" hidden="1" x14ac:dyDescent="0.25">
      <c r="A2796" s="103" t="s">
        <v>237</v>
      </c>
      <c r="B2796" s="103">
        <v>2003</v>
      </c>
      <c r="C2796" s="103" t="s">
        <v>109</v>
      </c>
      <c r="D2796" s="103">
        <v>11</v>
      </c>
      <c r="E2796" s="103">
        <v>165</v>
      </c>
      <c r="F2796" s="103">
        <v>1.2</v>
      </c>
    </row>
    <row r="2797" spans="1:6" hidden="1" x14ac:dyDescent="0.25">
      <c r="A2797" s="103" t="s">
        <v>237</v>
      </c>
      <c r="B2797" s="103">
        <v>2003</v>
      </c>
      <c r="C2797" s="103" t="s">
        <v>110</v>
      </c>
      <c r="D2797" s="103">
        <v>12</v>
      </c>
      <c r="E2797" s="103">
        <v>281.39999999999998</v>
      </c>
      <c r="F2797" s="103">
        <v>0.1</v>
      </c>
    </row>
    <row r="2798" spans="1:6" hidden="1" x14ac:dyDescent="0.25">
      <c r="A2798" s="103" t="s">
        <v>236</v>
      </c>
      <c r="B2798" s="103">
        <v>2004</v>
      </c>
      <c r="C2798" s="103" t="s">
        <v>99</v>
      </c>
      <c r="D2798" s="30">
        <v>1</v>
      </c>
      <c r="E2798" s="103">
        <v>389</v>
      </c>
      <c r="F2798" s="103">
        <v>0</v>
      </c>
    </row>
    <row r="2799" spans="1:6" hidden="1" x14ac:dyDescent="0.25">
      <c r="A2799" s="103" t="s">
        <v>236</v>
      </c>
      <c r="B2799" s="103">
        <v>2004</v>
      </c>
      <c r="C2799" s="103" t="s">
        <v>100</v>
      </c>
      <c r="D2799" s="30">
        <v>2</v>
      </c>
      <c r="E2799" s="103">
        <v>336.5</v>
      </c>
      <c r="F2799" s="103">
        <v>0</v>
      </c>
    </row>
    <row r="2800" spans="1:6" hidden="1" x14ac:dyDescent="0.25">
      <c r="A2800" s="103" t="s">
        <v>236</v>
      </c>
      <c r="B2800" s="103">
        <v>2004</v>
      </c>
      <c r="C2800" s="103" t="s">
        <v>101</v>
      </c>
      <c r="D2800" s="30">
        <v>3</v>
      </c>
      <c r="E2800" s="103">
        <v>315.2</v>
      </c>
      <c r="F2800" s="103">
        <v>1.1000000000000001</v>
      </c>
    </row>
    <row r="2801" spans="1:6" hidden="1" x14ac:dyDescent="0.25">
      <c r="A2801" s="103" t="s">
        <v>236</v>
      </c>
      <c r="B2801" s="103">
        <v>2004</v>
      </c>
      <c r="C2801" s="103" t="s">
        <v>102</v>
      </c>
      <c r="D2801" s="30">
        <v>4</v>
      </c>
      <c r="E2801" s="103">
        <v>191</v>
      </c>
      <c r="F2801" s="103">
        <v>4</v>
      </c>
    </row>
    <row r="2802" spans="1:6" hidden="1" x14ac:dyDescent="0.25">
      <c r="A2802" s="103" t="s">
        <v>236</v>
      </c>
      <c r="B2802" s="103">
        <v>2004</v>
      </c>
      <c r="C2802" s="103" t="s">
        <v>103</v>
      </c>
      <c r="D2802" s="30">
        <v>5</v>
      </c>
      <c r="E2802" s="103">
        <v>131.80000000000001</v>
      </c>
      <c r="F2802" s="103">
        <v>19.7</v>
      </c>
    </row>
    <row r="2803" spans="1:6" hidden="1" x14ac:dyDescent="0.25">
      <c r="A2803" s="103" t="s">
        <v>236</v>
      </c>
      <c r="B2803" s="103">
        <v>2004</v>
      </c>
      <c r="C2803" s="103" t="s">
        <v>104</v>
      </c>
      <c r="D2803" s="103">
        <v>6</v>
      </c>
      <c r="E2803" s="103">
        <v>40.6</v>
      </c>
      <c r="F2803" s="103">
        <v>57.1</v>
      </c>
    </row>
    <row r="2804" spans="1:6" hidden="1" x14ac:dyDescent="0.25">
      <c r="A2804" s="103" t="s">
        <v>236</v>
      </c>
      <c r="B2804" s="103">
        <v>2004</v>
      </c>
      <c r="C2804" s="103" t="s">
        <v>105</v>
      </c>
      <c r="D2804" s="103">
        <v>7</v>
      </c>
      <c r="E2804" s="103">
        <v>32.299999999999997</v>
      </c>
      <c r="F2804" s="103">
        <v>77</v>
      </c>
    </row>
    <row r="2805" spans="1:6" hidden="1" x14ac:dyDescent="0.25">
      <c r="A2805" s="103" t="s">
        <v>236</v>
      </c>
      <c r="B2805" s="103">
        <v>2004</v>
      </c>
      <c r="C2805" s="103" t="s">
        <v>106</v>
      </c>
      <c r="D2805" s="103">
        <v>8</v>
      </c>
      <c r="E2805" s="103">
        <v>16.600000000000001</v>
      </c>
      <c r="F2805" s="103">
        <v>96.6</v>
      </c>
    </row>
    <row r="2806" spans="1:6" hidden="1" x14ac:dyDescent="0.25">
      <c r="A2806" s="103" t="s">
        <v>236</v>
      </c>
      <c r="B2806" s="103">
        <v>2004</v>
      </c>
      <c r="C2806" s="103" t="s">
        <v>107</v>
      </c>
      <c r="D2806" s="103">
        <v>9</v>
      </c>
      <c r="E2806" s="103">
        <v>52.6</v>
      </c>
      <c r="F2806" s="103">
        <v>53</v>
      </c>
    </row>
    <row r="2807" spans="1:6" hidden="1" x14ac:dyDescent="0.25">
      <c r="A2807" s="103" t="s">
        <v>236</v>
      </c>
      <c r="B2807" s="103">
        <v>2004</v>
      </c>
      <c r="C2807" s="103" t="s">
        <v>108</v>
      </c>
      <c r="D2807" s="103">
        <v>10</v>
      </c>
      <c r="E2807" s="103">
        <v>166.4</v>
      </c>
      <c r="F2807" s="103">
        <v>4.4000000000000004</v>
      </c>
    </row>
    <row r="2808" spans="1:6" hidden="1" x14ac:dyDescent="0.25">
      <c r="A2808" s="103" t="s">
        <v>236</v>
      </c>
      <c r="B2808" s="103">
        <v>2004</v>
      </c>
      <c r="C2808" s="103" t="s">
        <v>109</v>
      </c>
      <c r="D2808" s="103">
        <v>11</v>
      </c>
      <c r="E2808" s="103">
        <v>289</v>
      </c>
      <c r="F2808" s="103">
        <v>0</v>
      </c>
    </row>
    <row r="2809" spans="1:6" hidden="1" x14ac:dyDescent="0.25">
      <c r="A2809" s="103" t="s">
        <v>236</v>
      </c>
      <c r="B2809" s="103">
        <v>2004</v>
      </c>
      <c r="C2809" s="103" t="s">
        <v>110</v>
      </c>
      <c r="D2809" s="103">
        <v>12</v>
      </c>
      <c r="E2809" s="103">
        <v>427.3</v>
      </c>
      <c r="F2809" s="103">
        <v>0</v>
      </c>
    </row>
    <row r="2810" spans="1:6" hidden="1" x14ac:dyDescent="0.25">
      <c r="A2810" s="103" t="s">
        <v>237</v>
      </c>
      <c r="B2810" s="103">
        <v>2004</v>
      </c>
      <c r="C2810" s="103" t="s">
        <v>99</v>
      </c>
      <c r="D2810" s="30">
        <v>1</v>
      </c>
      <c r="E2810" s="103">
        <v>346.2</v>
      </c>
      <c r="F2810" s="103">
        <v>0</v>
      </c>
    </row>
    <row r="2811" spans="1:6" hidden="1" x14ac:dyDescent="0.25">
      <c r="A2811" s="103" t="s">
        <v>237</v>
      </c>
      <c r="B2811" s="103">
        <v>2004</v>
      </c>
      <c r="C2811" s="103" t="s">
        <v>100</v>
      </c>
      <c r="D2811" s="30">
        <v>2</v>
      </c>
      <c r="E2811" s="103">
        <v>304.8</v>
      </c>
      <c r="F2811" s="103">
        <v>0</v>
      </c>
    </row>
    <row r="2812" spans="1:6" hidden="1" x14ac:dyDescent="0.25">
      <c r="A2812" s="103" t="s">
        <v>237</v>
      </c>
      <c r="B2812" s="103">
        <v>2004</v>
      </c>
      <c r="C2812" s="103" t="s">
        <v>101</v>
      </c>
      <c r="D2812" s="30">
        <v>3</v>
      </c>
      <c r="E2812" s="103">
        <v>249.9</v>
      </c>
      <c r="F2812" s="103">
        <v>2.9</v>
      </c>
    </row>
    <row r="2813" spans="1:6" hidden="1" x14ac:dyDescent="0.25">
      <c r="A2813" s="103" t="s">
        <v>237</v>
      </c>
      <c r="B2813" s="103">
        <v>2004</v>
      </c>
      <c r="C2813" s="103" t="s">
        <v>102</v>
      </c>
      <c r="D2813" s="30">
        <v>4</v>
      </c>
      <c r="E2813" s="103">
        <v>127.3</v>
      </c>
      <c r="F2813" s="103">
        <v>9.9</v>
      </c>
    </row>
    <row r="2814" spans="1:6" hidden="1" x14ac:dyDescent="0.25">
      <c r="A2814" s="103" t="s">
        <v>237</v>
      </c>
      <c r="B2814" s="103">
        <v>2004</v>
      </c>
      <c r="C2814" s="103" t="s">
        <v>103</v>
      </c>
      <c r="D2814" s="30">
        <v>5</v>
      </c>
      <c r="E2814" s="103">
        <v>71.099999999999994</v>
      </c>
      <c r="F2814" s="103">
        <v>40.5</v>
      </c>
    </row>
    <row r="2815" spans="1:6" hidden="1" x14ac:dyDescent="0.25">
      <c r="A2815" s="103" t="s">
        <v>237</v>
      </c>
      <c r="B2815" s="103">
        <v>2004</v>
      </c>
      <c r="C2815" s="103" t="s">
        <v>104</v>
      </c>
      <c r="D2815" s="103">
        <v>6</v>
      </c>
      <c r="E2815" s="103">
        <v>6</v>
      </c>
      <c r="F2815" s="103">
        <v>152.30000000000001</v>
      </c>
    </row>
    <row r="2816" spans="1:6" hidden="1" x14ac:dyDescent="0.25">
      <c r="A2816" s="103" t="s">
        <v>237</v>
      </c>
      <c r="B2816" s="103">
        <v>2004</v>
      </c>
      <c r="C2816" s="103" t="s">
        <v>105</v>
      </c>
      <c r="D2816" s="103">
        <v>7</v>
      </c>
      <c r="E2816" s="103">
        <v>2</v>
      </c>
      <c r="F2816" s="103">
        <v>207.2</v>
      </c>
    </row>
    <row r="2817" spans="1:6" hidden="1" x14ac:dyDescent="0.25">
      <c r="A2817" s="103" t="s">
        <v>237</v>
      </c>
      <c r="B2817" s="103">
        <v>2004</v>
      </c>
      <c r="C2817" s="103" t="s">
        <v>106</v>
      </c>
      <c r="D2817" s="103">
        <v>8</v>
      </c>
      <c r="E2817" s="103">
        <v>1.9</v>
      </c>
      <c r="F2817" s="103">
        <v>211</v>
      </c>
    </row>
    <row r="2818" spans="1:6" hidden="1" x14ac:dyDescent="0.25">
      <c r="A2818" s="103" t="s">
        <v>237</v>
      </c>
      <c r="B2818" s="103">
        <v>2004</v>
      </c>
      <c r="C2818" s="103" t="s">
        <v>107</v>
      </c>
      <c r="D2818" s="103">
        <v>9</v>
      </c>
      <c r="E2818" s="103">
        <v>17.8</v>
      </c>
      <c r="F2818" s="103">
        <v>123</v>
      </c>
    </row>
    <row r="2819" spans="1:6" hidden="1" x14ac:dyDescent="0.25">
      <c r="A2819" s="103" t="s">
        <v>237</v>
      </c>
      <c r="B2819" s="103">
        <v>2004</v>
      </c>
      <c r="C2819" s="103" t="s">
        <v>108</v>
      </c>
      <c r="D2819" s="103">
        <v>10</v>
      </c>
      <c r="E2819" s="103">
        <v>47.8</v>
      </c>
      <c r="F2819" s="103">
        <v>61.2</v>
      </c>
    </row>
    <row r="2820" spans="1:6" hidden="1" x14ac:dyDescent="0.25">
      <c r="A2820" s="103" t="s">
        <v>237</v>
      </c>
      <c r="B2820" s="103">
        <v>2004</v>
      </c>
      <c r="C2820" s="103" t="s">
        <v>109</v>
      </c>
      <c r="D2820" s="103">
        <v>11</v>
      </c>
      <c r="E2820" s="103">
        <v>241.9</v>
      </c>
      <c r="F2820" s="103">
        <v>4</v>
      </c>
    </row>
    <row r="2821" spans="1:6" hidden="1" x14ac:dyDescent="0.25">
      <c r="A2821" s="103" t="s">
        <v>237</v>
      </c>
      <c r="B2821" s="103">
        <v>2004</v>
      </c>
      <c r="C2821" s="103" t="s">
        <v>110</v>
      </c>
      <c r="D2821" s="103">
        <v>12</v>
      </c>
      <c r="E2821" s="103">
        <v>295.89999999999998</v>
      </c>
      <c r="F2821" s="103">
        <v>0</v>
      </c>
    </row>
    <row r="2822" spans="1:6" hidden="1" x14ac:dyDescent="0.25">
      <c r="A2822" s="103" t="s">
        <v>236</v>
      </c>
      <c r="B2822" s="103">
        <v>2005</v>
      </c>
      <c r="C2822" s="103" t="s">
        <v>99</v>
      </c>
      <c r="D2822" s="30">
        <v>1</v>
      </c>
      <c r="E2822" s="103">
        <v>375.3</v>
      </c>
      <c r="F2822" s="103">
        <v>0</v>
      </c>
    </row>
    <row r="2823" spans="1:6" hidden="1" x14ac:dyDescent="0.25">
      <c r="A2823" s="103" t="s">
        <v>236</v>
      </c>
      <c r="B2823" s="103">
        <v>2005</v>
      </c>
      <c r="C2823" s="103" t="s">
        <v>100</v>
      </c>
      <c r="D2823" s="30">
        <v>2</v>
      </c>
      <c r="E2823" s="103">
        <v>394.5</v>
      </c>
      <c r="F2823" s="103">
        <v>0</v>
      </c>
    </row>
    <row r="2824" spans="1:6" hidden="1" x14ac:dyDescent="0.25">
      <c r="A2824" s="103" t="s">
        <v>236</v>
      </c>
      <c r="B2824" s="103">
        <v>2005</v>
      </c>
      <c r="C2824" s="103" t="s">
        <v>101</v>
      </c>
      <c r="D2824" s="30">
        <v>3</v>
      </c>
      <c r="E2824" s="103">
        <v>295.39999999999998</v>
      </c>
      <c r="F2824" s="103">
        <v>2</v>
      </c>
    </row>
    <row r="2825" spans="1:6" hidden="1" x14ac:dyDescent="0.25">
      <c r="A2825" s="103" t="s">
        <v>236</v>
      </c>
      <c r="B2825" s="103">
        <v>2005</v>
      </c>
      <c r="C2825" s="103" t="s">
        <v>102</v>
      </c>
      <c r="D2825" s="30">
        <v>4</v>
      </c>
      <c r="E2825" s="103">
        <v>181.9</v>
      </c>
      <c r="F2825" s="103">
        <v>6</v>
      </c>
    </row>
    <row r="2826" spans="1:6" hidden="1" x14ac:dyDescent="0.25">
      <c r="A2826" s="103" t="s">
        <v>236</v>
      </c>
      <c r="B2826" s="103">
        <v>2005</v>
      </c>
      <c r="C2826" s="103" t="s">
        <v>103</v>
      </c>
      <c r="D2826" s="30">
        <v>5</v>
      </c>
      <c r="E2826" s="103">
        <v>113.8</v>
      </c>
      <c r="F2826" s="103">
        <v>32.799999999999997</v>
      </c>
    </row>
    <row r="2827" spans="1:6" hidden="1" x14ac:dyDescent="0.25">
      <c r="A2827" s="103" t="s">
        <v>236</v>
      </c>
      <c r="B2827" s="103">
        <v>2005</v>
      </c>
      <c r="C2827" s="103" t="s">
        <v>104</v>
      </c>
      <c r="D2827" s="103">
        <v>6</v>
      </c>
      <c r="E2827" s="103">
        <v>38.9</v>
      </c>
      <c r="F2827" s="103">
        <v>105.7</v>
      </c>
    </row>
    <row r="2828" spans="1:6" hidden="1" x14ac:dyDescent="0.25">
      <c r="A2828" s="103" t="s">
        <v>236</v>
      </c>
      <c r="B2828" s="103">
        <v>2005</v>
      </c>
      <c r="C2828" s="103" t="s">
        <v>105</v>
      </c>
      <c r="D2828" s="103">
        <v>7</v>
      </c>
      <c r="E2828" s="103">
        <v>19.100000000000001</v>
      </c>
      <c r="F2828" s="103">
        <v>106.3</v>
      </c>
    </row>
    <row r="2829" spans="1:6" hidden="1" x14ac:dyDescent="0.25">
      <c r="A2829" s="103" t="s">
        <v>236</v>
      </c>
      <c r="B2829" s="103">
        <v>2005</v>
      </c>
      <c r="C2829" s="103" t="s">
        <v>106</v>
      </c>
      <c r="D2829" s="103">
        <v>8</v>
      </c>
      <c r="E2829" s="103">
        <v>27.4</v>
      </c>
      <c r="F2829" s="103">
        <v>70.5</v>
      </c>
    </row>
    <row r="2830" spans="1:6" hidden="1" x14ac:dyDescent="0.25">
      <c r="A2830" s="103" t="s">
        <v>236</v>
      </c>
      <c r="B2830" s="103">
        <v>2005</v>
      </c>
      <c r="C2830" s="103" t="s">
        <v>107</v>
      </c>
      <c r="D2830" s="103">
        <v>9</v>
      </c>
      <c r="E2830" s="103">
        <v>45.6</v>
      </c>
      <c r="F2830" s="103">
        <v>61.2</v>
      </c>
    </row>
    <row r="2831" spans="1:6" hidden="1" x14ac:dyDescent="0.25">
      <c r="A2831" s="103" t="s">
        <v>236</v>
      </c>
      <c r="B2831" s="103">
        <v>2005</v>
      </c>
      <c r="C2831" s="103" t="s">
        <v>108</v>
      </c>
      <c r="D2831" s="103">
        <v>10</v>
      </c>
      <c r="E2831" s="103">
        <v>80.599999999999994</v>
      </c>
      <c r="F2831" s="103">
        <v>19.399999999999999</v>
      </c>
    </row>
    <row r="2832" spans="1:6" hidden="1" x14ac:dyDescent="0.25">
      <c r="A2832" s="103" t="s">
        <v>236</v>
      </c>
      <c r="B2832" s="103">
        <v>2005</v>
      </c>
      <c r="C2832" s="103" t="s">
        <v>109</v>
      </c>
      <c r="D2832" s="103">
        <v>11</v>
      </c>
      <c r="E2832" s="103">
        <v>326</v>
      </c>
      <c r="F2832" s="103">
        <v>0.2</v>
      </c>
    </row>
    <row r="2833" spans="1:6" hidden="1" x14ac:dyDescent="0.25">
      <c r="A2833" s="103" t="s">
        <v>236</v>
      </c>
      <c r="B2833" s="103">
        <v>2005</v>
      </c>
      <c r="C2833" s="103" t="s">
        <v>110</v>
      </c>
      <c r="D2833" s="103">
        <v>12</v>
      </c>
      <c r="E2833" s="103">
        <v>415.8</v>
      </c>
      <c r="F2833" s="103">
        <v>0</v>
      </c>
    </row>
    <row r="2834" spans="1:6" hidden="1" x14ac:dyDescent="0.25">
      <c r="A2834" s="103" t="s">
        <v>237</v>
      </c>
      <c r="B2834" s="103">
        <v>2005</v>
      </c>
      <c r="C2834" s="103" t="s">
        <v>99</v>
      </c>
      <c r="D2834" s="30">
        <v>1</v>
      </c>
      <c r="E2834" s="103">
        <v>355.4</v>
      </c>
      <c r="F2834" s="103">
        <v>0</v>
      </c>
    </row>
    <row r="2835" spans="1:6" hidden="1" x14ac:dyDescent="0.25">
      <c r="A2835" s="103" t="s">
        <v>237</v>
      </c>
      <c r="B2835" s="103">
        <v>2005</v>
      </c>
      <c r="C2835" s="103" t="s">
        <v>100</v>
      </c>
      <c r="D2835" s="30">
        <v>2</v>
      </c>
      <c r="E2835" s="103">
        <v>348.7</v>
      </c>
      <c r="F2835" s="103">
        <v>0</v>
      </c>
    </row>
    <row r="2836" spans="1:6" hidden="1" x14ac:dyDescent="0.25">
      <c r="A2836" s="103" t="s">
        <v>237</v>
      </c>
      <c r="B2836" s="103">
        <v>2005</v>
      </c>
      <c r="C2836" s="103" t="s">
        <v>101</v>
      </c>
      <c r="D2836" s="30">
        <v>3</v>
      </c>
      <c r="E2836" s="103">
        <v>252.8</v>
      </c>
      <c r="F2836" s="103">
        <v>3.7</v>
      </c>
    </row>
    <row r="2837" spans="1:6" hidden="1" x14ac:dyDescent="0.25">
      <c r="A2837" s="103" t="s">
        <v>237</v>
      </c>
      <c r="B2837" s="103">
        <v>2005</v>
      </c>
      <c r="C2837" s="103" t="s">
        <v>102</v>
      </c>
      <c r="D2837" s="30">
        <v>4</v>
      </c>
      <c r="E2837" s="103">
        <v>137.19999999999999</v>
      </c>
      <c r="F2837" s="103">
        <v>11.4</v>
      </c>
    </row>
    <row r="2838" spans="1:6" hidden="1" x14ac:dyDescent="0.25">
      <c r="A2838" s="103" t="s">
        <v>237</v>
      </c>
      <c r="B2838" s="103">
        <v>2005</v>
      </c>
      <c r="C2838" s="103" t="s">
        <v>103</v>
      </c>
      <c r="D2838" s="30">
        <v>5</v>
      </c>
      <c r="E2838" s="103">
        <v>39.1</v>
      </c>
      <c r="F2838" s="103">
        <v>68.8</v>
      </c>
    </row>
    <row r="2839" spans="1:6" hidden="1" x14ac:dyDescent="0.25">
      <c r="A2839" s="103" t="s">
        <v>237</v>
      </c>
      <c r="B2839" s="103">
        <v>2005</v>
      </c>
      <c r="C2839" s="103" t="s">
        <v>104</v>
      </c>
      <c r="D2839" s="103">
        <v>6</v>
      </c>
      <c r="E2839" s="103">
        <v>5</v>
      </c>
      <c r="F2839" s="103">
        <v>189.2</v>
      </c>
    </row>
    <row r="2840" spans="1:6" hidden="1" x14ac:dyDescent="0.25">
      <c r="A2840" s="103" t="s">
        <v>237</v>
      </c>
      <c r="B2840" s="103">
        <v>2005</v>
      </c>
      <c r="C2840" s="103" t="s">
        <v>105</v>
      </c>
      <c r="D2840" s="103">
        <v>7</v>
      </c>
      <c r="E2840" s="103">
        <v>0.7</v>
      </c>
      <c r="F2840" s="103">
        <v>220.2</v>
      </c>
    </row>
    <row r="2841" spans="1:6" hidden="1" x14ac:dyDescent="0.25">
      <c r="A2841" s="103" t="s">
        <v>237</v>
      </c>
      <c r="B2841" s="103">
        <v>2005</v>
      </c>
      <c r="C2841" s="103" t="s">
        <v>106</v>
      </c>
      <c r="D2841" s="103">
        <v>8</v>
      </c>
      <c r="E2841" s="103">
        <v>1.8</v>
      </c>
      <c r="F2841" s="103">
        <v>183.3</v>
      </c>
    </row>
    <row r="2842" spans="1:6" hidden="1" x14ac:dyDescent="0.25">
      <c r="A2842" s="103" t="s">
        <v>237</v>
      </c>
      <c r="B2842" s="103">
        <v>2005</v>
      </c>
      <c r="C2842" s="103" t="s">
        <v>107</v>
      </c>
      <c r="D2842" s="103">
        <v>9</v>
      </c>
      <c r="E2842" s="103">
        <v>19.7</v>
      </c>
      <c r="F2842" s="103">
        <v>100.3</v>
      </c>
    </row>
    <row r="2843" spans="1:6" hidden="1" x14ac:dyDescent="0.25">
      <c r="A2843" s="103" t="s">
        <v>237</v>
      </c>
      <c r="B2843" s="103">
        <v>2005</v>
      </c>
      <c r="C2843" s="103" t="s">
        <v>108</v>
      </c>
      <c r="D2843" s="103">
        <v>10</v>
      </c>
      <c r="E2843" s="103">
        <v>39.1</v>
      </c>
      <c r="F2843" s="103">
        <v>42.1</v>
      </c>
    </row>
    <row r="2844" spans="1:6" hidden="1" x14ac:dyDescent="0.25">
      <c r="A2844" s="103" t="s">
        <v>237</v>
      </c>
      <c r="B2844" s="103">
        <v>2005</v>
      </c>
      <c r="C2844" s="103" t="s">
        <v>109</v>
      </c>
      <c r="D2844" s="103">
        <v>11</v>
      </c>
      <c r="E2844" s="103">
        <v>223.4</v>
      </c>
      <c r="F2844" s="103">
        <v>5.9</v>
      </c>
    </row>
    <row r="2845" spans="1:6" hidden="1" x14ac:dyDescent="0.25">
      <c r="A2845" s="103" t="s">
        <v>237</v>
      </c>
      <c r="B2845" s="103">
        <v>2005</v>
      </c>
      <c r="C2845" s="103" t="s">
        <v>110</v>
      </c>
      <c r="D2845" s="103">
        <v>12</v>
      </c>
      <c r="E2845" s="103">
        <v>411.9</v>
      </c>
      <c r="F2845" s="103">
        <v>0</v>
      </c>
    </row>
    <row r="2846" spans="1:6" hidden="1" x14ac:dyDescent="0.25">
      <c r="A2846" s="103" t="s">
        <v>236</v>
      </c>
      <c r="B2846" s="103">
        <v>2006</v>
      </c>
      <c r="C2846" s="103" t="s">
        <v>99</v>
      </c>
      <c r="D2846" s="30">
        <v>1</v>
      </c>
      <c r="E2846" s="103">
        <v>444.4</v>
      </c>
      <c r="F2846" s="103">
        <v>0</v>
      </c>
    </row>
    <row r="2847" spans="1:6" hidden="1" x14ac:dyDescent="0.25">
      <c r="A2847" s="103" t="s">
        <v>236</v>
      </c>
      <c r="B2847" s="103">
        <v>2006</v>
      </c>
      <c r="C2847" s="103" t="s">
        <v>100</v>
      </c>
      <c r="D2847" s="30">
        <v>2</v>
      </c>
      <c r="E2847" s="103">
        <v>390.3</v>
      </c>
      <c r="F2847" s="103">
        <v>0</v>
      </c>
    </row>
    <row r="2848" spans="1:6" hidden="1" x14ac:dyDescent="0.25">
      <c r="A2848" s="103" t="s">
        <v>236</v>
      </c>
      <c r="B2848" s="103">
        <v>2006</v>
      </c>
      <c r="C2848" s="103" t="s">
        <v>101</v>
      </c>
      <c r="D2848" s="30">
        <v>3</v>
      </c>
      <c r="E2848" s="103">
        <v>347.9</v>
      </c>
      <c r="F2848" s="103">
        <v>0.3</v>
      </c>
    </row>
    <row r="2849" spans="1:6" hidden="1" x14ac:dyDescent="0.25">
      <c r="A2849" s="103" t="s">
        <v>236</v>
      </c>
      <c r="B2849" s="103">
        <v>2006</v>
      </c>
      <c r="C2849" s="103" t="s">
        <v>102</v>
      </c>
      <c r="D2849" s="30">
        <v>4</v>
      </c>
      <c r="E2849" s="103">
        <v>194.7</v>
      </c>
      <c r="F2849" s="103">
        <v>3.1</v>
      </c>
    </row>
    <row r="2850" spans="1:6" hidden="1" x14ac:dyDescent="0.25">
      <c r="A2850" s="103" t="s">
        <v>236</v>
      </c>
      <c r="B2850" s="103">
        <v>2006</v>
      </c>
      <c r="C2850" s="103" t="s">
        <v>103</v>
      </c>
      <c r="D2850" s="30">
        <v>5</v>
      </c>
      <c r="E2850" s="103">
        <v>95.5</v>
      </c>
      <c r="F2850" s="103">
        <v>23.9</v>
      </c>
    </row>
    <row r="2851" spans="1:6" hidden="1" x14ac:dyDescent="0.25">
      <c r="A2851" s="103" t="s">
        <v>236</v>
      </c>
      <c r="B2851" s="103">
        <v>2006</v>
      </c>
      <c r="C2851" s="103" t="s">
        <v>104</v>
      </c>
      <c r="D2851" s="103">
        <v>6</v>
      </c>
      <c r="E2851" s="103">
        <v>36.200000000000003</v>
      </c>
      <c r="F2851" s="103">
        <v>86</v>
      </c>
    </row>
    <row r="2852" spans="1:6" hidden="1" x14ac:dyDescent="0.25">
      <c r="A2852" s="103" t="s">
        <v>236</v>
      </c>
      <c r="B2852" s="103">
        <v>2006</v>
      </c>
      <c r="C2852" s="103" t="s">
        <v>105</v>
      </c>
      <c r="D2852" s="103">
        <v>7</v>
      </c>
      <c r="E2852" s="103">
        <v>1.5</v>
      </c>
      <c r="F2852" s="103">
        <v>209.3</v>
      </c>
    </row>
    <row r="2853" spans="1:6" hidden="1" x14ac:dyDescent="0.25">
      <c r="A2853" s="103" t="s">
        <v>236</v>
      </c>
      <c r="B2853" s="103">
        <v>2006</v>
      </c>
      <c r="C2853" s="103" t="s">
        <v>106</v>
      </c>
      <c r="D2853" s="103">
        <v>8</v>
      </c>
      <c r="E2853" s="103">
        <v>37.5</v>
      </c>
      <c r="F2853" s="103">
        <v>41.9</v>
      </c>
    </row>
    <row r="2854" spans="1:6" hidden="1" x14ac:dyDescent="0.25">
      <c r="A2854" s="103" t="s">
        <v>236</v>
      </c>
      <c r="B2854" s="103">
        <v>2006</v>
      </c>
      <c r="C2854" s="103" t="s">
        <v>107</v>
      </c>
      <c r="D2854" s="103">
        <v>9</v>
      </c>
      <c r="E2854" s="103">
        <v>21.9</v>
      </c>
      <c r="F2854" s="103">
        <v>76.3</v>
      </c>
    </row>
    <row r="2855" spans="1:6" hidden="1" x14ac:dyDescent="0.25">
      <c r="A2855" s="103" t="s">
        <v>236</v>
      </c>
      <c r="B2855" s="103">
        <v>2006</v>
      </c>
      <c r="C2855" s="103" t="s">
        <v>108</v>
      </c>
      <c r="D2855" s="103">
        <v>10</v>
      </c>
      <c r="E2855" s="103">
        <v>87.3</v>
      </c>
      <c r="F2855" s="103">
        <v>7.8</v>
      </c>
    </row>
    <row r="2856" spans="1:6" hidden="1" x14ac:dyDescent="0.25">
      <c r="A2856" s="103" t="s">
        <v>236</v>
      </c>
      <c r="B2856" s="103">
        <v>2006</v>
      </c>
      <c r="C2856" s="103" t="s">
        <v>109</v>
      </c>
      <c r="D2856" s="103">
        <v>11</v>
      </c>
      <c r="E2856" s="103">
        <v>243.6</v>
      </c>
      <c r="F2856" s="103">
        <v>0.1</v>
      </c>
    </row>
    <row r="2857" spans="1:6" hidden="1" x14ac:dyDescent="0.25">
      <c r="A2857" s="103" t="s">
        <v>236</v>
      </c>
      <c r="B2857" s="103">
        <v>2006</v>
      </c>
      <c r="C2857" s="103" t="s">
        <v>110</v>
      </c>
      <c r="D2857" s="103">
        <v>12</v>
      </c>
      <c r="E2857" s="103">
        <v>372.4</v>
      </c>
      <c r="F2857" s="103">
        <v>0</v>
      </c>
    </row>
    <row r="2858" spans="1:6" hidden="1" x14ac:dyDescent="0.25">
      <c r="A2858" s="103" t="s">
        <v>237</v>
      </c>
      <c r="B2858" s="103">
        <v>2006</v>
      </c>
      <c r="C2858" s="103" t="s">
        <v>99</v>
      </c>
      <c r="D2858" s="30">
        <v>1</v>
      </c>
      <c r="E2858" s="103">
        <v>344.3</v>
      </c>
      <c r="F2858" s="103">
        <v>0</v>
      </c>
    </row>
    <row r="2859" spans="1:6" hidden="1" x14ac:dyDescent="0.25">
      <c r="A2859" s="103" t="s">
        <v>237</v>
      </c>
      <c r="B2859" s="103">
        <v>2006</v>
      </c>
      <c r="C2859" s="103" t="s">
        <v>100</v>
      </c>
      <c r="D2859" s="30">
        <v>2</v>
      </c>
      <c r="E2859" s="103">
        <v>308</v>
      </c>
      <c r="F2859" s="103">
        <v>0</v>
      </c>
    </row>
    <row r="2860" spans="1:6" hidden="1" x14ac:dyDescent="0.25">
      <c r="A2860" s="103" t="s">
        <v>237</v>
      </c>
      <c r="B2860" s="103">
        <v>2006</v>
      </c>
      <c r="C2860" s="103" t="s">
        <v>101</v>
      </c>
      <c r="D2860" s="30">
        <v>3</v>
      </c>
      <c r="E2860" s="103">
        <v>226.6</v>
      </c>
      <c r="F2860" s="103">
        <v>3.2</v>
      </c>
    </row>
    <row r="2861" spans="1:6" hidden="1" x14ac:dyDescent="0.25">
      <c r="A2861" s="103" t="s">
        <v>237</v>
      </c>
      <c r="B2861" s="103">
        <v>2006</v>
      </c>
      <c r="C2861" s="103" t="s">
        <v>102</v>
      </c>
      <c r="D2861" s="30">
        <v>4</v>
      </c>
      <c r="E2861" s="103">
        <v>103.7</v>
      </c>
      <c r="F2861" s="103">
        <v>23.6</v>
      </c>
    </row>
    <row r="2862" spans="1:6" hidden="1" x14ac:dyDescent="0.25">
      <c r="A2862" s="103" t="s">
        <v>237</v>
      </c>
      <c r="B2862" s="103">
        <v>2006</v>
      </c>
      <c r="C2862" s="103" t="s">
        <v>103</v>
      </c>
      <c r="D2862" s="30">
        <v>5</v>
      </c>
      <c r="E2862" s="103">
        <v>45</v>
      </c>
      <c r="F2862" s="103">
        <v>81.400000000000006</v>
      </c>
    </row>
    <row r="2863" spans="1:6" hidden="1" x14ac:dyDescent="0.25">
      <c r="A2863" s="103" t="s">
        <v>237</v>
      </c>
      <c r="B2863" s="103">
        <v>2006</v>
      </c>
      <c r="C2863" s="103" t="s">
        <v>104</v>
      </c>
      <c r="D2863" s="103">
        <v>6</v>
      </c>
      <c r="E2863" s="103">
        <v>19.600000000000001</v>
      </c>
      <c r="F2863" s="103">
        <v>168.7</v>
      </c>
    </row>
    <row r="2864" spans="1:6" hidden="1" x14ac:dyDescent="0.25">
      <c r="A2864" s="103" t="s">
        <v>237</v>
      </c>
      <c r="B2864" s="103">
        <v>2006</v>
      </c>
      <c r="C2864" s="103" t="s">
        <v>106</v>
      </c>
      <c r="D2864" s="103">
        <v>8</v>
      </c>
      <c r="E2864" s="103">
        <v>3.7</v>
      </c>
      <c r="F2864" s="103">
        <v>175.4</v>
      </c>
    </row>
    <row r="2865" spans="1:6" hidden="1" x14ac:dyDescent="0.25">
      <c r="A2865" s="103" t="s">
        <v>237</v>
      </c>
      <c r="B2865" s="103">
        <v>2006</v>
      </c>
      <c r="C2865" s="103" t="s">
        <v>107</v>
      </c>
      <c r="D2865" s="103">
        <v>9</v>
      </c>
      <c r="E2865" s="103">
        <v>6.9</v>
      </c>
      <c r="F2865" s="103">
        <v>134</v>
      </c>
    </row>
    <row r="2866" spans="1:6" hidden="1" x14ac:dyDescent="0.25">
      <c r="A2866" s="103" t="s">
        <v>237</v>
      </c>
      <c r="B2866" s="103">
        <v>2006</v>
      </c>
      <c r="C2866" s="103" t="s">
        <v>108</v>
      </c>
      <c r="D2866" s="103">
        <v>10</v>
      </c>
      <c r="E2866" s="103">
        <v>32.5</v>
      </c>
      <c r="F2866" s="103">
        <v>70</v>
      </c>
    </row>
    <row r="2867" spans="1:6" hidden="1" x14ac:dyDescent="0.25">
      <c r="A2867" s="103" t="s">
        <v>237</v>
      </c>
      <c r="B2867" s="103">
        <v>2006</v>
      </c>
      <c r="C2867" s="103" t="s">
        <v>109</v>
      </c>
      <c r="D2867" s="103">
        <v>11</v>
      </c>
      <c r="E2867" s="103">
        <v>120.7</v>
      </c>
      <c r="F2867" s="103">
        <v>9.6999999999999993</v>
      </c>
    </row>
    <row r="2868" spans="1:6" hidden="1" x14ac:dyDescent="0.25">
      <c r="A2868" s="103" t="s">
        <v>237</v>
      </c>
      <c r="B2868" s="103">
        <v>2006</v>
      </c>
      <c r="C2868" s="103" t="s">
        <v>110</v>
      </c>
      <c r="D2868" s="103">
        <v>12</v>
      </c>
      <c r="E2868" s="103">
        <v>275.89999999999998</v>
      </c>
      <c r="F2868" s="103">
        <v>0.5</v>
      </c>
    </row>
    <row r="2869" spans="1:6" hidden="1" x14ac:dyDescent="0.25">
      <c r="A2869" s="103" t="s">
        <v>237</v>
      </c>
      <c r="B2869" s="103">
        <v>2006</v>
      </c>
      <c r="C2869" s="103" t="s">
        <v>105</v>
      </c>
      <c r="D2869" s="103">
        <v>7</v>
      </c>
      <c r="E2869" s="103">
        <v>0</v>
      </c>
      <c r="F2869" s="103">
        <v>310.60000000000002</v>
      </c>
    </row>
    <row r="2870" spans="1:6" hidden="1" x14ac:dyDescent="0.25">
      <c r="A2870" s="103" t="s">
        <v>236</v>
      </c>
      <c r="B2870" s="103">
        <v>2007</v>
      </c>
      <c r="C2870" s="103" t="s">
        <v>99</v>
      </c>
      <c r="D2870" s="30">
        <v>1</v>
      </c>
      <c r="E2870" s="103">
        <v>305.2</v>
      </c>
      <c r="F2870" s="103">
        <v>0</v>
      </c>
    </row>
    <row r="2871" spans="1:6" hidden="1" x14ac:dyDescent="0.25">
      <c r="A2871" s="103" t="s">
        <v>236</v>
      </c>
      <c r="B2871" s="103">
        <v>2007</v>
      </c>
      <c r="C2871" s="103" t="s">
        <v>100</v>
      </c>
      <c r="D2871" s="30">
        <v>2</v>
      </c>
      <c r="E2871" s="103">
        <v>255.9</v>
      </c>
      <c r="F2871" s="103">
        <v>0</v>
      </c>
    </row>
    <row r="2872" spans="1:6" hidden="1" x14ac:dyDescent="0.25">
      <c r="A2872" s="103" t="s">
        <v>236</v>
      </c>
      <c r="B2872" s="103">
        <v>2007</v>
      </c>
      <c r="C2872" s="103" t="s">
        <v>101</v>
      </c>
      <c r="D2872" s="30">
        <v>3</v>
      </c>
      <c r="E2872" s="103">
        <v>283.7</v>
      </c>
      <c r="F2872" s="103">
        <v>0.1</v>
      </c>
    </row>
    <row r="2873" spans="1:6" hidden="1" x14ac:dyDescent="0.25">
      <c r="A2873" s="103" t="s">
        <v>236</v>
      </c>
      <c r="B2873" s="103">
        <v>2007</v>
      </c>
      <c r="C2873" s="103" t="s">
        <v>102</v>
      </c>
      <c r="D2873" s="30">
        <v>4</v>
      </c>
      <c r="E2873" s="103">
        <v>97.6</v>
      </c>
      <c r="F2873" s="103">
        <v>41.6</v>
      </c>
    </row>
    <row r="2874" spans="1:6" hidden="1" x14ac:dyDescent="0.25">
      <c r="A2874" s="103" t="s">
        <v>236</v>
      </c>
      <c r="B2874" s="103">
        <v>2007</v>
      </c>
      <c r="C2874" s="103" t="s">
        <v>103</v>
      </c>
      <c r="D2874" s="30">
        <v>5</v>
      </c>
      <c r="E2874" s="103">
        <v>82.8</v>
      </c>
      <c r="F2874" s="103">
        <v>27.5</v>
      </c>
    </row>
    <row r="2875" spans="1:6" hidden="1" x14ac:dyDescent="0.25">
      <c r="A2875" s="103" t="s">
        <v>236</v>
      </c>
      <c r="B2875" s="103">
        <v>2007</v>
      </c>
      <c r="C2875" s="103" t="s">
        <v>104</v>
      </c>
      <c r="D2875" s="103">
        <v>6</v>
      </c>
      <c r="E2875" s="103">
        <v>31.2</v>
      </c>
      <c r="F2875" s="103">
        <v>56.7</v>
      </c>
    </row>
    <row r="2876" spans="1:6" hidden="1" x14ac:dyDescent="0.25">
      <c r="A2876" s="103" t="s">
        <v>236</v>
      </c>
      <c r="B2876" s="103">
        <v>2007</v>
      </c>
      <c r="C2876" s="103" t="s">
        <v>105</v>
      </c>
      <c r="D2876" s="103">
        <v>7</v>
      </c>
      <c r="E2876" s="103">
        <v>31</v>
      </c>
      <c r="F2876" s="103">
        <v>65.900000000000006</v>
      </c>
    </row>
    <row r="2877" spans="1:6" hidden="1" x14ac:dyDescent="0.25">
      <c r="A2877" s="103" t="s">
        <v>236</v>
      </c>
      <c r="B2877" s="103">
        <v>2007</v>
      </c>
      <c r="C2877" s="103" t="s">
        <v>106</v>
      </c>
      <c r="D2877" s="103">
        <v>8</v>
      </c>
      <c r="E2877" s="103">
        <v>36</v>
      </c>
      <c r="F2877" s="103">
        <v>47.5</v>
      </c>
    </row>
    <row r="2878" spans="1:6" hidden="1" x14ac:dyDescent="0.25">
      <c r="A2878" s="103" t="s">
        <v>236</v>
      </c>
      <c r="B2878" s="103">
        <v>2007</v>
      </c>
      <c r="C2878" s="103" t="s">
        <v>107</v>
      </c>
      <c r="D2878" s="103">
        <v>9</v>
      </c>
      <c r="E2878" s="103">
        <v>80.900000000000006</v>
      </c>
      <c r="F2878" s="103">
        <v>19.600000000000001</v>
      </c>
    </row>
    <row r="2879" spans="1:6" hidden="1" x14ac:dyDescent="0.25">
      <c r="A2879" s="103" t="s">
        <v>236</v>
      </c>
      <c r="B2879" s="103">
        <v>2007</v>
      </c>
      <c r="C2879" s="103" t="s">
        <v>108</v>
      </c>
      <c r="D2879" s="103">
        <v>10</v>
      </c>
      <c r="E2879" s="103">
        <v>182</v>
      </c>
      <c r="F2879" s="103">
        <v>4.9000000000000004</v>
      </c>
    </row>
    <row r="2880" spans="1:6" hidden="1" x14ac:dyDescent="0.25">
      <c r="A2880" s="103" t="s">
        <v>236</v>
      </c>
      <c r="B2880" s="103">
        <v>2007</v>
      </c>
      <c r="C2880" s="103" t="s">
        <v>109</v>
      </c>
      <c r="D2880" s="103">
        <v>11</v>
      </c>
      <c r="E2880" s="103">
        <v>301.89999999999998</v>
      </c>
      <c r="F2880" s="103">
        <v>0</v>
      </c>
    </row>
    <row r="2881" spans="1:6" hidden="1" x14ac:dyDescent="0.25">
      <c r="A2881" s="103" t="s">
        <v>236</v>
      </c>
      <c r="B2881" s="103">
        <v>2007</v>
      </c>
      <c r="C2881" s="103" t="s">
        <v>110</v>
      </c>
      <c r="D2881" s="103">
        <v>12</v>
      </c>
      <c r="E2881" s="103">
        <v>400.5</v>
      </c>
      <c r="F2881" s="103">
        <v>0</v>
      </c>
    </row>
    <row r="2882" spans="1:6" hidden="1" x14ac:dyDescent="0.25">
      <c r="A2882" s="103" t="s">
        <v>237</v>
      </c>
      <c r="B2882" s="103">
        <v>2007</v>
      </c>
      <c r="C2882" s="103" t="s">
        <v>99</v>
      </c>
      <c r="D2882" s="30">
        <v>1</v>
      </c>
      <c r="E2882" s="103">
        <v>276</v>
      </c>
      <c r="F2882" s="103">
        <v>0.8</v>
      </c>
    </row>
    <row r="2883" spans="1:6" hidden="1" x14ac:dyDescent="0.25">
      <c r="A2883" s="103" t="s">
        <v>237</v>
      </c>
      <c r="B2883" s="103">
        <v>2007</v>
      </c>
      <c r="C2883" s="103" t="s">
        <v>100</v>
      </c>
      <c r="D2883" s="30">
        <v>2</v>
      </c>
      <c r="E2883" s="103">
        <v>224.6</v>
      </c>
      <c r="F2883" s="103">
        <v>0</v>
      </c>
    </row>
    <row r="2884" spans="1:6" hidden="1" x14ac:dyDescent="0.25">
      <c r="A2884" s="103" t="s">
        <v>237</v>
      </c>
      <c r="B2884" s="103">
        <v>2007</v>
      </c>
      <c r="C2884" s="103" t="s">
        <v>101</v>
      </c>
      <c r="D2884" s="30">
        <v>3</v>
      </c>
      <c r="E2884" s="103">
        <v>202.6</v>
      </c>
      <c r="F2884" s="103">
        <v>2.7</v>
      </c>
    </row>
    <row r="2885" spans="1:6" hidden="1" x14ac:dyDescent="0.25">
      <c r="A2885" s="103" t="s">
        <v>237</v>
      </c>
      <c r="B2885" s="103">
        <v>2007</v>
      </c>
      <c r="C2885" s="103" t="s">
        <v>102</v>
      </c>
      <c r="D2885" s="30">
        <v>4</v>
      </c>
      <c r="E2885" s="103">
        <v>72.3</v>
      </c>
      <c r="F2885" s="103">
        <v>42.3</v>
      </c>
    </row>
    <row r="2886" spans="1:6" hidden="1" x14ac:dyDescent="0.25">
      <c r="A2886" s="103" t="s">
        <v>237</v>
      </c>
      <c r="B2886" s="103">
        <v>2007</v>
      </c>
      <c r="C2886" s="103" t="s">
        <v>103</v>
      </c>
      <c r="D2886" s="30">
        <v>5</v>
      </c>
      <c r="E2886" s="103">
        <v>35.799999999999997</v>
      </c>
      <c r="F2886" s="103">
        <v>83.7</v>
      </c>
    </row>
    <row r="2887" spans="1:6" hidden="1" x14ac:dyDescent="0.25">
      <c r="A2887" s="103" t="s">
        <v>237</v>
      </c>
      <c r="B2887" s="103">
        <v>2007</v>
      </c>
      <c r="C2887" s="103" t="s">
        <v>104</v>
      </c>
      <c r="D2887" s="103">
        <v>6</v>
      </c>
      <c r="E2887" s="103">
        <v>5.0999999999999996</v>
      </c>
      <c r="F2887" s="103">
        <v>146.30000000000001</v>
      </c>
    </row>
    <row r="2888" spans="1:6" hidden="1" x14ac:dyDescent="0.25">
      <c r="A2888" s="103" t="s">
        <v>237</v>
      </c>
      <c r="B2888" s="103">
        <v>2007</v>
      </c>
      <c r="C2888" s="103" t="s">
        <v>105</v>
      </c>
      <c r="D2888" s="103">
        <v>7</v>
      </c>
      <c r="E2888" s="103">
        <v>2.4</v>
      </c>
      <c r="F2888" s="103">
        <v>200.4</v>
      </c>
    </row>
    <row r="2889" spans="1:6" hidden="1" x14ac:dyDescent="0.25">
      <c r="A2889" s="103" t="s">
        <v>237</v>
      </c>
      <c r="B2889" s="103">
        <v>2007</v>
      </c>
      <c r="C2889" s="103" t="s">
        <v>106</v>
      </c>
      <c r="D2889" s="103">
        <v>8</v>
      </c>
      <c r="E2889" s="103">
        <v>4.5</v>
      </c>
      <c r="F2889" s="103">
        <v>179.8</v>
      </c>
    </row>
    <row r="2890" spans="1:6" hidden="1" x14ac:dyDescent="0.25">
      <c r="A2890" s="103" t="s">
        <v>237</v>
      </c>
      <c r="B2890" s="103">
        <v>2007</v>
      </c>
      <c r="C2890" s="103" t="s">
        <v>107</v>
      </c>
      <c r="D2890" s="103">
        <v>9</v>
      </c>
      <c r="E2890" s="103">
        <v>30.4</v>
      </c>
      <c r="F2890" s="103">
        <v>97.9</v>
      </c>
    </row>
    <row r="2891" spans="1:6" hidden="1" x14ac:dyDescent="0.25">
      <c r="A2891" s="103" t="s">
        <v>237</v>
      </c>
      <c r="B2891" s="103">
        <v>2007</v>
      </c>
      <c r="C2891" s="103" t="s">
        <v>108</v>
      </c>
      <c r="D2891" s="103">
        <v>10</v>
      </c>
      <c r="E2891" s="103">
        <v>104.7</v>
      </c>
      <c r="F2891" s="103">
        <v>44.7</v>
      </c>
    </row>
    <row r="2892" spans="1:6" hidden="1" x14ac:dyDescent="0.25">
      <c r="A2892" s="103" t="s">
        <v>237</v>
      </c>
      <c r="B2892" s="103">
        <v>2007</v>
      </c>
      <c r="C2892" s="103" t="s">
        <v>109</v>
      </c>
      <c r="D2892" s="103">
        <v>11</v>
      </c>
      <c r="E2892" s="103">
        <v>240.8</v>
      </c>
      <c r="F2892" s="103">
        <v>0.7</v>
      </c>
    </row>
    <row r="2893" spans="1:6" hidden="1" x14ac:dyDescent="0.25">
      <c r="A2893" s="103" t="s">
        <v>237</v>
      </c>
      <c r="B2893" s="103">
        <v>2007</v>
      </c>
      <c r="C2893" s="103" t="s">
        <v>110</v>
      </c>
      <c r="D2893" s="103">
        <v>12</v>
      </c>
      <c r="E2893" s="103">
        <v>329.3</v>
      </c>
      <c r="F2893" s="103">
        <v>0</v>
      </c>
    </row>
    <row r="2894" spans="1:6" hidden="1" x14ac:dyDescent="0.25">
      <c r="A2894" s="103" t="s">
        <v>236</v>
      </c>
      <c r="B2894" s="103">
        <v>2008</v>
      </c>
      <c r="C2894" s="103" t="s">
        <v>99</v>
      </c>
      <c r="D2894" s="30">
        <v>1</v>
      </c>
      <c r="E2894" s="103">
        <v>334.4</v>
      </c>
      <c r="F2894" s="103">
        <v>0</v>
      </c>
    </row>
    <row r="2895" spans="1:6" hidden="1" x14ac:dyDescent="0.25">
      <c r="A2895" s="103" t="s">
        <v>236</v>
      </c>
      <c r="B2895" s="103">
        <v>2008</v>
      </c>
      <c r="C2895" s="103" t="s">
        <v>100</v>
      </c>
      <c r="D2895" s="30">
        <v>2</v>
      </c>
      <c r="E2895" s="103">
        <v>305.39999999999998</v>
      </c>
      <c r="F2895" s="103">
        <v>0</v>
      </c>
    </row>
    <row r="2896" spans="1:6" hidden="1" x14ac:dyDescent="0.25">
      <c r="A2896" s="103" t="s">
        <v>236</v>
      </c>
      <c r="B2896" s="103">
        <v>2008</v>
      </c>
      <c r="C2896" s="103" t="s">
        <v>101</v>
      </c>
      <c r="D2896" s="30">
        <v>3</v>
      </c>
      <c r="E2896" s="103">
        <v>310.8</v>
      </c>
      <c r="F2896" s="103">
        <v>0</v>
      </c>
    </row>
    <row r="2897" spans="1:6" hidden="1" x14ac:dyDescent="0.25">
      <c r="A2897" s="103" t="s">
        <v>236</v>
      </c>
      <c r="B2897" s="103">
        <v>2008</v>
      </c>
      <c r="C2897" s="103" t="s">
        <v>102</v>
      </c>
      <c r="D2897" s="30">
        <v>4</v>
      </c>
      <c r="E2897" s="103">
        <v>218.7</v>
      </c>
      <c r="F2897" s="103">
        <v>3.4</v>
      </c>
    </row>
    <row r="2898" spans="1:6" hidden="1" x14ac:dyDescent="0.25">
      <c r="A2898" s="103" t="s">
        <v>236</v>
      </c>
      <c r="B2898" s="103">
        <v>2008</v>
      </c>
      <c r="C2898" s="103" t="s">
        <v>103</v>
      </c>
      <c r="D2898" s="30">
        <v>5</v>
      </c>
      <c r="E2898" s="103">
        <v>53.9</v>
      </c>
      <c r="F2898" s="103">
        <v>48.3</v>
      </c>
    </row>
    <row r="2899" spans="1:6" hidden="1" x14ac:dyDescent="0.25">
      <c r="A2899" s="103" t="s">
        <v>236</v>
      </c>
      <c r="B2899" s="103">
        <v>2008</v>
      </c>
      <c r="C2899" s="103" t="s">
        <v>104</v>
      </c>
      <c r="D2899" s="103">
        <v>6</v>
      </c>
      <c r="E2899" s="103">
        <v>40.700000000000003</v>
      </c>
      <c r="F2899" s="103">
        <v>56.6</v>
      </c>
    </row>
    <row r="2900" spans="1:6" hidden="1" x14ac:dyDescent="0.25">
      <c r="A2900" s="103" t="s">
        <v>236</v>
      </c>
      <c r="B2900" s="103">
        <v>2008</v>
      </c>
      <c r="C2900" s="103" t="s">
        <v>105</v>
      </c>
      <c r="D2900" s="103">
        <v>7</v>
      </c>
      <c r="E2900" s="103">
        <v>23.8</v>
      </c>
      <c r="F2900" s="103">
        <v>95.6</v>
      </c>
    </row>
    <row r="2901" spans="1:6" hidden="1" x14ac:dyDescent="0.25">
      <c r="A2901" s="103" t="s">
        <v>236</v>
      </c>
      <c r="B2901" s="103">
        <v>2008</v>
      </c>
      <c r="C2901" s="103" t="s">
        <v>106</v>
      </c>
      <c r="D2901" s="103">
        <v>8</v>
      </c>
      <c r="E2901" s="103">
        <v>22.3</v>
      </c>
      <c r="F2901" s="103">
        <v>68.2</v>
      </c>
    </row>
    <row r="2902" spans="1:6" hidden="1" x14ac:dyDescent="0.25">
      <c r="A2902" s="103" t="s">
        <v>236</v>
      </c>
      <c r="B2902" s="103">
        <v>2008</v>
      </c>
      <c r="C2902" s="103" t="s">
        <v>107</v>
      </c>
      <c r="D2902" s="103">
        <v>9</v>
      </c>
      <c r="E2902" s="103">
        <v>95.1</v>
      </c>
      <c r="F2902" s="103">
        <v>19.2</v>
      </c>
    </row>
    <row r="2903" spans="1:6" hidden="1" x14ac:dyDescent="0.25">
      <c r="A2903" s="103" t="s">
        <v>236</v>
      </c>
      <c r="B2903" s="103">
        <v>2008</v>
      </c>
      <c r="C2903" s="103" t="s">
        <v>108</v>
      </c>
      <c r="D2903" s="103">
        <v>10</v>
      </c>
      <c r="E2903" s="103">
        <v>193.4</v>
      </c>
      <c r="F2903" s="103">
        <v>4.0999999999999996</v>
      </c>
    </row>
    <row r="2904" spans="1:6" hidden="1" x14ac:dyDescent="0.25">
      <c r="A2904" s="103" t="s">
        <v>236</v>
      </c>
      <c r="B2904" s="103">
        <v>2008</v>
      </c>
      <c r="C2904" s="103" t="s">
        <v>109</v>
      </c>
      <c r="D2904" s="103">
        <v>11</v>
      </c>
      <c r="E2904" s="103">
        <v>290.7</v>
      </c>
      <c r="F2904" s="103">
        <v>0</v>
      </c>
    </row>
    <row r="2905" spans="1:6" hidden="1" x14ac:dyDescent="0.25">
      <c r="A2905" s="103" t="s">
        <v>236</v>
      </c>
      <c r="B2905" s="103">
        <v>2008</v>
      </c>
      <c r="C2905" s="103" t="s">
        <v>110</v>
      </c>
      <c r="D2905" s="103">
        <v>12</v>
      </c>
      <c r="E2905" s="103">
        <v>436.1</v>
      </c>
      <c r="F2905" s="103">
        <v>0</v>
      </c>
    </row>
    <row r="2906" spans="1:6" hidden="1" x14ac:dyDescent="0.25">
      <c r="A2906" s="103" t="s">
        <v>237</v>
      </c>
      <c r="B2906" s="103">
        <v>2008</v>
      </c>
      <c r="C2906" s="103" t="s">
        <v>99</v>
      </c>
      <c r="D2906" s="30">
        <v>1</v>
      </c>
      <c r="E2906" s="103">
        <v>270.8</v>
      </c>
      <c r="F2906" s="103">
        <v>0</v>
      </c>
    </row>
    <row r="2907" spans="1:6" hidden="1" x14ac:dyDescent="0.25">
      <c r="A2907" s="103" t="s">
        <v>237</v>
      </c>
      <c r="B2907" s="103">
        <v>2008</v>
      </c>
      <c r="C2907" s="103" t="s">
        <v>100</v>
      </c>
      <c r="D2907" s="30">
        <v>2</v>
      </c>
      <c r="E2907" s="103">
        <v>236.8</v>
      </c>
      <c r="F2907" s="103">
        <v>0.1</v>
      </c>
    </row>
    <row r="2908" spans="1:6" hidden="1" x14ac:dyDescent="0.25">
      <c r="A2908" s="103" t="s">
        <v>237</v>
      </c>
      <c r="B2908" s="103">
        <v>2008</v>
      </c>
      <c r="C2908" s="103" t="s">
        <v>101</v>
      </c>
      <c r="D2908" s="30">
        <v>3</v>
      </c>
      <c r="E2908" s="103">
        <v>222.8</v>
      </c>
      <c r="F2908" s="103">
        <v>2</v>
      </c>
    </row>
    <row r="2909" spans="1:6" hidden="1" x14ac:dyDescent="0.25">
      <c r="A2909" s="103" t="s">
        <v>237</v>
      </c>
      <c r="B2909" s="103">
        <v>2008</v>
      </c>
      <c r="C2909" s="103" t="s">
        <v>102</v>
      </c>
      <c r="D2909" s="30">
        <v>4</v>
      </c>
      <c r="E2909" s="103">
        <v>125.5</v>
      </c>
      <c r="F2909" s="103">
        <v>9</v>
      </c>
    </row>
    <row r="2910" spans="1:6" hidden="1" x14ac:dyDescent="0.25">
      <c r="A2910" s="103" t="s">
        <v>237</v>
      </c>
      <c r="B2910" s="103">
        <v>2008</v>
      </c>
      <c r="C2910" s="103" t="s">
        <v>103</v>
      </c>
      <c r="D2910" s="30">
        <v>5</v>
      </c>
      <c r="E2910" s="103">
        <v>35.299999999999997</v>
      </c>
      <c r="F2910" s="103">
        <v>63.1</v>
      </c>
    </row>
    <row r="2911" spans="1:6" hidden="1" x14ac:dyDescent="0.25">
      <c r="A2911" s="103" t="s">
        <v>237</v>
      </c>
      <c r="B2911" s="103">
        <v>2008</v>
      </c>
      <c r="C2911" s="103" t="s">
        <v>104</v>
      </c>
      <c r="D2911" s="103">
        <v>6</v>
      </c>
      <c r="E2911" s="103">
        <v>9.4</v>
      </c>
      <c r="F2911" s="103">
        <v>144.5</v>
      </c>
    </row>
    <row r="2912" spans="1:6" hidden="1" x14ac:dyDescent="0.25">
      <c r="A2912" s="103" t="s">
        <v>237</v>
      </c>
      <c r="B2912" s="103">
        <v>2008</v>
      </c>
      <c r="C2912" s="103" t="s">
        <v>105</v>
      </c>
      <c r="D2912" s="103">
        <v>7</v>
      </c>
      <c r="E2912" s="103">
        <v>1.6</v>
      </c>
      <c r="F2912" s="103">
        <v>202</v>
      </c>
    </row>
    <row r="2913" spans="1:6" hidden="1" x14ac:dyDescent="0.25">
      <c r="A2913" s="103" t="s">
        <v>237</v>
      </c>
      <c r="B2913" s="103">
        <v>2008</v>
      </c>
      <c r="C2913" s="103" t="s">
        <v>106</v>
      </c>
      <c r="D2913" s="103">
        <v>8</v>
      </c>
      <c r="E2913" s="103">
        <v>2.7</v>
      </c>
      <c r="F2913" s="103">
        <v>201.5</v>
      </c>
    </row>
    <row r="2914" spans="1:6" hidden="1" x14ac:dyDescent="0.25">
      <c r="A2914" s="103" t="s">
        <v>237</v>
      </c>
      <c r="B2914" s="103">
        <v>2008</v>
      </c>
      <c r="C2914" s="103" t="s">
        <v>107</v>
      </c>
      <c r="D2914" s="103">
        <v>9</v>
      </c>
      <c r="E2914" s="103">
        <v>32.299999999999997</v>
      </c>
      <c r="F2914" s="103">
        <v>99.2</v>
      </c>
    </row>
    <row r="2915" spans="1:6" hidden="1" x14ac:dyDescent="0.25">
      <c r="A2915" s="103" t="s">
        <v>237</v>
      </c>
      <c r="B2915" s="103">
        <v>2008</v>
      </c>
      <c r="C2915" s="103" t="s">
        <v>108</v>
      </c>
      <c r="D2915" s="103">
        <v>10</v>
      </c>
      <c r="E2915" s="103">
        <v>80.900000000000006</v>
      </c>
      <c r="F2915" s="103">
        <v>31.8</v>
      </c>
    </row>
    <row r="2916" spans="1:6" hidden="1" x14ac:dyDescent="0.25">
      <c r="A2916" s="103" t="s">
        <v>237</v>
      </c>
      <c r="B2916" s="103">
        <v>2008</v>
      </c>
      <c r="C2916" s="103" t="s">
        <v>109</v>
      </c>
      <c r="D2916" s="103">
        <v>11</v>
      </c>
      <c r="E2916" s="103">
        <v>221.4</v>
      </c>
      <c r="F2916" s="103">
        <v>1.9</v>
      </c>
    </row>
    <row r="2917" spans="1:6" hidden="1" x14ac:dyDescent="0.25">
      <c r="A2917" s="103" t="s">
        <v>237</v>
      </c>
      <c r="B2917" s="103">
        <v>2008</v>
      </c>
      <c r="C2917" s="103" t="s">
        <v>110</v>
      </c>
      <c r="D2917" s="103">
        <v>12</v>
      </c>
      <c r="E2917" s="103">
        <v>332.2</v>
      </c>
      <c r="F2917" s="103">
        <v>0</v>
      </c>
    </row>
    <row r="2918" spans="1:6" hidden="1" x14ac:dyDescent="0.25">
      <c r="A2918" s="103" t="s">
        <v>236</v>
      </c>
      <c r="B2918" s="103">
        <v>2009</v>
      </c>
      <c r="C2918" s="103" t="s">
        <v>99</v>
      </c>
      <c r="D2918" s="30">
        <v>1</v>
      </c>
      <c r="E2918" s="103">
        <v>488.4</v>
      </c>
      <c r="F2918" s="103">
        <v>0</v>
      </c>
    </row>
    <row r="2919" spans="1:6" hidden="1" x14ac:dyDescent="0.25">
      <c r="A2919" s="103" t="s">
        <v>236</v>
      </c>
      <c r="B2919" s="103">
        <v>2009</v>
      </c>
      <c r="C2919" s="103" t="s">
        <v>100</v>
      </c>
      <c r="D2919" s="30">
        <v>2</v>
      </c>
      <c r="E2919" s="103">
        <v>366.2</v>
      </c>
      <c r="F2919" s="103">
        <v>0</v>
      </c>
    </row>
    <row r="2920" spans="1:6" hidden="1" x14ac:dyDescent="0.25">
      <c r="A2920" s="103" t="s">
        <v>236</v>
      </c>
      <c r="B2920" s="103">
        <v>2009</v>
      </c>
      <c r="C2920" s="103" t="s">
        <v>101</v>
      </c>
      <c r="D2920" s="30">
        <v>3</v>
      </c>
      <c r="E2920" s="103">
        <v>295.60000000000002</v>
      </c>
      <c r="F2920" s="103">
        <v>0</v>
      </c>
    </row>
    <row r="2921" spans="1:6" hidden="1" x14ac:dyDescent="0.25">
      <c r="A2921" s="103" t="s">
        <v>236</v>
      </c>
      <c r="B2921" s="103">
        <v>2009</v>
      </c>
      <c r="C2921" s="103" t="s">
        <v>102</v>
      </c>
      <c r="D2921" s="30">
        <v>4</v>
      </c>
      <c r="E2921" s="103">
        <v>141.30000000000001</v>
      </c>
      <c r="F2921" s="103">
        <v>6</v>
      </c>
    </row>
    <row r="2922" spans="1:6" hidden="1" x14ac:dyDescent="0.25">
      <c r="A2922" s="103" t="s">
        <v>236</v>
      </c>
      <c r="B2922" s="103">
        <v>2009</v>
      </c>
      <c r="C2922" s="103" t="s">
        <v>103</v>
      </c>
      <c r="D2922" s="30">
        <v>5</v>
      </c>
      <c r="E2922" s="103">
        <v>96.8</v>
      </c>
      <c r="F2922" s="103">
        <v>26.6</v>
      </c>
    </row>
    <row r="2923" spans="1:6" hidden="1" x14ac:dyDescent="0.25">
      <c r="A2923" s="103" t="s">
        <v>236</v>
      </c>
      <c r="B2923" s="103">
        <v>2009</v>
      </c>
      <c r="C2923" s="103" t="s">
        <v>104</v>
      </c>
      <c r="D2923" s="103">
        <v>6</v>
      </c>
      <c r="E2923" s="103">
        <v>53.7</v>
      </c>
      <c r="F2923" s="103">
        <v>58.5</v>
      </c>
    </row>
    <row r="2924" spans="1:6" hidden="1" x14ac:dyDescent="0.25">
      <c r="A2924" s="103" t="s">
        <v>236</v>
      </c>
      <c r="B2924" s="103">
        <v>2009</v>
      </c>
      <c r="C2924" s="103" t="s">
        <v>105</v>
      </c>
      <c r="D2924" s="103">
        <v>7</v>
      </c>
      <c r="E2924" s="103">
        <v>18.2</v>
      </c>
      <c r="F2924" s="103">
        <v>101.8</v>
      </c>
    </row>
    <row r="2925" spans="1:6" hidden="1" x14ac:dyDescent="0.25">
      <c r="A2925" s="103" t="s">
        <v>236</v>
      </c>
      <c r="B2925" s="103">
        <v>2009</v>
      </c>
      <c r="C2925" s="103" t="s">
        <v>106</v>
      </c>
      <c r="D2925" s="103">
        <v>8</v>
      </c>
      <c r="E2925" s="103">
        <v>11.6</v>
      </c>
      <c r="F2925" s="103">
        <v>127.2</v>
      </c>
    </row>
    <row r="2926" spans="1:6" hidden="1" x14ac:dyDescent="0.25">
      <c r="A2926" s="103" t="s">
        <v>236</v>
      </c>
      <c r="B2926" s="103">
        <v>2009</v>
      </c>
      <c r="C2926" s="103" t="s">
        <v>107</v>
      </c>
      <c r="D2926" s="103">
        <v>9</v>
      </c>
      <c r="E2926" s="103">
        <v>47</v>
      </c>
      <c r="F2926" s="103">
        <v>35.799999999999997</v>
      </c>
    </row>
    <row r="2927" spans="1:6" hidden="1" x14ac:dyDescent="0.25">
      <c r="A2927" s="103" t="s">
        <v>236</v>
      </c>
      <c r="B2927" s="103">
        <v>2009</v>
      </c>
      <c r="C2927" s="103" t="s">
        <v>108</v>
      </c>
      <c r="D2927" s="103">
        <v>10</v>
      </c>
      <c r="E2927" s="103">
        <v>153.30000000000001</v>
      </c>
      <c r="F2927" s="103">
        <v>7.9</v>
      </c>
    </row>
    <row r="2928" spans="1:6" hidden="1" x14ac:dyDescent="0.25">
      <c r="A2928" s="103" t="s">
        <v>236</v>
      </c>
      <c r="B2928" s="103">
        <v>2009</v>
      </c>
      <c r="C2928" s="103" t="s">
        <v>109</v>
      </c>
      <c r="D2928" s="103">
        <v>11</v>
      </c>
      <c r="E2928" s="103">
        <v>225.4</v>
      </c>
      <c r="F2928" s="103">
        <v>0.1</v>
      </c>
    </row>
    <row r="2929" spans="1:6" hidden="1" x14ac:dyDescent="0.25">
      <c r="A2929" s="103" t="s">
        <v>236</v>
      </c>
      <c r="B2929" s="103">
        <v>2009</v>
      </c>
      <c r="C2929" s="103" t="s">
        <v>110</v>
      </c>
      <c r="D2929" s="103">
        <v>12</v>
      </c>
      <c r="E2929" s="103">
        <v>412.5</v>
      </c>
      <c r="F2929" s="103">
        <v>0</v>
      </c>
    </row>
    <row r="2930" spans="1:6" hidden="1" x14ac:dyDescent="0.25">
      <c r="A2930" s="103" t="s">
        <v>237</v>
      </c>
      <c r="B2930" s="103">
        <v>2009</v>
      </c>
      <c r="C2930" s="103" t="s">
        <v>99</v>
      </c>
      <c r="D2930" s="30">
        <v>1</v>
      </c>
      <c r="E2930" s="103">
        <v>383.5</v>
      </c>
      <c r="F2930" s="103">
        <v>0</v>
      </c>
    </row>
    <row r="2931" spans="1:6" hidden="1" x14ac:dyDescent="0.25">
      <c r="A2931" s="103" t="s">
        <v>237</v>
      </c>
      <c r="B2931" s="103">
        <v>2009</v>
      </c>
      <c r="C2931" s="103" t="s">
        <v>100</v>
      </c>
      <c r="D2931" s="30">
        <v>2</v>
      </c>
      <c r="E2931" s="103">
        <v>278.89999999999998</v>
      </c>
      <c r="F2931" s="103">
        <v>0</v>
      </c>
    </row>
    <row r="2932" spans="1:6" hidden="1" x14ac:dyDescent="0.25">
      <c r="A2932" s="103" t="s">
        <v>237</v>
      </c>
      <c r="B2932" s="103">
        <v>2009</v>
      </c>
      <c r="C2932" s="103" t="s">
        <v>101</v>
      </c>
      <c r="D2932" s="30">
        <v>3</v>
      </c>
      <c r="E2932" s="103">
        <v>220.6</v>
      </c>
      <c r="F2932" s="103">
        <v>1.7</v>
      </c>
    </row>
    <row r="2933" spans="1:6" hidden="1" x14ac:dyDescent="0.25">
      <c r="A2933" s="103" t="s">
        <v>237</v>
      </c>
      <c r="B2933" s="103">
        <v>2009</v>
      </c>
      <c r="C2933" s="103" t="s">
        <v>102</v>
      </c>
      <c r="D2933" s="30">
        <v>4</v>
      </c>
      <c r="E2933" s="103">
        <v>107</v>
      </c>
      <c r="F2933" s="103">
        <v>13.7</v>
      </c>
    </row>
    <row r="2934" spans="1:6" hidden="1" x14ac:dyDescent="0.25">
      <c r="A2934" s="103" t="s">
        <v>237</v>
      </c>
      <c r="B2934" s="103">
        <v>2009</v>
      </c>
      <c r="C2934" s="103" t="s">
        <v>103</v>
      </c>
      <c r="D2934" s="30">
        <v>5</v>
      </c>
      <c r="E2934" s="103">
        <v>31.1</v>
      </c>
      <c r="F2934" s="103">
        <v>104.5</v>
      </c>
    </row>
    <row r="2935" spans="1:6" hidden="1" x14ac:dyDescent="0.25">
      <c r="A2935" s="103" t="s">
        <v>237</v>
      </c>
      <c r="B2935" s="103">
        <v>2009</v>
      </c>
      <c r="C2935" s="103" t="s">
        <v>104</v>
      </c>
      <c r="D2935" s="103">
        <v>6</v>
      </c>
      <c r="E2935" s="103">
        <v>6.7</v>
      </c>
      <c r="F2935" s="103">
        <v>155.6</v>
      </c>
    </row>
    <row r="2936" spans="1:6" hidden="1" x14ac:dyDescent="0.25">
      <c r="A2936" s="103" t="s">
        <v>237</v>
      </c>
      <c r="B2936" s="103">
        <v>2009</v>
      </c>
      <c r="C2936" s="103" t="s">
        <v>105</v>
      </c>
      <c r="D2936" s="103">
        <v>7</v>
      </c>
      <c r="E2936" s="103">
        <v>1</v>
      </c>
      <c r="F2936" s="103">
        <v>244.3</v>
      </c>
    </row>
    <row r="2937" spans="1:6" hidden="1" x14ac:dyDescent="0.25">
      <c r="A2937" s="103" t="s">
        <v>237</v>
      </c>
      <c r="B2937" s="103">
        <v>2009</v>
      </c>
      <c r="C2937" s="103" t="s">
        <v>106</v>
      </c>
      <c r="D2937" s="103">
        <v>8</v>
      </c>
      <c r="E2937" s="103">
        <v>0.9</v>
      </c>
      <c r="F2937" s="103">
        <v>238.7</v>
      </c>
    </row>
    <row r="2938" spans="1:6" hidden="1" x14ac:dyDescent="0.25">
      <c r="A2938" s="103" t="s">
        <v>237</v>
      </c>
      <c r="B2938" s="103">
        <v>2009</v>
      </c>
      <c r="C2938" s="103" t="s">
        <v>107</v>
      </c>
      <c r="D2938" s="103">
        <v>9</v>
      </c>
      <c r="E2938" s="103">
        <v>13</v>
      </c>
      <c r="F2938" s="103">
        <v>123.9</v>
      </c>
    </row>
    <row r="2939" spans="1:6" hidden="1" x14ac:dyDescent="0.25">
      <c r="A2939" s="103" t="s">
        <v>237</v>
      </c>
      <c r="B2939" s="103">
        <v>2009</v>
      </c>
      <c r="C2939" s="103" t="s">
        <v>108</v>
      </c>
      <c r="D2939" s="103">
        <v>10</v>
      </c>
      <c r="E2939" s="103">
        <v>81.400000000000006</v>
      </c>
      <c r="F2939" s="103">
        <v>37.5</v>
      </c>
    </row>
    <row r="2940" spans="1:6" hidden="1" x14ac:dyDescent="0.25">
      <c r="A2940" s="103" t="s">
        <v>237</v>
      </c>
      <c r="B2940" s="103">
        <v>2009</v>
      </c>
      <c r="C2940" s="103" t="s">
        <v>109</v>
      </c>
      <c r="D2940" s="103">
        <v>11</v>
      </c>
      <c r="E2940" s="103">
        <v>150.30000000000001</v>
      </c>
      <c r="F2940" s="103">
        <v>4.7</v>
      </c>
    </row>
    <row r="2941" spans="1:6" hidden="1" x14ac:dyDescent="0.25">
      <c r="A2941" s="103" t="s">
        <v>237</v>
      </c>
      <c r="B2941" s="103">
        <v>2009</v>
      </c>
      <c r="C2941" s="103" t="s">
        <v>110</v>
      </c>
      <c r="D2941" s="103">
        <v>12</v>
      </c>
      <c r="E2941" s="103">
        <v>308.2</v>
      </c>
      <c r="F2941" s="103">
        <v>0.1</v>
      </c>
    </row>
    <row r="2942" spans="1:6" hidden="1" x14ac:dyDescent="0.25">
      <c r="A2942" s="103" t="s">
        <v>236</v>
      </c>
      <c r="B2942" s="103">
        <v>2010</v>
      </c>
      <c r="C2942" s="103" t="s">
        <v>99</v>
      </c>
      <c r="D2942" s="30">
        <v>1</v>
      </c>
      <c r="E2942" s="103">
        <v>499.9</v>
      </c>
      <c r="F2942" s="103">
        <v>0</v>
      </c>
    </row>
    <row r="2943" spans="1:6" hidden="1" x14ac:dyDescent="0.25">
      <c r="A2943" s="103" t="s">
        <v>236</v>
      </c>
      <c r="B2943" s="103">
        <v>2010</v>
      </c>
      <c r="C2943" s="103" t="s">
        <v>100</v>
      </c>
      <c r="D2943" s="30">
        <v>2</v>
      </c>
      <c r="E2943" s="103">
        <v>372.2</v>
      </c>
      <c r="F2943" s="103">
        <v>0</v>
      </c>
    </row>
    <row r="2944" spans="1:6" hidden="1" x14ac:dyDescent="0.25">
      <c r="A2944" s="103" t="s">
        <v>236</v>
      </c>
      <c r="B2944" s="103">
        <v>2010</v>
      </c>
      <c r="C2944" s="103" t="s">
        <v>101</v>
      </c>
      <c r="D2944" s="30">
        <v>3</v>
      </c>
      <c r="E2944" s="103">
        <v>296.2</v>
      </c>
      <c r="F2944" s="103">
        <v>0.7</v>
      </c>
    </row>
    <row r="2945" spans="1:6" hidden="1" x14ac:dyDescent="0.25">
      <c r="A2945" s="103" t="s">
        <v>236</v>
      </c>
      <c r="B2945" s="103">
        <v>2010</v>
      </c>
      <c r="C2945" s="103" t="s">
        <v>102</v>
      </c>
      <c r="D2945" s="30">
        <v>4</v>
      </c>
      <c r="E2945" s="103">
        <v>173.8</v>
      </c>
      <c r="F2945" s="103">
        <v>11.4</v>
      </c>
    </row>
    <row r="2946" spans="1:6" hidden="1" x14ac:dyDescent="0.25">
      <c r="A2946" s="103" t="s">
        <v>236</v>
      </c>
      <c r="B2946" s="103">
        <v>2010</v>
      </c>
      <c r="C2946" s="103" t="s">
        <v>103</v>
      </c>
      <c r="D2946" s="30">
        <v>5</v>
      </c>
      <c r="E2946" s="103">
        <v>148.1</v>
      </c>
      <c r="F2946" s="103">
        <v>22.8</v>
      </c>
    </row>
    <row r="2947" spans="1:6" hidden="1" x14ac:dyDescent="0.25">
      <c r="A2947" s="103" t="s">
        <v>236</v>
      </c>
      <c r="B2947" s="103">
        <v>2010</v>
      </c>
      <c r="C2947" s="103" t="s">
        <v>104</v>
      </c>
      <c r="D2947" s="103">
        <v>6</v>
      </c>
      <c r="E2947" s="103">
        <v>36.799999999999997</v>
      </c>
      <c r="F2947" s="103">
        <v>78.599999999999994</v>
      </c>
    </row>
    <row r="2948" spans="1:6" hidden="1" x14ac:dyDescent="0.25">
      <c r="A2948" s="103" t="s">
        <v>236</v>
      </c>
      <c r="B2948" s="103">
        <v>2010</v>
      </c>
      <c r="C2948" s="103" t="s">
        <v>105</v>
      </c>
      <c r="D2948" s="103">
        <v>7</v>
      </c>
      <c r="E2948" s="103">
        <v>8</v>
      </c>
      <c r="F2948" s="103">
        <v>142.9</v>
      </c>
    </row>
    <row r="2949" spans="1:6" hidden="1" x14ac:dyDescent="0.25">
      <c r="A2949" s="103" t="s">
        <v>236</v>
      </c>
      <c r="B2949" s="103">
        <v>2010</v>
      </c>
      <c r="C2949" t="s">
        <v>106</v>
      </c>
      <c r="D2949" s="103">
        <v>8</v>
      </c>
      <c r="E2949" s="103">
        <v>26.4</v>
      </c>
      <c r="F2949" s="103">
        <v>74.5</v>
      </c>
    </row>
    <row r="2950" spans="1:6" hidden="1" x14ac:dyDescent="0.25">
      <c r="A2950" s="103" t="s">
        <v>236</v>
      </c>
      <c r="B2950" s="103">
        <v>2010</v>
      </c>
      <c r="C2950" s="103" t="s">
        <v>107</v>
      </c>
      <c r="D2950" s="103">
        <v>9</v>
      </c>
      <c r="E2950" s="103">
        <v>73.8</v>
      </c>
      <c r="F2950" s="103">
        <v>29.2</v>
      </c>
    </row>
    <row r="2951" spans="1:6" hidden="1" x14ac:dyDescent="0.25">
      <c r="A2951" s="103" t="s">
        <v>236</v>
      </c>
      <c r="B2951" s="103">
        <v>2010</v>
      </c>
      <c r="C2951" s="103" t="s">
        <v>108</v>
      </c>
      <c r="D2951" s="103">
        <v>10</v>
      </c>
      <c r="E2951" s="103">
        <v>178.4</v>
      </c>
      <c r="F2951" s="103">
        <v>9.9</v>
      </c>
    </row>
    <row r="2952" spans="1:6" hidden="1" x14ac:dyDescent="0.25">
      <c r="A2952" s="103" t="s">
        <v>236</v>
      </c>
      <c r="B2952" s="103">
        <v>2010</v>
      </c>
      <c r="C2952" s="103" t="s">
        <v>109</v>
      </c>
      <c r="D2952" s="103">
        <v>11</v>
      </c>
      <c r="E2952" s="103">
        <v>310.7</v>
      </c>
      <c r="F2952" s="103">
        <v>0</v>
      </c>
    </row>
    <row r="2953" spans="1:6" hidden="1" x14ac:dyDescent="0.25">
      <c r="A2953" s="103" t="s">
        <v>236</v>
      </c>
      <c r="B2953" s="103">
        <v>2010</v>
      </c>
      <c r="C2953" s="103" t="s">
        <v>110</v>
      </c>
      <c r="D2953" s="103">
        <v>12</v>
      </c>
      <c r="E2953" s="103">
        <v>513</v>
      </c>
      <c r="F2953" s="103">
        <v>0</v>
      </c>
    </row>
    <row r="2954" spans="1:6" hidden="1" x14ac:dyDescent="0.25">
      <c r="A2954" s="103" t="s">
        <v>237</v>
      </c>
      <c r="B2954" s="103">
        <v>2010</v>
      </c>
      <c r="C2954" s="103" t="s">
        <v>99</v>
      </c>
      <c r="D2954" s="30">
        <v>1</v>
      </c>
      <c r="E2954" s="103">
        <v>400.6</v>
      </c>
      <c r="F2954" s="103">
        <v>0</v>
      </c>
    </row>
    <row r="2955" spans="1:6" hidden="1" x14ac:dyDescent="0.25">
      <c r="A2955" s="103" t="s">
        <v>237</v>
      </c>
      <c r="B2955" s="103">
        <v>2010</v>
      </c>
      <c r="C2955" s="103" t="s">
        <v>100</v>
      </c>
      <c r="D2955" s="30">
        <v>2</v>
      </c>
      <c r="E2955" s="103">
        <v>301.89999999999998</v>
      </c>
      <c r="F2955" s="103">
        <v>0</v>
      </c>
    </row>
    <row r="2956" spans="1:6" hidden="1" x14ac:dyDescent="0.25">
      <c r="A2956" s="103" t="s">
        <v>237</v>
      </c>
      <c r="B2956" s="103">
        <v>2010</v>
      </c>
      <c r="C2956" s="103" t="s">
        <v>101</v>
      </c>
      <c r="D2956" s="30">
        <v>3</v>
      </c>
      <c r="E2956" s="103">
        <v>244.8</v>
      </c>
      <c r="F2956" s="103">
        <v>0.7</v>
      </c>
    </row>
    <row r="2957" spans="1:6" hidden="1" x14ac:dyDescent="0.25">
      <c r="A2957" s="103" t="s">
        <v>237</v>
      </c>
      <c r="B2957" s="103">
        <v>2010</v>
      </c>
      <c r="C2957" s="103" t="s">
        <v>102</v>
      </c>
      <c r="D2957" s="30">
        <v>4</v>
      </c>
      <c r="E2957" s="103">
        <v>126.6</v>
      </c>
      <c r="F2957" s="103">
        <v>19.2</v>
      </c>
    </row>
    <row r="2958" spans="1:6" hidden="1" x14ac:dyDescent="0.25">
      <c r="A2958" s="103" t="s">
        <v>237</v>
      </c>
      <c r="B2958" s="103">
        <v>2010</v>
      </c>
      <c r="C2958" s="103" t="s">
        <v>103</v>
      </c>
      <c r="D2958" s="30">
        <v>5</v>
      </c>
      <c r="E2958" s="103">
        <v>68.8</v>
      </c>
      <c r="F2958" s="103">
        <v>42.2</v>
      </c>
    </row>
    <row r="2959" spans="1:6" hidden="1" x14ac:dyDescent="0.25">
      <c r="A2959" s="103" t="s">
        <v>237</v>
      </c>
      <c r="B2959" s="103">
        <v>2010</v>
      </c>
      <c r="C2959" s="103" t="s">
        <v>104</v>
      </c>
      <c r="D2959" s="103">
        <v>6</v>
      </c>
      <c r="E2959" s="103">
        <v>12.9</v>
      </c>
      <c r="F2959" s="103">
        <v>123.9</v>
      </c>
    </row>
    <row r="2960" spans="1:6" hidden="1" x14ac:dyDescent="0.25">
      <c r="A2960" s="103" t="s">
        <v>237</v>
      </c>
      <c r="B2960" s="103">
        <v>2010</v>
      </c>
      <c r="C2960" s="103" t="s">
        <v>105</v>
      </c>
      <c r="D2960" s="103">
        <v>7</v>
      </c>
      <c r="E2960" s="103">
        <v>0.3</v>
      </c>
      <c r="F2960" s="103">
        <v>261.60000000000002</v>
      </c>
    </row>
    <row r="2961" spans="1:6" hidden="1" x14ac:dyDescent="0.25">
      <c r="A2961" s="103" t="s">
        <v>237</v>
      </c>
      <c r="B2961" s="103">
        <v>2010</v>
      </c>
      <c r="C2961" s="103" t="s">
        <v>106</v>
      </c>
      <c r="D2961" s="103">
        <v>8</v>
      </c>
      <c r="E2961" s="103">
        <v>3.4</v>
      </c>
      <c r="F2961" s="103">
        <v>199.1</v>
      </c>
    </row>
    <row r="2962" spans="1:6" hidden="1" x14ac:dyDescent="0.25">
      <c r="A2962" s="103" t="s">
        <v>237</v>
      </c>
      <c r="B2962" s="103">
        <v>2010</v>
      </c>
      <c r="C2962" s="103" t="s">
        <v>107</v>
      </c>
      <c r="D2962" s="103">
        <v>9</v>
      </c>
      <c r="E2962" s="103">
        <v>32</v>
      </c>
      <c r="F2962" s="103">
        <v>85.1</v>
      </c>
    </row>
    <row r="2963" spans="1:6" hidden="1" x14ac:dyDescent="0.25">
      <c r="A2963" s="103" t="s">
        <v>237</v>
      </c>
      <c r="B2963" s="103">
        <v>2010</v>
      </c>
      <c r="C2963" s="103" t="s">
        <v>108</v>
      </c>
      <c r="D2963" s="103">
        <v>10</v>
      </c>
      <c r="E2963" s="103">
        <v>102.5</v>
      </c>
      <c r="F2963" s="103">
        <v>34</v>
      </c>
    </row>
    <row r="2964" spans="1:6" hidden="1" x14ac:dyDescent="0.25">
      <c r="A2964" s="103" t="s">
        <v>237</v>
      </c>
      <c r="B2964" s="103">
        <v>2010</v>
      </c>
      <c r="C2964" s="103" t="s">
        <v>109</v>
      </c>
      <c r="D2964" s="103">
        <v>11</v>
      </c>
      <c r="E2964" s="103">
        <v>222</v>
      </c>
      <c r="F2964" s="103">
        <v>2.9</v>
      </c>
    </row>
    <row r="2965" spans="1:6" hidden="1" x14ac:dyDescent="0.25">
      <c r="A2965" s="103" t="s">
        <v>237</v>
      </c>
      <c r="B2965" s="103">
        <v>2010</v>
      </c>
      <c r="C2965" s="103" t="s">
        <v>110</v>
      </c>
      <c r="D2965" s="103">
        <v>12</v>
      </c>
      <c r="E2965" s="103">
        <v>357.3</v>
      </c>
      <c r="F2965" s="103">
        <v>0.2</v>
      </c>
    </row>
    <row r="2966" spans="1:6" hidden="1" x14ac:dyDescent="0.25">
      <c r="A2966" s="103" t="s">
        <v>236</v>
      </c>
      <c r="B2966" s="103">
        <v>2011</v>
      </c>
      <c r="C2966" s="103" t="s">
        <v>99</v>
      </c>
      <c r="D2966" s="30">
        <v>1</v>
      </c>
      <c r="E2966" s="103">
        <v>395.1</v>
      </c>
      <c r="F2966" s="103">
        <v>0</v>
      </c>
    </row>
    <row r="2967" spans="1:6" hidden="1" x14ac:dyDescent="0.25">
      <c r="A2967" s="103" t="s">
        <v>236</v>
      </c>
      <c r="B2967" s="103">
        <v>2011</v>
      </c>
      <c r="C2967" s="103" t="s">
        <v>100</v>
      </c>
      <c r="D2967" s="30">
        <v>2</v>
      </c>
      <c r="E2967" s="103">
        <v>310.89999999999998</v>
      </c>
      <c r="F2967" s="103">
        <v>0</v>
      </c>
    </row>
    <row r="2968" spans="1:6" hidden="1" x14ac:dyDescent="0.25">
      <c r="A2968" s="103" t="s">
        <v>236</v>
      </c>
      <c r="B2968" s="103">
        <v>2011</v>
      </c>
      <c r="C2968" s="103" t="s">
        <v>101</v>
      </c>
      <c r="D2968" s="30">
        <v>3</v>
      </c>
      <c r="E2968" s="103">
        <v>248.9</v>
      </c>
      <c r="F2968" s="103">
        <v>2</v>
      </c>
    </row>
    <row r="2969" spans="1:6" hidden="1" x14ac:dyDescent="0.25">
      <c r="A2969" s="103" t="s">
        <v>236</v>
      </c>
      <c r="B2969" s="103">
        <v>2011</v>
      </c>
      <c r="C2969" s="103" t="s">
        <v>102</v>
      </c>
      <c r="D2969" s="30">
        <v>4</v>
      </c>
      <c r="E2969" s="103">
        <v>100.4</v>
      </c>
      <c r="F2969" s="103">
        <v>35</v>
      </c>
    </row>
    <row r="2970" spans="1:6" hidden="1" x14ac:dyDescent="0.25">
      <c r="A2970" s="103" t="s">
        <v>236</v>
      </c>
      <c r="B2970" s="103">
        <v>2011</v>
      </c>
      <c r="C2970" s="103" t="s">
        <v>103</v>
      </c>
      <c r="D2970" s="30">
        <v>5</v>
      </c>
      <c r="E2970" s="103">
        <v>67.5</v>
      </c>
      <c r="F2970" s="103">
        <v>39.200000000000003</v>
      </c>
    </row>
    <row r="2971" spans="1:6" hidden="1" x14ac:dyDescent="0.25">
      <c r="A2971" s="103" t="s">
        <v>236</v>
      </c>
      <c r="B2971" s="103">
        <v>2011</v>
      </c>
      <c r="C2971" s="103" t="s">
        <v>104</v>
      </c>
      <c r="D2971" s="103">
        <v>6</v>
      </c>
      <c r="E2971" s="103">
        <v>44.3</v>
      </c>
      <c r="F2971" s="103">
        <v>67.099999999999994</v>
      </c>
    </row>
    <row r="2972" spans="1:6" hidden="1" x14ac:dyDescent="0.25">
      <c r="A2972" s="103" t="s">
        <v>236</v>
      </c>
      <c r="B2972" s="103">
        <v>2011</v>
      </c>
      <c r="C2972" s="103" t="s">
        <v>105</v>
      </c>
      <c r="D2972" s="103">
        <v>7</v>
      </c>
      <c r="E2972" s="103">
        <v>37.200000000000003</v>
      </c>
      <c r="F2972" s="103">
        <v>53.1</v>
      </c>
    </row>
    <row r="2973" spans="1:6" hidden="1" x14ac:dyDescent="0.25">
      <c r="A2973" s="103" t="s">
        <v>236</v>
      </c>
      <c r="B2973" s="103">
        <v>2011</v>
      </c>
      <c r="C2973" s="103" t="s">
        <v>106</v>
      </c>
      <c r="D2973" s="103">
        <v>8</v>
      </c>
      <c r="E2973" s="103">
        <v>23.9</v>
      </c>
      <c r="F2973" s="103">
        <v>87.5</v>
      </c>
    </row>
    <row r="2974" spans="1:6" hidden="1" x14ac:dyDescent="0.25">
      <c r="A2974" s="103" t="s">
        <v>236</v>
      </c>
      <c r="B2974" s="103">
        <v>2011</v>
      </c>
      <c r="C2974" s="103" t="s">
        <v>107</v>
      </c>
      <c r="D2974" s="103">
        <v>9</v>
      </c>
      <c r="E2974" s="103">
        <v>36.799999999999997</v>
      </c>
      <c r="F2974" s="103">
        <v>63.7</v>
      </c>
    </row>
    <row r="2975" spans="1:6" hidden="1" x14ac:dyDescent="0.25">
      <c r="A2975" s="103" t="s">
        <v>236</v>
      </c>
      <c r="B2975" s="103">
        <v>2011</v>
      </c>
      <c r="C2975" s="103" t="s">
        <v>108</v>
      </c>
      <c r="D2975" s="103">
        <v>10</v>
      </c>
      <c r="E2975" s="103">
        <v>131.6</v>
      </c>
      <c r="F2975" s="103">
        <v>14.6</v>
      </c>
    </row>
    <row r="2976" spans="1:6" hidden="1" x14ac:dyDescent="0.25">
      <c r="A2976" s="103" t="s">
        <v>236</v>
      </c>
      <c r="B2976" s="103">
        <v>2011</v>
      </c>
      <c r="C2976" s="103" t="s">
        <v>109</v>
      </c>
      <c r="D2976" s="103">
        <v>11</v>
      </c>
      <c r="E2976" s="103">
        <v>227.5</v>
      </c>
      <c r="F2976" s="103">
        <v>0</v>
      </c>
    </row>
    <row r="2977" spans="1:6" hidden="1" x14ac:dyDescent="0.25">
      <c r="A2977" s="103" t="s">
        <v>236</v>
      </c>
      <c r="B2977" s="103">
        <v>2011</v>
      </c>
      <c r="C2977" s="103" t="s">
        <v>110</v>
      </c>
      <c r="D2977" s="103">
        <v>12</v>
      </c>
      <c r="E2977" s="103">
        <v>313.5</v>
      </c>
      <c r="F2977" s="103">
        <v>0</v>
      </c>
    </row>
    <row r="2978" spans="1:6" hidden="1" x14ac:dyDescent="0.25">
      <c r="A2978" s="103" t="s">
        <v>237</v>
      </c>
      <c r="B2978" s="103">
        <v>2011</v>
      </c>
      <c r="C2978" s="103" t="s">
        <v>99</v>
      </c>
      <c r="D2978" s="30">
        <v>1</v>
      </c>
      <c r="E2978" s="103">
        <v>339.1</v>
      </c>
      <c r="F2978" s="103">
        <v>0</v>
      </c>
    </row>
    <row r="2979" spans="1:6" hidden="1" x14ac:dyDescent="0.25">
      <c r="A2979" s="103" t="s">
        <v>237</v>
      </c>
      <c r="B2979" s="103">
        <v>2011</v>
      </c>
      <c r="C2979" s="103" t="s">
        <v>100</v>
      </c>
      <c r="D2979" s="30">
        <v>2</v>
      </c>
      <c r="E2979" s="103">
        <v>272.7</v>
      </c>
      <c r="F2979" s="103">
        <v>0</v>
      </c>
    </row>
    <row r="2980" spans="1:6" hidden="1" x14ac:dyDescent="0.25">
      <c r="A2980" s="103" t="s">
        <v>237</v>
      </c>
      <c r="B2980" s="103">
        <v>2011</v>
      </c>
      <c r="C2980" s="103" t="s">
        <v>101</v>
      </c>
      <c r="D2980" s="30">
        <v>3</v>
      </c>
      <c r="E2980" s="103">
        <v>220.7</v>
      </c>
      <c r="F2980" s="103">
        <v>0.9</v>
      </c>
    </row>
    <row r="2981" spans="1:6" hidden="1" x14ac:dyDescent="0.25">
      <c r="A2981" s="103" t="s">
        <v>237</v>
      </c>
      <c r="B2981" s="103">
        <v>2011</v>
      </c>
      <c r="C2981" s="103" t="s">
        <v>102</v>
      </c>
      <c r="D2981" s="30">
        <v>4</v>
      </c>
      <c r="E2981" s="103">
        <v>92.6</v>
      </c>
      <c r="F2981" s="103">
        <v>26.9</v>
      </c>
    </row>
    <row r="2982" spans="1:6" hidden="1" x14ac:dyDescent="0.25">
      <c r="A2982" s="103" t="s">
        <v>237</v>
      </c>
      <c r="B2982" s="103">
        <v>2011</v>
      </c>
      <c r="C2982" s="103" t="s">
        <v>103</v>
      </c>
      <c r="D2982" s="30">
        <v>5</v>
      </c>
      <c r="E2982" s="103">
        <v>37.4</v>
      </c>
      <c r="F2982" s="103">
        <v>92.4</v>
      </c>
    </row>
    <row r="2983" spans="1:6" hidden="1" x14ac:dyDescent="0.25">
      <c r="A2983" s="103" t="s">
        <v>237</v>
      </c>
      <c r="B2983" s="103">
        <v>2011</v>
      </c>
      <c r="C2983" s="103" t="s">
        <v>104</v>
      </c>
      <c r="D2983" s="103">
        <v>6</v>
      </c>
      <c r="E2983" s="103">
        <v>11.8</v>
      </c>
      <c r="F2983" s="103">
        <v>117.4</v>
      </c>
    </row>
    <row r="2984" spans="1:6" hidden="1" x14ac:dyDescent="0.25">
      <c r="A2984" s="103" t="s">
        <v>237</v>
      </c>
      <c r="B2984" s="103">
        <v>2011</v>
      </c>
      <c r="C2984" s="103" t="s">
        <v>105</v>
      </c>
      <c r="D2984" s="103">
        <v>7</v>
      </c>
      <c r="E2984" s="103">
        <v>4.5</v>
      </c>
      <c r="F2984" s="103">
        <v>159.80000000000001</v>
      </c>
    </row>
    <row r="2985" spans="1:6" hidden="1" x14ac:dyDescent="0.25">
      <c r="A2985" s="103" t="s">
        <v>237</v>
      </c>
      <c r="B2985" s="103">
        <v>2011</v>
      </c>
      <c r="C2985" s="103" t="s">
        <v>106</v>
      </c>
      <c r="D2985" s="103">
        <v>8</v>
      </c>
      <c r="E2985" s="103">
        <v>5.3</v>
      </c>
      <c r="F2985" s="103">
        <v>198.4</v>
      </c>
    </row>
    <row r="2986" spans="1:6" hidden="1" x14ac:dyDescent="0.25">
      <c r="A2986" s="103" t="s">
        <v>237</v>
      </c>
      <c r="B2986" s="103">
        <v>2011</v>
      </c>
      <c r="C2986" s="103" t="s">
        <v>107</v>
      </c>
      <c r="D2986" s="103">
        <v>9</v>
      </c>
      <c r="E2986" s="103">
        <v>12.6</v>
      </c>
      <c r="F2986" s="103">
        <v>148.30000000000001</v>
      </c>
    </row>
    <row r="2987" spans="1:6" hidden="1" x14ac:dyDescent="0.25">
      <c r="A2987" s="103" t="s">
        <v>237</v>
      </c>
      <c r="B2987" s="103">
        <v>2011</v>
      </c>
      <c r="C2987" s="103" t="s">
        <v>108</v>
      </c>
      <c r="D2987" s="103">
        <v>10</v>
      </c>
      <c r="E2987" s="103">
        <v>61.2</v>
      </c>
      <c r="F2987" s="103">
        <v>49.9</v>
      </c>
    </row>
    <row r="2988" spans="1:6" hidden="1" x14ac:dyDescent="0.25">
      <c r="A2988" s="103" t="s">
        <v>237</v>
      </c>
      <c r="B2988" s="103">
        <v>2011</v>
      </c>
      <c r="C2988" s="103" t="s">
        <v>109</v>
      </c>
      <c r="D2988" s="103">
        <v>11</v>
      </c>
      <c r="E2988" s="103">
        <v>118.8</v>
      </c>
      <c r="F2988" s="103">
        <v>6.7</v>
      </c>
    </row>
    <row r="2989" spans="1:6" hidden="1" x14ac:dyDescent="0.25">
      <c r="A2989" s="103" t="s">
        <v>237</v>
      </c>
      <c r="B2989" s="103">
        <v>2011</v>
      </c>
      <c r="C2989" s="103" t="s">
        <v>110</v>
      </c>
      <c r="D2989" s="103">
        <v>12</v>
      </c>
      <c r="E2989" s="103">
        <v>272.2</v>
      </c>
      <c r="F2989" s="103">
        <v>0.1</v>
      </c>
    </row>
    <row r="2990" spans="1:6" hidden="1" x14ac:dyDescent="0.25">
      <c r="A2990" s="103" t="s">
        <v>236</v>
      </c>
      <c r="B2990" s="103">
        <v>2012</v>
      </c>
      <c r="C2990" s="103" t="s">
        <v>99</v>
      </c>
      <c r="D2990" s="30">
        <v>1</v>
      </c>
      <c r="E2990" s="103">
        <v>340</v>
      </c>
      <c r="F2990" s="103">
        <v>0</v>
      </c>
    </row>
    <row r="2991" spans="1:6" hidden="1" x14ac:dyDescent="0.25">
      <c r="A2991" s="103" t="s">
        <v>236</v>
      </c>
      <c r="B2991" s="103">
        <v>2012</v>
      </c>
      <c r="C2991" s="103" t="s">
        <v>100</v>
      </c>
      <c r="D2991" s="30">
        <v>2</v>
      </c>
      <c r="E2991" s="103">
        <v>436.6</v>
      </c>
      <c r="F2991" s="103">
        <v>0</v>
      </c>
    </row>
    <row r="2992" spans="1:6" hidden="1" x14ac:dyDescent="0.25">
      <c r="A2992" s="103" t="s">
        <v>236</v>
      </c>
      <c r="B2992" s="103">
        <v>2012</v>
      </c>
      <c r="C2992" s="103" t="s">
        <v>101</v>
      </c>
      <c r="D2992" s="30">
        <v>3</v>
      </c>
      <c r="E2992" s="103">
        <v>210.8</v>
      </c>
      <c r="F2992" s="103">
        <v>8.6</v>
      </c>
    </row>
    <row r="2993" spans="1:6" hidden="1" x14ac:dyDescent="0.25">
      <c r="A2993" s="103" t="s">
        <v>236</v>
      </c>
      <c r="B2993" s="103">
        <v>2012</v>
      </c>
      <c r="C2993" s="103" t="s">
        <v>102</v>
      </c>
      <c r="D2993" s="30">
        <v>4</v>
      </c>
      <c r="E2993" s="103">
        <v>231.9</v>
      </c>
      <c r="F2993" s="103">
        <v>0.9</v>
      </c>
    </row>
    <row r="2994" spans="1:6" hidden="1" x14ac:dyDescent="0.25">
      <c r="A2994" s="103" t="s">
        <v>236</v>
      </c>
      <c r="B2994" s="103">
        <v>2012</v>
      </c>
      <c r="C2994" s="103" t="s">
        <v>103</v>
      </c>
      <c r="D2994" s="30">
        <v>5</v>
      </c>
      <c r="E2994" s="103">
        <v>94.1</v>
      </c>
      <c r="F2994" s="103">
        <v>40.9</v>
      </c>
    </row>
    <row r="2995" spans="1:6" hidden="1" x14ac:dyDescent="0.25">
      <c r="A2995" s="103" t="s">
        <v>236</v>
      </c>
      <c r="B2995" s="103">
        <v>2012</v>
      </c>
      <c r="C2995" s="103" t="s">
        <v>104</v>
      </c>
      <c r="D2995" s="103">
        <v>6</v>
      </c>
      <c r="E2995" s="103">
        <v>50.2</v>
      </c>
      <c r="F2995" s="103">
        <v>41.2</v>
      </c>
    </row>
    <row r="2996" spans="1:6" hidden="1" x14ac:dyDescent="0.25">
      <c r="A2996" s="103" t="s">
        <v>236</v>
      </c>
      <c r="B2996" s="103">
        <v>2012</v>
      </c>
      <c r="C2996" s="103" t="s">
        <v>105</v>
      </c>
      <c r="D2996" s="103">
        <v>7</v>
      </c>
      <c r="E2996" s="103">
        <v>30.1</v>
      </c>
      <c r="F2996" s="103">
        <v>77.900000000000006</v>
      </c>
    </row>
    <row r="2997" spans="1:6" hidden="1" x14ac:dyDescent="0.25">
      <c r="A2997" s="103" t="s">
        <v>236</v>
      </c>
      <c r="B2997" s="103">
        <v>2012</v>
      </c>
      <c r="C2997" s="103" t="s">
        <v>106</v>
      </c>
      <c r="D2997" s="103">
        <v>8</v>
      </c>
      <c r="E2997" s="103">
        <v>14.1</v>
      </c>
      <c r="F2997" s="103">
        <v>129.5</v>
      </c>
    </row>
    <row r="2998" spans="1:6" hidden="1" x14ac:dyDescent="0.25">
      <c r="A2998" s="103" t="s">
        <v>236</v>
      </c>
      <c r="B2998" s="103">
        <v>2012</v>
      </c>
      <c r="C2998" s="103" t="s">
        <v>107</v>
      </c>
      <c r="D2998" s="103">
        <v>9</v>
      </c>
      <c r="E2998" s="103">
        <v>72.900000000000006</v>
      </c>
      <c r="F2998" s="103">
        <v>35.1</v>
      </c>
    </row>
    <row r="2999" spans="1:6" hidden="1" x14ac:dyDescent="0.25">
      <c r="A2999" s="103" t="s">
        <v>236</v>
      </c>
      <c r="B2999" s="103">
        <v>2012</v>
      </c>
      <c r="C2999" s="103" t="s">
        <v>108</v>
      </c>
      <c r="D2999" s="103">
        <v>10</v>
      </c>
      <c r="E2999" s="103">
        <v>159.69999999999999</v>
      </c>
      <c r="F2999" s="103">
        <v>5.9</v>
      </c>
    </row>
    <row r="3000" spans="1:6" hidden="1" x14ac:dyDescent="0.25">
      <c r="A3000" s="103" t="s">
        <v>236</v>
      </c>
      <c r="B3000" s="103">
        <v>2012</v>
      </c>
      <c r="C3000" s="103" t="s">
        <v>109</v>
      </c>
      <c r="D3000" s="103">
        <v>11</v>
      </c>
      <c r="E3000" s="103">
        <v>296.89999999999998</v>
      </c>
      <c r="F3000" s="103">
        <v>0</v>
      </c>
    </row>
    <row r="3001" spans="1:6" hidden="1" x14ac:dyDescent="0.25">
      <c r="A3001" s="103" t="s">
        <v>236</v>
      </c>
      <c r="B3001" s="103">
        <v>2012</v>
      </c>
      <c r="C3001" s="103" t="s">
        <v>110</v>
      </c>
      <c r="D3001" s="103">
        <v>12</v>
      </c>
      <c r="E3001" s="103">
        <v>346.5</v>
      </c>
      <c r="F3001" s="103">
        <v>0</v>
      </c>
    </row>
    <row r="3002" spans="1:6" hidden="1" x14ac:dyDescent="0.25">
      <c r="A3002" s="103" t="s">
        <v>237</v>
      </c>
      <c r="B3002" s="103">
        <v>2012</v>
      </c>
      <c r="C3002" s="103" t="s">
        <v>99</v>
      </c>
      <c r="D3002" s="30">
        <v>1</v>
      </c>
      <c r="E3002" s="103">
        <v>304.3</v>
      </c>
      <c r="F3002" s="103">
        <v>0</v>
      </c>
    </row>
    <row r="3003" spans="1:6" hidden="1" x14ac:dyDescent="0.25">
      <c r="A3003" s="103" t="s">
        <v>237</v>
      </c>
      <c r="B3003" s="103">
        <v>2012</v>
      </c>
      <c r="C3003" s="103" t="s">
        <v>100</v>
      </c>
      <c r="D3003" s="30">
        <v>2</v>
      </c>
      <c r="E3003" s="103">
        <v>425.7</v>
      </c>
      <c r="F3003" s="103">
        <v>0.1</v>
      </c>
    </row>
    <row r="3004" spans="1:6" hidden="1" x14ac:dyDescent="0.25">
      <c r="A3004" s="103" t="s">
        <v>237</v>
      </c>
      <c r="B3004" s="103">
        <v>2012</v>
      </c>
      <c r="C3004" s="103" t="s">
        <v>101</v>
      </c>
      <c r="D3004" s="30">
        <v>3</v>
      </c>
      <c r="E3004" s="103">
        <v>196</v>
      </c>
      <c r="F3004" s="103">
        <v>11.2</v>
      </c>
    </row>
    <row r="3005" spans="1:6" hidden="1" x14ac:dyDescent="0.25">
      <c r="A3005" s="103" t="s">
        <v>237</v>
      </c>
      <c r="B3005" s="103">
        <v>2012</v>
      </c>
      <c r="C3005" s="103" t="s">
        <v>102</v>
      </c>
      <c r="D3005" s="30">
        <v>4</v>
      </c>
      <c r="E3005" s="103">
        <v>126.2</v>
      </c>
      <c r="F3005" s="103">
        <v>14.8</v>
      </c>
    </row>
    <row r="3006" spans="1:6" hidden="1" x14ac:dyDescent="0.25">
      <c r="A3006" s="103" t="s">
        <v>237</v>
      </c>
      <c r="B3006" s="103">
        <v>2012</v>
      </c>
      <c r="C3006" s="103" t="s">
        <v>103</v>
      </c>
      <c r="D3006" s="30">
        <v>5</v>
      </c>
      <c r="E3006" s="103">
        <v>57.6</v>
      </c>
      <c r="F3006" s="103">
        <v>60.6</v>
      </c>
    </row>
    <row r="3007" spans="1:6" hidden="1" x14ac:dyDescent="0.25">
      <c r="A3007" s="103" t="s">
        <v>237</v>
      </c>
      <c r="B3007" s="103">
        <v>2012</v>
      </c>
      <c r="C3007" s="103" t="s">
        <v>104</v>
      </c>
      <c r="D3007" s="103">
        <v>6</v>
      </c>
      <c r="E3007" s="103">
        <v>6</v>
      </c>
      <c r="F3007" s="103">
        <v>173.2</v>
      </c>
    </row>
    <row r="3008" spans="1:6" hidden="1" x14ac:dyDescent="0.25">
      <c r="A3008" s="103" t="s">
        <v>237</v>
      </c>
      <c r="B3008" s="103">
        <v>2012</v>
      </c>
      <c r="C3008" s="103" t="s">
        <v>105</v>
      </c>
      <c r="D3008" s="103">
        <v>7</v>
      </c>
      <c r="E3008" s="103">
        <v>1.2</v>
      </c>
      <c r="F3008" s="103">
        <v>204.4</v>
      </c>
    </row>
    <row r="3009" spans="1:6" hidden="1" x14ac:dyDescent="0.25">
      <c r="A3009" s="103" t="s">
        <v>237</v>
      </c>
      <c r="B3009" s="103">
        <v>2012</v>
      </c>
      <c r="C3009" s="103" t="s">
        <v>106</v>
      </c>
      <c r="D3009" s="103">
        <v>8</v>
      </c>
      <c r="E3009" s="103">
        <v>0.7</v>
      </c>
      <c r="F3009" s="103">
        <v>243.7</v>
      </c>
    </row>
    <row r="3010" spans="1:6" hidden="1" x14ac:dyDescent="0.25">
      <c r="A3010" s="103" t="s">
        <v>237</v>
      </c>
      <c r="B3010" s="103">
        <v>2012</v>
      </c>
      <c r="C3010" s="103" t="s">
        <v>107</v>
      </c>
      <c r="D3010" s="103">
        <v>9</v>
      </c>
      <c r="E3010" s="103">
        <v>14.9</v>
      </c>
      <c r="F3010" s="103">
        <v>107.3</v>
      </c>
    </row>
    <row r="3011" spans="1:6" hidden="1" x14ac:dyDescent="0.25">
      <c r="A3011" s="103" t="s">
        <v>237</v>
      </c>
      <c r="B3011" s="103">
        <v>2012</v>
      </c>
      <c r="C3011" s="103" t="s">
        <v>108</v>
      </c>
      <c r="D3011" s="103">
        <v>10</v>
      </c>
      <c r="E3011" s="103">
        <v>73.3</v>
      </c>
      <c r="F3011" s="103">
        <v>60.2</v>
      </c>
    </row>
    <row r="3012" spans="1:6" hidden="1" x14ac:dyDescent="0.25">
      <c r="A3012" s="103" t="s">
        <v>237</v>
      </c>
      <c r="B3012" s="103">
        <v>2012</v>
      </c>
      <c r="C3012" s="103" t="s">
        <v>109</v>
      </c>
      <c r="D3012" s="103">
        <v>11</v>
      </c>
      <c r="E3012" s="103">
        <v>156.80000000000001</v>
      </c>
      <c r="F3012" s="103">
        <v>1.6</v>
      </c>
    </row>
    <row r="3013" spans="1:6" hidden="1" x14ac:dyDescent="0.25">
      <c r="A3013" s="103" t="s">
        <v>237</v>
      </c>
      <c r="B3013" s="103">
        <v>2012</v>
      </c>
      <c r="C3013" s="103" t="s">
        <v>110</v>
      </c>
      <c r="D3013" s="103">
        <v>12</v>
      </c>
      <c r="E3013" s="103">
        <v>310.2</v>
      </c>
      <c r="F3013" s="103">
        <v>0</v>
      </c>
    </row>
    <row r="3014" spans="1:6" hidden="1" x14ac:dyDescent="0.25">
      <c r="A3014" s="103" t="s">
        <v>236</v>
      </c>
      <c r="B3014" s="103">
        <v>2013</v>
      </c>
      <c r="C3014" s="103" t="s">
        <v>99</v>
      </c>
      <c r="D3014" s="30">
        <v>1</v>
      </c>
      <c r="E3014" s="103">
        <v>429.9</v>
      </c>
      <c r="F3014" s="103">
        <v>0</v>
      </c>
    </row>
    <row r="3015" spans="1:6" hidden="1" x14ac:dyDescent="0.25">
      <c r="A3015" s="103" t="s">
        <v>236</v>
      </c>
      <c r="B3015" s="103">
        <v>2013</v>
      </c>
      <c r="C3015" s="103" t="s">
        <v>100</v>
      </c>
      <c r="D3015" s="30">
        <v>2</v>
      </c>
      <c r="E3015" s="103">
        <v>402.7</v>
      </c>
      <c r="F3015" s="103">
        <v>0</v>
      </c>
    </row>
    <row r="3016" spans="1:6" hidden="1" x14ac:dyDescent="0.25">
      <c r="A3016" s="103" t="s">
        <v>236</v>
      </c>
      <c r="B3016" s="103">
        <v>2013</v>
      </c>
      <c r="C3016" s="103" t="s">
        <v>101</v>
      </c>
      <c r="D3016" s="30">
        <v>3</v>
      </c>
      <c r="E3016" s="103">
        <v>377.5</v>
      </c>
      <c r="F3016" s="103">
        <v>0</v>
      </c>
    </row>
    <row r="3017" spans="1:6" hidden="1" x14ac:dyDescent="0.25">
      <c r="A3017" s="103" t="s">
        <v>236</v>
      </c>
      <c r="B3017" s="103">
        <v>2013</v>
      </c>
      <c r="C3017" s="103" t="s">
        <v>102</v>
      </c>
      <c r="D3017" s="30">
        <v>4</v>
      </c>
      <c r="E3017" s="103">
        <v>216.6</v>
      </c>
      <c r="F3017" s="103">
        <v>10.6</v>
      </c>
    </row>
    <row r="3018" spans="1:6" hidden="1" x14ac:dyDescent="0.25">
      <c r="A3018" s="103" t="s">
        <v>236</v>
      </c>
      <c r="B3018" s="103">
        <v>2013</v>
      </c>
      <c r="C3018" s="103" t="s">
        <v>103</v>
      </c>
      <c r="D3018" s="30">
        <v>5</v>
      </c>
      <c r="E3018" s="103">
        <v>162.19999999999999</v>
      </c>
      <c r="F3018" s="103">
        <v>3.1</v>
      </c>
    </row>
    <row r="3019" spans="1:6" hidden="1" x14ac:dyDescent="0.25">
      <c r="A3019" s="103" t="s">
        <v>236</v>
      </c>
      <c r="B3019" s="103">
        <v>2013</v>
      </c>
      <c r="C3019" s="103" t="s">
        <v>104</v>
      </c>
      <c r="D3019" s="103">
        <v>6</v>
      </c>
      <c r="E3019" s="103">
        <v>57.6</v>
      </c>
      <c r="F3019" s="103">
        <v>43.7</v>
      </c>
    </row>
    <row r="3020" spans="1:6" hidden="1" x14ac:dyDescent="0.25">
      <c r="A3020" s="103" t="s">
        <v>236</v>
      </c>
      <c r="B3020" s="103">
        <v>2013</v>
      </c>
      <c r="C3020" s="103" t="s">
        <v>105</v>
      </c>
      <c r="D3020" s="103">
        <v>7</v>
      </c>
      <c r="E3020" s="103">
        <v>9.1999999999999993</v>
      </c>
      <c r="F3020" s="103">
        <v>161.1</v>
      </c>
    </row>
    <row r="3021" spans="1:6" hidden="1" x14ac:dyDescent="0.25">
      <c r="A3021" s="103" t="s">
        <v>236</v>
      </c>
      <c r="B3021" s="103">
        <v>2013</v>
      </c>
      <c r="C3021" s="103" t="s">
        <v>106</v>
      </c>
      <c r="D3021" s="103">
        <v>8</v>
      </c>
      <c r="E3021" s="103">
        <v>20.2</v>
      </c>
      <c r="F3021" s="103">
        <v>102.8</v>
      </c>
    </row>
    <row r="3022" spans="1:6" hidden="1" x14ac:dyDescent="0.25">
      <c r="A3022" s="103" t="s">
        <v>236</v>
      </c>
      <c r="B3022" s="103">
        <v>2013</v>
      </c>
      <c r="C3022" s="103" t="s">
        <v>107</v>
      </c>
      <c r="D3022" s="103">
        <v>9</v>
      </c>
      <c r="E3022" s="103">
        <v>55.5</v>
      </c>
      <c r="F3022" s="103">
        <v>41</v>
      </c>
    </row>
    <row r="3023" spans="1:6" hidden="1" x14ac:dyDescent="0.25">
      <c r="A3023" s="103" t="s">
        <v>236</v>
      </c>
      <c r="B3023" s="103">
        <v>2013</v>
      </c>
      <c r="C3023" s="103" t="s">
        <v>108</v>
      </c>
      <c r="D3023" s="103">
        <v>10</v>
      </c>
      <c r="E3023" s="103">
        <v>112.7</v>
      </c>
      <c r="F3023" s="103">
        <v>11.4</v>
      </c>
    </row>
    <row r="3024" spans="1:6" hidden="1" x14ac:dyDescent="0.25">
      <c r="A3024" s="103" t="s">
        <v>236</v>
      </c>
      <c r="B3024" s="103">
        <v>2013</v>
      </c>
      <c r="C3024" s="103" t="s">
        <v>109</v>
      </c>
      <c r="D3024" s="103">
        <v>11</v>
      </c>
      <c r="E3024" s="103">
        <v>305.7</v>
      </c>
      <c r="F3024" s="103">
        <v>0</v>
      </c>
    </row>
    <row r="3025" spans="1:6" hidden="1" x14ac:dyDescent="0.25">
      <c r="A3025" s="103" t="s">
        <v>236</v>
      </c>
      <c r="B3025" s="103">
        <v>2013</v>
      </c>
      <c r="C3025" s="103" t="s">
        <v>110</v>
      </c>
      <c r="D3025" s="103">
        <v>12</v>
      </c>
      <c r="E3025" s="103">
        <v>350.3</v>
      </c>
      <c r="F3025" s="103">
        <v>0</v>
      </c>
    </row>
    <row r="3026" spans="1:6" hidden="1" x14ac:dyDescent="0.25">
      <c r="A3026" s="103" t="s">
        <v>237</v>
      </c>
      <c r="B3026" s="103">
        <v>2013</v>
      </c>
      <c r="C3026" s="103" t="s">
        <v>99</v>
      </c>
      <c r="D3026" s="30">
        <v>1</v>
      </c>
      <c r="E3026" s="103">
        <v>365.9</v>
      </c>
      <c r="F3026" s="103">
        <v>0</v>
      </c>
    </row>
    <row r="3027" spans="1:6" hidden="1" x14ac:dyDescent="0.25">
      <c r="A3027" s="103" t="s">
        <v>237</v>
      </c>
      <c r="B3027" s="103">
        <v>2013</v>
      </c>
      <c r="C3027" s="103" t="s">
        <v>100</v>
      </c>
      <c r="D3027" s="30">
        <v>2</v>
      </c>
      <c r="E3027" s="103">
        <v>351.7</v>
      </c>
      <c r="F3027" s="103">
        <v>0</v>
      </c>
    </row>
    <row r="3028" spans="1:6" hidden="1" x14ac:dyDescent="0.25">
      <c r="A3028" s="103" t="s">
        <v>237</v>
      </c>
      <c r="B3028" s="103">
        <v>2013</v>
      </c>
      <c r="C3028" s="103" t="s">
        <v>101</v>
      </c>
      <c r="D3028" s="30">
        <v>3</v>
      </c>
      <c r="E3028" s="103">
        <v>231.7</v>
      </c>
      <c r="F3028" s="103">
        <v>0</v>
      </c>
    </row>
    <row r="3029" spans="1:6" hidden="1" x14ac:dyDescent="0.25">
      <c r="A3029" s="103" t="s">
        <v>237</v>
      </c>
      <c r="B3029" s="103">
        <v>2013</v>
      </c>
      <c r="C3029" s="103" t="s">
        <v>102</v>
      </c>
      <c r="D3029" s="30">
        <v>4</v>
      </c>
      <c r="E3029" s="103">
        <v>149.5</v>
      </c>
      <c r="F3029" s="103">
        <v>10.9</v>
      </c>
    </row>
    <row r="3030" spans="1:6" hidden="1" x14ac:dyDescent="0.25">
      <c r="A3030" s="103" t="s">
        <v>237</v>
      </c>
      <c r="B3030" s="103">
        <v>2013</v>
      </c>
      <c r="C3030" s="103" t="s">
        <v>103</v>
      </c>
      <c r="D3030" s="30">
        <v>5</v>
      </c>
      <c r="E3030" s="103">
        <v>89.6</v>
      </c>
      <c r="F3030" s="103">
        <v>20.3</v>
      </c>
    </row>
    <row r="3031" spans="1:6" hidden="1" x14ac:dyDescent="0.25">
      <c r="A3031" s="103" t="s">
        <v>237</v>
      </c>
      <c r="B3031" s="103">
        <v>2013</v>
      </c>
      <c r="C3031" s="103" t="s">
        <v>104</v>
      </c>
      <c r="D3031" s="103">
        <v>6</v>
      </c>
      <c r="E3031" s="103">
        <v>17.899999999999999</v>
      </c>
      <c r="F3031" s="103">
        <v>114</v>
      </c>
    </row>
    <row r="3032" spans="1:6" hidden="1" x14ac:dyDescent="0.25">
      <c r="A3032" s="103" t="s">
        <v>237</v>
      </c>
      <c r="B3032" s="103">
        <v>2013</v>
      </c>
      <c r="C3032" s="103" t="s">
        <v>105</v>
      </c>
      <c r="D3032" s="103">
        <v>7</v>
      </c>
      <c r="E3032" s="103">
        <v>1.3</v>
      </c>
      <c r="F3032" s="103">
        <v>242.7</v>
      </c>
    </row>
    <row r="3033" spans="1:6" hidden="1" x14ac:dyDescent="0.25">
      <c r="A3033" s="103" t="s">
        <v>237</v>
      </c>
      <c r="B3033" s="103">
        <v>2013</v>
      </c>
      <c r="C3033" s="103" t="s">
        <v>106</v>
      </c>
      <c r="D3033" s="103">
        <v>8</v>
      </c>
      <c r="E3033" s="103">
        <v>2.2999999999999998</v>
      </c>
      <c r="F3033" s="103">
        <v>209.4</v>
      </c>
    </row>
    <row r="3034" spans="1:6" hidden="1" x14ac:dyDescent="0.25">
      <c r="A3034" s="103" t="s">
        <v>237</v>
      </c>
      <c r="B3034" s="103">
        <v>2013</v>
      </c>
      <c r="C3034" s="103" t="s">
        <v>107</v>
      </c>
      <c r="D3034" s="103">
        <v>9</v>
      </c>
      <c r="E3034" s="103">
        <v>15.2</v>
      </c>
      <c r="F3034" s="103">
        <v>109.2</v>
      </c>
    </row>
    <row r="3035" spans="1:6" hidden="1" x14ac:dyDescent="0.25">
      <c r="A3035" s="103" t="s">
        <v>237</v>
      </c>
      <c r="B3035" s="103">
        <v>2013</v>
      </c>
      <c r="C3035" s="103" t="s">
        <v>108</v>
      </c>
      <c r="D3035" s="103">
        <v>10</v>
      </c>
      <c r="E3035" s="103">
        <v>36.5</v>
      </c>
      <c r="F3035" s="103">
        <v>68.5</v>
      </c>
    </row>
    <row r="3036" spans="1:6" hidden="1" x14ac:dyDescent="0.25">
      <c r="A3036" s="103" t="s">
        <v>237</v>
      </c>
      <c r="B3036" s="103">
        <v>2013</v>
      </c>
      <c r="C3036" s="103" t="s">
        <v>109</v>
      </c>
      <c r="D3036" s="103">
        <v>11</v>
      </c>
      <c r="E3036" s="103">
        <v>228.3</v>
      </c>
      <c r="F3036" s="103">
        <v>5.8</v>
      </c>
    </row>
    <row r="3037" spans="1:6" hidden="1" x14ac:dyDescent="0.25">
      <c r="A3037" s="103" t="s">
        <v>237</v>
      </c>
      <c r="B3037" s="103">
        <v>2013</v>
      </c>
      <c r="C3037" s="103" t="s">
        <v>110</v>
      </c>
      <c r="D3037" s="103">
        <v>12</v>
      </c>
      <c r="E3037" s="103">
        <v>286.10000000000002</v>
      </c>
      <c r="F3037" s="103">
        <v>0</v>
      </c>
    </row>
    <row r="3038" spans="1:6" hidden="1" x14ac:dyDescent="0.25">
      <c r="A3038" s="103" t="s">
        <v>236</v>
      </c>
      <c r="B3038" s="103">
        <v>2014</v>
      </c>
      <c r="C3038" s="103" t="s">
        <v>99</v>
      </c>
      <c r="D3038" s="30">
        <v>1</v>
      </c>
      <c r="E3038" s="103">
        <v>325.3</v>
      </c>
      <c r="F3038" s="103">
        <v>0</v>
      </c>
    </row>
    <row r="3039" spans="1:6" hidden="1" x14ac:dyDescent="0.25">
      <c r="A3039" s="103" t="s">
        <v>236</v>
      </c>
      <c r="B3039" s="103">
        <v>2014</v>
      </c>
      <c r="C3039" s="103" t="s">
        <v>100</v>
      </c>
      <c r="D3039" s="30">
        <v>2</v>
      </c>
      <c r="E3039" s="103">
        <v>283.2</v>
      </c>
      <c r="F3039" s="103">
        <v>0</v>
      </c>
    </row>
    <row r="3040" spans="1:6" hidden="1" x14ac:dyDescent="0.25">
      <c r="A3040" s="103" t="s">
        <v>236</v>
      </c>
      <c r="B3040" s="103">
        <v>2014</v>
      </c>
      <c r="C3040" s="103" t="s">
        <v>101</v>
      </c>
      <c r="D3040" s="30">
        <v>3</v>
      </c>
      <c r="E3040" s="103">
        <v>227.1</v>
      </c>
      <c r="F3040" s="103">
        <v>2.7</v>
      </c>
    </row>
    <row r="3041" spans="1:6" hidden="1" x14ac:dyDescent="0.25">
      <c r="A3041" s="103" t="s">
        <v>236</v>
      </c>
      <c r="B3041" s="103">
        <v>2014</v>
      </c>
      <c r="C3041" s="103" t="s">
        <v>102</v>
      </c>
      <c r="D3041" s="30">
        <v>4</v>
      </c>
      <c r="E3041" s="103">
        <v>142.30000000000001</v>
      </c>
      <c r="F3041" s="103">
        <v>6.3</v>
      </c>
    </row>
    <row r="3042" spans="1:6" hidden="1" x14ac:dyDescent="0.25">
      <c r="A3042" s="103" t="s">
        <v>236</v>
      </c>
      <c r="B3042" s="103">
        <v>2014</v>
      </c>
      <c r="C3042" s="103" t="s">
        <v>103</v>
      </c>
      <c r="D3042" s="30">
        <v>5</v>
      </c>
      <c r="E3042" s="103">
        <v>112.5</v>
      </c>
      <c r="F3042" s="103">
        <v>14.3</v>
      </c>
    </row>
    <row r="3043" spans="1:6" hidden="1" x14ac:dyDescent="0.25">
      <c r="A3043" s="103" t="s">
        <v>236</v>
      </c>
      <c r="B3043" s="103">
        <v>2014</v>
      </c>
      <c r="C3043" s="103" t="s">
        <v>104</v>
      </c>
      <c r="D3043" s="103">
        <v>6</v>
      </c>
      <c r="E3043" s="103">
        <v>37.299999999999997</v>
      </c>
      <c r="F3043" s="103">
        <v>59.7</v>
      </c>
    </row>
    <row r="3044" spans="1:6" hidden="1" x14ac:dyDescent="0.25">
      <c r="A3044" s="103" t="s">
        <v>236</v>
      </c>
      <c r="B3044" s="103">
        <v>2014</v>
      </c>
      <c r="C3044" s="103" t="s">
        <v>105</v>
      </c>
      <c r="D3044" s="103">
        <v>7</v>
      </c>
      <c r="E3044" s="103">
        <v>17.600000000000001</v>
      </c>
      <c r="F3044" s="103">
        <v>110.6</v>
      </c>
    </row>
    <row r="3045" spans="1:6" hidden="1" x14ac:dyDescent="0.25">
      <c r="A3045" s="103" t="s">
        <v>236</v>
      </c>
      <c r="B3045" s="103">
        <v>2014</v>
      </c>
      <c r="C3045" s="103" t="s">
        <v>106</v>
      </c>
      <c r="D3045" s="103">
        <v>8</v>
      </c>
      <c r="E3045" s="103">
        <v>36.5</v>
      </c>
      <c r="F3045" s="103">
        <v>52.6</v>
      </c>
    </row>
    <row r="3046" spans="1:6" hidden="1" x14ac:dyDescent="0.25">
      <c r="A3046" s="103" t="s">
        <v>236</v>
      </c>
      <c r="B3046" s="103">
        <v>2014</v>
      </c>
      <c r="C3046" s="103" t="s">
        <v>107</v>
      </c>
      <c r="D3046" s="103">
        <v>9</v>
      </c>
      <c r="E3046" s="103">
        <v>34.6</v>
      </c>
      <c r="F3046" s="103">
        <v>63.8</v>
      </c>
    </row>
    <row r="3047" spans="1:6" hidden="1" x14ac:dyDescent="0.25">
      <c r="A3047" s="103" t="s">
        <v>236</v>
      </c>
      <c r="B3047" s="103">
        <v>2014</v>
      </c>
      <c r="C3047" s="103" t="s">
        <v>108</v>
      </c>
      <c r="D3047" s="103">
        <v>10</v>
      </c>
      <c r="E3047" s="103">
        <v>101.7</v>
      </c>
      <c r="F3047" s="103">
        <v>16</v>
      </c>
    </row>
    <row r="3048" spans="1:6" hidden="1" x14ac:dyDescent="0.25">
      <c r="A3048" s="103" t="s">
        <v>236</v>
      </c>
      <c r="B3048" s="103">
        <v>2014</v>
      </c>
      <c r="C3048" s="103" t="s">
        <v>109</v>
      </c>
      <c r="D3048" s="103">
        <v>11</v>
      </c>
      <c r="E3048" s="103">
        <v>223.9</v>
      </c>
      <c r="F3048" s="103">
        <v>0.7</v>
      </c>
    </row>
    <row r="3049" spans="1:6" hidden="1" x14ac:dyDescent="0.25">
      <c r="A3049" s="103" t="s">
        <v>236</v>
      </c>
      <c r="B3049" s="103">
        <v>2014</v>
      </c>
      <c r="C3049" s="103" t="s">
        <v>110</v>
      </c>
      <c r="D3049" s="103">
        <v>12</v>
      </c>
      <c r="E3049" s="103">
        <v>368.9</v>
      </c>
      <c r="F3049" s="103">
        <v>0</v>
      </c>
    </row>
    <row r="3050" spans="1:6" hidden="1" x14ac:dyDescent="0.25">
      <c r="A3050" s="103" t="s">
        <v>237</v>
      </c>
      <c r="B3050" s="103">
        <v>2014</v>
      </c>
      <c r="C3050" s="103" t="s">
        <v>99</v>
      </c>
      <c r="D3050" s="30">
        <v>1</v>
      </c>
      <c r="E3050" s="103">
        <v>249</v>
      </c>
      <c r="F3050" s="103">
        <v>0</v>
      </c>
    </row>
    <row r="3051" spans="1:6" hidden="1" x14ac:dyDescent="0.25">
      <c r="A3051" s="103" t="s">
        <v>237</v>
      </c>
      <c r="B3051" s="103">
        <v>2014</v>
      </c>
      <c r="C3051" s="103" t="s">
        <v>100</v>
      </c>
      <c r="D3051" s="30">
        <v>2</v>
      </c>
      <c r="E3051" s="103">
        <v>221.6</v>
      </c>
      <c r="F3051" s="103">
        <v>0</v>
      </c>
    </row>
    <row r="3052" spans="1:6" hidden="1" x14ac:dyDescent="0.25">
      <c r="A3052" s="103" t="s">
        <v>237</v>
      </c>
      <c r="B3052" s="103">
        <v>2014</v>
      </c>
      <c r="C3052" s="103" t="s">
        <v>101</v>
      </c>
      <c r="D3052" s="30">
        <v>3</v>
      </c>
      <c r="E3052" s="103">
        <v>197.6</v>
      </c>
      <c r="F3052" s="103">
        <v>3.6</v>
      </c>
    </row>
    <row r="3053" spans="1:6" hidden="1" x14ac:dyDescent="0.25">
      <c r="A3053" s="103" t="s">
        <v>237</v>
      </c>
      <c r="B3053" s="103">
        <v>2014</v>
      </c>
      <c r="C3053" s="103" t="s">
        <v>102</v>
      </c>
      <c r="D3053" s="30">
        <v>4</v>
      </c>
      <c r="E3053" s="103">
        <v>90.1</v>
      </c>
      <c r="F3053" s="103">
        <v>19.899999999999999</v>
      </c>
    </row>
    <row r="3054" spans="1:6" hidden="1" x14ac:dyDescent="0.25">
      <c r="A3054" s="103" t="s">
        <v>237</v>
      </c>
      <c r="B3054" s="103">
        <v>2014</v>
      </c>
      <c r="C3054" s="103" t="s">
        <v>103</v>
      </c>
      <c r="D3054" s="30">
        <v>5</v>
      </c>
      <c r="E3054" s="103">
        <v>49.4</v>
      </c>
      <c r="F3054" s="103">
        <v>53.8</v>
      </c>
    </row>
    <row r="3055" spans="1:6" hidden="1" x14ac:dyDescent="0.25">
      <c r="A3055" s="103" t="s">
        <v>237</v>
      </c>
      <c r="B3055" s="103">
        <v>2014</v>
      </c>
      <c r="C3055" s="103" t="s">
        <v>104</v>
      </c>
      <c r="D3055" s="103">
        <v>6</v>
      </c>
      <c r="E3055" s="103">
        <v>8.1</v>
      </c>
      <c r="F3055" s="103">
        <v>164.1</v>
      </c>
    </row>
    <row r="3056" spans="1:6" hidden="1" x14ac:dyDescent="0.25">
      <c r="A3056" s="103" t="s">
        <v>237</v>
      </c>
      <c r="B3056" s="103">
        <v>2014</v>
      </c>
      <c r="C3056" s="103" t="s">
        <v>105</v>
      </c>
      <c r="D3056" s="103">
        <v>7</v>
      </c>
      <c r="E3056" s="103">
        <v>1.3</v>
      </c>
      <c r="F3056" s="103">
        <v>190.9</v>
      </c>
    </row>
    <row r="3057" spans="1:6" hidden="1" x14ac:dyDescent="0.25">
      <c r="A3057" s="103" t="s">
        <v>237</v>
      </c>
      <c r="B3057" s="103">
        <v>2014</v>
      </c>
      <c r="C3057" s="103" t="s">
        <v>106</v>
      </c>
      <c r="D3057" s="103">
        <v>8</v>
      </c>
      <c r="E3057" s="103">
        <v>4.5</v>
      </c>
      <c r="F3057" s="103">
        <v>170.3</v>
      </c>
    </row>
    <row r="3058" spans="1:6" hidden="1" x14ac:dyDescent="0.25">
      <c r="A3058" s="103" t="s">
        <v>237</v>
      </c>
      <c r="B3058" s="103">
        <v>2014</v>
      </c>
      <c r="C3058" s="103" t="s">
        <v>107</v>
      </c>
      <c r="D3058" s="103">
        <v>9</v>
      </c>
      <c r="E3058" s="103">
        <v>11.4</v>
      </c>
      <c r="F3058" s="103">
        <v>134.19999999999999</v>
      </c>
    </row>
    <row r="3059" spans="1:6" hidden="1" x14ac:dyDescent="0.25">
      <c r="A3059" s="103" t="s">
        <v>237</v>
      </c>
      <c r="B3059" s="103">
        <v>2014</v>
      </c>
      <c r="C3059" s="103" t="s">
        <v>108</v>
      </c>
      <c r="D3059" s="103">
        <v>10</v>
      </c>
      <c r="E3059" s="103">
        <v>39.700000000000003</v>
      </c>
      <c r="F3059" s="103">
        <v>75.5</v>
      </c>
    </row>
    <row r="3060" spans="1:6" hidden="1" x14ac:dyDescent="0.25">
      <c r="A3060" s="103" t="s">
        <v>237</v>
      </c>
      <c r="B3060" s="103">
        <v>2014</v>
      </c>
      <c r="C3060" s="103" t="s">
        <v>109</v>
      </c>
      <c r="D3060" s="103">
        <v>11</v>
      </c>
      <c r="E3060" s="103">
        <v>108.2</v>
      </c>
      <c r="F3060" s="103">
        <v>7.2</v>
      </c>
    </row>
    <row r="3061" spans="1:6" hidden="1" x14ac:dyDescent="0.25">
      <c r="A3061" s="103" t="s">
        <v>237</v>
      </c>
      <c r="B3061" s="103">
        <v>2014</v>
      </c>
      <c r="C3061" s="103" t="s">
        <v>110</v>
      </c>
      <c r="D3061" s="103">
        <v>12</v>
      </c>
      <c r="E3061" s="103">
        <v>280</v>
      </c>
      <c r="F3061" s="103">
        <v>0</v>
      </c>
    </row>
    <row r="3062" spans="1:6" hidden="1" x14ac:dyDescent="0.25">
      <c r="A3062" s="103" t="s">
        <v>236</v>
      </c>
      <c r="B3062" s="103">
        <v>2015</v>
      </c>
      <c r="C3062" s="103" t="s">
        <v>99</v>
      </c>
      <c r="D3062" s="30">
        <v>1</v>
      </c>
      <c r="E3062" s="103">
        <v>392.8</v>
      </c>
      <c r="F3062" s="103">
        <v>0</v>
      </c>
    </row>
    <row r="3063" spans="1:6" hidden="1" x14ac:dyDescent="0.25">
      <c r="A3063" s="103" t="s">
        <v>236</v>
      </c>
      <c r="B3063" s="103">
        <v>2015</v>
      </c>
      <c r="C3063" s="103" t="s">
        <v>100</v>
      </c>
      <c r="D3063" s="30">
        <v>2</v>
      </c>
      <c r="E3063" s="103">
        <v>367</v>
      </c>
      <c r="F3063" s="103">
        <v>0</v>
      </c>
    </row>
    <row r="3064" spans="1:6" hidden="1" x14ac:dyDescent="0.25">
      <c r="A3064" s="103" t="s">
        <v>236</v>
      </c>
      <c r="B3064" s="103">
        <v>2015</v>
      </c>
      <c r="C3064" s="103" t="s">
        <v>101</v>
      </c>
      <c r="D3064" s="30">
        <v>3</v>
      </c>
      <c r="E3064" s="103">
        <v>241.8</v>
      </c>
      <c r="F3064" s="103">
        <v>0</v>
      </c>
    </row>
    <row r="3065" spans="1:6" hidden="1" x14ac:dyDescent="0.25">
      <c r="A3065" s="103" t="s">
        <v>236</v>
      </c>
      <c r="B3065" s="103">
        <v>2015</v>
      </c>
      <c r="C3065" s="103" t="s">
        <v>102</v>
      </c>
      <c r="D3065" s="30">
        <v>4</v>
      </c>
      <c r="E3065" s="103">
        <v>154.69999999999999</v>
      </c>
      <c r="F3065" s="103">
        <v>15.8</v>
      </c>
    </row>
    <row r="3066" spans="1:6" hidden="1" x14ac:dyDescent="0.25">
      <c r="A3066" s="103" t="s">
        <v>236</v>
      </c>
      <c r="B3066" s="103">
        <v>2015</v>
      </c>
      <c r="C3066" s="103" t="s">
        <v>103</v>
      </c>
      <c r="D3066" s="30">
        <v>5</v>
      </c>
      <c r="E3066" s="103">
        <v>105.1</v>
      </c>
      <c r="F3066" s="103">
        <v>16.100000000000001</v>
      </c>
    </row>
    <row r="3067" spans="1:6" hidden="1" x14ac:dyDescent="0.25">
      <c r="A3067" s="103" t="s">
        <v>236</v>
      </c>
      <c r="B3067" s="103">
        <v>2015</v>
      </c>
      <c r="C3067" s="103" t="s">
        <v>104</v>
      </c>
      <c r="D3067" s="103">
        <v>6</v>
      </c>
      <c r="E3067" s="103">
        <v>36.4</v>
      </c>
      <c r="F3067" s="103">
        <v>85.3</v>
      </c>
    </row>
    <row r="3068" spans="1:6" hidden="1" x14ac:dyDescent="0.25">
      <c r="A3068" s="103" t="s">
        <v>236</v>
      </c>
      <c r="B3068" s="103">
        <v>2015</v>
      </c>
      <c r="C3068" s="103" t="s">
        <v>105</v>
      </c>
      <c r="D3068" s="103">
        <v>7</v>
      </c>
      <c r="E3068" s="103">
        <v>15.5</v>
      </c>
      <c r="F3068" s="103">
        <v>136.19999999999999</v>
      </c>
    </row>
    <row r="3069" spans="1:6" hidden="1" x14ac:dyDescent="0.25">
      <c r="A3069" s="103" t="s">
        <v>236</v>
      </c>
      <c r="B3069" s="103">
        <v>2015</v>
      </c>
      <c r="C3069" s="103" t="s">
        <v>106</v>
      </c>
      <c r="D3069" s="103">
        <v>8</v>
      </c>
      <c r="E3069" s="103">
        <v>16</v>
      </c>
      <c r="F3069" s="103">
        <v>132.6</v>
      </c>
    </row>
    <row r="3070" spans="1:6" hidden="1" x14ac:dyDescent="0.25">
      <c r="A3070" s="103" t="s">
        <v>236</v>
      </c>
      <c r="B3070" s="103">
        <v>2015</v>
      </c>
      <c r="C3070" s="103" t="s">
        <v>107</v>
      </c>
      <c r="D3070" s="103">
        <v>9</v>
      </c>
      <c r="E3070" s="103">
        <v>81.8</v>
      </c>
      <c r="F3070" s="103">
        <v>10.9</v>
      </c>
    </row>
    <row r="3071" spans="1:6" hidden="1" x14ac:dyDescent="0.25">
      <c r="A3071" s="103" t="s">
        <v>236</v>
      </c>
      <c r="B3071" s="103">
        <v>2015</v>
      </c>
      <c r="C3071" s="103" t="s">
        <v>108</v>
      </c>
      <c r="D3071" s="103">
        <v>10</v>
      </c>
      <c r="E3071" s="103">
        <v>180.4</v>
      </c>
      <c r="F3071" s="103">
        <v>2.9</v>
      </c>
    </row>
    <row r="3072" spans="1:6" hidden="1" x14ac:dyDescent="0.25">
      <c r="A3072" s="103" t="s">
        <v>236</v>
      </c>
      <c r="B3072" s="103">
        <v>2015</v>
      </c>
      <c r="C3072" s="103" t="s">
        <v>109</v>
      </c>
      <c r="D3072" s="103">
        <v>11</v>
      </c>
      <c r="E3072" s="103">
        <v>197.7</v>
      </c>
      <c r="F3072" s="103">
        <v>2.2000000000000002</v>
      </c>
    </row>
    <row r="3073" spans="1:6" hidden="1" x14ac:dyDescent="0.25">
      <c r="A3073" s="103" t="s">
        <v>236</v>
      </c>
      <c r="B3073" s="103">
        <v>2015</v>
      </c>
      <c r="C3073" s="103" t="s">
        <v>110</v>
      </c>
      <c r="D3073" s="103">
        <v>12</v>
      </c>
      <c r="E3073" s="103">
        <v>248.7</v>
      </c>
      <c r="F3073" s="103">
        <v>0</v>
      </c>
    </row>
    <row r="3074" spans="1:6" hidden="1" x14ac:dyDescent="0.25">
      <c r="A3074" s="103" t="s">
        <v>237</v>
      </c>
      <c r="B3074" s="103">
        <v>2015</v>
      </c>
      <c r="C3074" s="103" t="s">
        <v>99</v>
      </c>
      <c r="D3074" s="30">
        <v>1</v>
      </c>
      <c r="E3074" s="103">
        <v>318</v>
      </c>
      <c r="F3074" s="103">
        <v>0</v>
      </c>
    </row>
    <row r="3075" spans="1:6" hidden="1" x14ac:dyDescent="0.25">
      <c r="A3075" s="103" t="s">
        <v>237</v>
      </c>
      <c r="B3075" s="103">
        <v>2015</v>
      </c>
      <c r="C3075" s="103" t="s">
        <v>100</v>
      </c>
      <c r="D3075" s="30">
        <v>2</v>
      </c>
      <c r="E3075" s="103">
        <v>310.10000000000002</v>
      </c>
      <c r="F3075" s="103">
        <v>0</v>
      </c>
    </row>
    <row r="3076" spans="1:6" hidden="1" x14ac:dyDescent="0.25">
      <c r="A3076" s="103" t="s">
        <v>237</v>
      </c>
      <c r="B3076" s="103">
        <v>2015</v>
      </c>
      <c r="C3076" s="103" t="s">
        <v>101</v>
      </c>
      <c r="D3076" s="30">
        <v>3</v>
      </c>
      <c r="E3076" s="103">
        <v>207</v>
      </c>
      <c r="F3076" s="103">
        <v>2</v>
      </c>
    </row>
    <row r="3077" spans="1:6" hidden="1" x14ac:dyDescent="0.25">
      <c r="A3077" s="103" t="s">
        <v>237</v>
      </c>
      <c r="B3077" s="103">
        <v>2015</v>
      </c>
      <c r="C3077" s="103" t="s">
        <v>102</v>
      </c>
      <c r="D3077" s="30">
        <v>4</v>
      </c>
      <c r="E3077" s="103">
        <v>123.5</v>
      </c>
      <c r="F3077" s="103">
        <v>12</v>
      </c>
    </row>
    <row r="3078" spans="1:6" hidden="1" x14ac:dyDescent="0.25">
      <c r="A3078" s="103" t="s">
        <v>237</v>
      </c>
      <c r="B3078" s="103">
        <v>2015</v>
      </c>
      <c r="C3078" s="103" t="s">
        <v>103</v>
      </c>
      <c r="D3078" s="30">
        <v>5</v>
      </c>
      <c r="E3078" s="103">
        <v>42.6</v>
      </c>
      <c r="F3078" s="103">
        <v>68.8</v>
      </c>
    </row>
    <row r="3079" spans="1:6" hidden="1" x14ac:dyDescent="0.25">
      <c r="A3079" s="103" t="s">
        <v>237</v>
      </c>
      <c r="B3079" s="103">
        <v>2015</v>
      </c>
      <c r="C3079" s="103" t="s">
        <v>104</v>
      </c>
      <c r="D3079" s="103">
        <v>6</v>
      </c>
      <c r="E3079" s="103">
        <v>3.4</v>
      </c>
      <c r="F3079" s="103">
        <v>174.3</v>
      </c>
    </row>
    <row r="3080" spans="1:6" hidden="1" x14ac:dyDescent="0.25">
      <c r="A3080" s="103" t="s">
        <v>237</v>
      </c>
      <c r="B3080" s="103">
        <v>2015</v>
      </c>
      <c r="C3080" s="103" t="s">
        <v>105</v>
      </c>
      <c r="D3080" s="103">
        <v>7</v>
      </c>
      <c r="E3080" s="103">
        <v>0.7</v>
      </c>
      <c r="F3080" s="103">
        <v>281.3</v>
      </c>
    </row>
    <row r="3081" spans="1:6" hidden="1" x14ac:dyDescent="0.25">
      <c r="A3081" s="103" t="s">
        <v>237</v>
      </c>
      <c r="B3081" s="103">
        <v>2015</v>
      </c>
      <c r="C3081" s="103" t="s">
        <v>106</v>
      </c>
      <c r="D3081" s="103">
        <v>8</v>
      </c>
      <c r="E3081" s="103">
        <v>1.2</v>
      </c>
      <c r="F3081" s="103">
        <v>209.8</v>
      </c>
    </row>
    <row r="3082" spans="1:6" hidden="1" x14ac:dyDescent="0.25">
      <c r="A3082" s="103" t="s">
        <v>237</v>
      </c>
      <c r="B3082" s="103">
        <v>2015</v>
      </c>
      <c r="C3082" s="103" t="s">
        <v>107</v>
      </c>
      <c r="D3082" s="103">
        <v>9</v>
      </c>
      <c r="E3082" s="103">
        <v>22.5</v>
      </c>
      <c r="F3082" s="103">
        <v>91.5</v>
      </c>
    </row>
    <row r="3083" spans="1:6" hidden="1" x14ac:dyDescent="0.25">
      <c r="A3083" s="103" t="s">
        <v>237</v>
      </c>
      <c r="B3083" s="103">
        <v>2015</v>
      </c>
      <c r="C3083" s="103" t="s">
        <v>108</v>
      </c>
      <c r="D3083" s="103">
        <v>10</v>
      </c>
      <c r="E3083" s="103">
        <v>99.6</v>
      </c>
      <c r="F3083" s="103">
        <v>23.4</v>
      </c>
    </row>
    <row r="3084" spans="1:6" hidden="1" x14ac:dyDescent="0.25">
      <c r="A3084" s="103" t="s">
        <v>237</v>
      </c>
      <c r="B3084" s="103">
        <v>2015</v>
      </c>
      <c r="C3084" s="103" t="s">
        <v>109</v>
      </c>
      <c r="D3084" s="103">
        <v>11</v>
      </c>
      <c r="E3084" s="103">
        <v>167.9</v>
      </c>
      <c r="F3084" s="103">
        <v>6</v>
      </c>
    </row>
    <row r="3085" spans="1:6" hidden="1" x14ac:dyDescent="0.25">
      <c r="A3085" s="103" t="s">
        <v>237</v>
      </c>
      <c r="B3085" s="103">
        <v>2015</v>
      </c>
      <c r="C3085" s="103" t="s">
        <v>110</v>
      </c>
      <c r="D3085" s="103">
        <v>12</v>
      </c>
      <c r="E3085" s="103">
        <v>183.9</v>
      </c>
      <c r="F3085" s="103">
        <v>0</v>
      </c>
    </row>
    <row r="3086" spans="1:6" hidden="1" x14ac:dyDescent="0.25">
      <c r="A3086" s="103" t="s">
        <v>236</v>
      </c>
      <c r="B3086" s="103">
        <v>2016</v>
      </c>
      <c r="C3086" s="103" t="s">
        <v>99</v>
      </c>
      <c r="D3086" s="30">
        <v>1</v>
      </c>
      <c r="E3086" s="103">
        <v>365.1</v>
      </c>
      <c r="F3086" s="103">
        <v>0</v>
      </c>
    </row>
    <row r="3087" spans="1:6" hidden="1" x14ac:dyDescent="0.25">
      <c r="A3087" s="103" t="s">
        <v>236</v>
      </c>
      <c r="B3087" s="103">
        <v>2016</v>
      </c>
      <c r="C3087" s="103" t="s">
        <v>100</v>
      </c>
      <c r="D3087" s="30">
        <v>2</v>
      </c>
      <c r="E3087" s="103">
        <v>324.5</v>
      </c>
      <c r="F3087" s="103">
        <v>0</v>
      </c>
    </row>
    <row r="3088" spans="1:6" hidden="1" x14ac:dyDescent="0.25">
      <c r="A3088" s="103" t="s">
        <v>236</v>
      </c>
      <c r="B3088" s="103">
        <v>2016</v>
      </c>
      <c r="C3088" s="103" t="s">
        <v>101</v>
      </c>
      <c r="D3088" s="30">
        <v>3</v>
      </c>
      <c r="E3088" s="103">
        <v>321.60000000000002</v>
      </c>
      <c r="F3088" s="103">
        <v>0</v>
      </c>
    </row>
    <row r="3089" spans="1:6" hidden="1" x14ac:dyDescent="0.25">
      <c r="A3089" s="103" t="s">
        <v>236</v>
      </c>
      <c r="B3089" s="103">
        <v>2016</v>
      </c>
      <c r="C3089" s="103" t="s">
        <v>102</v>
      </c>
      <c r="D3089" s="30">
        <v>4</v>
      </c>
      <c r="E3089" s="103">
        <v>214.6</v>
      </c>
      <c r="F3089" s="103">
        <v>2</v>
      </c>
    </row>
    <row r="3090" spans="1:6" hidden="1" x14ac:dyDescent="0.25">
      <c r="A3090" s="103" t="s">
        <v>236</v>
      </c>
      <c r="B3090" s="103">
        <v>2016</v>
      </c>
      <c r="C3090" s="103" t="s">
        <v>103</v>
      </c>
      <c r="D3090" s="30">
        <v>5</v>
      </c>
      <c r="E3090" s="103">
        <v>99.1</v>
      </c>
      <c r="F3090" s="103">
        <v>21.2</v>
      </c>
    </row>
    <row r="3091" spans="1:6" hidden="1" x14ac:dyDescent="0.25">
      <c r="A3091" s="103" t="s">
        <v>236</v>
      </c>
      <c r="B3091" s="103">
        <v>2016</v>
      </c>
      <c r="C3091" s="103" t="s">
        <v>104</v>
      </c>
      <c r="D3091" s="103">
        <v>6</v>
      </c>
      <c r="E3091" s="103">
        <v>41.6</v>
      </c>
      <c r="F3091" s="103">
        <v>50.2</v>
      </c>
    </row>
    <row r="3092" spans="1:6" hidden="1" x14ac:dyDescent="0.25">
      <c r="A3092" s="103" t="s">
        <v>236</v>
      </c>
      <c r="B3092" s="103">
        <v>2016</v>
      </c>
      <c r="C3092" s="103" t="s">
        <v>105</v>
      </c>
      <c r="D3092" s="103">
        <v>7</v>
      </c>
      <c r="E3092" s="103">
        <v>14.5</v>
      </c>
      <c r="F3092" s="103">
        <v>114.8</v>
      </c>
    </row>
    <row r="3093" spans="1:6" hidden="1" x14ac:dyDescent="0.25">
      <c r="A3093" s="103" t="s">
        <v>236</v>
      </c>
      <c r="B3093" s="103">
        <v>2016</v>
      </c>
      <c r="C3093" s="103" t="s">
        <v>106</v>
      </c>
      <c r="D3093" s="103">
        <v>8</v>
      </c>
      <c r="E3093" s="103">
        <v>13.6</v>
      </c>
      <c r="F3093" s="103">
        <v>132.1</v>
      </c>
    </row>
    <row r="3094" spans="1:6" hidden="1" x14ac:dyDescent="0.25">
      <c r="A3094" s="103" t="s">
        <v>236</v>
      </c>
      <c r="B3094" s="103">
        <v>2016</v>
      </c>
      <c r="C3094" s="103" t="s">
        <v>107</v>
      </c>
      <c r="D3094" s="103">
        <v>9</v>
      </c>
      <c r="E3094" s="103">
        <v>27.6</v>
      </c>
      <c r="F3094" s="103">
        <v>74.900000000000006</v>
      </c>
    </row>
    <row r="3095" spans="1:6" hidden="1" x14ac:dyDescent="0.25">
      <c r="A3095" s="103" t="s">
        <v>236</v>
      </c>
      <c r="B3095" s="103">
        <v>2016</v>
      </c>
      <c r="C3095" s="103" t="s">
        <v>108</v>
      </c>
      <c r="D3095" s="103">
        <v>10</v>
      </c>
      <c r="E3095" s="103">
        <v>178</v>
      </c>
      <c r="F3095" s="103">
        <v>1.4</v>
      </c>
    </row>
    <row r="3096" spans="1:6" hidden="1" x14ac:dyDescent="0.25">
      <c r="A3096" s="103" t="s">
        <v>236</v>
      </c>
      <c r="B3096" s="103">
        <v>2016</v>
      </c>
      <c r="C3096" s="103" t="s">
        <v>109</v>
      </c>
      <c r="D3096" s="103">
        <v>11</v>
      </c>
      <c r="E3096" s="103">
        <v>286.3</v>
      </c>
      <c r="F3096" s="103">
        <v>0</v>
      </c>
    </row>
    <row r="3097" spans="1:6" hidden="1" x14ac:dyDescent="0.25">
      <c r="A3097" s="103" t="s">
        <v>236</v>
      </c>
      <c r="B3097" s="103">
        <v>2016</v>
      </c>
      <c r="C3097" s="103" t="s">
        <v>110</v>
      </c>
      <c r="D3097" s="103">
        <v>12</v>
      </c>
      <c r="E3097" s="103">
        <v>391.4</v>
      </c>
      <c r="F3097" s="103">
        <v>0</v>
      </c>
    </row>
    <row r="3098" spans="1:6" hidden="1" x14ac:dyDescent="0.25">
      <c r="A3098" s="103" t="s">
        <v>237</v>
      </c>
      <c r="B3098" s="103">
        <v>2016</v>
      </c>
      <c r="C3098" s="103" t="s">
        <v>99</v>
      </c>
      <c r="D3098" s="30">
        <v>1</v>
      </c>
      <c r="E3098" s="103">
        <v>274.7</v>
      </c>
      <c r="F3098" s="103">
        <v>0</v>
      </c>
    </row>
    <row r="3099" spans="1:6" hidden="1" x14ac:dyDescent="0.25">
      <c r="A3099" s="103" t="s">
        <v>237</v>
      </c>
      <c r="B3099" s="103">
        <v>2016</v>
      </c>
      <c r="C3099" s="103" t="s">
        <v>100</v>
      </c>
      <c r="D3099" s="30">
        <v>2</v>
      </c>
      <c r="E3099" s="103">
        <v>239.4</v>
      </c>
      <c r="F3099" s="103">
        <v>0.2</v>
      </c>
    </row>
    <row r="3100" spans="1:6" hidden="1" x14ac:dyDescent="0.25">
      <c r="A3100" s="103" t="s">
        <v>237</v>
      </c>
      <c r="B3100" s="103">
        <v>2016</v>
      </c>
      <c r="C3100" s="103" t="s">
        <v>101</v>
      </c>
      <c r="D3100" s="30">
        <v>3</v>
      </c>
      <c r="E3100" s="103">
        <v>227.9</v>
      </c>
      <c r="F3100" s="103">
        <v>2.8</v>
      </c>
    </row>
    <row r="3101" spans="1:6" hidden="1" x14ac:dyDescent="0.25">
      <c r="A3101" s="103" t="s">
        <v>237</v>
      </c>
      <c r="B3101" s="103">
        <v>2016</v>
      </c>
      <c r="C3101" s="103" t="s">
        <v>102</v>
      </c>
      <c r="D3101" s="30">
        <v>4</v>
      </c>
      <c r="E3101" s="103">
        <v>108.7</v>
      </c>
      <c r="F3101" s="103">
        <v>11.9</v>
      </c>
    </row>
    <row r="3102" spans="1:6" hidden="1" x14ac:dyDescent="0.25">
      <c r="A3102" s="103" t="s">
        <v>237</v>
      </c>
      <c r="B3102" s="103">
        <v>2016</v>
      </c>
      <c r="C3102" s="103" t="s">
        <v>103</v>
      </c>
      <c r="D3102" s="30">
        <v>5</v>
      </c>
      <c r="E3102" s="103">
        <v>52.2</v>
      </c>
      <c r="F3102" s="103">
        <v>50.4</v>
      </c>
    </row>
    <row r="3103" spans="1:6" hidden="1" x14ac:dyDescent="0.25">
      <c r="A3103" s="103" t="s">
        <v>237</v>
      </c>
      <c r="B3103" s="103">
        <v>2016</v>
      </c>
      <c r="C3103" s="103" t="s">
        <v>104</v>
      </c>
      <c r="D3103" s="103">
        <v>6</v>
      </c>
      <c r="E3103" s="103">
        <v>5.4</v>
      </c>
      <c r="F3103" s="103">
        <v>149.4</v>
      </c>
    </row>
    <row r="3104" spans="1:6" hidden="1" x14ac:dyDescent="0.25">
      <c r="A3104" s="103" t="s">
        <v>237</v>
      </c>
      <c r="B3104" s="103">
        <v>2016</v>
      </c>
      <c r="C3104" s="103" t="s">
        <v>105</v>
      </c>
      <c r="D3104" s="103">
        <v>7</v>
      </c>
      <c r="E3104" s="103">
        <v>2.1</v>
      </c>
      <c r="F3104" s="103">
        <v>241.9</v>
      </c>
    </row>
    <row r="3105" spans="1:6" hidden="1" x14ac:dyDescent="0.25">
      <c r="A3105" s="103" t="s">
        <v>237</v>
      </c>
      <c r="B3105" s="103">
        <v>2016</v>
      </c>
      <c r="C3105" s="103" t="s">
        <v>106</v>
      </c>
      <c r="D3105" s="103">
        <v>8</v>
      </c>
      <c r="E3105" s="103">
        <v>1.1000000000000001</v>
      </c>
      <c r="F3105" s="103">
        <v>213.5</v>
      </c>
    </row>
    <row r="3106" spans="1:6" hidden="1" x14ac:dyDescent="0.25">
      <c r="A3106" s="103" t="s">
        <v>237</v>
      </c>
      <c r="B3106" s="103">
        <v>2016</v>
      </c>
      <c r="C3106" s="103" t="s">
        <v>107</v>
      </c>
      <c r="D3106" s="103">
        <v>9</v>
      </c>
      <c r="E3106" s="103">
        <v>9.9</v>
      </c>
      <c r="F3106" s="103">
        <v>157.4</v>
      </c>
    </row>
    <row r="3107" spans="1:6" hidden="1" x14ac:dyDescent="0.25">
      <c r="A3107" s="103" t="s">
        <v>237</v>
      </c>
      <c r="B3107" s="103">
        <v>2016</v>
      </c>
      <c r="C3107" s="103" t="s">
        <v>108</v>
      </c>
      <c r="D3107" s="103">
        <v>10</v>
      </c>
      <c r="E3107" s="103">
        <v>84.5</v>
      </c>
      <c r="F3107" s="103">
        <v>29.9</v>
      </c>
    </row>
    <row r="3108" spans="1:6" hidden="1" x14ac:dyDescent="0.25">
      <c r="A3108" s="103" t="s">
        <v>237</v>
      </c>
      <c r="B3108" s="103">
        <v>2016</v>
      </c>
      <c r="C3108" s="103" t="s">
        <v>109</v>
      </c>
      <c r="D3108" s="103">
        <v>11</v>
      </c>
      <c r="E3108" s="103">
        <v>176.3</v>
      </c>
      <c r="F3108" s="103">
        <v>4.0999999999999996</v>
      </c>
    </row>
    <row r="3109" spans="1:6" hidden="1" x14ac:dyDescent="0.25">
      <c r="A3109" s="103" t="s">
        <v>237</v>
      </c>
      <c r="B3109" s="103">
        <v>2016</v>
      </c>
      <c r="C3109" s="103" t="s">
        <v>110</v>
      </c>
      <c r="D3109" s="103">
        <v>12</v>
      </c>
      <c r="E3109" s="103">
        <v>274.39999999999998</v>
      </c>
      <c r="F3109" s="103">
        <v>0</v>
      </c>
    </row>
    <row r="3110" spans="1:6" hidden="1" x14ac:dyDescent="0.25">
      <c r="A3110" s="103" t="s">
        <v>236</v>
      </c>
      <c r="B3110" s="103">
        <v>2017</v>
      </c>
      <c r="C3110" s="103" t="s">
        <v>99</v>
      </c>
      <c r="D3110" s="30">
        <v>1</v>
      </c>
      <c r="E3110" s="103">
        <v>468.9</v>
      </c>
      <c r="F3110" s="103">
        <v>0</v>
      </c>
    </row>
    <row r="3111" spans="1:6" hidden="1" x14ac:dyDescent="0.25">
      <c r="A3111" s="103" t="s">
        <v>236</v>
      </c>
      <c r="B3111" s="103">
        <v>2017</v>
      </c>
      <c r="C3111" s="103" t="s">
        <v>100</v>
      </c>
      <c r="D3111" s="30">
        <v>2</v>
      </c>
      <c r="E3111" s="103">
        <v>281.60000000000002</v>
      </c>
      <c r="F3111" s="103">
        <v>0</v>
      </c>
    </row>
    <row r="3112" spans="1:6" hidden="1" x14ac:dyDescent="0.25">
      <c r="A3112" s="103" t="s">
        <v>236</v>
      </c>
      <c r="B3112" s="103">
        <v>2017</v>
      </c>
      <c r="C3112" s="103" t="s">
        <v>101</v>
      </c>
      <c r="D3112" s="30">
        <v>3</v>
      </c>
      <c r="E3112" s="103">
        <v>209.7</v>
      </c>
      <c r="F3112" s="103">
        <v>3</v>
      </c>
    </row>
    <row r="3113" spans="1:6" hidden="1" x14ac:dyDescent="0.25">
      <c r="A3113" s="103" t="s">
        <v>236</v>
      </c>
      <c r="B3113" s="103">
        <v>2017</v>
      </c>
      <c r="C3113" s="103" t="s">
        <v>102</v>
      </c>
      <c r="D3113" s="30">
        <v>4</v>
      </c>
      <c r="E3113" s="103">
        <v>187.6</v>
      </c>
      <c r="F3113" s="103">
        <v>4.5</v>
      </c>
    </row>
    <row r="3114" spans="1:6" hidden="1" x14ac:dyDescent="0.25">
      <c r="A3114" s="103" t="s">
        <v>236</v>
      </c>
      <c r="B3114" s="103">
        <v>2017</v>
      </c>
      <c r="C3114" s="103" t="s">
        <v>103</v>
      </c>
      <c r="D3114" s="30">
        <v>5</v>
      </c>
      <c r="E3114" s="103">
        <v>88</v>
      </c>
      <c r="F3114" s="103">
        <v>59.8</v>
      </c>
    </row>
    <row r="3115" spans="1:6" hidden="1" x14ac:dyDescent="0.25">
      <c r="A3115" s="103" t="s">
        <v>236</v>
      </c>
      <c r="B3115" s="103">
        <v>2017</v>
      </c>
      <c r="C3115" s="103" t="s">
        <v>104</v>
      </c>
      <c r="D3115" s="103">
        <v>6</v>
      </c>
      <c r="E3115" s="103">
        <v>21.6</v>
      </c>
      <c r="F3115" s="103">
        <v>124.1</v>
      </c>
    </row>
    <row r="3116" spans="1:6" hidden="1" x14ac:dyDescent="0.25">
      <c r="A3116" s="103" t="s">
        <v>236</v>
      </c>
      <c r="B3116" s="103">
        <v>2017</v>
      </c>
      <c r="C3116" s="103" t="s">
        <v>105</v>
      </c>
      <c r="D3116" s="103">
        <v>7</v>
      </c>
      <c r="E3116" s="103">
        <v>13.7</v>
      </c>
      <c r="F3116" s="103">
        <v>121.1</v>
      </c>
    </row>
    <row r="3117" spans="1:6" hidden="1" x14ac:dyDescent="0.25">
      <c r="A3117" s="103" t="s">
        <v>236</v>
      </c>
      <c r="B3117" s="103">
        <v>2017</v>
      </c>
      <c r="C3117" s="103" t="s">
        <v>106</v>
      </c>
      <c r="D3117" s="103">
        <v>8</v>
      </c>
      <c r="E3117" s="103">
        <v>21</v>
      </c>
      <c r="F3117" s="103">
        <v>94.4</v>
      </c>
    </row>
    <row r="3118" spans="1:6" hidden="1" x14ac:dyDescent="0.25">
      <c r="A3118" s="103" t="s">
        <v>236</v>
      </c>
      <c r="B3118" s="103">
        <v>2017</v>
      </c>
      <c r="C3118" s="103" t="s">
        <v>107</v>
      </c>
      <c r="D3118" s="103">
        <v>9</v>
      </c>
      <c r="E3118" s="103">
        <v>74.7</v>
      </c>
      <c r="F3118" s="103">
        <v>20.399999999999999</v>
      </c>
    </row>
    <row r="3119" spans="1:6" hidden="1" x14ac:dyDescent="0.25">
      <c r="A3119" s="103" t="s">
        <v>236</v>
      </c>
      <c r="B3119" s="103">
        <v>2017</v>
      </c>
      <c r="C3119" s="103" t="s">
        <v>108</v>
      </c>
      <c r="D3119" s="103">
        <v>10</v>
      </c>
      <c r="E3119" s="103">
        <v>109.7</v>
      </c>
      <c r="F3119" s="103">
        <v>12.7</v>
      </c>
    </row>
    <row r="3120" spans="1:6" hidden="1" x14ac:dyDescent="0.25">
      <c r="A3120" s="103" t="s">
        <v>236</v>
      </c>
      <c r="B3120" s="103">
        <v>2017</v>
      </c>
      <c r="C3120" s="103" t="s">
        <v>109</v>
      </c>
      <c r="D3120" s="103">
        <v>11</v>
      </c>
      <c r="E3120" s="103">
        <v>283.39999999999998</v>
      </c>
      <c r="F3120" s="103">
        <v>0</v>
      </c>
    </row>
    <row r="3121" spans="1:6" hidden="1" x14ac:dyDescent="0.25">
      <c r="A3121" s="103" t="s">
        <v>236</v>
      </c>
      <c r="B3121" s="103">
        <v>2017</v>
      </c>
      <c r="C3121" s="103" t="s">
        <v>110</v>
      </c>
      <c r="D3121" s="103">
        <v>12</v>
      </c>
      <c r="E3121" s="103">
        <v>369.7</v>
      </c>
      <c r="F3121" s="103">
        <v>0</v>
      </c>
    </row>
    <row r="3122" spans="1:6" hidden="1" x14ac:dyDescent="0.25">
      <c r="A3122" s="103" t="s">
        <v>237</v>
      </c>
      <c r="B3122" s="103">
        <v>2017</v>
      </c>
      <c r="C3122" s="103" t="s">
        <v>99</v>
      </c>
      <c r="D3122" s="30">
        <v>1</v>
      </c>
      <c r="E3122" s="103">
        <v>378.4</v>
      </c>
      <c r="F3122" s="103">
        <v>0</v>
      </c>
    </row>
    <row r="3123" spans="1:6" hidden="1" x14ac:dyDescent="0.25">
      <c r="A3123" s="103" t="s">
        <v>237</v>
      </c>
      <c r="B3123" s="103">
        <v>2017</v>
      </c>
      <c r="C3123" s="103" t="s">
        <v>100</v>
      </c>
      <c r="D3123" s="30">
        <v>2</v>
      </c>
      <c r="E3123" s="103">
        <v>181</v>
      </c>
      <c r="F3123" s="103">
        <v>0.5</v>
      </c>
    </row>
    <row r="3124" spans="1:6" hidden="1" x14ac:dyDescent="0.25">
      <c r="A3124" s="103" t="s">
        <v>237</v>
      </c>
      <c r="B3124" s="103">
        <v>2017</v>
      </c>
      <c r="C3124" s="103" t="s">
        <v>101</v>
      </c>
      <c r="D3124" s="30">
        <v>3</v>
      </c>
      <c r="E3124" s="103">
        <v>159.1</v>
      </c>
      <c r="F3124" s="103">
        <v>6.6</v>
      </c>
    </row>
    <row r="3125" spans="1:6" hidden="1" x14ac:dyDescent="0.25">
      <c r="A3125" s="103" t="s">
        <v>237</v>
      </c>
      <c r="B3125" s="103">
        <v>2017</v>
      </c>
      <c r="C3125" s="103" t="s">
        <v>102</v>
      </c>
      <c r="D3125" s="30">
        <v>4</v>
      </c>
      <c r="E3125" s="103">
        <v>129.69999999999999</v>
      </c>
      <c r="F3125" s="103">
        <v>15.8</v>
      </c>
    </row>
    <row r="3126" spans="1:6" hidden="1" x14ac:dyDescent="0.25">
      <c r="A3126" s="103" t="s">
        <v>237</v>
      </c>
      <c r="B3126" s="103">
        <v>2017</v>
      </c>
      <c r="C3126" s="103" t="s">
        <v>103</v>
      </c>
      <c r="D3126" s="30">
        <v>5</v>
      </c>
      <c r="E3126" s="103">
        <v>58.5</v>
      </c>
      <c r="F3126" s="103">
        <v>71.8</v>
      </c>
    </row>
    <row r="3127" spans="1:6" hidden="1" x14ac:dyDescent="0.25">
      <c r="A3127" s="103" t="s">
        <v>237</v>
      </c>
      <c r="B3127" s="103">
        <v>2017</v>
      </c>
      <c r="C3127" s="103" t="s">
        <v>104</v>
      </c>
      <c r="D3127" s="103">
        <v>6</v>
      </c>
      <c r="E3127" s="103">
        <v>3.6</v>
      </c>
      <c r="F3127" s="103">
        <v>206.6</v>
      </c>
    </row>
    <row r="3128" spans="1:6" hidden="1" x14ac:dyDescent="0.25">
      <c r="A3128" s="103" t="s">
        <v>237</v>
      </c>
      <c r="B3128" s="103">
        <v>2017</v>
      </c>
      <c r="C3128" s="103" t="s">
        <v>105</v>
      </c>
      <c r="D3128" s="103">
        <v>7</v>
      </c>
      <c r="E3128" s="103">
        <v>0.6</v>
      </c>
      <c r="F3128" s="103">
        <v>251.6</v>
      </c>
    </row>
    <row r="3129" spans="1:6" hidden="1" x14ac:dyDescent="0.25">
      <c r="A3129" s="103" t="s">
        <v>237</v>
      </c>
      <c r="B3129" s="103">
        <v>2017</v>
      </c>
      <c r="C3129" s="103" t="s">
        <v>106</v>
      </c>
      <c r="D3129" s="103">
        <v>8</v>
      </c>
      <c r="E3129" s="103">
        <v>1.1000000000000001</v>
      </c>
      <c r="F3129" s="103">
        <v>244.8</v>
      </c>
    </row>
    <row r="3130" spans="1:6" hidden="1" x14ac:dyDescent="0.25">
      <c r="A3130" s="103" t="s">
        <v>237</v>
      </c>
      <c r="B3130" s="103">
        <v>2017</v>
      </c>
      <c r="C3130" s="103" t="s">
        <v>107</v>
      </c>
      <c r="D3130" s="103">
        <v>9</v>
      </c>
      <c r="E3130" s="103">
        <v>33.1</v>
      </c>
      <c r="F3130" s="103">
        <v>76</v>
      </c>
    </row>
    <row r="3131" spans="1:6" hidden="1" x14ac:dyDescent="0.25">
      <c r="A3131" s="103" t="s">
        <v>237</v>
      </c>
      <c r="B3131" s="103">
        <v>2017</v>
      </c>
      <c r="C3131" s="103" t="s">
        <v>108</v>
      </c>
      <c r="D3131" s="103">
        <v>10</v>
      </c>
      <c r="E3131" s="103">
        <v>57.5</v>
      </c>
      <c r="F3131" s="103">
        <v>52</v>
      </c>
    </row>
    <row r="3132" spans="1:6" hidden="1" x14ac:dyDescent="0.25">
      <c r="A3132" s="103" t="s">
        <v>237</v>
      </c>
      <c r="B3132" s="103">
        <v>2017</v>
      </c>
      <c r="C3132" s="103" t="s">
        <v>109</v>
      </c>
      <c r="D3132" s="103">
        <v>11</v>
      </c>
      <c r="E3132" s="103">
        <v>223.3</v>
      </c>
      <c r="F3132" s="103">
        <v>2.2000000000000002</v>
      </c>
    </row>
    <row r="3133" spans="1:6" hidden="1" x14ac:dyDescent="0.25">
      <c r="A3133" s="103" t="s">
        <v>237</v>
      </c>
      <c r="B3133" s="103">
        <v>2017</v>
      </c>
      <c r="C3133" s="103" t="s">
        <v>110</v>
      </c>
      <c r="D3133" s="103">
        <v>12</v>
      </c>
      <c r="E3133" s="103">
        <v>351.6</v>
      </c>
      <c r="F3133" s="103">
        <v>0</v>
      </c>
    </row>
    <row r="3134" spans="1:6" hidden="1" x14ac:dyDescent="0.25">
      <c r="A3134" s="103" t="s">
        <v>236</v>
      </c>
      <c r="B3134" s="103">
        <v>2018</v>
      </c>
      <c r="C3134" s="103" t="s">
        <v>99</v>
      </c>
      <c r="D3134" s="30">
        <v>1</v>
      </c>
      <c r="E3134" s="103">
        <v>304.10000000000002</v>
      </c>
      <c r="F3134" s="103">
        <v>0</v>
      </c>
    </row>
    <row r="3135" spans="1:6" hidden="1" x14ac:dyDescent="0.25">
      <c r="A3135" s="103" t="s">
        <v>236</v>
      </c>
      <c r="B3135" s="103">
        <v>2018</v>
      </c>
      <c r="C3135" s="103" t="s">
        <v>100</v>
      </c>
      <c r="D3135" s="30">
        <v>2</v>
      </c>
      <c r="E3135" s="103">
        <v>433.3</v>
      </c>
      <c r="F3135" s="103">
        <v>0</v>
      </c>
    </row>
    <row r="3136" spans="1:6" hidden="1" x14ac:dyDescent="0.25">
      <c r="A3136" s="103" t="s">
        <v>236</v>
      </c>
      <c r="B3136" s="103">
        <v>2018</v>
      </c>
      <c r="C3136" s="103" t="s">
        <v>101</v>
      </c>
      <c r="D3136" s="30">
        <v>3</v>
      </c>
      <c r="E3136" s="103">
        <v>315.10000000000002</v>
      </c>
      <c r="F3136" s="103">
        <v>0.1</v>
      </c>
    </row>
    <row r="3137" spans="1:6" hidden="1" x14ac:dyDescent="0.25">
      <c r="A3137" s="103" t="s">
        <v>236</v>
      </c>
      <c r="B3137" s="103">
        <v>2018</v>
      </c>
      <c r="C3137" s="103" t="s">
        <v>102</v>
      </c>
      <c r="D3137" s="30">
        <v>4</v>
      </c>
      <c r="E3137" s="103">
        <v>129.30000000000001</v>
      </c>
      <c r="F3137" s="103">
        <v>25.4</v>
      </c>
    </row>
    <row r="3138" spans="1:6" hidden="1" x14ac:dyDescent="0.25">
      <c r="A3138" s="103" t="s">
        <v>236</v>
      </c>
      <c r="B3138" s="103">
        <v>2018</v>
      </c>
      <c r="C3138" s="103" t="s">
        <v>103</v>
      </c>
      <c r="D3138" s="30">
        <v>5</v>
      </c>
      <c r="E3138" s="103">
        <v>74.3</v>
      </c>
      <c r="F3138" s="103">
        <v>60.9</v>
      </c>
    </row>
    <row r="3139" spans="1:6" hidden="1" x14ac:dyDescent="0.25">
      <c r="A3139" s="103" t="s">
        <v>236</v>
      </c>
      <c r="B3139" s="103">
        <v>2018</v>
      </c>
      <c r="C3139" s="103" t="s">
        <v>104</v>
      </c>
      <c r="D3139" s="103">
        <v>6</v>
      </c>
      <c r="E3139" s="103">
        <v>20.2</v>
      </c>
      <c r="F3139" s="103">
        <v>86.8</v>
      </c>
    </row>
    <row r="3140" spans="1:6" hidden="1" x14ac:dyDescent="0.25">
      <c r="A3140" s="103" t="s">
        <v>236</v>
      </c>
      <c r="B3140" s="103">
        <v>2018</v>
      </c>
      <c r="C3140" s="103" t="s">
        <v>105</v>
      </c>
      <c r="D3140" s="103">
        <v>7</v>
      </c>
      <c r="E3140" s="103">
        <v>1.6</v>
      </c>
      <c r="F3140" s="103">
        <v>200.9</v>
      </c>
    </row>
    <row r="3141" spans="1:6" hidden="1" x14ac:dyDescent="0.25">
      <c r="A3141" s="103" t="s">
        <v>236</v>
      </c>
      <c r="B3141" s="103">
        <v>2018</v>
      </c>
      <c r="C3141" s="103" t="s">
        <v>106</v>
      </c>
      <c r="D3141" s="103">
        <v>8</v>
      </c>
      <c r="E3141" s="103">
        <v>13.4</v>
      </c>
      <c r="F3141" s="103">
        <v>136.6</v>
      </c>
    </row>
    <row r="3142" spans="1:6" hidden="1" x14ac:dyDescent="0.25">
      <c r="A3142" s="103" t="s">
        <v>236</v>
      </c>
      <c r="B3142" s="103">
        <v>2018</v>
      </c>
      <c r="C3142" s="103" t="s">
        <v>107</v>
      </c>
      <c r="D3142" s="103">
        <v>9</v>
      </c>
      <c r="E3142" s="103">
        <v>53.9</v>
      </c>
      <c r="F3142" s="103">
        <v>52.6</v>
      </c>
    </row>
    <row r="3143" spans="1:6" hidden="1" x14ac:dyDescent="0.25">
      <c r="A3143" s="103" t="s">
        <v>236</v>
      </c>
      <c r="B3143" s="103">
        <v>2018</v>
      </c>
      <c r="C3143" s="103" t="s">
        <v>108</v>
      </c>
      <c r="D3143" s="103">
        <v>10</v>
      </c>
      <c r="E3143" s="103">
        <v>133.9</v>
      </c>
      <c r="F3143" s="103">
        <v>27.7</v>
      </c>
    </row>
    <row r="3144" spans="1:6" hidden="1" x14ac:dyDescent="0.25">
      <c r="A3144" s="103" t="s">
        <v>236</v>
      </c>
      <c r="B3144" s="103">
        <v>2018</v>
      </c>
      <c r="C3144" s="103" t="s">
        <v>109</v>
      </c>
      <c r="D3144" s="103">
        <v>11</v>
      </c>
      <c r="E3144" s="103">
        <v>242.7</v>
      </c>
      <c r="F3144" s="103">
        <v>0.3</v>
      </c>
    </row>
    <row r="3145" spans="1:6" hidden="1" x14ac:dyDescent="0.25">
      <c r="A3145" s="103" t="s">
        <v>236</v>
      </c>
      <c r="B3145" s="103">
        <v>2018</v>
      </c>
      <c r="C3145" s="103" t="s">
        <v>110</v>
      </c>
      <c r="D3145" s="103">
        <v>12</v>
      </c>
      <c r="E3145" s="103">
        <v>326.60000000000002</v>
      </c>
      <c r="F3145" s="103">
        <v>0</v>
      </c>
    </row>
    <row r="3146" spans="1:6" hidden="1" x14ac:dyDescent="0.25">
      <c r="A3146" s="103" t="s">
        <v>237</v>
      </c>
      <c r="B3146" s="103">
        <v>2018</v>
      </c>
      <c r="C3146" s="103" t="s">
        <v>99</v>
      </c>
      <c r="D3146" s="30">
        <v>1</v>
      </c>
      <c r="E3146" s="103">
        <v>212.5</v>
      </c>
      <c r="F3146" s="103">
        <v>0.7</v>
      </c>
    </row>
    <row r="3147" spans="1:6" hidden="1" x14ac:dyDescent="0.25">
      <c r="A3147" s="103" t="s">
        <v>237</v>
      </c>
      <c r="B3147" s="103">
        <v>2018</v>
      </c>
      <c r="C3147" s="103" t="s">
        <v>100</v>
      </c>
      <c r="D3147" s="30">
        <v>2</v>
      </c>
      <c r="E3147" s="103">
        <v>330.7</v>
      </c>
      <c r="F3147" s="103">
        <v>0</v>
      </c>
    </row>
    <row r="3148" spans="1:6" hidden="1" x14ac:dyDescent="0.25">
      <c r="A3148" s="103" t="s">
        <v>237</v>
      </c>
      <c r="B3148" s="103">
        <v>2018</v>
      </c>
      <c r="C3148" s="103" t="s">
        <v>101</v>
      </c>
      <c r="D3148" s="30">
        <v>3</v>
      </c>
      <c r="E3148" s="103">
        <v>208.4</v>
      </c>
      <c r="F3148" s="103">
        <v>0.1</v>
      </c>
    </row>
    <row r="3149" spans="1:6" hidden="1" x14ac:dyDescent="0.25">
      <c r="A3149" s="103" t="s">
        <v>237</v>
      </c>
      <c r="B3149" s="103">
        <v>2018</v>
      </c>
      <c r="C3149" s="103" t="s">
        <v>102</v>
      </c>
      <c r="D3149" s="30">
        <v>4</v>
      </c>
      <c r="E3149" s="103">
        <v>76.3</v>
      </c>
      <c r="F3149" s="103">
        <v>33.4</v>
      </c>
    </row>
    <row r="3150" spans="1:6" hidden="1" x14ac:dyDescent="0.25">
      <c r="A3150" s="103" t="s">
        <v>237</v>
      </c>
      <c r="B3150" s="103">
        <v>2018</v>
      </c>
      <c r="C3150" s="103" t="s">
        <v>103</v>
      </c>
      <c r="D3150" s="30">
        <v>5</v>
      </c>
      <c r="E3150" s="103">
        <v>38.1</v>
      </c>
      <c r="F3150" s="103">
        <v>70</v>
      </c>
    </row>
    <row r="3151" spans="1:6" hidden="1" x14ac:dyDescent="0.25">
      <c r="A3151" s="103" t="s">
        <v>237</v>
      </c>
      <c r="B3151" s="103">
        <v>2018</v>
      </c>
      <c r="C3151" s="103" t="s">
        <v>104</v>
      </c>
      <c r="D3151" s="103">
        <v>6</v>
      </c>
      <c r="E3151" s="103">
        <v>0.6</v>
      </c>
      <c r="F3151" s="103">
        <v>168.7</v>
      </c>
    </row>
    <row r="3152" spans="1:6" hidden="1" x14ac:dyDescent="0.25">
      <c r="A3152" s="103" t="s">
        <v>237</v>
      </c>
      <c r="B3152" s="103">
        <v>2018</v>
      </c>
      <c r="C3152" s="103" t="s">
        <v>106</v>
      </c>
      <c r="D3152" s="103">
        <v>8</v>
      </c>
      <c r="E3152" s="103">
        <v>1.9</v>
      </c>
      <c r="F3152" s="103">
        <v>267</v>
      </c>
    </row>
    <row r="3153" spans="1:6" hidden="1" x14ac:dyDescent="0.25">
      <c r="A3153" s="103" t="s">
        <v>237</v>
      </c>
      <c r="B3153" s="103">
        <v>2018</v>
      </c>
      <c r="C3153" s="103" t="s">
        <v>107</v>
      </c>
      <c r="D3153" s="103">
        <v>9</v>
      </c>
      <c r="E3153" s="103">
        <v>8.1999999999999993</v>
      </c>
      <c r="F3153" s="103">
        <v>149</v>
      </c>
    </row>
    <row r="3154" spans="1:6" hidden="1" x14ac:dyDescent="0.25">
      <c r="A3154" s="103" t="s">
        <v>237</v>
      </c>
      <c r="B3154" s="103">
        <v>2018</v>
      </c>
      <c r="C3154" s="103" t="s">
        <v>108</v>
      </c>
      <c r="D3154" s="103">
        <v>10</v>
      </c>
      <c r="E3154" s="103">
        <v>66.900000000000006</v>
      </c>
      <c r="F3154" s="103">
        <v>47.7</v>
      </c>
    </row>
    <row r="3155" spans="1:6" hidden="1" x14ac:dyDescent="0.25">
      <c r="A3155" s="103" t="s">
        <v>237</v>
      </c>
      <c r="B3155" s="103">
        <v>2018</v>
      </c>
      <c r="C3155" s="103" t="s">
        <v>109</v>
      </c>
      <c r="D3155" s="103">
        <v>11</v>
      </c>
      <c r="E3155" s="103">
        <v>135.6</v>
      </c>
      <c r="F3155" s="103">
        <v>6.9</v>
      </c>
    </row>
    <row r="3156" spans="1:6" hidden="1" x14ac:dyDescent="0.25">
      <c r="A3156" s="103" t="s">
        <v>237</v>
      </c>
      <c r="B3156" s="103">
        <v>2018</v>
      </c>
      <c r="C3156" s="103" t="s">
        <v>110</v>
      </c>
      <c r="D3156" s="103">
        <v>12</v>
      </c>
      <c r="E3156" s="103">
        <v>289.39999999999998</v>
      </c>
      <c r="F3156" s="103">
        <v>0</v>
      </c>
    </row>
    <row r="3157" spans="1:6" hidden="1" x14ac:dyDescent="0.25">
      <c r="A3157" s="103" t="s">
        <v>237</v>
      </c>
      <c r="B3157" s="103">
        <v>2018</v>
      </c>
      <c r="C3157" s="103" t="s">
        <v>105</v>
      </c>
      <c r="D3157" s="103">
        <v>7</v>
      </c>
      <c r="E3157" s="103">
        <v>0</v>
      </c>
      <c r="F3157" s="103">
        <v>293.60000000000002</v>
      </c>
    </row>
    <row r="3158" spans="1:6" hidden="1" x14ac:dyDescent="0.25">
      <c r="A3158" s="103" t="s">
        <v>236</v>
      </c>
      <c r="B3158" s="103">
        <v>2019</v>
      </c>
      <c r="C3158" s="103" t="s">
        <v>99</v>
      </c>
      <c r="D3158" s="30">
        <v>1</v>
      </c>
      <c r="E3158" s="103">
        <v>405.9</v>
      </c>
      <c r="F3158" s="103">
        <v>0</v>
      </c>
    </row>
    <row r="3159" spans="1:6" hidden="1" x14ac:dyDescent="0.25">
      <c r="A3159" s="103" t="s">
        <v>236</v>
      </c>
      <c r="B3159" s="103">
        <v>2019</v>
      </c>
      <c r="C3159" s="103" t="s">
        <v>100</v>
      </c>
      <c r="D3159" s="30">
        <v>2</v>
      </c>
      <c r="E3159" s="103">
        <v>269.60000000000002</v>
      </c>
      <c r="F3159" s="103">
        <v>0.6</v>
      </c>
    </row>
    <row r="3160" spans="1:6" hidden="1" x14ac:dyDescent="0.25">
      <c r="A3160" s="103" t="s">
        <v>236</v>
      </c>
      <c r="B3160" s="103">
        <v>2019</v>
      </c>
      <c r="C3160" s="103" t="s">
        <v>101</v>
      </c>
      <c r="D3160" s="30">
        <v>3</v>
      </c>
      <c r="E3160" s="103">
        <v>235</v>
      </c>
      <c r="F3160" s="103">
        <v>1.3</v>
      </c>
    </row>
    <row r="3161" spans="1:6" hidden="1" x14ac:dyDescent="0.25">
      <c r="A3161" s="103" t="s">
        <v>236</v>
      </c>
      <c r="B3161" s="103">
        <v>2019</v>
      </c>
      <c r="C3161" s="103" t="s">
        <v>102</v>
      </c>
      <c r="D3161" s="30">
        <v>4</v>
      </c>
      <c r="E3161" s="103">
        <v>177.7</v>
      </c>
      <c r="F3161" s="103">
        <v>14.4</v>
      </c>
    </row>
    <row r="3162" spans="1:6" hidden="1" x14ac:dyDescent="0.25">
      <c r="A3162" s="103" t="s">
        <v>236</v>
      </c>
      <c r="B3162" s="103">
        <v>2019</v>
      </c>
      <c r="C3162" s="103" t="s">
        <v>103</v>
      </c>
      <c r="D3162" s="30">
        <v>5</v>
      </c>
      <c r="E3162" s="103">
        <v>127.2</v>
      </c>
      <c r="F3162" s="103">
        <v>12</v>
      </c>
    </row>
    <row r="3163" spans="1:6" hidden="1" x14ac:dyDescent="0.25">
      <c r="A3163" s="103" t="s">
        <v>236</v>
      </c>
      <c r="B3163" s="103">
        <v>2019</v>
      </c>
      <c r="C3163" s="103" t="s">
        <v>104</v>
      </c>
      <c r="D3163" s="103">
        <v>6</v>
      </c>
      <c r="E3163" s="103">
        <v>35.799999999999997</v>
      </c>
      <c r="F3163" s="103">
        <v>111.5</v>
      </c>
    </row>
    <row r="3164" spans="1:6" hidden="1" x14ac:dyDescent="0.25">
      <c r="A3164" s="103" t="s">
        <v>236</v>
      </c>
      <c r="B3164" s="103">
        <v>2019</v>
      </c>
      <c r="C3164" s="103" t="s">
        <v>105</v>
      </c>
      <c r="D3164" s="103">
        <v>7</v>
      </c>
      <c r="E3164" s="103">
        <v>10</v>
      </c>
      <c r="F3164" s="103">
        <v>162.5</v>
      </c>
    </row>
    <row r="3165" spans="1:6" hidden="1" x14ac:dyDescent="0.25">
      <c r="A3165" s="103" t="s">
        <v>236</v>
      </c>
      <c r="B3165" s="103">
        <v>2019</v>
      </c>
      <c r="C3165" s="103" t="s">
        <v>106</v>
      </c>
      <c r="D3165" s="103">
        <v>8</v>
      </c>
      <c r="E3165" s="103">
        <v>11.8</v>
      </c>
      <c r="F3165" s="103">
        <v>126.1</v>
      </c>
    </row>
    <row r="3166" spans="1:6" hidden="1" x14ac:dyDescent="0.25">
      <c r="A3166" s="103" t="s">
        <v>236</v>
      </c>
      <c r="B3166" s="103">
        <v>2019</v>
      </c>
      <c r="C3166" s="103" t="s">
        <v>107</v>
      </c>
      <c r="D3166" s="103">
        <v>9</v>
      </c>
      <c r="E3166" s="103">
        <v>45.3</v>
      </c>
      <c r="F3166" s="103">
        <v>41.3</v>
      </c>
    </row>
    <row r="3167" spans="1:6" hidden="1" x14ac:dyDescent="0.25">
      <c r="A3167" s="103" t="s">
        <v>236</v>
      </c>
      <c r="B3167" s="103">
        <v>2019</v>
      </c>
      <c r="C3167" s="103" t="s">
        <v>108</v>
      </c>
      <c r="D3167" s="103">
        <v>10</v>
      </c>
      <c r="E3167" s="103">
        <v>137.4</v>
      </c>
      <c r="F3167" s="103">
        <v>7.2</v>
      </c>
    </row>
    <row r="3168" spans="1:6" hidden="1" x14ac:dyDescent="0.25">
      <c r="A3168" s="103" t="s">
        <v>236</v>
      </c>
      <c r="B3168" s="103">
        <v>2019</v>
      </c>
      <c r="C3168" s="103" t="s">
        <v>109</v>
      </c>
      <c r="D3168" s="103">
        <v>11</v>
      </c>
      <c r="E3168" s="103">
        <v>283.2</v>
      </c>
      <c r="F3168" s="103">
        <v>0</v>
      </c>
    </row>
    <row r="3169" spans="1:6" hidden="1" x14ac:dyDescent="0.25">
      <c r="A3169" s="103" t="s">
        <v>236</v>
      </c>
      <c r="B3169" s="103">
        <v>2019</v>
      </c>
      <c r="C3169" s="103" t="s">
        <v>110</v>
      </c>
      <c r="D3169" s="103">
        <v>12</v>
      </c>
      <c r="E3169" s="103">
        <v>328.2</v>
      </c>
      <c r="F3169" s="103">
        <v>0</v>
      </c>
    </row>
    <row r="3170" spans="1:6" hidden="1" x14ac:dyDescent="0.25">
      <c r="A3170" s="103" t="s">
        <v>237</v>
      </c>
      <c r="B3170" s="103">
        <v>2019</v>
      </c>
      <c r="C3170" s="103" t="s">
        <v>99</v>
      </c>
      <c r="D3170" s="30">
        <v>1</v>
      </c>
      <c r="E3170" s="103">
        <v>365.7</v>
      </c>
      <c r="F3170" s="103">
        <v>0</v>
      </c>
    </row>
    <row r="3171" spans="1:6" hidden="1" x14ac:dyDescent="0.25">
      <c r="A3171" s="103" t="s">
        <v>237</v>
      </c>
      <c r="B3171" s="103">
        <v>2019</v>
      </c>
      <c r="C3171" s="103" t="s">
        <v>100</v>
      </c>
      <c r="D3171" s="30">
        <v>2</v>
      </c>
      <c r="E3171" s="103">
        <v>250</v>
      </c>
      <c r="F3171" s="103">
        <v>1.6</v>
      </c>
    </row>
    <row r="3172" spans="1:6" hidden="1" x14ac:dyDescent="0.25">
      <c r="A3172" s="103" t="s">
        <v>237</v>
      </c>
      <c r="B3172" s="103">
        <v>2019</v>
      </c>
      <c r="C3172" s="103" t="s">
        <v>101</v>
      </c>
      <c r="D3172" s="30">
        <v>3</v>
      </c>
      <c r="E3172" s="103">
        <v>189.1</v>
      </c>
      <c r="F3172" s="103">
        <v>4.0999999999999996</v>
      </c>
    </row>
    <row r="3173" spans="1:6" hidden="1" x14ac:dyDescent="0.25">
      <c r="A3173" s="103" t="s">
        <v>237</v>
      </c>
      <c r="B3173" s="103">
        <v>2019</v>
      </c>
      <c r="C3173" s="103" t="s">
        <v>102</v>
      </c>
      <c r="D3173" s="30">
        <v>4</v>
      </c>
      <c r="E3173" s="103">
        <v>132.1</v>
      </c>
      <c r="F3173" s="103">
        <v>11.8</v>
      </c>
    </row>
    <row r="3174" spans="1:6" hidden="1" x14ac:dyDescent="0.25">
      <c r="A3174" s="103" t="s">
        <v>237</v>
      </c>
      <c r="B3174" s="103">
        <v>2019</v>
      </c>
      <c r="C3174" s="103" t="s">
        <v>103</v>
      </c>
      <c r="D3174" s="30">
        <v>5</v>
      </c>
      <c r="E3174" s="103">
        <v>76.7</v>
      </c>
      <c r="F3174" s="103">
        <v>37.6</v>
      </c>
    </row>
    <row r="3175" spans="1:6" hidden="1" x14ac:dyDescent="0.25">
      <c r="A3175" s="103" t="s">
        <v>237</v>
      </c>
      <c r="B3175" s="103">
        <v>2019</v>
      </c>
      <c r="C3175" s="103" t="s">
        <v>104</v>
      </c>
      <c r="D3175" s="103">
        <v>6</v>
      </c>
      <c r="E3175" s="103">
        <v>12.3</v>
      </c>
      <c r="F3175" s="103">
        <v>178.1</v>
      </c>
    </row>
    <row r="3176" spans="1:6" hidden="1" x14ac:dyDescent="0.25">
      <c r="A3176" s="103" t="s">
        <v>237</v>
      </c>
      <c r="B3176" s="103">
        <v>2019</v>
      </c>
      <c r="C3176" s="103" t="s">
        <v>105</v>
      </c>
      <c r="D3176" s="103">
        <v>7</v>
      </c>
      <c r="E3176" s="103">
        <v>0.1</v>
      </c>
      <c r="F3176" s="103">
        <v>276.3</v>
      </c>
    </row>
    <row r="3177" spans="1:6" hidden="1" x14ac:dyDescent="0.25">
      <c r="A3177" s="103" t="s">
        <v>237</v>
      </c>
      <c r="B3177" s="103">
        <v>2019</v>
      </c>
      <c r="C3177" s="103" t="s">
        <v>106</v>
      </c>
      <c r="D3177" s="103">
        <v>8</v>
      </c>
      <c r="E3177" s="103">
        <v>0.7</v>
      </c>
      <c r="F3177" s="103">
        <v>247</v>
      </c>
    </row>
    <row r="3178" spans="1:6" hidden="1" x14ac:dyDescent="0.25">
      <c r="A3178" s="103" t="s">
        <v>237</v>
      </c>
      <c r="B3178" s="103">
        <v>2019</v>
      </c>
      <c r="C3178" s="103" t="s">
        <v>107</v>
      </c>
      <c r="D3178" s="103">
        <v>9</v>
      </c>
      <c r="E3178" s="103">
        <v>7.8</v>
      </c>
      <c r="F3178" s="103">
        <v>136.6</v>
      </c>
    </row>
    <row r="3179" spans="1:6" hidden="1" x14ac:dyDescent="0.25">
      <c r="A3179" s="103" t="s">
        <v>237</v>
      </c>
      <c r="B3179" s="103">
        <v>2019</v>
      </c>
      <c r="C3179" s="103" t="s">
        <v>108</v>
      </c>
      <c r="D3179" s="103">
        <v>10</v>
      </c>
      <c r="E3179" s="103">
        <v>41.4</v>
      </c>
      <c r="F3179" s="103">
        <v>50.8</v>
      </c>
    </row>
    <row r="3180" spans="1:6" hidden="1" x14ac:dyDescent="0.25">
      <c r="A3180" s="103" t="s">
        <v>237</v>
      </c>
      <c r="B3180" s="103">
        <v>2019</v>
      </c>
      <c r="C3180" s="103" t="s">
        <v>109</v>
      </c>
      <c r="D3180" s="103">
        <v>11</v>
      </c>
      <c r="E3180" s="103">
        <v>205</v>
      </c>
      <c r="F3180" s="103">
        <v>2.2999999999999998</v>
      </c>
    </row>
    <row r="3181" spans="1:6" hidden="1" x14ac:dyDescent="0.25">
      <c r="A3181" s="103" t="s">
        <v>237</v>
      </c>
      <c r="B3181" s="103">
        <v>2019</v>
      </c>
      <c r="C3181" s="103" t="s">
        <v>110</v>
      </c>
      <c r="D3181" s="103">
        <v>12</v>
      </c>
      <c r="E3181" s="103">
        <v>228.9</v>
      </c>
      <c r="F3181" s="103">
        <v>0.4</v>
      </c>
    </row>
    <row r="3182" spans="1:6" hidden="1" x14ac:dyDescent="0.25">
      <c r="A3182" s="103" t="s">
        <v>236</v>
      </c>
      <c r="B3182" s="103">
        <v>2020</v>
      </c>
      <c r="C3182" s="103" t="s">
        <v>99</v>
      </c>
      <c r="D3182" s="30">
        <v>1</v>
      </c>
      <c r="E3182" s="103">
        <v>339.7</v>
      </c>
      <c r="F3182" s="103">
        <v>0</v>
      </c>
    </row>
    <row r="3183" spans="1:6" hidden="1" x14ac:dyDescent="0.25">
      <c r="A3183" s="103" t="s">
        <v>236</v>
      </c>
      <c r="B3183" s="103">
        <v>2020</v>
      </c>
      <c r="C3183" s="103" t="s">
        <v>100</v>
      </c>
      <c r="D3183" s="30">
        <v>2</v>
      </c>
      <c r="E3183" s="103">
        <v>250.2</v>
      </c>
      <c r="F3183" s="103">
        <v>0</v>
      </c>
    </row>
    <row r="3184" spans="1:6" hidden="1" x14ac:dyDescent="0.25">
      <c r="A3184" s="103" t="s">
        <v>236</v>
      </c>
      <c r="B3184" s="103">
        <v>2020</v>
      </c>
      <c r="C3184" s="103" t="s">
        <v>101</v>
      </c>
      <c r="D3184" s="30">
        <v>3</v>
      </c>
      <c r="E3184" s="103">
        <v>270.10000000000002</v>
      </c>
      <c r="F3184" s="103">
        <v>0.5</v>
      </c>
    </row>
    <row r="3185" spans="1:6" hidden="1" x14ac:dyDescent="0.25">
      <c r="A3185" s="103" t="s">
        <v>236</v>
      </c>
      <c r="B3185" s="103">
        <v>2020</v>
      </c>
      <c r="C3185" s="103" t="s">
        <v>102</v>
      </c>
      <c r="D3185" s="30">
        <v>4</v>
      </c>
      <c r="E3185" s="103">
        <v>105.9</v>
      </c>
      <c r="F3185" s="103">
        <v>35.6</v>
      </c>
    </row>
    <row r="3186" spans="1:6" hidden="1" x14ac:dyDescent="0.25">
      <c r="A3186" s="103" t="s">
        <v>236</v>
      </c>
      <c r="B3186" s="103">
        <v>2020</v>
      </c>
      <c r="C3186" s="103" t="s">
        <v>103</v>
      </c>
      <c r="D3186" s="30">
        <v>5</v>
      </c>
      <c r="E3186" s="103">
        <v>86</v>
      </c>
      <c r="F3186" s="103">
        <v>49</v>
      </c>
    </row>
    <row r="3187" spans="1:6" hidden="1" x14ac:dyDescent="0.25">
      <c r="A3187" s="103" t="s">
        <v>236</v>
      </c>
      <c r="B3187" s="103">
        <v>2020</v>
      </c>
      <c r="C3187" s="103" t="s">
        <v>104</v>
      </c>
      <c r="D3187" s="103">
        <v>6</v>
      </c>
      <c r="E3187" s="103">
        <v>37.799999999999997</v>
      </c>
      <c r="F3187" s="103">
        <v>74.7</v>
      </c>
    </row>
    <row r="3188" spans="1:6" hidden="1" x14ac:dyDescent="0.25">
      <c r="A3188" s="103" t="s">
        <v>236</v>
      </c>
      <c r="B3188" s="103">
        <v>2020</v>
      </c>
      <c r="C3188" s="103" t="s">
        <v>105</v>
      </c>
      <c r="D3188" s="103">
        <v>7</v>
      </c>
      <c r="E3188" s="103">
        <v>16.100000000000001</v>
      </c>
      <c r="F3188" s="103">
        <v>112.2</v>
      </c>
    </row>
    <row r="3189" spans="1:6" hidden="1" x14ac:dyDescent="0.25">
      <c r="A3189" s="103" t="s">
        <v>236</v>
      </c>
      <c r="B3189" s="103">
        <v>2020</v>
      </c>
      <c r="C3189" s="103" t="s">
        <v>106</v>
      </c>
      <c r="D3189" s="103">
        <v>8</v>
      </c>
      <c r="E3189" s="103">
        <v>12.8</v>
      </c>
      <c r="F3189" s="103">
        <v>165.6</v>
      </c>
    </row>
    <row r="3190" spans="1:6" hidden="1" x14ac:dyDescent="0.25">
      <c r="A3190" s="103" t="s">
        <v>236</v>
      </c>
      <c r="B3190" s="103">
        <v>2020</v>
      </c>
      <c r="C3190" s="103" t="s">
        <v>107</v>
      </c>
      <c r="D3190" s="103">
        <v>9</v>
      </c>
      <c r="E3190" s="103">
        <v>46.2</v>
      </c>
      <c r="F3190" s="103">
        <v>84.3</v>
      </c>
    </row>
    <row r="3191" spans="1:6" hidden="1" x14ac:dyDescent="0.25">
      <c r="A3191" s="103" t="s">
        <v>236</v>
      </c>
      <c r="B3191" s="103">
        <v>2020</v>
      </c>
      <c r="C3191" s="103" t="s">
        <v>108</v>
      </c>
      <c r="D3191" s="103">
        <v>10</v>
      </c>
      <c r="E3191" s="103">
        <v>159.5</v>
      </c>
      <c r="F3191" s="103">
        <v>1.4</v>
      </c>
    </row>
    <row r="3192" spans="1:6" hidden="1" x14ac:dyDescent="0.25">
      <c r="A3192" s="103" t="s">
        <v>236</v>
      </c>
      <c r="B3192" s="103">
        <v>2020</v>
      </c>
      <c r="C3192" s="103" t="s">
        <v>109</v>
      </c>
      <c r="D3192" s="103">
        <v>11</v>
      </c>
      <c r="E3192" s="103">
        <v>220</v>
      </c>
      <c r="F3192" s="103">
        <v>0.5</v>
      </c>
    </row>
    <row r="3193" spans="1:6" hidden="1" x14ac:dyDescent="0.25">
      <c r="A3193" s="103" t="s">
        <v>236</v>
      </c>
      <c r="B3193" s="103">
        <v>2020</v>
      </c>
      <c r="C3193" s="103" t="s">
        <v>110</v>
      </c>
      <c r="D3193" s="103">
        <v>12</v>
      </c>
      <c r="E3193" s="103">
        <v>337.8</v>
      </c>
      <c r="F3193" s="103">
        <v>0</v>
      </c>
    </row>
    <row r="3194" spans="1:6" hidden="1" x14ac:dyDescent="0.25">
      <c r="A3194" s="103" t="s">
        <v>237</v>
      </c>
      <c r="B3194" s="103">
        <v>2020</v>
      </c>
      <c r="C3194" s="103" t="s">
        <v>99</v>
      </c>
      <c r="D3194" s="30">
        <v>1</v>
      </c>
      <c r="E3194" s="103">
        <v>269.10000000000002</v>
      </c>
      <c r="F3194" s="103">
        <v>0</v>
      </c>
    </row>
    <row r="3195" spans="1:6" hidden="1" x14ac:dyDescent="0.25">
      <c r="A3195" s="103" t="s">
        <v>237</v>
      </c>
      <c r="B3195" s="103">
        <v>2020</v>
      </c>
      <c r="C3195" s="103" t="s">
        <v>100</v>
      </c>
      <c r="D3195" s="30">
        <v>2</v>
      </c>
      <c r="E3195" s="103">
        <v>215.4</v>
      </c>
      <c r="F3195" s="103">
        <v>0.8</v>
      </c>
    </row>
    <row r="3196" spans="1:6" hidden="1" x14ac:dyDescent="0.25">
      <c r="A3196" s="103" t="s">
        <v>237</v>
      </c>
      <c r="B3196" s="103">
        <v>2020</v>
      </c>
      <c r="C3196" s="103" t="s">
        <v>101</v>
      </c>
      <c r="D3196" s="30">
        <v>3</v>
      </c>
      <c r="E3196" s="103">
        <v>208.8</v>
      </c>
      <c r="F3196" s="103">
        <v>2</v>
      </c>
    </row>
    <row r="3197" spans="1:6" hidden="1" x14ac:dyDescent="0.25">
      <c r="A3197" s="103" t="s">
        <v>237</v>
      </c>
      <c r="B3197" s="103">
        <v>2020</v>
      </c>
      <c r="C3197" s="103" t="s">
        <v>102</v>
      </c>
      <c r="D3197" s="30">
        <v>4</v>
      </c>
      <c r="E3197" s="103">
        <v>116.8</v>
      </c>
      <c r="F3197" s="103">
        <v>16.399999999999999</v>
      </c>
    </row>
    <row r="3198" spans="1:6" hidden="1" x14ac:dyDescent="0.25">
      <c r="A3198" s="103" t="s">
        <v>237</v>
      </c>
      <c r="B3198" s="103">
        <v>2020</v>
      </c>
      <c r="C3198" s="103" t="s">
        <v>103</v>
      </c>
      <c r="D3198" s="30">
        <v>5</v>
      </c>
      <c r="E3198" s="103">
        <v>31.7</v>
      </c>
      <c r="F3198" s="103">
        <v>78.7</v>
      </c>
    </row>
    <row r="3199" spans="1:6" hidden="1" x14ac:dyDescent="0.25">
      <c r="A3199" s="103" t="s">
        <v>237</v>
      </c>
      <c r="B3199" s="103">
        <v>2020</v>
      </c>
      <c r="C3199" s="103" t="s">
        <v>104</v>
      </c>
      <c r="D3199" s="103">
        <v>6</v>
      </c>
      <c r="E3199" s="103">
        <v>8.1</v>
      </c>
      <c r="F3199" s="103">
        <v>131.9</v>
      </c>
    </row>
    <row r="3200" spans="1:6" hidden="1" x14ac:dyDescent="0.25">
      <c r="A3200" s="103" t="s">
        <v>237</v>
      </c>
      <c r="B3200" s="103">
        <v>2020</v>
      </c>
      <c r="C3200" s="103" t="s">
        <v>105</v>
      </c>
      <c r="D3200" s="103">
        <v>7</v>
      </c>
      <c r="E3200" s="103">
        <v>0.9</v>
      </c>
      <c r="F3200" s="103">
        <v>242.7</v>
      </c>
    </row>
    <row r="3201" spans="1:6" hidden="1" x14ac:dyDescent="0.25">
      <c r="A3201" s="103" t="s">
        <v>237</v>
      </c>
      <c r="B3201" s="103">
        <v>2020</v>
      </c>
      <c r="C3201" s="103" t="s">
        <v>106</v>
      </c>
      <c r="D3201" s="103">
        <v>8</v>
      </c>
      <c r="E3201" s="103">
        <v>1.5</v>
      </c>
      <c r="F3201" s="103">
        <v>241.7</v>
      </c>
    </row>
    <row r="3202" spans="1:6" hidden="1" x14ac:dyDescent="0.25">
      <c r="A3202" s="103" t="s">
        <v>237</v>
      </c>
      <c r="B3202" s="103">
        <v>2020</v>
      </c>
      <c r="C3202" s="103" t="s">
        <v>107</v>
      </c>
      <c r="D3202" s="103">
        <v>9</v>
      </c>
      <c r="E3202" s="103">
        <v>19.899999999999999</v>
      </c>
      <c r="F3202" s="103">
        <v>126.1</v>
      </c>
    </row>
    <row r="3203" spans="1:6" hidden="1" x14ac:dyDescent="0.25">
      <c r="A3203" s="103" t="s">
        <v>237</v>
      </c>
      <c r="B3203" s="103">
        <v>2020</v>
      </c>
      <c r="C3203" s="103" t="s">
        <v>108</v>
      </c>
      <c r="D3203" s="103">
        <v>10</v>
      </c>
      <c r="E3203" s="103">
        <v>108.4</v>
      </c>
      <c r="F3203" s="103">
        <v>16.399999999999999</v>
      </c>
    </row>
    <row r="3204" spans="1:6" hidden="1" x14ac:dyDescent="0.25">
      <c r="A3204" s="103" t="s">
        <v>237</v>
      </c>
      <c r="B3204" s="103">
        <v>2020</v>
      </c>
      <c r="C3204" s="103" t="s">
        <v>109</v>
      </c>
      <c r="D3204" s="103">
        <v>11</v>
      </c>
      <c r="E3204" s="103">
        <v>151.5</v>
      </c>
      <c r="F3204" s="103">
        <v>5.3</v>
      </c>
    </row>
    <row r="3205" spans="1:6" hidden="1" x14ac:dyDescent="0.25">
      <c r="A3205" s="103" t="s">
        <v>237</v>
      </c>
      <c r="B3205" s="103">
        <v>2020</v>
      </c>
      <c r="C3205" s="103" t="s">
        <v>110</v>
      </c>
      <c r="D3205" s="103">
        <v>12</v>
      </c>
      <c r="E3205" s="103">
        <v>290.5</v>
      </c>
      <c r="F3205" s="103">
        <v>0</v>
      </c>
    </row>
    <row r="3206" spans="1:6" hidden="1" x14ac:dyDescent="0.25">
      <c r="A3206" s="103" t="s">
        <v>236</v>
      </c>
      <c r="B3206" s="103">
        <v>2021</v>
      </c>
      <c r="C3206" s="103" t="s">
        <v>99</v>
      </c>
      <c r="D3206" s="30">
        <v>1</v>
      </c>
      <c r="E3206" s="103">
        <v>397.4</v>
      </c>
      <c r="F3206" s="103">
        <v>0</v>
      </c>
    </row>
    <row r="3207" spans="1:6" hidden="1" x14ac:dyDescent="0.25">
      <c r="A3207" s="103" t="s">
        <v>236</v>
      </c>
      <c r="B3207" s="103">
        <v>2021</v>
      </c>
      <c r="C3207" s="103" t="s">
        <v>100</v>
      </c>
      <c r="D3207" s="30">
        <v>2</v>
      </c>
      <c r="E3207" s="103">
        <v>303.89999999999998</v>
      </c>
      <c r="F3207" s="103">
        <v>0.5</v>
      </c>
    </row>
    <row r="3208" spans="1:6" hidden="1" x14ac:dyDescent="0.25">
      <c r="A3208" s="103" t="s">
        <v>236</v>
      </c>
      <c r="B3208" s="103">
        <v>2021</v>
      </c>
      <c r="C3208" s="103" t="s">
        <v>101</v>
      </c>
      <c r="D3208" s="30">
        <v>3</v>
      </c>
      <c r="E3208" s="103">
        <v>277</v>
      </c>
      <c r="F3208" s="103">
        <v>5.8</v>
      </c>
    </row>
    <row r="3209" spans="1:6" hidden="1" x14ac:dyDescent="0.25">
      <c r="A3209" s="103" t="s">
        <v>236</v>
      </c>
      <c r="B3209" s="103">
        <v>2021</v>
      </c>
      <c r="C3209" s="103" t="s">
        <v>102</v>
      </c>
      <c r="D3209" s="30">
        <v>4</v>
      </c>
      <c r="E3209" s="103">
        <v>232.6</v>
      </c>
      <c r="F3209" s="103">
        <v>4.8</v>
      </c>
    </row>
    <row r="3210" spans="1:6" hidden="1" x14ac:dyDescent="0.25">
      <c r="A3210" s="103" t="s">
        <v>236</v>
      </c>
      <c r="B3210" s="103">
        <v>2021</v>
      </c>
      <c r="C3210" s="103" t="s">
        <v>103</v>
      </c>
      <c r="D3210" s="30">
        <v>5</v>
      </c>
      <c r="E3210" s="103">
        <v>147.6</v>
      </c>
      <c r="F3210" s="103">
        <v>14</v>
      </c>
    </row>
    <row r="3211" spans="1:6" hidden="1" x14ac:dyDescent="0.25">
      <c r="A3211" s="103" t="s">
        <v>236</v>
      </c>
      <c r="B3211" s="103">
        <v>2021</v>
      </c>
      <c r="C3211" s="103" t="s">
        <v>104</v>
      </c>
      <c r="D3211" s="103">
        <v>6</v>
      </c>
      <c r="E3211" s="103">
        <v>21.2</v>
      </c>
      <c r="F3211" s="103">
        <v>95</v>
      </c>
    </row>
    <row r="3212" spans="1:6" hidden="1" x14ac:dyDescent="0.25">
      <c r="A3212" s="103" t="s">
        <v>236</v>
      </c>
      <c r="B3212" s="103">
        <v>2021</v>
      </c>
      <c r="C3212" s="103" t="s">
        <v>105</v>
      </c>
      <c r="D3212" s="103">
        <v>7</v>
      </c>
      <c r="E3212" s="103">
        <v>11.8</v>
      </c>
      <c r="F3212" s="103">
        <v>90.1</v>
      </c>
    </row>
    <row r="3213" spans="1:6" hidden="1" x14ac:dyDescent="0.25">
      <c r="A3213" s="103" t="s">
        <v>236</v>
      </c>
      <c r="B3213" s="103">
        <v>2021</v>
      </c>
      <c r="C3213" s="103" t="s">
        <v>106</v>
      </c>
      <c r="D3213" s="103">
        <v>8</v>
      </c>
      <c r="E3213" s="103">
        <v>21.3</v>
      </c>
      <c r="F3213" s="103">
        <v>69.8</v>
      </c>
    </row>
    <row r="3214" spans="1:6" hidden="1" x14ac:dyDescent="0.25">
      <c r="A3214" s="103" t="s">
        <v>236</v>
      </c>
      <c r="B3214" s="103">
        <v>2021</v>
      </c>
      <c r="C3214" s="103" t="s">
        <v>107</v>
      </c>
      <c r="D3214" s="103">
        <v>9</v>
      </c>
      <c r="E3214" s="103">
        <v>36.1</v>
      </c>
      <c r="F3214" s="103">
        <v>75</v>
      </c>
    </row>
    <row r="3215" spans="1:6" hidden="1" x14ac:dyDescent="0.25">
      <c r="A3215" s="103" t="s">
        <v>236</v>
      </c>
      <c r="B3215" s="103">
        <v>2021</v>
      </c>
      <c r="C3215" s="103" t="s">
        <v>108</v>
      </c>
      <c r="D3215" s="103">
        <v>10</v>
      </c>
      <c r="E3215" s="103">
        <v>153.1</v>
      </c>
      <c r="F3215" s="103">
        <v>3.3</v>
      </c>
    </row>
    <row r="3216" spans="1:6" hidden="1" x14ac:dyDescent="0.25">
      <c r="A3216" s="103" t="s">
        <v>236</v>
      </c>
      <c r="B3216" s="103">
        <v>2021</v>
      </c>
      <c r="C3216" s="103" t="s">
        <v>109</v>
      </c>
      <c r="D3216" s="103">
        <v>11</v>
      </c>
      <c r="E3216" s="103">
        <v>311.39999999999998</v>
      </c>
      <c r="F3216" s="103">
        <v>0</v>
      </c>
    </row>
    <row r="3217" spans="1:6" hidden="1" x14ac:dyDescent="0.25">
      <c r="A3217" s="103" t="s">
        <v>236</v>
      </c>
      <c r="B3217" s="103">
        <v>2021</v>
      </c>
      <c r="C3217" s="103" t="s">
        <v>110</v>
      </c>
      <c r="D3217" s="103">
        <v>12</v>
      </c>
      <c r="E3217" s="103">
        <v>324.5</v>
      </c>
      <c r="F3217" s="103">
        <v>0</v>
      </c>
    </row>
    <row r="3218" spans="1:6" hidden="1" x14ac:dyDescent="0.25">
      <c r="A3218" s="103" t="s">
        <v>237</v>
      </c>
      <c r="B3218" s="103">
        <v>2021</v>
      </c>
      <c r="C3218" s="103" t="s">
        <v>99</v>
      </c>
      <c r="D3218" s="30">
        <v>1</v>
      </c>
      <c r="E3218" s="103">
        <v>348.4</v>
      </c>
      <c r="F3218" s="103">
        <v>0</v>
      </c>
    </row>
    <row r="3219" spans="1:6" hidden="1" x14ac:dyDescent="0.25">
      <c r="A3219" s="103" t="s">
        <v>237</v>
      </c>
      <c r="B3219" s="103">
        <v>2021</v>
      </c>
      <c r="C3219" s="103" t="s">
        <v>100</v>
      </c>
      <c r="D3219" s="30">
        <v>2</v>
      </c>
      <c r="E3219" s="103">
        <v>197.2</v>
      </c>
      <c r="F3219" s="103">
        <v>0.3</v>
      </c>
    </row>
    <row r="3220" spans="1:6" hidden="1" x14ac:dyDescent="0.25">
      <c r="A3220" s="103" t="s">
        <v>237</v>
      </c>
      <c r="B3220" s="103">
        <v>2021</v>
      </c>
      <c r="C3220" s="103" t="s">
        <v>101</v>
      </c>
      <c r="D3220" s="30">
        <v>3</v>
      </c>
      <c r="E3220" s="103">
        <v>231</v>
      </c>
      <c r="F3220" s="103">
        <v>1.5</v>
      </c>
    </row>
    <row r="3221" spans="1:6" hidden="1" x14ac:dyDescent="0.25">
      <c r="A3221" s="103" t="s">
        <v>237</v>
      </c>
      <c r="B3221" s="103">
        <v>2021</v>
      </c>
      <c r="C3221" s="103" t="s">
        <v>102</v>
      </c>
      <c r="D3221" s="30">
        <v>4</v>
      </c>
      <c r="E3221" s="103">
        <v>170.1</v>
      </c>
      <c r="F3221" s="103">
        <v>7.6</v>
      </c>
    </row>
    <row r="3222" spans="1:6" hidden="1" x14ac:dyDescent="0.25">
      <c r="A3222" s="103" t="s">
        <v>237</v>
      </c>
      <c r="B3222" s="103">
        <v>2021</v>
      </c>
      <c r="C3222" s="103" t="s">
        <v>103</v>
      </c>
      <c r="D3222" s="30">
        <v>5</v>
      </c>
      <c r="E3222" s="103">
        <v>60.8</v>
      </c>
      <c r="F3222" s="103">
        <v>41.3</v>
      </c>
    </row>
    <row r="3223" spans="1:6" hidden="1" x14ac:dyDescent="0.25">
      <c r="A3223" s="103" t="s">
        <v>237</v>
      </c>
      <c r="B3223" s="103">
        <v>2021</v>
      </c>
      <c r="C3223" s="103" t="s">
        <v>104</v>
      </c>
      <c r="D3223" s="103">
        <v>6</v>
      </c>
      <c r="E3223" s="103">
        <v>3</v>
      </c>
      <c r="F3223" s="103">
        <v>192.5</v>
      </c>
    </row>
    <row r="3224" spans="1:6" hidden="1" x14ac:dyDescent="0.25">
      <c r="A3224" s="103" t="s">
        <v>237</v>
      </c>
      <c r="B3224" s="103">
        <v>2021</v>
      </c>
      <c r="C3224" s="103" t="s">
        <v>105</v>
      </c>
      <c r="D3224" s="103">
        <v>7</v>
      </c>
      <c r="E3224" s="103">
        <v>0.7</v>
      </c>
      <c r="F3224" s="103">
        <v>229.1</v>
      </c>
    </row>
    <row r="3225" spans="1:6" hidden="1" x14ac:dyDescent="0.25">
      <c r="A3225" s="103" t="s">
        <v>237</v>
      </c>
      <c r="B3225" s="103">
        <v>2021</v>
      </c>
      <c r="C3225" s="103" t="s">
        <v>106</v>
      </c>
      <c r="D3225" s="103">
        <v>8</v>
      </c>
      <c r="E3225" s="103">
        <v>3</v>
      </c>
      <c r="F3225" s="103">
        <v>201.3</v>
      </c>
    </row>
    <row r="3226" spans="1:6" hidden="1" x14ac:dyDescent="0.25">
      <c r="A3226" s="103" t="s">
        <v>237</v>
      </c>
      <c r="B3226" s="103">
        <v>2021</v>
      </c>
      <c r="C3226" s="103" t="s">
        <v>107</v>
      </c>
      <c r="D3226" s="103">
        <v>9</v>
      </c>
      <c r="E3226" s="103">
        <v>8</v>
      </c>
      <c r="F3226" s="103">
        <v>143</v>
      </c>
    </row>
    <row r="3227" spans="1:6" hidden="1" x14ac:dyDescent="0.25">
      <c r="A3227" s="103" t="s">
        <v>237</v>
      </c>
      <c r="B3227" s="103">
        <v>2021</v>
      </c>
      <c r="C3227" s="103" t="s">
        <v>108</v>
      </c>
      <c r="D3227" s="103">
        <v>10</v>
      </c>
      <c r="E3227" s="103">
        <v>77.7</v>
      </c>
      <c r="F3227" s="103">
        <v>32</v>
      </c>
    </row>
    <row r="3228" spans="1:6" hidden="1" x14ac:dyDescent="0.25">
      <c r="A3228" s="103" t="s">
        <v>237</v>
      </c>
      <c r="B3228" s="103">
        <v>2021</v>
      </c>
      <c r="C3228" s="103" t="s">
        <v>109</v>
      </c>
      <c r="D3228" s="103">
        <v>11</v>
      </c>
      <c r="E3228" s="103">
        <v>194.5</v>
      </c>
      <c r="F3228" s="103">
        <v>2.4</v>
      </c>
    </row>
    <row r="3229" spans="1:6" hidden="1" x14ac:dyDescent="0.25">
      <c r="A3229" s="103" t="s">
        <v>237</v>
      </c>
      <c r="B3229" s="103">
        <v>2021</v>
      </c>
      <c r="C3229" s="103" t="s">
        <v>110</v>
      </c>
      <c r="D3229" s="103">
        <v>12</v>
      </c>
      <c r="E3229" s="103">
        <v>311</v>
      </c>
      <c r="F3229" s="103">
        <v>0.5</v>
      </c>
    </row>
    <row r="3230" spans="1:6" hidden="1" x14ac:dyDescent="0.25">
      <c r="A3230" s="103" t="s">
        <v>236</v>
      </c>
      <c r="B3230" s="103">
        <v>2022</v>
      </c>
      <c r="C3230" s="103" t="s">
        <v>99</v>
      </c>
      <c r="D3230" s="30">
        <v>1</v>
      </c>
      <c r="E3230" s="103">
        <v>386.2</v>
      </c>
      <c r="F3230" s="103">
        <v>0</v>
      </c>
    </row>
    <row r="3231" spans="1:6" hidden="1" x14ac:dyDescent="0.25">
      <c r="A3231" s="103" t="s">
        <v>236</v>
      </c>
      <c r="B3231" s="103">
        <v>2022</v>
      </c>
      <c r="C3231" s="103" t="s">
        <v>100</v>
      </c>
      <c r="D3231" s="30">
        <v>2</v>
      </c>
      <c r="E3231" s="103">
        <v>270.39999999999998</v>
      </c>
      <c r="F3231" s="103">
        <v>0</v>
      </c>
    </row>
    <row r="3232" spans="1:6" hidden="1" x14ac:dyDescent="0.25">
      <c r="A3232" s="103" t="s">
        <v>236</v>
      </c>
      <c r="B3232" s="103">
        <v>2022</v>
      </c>
      <c r="C3232" s="103" t="s">
        <v>101</v>
      </c>
      <c r="D3232" s="30">
        <v>3</v>
      </c>
      <c r="E3232" s="103">
        <v>230.7</v>
      </c>
      <c r="F3232" s="103">
        <v>3.4</v>
      </c>
    </row>
    <row r="3233" spans="1:6" hidden="1" x14ac:dyDescent="0.25">
      <c r="A3233" s="103" t="s">
        <v>236</v>
      </c>
      <c r="B3233" s="103">
        <v>2022</v>
      </c>
      <c r="C3233" s="103" t="s">
        <v>102</v>
      </c>
      <c r="D3233" s="30">
        <v>4</v>
      </c>
      <c r="E3233" s="103">
        <v>180.8</v>
      </c>
      <c r="F3233" s="103">
        <v>8.6999999999999993</v>
      </c>
    </row>
    <row r="3234" spans="1:6" hidden="1" x14ac:dyDescent="0.25">
      <c r="A3234" s="103" t="s">
        <v>236</v>
      </c>
      <c r="B3234" s="103">
        <v>2022</v>
      </c>
      <c r="C3234" s="103" t="s">
        <v>103</v>
      </c>
      <c r="D3234" s="30">
        <v>5</v>
      </c>
      <c r="E3234" s="103">
        <v>60.8</v>
      </c>
      <c r="F3234" s="103">
        <v>53.2</v>
      </c>
    </row>
    <row r="3235" spans="1:6" hidden="1" x14ac:dyDescent="0.25">
      <c r="A3235" s="103" t="s">
        <v>236</v>
      </c>
      <c r="B3235" s="103">
        <v>2022</v>
      </c>
      <c r="C3235" s="103" t="s">
        <v>104</v>
      </c>
      <c r="D3235" s="103">
        <v>6</v>
      </c>
      <c r="E3235" s="103">
        <v>21.7</v>
      </c>
      <c r="F3235" s="103">
        <v>95.8</v>
      </c>
    </row>
    <row r="3236" spans="1:6" hidden="1" x14ac:dyDescent="0.25">
      <c r="A3236" s="103" t="s">
        <v>236</v>
      </c>
      <c r="B3236" s="103">
        <v>2022</v>
      </c>
      <c r="C3236" s="103" t="s">
        <v>105</v>
      </c>
      <c r="D3236" s="103">
        <v>7</v>
      </c>
      <c r="E3236" s="103">
        <v>10.4</v>
      </c>
      <c r="F3236" s="103">
        <v>165</v>
      </c>
    </row>
    <row r="3237" spans="1:6" hidden="1" x14ac:dyDescent="0.25">
      <c r="A3237" s="103" t="s">
        <v>236</v>
      </c>
      <c r="B3237" s="103">
        <v>2022</v>
      </c>
      <c r="C3237" s="103" t="s">
        <v>106</v>
      </c>
      <c r="D3237" s="103">
        <v>8</v>
      </c>
      <c r="E3237" s="103">
        <v>5.6</v>
      </c>
      <c r="F3237" s="103">
        <v>170.5</v>
      </c>
    </row>
    <row r="3238" spans="1:6" hidden="1" x14ac:dyDescent="0.25">
      <c r="A3238" s="103" t="s">
        <v>236</v>
      </c>
      <c r="B3238" s="103">
        <v>2022</v>
      </c>
      <c r="C3238" s="103" t="s">
        <v>107</v>
      </c>
      <c r="D3238" s="103">
        <v>9</v>
      </c>
      <c r="E3238" s="103">
        <v>64.599999999999994</v>
      </c>
      <c r="F3238" s="103">
        <v>50.6</v>
      </c>
    </row>
    <row r="3239" spans="1:6" hidden="1" x14ac:dyDescent="0.25">
      <c r="A3239" s="103" t="s">
        <v>236</v>
      </c>
      <c r="B3239" s="103">
        <v>2022</v>
      </c>
      <c r="C3239" s="103" t="s">
        <v>108</v>
      </c>
      <c r="D3239" s="103">
        <v>10</v>
      </c>
      <c r="E3239" s="103">
        <v>70.8</v>
      </c>
      <c r="F3239" s="103">
        <v>17.8</v>
      </c>
    </row>
    <row r="3240" spans="1:6" hidden="1" x14ac:dyDescent="0.25">
      <c r="A3240" s="103" t="s">
        <v>236</v>
      </c>
      <c r="B3240" s="103">
        <v>2022</v>
      </c>
      <c r="C3240" s="103" t="s">
        <v>109</v>
      </c>
      <c r="D3240" s="103">
        <v>11</v>
      </c>
      <c r="E3240" s="103">
        <v>234.6</v>
      </c>
      <c r="F3240" s="103">
        <v>0</v>
      </c>
    </row>
    <row r="3241" spans="1:6" hidden="1" x14ac:dyDescent="0.25">
      <c r="A3241" s="103" t="s">
        <v>236</v>
      </c>
      <c r="B3241" s="103">
        <v>2022</v>
      </c>
      <c r="C3241" s="103" t="s">
        <v>110</v>
      </c>
      <c r="D3241" s="103">
        <v>12</v>
      </c>
      <c r="E3241" s="103">
        <v>383.4</v>
      </c>
      <c r="F3241" s="103">
        <v>0</v>
      </c>
    </row>
    <row r="3242" spans="1:6" hidden="1" x14ac:dyDescent="0.25">
      <c r="A3242" s="103" t="s">
        <v>237</v>
      </c>
      <c r="B3242" s="103">
        <v>2022</v>
      </c>
      <c r="C3242" s="103" t="s">
        <v>99</v>
      </c>
      <c r="D3242" s="30">
        <v>1</v>
      </c>
      <c r="E3242" s="103">
        <v>362.6</v>
      </c>
      <c r="F3242" s="103">
        <v>0</v>
      </c>
    </row>
    <row r="3243" spans="1:6" hidden="1" x14ac:dyDescent="0.25">
      <c r="A3243" s="103" t="s">
        <v>237</v>
      </c>
      <c r="B3243" s="103">
        <v>2022</v>
      </c>
      <c r="C3243" s="103" t="s">
        <v>100</v>
      </c>
      <c r="D3243" s="30">
        <v>2</v>
      </c>
      <c r="E3243" s="103">
        <v>212.6</v>
      </c>
      <c r="F3243" s="103">
        <v>1.5</v>
      </c>
    </row>
    <row r="3244" spans="1:6" hidden="1" x14ac:dyDescent="0.25">
      <c r="A3244" s="103" t="s">
        <v>237</v>
      </c>
      <c r="B3244" s="103">
        <v>2022</v>
      </c>
      <c r="C3244" s="103" t="s">
        <v>101</v>
      </c>
      <c r="D3244" s="30">
        <v>3</v>
      </c>
      <c r="E3244" s="103">
        <v>188.4</v>
      </c>
      <c r="F3244" s="103">
        <v>5</v>
      </c>
    </row>
    <row r="3245" spans="1:6" hidden="1" x14ac:dyDescent="0.25">
      <c r="A3245" s="103" t="s">
        <v>237</v>
      </c>
      <c r="B3245" s="103">
        <v>2022</v>
      </c>
      <c r="C3245" s="103" t="s">
        <v>102</v>
      </c>
      <c r="D3245" s="30">
        <v>4</v>
      </c>
      <c r="E3245" s="103">
        <v>130.6</v>
      </c>
      <c r="F3245" s="103">
        <v>24.4</v>
      </c>
    </row>
    <row r="3246" spans="1:6" hidden="1" x14ac:dyDescent="0.25">
      <c r="A3246" s="103" t="s">
        <v>237</v>
      </c>
      <c r="B3246" s="103">
        <v>2022</v>
      </c>
      <c r="C3246" s="103" t="s">
        <v>103</v>
      </c>
      <c r="D3246" s="30">
        <v>5</v>
      </c>
      <c r="E3246" s="103">
        <v>27.4</v>
      </c>
      <c r="F3246" s="103">
        <v>115.5</v>
      </c>
    </row>
    <row r="3247" spans="1:6" hidden="1" x14ac:dyDescent="0.25">
      <c r="A3247" s="103" t="s">
        <v>237</v>
      </c>
      <c r="B3247" s="103">
        <v>2022</v>
      </c>
      <c r="C3247" s="103" t="s">
        <v>104</v>
      </c>
      <c r="D3247" s="103">
        <v>6</v>
      </c>
      <c r="E3247" s="103">
        <v>1.1000000000000001</v>
      </c>
      <c r="F3247" s="103">
        <v>246.3</v>
      </c>
    </row>
    <row r="3248" spans="1:6" hidden="1" x14ac:dyDescent="0.25">
      <c r="A3248" s="103" t="s">
        <v>237</v>
      </c>
      <c r="B3248" s="103">
        <v>2022</v>
      </c>
      <c r="C3248" s="103" t="s">
        <v>105</v>
      </c>
      <c r="D3248" s="103">
        <v>7</v>
      </c>
      <c r="E3248" s="103">
        <v>0.4</v>
      </c>
      <c r="F3248" s="103">
        <v>299.5</v>
      </c>
    </row>
    <row r="3249" spans="1:6" hidden="1" x14ac:dyDescent="0.25">
      <c r="A3249" s="103" t="s">
        <v>237</v>
      </c>
      <c r="B3249" s="103">
        <v>2022</v>
      </c>
      <c r="C3249" s="103" t="s">
        <v>107</v>
      </c>
      <c r="D3249" s="103">
        <v>9</v>
      </c>
      <c r="E3249" s="103">
        <v>17.3</v>
      </c>
      <c r="F3249" s="103">
        <v>132.30000000000001</v>
      </c>
    </row>
    <row r="3250" spans="1:6" hidden="1" x14ac:dyDescent="0.25">
      <c r="A3250" s="103" t="s">
        <v>237</v>
      </c>
      <c r="B3250" s="103">
        <v>2022</v>
      </c>
      <c r="C3250" s="103" t="s">
        <v>108</v>
      </c>
      <c r="D3250" s="103">
        <v>10</v>
      </c>
      <c r="E3250" s="103">
        <v>24.2</v>
      </c>
      <c r="F3250" s="103">
        <v>90.6</v>
      </c>
    </row>
    <row r="3251" spans="1:6" hidden="1" x14ac:dyDescent="0.25">
      <c r="A3251" s="103" t="s">
        <v>237</v>
      </c>
      <c r="B3251" s="103">
        <v>2022</v>
      </c>
      <c r="C3251" s="103" t="s">
        <v>109</v>
      </c>
      <c r="D3251" s="103">
        <v>11</v>
      </c>
      <c r="E3251" s="103">
        <v>143.9</v>
      </c>
      <c r="F3251" s="103">
        <v>10.4</v>
      </c>
    </row>
    <row r="3252" spans="1:6" hidden="1" x14ac:dyDescent="0.25">
      <c r="A3252" s="103" t="s">
        <v>237</v>
      </c>
      <c r="B3252" s="103">
        <v>2022</v>
      </c>
      <c r="C3252" s="103" t="s">
        <v>110</v>
      </c>
      <c r="D3252" s="103">
        <v>12</v>
      </c>
      <c r="E3252" s="103">
        <v>252.3</v>
      </c>
      <c r="F3252" s="103">
        <v>0.7</v>
      </c>
    </row>
    <row r="3253" spans="1:6" hidden="1" x14ac:dyDescent="0.25">
      <c r="A3253" s="103" t="s">
        <v>237</v>
      </c>
      <c r="B3253" s="103">
        <v>2022</v>
      </c>
      <c r="C3253" s="103" t="s">
        <v>106</v>
      </c>
      <c r="D3253" s="103">
        <v>8</v>
      </c>
      <c r="E3253" s="103">
        <v>0</v>
      </c>
      <c r="F3253" s="103">
        <v>272.5</v>
      </c>
    </row>
    <row r="3254" spans="1:6" hidden="1" x14ac:dyDescent="0.25">
      <c r="A3254" s="126" t="s">
        <v>269</v>
      </c>
      <c r="B3254" s="126">
        <v>2001</v>
      </c>
      <c r="C3254" s="126" t="s">
        <v>99</v>
      </c>
      <c r="D3254" s="127">
        <v>1</v>
      </c>
      <c r="E3254" s="126">
        <v>382.8</v>
      </c>
      <c r="F3254" s="126">
        <v>0</v>
      </c>
    </row>
    <row r="3255" spans="1:6" hidden="1" x14ac:dyDescent="0.25">
      <c r="A3255" s="127" t="s">
        <v>269</v>
      </c>
      <c r="B3255" s="127">
        <v>2001</v>
      </c>
      <c r="C3255" s="127" t="s">
        <v>100</v>
      </c>
      <c r="D3255" s="127">
        <v>2</v>
      </c>
      <c r="E3255" s="127">
        <v>323.10000000000002</v>
      </c>
      <c r="F3255" s="127">
        <v>0</v>
      </c>
    </row>
    <row r="3256" spans="1:6" hidden="1" x14ac:dyDescent="0.25">
      <c r="A3256" s="127" t="s">
        <v>269</v>
      </c>
      <c r="B3256" s="127">
        <v>2001</v>
      </c>
      <c r="C3256" s="127" t="s">
        <v>101</v>
      </c>
      <c r="D3256" s="127">
        <v>3</v>
      </c>
      <c r="E3256" s="127">
        <v>260.2</v>
      </c>
      <c r="F3256" s="127">
        <v>0</v>
      </c>
    </row>
    <row r="3257" spans="1:6" hidden="1" x14ac:dyDescent="0.25">
      <c r="A3257" s="127" t="s">
        <v>269</v>
      </c>
      <c r="B3257" s="127">
        <v>2001</v>
      </c>
      <c r="C3257" s="127" t="s">
        <v>102</v>
      </c>
      <c r="D3257" s="127">
        <v>4</v>
      </c>
      <c r="E3257" s="127">
        <v>246.3</v>
      </c>
      <c r="F3257" s="127">
        <v>1.3</v>
      </c>
    </row>
    <row r="3258" spans="1:6" hidden="1" x14ac:dyDescent="0.25">
      <c r="A3258" s="127" t="s">
        <v>269</v>
      </c>
      <c r="B3258" s="127">
        <v>2001</v>
      </c>
      <c r="C3258" s="127" t="s">
        <v>103</v>
      </c>
      <c r="D3258" s="127">
        <v>5</v>
      </c>
      <c r="E3258" s="127">
        <v>106.2</v>
      </c>
      <c r="F3258" s="127">
        <v>37.200000000000003</v>
      </c>
    </row>
    <row r="3259" spans="1:6" hidden="1" x14ac:dyDescent="0.25">
      <c r="A3259" s="127" t="s">
        <v>269</v>
      </c>
      <c r="B3259" s="127">
        <v>2001</v>
      </c>
      <c r="C3259" s="127" t="s">
        <v>104</v>
      </c>
      <c r="D3259" s="127">
        <v>6</v>
      </c>
      <c r="E3259" s="127">
        <v>70.3</v>
      </c>
      <c r="F3259" s="127">
        <v>60.2</v>
      </c>
    </row>
    <row r="3260" spans="1:6" hidden="1" x14ac:dyDescent="0.25">
      <c r="A3260" s="127" t="s">
        <v>269</v>
      </c>
      <c r="B3260" s="127">
        <v>2001</v>
      </c>
      <c r="C3260" s="127" t="s">
        <v>105</v>
      </c>
      <c r="D3260" s="127">
        <v>7</v>
      </c>
      <c r="E3260" s="127">
        <v>32.9</v>
      </c>
      <c r="F3260" s="127">
        <v>92.3</v>
      </c>
    </row>
    <row r="3261" spans="1:6" hidden="1" x14ac:dyDescent="0.25">
      <c r="A3261" s="127" t="s">
        <v>269</v>
      </c>
      <c r="B3261" s="127">
        <v>2001</v>
      </c>
      <c r="C3261" s="127" t="s">
        <v>106</v>
      </c>
      <c r="D3261" s="127">
        <v>8</v>
      </c>
      <c r="E3261" s="127">
        <v>30.2</v>
      </c>
      <c r="F3261" s="127">
        <v>99.7</v>
      </c>
    </row>
    <row r="3262" spans="1:6" hidden="1" x14ac:dyDescent="0.25">
      <c r="A3262" s="127" t="s">
        <v>269</v>
      </c>
      <c r="B3262" s="127">
        <v>2001</v>
      </c>
      <c r="C3262" s="127" t="s">
        <v>107</v>
      </c>
      <c r="D3262" s="127">
        <v>9</v>
      </c>
      <c r="E3262" s="127">
        <v>116.3</v>
      </c>
      <c r="F3262" s="127">
        <v>10.6</v>
      </c>
    </row>
    <row r="3263" spans="1:6" hidden="1" x14ac:dyDescent="0.25">
      <c r="A3263" s="127" t="s">
        <v>269</v>
      </c>
      <c r="B3263" s="127">
        <v>2001</v>
      </c>
      <c r="C3263" s="127" t="s">
        <v>108</v>
      </c>
      <c r="D3263" s="127">
        <v>10</v>
      </c>
      <c r="E3263" s="127">
        <v>87</v>
      </c>
      <c r="F3263" s="127">
        <v>15.2</v>
      </c>
    </row>
    <row r="3264" spans="1:6" hidden="1" x14ac:dyDescent="0.25">
      <c r="A3264" s="127" t="s">
        <v>269</v>
      </c>
      <c r="B3264" s="127">
        <v>2001</v>
      </c>
      <c r="C3264" s="127" t="s">
        <v>109</v>
      </c>
      <c r="D3264" s="127">
        <v>11</v>
      </c>
      <c r="E3264" s="127">
        <v>330.9</v>
      </c>
      <c r="F3264" s="127">
        <v>0</v>
      </c>
    </row>
    <row r="3265" spans="1:6" hidden="1" x14ac:dyDescent="0.25">
      <c r="A3265" s="127" t="s">
        <v>269</v>
      </c>
      <c r="B3265" s="127">
        <v>2001</v>
      </c>
      <c r="C3265" s="127" t="s">
        <v>110</v>
      </c>
      <c r="D3265" s="127">
        <v>12</v>
      </c>
      <c r="E3265" s="127">
        <v>443.3</v>
      </c>
      <c r="F3265" s="127">
        <v>0</v>
      </c>
    </row>
    <row r="3266" spans="1:6" hidden="1" x14ac:dyDescent="0.25">
      <c r="A3266" s="127" t="s">
        <v>267</v>
      </c>
      <c r="B3266" s="127">
        <v>2001</v>
      </c>
      <c r="C3266" s="127" t="s">
        <v>105</v>
      </c>
      <c r="D3266" s="127">
        <v>7</v>
      </c>
      <c r="E3266" s="127">
        <v>38.700000000000003</v>
      </c>
      <c r="F3266" s="127">
        <v>49.7</v>
      </c>
    </row>
    <row r="3267" spans="1:6" hidden="1" x14ac:dyDescent="0.25">
      <c r="A3267" s="127" t="s">
        <v>267</v>
      </c>
      <c r="B3267" s="127">
        <v>2001</v>
      </c>
      <c r="C3267" s="127" t="s">
        <v>106</v>
      </c>
      <c r="D3267" s="127">
        <v>8</v>
      </c>
      <c r="E3267" s="127">
        <v>31.5</v>
      </c>
      <c r="F3267" s="127">
        <v>33.700000000000003</v>
      </c>
    </row>
    <row r="3268" spans="1:6" hidden="1" x14ac:dyDescent="0.25">
      <c r="A3268" s="127" t="s">
        <v>267</v>
      </c>
      <c r="B3268" s="127">
        <v>2001</v>
      </c>
      <c r="C3268" s="127" t="s">
        <v>108</v>
      </c>
      <c r="D3268" s="127">
        <v>10</v>
      </c>
      <c r="E3268" s="127">
        <v>111.3</v>
      </c>
      <c r="F3268" s="127">
        <v>7</v>
      </c>
    </row>
    <row r="3269" spans="1:6" hidden="1" x14ac:dyDescent="0.25">
      <c r="A3269" s="127" t="s">
        <v>267</v>
      </c>
      <c r="B3269" s="127">
        <v>2001</v>
      </c>
      <c r="C3269" s="127" t="s">
        <v>109</v>
      </c>
      <c r="D3269" s="127">
        <v>11</v>
      </c>
      <c r="E3269" s="127">
        <v>300.8</v>
      </c>
      <c r="F3269" s="127">
        <v>0</v>
      </c>
    </row>
    <row r="3270" spans="1:6" hidden="1" x14ac:dyDescent="0.25">
      <c r="A3270" s="127" t="s">
        <v>267</v>
      </c>
      <c r="B3270" s="127">
        <v>2001</v>
      </c>
      <c r="C3270" s="127" t="s">
        <v>110</v>
      </c>
      <c r="D3270" s="127">
        <v>12</v>
      </c>
      <c r="E3270" s="127">
        <v>410.4</v>
      </c>
      <c r="F3270" s="127">
        <v>0</v>
      </c>
    </row>
    <row r="3271" spans="1:6" hidden="1" x14ac:dyDescent="0.25">
      <c r="A3271" s="127" t="s">
        <v>268</v>
      </c>
      <c r="B3271" s="127">
        <v>2001</v>
      </c>
      <c r="C3271" s="127" t="s">
        <v>99</v>
      </c>
      <c r="D3271" s="127">
        <v>1</v>
      </c>
      <c r="E3271" s="127">
        <v>346.8</v>
      </c>
      <c r="F3271" s="127">
        <v>0</v>
      </c>
    </row>
    <row r="3272" spans="1:6" hidden="1" x14ac:dyDescent="0.25">
      <c r="A3272" s="127" t="s">
        <v>268</v>
      </c>
      <c r="B3272" s="127">
        <v>2001</v>
      </c>
      <c r="C3272" s="127" t="s">
        <v>100</v>
      </c>
      <c r="D3272" s="127">
        <v>2</v>
      </c>
      <c r="E3272" s="127">
        <v>323.10000000000002</v>
      </c>
      <c r="F3272" s="127">
        <v>0</v>
      </c>
    </row>
    <row r="3273" spans="1:6" hidden="1" x14ac:dyDescent="0.25">
      <c r="A3273" s="127" t="s">
        <v>268</v>
      </c>
      <c r="B3273" s="127">
        <v>2001</v>
      </c>
      <c r="C3273" s="127" t="s">
        <v>101</v>
      </c>
      <c r="D3273" s="127">
        <v>3</v>
      </c>
      <c r="E3273" s="127">
        <v>241.1</v>
      </c>
      <c r="F3273" s="127">
        <v>0.2</v>
      </c>
    </row>
    <row r="3274" spans="1:6" hidden="1" x14ac:dyDescent="0.25">
      <c r="A3274" s="127" t="s">
        <v>268</v>
      </c>
      <c r="B3274" s="127">
        <v>2001</v>
      </c>
      <c r="C3274" s="127" t="s">
        <v>102</v>
      </c>
      <c r="D3274" s="127">
        <v>4</v>
      </c>
      <c r="E3274" s="127">
        <v>252.7</v>
      </c>
      <c r="F3274" s="127">
        <v>0.4</v>
      </c>
    </row>
    <row r="3275" spans="1:6" hidden="1" x14ac:dyDescent="0.25">
      <c r="A3275" s="127" t="s">
        <v>268</v>
      </c>
      <c r="B3275" s="127">
        <v>2001</v>
      </c>
      <c r="C3275" s="127" t="s">
        <v>103</v>
      </c>
      <c r="D3275" s="127">
        <v>5</v>
      </c>
      <c r="E3275" s="127">
        <v>132.6</v>
      </c>
      <c r="F3275" s="127">
        <v>28.7</v>
      </c>
    </row>
    <row r="3276" spans="1:6" hidden="1" x14ac:dyDescent="0.25">
      <c r="A3276" s="127" t="s">
        <v>268</v>
      </c>
      <c r="B3276" s="127">
        <v>2001</v>
      </c>
      <c r="C3276" s="127" t="s">
        <v>104</v>
      </c>
      <c r="D3276" s="127">
        <v>6</v>
      </c>
      <c r="E3276" s="127">
        <v>78.8</v>
      </c>
      <c r="F3276" s="127">
        <v>48.6</v>
      </c>
    </row>
    <row r="3277" spans="1:6" hidden="1" x14ac:dyDescent="0.25">
      <c r="A3277" s="127" t="s">
        <v>268</v>
      </c>
      <c r="B3277" s="127">
        <v>2001</v>
      </c>
      <c r="C3277" s="127" t="s">
        <v>105</v>
      </c>
      <c r="D3277" s="127">
        <v>7</v>
      </c>
      <c r="E3277" s="127">
        <v>41.6</v>
      </c>
      <c r="F3277" s="127">
        <v>67.599999999999994</v>
      </c>
    </row>
    <row r="3278" spans="1:6" hidden="1" x14ac:dyDescent="0.25">
      <c r="A3278" s="127" t="s">
        <v>268</v>
      </c>
      <c r="B3278" s="127">
        <v>2001</v>
      </c>
      <c r="C3278" s="127" t="s">
        <v>106</v>
      </c>
      <c r="D3278" s="127">
        <v>8</v>
      </c>
      <c r="E3278" s="127">
        <v>31.2</v>
      </c>
      <c r="F3278" s="127">
        <v>78.099999999999994</v>
      </c>
    </row>
    <row r="3279" spans="1:6" hidden="1" x14ac:dyDescent="0.25">
      <c r="A3279" s="127" t="s">
        <v>268</v>
      </c>
      <c r="B3279" s="127">
        <v>2001</v>
      </c>
      <c r="C3279" s="127" t="s">
        <v>107</v>
      </c>
      <c r="D3279" s="127">
        <v>9</v>
      </c>
      <c r="E3279" s="127">
        <v>110.6</v>
      </c>
      <c r="F3279" s="127">
        <v>14.6</v>
      </c>
    </row>
    <row r="3280" spans="1:6" hidden="1" x14ac:dyDescent="0.25">
      <c r="A3280" s="127" t="s">
        <v>268</v>
      </c>
      <c r="B3280" s="127">
        <v>2001</v>
      </c>
      <c r="C3280" s="127" t="s">
        <v>108</v>
      </c>
      <c r="D3280" s="127">
        <v>10</v>
      </c>
      <c r="E3280" s="127">
        <v>80.5</v>
      </c>
      <c r="F3280" s="127">
        <v>14.9</v>
      </c>
    </row>
    <row r="3281" spans="1:6" hidden="1" x14ac:dyDescent="0.25">
      <c r="A3281" s="127" t="s">
        <v>268</v>
      </c>
      <c r="B3281" s="127">
        <v>2001</v>
      </c>
      <c r="C3281" s="127" t="s">
        <v>109</v>
      </c>
      <c r="D3281" s="127">
        <v>11</v>
      </c>
      <c r="E3281" s="127">
        <v>331.9</v>
      </c>
      <c r="F3281" s="127">
        <v>0</v>
      </c>
    </row>
    <row r="3282" spans="1:6" hidden="1" x14ac:dyDescent="0.25">
      <c r="A3282" s="127" t="s">
        <v>268</v>
      </c>
      <c r="B3282" s="127">
        <v>2001</v>
      </c>
      <c r="C3282" s="127" t="s">
        <v>110</v>
      </c>
      <c r="D3282" s="127">
        <v>12</v>
      </c>
      <c r="E3282" s="127">
        <v>445</v>
      </c>
      <c r="F3282" s="127">
        <v>0</v>
      </c>
    </row>
    <row r="3283" spans="1:6" hidden="1" x14ac:dyDescent="0.25">
      <c r="A3283" s="127" t="s">
        <v>269</v>
      </c>
      <c r="B3283" s="127">
        <v>2002</v>
      </c>
      <c r="C3283" s="127" t="s">
        <v>99</v>
      </c>
      <c r="D3283" s="127">
        <v>1</v>
      </c>
      <c r="E3283" s="127">
        <v>342.4</v>
      </c>
      <c r="F3283" s="127">
        <v>0</v>
      </c>
    </row>
    <row r="3284" spans="1:6" hidden="1" x14ac:dyDescent="0.25">
      <c r="A3284" s="127" t="s">
        <v>269</v>
      </c>
      <c r="B3284" s="127">
        <v>2002</v>
      </c>
      <c r="C3284" s="127" t="s">
        <v>100</v>
      </c>
      <c r="D3284" s="127">
        <v>2</v>
      </c>
      <c r="E3284" s="127">
        <v>262.3</v>
      </c>
      <c r="F3284" s="127">
        <v>0</v>
      </c>
    </row>
    <row r="3285" spans="1:6" hidden="1" x14ac:dyDescent="0.25">
      <c r="A3285" s="127" t="s">
        <v>269</v>
      </c>
      <c r="B3285" s="127">
        <v>2002</v>
      </c>
      <c r="C3285" s="127" t="s">
        <v>101</v>
      </c>
      <c r="D3285" s="127">
        <v>3</v>
      </c>
      <c r="E3285" s="127">
        <v>281.8</v>
      </c>
      <c r="F3285" s="127">
        <v>0.4</v>
      </c>
    </row>
    <row r="3286" spans="1:6" hidden="1" x14ac:dyDescent="0.25">
      <c r="A3286" s="127" t="s">
        <v>269</v>
      </c>
      <c r="B3286" s="127">
        <v>2002</v>
      </c>
      <c r="C3286" s="127" t="s">
        <v>102</v>
      </c>
      <c r="D3286" s="127">
        <v>4</v>
      </c>
      <c r="E3286" s="127">
        <v>202.1</v>
      </c>
      <c r="F3286" s="127">
        <v>5.2</v>
      </c>
    </row>
    <row r="3287" spans="1:6" hidden="1" x14ac:dyDescent="0.25">
      <c r="A3287" s="127" t="s">
        <v>269</v>
      </c>
      <c r="B3287" s="127">
        <v>2002</v>
      </c>
      <c r="C3287" s="127" t="s">
        <v>103</v>
      </c>
      <c r="D3287" s="127">
        <v>5</v>
      </c>
      <c r="E3287" s="127">
        <v>146.69999999999999</v>
      </c>
      <c r="F3287" s="127">
        <v>14.3</v>
      </c>
    </row>
    <row r="3288" spans="1:6" hidden="1" x14ac:dyDescent="0.25">
      <c r="A3288" s="127" t="s">
        <v>269</v>
      </c>
      <c r="B3288" s="127">
        <v>2002</v>
      </c>
      <c r="C3288" s="127" t="s">
        <v>104</v>
      </c>
      <c r="D3288" s="127">
        <v>6</v>
      </c>
      <c r="E3288" s="127">
        <v>58.7</v>
      </c>
      <c r="F3288" s="127">
        <v>55</v>
      </c>
    </row>
    <row r="3289" spans="1:6" hidden="1" x14ac:dyDescent="0.25">
      <c r="A3289" s="127" t="s">
        <v>269</v>
      </c>
      <c r="B3289" s="127">
        <v>2002</v>
      </c>
      <c r="C3289" s="127" t="s">
        <v>105</v>
      </c>
      <c r="D3289" s="127">
        <v>7</v>
      </c>
      <c r="E3289" s="127">
        <v>50.1</v>
      </c>
      <c r="F3289" s="127">
        <v>66.5</v>
      </c>
    </row>
    <row r="3290" spans="1:6" hidden="1" x14ac:dyDescent="0.25">
      <c r="A3290" s="127" t="s">
        <v>269</v>
      </c>
      <c r="B3290" s="127">
        <v>2002</v>
      </c>
      <c r="C3290" s="127" t="s">
        <v>106</v>
      </c>
      <c r="D3290" s="127">
        <v>8</v>
      </c>
      <c r="E3290" s="127">
        <v>38.700000000000003</v>
      </c>
      <c r="F3290" s="127">
        <v>62.7</v>
      </c>
    </row>
    <row r="3291" spans="1:6" hidden="1" x14ac:dyDescent="0.25">
      <c r="A3291" s="127" t="s">
        <v>269</v>
      </c>
      <c r="B3291" s="127">
        <v>2002</v>
      </c>
      <c r="C3291" s="127" t="s">
        <v>107</v>
      </c>
      <c r="D3291" s="127">
        <v>9</v>
      </c>
      <c r="E3291" s="127">
        <v>92.2</v>
      </c>
      <c r="F3291" s="127">
        <v>27.7</v>
      </c>
    </row>
    <row r="3292" spans="1:6" hidden="1" x14ac:dyDescent="0.25">
      <c r="A3292" s="127" t="s">
        <v>269</v>
      </c>
      <c r="B3292" s="127">
        <v>2002</v>
      </c>
      <c r="C3292" s="127" t="s">
        <v>108</v>
      </c>
      <c r="D3292" s="127">
        <v>10</v>
      </c>
      <c r="E3292" s="127">
        <v>158.9</v>
      </c>
      <c r="F3292" s="127">
        <v>3.3</v>
      </c>
    </row>
    <row r="3293" spans="1:6" hidden="1" x14ac:dyDescent="0.25">
      <c r="A3293" s="127" t="s">
        <v>269</v>
      </c>
      <c r="B3293" s="127">
        <v>2002</v>
      </c>
      <c r="C3293" s="127" t="s">
        <v>109</v>
      </c>
      <c r="D3293" s="127">
        <v>11</v>
      </c>
      <c r="E3293" s="127">
        <v>249.3</v>
      </c>
      <c r="F3293" s="127">
        <v>0</v>
      </c>
    </row>
    <row r="3294" spans="1:6" hidden="1" x14ac:dyDescent="0.25">
      <c r="A3294" s="127" t="s">
        <v>269</v>
      </c>
      <c r="B3294" s="127">
        <v>2002</v>
      </c>
      <c r="C3294" s="127" t="s">
        <v>110</v>
      </c>
      <c r="D3294" s="127">
        <v>12</v>
      </c>
      <c r="E3294" s="127">
        <v>315.10000000000002</v>
      </c>
      <c r="F3294" s="127">
        <v>0</v>
      </c>
    </row>
    <row r="3295" spans="1:6" hidden="1" x14ac:dyDescent="0.25">
      <c r="A3295" s="127" t="s">
        <v>267</v>
      </c>
      <c r="B3295" s="127">
        <v>2002</v>
      </c>
      <c r="C3295" s="127" t="s">
        <v>99</v>
      </c>
      <c r="D3295" s="127">
        <v>1</v>
      </c>
      <c r="E3295" s="127">
        <v>337</v>
      </c>
      <c r="F3295" s="127">
        <v>0</v>
      </c>
    </row>
    <row r="3296" spans="1:6" hidden="1" x14ac:dyDescent="0.25">
      <c r="A3296" s="127" t="s">
        <v>267</v>
      </c>
      <c r="B3296" s="127">
        <v>2002</v>
      </c>
      <c r="C3296" s="127" t="s">
        <v>100</v>
      </c>
      <c r="D3296" s="127">
        <v>2</v>
      </c>
      <c r="E3296" s="127">
        <v>280.2</v>
      </c>
      <c r="F3296" s="127">
        <v>0</v>
      </c>
    </row>
    <row r="3297" spans="1:6" hidden="1" x14ac:dyDescent="0.25">
      <c r="A3297" s="127" t="s">
        <v>267</v>
      </c>
      <c r="B3297" s="127">
        <v>2002</v>
      </c>
      <c r="C3297" s="127" t="s">
        <v>101</v>
      </c>
      <c r="D3297" s="127">
        <v>3</v>
      </c>
      <c r="E3297" s="127">
        <v>258</v>
      </c>
      <c r="F3297" s="127">
        <v>0</v>
      </c>
    </row>
    <row r="3298" spans="1:6" hidden="1" x14ac:dyDescent="0.25">
      <c r="A3298" s="127" t="s">
        <v>267</v>
      </c>
      <c r="B3298" s="127">
        <v>2002</v>
      </c>
      <c r="C3298" s="127" t="s">
        <v>102</v>
      </c>
      <c r="D3298" s="127">
        <v>4</v>
      </c>
      <c r="E3298" s="127">
        <v>228.8</v>
      </c>
      <c r="F3298" s="127">
        <v>2.6</v>
      </c>
    </row>
    <row r="3299" spans="1:6" hidden="1" x14ac:dyDescent="0.25">
      <c r="A3299" s="127" t="s">
        <v>267</v>
      </c>
      <c r="B3299" s="127">
        <v>2002</v>
      </c>
      <c r="C3299" s="127" t="s">
        <v>103</v>
      </c>
      <c r="D3299" s="127">
        <v>5</v>
      </c>
      <c r="E3299" s="127">
        <v>165.8</v>
      </c>
      <c r="F3299" s="127">
        <v>8.9</v>
      </c>
    </row>
    <row r="3300" spans="1:6" hidden="1" x14ac:dyDescent="0.25">
      <c r="A3300" s="127" t="s">
        <v>267</v>
      </c>
      <c r="B3300" s="127">
        <v>2002</v>
      </c>
      <c r="C3300" s="127" t="s">
        <v>104</v>
      </c>
      <c r="D3300" s="127">
        <v>6</v>
      </c>
      <c r="E3300" s="127">
        <v>80.8</v>
      </c>
      <c r="F3300" s="127">
        <v>32.9</v>
      </c>
    </row>
    <row r="3301" spans="1:6" hidden="1" x14ac:dyDescent="0.25">
      <c r="A3301" s="127" t="s">
        <v>267</v>
      </c>
      <c r="B3301" s="127">
        <v>2002</v>
      </c>
      <c r="C3301" s="127" t="s">
        <v>105</v>
      </c>
      <c r="D3301" s="127">
        <v>7</v>
      </c>
      <c r="E3301" s="127">
        <v>62.1</v>
      </c>
      <c r="F3301" s="127">
        <v>41.9</v>
      </c>
    </row>
    <row r="3302" spans="1:6" hidden="1" x14ac:dyDescent="0.25">
      <c r="A3302" s="127" t="s">
        <v>267</v>
      </c>
      <c r="B3302" s="127">
        <v>2002</v>
      </c>
      <c r="C3302" s="127" t="s">
        <v>106</v>
      </c>
      <c r="D3302" s="127">
        <v>8</v>
      </c>
      <c r="E3302" s="127">
        <v>47.9</v>
      </c>
      <c r="F3302" s="127">
        <v>48.9</v>
      </c>
    </row>
    <row r="3303" spans="1:6" hidden="1" x14ac:dyDescent="0.25">
      <c r="A3303" s="127" t="s">
        <v>267</v>
      </c>
      <c r="B3303" s="127">
        <v>2002</v>
      </c>
      <c r="C3303" s="127" t="s">
        <v>107</v>
      </c>
      <c r="D3303" s="127">
        <v>9</v>
      </c>
      <c r="E3303" s="127">
        <v>93.7</v>
      </c>
      <c r="F3303" s="127">
        <v>18.8</v>
      </c>
    </row>
    <row r="3304" spans="1:6" hidden="1" x14ac:dyDescent="0.25">
      <c r="A3304" s="127" t="s">
        <v>267</v>
      </c>
      <c r="B3304" s="127">
        <v>2002</v>
      </c>
      <c r="C3304" s="127" t="s">
        <v>108</v>
      </c>
      <c r="D3304" s="127">
        <v>10</v>
      </c>
      <c r="E3304" s="127">
        <v>176.3</v>
      </c>
      <c r="F3304" s="127">
        <v>2</v>
      </c>
    </row>
    <row r="3305" spans="1:6" hidden="1" x14ac:dyDescent="0.25">
      <c r="A3305" s="127" t="s">
        <v>267</v>
      </c>
      <c r="B3305" s="127">
        <v>2002</v>
      </c>
      <c r="C3305" s="127" t="s">
        <v>109</v>
      </c>
      <c r="D3305" s="127">
        <v>11</v>
      </c>
      <c r="E3305" s="127">
        <v>253.8</v>
      </c>
      <c r="F3305" s="127">
        <v>0</v>
      </c>
    </row>
    <row r="3306" spans="1:6" hidden="1" x14ac:dyDescent="0.25">
      <c r="A3306" s="127" t="s">
        <v>267</v>
      </c>
      <c r="B3306" s="127">
        <v>2002</v>
      </c>
      <c r="C3306" s="127" t="s">
        <v>110</v>
      </c>
      <c r="D3306" s="127">
        <v>12</v>
      </c>
      <c r="E3306" s="127">
        <v>325</v>
      </c>
      <c r="F3306" s="127">
        <v>0</v>
      </c>
    </row>
    <row r="3307" spans="1:6" hidden="1" x14ac:dyDescent="0.25">
      <c r="A3307" s="127" t="s">
        <v>268</v>
      </c>
      <c r="B3307" s="127">
        <v>2002</v>
      </c>
      <c r="C3307" s="127" t="s">
        <v>99</v>
      </c>
      <c r="D3307" s="127">
        <v>1</v>
      </c>
      <c r="E3307" s="127">
        <v>316.3</v>
      </c>
      <c r="F3307" s="127">
        <v>0</v>
      </c>
    </row>
    <row r="3308" spans="1:6" hidden="1" x14ac:dyDescent="0.25">
      <c r="A3308" s="127" t="s">
        <v>268</v>
      </c>
      <c r="B3308" s="127">
        <v>2002</v>
      </c>
      <c r="C3308" s="127" t="s">
        <v>100</v>
      </c>
      <c r="D3308" s="127">
        <v>2</v>
      </c>
      <c r="E3308" s="127">
        <v>266.5</v>
      </c>
      <c r="F3308" s="127">
        <v>0</v>
      </c>
    </row>
    <row r="3309" spans="1:6" hidden="1" x14ac:dyDescent="0.25">
      <c r="A3309" s="127" t="s">
        <v>268</v>
      </c>
      <c r="B3309" s="127">
        <v>2002</v>
      </c>
      <c r="C3309" s="127" t="s">
        <v>101</v>
      </c>
      <c r="D3309" s="127">
        <v>3</v>
      </c>
      <c r="E3309" s="127">
        <v>278.2</v>
      </c>
      <c r="F3309" s="127">
        <v>0.1</v>
      </c>
    </row>
    <row r="3310" spans="1:6" hidden="1" x14ac:dyDescent="0.25">
      <c r="A3310" s="127" t="s">
        <v>268</v>
      </c>
      <c r="B3310" s="127">
        <v>2002</v>
      </c>
      <c r="C3310" s="127" t="s">
        <v>102</v>
      </c>
      <c r="D3310" s="127">
        <v>4</v>
      </c>
      <c r="E3310" s="127">
        <v>225.1</v>
      </c>
      <c r="F3310" s="127">
        <v>3.6</v>
      </c>
    </row>
    <row r="3311" spans="1:6" hidden="1" x14ac:dyDescent="0.25">
      <c r="A3311" s="127" t="s">
        <v>268</v>
      </c>
      <c r="B3311" s="127">
        <v>2002</v>
      </c>
      <c r="C3311" s="127" t="s">
        <v>103</v>
      </c>
      <c r="D3311" s="127">
        <v>5</v>
      </c>
      <c r="E3311" s="127">
        <v>154.4</v>
      </c>
      <c r="F3311" s="127">
        <v>12.8</v>
      </c>
    </row>
    <row r="3312" spans="1:6" hidden="1" x14ac:dyDescent="0.25">
      <c r="A3312" s="127" t="s">
        <v>268</v>
      </c>
      <c r="B3312" s="127">
        <v>2002</v>
      </c>
      <c r="C3312" s="127" t="s">
        <v>104</v>
      </c>
      <c r="D3312" s="127">
        <v>6</v>
      </c>
      <c r="E3312" s="127">
        <v>75.099999999999994</v>
      </c>
      <c r="F3312" s="127">
        <v>45.8</v>
      </c>
    </row>
    <row r="3313" spans="1:6" hidden="1" x14ac:dyDescent="0.25">
      <c r="A3313" s="127" t="s">
        <v>268</v>
      </c>
      <c r="B3313" s="127">
        <v>2002</v>
      </c>
      <c r="C3313" s="127" t="s">
        <v>105</v>
      </c>
      <c r="D3313" s="127">
        <v>7</v>
      </c>
      <c r="E3313" s="127">
        <v>55.6</v>
      </c>
      <c r="F3313" s="127">
        <v>53</v>
      </c>
    </row>
    <row r="3314" spans="1:6" hidden="1" x14ac:dyDescent="0.25">
      <c r="A3314" s="127" t="s">
        <v>268</v>
      </c>
      <c r="B3314" s="127">
        <v>2002</v>
      </c>
      <c r="C3314" s="127" t="s">
        <v>106</v>
      </c>
      <c r="D3314" s="127">
        <v>8</v>
      </c>
      <c r="E3314" s="127">
        <v>48.8</v>
      </c>
      <c r="F3314" s="127">
        <v>44.7</v>
      </c>
    </row>
    <row r="3315" spans="1:6" hidden="1" x14ac:dyDescent="0.25">
      <c r="A3315" s="127" t="s">
        <v>268</v>
      </c>
      <c r="B3315" s="127">
        <v>2002</v>
      </c>
      <c r="C3315" s="127" t="s">
        <v>107</v>
      </c>
      <c r="D3315" s="127">
        <v>9</v>
      </c>
      <c r="E3315" s="127">
        <v>92.6</v>
      </c>
      <c r="F3315" s="127">
        <v>29.6</v>
      </c>
    </row>
    <row r="3316" spans="1:6" hidden="1" x14ac:dyDescent="0.25">
      <c r="A3316" s="127" t="s">
        <v>268</v>
      </c>
      <c r="B3316" s="127">
        <v>2002</v>
      </c>
      <c r="C3316" s="127" t="s">
        <v>108</v>
      </c>
      <c r="D3316" s="127">
        <v>10</v>
      </c>
      <c r="E3316" s="127">
        <v>139.69999999999999</v>
      </c>
      <c r="F3316" s="127">
        <v>4</v>
      </c>
    </row>
    <row r="3317" spans="1:6" hidden="1" x14ac:dyDescent="0.25">
      <c r="A3317" s="127" t="s">
        <v>268</v>
      </c>
      <c r="B3317" s="127">
        <v>2002</v>
      </c>
      <c r="C3317" s="127" t="s">
        <v>109</v>
      </c>
      <c r="D3317" s="127">
        <v>11</v>
      </c>
      <c r="E3317" s="127">
        <v>218.6</v>
      </c>
      <c r="F3317" s="127">
        <v>0</v>
      </c>
    </row>
    <row r="3318" spans="1:6" hidden="1" x14ac:dyDescent="0.25">
      <c r="A3318" s="127" t="s">
        <v>268</v>
      </c>
      <c r="B3318" s="127">
        <v>2002</v>
      </c>
      <c r="C3318" s="127" t="s">
        <v>110</v>
      </c>
      <c r="D3318" s="127">
        <v>12</v>
      </c>
      <c r="E3318" s="127">
        <v>284</v>
      </c>
      <c r="F3318" s="127">
        <v>0</v>
      </c>
    </row>
    <row r="3319" spans="1:6" hidden="1" x14ac:dyDescent="0.25">
      <c r="A3319" s="127" t="s">
        <v>269</v>
      </c>
      <c r="B3319" s="127">
        <v>2003</v>
      </c>
      <c r="C3319" s="127" t="s">
        <v>99</v>
      </c>
      <c r="D3319" s="127">
        <v>1</v>
      </c>
      <c r="E3319" s="127">
        <v>452</v>
      </c>
      <c r="F3319" s="127">
        <v>0</v>
      </c>
    </row>
    <row r="3320" spans="1:6" hidden="1" x14ac:dyDescent="0.25">
      <c r="A3320" s="127" t="s">
        <v>269</v>
      </c>
      <c r="B3320" s="127">
        <v>2003</v>
      </c>
      <c r="C3320" s="127" t="s">
        <v>100</v>
      </c>
      <c r="D3320" s="127">
        <v>2</v>
      </c>
      <c r="E3320" s="127">
        <v>368.6</v>
      </c>
      <c r="F3320" s="127">
        <v>0</v>
      </c>
    </row>
    <row r="3321" spans="1:6" hidden="1" x14ac:dyDescent="0.25">
      <c r="A3321" s="127" t="s">
        <v>269</v>
      </c>
      <c r="B3321" s="127">
        <v>2003</v>
      </c>
      <c r="C3321" s="127" t="s">
        <v>101</v>
      </c>
      <c r="D3321" s="127">
        <v>3</v>
      </c>
      <c r="E3321" s="127">
        <v>234.7</v>
      </c>
      <c r="F3321" s="127">
        <v>4.2</v>
      </c>
    </row>
    <row r="3322" spans="1:6" hidden="1" x14ac:dyDescent="0.25">
      <c r="A3322" s="127" t="s">
        <v>269</v>
      </c>
      <c r="B3322" s="127">
        <v>2003</v>
      </c>
      <c r="C3322" s="127" t="s">
        <v>102</v>
      </c>
      <c r="D3322" s="127">
        <v>4</v>
      </c>
      <c r="E3322" s="127">
        <v>199.3</v>
      </c>
      <c r="F3322" s="127">
        <v>13.3</v>
      </c>
    </row>
    <row r="3323" spans="1:6" hidden="1" x14ac:dyDescent="0.25">
      <c r="A3323" s="127" t="s">
        <v>269</v>
      </c>
      <c r="B3323" s="127">
        <v>2003</v>
      </c>
      <c r="C3323" s="127" t="s">
        <v>103</v>
      </c>
      <c r="D3323" s="127">
        <v>5</v>
      </c>
      <c r="E3323" s="127">
        <v>127.3</v>
      </c>
      <c r="F3323" s="127">
        <v>24.6</v>
      </c>
    </row>
    <row r="3324" spans="1:6" hidden="1" x14ac:dyDescent="0.25">
      <c r="A3324" s="127" t="s">
        <v>269</v>
      </c>
      <c r="B3324" s="127">
        <v>2003</v>
      </c>
      <c r="C3324" s="127" t="s">
        <v>104</v>
      </c>
      <c r="D3324" s="127">
        <v>6</v>
      </c>
      <c r="E3324" s="127">
        <v>17.8</v>
      </c>
      <c r="F3324" s="127">
        <v>111.8</v>
      </c>
    </row>
    <row r="3325" spans="1:6" hidden="1" x14ac:dyDescent="0.25">
      <c r="A3325" s="127" t="s">
        <v>269</v>
      </c>
      <c r="B3325" s="127">
        <v>2003</v>
      </c>
      <c r="C3325" s="127" t="s">
        <v>105</v>
      </c>
      <c r="D3325" s="127">
        <v>7</v>
      </c>
      <c r="E3325" s="127">
        <v>21.8</v>
      </c>
      <c r="F3325" s="127">
        <v>102.2</v>
      </c>
    </row>
    <row r="3326" spans="1:6" hidden="1" x14ac:dyDescent="0.25">
      <c r="A3326" s="127" t="s">
        <v>269</v>
      </c>
      <c r="B3326" s="127">
        <v>2003</v>
      </c>
      <c r="C3326" s="127" t="s">
        <v>106</v>
      </c>
      <c r="D3326" s="127">
        <v>8</v>
      </c>
      <c r="E3326" s="127">
        <v>17.100000000000001</v>
      </c>
      <c r="F3326" s="127">
        <v>205.7</v>
      </c>
    </row>
    <row r="3327" spans="1:6" hidden="1" x14ac:dyDescent="0.25">
      <c r="A3327" s="127" t="s">
        <v>269</v>
      </c>
      <c r="B3327" s="127">
        <v>2003</v>
      </c>
      <c r="C3327" s="127" t="s">
        <v>107</v>
      </c>
      <c r="D3327" s="127">
        <v>9</v>
      </c>
      <c r="E3327" s="127">
        <v>78.099999999999994</v>
      </c>
      <c r="F3327" s="127">
        <v>51.6</v>
      </c>
    </row>
    <row r="3328" spans="1:6" hidden="1" x14ac:dyDescent="0.25">
      <c r="A3328" s="127" t="s">
        <v>269</v>
      </c>
      <c r="B3328" s="127">
        <v>2003</v>
      </c>
      <c r="C3328" s="127" t="s">
        <v>108</v>
      </c>
      <c r="D3328" s="127">
        <v>10</v>
      </c>
      <c r="E3328" s="127">
        <v>235</v>
      </c>
      <c r="F3328" s="127">
        <v>5.2</v>
      </c>
    </row>
    <row r="3329" spans="1:6" hidden="1" x14ac:dyDescent="0.25">
      <c r="A3329" s="127" t="s">
        <v>269</v>
      </c>
      <c r="B3329" s="127">
        <v>2003</v>
      </c>
      <c r="C3329" s="127" t="s">
        <v>109</v>
      </c>
      <c r="D3329" s="127">
        <v>11</v>
      </c>
      <c r="E3329" s="127">
        <v>257.8</v>
      </c>
      <c r="F3329" s="127">
        <v>0</v>
      </c>
    </row>
    <row r="3330" spans="1:6" hidden="1" x14ac:dyDescent="0.25">
      <c r="A3330" s="127" t="s">
        <v>269</v>
      </c>
      <c r="B3330" s="127">
        <v>2003</v>
      </c>
      <c r="C3330" s="127" t="s">
        <v>110</v>
      </c>
      <c r="D3330" s="127">
        <v>12</v>
      </c>
      <c r="E3330" s="127">
        <v>381.2</v>
      </c>
      <c r="F3330" s="127">
        <v>0</v>
      </c>
    </row>
    <row r="3331" spans="1:6" hidden="1" x14ac:dyDescent="0.25">
      <c r="A3331" s="127" t="s">
        <v>267</v>
      </c>
      <c r="B3331" s="127">
        <v>2003</v>
      </c>
      <c r="C3331" s="127" t="s">
        <v>99</v>
      </c>
      <c r="D3331" s="127">
        <v>1</v>
      </c>
      <c r="E3331" s="127">
        <v>367.4</v>
      </c>
      <c r="F3331" s="127">
        <v>0</v>
      </c>
    </row>
    <row r="3332" spans="1:6" hidden="1" x14ac:dyDescent="0.25">
      <c r="A3332" s="127" t="s">
        <v>267</v>
      </c>
      <c r="B3332" s="127">
        <v>2003</v>
      </c>
      <c r="C3332" s="127" t="s">
        <v>100</v>
      </c>
      <c r="D3332" s="127">
        <v>2</v>
      </c>
      <c r="E3332" s="127">
        <v>372.9</v>
      </c>
      <c r="F3332" s="127">
        <v>0</v>
      </c>
    </row>
    <row r="3333" spans="1:6" hidden="1" x14ac:dyDescent="0.25">
      <c r="A3333" s="127" t="s">
        <v>267</v>
      </c>
      <c r="B3333" s="127">
        <v>2003</v>
      </c>
      <c r="C3333" s="127" t="s">
        <v>101</v>
      </c>
      <c r="D3333" s="127">
        <v>3</v>
      </c>
      <c r="E3333" s="127">
        <v>246.4</v>
      </c>
      <c r="F3333" s="127">
        <v>2</v>
      </c>
    </row>
    <row r="3334" spans="1:6" hidden="1" x14ac:dyDescent="0.25">
      <c r="A3334" s="127" t="s">
        <v>267</v>
      </c>
      <c r="B3334" s="127">
        <v>2003</v>
      </c>
      <c r="C3334" s="127" t="s">
        <v>102</v>
      </c>
      <c r="D3334" s="127">
        <v>4</v>
      </c>
      <c r="E3334" s="127">
        <v>215.2</v>
      </c>
      <c r="F3334" s="127">
        <v>9</v>
      </c>
    </row>
    <row r="3335" spans="1:6" hidden="1" x14ac:dyDescent="0.25">
      <c r="A3335" s="127" t="s">
        <v>267</v>
      </c>
      <c r="B3335" s="127">
        <v>2003</v>
      </c>
      <c r="C3335" s="127" t="s">
        <v>103</v>
      </c>
      <c r="D3335" s="127">
        <v>5</v>
      </c>
      <c r="E3335" s="127">
        <v>156.80000000000001</v>
      </c>
      <c r="F3335" s="127">
        <v>18.3</v>
      </c>
    </row>
    <row r="3336" spans="1:6" hidden="1" x14ac:dyDescent="0.25">
      <c r="A3336" s="127" t="s">
        <v>267</v>
      </c>
      <c r="B3336" s="127">
        <v>2003</v>
      </c>
      <c r="C3336" s="127" t="s">
        <v>104</v>
      </c>
      <c r="D3336" s="127">
        <v>6</v>
      </c>
      <c r="E3336" s="127">
        <v>34.799999999999997</v>
      </c>
      <c r="F3336" s="127">
        <v>76.8</v>
      </c>
    </row>
    <row r="3337" spans="1:6" hidden="1" x14ac:dyDescent="0.25">
      <c r="A3337" s="127" t="s">
        <v>267</v>
      </c>
      <c r="B3337" s="127">
        <v>2003</v>
      </c>
      <c r="C3337" s="127" t="s">
        <v>105</v>
      </c>
      <c r="D3337" s="127">
        <v>7</v>
      </c>
      <c r="E3337" s="127">
        <v>24.5</v>
      </c>
      <c r="F3337" s="127">
        <v>68.2</v>
      </c>
    </row>
    <row r="3338" spans="1:6" hidden="1" x14ac:dyDescent="0.25">
      <c r="A3338" s="127" t="s">
        <v>267</v>
      </c>
      <c r="B3338" s="127">
        <v>2003</v>
      </c>
      <c r="C3338" s="127" t="s">
        <v>106</v>
      </c>
      <c r="D3338" s="127">
        <v>8</v>
      </c>
      <c r="E3338" s="127">
        <v>22.1</v>
      </c>
      <c r="F3338" s="127">
        <v>155.80000000000001</v>
      </c>
    </row>
    <row r="3339" spans="1:6" hidden="1" x14ac:dyDescent="0.25">
      <c r="A3339" s="127" t="s">
        <v>267</v>
      </c>
      <c r="B3339" s="127">
        <v>2003</v>
      </c>
      <c r="C3339" s="127" t="s">
        <v>107</v>
      </c>
      <c r="D3339" s="127">
        <v>9</v>
      </c>
      <c r="E3339" s="127">
        <v>82.3</v>
      </c>
      <c r="F3339" s="127">
        <v>42.6</v>
      </c>
    </row>
    <row r="3340" spans="1:6" hidden="1" x14ac:dyDescent="0.25">
      <c r="A3340" s="127" t="s">
        <v>267</v>
      </c>
      <c r="B3340" s="127">
        <v>2003</v>
      </c>
      <c r="C3340" s="127" t="s">
        <v>108</v>
      </c>
      <c r="D3340" s="127">
        <v>10</v>
      </c>
      <c r="E3340" s="127">
        <v>239.8</v>
      </c>
      <c r="F3340" s="127">
        <v>3</v>
      </c>
    </row>
    <row r="3341" spans="1:6" hidden="1" x14ac:dyDescent="0.25">
      <c r="A3341" s="127" t="s">
        <v>267</v>
      </c>
      <c r="B3341" s="127">
        <v>2003</v>
      </c>
      <c r="C3341" s="127" t="s">
        <v>109</v>
      </c>
      <c r="D3341" s="127">
        <v>11</v>
      </c>
      <c r="E3341" s="127">
        <v>265.3</v>
      </c>
      <c r="F3341" s="127">
        <v>0</v>
      </c>
    </row>
    <row r="3342" spans="1:6" hidden="1" x14ac:dyDescent="0.25">
      <c r="A3342" s="127" t="s">
        <v>267</v>
      </c>
      <c r="B3342" s="127">
        <v>2003</v>
      </c>
      <c r="C3342" s="127" t="s">
        <v>110</v>
      </c>
      <c r="D3342" s="127">
        <v>12</v>
      </c>
      <c r="E3342" s="127">
        <v>392.3</v>
      </c>
      <c r="F3342" s="127">
        <v>0</v>
      </c>
    </row>
    <row r="3343" spans="1:6" hidden="1" x14ac:dyDescent="0.25">
      <c r="A3343" s="127" t="s">
        <v>268</v>
      </c>
      <c r="B3343" s="127">
        <v>2003</v>
      </c>
      <c r="C3343" s="127" t="s">
        <v>99</v>
      </c>
      <c r="D3343" s="127">
        <v>1</v>
      </c>
      <c r="E3343" s="127">
        <v>426.4</v>
      </c>
      <c r="F3343" s="127">
        <v>0</v>
      </c>
    </row>
    <row r="3344" spans="1:6" hidden="1" x14ac:dyDescent="0.25">
      <c r="A3344" s="127" t="s">
        <v>268</v>
      </c>
      <c r="B3344" s="127">
        <v>2003</v>
      </c>
      <c r="C3344" s="127" t="s">
        <v>100</v>
      </c>
      <c r="D3344" s="127">
        <v>2</v>
      </c>
      <c r="E3344" s="127">
        <v>352.1</v>
      </c>
      <c r="F3344" s="127">
        <v>0</v>
      </c>
    </row>
    <row r="3345" spans="1:6" hidden="1" x14ac:dyDescent="0.25">
      <c r="A3345" s="127" t="s">
        <v>268</v>
      </c>
      <c r="B3345" s="127">
        <v>2003</v>
      </c>
      <c r="C3345" s="127" t="s">
        <v>101</v>
      </c>
      <c r="D3345" s="127">
        <v>3</v>
      </c>
      <c r="E3345" s="127">
        <v>223.2</v>
      </c>
      <c r="F3345" s="127">
        <v>2.4</v>
      </c>
    </row>
    <row r="3346" spans="1:6" hidden="1" x14ac:dyDescent="0.25">
      <c r="A3346" s="127" t="s">
        <v>268</v>
      </c>
      <c r="B3346" s="127">
        <v>2003</v>
      </c>
      <c r="C3346" s="127" t="s">
        <v>102</v>
      </c>
      <c r="D3346" s="127">
        <v>4</v>
      </c>
      <c r="E3346" s="127">
        <v>195.2</v>
      </c>
      <c r="F3346" s="127">
        <v>10.199999999999999</v>
      </c>
    </row>
    <row r="3347" spans="1:6" hidden="1" x14ac:dyDescent="0.25">
      <c r="A3347" s="127" t="s">
        <v>268</v>
      </c>
      <c r="B3347" s="127">
        <v>2003</v>
      </c>
      <c r="C3347" s="127" t="s">
        <v>103</v>
      </c>
      <c r="D3347" s="127">
        <v>5</v>
      </c>
      <c r="E3347" s="127">
        <v>138</v>
      </c>
      <c r="F3347" s="127">
        <v>19</v>
      </c>
    </row>
    <row r="3348" spans="1:6" hidden="1" x14ac:dyDescent="0.25">
      <c r="A3348" s="127" t="s">
        <v>268</v>
      </c>
      <c r="B3348" s="127">
        <v>2003</v>
      </c>
      <c r="C3348" s="127" t="s">
        <v>104</v>
      </c>
      <c r="D3348" s="127">
        <v>6</v>
      </c>
      <c r="E3348" s="127">
        <v>27.2</v>
      </c>
      <c r="F3348" s="127">
        <v>100.3</v>
      </c>
    </row>
    <row r="3349" spans="1:6" hidden="1" x14ac:dyDescent="0.25">
      <c r="A3349" s="127" t="s">
        <v>268</v>
      </c>
      <c r="B3349" s="127">
        <v>2003</v>
      </c>
      <c r="C3349" s="127" t="s">
        <v>105</v>
      </c>
      <c r="D3349" s="127">
        <v>7</v>
      </c>
      <c r="E3349" s="127">
        <v>23.9</v>
      </c>
      <c r="F3349" s="127">
        <v>91</v>
      </c>
    </row>
    <row r="3350" spans="1:6" hidden="1" x14ac:dyDescent="0.25">
      <c r="A3350" s="127" t="s">
        <v>268</v>
      </c>
      <c r="B3350" s="127">
        <v>2003</v>
      </c>
      <c r="C3350" s="127" t="s">
        <v>106</v>
      </c>
      <c r="D3350" s="127">
        <v>8</v>
      </c>
      <c r="E3350" s="127">
        <v>16.100000000000001</v>
      </c>
      <c r="F3350" s="127">
        <v>183.5</v>
      </c>
    </row>
    <row r="3351" spans="1:6" hidden="1" x14ac:dyDescent="0.25">
      <c r="A3351" s="127" t="s">
        <v>268</v>
      </c>
      <c r="B3351" s="127">
        <v>2003</v>
      </c>
      <c r="C3351" s="127" t="s">
        <v>107</v>
      </c>
      <c r="D3351" s="127">
        <v>9</v>
      </c>
      <c r="E3351" s="127">
        <v>68.900000000000006</v>
      </c>
      <c r="F3351" s="127">
        <v>53.4</v>
      </c>
    </row>
    <row r="3352" spans="1:6" hidden="1" x14ac:dyDescent="0.25">
      <c r="A3352" s="127" t="s">
        <v>268</v>
      </c>
      <c r="B3352" s="127">
        <v>2003</v>
      </c>
      <c r="C3352" s="127" t="s">
        <v>108</v>
      </c>
      <c r="D3352" s="127">
        <v>10</v>
      </c>
      <c r="E3352" s="127">
        <v>211.1</v>
      </c>
      <c r="F3352" s="127">
        <v>4.4000000000000004</v>
      </c>
    </row>
    <row r="3353" spans="1:6" hidden="1" x14ac:dyDescent="0.25">
      <c r="A3353" s="127" t="s">
        <v>268</v>
      </c>
      <c r="B3353" s="127">
        <v>2003</v>
      </c>
      <c r="C3353" s="127" t="s">
        <v>109</v>
      </c>
      <c r="D3353" s="127">
        <v>11</v>
      </c>
      <c r="E3353" s="127">
        <v>235.5</v>
      </c>
      <c r="F3353" s="127">
        <v>0.2</v>
      </c>
    </row>
    <row r="3354" spans="1:6" hidden="1" x14ac:dyDescent="0.25">
      <c r="A3354" s="127" t="s">
        <v>268</v>
      </c>
      <c r="B3354" s="127">
        <v>2003</v>
      </c>
      <c r="C3354" s="127" t="s">
        <v>110</v>
      </c>
      <c r="D3354" s="127">
        <v>12</v>
      </c>
      <c r="E3354" s="127">
        <v>352.7</v>
      </c>
      <c r="F3354" s="127">
        <v>0</v>
      </c>
    </row>
    <row r="3355" spans="1:6" hidden="1" x14ac:dyDescent="0.25">
      <c r="A3355" s="127" t="s">
        <v>269</v>
      </c>
      <c r="B3355" s="127">
        <v>2004</v>
      </c>
      <c r="C3355" s="127" t="s">
        <v>99</v>
      </c>
      <c r="D3355" s="127">
        <v>1</v>
      </c>
      <c r="E3355" s="127">
        <v>372.3</v>
      </c>
      <c r="F3355" s="127">
        <v>0</v>
      </c>
    </row>
    <row r="3356" spans="1:6" hidden="1" x14ac:dyDescent="0.25">
      <c r="A3356" s="127" t="s">
        <v>269</v>
      </c>
      <c r="B3356" s="127">
        <v>2004</v>
      </c>
      <c r="C3356" s="127" t="s">
        <v>100</v>
      </c>
      <c r="D3356" s="127">
        <v>2</v>
      </c>
      <c r="E3356" s="127">
        <v>346.4</v>
      </c>
      <c r="F3356" s="127">
        <v>0.1</v>
      </c>
    </row>
    <row r="3357" spans="1:6" hidden="1" x14ac:dyDescent="0.25">
      <c r="A3357" s="127" t="s">
        <v>269</v>
      </c>
      <c r="B3357" s="127">
        <v>2004</v>
      </c>
      <c r="C3357" s="127" t="s">
        <v>101</v>
      </c>
      <c r="D3357" s="127">
        <v>3</v>
      </c>
      <c r="E3357" s="127">
        <v>336.2</v>
      </c>
      <c r="F3357" s="127">
        <v>1.6</v>
      </c>
    </row>
    <row r="3358" spans="1:6" hidden="1" x14ac:dyDescent="0.25">
      <c r="A3358" s="127" t="s">
        <v>269</v>
      </c>
      <c r="B3358" s="127">
        <v>2004</v>
      </c>
      <c r="C3358" s="127" t="s">
        <v>102</v>
      </c>
      <c r="D3358" s="127">
        <v>4</v>
      </c>
      <c r="E3358" s="127">
        <v>210.9</v>
      </c>
      <c r="F3358" s="127">
        <v>3</v>
      </c>
    </row>
    <row r="3359" spans="1:6" hidden="1" x14ac:dyDescent="0.25">
      <c r="A3359" s="127" t="s">
        <v>269</v>
      </c>
      <c r="B3359" s="127">
        <v>2004</v>
      </c>
      <c r="C3359" s="127" t="s">
        <v>103</v>
      </c>
      <c r="D3359" s="127">
        <v>5</v>
      </c>
      <c r="E3359" s="127">
        <v>141</v>
      </c>
      <c r="F3359" s="127">
        <v>23.1</v>
      </c>
    </row>
    <row r="3360" spans="1:6" hidden="1" x14ac:dyDescent="0.25">
      <c r="A3360" s="127" t="s">
        <v>269</v>
      </c>
      <c r="B3360" s="127">
        <v>2004</v>
      </c>
      <c r="C3360" s="127" t="s">
        <v>104</v>
      </c>
      <c r="D3360" s="127">
        <v>6</v>
      </c>
      <c r="E3360" s="127">
        <v>53</v>
      </c>
      <c r="F3360" s="127">
        <v>70.599999999999994</v>
      </c>
    </row>
    <row r="3361" spans="1:6" hidden="1" x14ac:dyDescent="0.25">
      <c r="A3361" s="127" t="s">
        <v>269</v>
      </c>
      <c r="B3361" s="127">
        <v>2004</v>
      </c>
      <c r="C3361" s="127" t="s">
        <v>105</v>
      </c>
      <c r="D3361" s="127">
        <v>7</v>
      </c>
      <c r="E3361" s="127">
        <v>41.2</v>
      </c>
      <c r="F3361" s="127">
        <v>80.400000000000006</v>
      </c>
    </row>
    <row r="3362" spans="1:6" hidden="1" x14ac:dyDescent="0.25">
      <c r="A3362" s="127" t="s">
        <v>269</v>
      </c>
      <c r="B3362" s="127">
        <v>2004</v>
      </c>
      <c r="C3362" s="127" t="s">
        <v>106</v>
      </c>
      <c r="D3362" s="127">
        <v>8</v>
      </c>
      <c r="E3362" s="127">
        <v>24.7</v>
      </c>
      <c r="F3362" s="127">
        <v>96.3</v>
      </c>
    </row>
    <row r="3363" spans="1:6" hidden="1" x14ac:dyDescent="0.25">
      <c r="A3363" s="127" t="s">
        <v>269</v>
      </c>
      <c r="B3363" s="127">
        <v>2004</v>
      </c>
      <c r="C3363" s="127" t="s">
        <v>107</v>
      </c>
      <c r="D3363" s="127">
        <v>9</v>
      </c>
      <c r="E3363" s="127">
        <v>70.900000000000006</v>
      </c>
      <c r="F3363" s="127">
        <v>60</v>
      </c>
    </row>
    <row r="3364" spans="1:6" hidden="1" x14ac:dyDescent="0.25">
      <c r="A3364" s="127" t="s">
        <v>269</v>
      </c>
      <c r="B3364" s="127">
        <v>2004</v>
      </c>
      <c r="C3364" s="127" t="s">
        <v>108</v>
      </c>
      <c r="D3364" s="127">
        <v>10</v>
      </c>
      <c r="E3364" s="127">
        <v>156.69999999999999</v>
      </c>
      <c r="F3364" s="127">
        <v>5.5</v>
      </c>
    </row>
    <row r="3365" spans="1:6" hidden="1" x14ac:dyDescent="0.25">
      <c r="A3365" s="127" t="s">
        <v>269</v>
      </c>
      <c r="B3365" s="127">
        <v>2004</v>
      </c>
      <c r="C3365" s="127" t="s">
        <v>109</v>
      </c>
      <c r="D3365" s="127">
        <v>11</v>
      </c>
      <c r="E3365" s="127">
        <v>298.3</v>
      </c>
      <c r="F3365" s="127">
        <v>0</v>
      </c>
    </row>
    <row r="3366" spans="1:6" hidden="1" x14ac:dyDescent="0.25">
      <c r="A3366" s="127" t="s">
        <v>269</v>
      </c>
      <c r="B3366" s="127">
        <v>2004</v>
      </c>
      <c r="C3366" s="127" t="s">
        <v>110</v>
      </c>
      <c r="D3366" s="127">
        <v>12</v>
      </c>
      <c r="E3366" s="127">
        <v>425.1</v>
      </c>
      <c r="F3366" s="127">
        <v>0</v>
      </c>
    </row>
    <row r="3367" spans="1:6" hidden="1" x14ac:dyDescent="0.25">
      <c r="A3367" s="127" t="s">
        <v>267</v>
      </c>
      <c r="B3367" s="127">
        <v>2004</v>
      </c>
      <c r="C3367" s="127" t="s">
        <v>99</v>
      </c>
      <c r="D3367" s="127">
        <v>1</v>
      </c>
      <c r="E3367" s="127">
        <v>368.4</v>
      </c>
      <c r="F3367" s="127">
        <v>0</v>
      </c>
    </row>
    <row r="3368" spans="1:6" hidden="1" x14ac:dyDescent="0.25">
      <c r="A3368" s="127" t="s">
        <v>267</v>
      </c>
      <c r="B3368" s="127">
        <v>2004</v>
      </c>
      <c r="C3368" s="127" t="s">
        <v>100</v>
      </c>
      <c r="D3368" s="127">
        <v>2</v>
      </c>
      <c r="E3368" s="127">
        <v>358.5</v>
      </c>
      <c r="F3368" s="127">
        <v>0</v>
      </c>
    </row>
    <row r="3369" spans="1:6" hidden="1" x14ac:dyDescent="0.25">
      <c r="A3369" s="127" t="s">
        <v>267</v>
      </c>
      <c r="B3369" s="127">
        <v>2004</v>
      </c>
      <c r="C3369" s="127" t="s">
        <v>101</v>
      </c>
      <c r="D3369" s="127">
        <v>3</v>
      </c>
      <c r="E3369" s="127">
        <v>351.4</v>
      </c>
      <c r="F3369" s="127">
        <v>0.5</v>
      </c>
    </row>
    <row r="3370" spans="1:6" hidden="1" x14ac:dyDescent="0.25">
      <c r="A3370" s="127" t="s">
        <v>267</v>
      </c>
      <c r="B3370" s="127">
        <v>2004</v>
      </c>
      <c r="C3370" s="127" t="s">
        <v>102</v>
      </c>
      <c r="D3370" s="127">
        <v>4</v>
      </c>
      <c r="E3370" s="127">
        <v>239.1</v>
      </c>
      <c r="F3370" s="127">
        <v>0.8</v>
      </c>
    </row>
    <row r="3371" spans="1:6" hidden="1" x14ac:dyDescent="0.25">
      <c r="A3371" s="127" t="s">
        <v>267</v>
      </c>
      <c r="B3371" s="127">
        <v>2004</v>
      </c>
      <c r="C3371" s="127" t="s">
        <v>103</v>
      </c>
      <c r="D3371" s="127">
        <v>5</v>
      </c>
      <c r="E3371" s="127">
        <v>164.2</v>
      </c>
      <c r="F3371" s="127">
        <v>14.3</v>
      </c>
    </row>
    <row r="3372" spans="1:6" hidden="1" x14ac:dyDescent="0.25">
      <c r="A3372" s="127" t="s">
        <v>267</v>
      </c>
      <c r="B3372" s="127">
        <v>2004</v>
      </c>
      <c r="C3372" s="127" t="s">
        <v>104</v>
      </c>
      <c r="D3372" s="127">
        <v>6</v>
      </c>
      <c r="E3372" s="127">
        <v>65.8</v>
      </c>
      <c r="F3372" s="127">
        <v>41.9</v>
      </c>
    </row>
    <row r="3373" spans="1:6" hidden="1" x14ac:dyDescent="0.25">
      <c r="A3373" s="127" t="s">
        <v>267</v>
      </c>
      <c r="B3373" s="127">
        <v>2004</v>
      </c>
      <c r="C3373" s="127" t="s">
        <v>105</v>
      </c>
      <c r="D3373" s="127">
        <v>7</v>
      </c>
      <c r="E3373" s="127">
        <v>58.5</v>
      </c>
      <c r="F3373" s="127">
        <v>53.3</v>
      </c>
    </row>
    <row r="3374" spans="1:6" hidden="1" x14ac:dyDescent="0.25">
      <c r="A3374" s="127" t="s">
        <v>267</v>
      </c>
      <c r="B3374" s="127">
        <v>2004</v>
      </c>
      <c r="C3374" s="127" t="s">
        <v>106</v>
      </c>
      <c r="D3374" s="127">
        <v>8</v>
      </c>
      <c r="E3374" s="127">
        <v>34.5</v>
      </c>
      <c r="F3374" s="127">
        <v>69.900000000000006</v>
      </c>
    </row>
    <row r="3375" spans="1:6" hidden="1" x14ac:dyDescent="0.25">
      <c r="A3375" s="127" t="s">
        <v>267</v>
      </c>
      <c r="B3375" s="127">
        <v>2004</v>
      </c>
      <c r="C3375" s="127" t="s">
        <v>107</v>
      </c>
      <c r="D3375" s="127">
        <v>9</v>
      </c>
      <c r="E3375" s="127">
        <v>80.8</v>
      </c>
      <c r="F3375" s="127">
        <v>48.9</v>
      </c>
    </row>
    <row r="3376" spans="1:6" hidden="1" x14ac:dyDescent="0.25">
      <c r="A3376" s="127" t="s">
        <v>267</v>
      </c>
      <c r="B3376" s="127">
        <v>2004</v>
      </c>
      <c r="C3376" s="127" t="s">
        <v>108</v>
      </c>
      <c r="D3376" s="127">
        <v>10</v>
      </c>
      <c r="E3376" s="127">
        <v>161.19999999999999</v>
      </c>
      <c r="F3376" s="127">
        <v>3.3</v>
      </c>
    </row>
    <row r="3377" spans="1:6" hidden="1" x14ac:dyDescent="0.25">
      <c r="A3377" s="127" t="s">
        <v>267</v>
      </c>
      <c r="B3377" s="127">
        <v>2004</v>
      </c>
      <c r="C3377" s="127" t="s">
        <v>109</v>
      </c>
      <c r="D3377" s="127">
        <v>11</v>
      </c>
      <c r="E3377" s="127">
        <v>285.8</v>
      </c>
      <c r="F3377" s="127">
        <v>0</v>
      </c>
    </row>
    <row r="3378" spans="1:6" hidden="1" x14ac:dyDescent="0.25">
      <c r="A3378" s="127" t="s">
        <v>267</v>
      </c>
      <c r="B3378" s="127">
        <v>2004</v>
      </c>
      <c r="C3378" s="127" t="s">
        <v>110</v>
      </c>
      <c r="D3378" s="127">
        <v>12</v>
      </c>
      <c r="E3378" s="127">
        <v>424.7</v>
      </c>
      <c r="F3378" s="127">
        <v>0</v>
      </c>
    </row>
    <row r="3379" spans="1:6" hidden="1" x14ac:dyDescent="0.25">
      <c r="A3379" s="127" t="s">
        <v>268</v>
      </c>
      <c r="B3379" s="127">
        <v>2004</v>
      </c>
      <c r="C3379" s="127" t="s">
        <v>99</v>
      </c>
      <c r="D3379" s="127">
        <v>1</v>
      </c>
      <c r="E3379" s="127">
        <v>348</v>
      </c>
      <c r="F3379" s="127">
        <v>0</v>
      </c>
    </row>
    <row r="3380" spans="1:6" hidden="1" x14ac:dyDescent="0.25">
      <c r="A3380" s="127" t="s">
        <v>268</v>
      </c>
      <c r="B3380" s="127">
        <v>2004</v>
      </c>
      <c r="C3380" s="127" t="s">
        <v>100</v>
      </c>
      <c r="D3380" s="127">
        <v>2</v>
      </c>
      <c r="E3380" s="127">
        <v>353</v>
      </c>
      <c r="F3380" s="127">
        <v>0</v>
      </c>
    </row>
    <row r="3381" spans="1:6" hidden="1" x14ac:dyDescent="0.25">
      <c r="A3381" s="127" t="s">
        <v>268</v>
      </c>
      <c r="B3381" s="127">
        <v>2004</v>
      </c>
      <c r="C3381" s="127" t="s">
        <v>101</v>
      </c>
      <c r="D3381" s="127">
        <v>3</v>
      </c>
      <c r="E3381" s="127">
        <v>340.3</v>
      </c>
      <c r="F3381" s="127">
        <v>0.8</v>
      </c>
    </row>
    <row r="3382" spans="1:6" hidden="1" x14ac:dyDescent="0.25">
      <c r="A3382" s="127" t="s">
        <v>268</v>
      </c>
      <c r="B3382" s="127">
        <v>2004</v>
      </c>
      <c r="C3382" s="127" t="s">
        <v>102</v>
      </c>
      <c r="D3382" s="127">
        <v>4</v>
      </c>
      <c r="E3382" s="127">
        <v>237.9</v>
      </c>
      <c r="F3382" s="127">
        <v>1</v>
      </c>
    </row>
    <row r="3383" spans="1:6" hidden="1" x14ac:dyDescent="0.25">
      <c r="A3383" s="127" t="s">
        <v>268</v>
      </c>
      <c r="B3383" s="127">
        <v>2004</v>
      </c>
      <c r="C3383" s="127" t="s">
        <v>103</v>
      </c>
      <c r="D3383" s="127">
        <v>5</v>
      </c>
      <c r="E3383" s="127">
        <v>150.1</v>
      </c>
      <c r="F3383" s="127">
        <v>20.100000000000001</v>
      </c>
    </row>
    <row r="3384" spans="1:6" hidden="1" x14ac:dyDescent="0.25">
      <c r="A3384" s="127" t="s">
        <v>268</v>
      </c>
      <c r="B3384" s="127">
        <v>2004</v>
      </c>
      <c r="C3384" s="127" t="s">
        <v>104</v>
      </c>
      <c r="D3384" s="127">
        <v>6</v>
      </c>
      <c r="E3384" s="127">
        <v>51.7</v>
      </c>
      <c r="F3384" s="127">
        <v>68.5</v>
      </c>
    </row>
    <row r="3385" spans="1:6" hidden="1" x14ac:dyDescent="0.25">
      <c r="A3385" s="127" t="s">
        <v>268</v>
      </c>
      <c r="B3385" s="127">
        <v>2004</v>
      </c>
      <c r="C3385" s="127" t="s">
        <v>105</v>
      </c>
      <c r="D3385" s="127">
        <v>7</v>
      </c>
      <c r="E3385" s="127">
        <v>50.4</v>
      </c>
      <c r="F3385" s="127">
        <v>64.3</v>
      </c>
    </row>
    <row r="3386" spans="1:6" hidden="1" x14ac:dyDescent="0.25">
      <c r="A3386" s="127" t="s">
        <v>268</v>
      </c>
      <c r="B3386" s="127">
        <v>2004</v>
      </c>
      <c r="C3386" s="127" t="s">
        <v>106</v>
      </c>
      <c r="D3386" s="127">
        <v>8</v>
      </c>
      <c r="E3386" s="127">
        <v>24.8</v>
      </c>
      <c r="F3386" s="127">
        <v>79.400000000000006</v>
      </c>
    </row>
    <row r="3387" spans="1:6" hidden="1" x14ac:dyDescent="0.25">
      <c r="A3387" s="127" t="s">
        <v>268</v>
      </c>
      <c r="B3387" s="127">
        <v>2004</v>
      </c>
      <c r="C3387" s="127" t="s">
        <v>107</v>
      </c>
      <c r="D3387" s="127">
        <v>9</v>
      </c>
      <c r="E3387" s="127">
        <v>69.400000000000006</v>
      </c>
      <c r="F3387" s="127">
        <v>58.2</v>
      </c>
    </row>
    <row r="3388" spans="1:6" hidden="1" x14ac:dyDescent="0.25">
      <c r="A3388" s="127" t="s">
        <v>268</v>
      </c>
      <c r="B3388" s="127">
        <v>2004</v>
      </c>
      <c r="C3388" s="127" t="s">
        <v>108</v>
      </c>
      <c r="D3388" s="127">
        <v>10</v>
      </c>
      <c r="E3388" s="127">
        <v>138.9</v>
      </c>
      <c r="F3388" s="127">
        <v>5.7</v>
      </c>
    </row>
    <row r="3389" spans="1:6" hidden="1" x14ac:dyDescent="0.25">
      <c r="A3389" s="127" t="s">
        <v>268</v>
      </c>
      <c r="B3389" s="127">
        <v>2004</v>
      </c>
      <c r="C3389" s="127" t="s">
        <v>109</v>
      </c>
      <c r="D3389" s="127">
        <v>11</v>
      </c>
      <c r="E3389" s="127">
        <v>289.7</v>
      </c>
      <c r="F3389" s="127">
        <v>0</v>
      </c>
    </row>
    <row r="3390" spans="1:6" hidden="1" x14ac:dyDescent="0.25">
      <c r="A3390" s="127" t="s">
        <v>268</v>
      </c>
      <c r="B3390" s="127">
        <v>2004</v>
      </c>
      <c r="C3390" s="127" t="s">
        <v>110</v>
      </c>
      <c r="D3390" s="127">
        <v>12</v>
      </c>
      <c r="E3390" s="127">
        <v>393.4</v>
      </c>
      <c r="F3390" s="127">
        <v>0</v>
      </c>
    </row>
    <row r="3391" spans="1:6" hidden="1" x14ac:dyDescent="0.25">
      <c r="A3391" s="127" t="s">
        <v>269</v>
      </c>
      <c r="B3391" s="127">
        <v>2005</v>
      </c>
      <c r="C3391" s="127" t="s">
        <v>99</v>
      </c>
      <c r="D3391" s="127">
        <v>1</v>
      </c>
      <c r="E3391" s="127">
        <v>362.2</v>
      </c>
      <c r="F3391" s="127">
        <v>0</v>
      </c>
    </row>
    <row r="3392" spans="1:6" hidden="1" x14ac:dyDescent="0.25">
      <c r="A3392" s="127" t="s">
        <v>269</v>
      </c>
      <c r="B3392" s="127">
        <v>2005</v>
      </c>
      <c r="C3392" s="127" t="s">
        <v>100</v>
      </c>
      <c r="D3392" s="127">
        <v>2</v>
      </c>
      <c r="E3392" s="127">
        <v>387.2</v>
      </c>
      <c r="F3392" s="127">
        <v>0</v>
      </c>
    </row>
    <row r="3393" spans="1:6" hidden="1" x14ac:dyDescent="0.25">
      <c r="A3393" s="127" t="s">
        <v>269</v>
      </c>
      <c r="B3393" s="127">
        <v>2005</v>
      </c>
      <c r="C3393" s="127" t="s">
        <v>101</v>
      </c>
      <c r="D3393" s="127">
        <v>3</v>
      </c>
      <c r="E3393" s="127">
        <v>312.39999999999998</v>
      </c>
      <c r="F3393" s="127">
        <v>4.3</v>
      </c>
    </row>
    <row r="3394" spans="1:6" hidden="1" x14ac:dyDescent="0.25">
      <c r="A3394" s="127" t="s">
        <v>269</v>
      </c>
      <c r="B3394" s="127">
        <v>2005</v>
      </c>
      <c r="C3394" s="127" t="s">
        <v>102</v>
      </c>
      <c r="D3394" s="127">
        <v>4</v>
      </c>
      <c r="E3394" s="127">
        <v>205.8</v>
      </c>
      <c r="F3394" s="127">
        <v>4.9000000000000004</v>
      </c>
    </row>
    <row r="3395" spans="1:6" hidden="1" x14ac:dyDescent="0.25">
      <c r="A3395" s="127" t="s">
        <v>269</v>
      </c>
      <c r="B3395" s="127">
        <v>2005</v>
      </c>
      <c r="C3395" s="127" t="s">
        <v>103</v>
      </c>
      <c r="D3395" s="127">
        <v>5</v>
      </c>
      <c r="E3395" s="127">
        <v>129.80000000000001</v>
      </c>
      <c r="F3395" s="127">
        <v>24.9</v>
      </c>
    </row>
    <row r="3396" spans="1:6" hidden="1" x14ac:dyDescent="0.25">
      <c r="A3396" s="127" t="s">
        <v>269</v>
      </c>
      <c r="B3396" s="127">
        <v>2005</v>
      </c>
      <c r="C3396" s="127" t="s">
        <v>104</v>
      </c>
      <c r="D3396" s="127">
        <v>6</v>
      </c>
      <c r="E3396" s="127">
        <v>46.7</v>
      </c>
      <c r="F3396" s="127">
        <v>110.8</v>
      </c>
    </row>
    <row r="3397" spans="1:6" hidden="1" x14ac:dyDescent="0.25">
      <c r="A3397" s="127" t="s">
        <v>269</v>
      </c>
      <c r="B3397" s="127">
        <v>2005</v>
      </c>
      <c r="C3397" s="127" t="s">
        <v>105</v>
      </c>
      <c r="D3397" s="127">
        <v>7</v>
      </c>
      <c r="E3397" s="127">
        <v>23.4</v>
      </c>
      <c r="F3397" s="127">
        <v>102.1</v>
      </c>
    </row>
    <row r="3398" spans="1:6" hidden="1" x14ac:dyDescent="0.25">
      <c r="A3398" s="127" t="s">
        <v>269</v>
      </c>
      <c r="B3398" s="127">
        <v>2005</v>
      </c>
      <c r="C3398" s="127" t="s">
        <v>106</v>
      </c>
      <c r="D3398" s="127">
        <v>8</v>
      </c>
      <c r="E3398" s="127">
        <v>52.1</v>
      </c>
      <c r="F3398" s="127">
        <v>81.400000000000006</v>
      </c>
    </row>
    <row r="3399" spans="1:6" hidden="1" x14ac:dyDescent="0.25">
      <c r="A3399" s="127" t="s">
        <v>269</v>
      </c>
      <c r="B3399" s="127">
        <v>2005</v>
      </c>
      <c r="C3399" s="127" t="s">
        <v>107</v>
      </c>
      <c r="D3399" s="127">
        <v>9</v>
      </c>
      <c r="E3399" s="127">
        <v>69.2</v>
      </c>
      <c r="F3399" s="127">
        <v>61</v>
      </c>
    </row>
    <row r="3400" spans="1:6" hidden="1" x14ac:dyDescent="0.25">
      <c r="A3400" s="127" t="s">
        <v>269</v>
      </c>
      <c r="B3400" s="127">
        <v>2005</v>
      </c>
      <c r="C3400" s="127" t="s">
        <v>108</v>
      </c>
      <c r="D3400" s="127">
        <v>10</v>
      </c>
      <c r="E3400" s="127">
        <v>74.3</v>
      </c>
      <c r="F3400" s="127">
        <v>24.6</v>
      </c>
    </row>
    <row r="3401" spans="1:6" hidden="1" x14ac:dyDescent="0.25">
      <c r="A3401" s="127" t="s">
        <v>269</v>
      </c>
      <c r="B3401" s="127">
        <v>2005</v>
      </c>
      <c r="C3401" s="127" t="s">
        <v>109</v>
      </c>
      <c r="D3401" s="127">
        <v>11</v>
      </c>
      <c r="E3401" s="127">
        <v>328</v>
      </c>
      <c r="F3401" s="127">
        <v>0.2</v>
      </c>
    </row>
    <row r="3402" spans="1:6" hidden="1" x14ac:dyDescent="0.25">
      <c r="A3402" s="127" t="s">
        <v>269</v>
      </c>
      <c r="B3402" s="127">
        <v>2005</v>
      </c>
      <c r="C3402" s="127" t="s">
        <v>110</v>
      </c>
      <c r="D3402" s="127">
        <v>12</v>
      </c>
      <c r="E3402" s="127">
        <v>441.4</v>
      </c>
      <c r="F3402" s="127">
        <v>0</v>
      </c>
    </row>
    <row r="3403" spans="1:6" hidden="1" x14ac:dyDescent="0.25">
      <c r="A3403" s="127" t="s">
        <v>267</v>
      </c>
      <c r="B3403" s="127">
        <v>2005</v>
      </c>
      <c r="C3403" s="127" t="s">
        <v>99</v>
      </c>
      <c r="D3403" s="127">
        <v>1</v>
      </c>
      <c r="E3403" s="127">
        <v>366.6</v>
      </c>
      <c r="F3403" s="127">
        <v>0</v>
      </c>
    </row>
    <row r="3404" spans="1:6" hidden="1" x14ac:dyDescent="0.25">
      <c r="A3404" s="127" t="s">
        <v>267</v>
      </c>
      <c r="B3404" s="127">
        <v>2005</v>
      </c>
      <c r="C3404" s="127" t="s">
        <v>100</v>
      </c>
      <c r="D3404" s="127">
        <v>2</v>
      </c>
      <c r="E3404" s="127">
        <v>394.9</v>
      </c>
      <c r="F3404" s="127">
        <v>0</v>
      </c>
    </row>
    <row r="3405" spans="1:6" hidden="1" x14ac:dyDescent="0.25">
      <c r="A3405" s="127" t="s">
        <v>267</v>
      </c>
      <c r="B3405" s="127">
        <v>2005</v>
      </c>
      <c r="C3405" s="127" t="s">
        <v>101</v>
      </c>
      <c r="D3405" s="127">
        <v>3</v>
      </c>
      <c r="E3405" s="127">
        <v>314.2</v>
      </c>
      <c r="F3405" s="127">
        <v>3.3</v>
      </c>
    </row>
    <row r="3406" spans="1:6" hidden="1" x14ac:dyDescent="0.25">
      <c r="A3406" s="127" t="s">
        <v>267</v>
      </c>
      <c r="B3406" s="127">
        <v>2005</v>
      </c>
      <c r="C3406" s="127" t="s">
        <v>102</v>
      </c>
      <c r="D3406" s="127">
        <v>4</v>
      </c>
      <c r="E3406" s="127">
        <v>229.1</v>
      </c>
      <c r="F3406" s="127">
        <v>3.8</v>
      </c>
    </row>
    <row r="3407" spans="1:6" hidden="1" x14ac:dyDescent="0.25">
      <c r="A3407" s="127" t="s">
        <v>267</v>
      </c>
      <c r="B3407" s="127">
        <v>2005</v>
      </c>
      <c r="C3407" s="127" t="s">
        <v>103</v>
      </c>
      <c r="D3407" s="127">
        <v>5</v>
      </c>
      <c r="E3407" s="127">
        <v>151</v>
      </c>
      <c r="F3407" s="127">
        <v>17.399999999999999</v>
      </c>
    </row>
    <row r="3408" spans="1:6" hidden="1" x14ac:dyDescent="0.25">
      <c r="A3408" s="127" t="s">
        <v>267</v>
      </c>
      <c r="B3408" s="127">
        <v>2005</v>
      </c>
      <c r="C3408" s="127" t="s">
        <v>104</v>
      </c>
      <c r="D3408" s="127">
        <v>6</v>
      </c>
      <c r="E3408" s="127">
        <v>58.1</v>
      </c>
      <c r="F3408" s="127">
        <v>84.1</v>
      </c>
    </row>
    <row r="3409" spans="1:6" hidden="1" x14ac:dyDescent="0.25">
      <c r="A3409" s="127" t="s">
        <v>267</v>
      </c>
      <c r="B3409" s="127">
        <v>2005</v>
      </c>
      <c r="C3409" s="127" t="s">
        <v>105</v>
      </c>
      <c r="D3409" s="127">
        <v>7</v>
      </c>
      <c r="E3409" s="127">
        <v>33.700000000000003</v>
      </c>
      <c r="F3409" s="127">
        <v>82.1</v>
      </c>
    </row>
    <row r="3410" spans="1:6" hidden="1" x14ac:dyDescent="0.25">
      <c r="A3410" s="127" t="s">
        <v>267</v>
      </c>
      <c r="B3410" s="127">
        <v>2005</v>
      </c>
      <c r="C3410" s="127" t="s">
        <v>106</v>
      </c>
      <c r="D3410" s="127">
        <v>8</v>
      </c>
      <c r="E3410" s="127">
        <v>57.7</v>
      </c>
      <c r="F3410" s="127">
        <v>67.099999999999994</v>
      </c>
    </row>
    <row r="3411" spans="1:6" hidden="1" x14ac:dyDescent="0.25">
      <c r="A3411" s="127" t="s">
        <v>267</v>
      </c>
      <c r="B3411" s="127">
        <v>2005</v>
      </c>
      <c r="C3411" s="127" t="s">
        <v>107</v>
      </c>
      <c r="D3411" s="127">
        <v>9</v>
      </c>
      <c r="E3411" s="127">
        <v>68.3</v>
      </c>
      <c r="F3411" s="127">
        <v>54.5</v>
      </c>
    </row>
    <row r="3412" spans="1:6" hidden="1" x14ac:dyDescent="0.25">
      <c r="A3412" s="127" t="s">
        <v>267</v>
      </c>
      <c r="B3412" s="127">
        <v>2005</v>
      </c>
      <c r="C3412" s="127" t="s">
        <v>108</v>
      </c>
      <c r="D3412" s="127">
        <v>10</v>
      </c>
      <c r="E3412" s="127">
        <v>88.2</v>
      </c>
      <c r="F3412" s="127">
        <v>19.399999999999999</v>
      </c>
    </row>
    <row r="3413" spans="1:6" hidden="1" x14ac:dyDescent="0.25">
      <c r="A3413" s="127" t="s">
        <v>267</v>
      </c>
      <c r="B3413" s="127">
        <v>2005</v>
      </c>
      <c r="C3413" s="127" t="s">
        <v>109</v>
      </c>
      <c r="D3413" s="127">
        <v>11</v>
      </c>
      <c r="E3413" s="127">
        <v>326.7</v>
      </c>
      <c r="F3413" s="127">
        <v>0</v>
      </c>
    </row>
    <row r="3414" spans="1:6" hidden="1" x14ac:dyDescent="0.25">
      <c r="A3414" s="127" t="s">
        <v>267</v>
      </c>
      <c r="B3414" s="127">
        <v>2005</v>
      </c>
      <c r="C3414" s="127" t="s">
        <v>110</v>
      </c>
      <c r="D3414" s="127">
        <v>12</v>
      </c>
      <c r="E3414" s="127">
        <v>438.7</v>
      </c>
      <c r="F3414" s="127">
        <v>0</v>
      </c>
    </row>
    <row r="3415" spans="1:6" hidden="1" x14ac:dyDescent="0.25">
      <c r="A3415" s="127" t="s">
        <v>268</v>
      </c>
      <c r="B3415" s="127">
        <v>2005</v>
      </c>
      <c r="C3415" s="127" t="s">
        <v>99</v>
      </c>
      <c r="D3415" s="127">
        <v>1</v>
      </c>
      <c r="E3415" s="127">
        <v>351</v>
      </c>
      <c r="F3415" s="127">
        <v>0</v>
      </c>
    </row>
    <row r="3416" spans="1:6" hidden="1" x14ac:dyDescent="0.25">
      <c r="A3416" s="127" t="s">
        <v>268</v>
      </c>
      <c r="B3416" s="127">
        <v>2005</v>
      </c>
      <c r="C3416" s="127" t="s">
        <v>100</v>
      </c>
      <c r="D3416" s="127">
        <v>2</v>
      </c>
      <c r="E3416" s="127">
        <v>387.8</v>
      </c>
      <c r="F3416" s="127">
        <v>0</v>
      </c>
    </row>
    <row r="3417" spans="1:6" hidden="1" x14ac:dyDescent="0.25">
      <c r="A3417" s="127" t="s">
        <v>268</v>
      </c>
      <c r="B3417" s="127">
        <v>2005</v>
      </c>
      <c r="C3417" s="127" t="s">
        <v>101</v>
      </c>
      <c r="D3417" s="127">
        <v>3</v>
      </c>
      <c r="E3417" s="127">
        <v>293.8</v>
      </c>
      <c r="F3417" s="127">
        <v>4.8</v>
      </c>
    </row>
    <row r="3418" spans="1:6" hidden="1" x14ac:dyDescent="0.25">
      <c r="A3418" s="127" t="s">
        <v>268</v>
      </c>
      <c r="B3418" s="127">
        <v>2005</v>
      </c>
      <c r="C3418" s="127" t="s">
        <v>102</v>
      </c>
      <c r="D3418" s="127">
        <v>4</v>
      </c>
      <c r="E3418" s="127">
        <v>217.7</v>
      </c>
      <c r="F3418" s="127">
        <v>5.3</v>
      </c>
    </row>
    <row r="3419" spans="1:6" hidden="1" x14ac:dyDescent="0.25">
      <c r="A3419" s="127" t="s">
        <v>268</v>
      </c>
      <c r="B3419" s="127">
        <v>2005</v>
      </c>
      <c r="C3419" s="127" t="s">
        <v>103</v>
      </c>
      <c r="D3419" s="127">
        <v>5</v>
      </c>
      <c r="E3419" s="127">
        <v>142.80000000000001</v>
      </c>
      <c r="F3419" s="127">
        <v>15.9</v>
      </c>
    </row>
    <row r="3420" spans="1:6" hidden="1" x14ac:dyDescent="0.25">
      <c r="A3420" s="127" t="s">
        <v>268</v>
      </c>
      <c r="B3420" s="127">
        <v>2005</v>
      </c>
      <c r="C3420" s="127" t="s">
        <v>104</v>
      </c>
      <c r="D3420" s="127">
        <v>6</v>
      </c>
      <c r="E3420" s="127">
        <v>44.1</v>
      </c>
      <c r="F3420" s="127">
        <v>95.9</v>
      </c>
    </row>
    <row r="3421" spans="1:6" hidden="1" x14ac:dyDescent="0.25">
      <c r="A3421" s="127" t="s">
        <v>268</v>
      </c>
      <c r="B3421" s="127">
        <v>2005</v>
      </c>
      <c r="C3421" s="127" t="s">
        <v>105</v>
      </c>
      <c r="D3421" s="127">
        <v>7</v>
      </c>
      <c r="E3421" s="127">
        <v>31.5</v>
      </c>
      <c r="F3421" s="127">
        <v>96.3</v>
      </c>
    </row>
    <row r="3422" spans="1:6" hidden="1" x14ac:dyDescent="0.25">
      <c r="A3422" s="127" t="s">
        <v>268</v>
      </c>
      <c r="B3422" s="127">
        <v>2005</v>
      </c>
      <c r="C3422" s="127" t="s">
        <v>106</v>
      </c>
      <c r="D3422" s="127">
        <v>8</v>
      </c>
      <c r="E3422" s="127">
        <v>53.9</v>
      </c>
      <c r="F3422" s="127">
        <v>70.3</v>
      </c>
    </row>
    <row r="3423" spans="1:6" hidden="1" x14ac:dyDescent="0.25">
      <c r="A3423" s="127" t="s">
        <v>268</v>
      </c>
      <c r="B3423" s="127">
        <v>2005</v>
      </c>
      <c r="C3423" s="127" t="s">
        <v>107</v>
      </c>
      <c r="D3423" s="127">
        <v>9</v>
      </c>
      <c r="E3423" s="127">
        <v>63.9</v>
      </c>
      <c r="F3423" s="127">
        <v>50.9</v>
      </c>
    </row>
    <row r="3424" spans="1:6" hidden="1" x14ac:dyDescent="0.25">
      <c r="A3424" s="127" t="s">
        <v>268</v>
      </c>
      <c r="B3424" s="127">
        <v>2005</v>
      </c>
      <c r="C3424" s="127" t="s">
        <v>108</v>
      </c>
      <c r="D3424" s="127">
        <v>10</v>
      </c>
      <c r="E3424" s="127">
        <v>79.3</v>
      </c>
      <c r="F3424" s="127">
        <v>16.100000000000001</v>
      </c>
    </row>
    <row r="3425" spans="1:6" hidden="1" x14ac:dyDescent="0.25">
      <c r="A3425" s="127" t="s">
        <v>268</v>
      </c>
      <c r="B3425" s="127">
        <v>2005</v>
      </c>
      <c r="C3425" s="127" t="s">
        <v>109</v>
      </c>
      <c r="D3425" s="127">
        <v>11</v>
      </c>
      <c r="E3425" s="127">
        <v>313.2</v>
      </c>
      <c r="F3425" s="127">
        <v>0</v>
      </c>
    </row>
    <row r="3426" spans="1:6" hidden="1" x14ac:dyDescent="0.25">
      <c r="A3426" s="127" t="s">
        <v>268</v>
      </c>
      <c r="B3426" s="127">
        <v>2005</v>
      </c>
      <c r="C3426" s="127" t="s">
        <v>110</v>
      </c>
      <c r="D3426" s="127">
        <v>12</v>
      </c>
      <c r="E3426" s="127">
        <v>427.1</v>
      </c>
      <c r="F3426" s="127">
        <v>0</v>
      </c>
    </row>
    <row r="3427" spans="1:6" hidden="1" x14ac:dyDescent="0.25">
      <c r="A3427" s="127" t="s">
        <v>269</v>
      </c>
      <c r="B3427" s="127">
        <v>2006</v>
      </c>
      <c r="C3427" s="127" t="s">
        <v>99</v>
      </c>
      <c r="D3427" s="127">
        <v>1</v>
      </c>
      <c r="E3427" s="127">
        <v>432.6</v>
      </c>
      <c r="F3427" s="127">
        <v>0</v>
      </c>
    </row>
    <row r="3428" spans="1:6" hidden="1" x14ac:dyDescent="0.25">
      <c r="A3428" s="127" t="s">
        <v>269</v>
      </c>
      <c r="B3428" s="127">
        <v>2006</v>
      </c>
      <c r="C3428" s="127" t="s">
        <v>100</v>
      </c>
      <c r="D3428" s="127">
        <v>2</v>
      </c>
      <c r="E3428" s="127">
        <v>396.9</v>
      </c>
      <c r="F3428" s="127">
        <v>0</v>
      </c>
    </row>
    <row r="3429" spans="1:6" hidden="1" x14ac:dyDescent="0.25">
      <c r="A3429" s="127" t="s">
        <v>269</v>
      </c>
      <c r="B3429" s="127">
        <v>2006</v>
      </c>
      <c r="C3429" s="127" t="s">
        <v>101</v>
      </c>
      <c r="D3429" s="127">
        <v>3</v>
      </c>
      <c r="E3429" s="127">
        <v>333.1</v>
      </c>
      <c r="F3429" s="127">
        <v>0.6</v>
      </c>
    </row>
    <row r="3430" spans="1:6" hidden="1" x14ac:dyDescent="0.25">
      <c r="A3430" s="127" t="s">
        <v>269</v>
      </c>
      <c r="B3430" s="127">
        <v>2006</v>
      </c>
      <c r="C3430" s="127" t="s">
        <v>102</v>
      </c>
      <c r="D3430" s="127">
        <v>4</v>
      </c>
      <c r="E3430" s="127">
        <v>217.8</v>
      </c>
      <c r="F3430" s="127">
        <v>5.4</v>
      </c>
    </row>
    <row r="3431" spans="1:6" hidden="1" x14ac:dyDescent="0.25">
      <c r="A3431" s="127" t="s">
        <v>269</v>
      </c>
      <c r="B3431" s="127">
        <v>2006</v>
      </c>
      <c r="C3431" s="127" t="s">
        <v>103</v>
      </c>
      <c r="D3431" s="127">
        <v>5</v>
      </c>
      <c r="E3431" s="127">
        <v>114.2</v>
      </c>
      <c r="F3431" s="127">
        <v>19.7</v>
      </c>
    </row>
    <row r="3432" spans="1:6" hidden="1" x14ac:dyDescent="0.25">
      <c r="A3432" s="127" t="s">
        <v>269</v>
      </c>
      <c r="B3432" s="127">
        <v>2006</v>
      </c>
      <c r="C3432" s="127" t="s">
        <v>104</v>
      </c>
      <c r="D3432" s="127">
        <v>6</v>
      </c>
      <c r="E3432" s="127">
        <v>42.2</v>
      </c>
      <c r="F3432" s="127">
        <v>92.5</v>
      </c>
    </row>
    <row r="3433" spans="1:6" hidden="1" x14ac:dyDescent="0.25">
      <c r="A3433" s="127" t="s">
        <v>269</v>
      </c>
      <c r="B3433" s="127">
        <v>2006</v>
      </c>
      <c r="C3433" s="127" t="s">
        <v>105</v>
      </c>
      <c r="D3433" s="127">
        <v>7</v>
      </c>
      <c r="E3433" s="127">
        <v>4.5</v>
      </c>
      <c r="F3433" s="127">
        <v>192.2</v>
      </c>
    </row>
    <row r="3434" spans="1:6" hidden="1" x14ac:dyDescent="0.25">
      <c r="A3434" s="127" t="s">
        <v>269</v>
      </c>
      <c r="B3434" s="127">
        <v>2006</v>
      </c>
      <c r="C3434" s="127" t="s">
        <v>106</v>
      </c>
      <c r="D3434" s="127">
        <v>8</v>
      </c>
      <c r="E3434" s="127">
        <v>50.7</v>
      </c>
      <c r="F3434" s="127">
        <v>53.4</v>
      </c>
    </row>
    <row r="3435" spans="1:6" hidden="1" x14ac:dyDescent="0.25">
      <c r="A3435" s="127" t="s">
        <v>269</v>
      </c>
      <c r="B3435" s="127">
        <v>2006</v>
      </c>
      <c r="C3435" s="127" t="s">
        <v>107</v>
      </c>
      <c r="D3435" s="127">
        <v>9</v>
      </c>
      <c r="E3435" s="127">
        <v>33.200000000000003</v>
      </c>
      <c r="F3435" s="127">
        <v>80.8</v>
      </c>
    </row>
    <row r="3436" spans="1:6" hidden="1" x14ac:dyDescent="0.25">
      <c r="A3436" s="127" t="s">
        <v>269</v>
      </c>
      <c r="B3436" s="127">
        <v>2006</v>
      </c>
      <c r="C3436" s="127" t="s">
        <v>108</v>
      </c>
      <c r="D3436" s="127">
        <v>10</v>
      </c>
      <c r="E3436" s="127">
        <v>95.5</v>
      </c>
      <c r="F3436" s="127">
        <v>7.5</v>
      </c>
    </row>
    <row r="3437" spans="1:6" hidden="1" x14ac:dyDescent="0.25">
      <c r="A3437" s="127" t="s">
        <v>269</v>
      </c>
      <c r="B3437" s="127">
        <v>2006</v>
      </c>
      <c r="C3437" s="127" t="s">
        <v>109</v>
      </c>
      <c r="D3437" s="127">
        <v>11</v>
      </c>
      <c r="E3437" s="127">
        <v>252.5</v>
      </c>
      <c r="F3437" s="127">
        <v>0</v>
      </c>
    </row>
    <row r="3438" spans="1:6" hidden="1" x14ac:dyDescent="0.25">
      <c r="A3438" s="127" t="s">
        <v>269</v>
      </c>
      <c r="B3438" s="127">
        <v>2006</v>
      </c>
      <c r="C3438" s="127" t="s">
        <v>110</v>
      </c>
      <c r="D3438" s="127">
        <v>12</v>
      </c>
      <c r="E3438" s="127">
        <v>388.2</v>
      </c>
      <c r="F3438" s="127">
        <v>0</v>
      </c>
    </row>
    <row r="3439" spans="1:6" hidden="1" x14ac:dyDescent="0.25">
      <c r="A3439" s="127" t="s">
        <v>267</v>
      </c>
      <c r="B3439" s="127">
        <v>2006</v>
      </c>
      <c r="C3439" s="127" t="s">
        <v>99</v>
      </c>
      <c r="D3439" s="127">
        <v>1</v>
      </c>
      <c r="E3439" s="127">
        <v>437.3</v>
      </c>
      <c r="F3439" s="127">
        <v>0</v>
      </c>
    </row>
    <row r="3440" spans="1:6" hidden="1" x14ac:dyDescent="0.25">
      <c r="A3440" s="127" t="s">
        <v>267</v>
      </c>
      <c r="B3440" s="127">
        <v>2006</v>
      </c>
      <c r="C3440" s="127" t="s">
        <v>100</v>
      </c>
      <c r="D3440" s="127">
        <v>2</v>
      </c>
      <c r="E3440" s="127">
        <v>398.7</v>
      </c>
      <c r="F3440" s="127">
        <v>0</v>
      </c>
    </row>
    <row r="3441" spans="1:6" hidden="1" x14ac:dyDescent="0.25">
      <c r="A3441" s="127" t="s">
        <v>267</v>
      </c>
      <c r="B3441" s="127">
        <v>2006</v>
      </c>
      <c r="C3441" s="127" t="s">
        <v>101</v>
      </c>
      <c r="D3441" s="127">
        <v>3</v>
      </c>
      <c r="E3441" s="127">
        <v>342.4</v>
      </c>
      <c r="F3441" s="127">
        <v>0.1</v>
      </c>
    </row>
    <row r="3442" spans="1:6" hidden="1" x14ac:dyDescent="0.25">
      <c r="A3442" s="127" t="s">
        <v>267</v>
      </c>
      <c r="B3442" s="127">
        <v>2006</v>
      </c>
      <c r="C3442" s="127" t="s">
        <v>102</v>
      </c>
      <c r="D3442" s="127">
        <v>4</v>
      </c>
      <c r="E3442" s="127">
        <v>231.5</v>
      </c>
      <c r="F3442" s="127">
        <v>2.8</v>
      </c>
    </row>
    <row r="3443" spans="1:6" hidden="1" x14ac:dyDescent="0.25">
      <c r="A3443" s="127" t="s">
        <v>267</v>
      </c>
      <c r="B3443" s="127">
        <v>2006</v>
      </c>
      <c r="C3443" s="127" t="s">
        <v>103</v>
      </c>
      <c r="D3443" s="127">
        <v>5</v>
      </c>
      <c r="E3443" s="127">
        <v>128.30000000000001</v>
      </c>
      <c r="F3443" s="127">
        <v>13.4</v>
      </c>
    </row>
    <row r="3444" spans="1:6" hidden="1" x14ac:dyDescent="0.25">
      <c r="A3444" s="127" t="s">
        <v>267</v>
      </c>
      <c r="B3444" s="127">
        <v>2006</v>
      </c>
      <c r="C3444" s="127" t="s">
        <v>104</v>
      </c>
      <c r="D3444" s="127">
        <v>6</v>
      </c>
      <c r="E3444" s="127">
        <v>51.7</v>
      </c>
      <c r="F3444" s="127">
        <v>75.400000000000006</v>
      </c>
    </row>
    <row r="3445" spans="1:6" hidden="1" x14ac:dyDescent="0.25">
      <c r="A3445" s="127" t="s">
        <v>267</v>
      </c>
      <c r="B3445" s="127">
        <v>2006</v>
      </c>
      <c r="C3445" s="127" t="s">
        <v>105</v>
      </c>
      <c r="D3445" s="127">
        <v>7</v>
      </c>
      <c r="E3445" s="127">
        <v>9.9</v>
      </c>
      <c r="F3445" s="127">
        <v>157</v>
      </c>
    </row>
    <row r="3446" spans="1:6" hidden="1" x14ac:dyDescent="0.25">
      <c r="A3446" s="127" t="s">
        <v>267</v>
      </c>
      <c r="B3446" s="127">
        <v>2006</v>
      </c>
      <c r="C3446" s="127" t="s">
        <v>106</v>
      </c>
      <c r="D3446" s="127">
        <v>8</v>
      </c>
      <c r="E3446" s="127">
        <v>53.2</v>
      </c>
      <c r="F3446" s="127">
        <v>46.4</v>
      </c>
    </row>
    <row r="3447" spans="1:6" hidden="1" x14ac:dyDescent="0.25">
      <c r="A3447" s="127" t="s">
        <v>267</v>
      </c>
      <c r="B3447" s="127">
        <v>2006</v>
      </c>
      <c r="C3447" s="127" t="s">
        <v>107</v>
      </c>
      <c r="D3447" s="127">
        <v>9</v>
      </c>
      <c r="E3447" s="127">
        <v>40.299999999999997</v>
      </c>
      <c r="F3447" s="127">
        <v>65.400000000000006</v>
      </c>
    </row>
    <row r="3448" spans="1:6" hidden="1" x14ac:dyDescent="0.25">
      <c r="A3448" s="127" t="s">
        <v>267</v>
      </c>
      <c r="B3448" s="127">
        <v>2006</v>
      </c>
      <c r="C3448" s="127" t="s">
        <v>108</v>
      </c>
      <c r="D3448" s="127">
        <v>10</v>
      </c>
      <c r="E3448" s="127">
        <v>103.7</v>
      </c>
      <c r="F3448" s="127">
        <v>5.5</v>
      </c>
    </row>
    <row r="3449" spans="1:6" hidden="1" x14ac:dyDescent="0.25">
      <c r="A3449" s="127" t="s">
        <v>267</v>
      </c>
      <c r="B3449" s="127">
        <v>2006</v>
      </c>
      <c r="C3449" s="127" t="s">
        <v>109</v>
      </c>
      <c r="D3449" s="127">
        <v>11</v>
      </c>
      <c r="E3449" s="127">
        <v>263.8</v>
      </c>
      <c r="F3449" s="127">
        <v>0</v>
      </c>
    </row>
    <row r="3450" spans="1:6" hidden="1" x14ac:dyDescent="0.25">
      <c r="A3450" s="127" t="s">
        <v>267</v>
      </c>
      <c r="B3450" s="127">
        <v>2006</v>
      </c>
      <c r="C3450" s="127" t="s">
        <v>110</v>
      </c>
      <c r="D3450" s="127">
        <v>12</v>
      </c>
      <c r="E3450" s="127">
        <v>381.6</v>
      </c>
      <c r="F3450" s="127">
        <v>0</v>
      </c>
    </row>
    <row r="3451" spans="1:6" hidden="1" x14ac:dyDescent="0.25">
      <c r="A3451" s="127" t="s">
        <v>268</v>
      </c>
      <c r="B3451" s="127">
        <v>2006</v>
      </c>
      <c r="C3451" s="127" t="s">
        <v>99</v>
      </c>
      <c r="D3451" s="127">
        <v>1</v>
      </c>
      <c r="E3451" s="127">
        <v>424</v>
      </c>
      <c r="F3451" s="127">
        <v>0</v>
      </c>
    </row>
    <row r="3452" spans="1:6" hidden="1" x14ac:dyDescent="0.25">
      <c r="A3452" s="127" t="s">
        <v>268</v>
      </c>
      <c r="B3452" s="127">
        <v>2006</v>
      </c>
      <c r="C3452" s="127" t="s">
        <v>100</v>
      </c>
      <c r="D3452" s="127">
        <v>2</v>
      </c>
      <c r="E3452" s="127">
        <v>396</v>
      </c>
      <c r="F3452" s="127">
        <v>0</v>
      </c>
    </row>
    <row r="3453" spans="1:6" hidden="1" x14ac:dyDescent="0.25">
      <c r="A3453" s="127" t="s">
        <v>268</v>
      </c>
      <c r="B3453" s="127">
        <v>2006</v>
      </c>
      <c r="C3453" s="127" t="s">
        <v>101</v>
      </c>
      <c r="D3453" s="127">
        <v>3</v>
      </c>
      <c r="E3453" s="127">
        <v>304.10000000000002</v>
      </c>
      <c r="F3453" s="127">
        <v>0.2</v>
      </c>
    </row>
    <row r="3454" spans="1:6" hidden="1" x14ac:dyDescent="0.25">
      <c r="A3454" s="127" t="s">
        <v>268</v>
      </c>
      <c r="B3454" s="127">
        <v>2006</v>
      </c>
      <c r="C3454" s="127" t="s">
        <v>102</v>
      </c>
      <c r="D3454" s="127">
        <v>4</v>
      </c>
      <c r="E3454" s="127">
        <v>220.5</v>
      </c>
      <c r="F3454" s="127">
        <v>2.7</v>
      </c>
    </row>
    <row r="3455" spans="1:6" hidden="1" x14ac:dyDescent="0.25">
      <c r="A3455" s="127" t="s">
        <v>268</v>
      </c>
      <c r="B3455" s="127">
        <v>2006</v>
      </c>
      <c r="C3455" s="127" t="s">
        <v>103</v>
      </c>
      <c r="D3455" s="127">
        <v>5</v>
      </c>
      <c r="E3455" s="127">
        <v>134.6</v>
      </c>
      <c r="F3455" s="127">
        <v>10.199999999999999</v>
      </c>
    </row>
    <row r="3456" spans="1:6" hidden="1" x14ac:dyDescent="0.25">
      <c r="A3456" s="127" t="s">
        <v>268</v>
      </c>
      <c r="B3456" s="127">
        <v>2006</v>
      </c>
      <c r="C3456" s="127" t="s">
        <v>104</v>
      </c>
      <c r="D3456" s="127">
        <v>6</v>
      </c>
      <c r="E3456" s="127">
        <v>45.8</v>
      </c>
      <c r="F3456" s="127">
        <v>81</v>
      </c>
    </row>
    <row r="3457" spans="1:6" hidden="1" x14ac:dyDescent="0.25">
      <c r="A3457" s="127" t="s">
        <v>268</v>
      </c>
      <c r="B3457" s="127">
        <v>2006</v>
      </c>
      <c r="C3457" s="127" t="s">
        <v>105</v>
      </c>
      <c r="D3457" s="127">
        <v>7</v>
      </c>
      <c r="E3457" s="127">
        <v>6.4</v>
      </c>
      <c r="F3457" s="127">
        <v>168.7</v>
      </c>
    </row>
    <row r="3458" spans="1:6" hidden="1" x14ac:dyDescent="0.25">
      <c r="A3458" s="127" t="s">
        <v>268</v>
      </c>
      <c r="B3458" s="127">
        <v>2006</v>
      </c>
      <c r="C3458" s="127" t="s">
        <v>106</v>
      </c>
      <c r="D3458" s="127">
        <v>8</v>
      </c>
      <c r="E3458" s="127">
        <v>48.7</v>
      </c>
      <c r="F3458" s="127">
        <v>49.6</v>
      </c>
    </row>
    <row r="3459" spans="1:6" hidden="1" x14ac:dyDescent="0.25">
      <c r="A3459" s="127" t="s">
        <v>268</v>
      </c>
      <c r="B3459" s="127">
        <v>2006</v>
      </c>
      <c r="C3459" s="127" t="s">
        <v>107</v>
      </c>
      <c r="D3459" s="127">
        <v>9</v>
      </c>
      <c r="E3459" s="127">
        <v>34.299999999999997</v>
      </c>
      <c r="F3459" s="127">
        <v>71.599999999999994</v>
      </c>
    </row>
    <row r="3460" spans="1:6" hidden="1" x14ac:dyDescent="0.25">
      <c r="A3460" s="127" t="s">
        <v>268</v>
      </c>
      <c r="B3460" s="127">
        <v>2006</v>
      </c>
      <c r="C3460" s="127" t="s">
        <v>108</v>
      </c>
      <c r="D3460" s="127">
        <v>10</v>
      </c>
      <c r="E3460" s="127">
        <v>75</v>
      </c>
      <c r="F3460" s="127">
        <v>12.2</v>
      </c>
    </row>
    <row r="3461" spans="1:6" hidden="1" x14ac:dyDescent="0.25">
      <c r="A3461" s="127" t="s">
        <v>268</v>
      </c>
      <c r="B3461" s="127">
        <v>2006</v>
      </c>
      <c r="C3461" s="127" t="s">
        <v>109</v>
      </c>
      <c r="D3461" s="127">
        <v>11</v>
      </c>
      <c r="E3461" s="127">
        <v>218.4</v>
      </c>
      <c r="F3461" s="127">
        <v>0</v>
      </c>
    </row>
    <row r="3462" spans="1:6" hidden="1" x14ac:dyDescent="0.25">
      <c r="A3462" s="127" t="s">
        <v>268</v>
      </c>
      <c r="B3462" s="127">
        <v>2006</v>
      </c>
      <c r="C3462" s="127" t="s">
        <v>110</v>
      </c>
      <c r="D3462" s="127">
        <v>12</v>
      </c>
      <c r="E3462" s="127">
        <v>378.2</v>
      </c>
      <c r="F3462" s="127">
        <v>0</v>
      </c>
    </row>
    <row r="3463" spans="1:6" hidden="1" x14ac:dyDescent="0.25">
      <c r="A3463" s="127" t="s">
        <v>269</v>
      </c>
      <c r="B3463" s="127">
        <v>2007</v>
      </c>
      <c r="C3463" s="127" t="s">
        <v>99</v>
      </c>
      <c r="D3463" s="127">
        <v>1</v>
      </c>
      <c r="E3463" s="127">
        <v>320.60000000000002</v>
      </c>
      <c r="F3463" s="127">
        <v>0</v>
      </c>
    </row>
    <row r="3464" spans="1:6" hidden="1" x14ac:dyDescent="0.25">
      <c r="A3464" s="127" t="s">
        <v>269</v>
      </c>
      <c r="B3464" s="127">
        <v>2007</v>
      </c>
      <c r="C3464" s="127" t="s">
        <v>100</v>
      </c>
      <c r="D3464" s="127">
        <v>2</v>
      </c>
      <c r="E3464" s="127">
        <v>264.3</v>
      </c>
      <c r="F3464" s="127">
        <v>0</v>
      </c>
    </row>
    <row r="3465" spans="1:6" hidden="1" x14ac:dyDescent="0.25">
      <c r="A3465" s="127" t="s">
        <v>269</v>
      </c>
      <c r="B3465" s="127">
        <v>2007</v>
      </c>
      <c r="C3465" s="127" t="s">
        <v>101</v>
      </c>
      <c r="D3465" s="127">
        <v>3</v>
      </c>
      <c r="E3465" s="127">
        <v>309.7</v>
      </c>
      <c r="F3465" s="127">
        <v>0.1</v>
      </c>
    </row>
    <row r="3466" spans="1:6" hidden="1" x14ac:dyDescent="0.25">
      <c r="A3466" s="127" t="s">
        <v>269</v>
      </c>
      <c r="B3466" s="127">
        <v>2007</v>
      </c>
      <c r="C3466" s="127" t="s">
        <v>102</v>
      </c>
      <c r="D3466" s="127">
        <v>4</v>
      </c>
      <c r="E3466" s="127">
        <v>123.2</v>
      </c>
      <c r="F3466" s="127">
        <v>31.3</v>
      </c>
    </row>
    <row r="3467" spans="1:6" hidden="1" x14ac:dyDescent="0.25">
      <c r="A3467" s="127" t="s">
        <v>269</v>
      </c>
      <c r="B3467" s="127">
        <v>2007</v>
      </c>
      <c r="C3467" s="127" t="s">
        <v>103</v>
      </c>
      <c r="D3467" s="127">
        <v>5</v>
      </c>
      <c r="E3467" s="127">
        <v>94.8</v>
      </c>
      <c r="F3467" s="127">
        <v>20.8</v>
      </c>
    </row>
    <row r="3468" spans="1:6" hidden="1" x14ac:dyDescent="0.25">
      <c r="A3468" s="127" t="s">
        <v>269</v>
      </c>
      <c r="B3468" s="127">
        <v>2007</v>
      </c>
      <c r="C3468" s="127" t="s">
        <v>104</v>
      </c>
      <c r="D3468" s="127">
        <v>6</v>
      </c>
      <c r="E3468" s="127">
        <v>46.8</v>
      </c>
      <c r="F3468" s="127">
        <v>46</v>
      </c>
    </row>
    <row r="3469" spans="1:6" hidden="1" x14ac:dyDescent="0.25">
      <c r="A3469" s="127" t="s">
        <v>269</v>
      </c>
      <c r="B3469" s="127">
        <v>2007</v>
      </c>
      <c r="C3469" s="127" t="s">
        <v>105</v>
      </c>
      <c r="D3469" s="127">
        <v>7</v>
      </c>
      <c r="E3469" s="127">
        <v>41.5</v>
      </c>
      <c r="F3469" s="127">
        <v>50.5</v>
      </c>
    </row>
    <row r="3470" spans="1:6" hidden="1" x14ac:dyDescent="0.25">
      <c r="A3470" s="127" t="s">
        <v>269</v>
      </c>
      <c r="B3470" s="127">
        <v>2007</v>
      </c>
      <c r="C3470" s="127" t="s">
        <v>106</v>
      </c>
      <c r="D3470" s="127">
        <v>8</v>
      </c>
      <c r="E3470" s="127">
        <v>47.5</v>
      </c>
      <c r="F3470" s="127">
        <v>47.5</v>
      </c>
    </row>
    <row r="3471" spans="1:6" hidden="1" x14ac:dyDescent="0.25">
      <c r="A3471" s="127" t="s">
        <v>269</v>
      </c>
      <c r="B3471" s="127">
        <v>2007</v>
      </c>
      <c r="C3471" s="127" t="s">
        <v>107</v>
      </c>
      <c r="D3471" s="127">
        <v>9</v>
      </c>
      <c r="E3471" s="127">
        <v>111.1</v>
      </c>
      <c r="F3471" s="127">
        <v>23.8</v>
      </c>
    </row>
    <row r="3472" spans="1:6" hidden="1" x14ac:dyDescent="0.25">
      <c r="A3472" s="127" t="s">
        <v>269</v>
      </c>
      <c r="B3472" s="127">
        <v>2007</v>
      </c>
      <c r="C3472" s="127" t="s">
        <v>108</v>
      </c>
      <c r="D3472" s="127">
        <v>10</v>
      </c>
      <c r="E3472" s="127">
        <v>188</v>
      </c>
      <c r="F3472" s="127">
        <v>7</v>
      </c>
    </row>
    <row r="3473" spans="1:6" hidden="1" x14ac:dyDescent="0.25">
      <c r="A3473" s="127" t="s">
        <v>269</v>
      </c>
      <c r="B3473" s="127">
        <v>2007</v>
      </c>
      <c r="C3473" s="127" t="s">
        <v>109</v>
      </c>
      <c r="D3473" s="127">
        <v>11</v>
      </c>
      <c r="E3473" s="127">
        <v>317</v>
      </c>
      <c r="F3473" s="127">
        <v>0</v>
      </c>
    </row>
    <row r="3474" spans="1:6" hidden="1" x14ac:dyDescent="0.25">
      <c r="A3474" s="127" t="s">
        <v>269</v>
      </c>
      <c r="B3474" s="127">
        <v>2007</v>
      </c>
      <c r="C3474" s="127" t="s">
        <v>110</v>
      </c>
      <c r="D3474" s="127">
        <v>12</v>
      </c>
      <c r="E3474" s="127">
        <v>403.7</v>
      </c>
      <c r="F3474" s="127">
        <v>0</v>
      </c>
    </row>
    <row r="3475" spans="1:6" hidden="1" x14ac:dyDescent="0.25">
      <c r="A3475" s="127" t="s">
        <v>267</v>
      </c>
      <c r="B3475" s="127">
        <v>2007</v>
      </c>
      <c r="C3475" s="127" t="s">
        <v>99</v>
      </c>
      <c r="D3475" s="127">
        <v>1</v>
      </c>
      <c r="E3475" s="127">
        <v>329.2</v>
      </c>
      <c r="F3475" s="127">
        <v>0</v>
      </c>
    </row>
    <row r="3476" spans="1:6" hidden="1" x14ac:dyDescent="0.25">
      <c r="A3476" s="127" t="s">
        <v>267</v>
      </c>
      <c r="B3476" s="127">
        <v>2007</v>
      </c>
      <c r="C3476" s="127" t="s">
        <v>100</v>
      </c>
      <c r="D3476" s="127">
        <v>2</v>
      </c>
      <c r="E3476" s="127">
        <v>261.89999999999998</v>
      </c>
      <c r="F3476" s="127">
        <v>0</v>
      </c>
    </row>
    <row r="3477" spans="1:6" hidden="1" x14ac:dyDescent="0.25">
      <c r="A3477" s="127" t="s">
        <v>267</v>
      </c>
      <c r="B3477" s="127">
        <v>2007</v>
      </c>
      <c r="C3477" s="127" t="s">
        <v>101</v>
      </c>
      <c r="D3477" s="127">
        <v>3</v>
      </c>
      <c r="E3477" s="127">
        <v>314</v>
      </c>
      <c r="F3477" s="127">
        <v>0</v>
      </c>
    </row>
    <row r="3478" spans="1:6" hidden="1" x14ac:dyDescent="0.25">
      <c r="A3478" s="127" t="s">
        <v>267</v>
      </c>
      <c r="B3478" s="127">
        <v>2007</v>
      </c>
      <c r="C3478" s="127" t="s">
        <v>102</v>
      </c>
      <c r="D3478" s="127">
        <v>4</v>
      </c>
      <c r="E3478" s="127">
        <v>131.30000000000001</v>
      </c>
      <c r="F3478" s="127">
        <v>17.3</v>
      </c>
    </row>
    <row r="3479" spans="1:6" hidden="1" x14ac:dyDescent="0.25">
      <c r="A3479" s="127" t="s">
        <v>267</v>
      </c>
      <c r="B3479" s="127">
        <v>2007</v>
      </c>
      <c r="C3479" s="127" t="s">
        <v>103</v>
      </c>
      <c r="D3479" s="127">
        <v>5</v>
      </c>
      <c r="E3479" s="127">
        <v>118.3</v>
      </c>
      <c r="F3479" s="127">
        <v>11.9</v>
      </c>
    </row>
    <row r="3480" spans="1:6" hidden="1" x14ac:dyDescent="0.25">
      <c r="A3480" s="127" t="s">
        <v>267</v>
      </c>
      <c r="B3480" s="127">
        <v>2007</v>
      </c>
      <c r="C3480" s="127" t="s">
        <v>104</v>
      </c>
      <c r="D3480" s="127">
        <v>6</v>
      </c>
      <c r="E3480" s="127">
        <v>61.4</v>
      </c>
      <c r="F3480" s="127">
        <v>32.299999999999997</v>
      </c>
    </row>
    <row r="3481" spans="1:6" hidden="1" x14ac:dyDescent="0.25">
      <c r="A3481" s="127" t="s">
        <v>267</v>
      </c>
      <c r="B3481" s="127">
        <v>2007</v>
      </c>
      <c r="C3481" s="127" t="s">
        <v>105</v>
      </c>
      <c r="D3481" s="127">
        <v>7</v>
      </c>
      <c r="E3481" s="127">
        <v>49.4</v>
      </c>
      <c r="F3481" s="127">
        <v>37.1</v>
      </c>
    </row>
    <row r="3482" spans="1:6" hidden="1" x14ac:dyDescent="0.25">
      <c r="A3482" s="127" t="s">
        <v>267</v>
      </c>
      <c r="B3482" s="127">
        <v>2007</v>
      </c>
      <c r="C3482" s="127" t="s">
        <v>106</v>
      </c>
      <c r="D3482" s="127">
        <v>8</v>
      </c>
      <c r="E3482" s="127">
        <v>63.3</v>
      </c>
      <c r="F3482" s="127">
        <v>35.5</v>
      </c>
    </row>
    <row r="3483" spans="1:6" hidden="1" x14ac:dyDescent="0.25">
      <c r="A3483" s="127" t="s">
        <v>267</v>
      </c>
      <c r="B3483" s="127">
        <v>2007</v>
      </c>
      <c r="C3483" s="127" t="s">
        <v>107</v>
      </c>
      <c r="D3483" s="127">
        <v>9</v>
      </c>
      <c r="E3483" s="127">
        <v>115</v>
      </c>
      <c r="F3483" s="127">
        <v>16.8</v>
      </c>
    </row>
    <row r="3484" spans="1:6" hidden="1" x14ac:dyDescent="0.25">
      <c r="A3484" s="127" t="s">
        <v>267</v>
      </c>
      <c r="B3484" s="127">
        <v>2007</v>
      </c>
      <c r="C3484" s="127" t="s">
        <v>108</v>
      </c>
      <c r="D3484" s="127">
        <v>10</v>
      </c>
      <c r="E3484" s="127">
        <v>193.6</v>
      </c>
      <c r="F3484" s="127">
        <v>5.0999999999999996</v>
      </c>
    </row>
    <row r="3485" spans="1:6" hidden="1" x14ac:dyDescent="0.25">
      <c r="A3485" s="127" t="s">
        <v>267</v>
      </c>
      <c r="B3485" s="127">
        <v>2007</v>
      </c>
      <c r="C3485" s="127" t="s">
        <v>109</v>
      </c>
      <c r="D3485" s="127">
        <v>11</v>
      </c>
      <c r="E3485" s="127">
        <v>310.10000000000002</v>
      </c>
      <c r="F3485" s="127">
        <v>0</v>
      </c>
    </row>
    <row r="3486" spans="1:6" hidden="1" x14ac:dyDescent="0.25">
      <c r="A3486" s="127" t="s">
        <v>267</v>
      </c>
      <c r="B3486" s="127">
        <v>2007</v>
      </c>
      <c r="C3486" s="127" t="s">
        <v>110</v>
      </c>
      <c r="D3486" s="127">
        <v>12</v>
      </c>
      <c r="E3486" s="127">
        <v>406.6</v>
      </c>
      <c r="F3486" s="127">
        <v>0</v>
      </c>
    </row>
    <row r="3487" spans="1:6" hidden="1" x14ac:dyDescent="0.25">
      <c r="A3487" s="127" t="s">
        <v>268</v>
      </c>
      <c r="B3487" s="127">
        <v>2007</v>
      </c>
      <c r="C3487" s="127" t="s">
        <v>99</v>
      </c>
      <c r="D3487" s="127">
        <v>1</v>
      </c>
      <c r="E3487" s="127">
        <v>301.39999999999998</v>
      </c>
      <c r="F3487" s="127">
        <v>0</v>
      </c>
    </row>
    <row r="3488" spans="1:6" hidden="1" x14ac:dyDescent="0.25">
      <c r="A3488" s="127" t="s">
        <v>268</v>
      </c>
      <c r="B3488" s="127">
        <v>2007</v>
      </c>
      <c r="C3488" s="127" t="s">
        <v>100</v>
      </c>
      <c r="D3488" s="127">
        <v>2</v>
      </c>
      <c r="E3488" s="127">
        <v>246.6</v>
      </c>
      <c r="F3488" s="127">
        <v>0</v>
      </c>
    </row>
    <row r="3489" spans="1:6" hidden="1" x14ac:dyDescent="0.25">
      <c r="A3489" s="127" t="s">
        <v>268</v>
      </c>
      <c r="B3489" s="127">
        <v>2007</v>
      </c>
      <c r="C3489" s="127" t="s">
        <v>101</v>
      </c>
      <c r="D3489" s="127">
        <v>3</v>
      </c>
      <c r="E3489" s="127">
        <v>300.3</v>
      </c>
      <c r="F3489" s="127">
        <v>0.2</v>
      </c>
    </row>
    <row r="3490" spans="1:6" hidden="1" x14ac:dyDescent="0.25">
      <c r="A3490" s="127" t="s">
        <v>268</v>
      </c>
      <c r="B3490" s="127">
        <v>2007</v>
      </c>
      <c r="C3490" s="127" t="s">
        <v>102</v>
      </c>
      <c r="D3490" s="127">
        <v>4</v>
      </c>
      <c r="E3490" s="127">
        <v>136.30000000000001</v>
      </c>
      <c r="F3490" s="127">
        <v>20.100000000000001</v>
      </c>
    </row>
    <row r="3491" spans="1:6" hidden="1" x14ac:dyDescent="0.25">
      <c r="A3491" s="127" t="s">
        <v>268</v>
      </c>
      <c r="B3491" s="127">
        <v>2007</v>
      </c>
      <c r="C3491" s="127" t="s">
        <v>103</v>
      </c>
      <c r="D3491" s="127">
        <v>5</v>
      </c>
      <c r="E3491" s="127">
        <v>115.9</v>
      </c>
      <c r="F3491" s="127">
        <v>9</v>
      </c>
    </row>
    <row r="3492" spans="1:6" hidden="1" x14ac:dyDescent="0.25">
      <c r="A3492" s="127" t="s">
        <v>268</v>
      </c>
      <c r="B3492" s="127">
        <v>2007</v>
      </c>
      <c r="C3492" s="127" t="s">
        <v>104</v>
      </c>
      <c r="D3492" s="127">
        <v>6</v>
      </c>
      <c r="E3492" s="127">
        <v>55.1</v>
      </c>
      <c r="F3492" s="127">
        <v>33.799999999999997</v>
      </c>
    </row>
    <row r="3493" spans="1:6" hidden="1" x14ac:dyDescent="0.25">
      <c r="A3493" s="127" t="s">
        <v>268</v>
      </c>
      <c r="B3493" s="127">
        <v>2007</v>
      </c>
      <c r="C3493" s="127" t="s">
        <v>105</v>
      </c>
      <c r="D3493" s="127">
        <v>7</v>
      </c>
      <c r="E3493" s="127">
        <v>45.9</v>
      </c>
      <c r="F3493" s="127">
        <v>35.700000000000003</v>
      </c>
    </row>
    <row r="3494" spans="1:6" hidden="1" x14ac:dyDescent="0.25">
      <c r="A3494" s="127" t="s">
        <v>268</v>
      </c>
      <c r="B3494" s="127">
        <v>2007</v>
      </c>
      <c r="C3494" s="127" t="s">
        <v>106</v>
      </c>
      <c r="D3494" s="127">
        <v>8</v>
      </c>
      <c r="E3494" s="127">
        <v>55.2</v>
      </c>
      <c r="F3494" s="127">
        <v>42</v>
      </c>
    </row>
    <row r="3495" spans="1:6" hidden="1" x14ac:dyDescent="0.25">
      <c r="A3495" s="127" t="s">
        <v>268</v>
      </c>
      <c r="B3495" s="127">
        <v>2007</v>
      </c>
      <c r="C3495" s="127" t="s">
        <v>107</v>
      </c>
      <c r="D3495" s="127">
        <v>9</v>
      </c>
      <c r="E3495" s="127">
        <v>112.1</v>
      </c>
      <c r="F3495" s="127">
        <v>22.9</v>
      </c>
    </row>
    <row r="3496" spans="1:6" hidden="1" x14ac:dyDescent="0.25">
      <c r="A3496" s="127" t="s">
        <v>268</v>
      </c>
      <c r="B3496" s="127">
        <v>2007</v>
      </c>
      <c r="C3496" s="127" t="s">
        <v>108</v>
      </c>
      <c r="D3496" s="127">
        <v>10</v>
      </c>
      <c r="E3496" s="127">
        <v>185.7</v>
      </c>
      <c r="F3496" s="127">
        <v>6.5</v>
      </c>
    </row>
    <row r="3497" spans="1:6" hidden="1" x14ac:dyDescent="0.25">
      <c r="A3497" s="127" t="s">
        <v>268</v>
      </c>
      <c r="B3497" s="127">
        <v>2007</v>
      </c>
      <c r="C3497" s="127" t="s">
        <v>109</v>
      </c>
      <c r="D3497" s="127">
        <v>11</v>
      </c>
      <c r="E3497" s="127">
        <v>313.2</v>
      </c>
      <c r="F3497" s="127">
        <v>0</v>
      </c>
    </row>
    <row r="3498" spans="1:6" hidden="1" x14ac:dyDescent="0.25">
      <c r="A3498" s="127" t="s">
        <v>268</v>
      </c>
      <c r="B3498" s="127">
        <v>2007</v>
      </c>
      <c r="C3498" s="127" t="s">
        <v>110</v>
      </c>
      <c r="D3498" s="127">
        <v>12</v>
      </c>
      <c r="E3498" s="127">
        <v>384.7</v>
      </c>
      <c r="F3498" s="127">
        <v>0</v>
      </c>
    </row>
    <row r="3499" spans="1:6" hidden="1" x14ac:dyDescent="0.25">
      <c r="A3499" s="127" t="s">
        <v>269</v>
      </c>
      <c r="B3499" s="127">
        <v>2008</v>
      </c>
      <c r="C3499" s="127" t="s">
        <v>99</v>
      </c>
      <c r="D3499" s="127">
        <v>1</v>
      </c>
      <c r="E3499" s="127">
        <v>337.9</v>
      </c>
      <c r="F3499" s="127">
        <v>0</v>
      </c>
    </row>
    <row r="3500" spans="1:6" hidden="1" x14ac:dyDescent="0.25">
      <c r="A3500" s="127" t="s">
        <v>269</v>
      </c>
      <c r="B3500" s="127">
        <v>2008</v>
      </c>
      <c r="C3500" s="127" t="s">
        <v>100</v>
      </c>
      <c r="D3500" s="127">
        <v>2</v>
      </c>
      <c r="E3500" s="127">
        <v>302.60000000000002</v>
      </c>
      <c r="F3500" s="127">
        <v>0</v>
      </c>
    </row>
    <row r="3501" spans="1:6" hidden="1" x14ac:dyDescent="0.25">
      <c r="A3501" s="127" t="s">
        <v>269</v>
      </c>
      <c r="B3501" s="127">
        <v>2008</v>
      </c>
      <c r="C3501" s="127" t="s">
        <v>101</v>
      </c>
      <c r="D3501" s="127">
        <v>3</v>
      </c>
      <c r="E3501" s="127">
        <v>305.5</v>
      </c>
      <c r="F3501" s="127">
        <v>0.1</v>
      </c>
    </row>
    <row r="3502" spans="1:6" hidden="1" x14ac:dyDescent="0.25">
      <c r="A3502" s="127" t="s">
        <v>269</v>
      </c>
      <c r="B3502" s="127">
        <v>2008</v>
      </c>
      <c r="C3502" s="127" t="s">
        <v>102</v>
      </c>
      <c r="D3502" s="127">
        <v>4</v>
      </c>
      <c r="E3502" s="127">
        <v>239.9</v>
      </c>
      <c r="F3502" s="127">
        <v>2.7</v>
      </c>
    </row>
    <row r="3503" spans="1:6" hidden="1" x14ac:dyDescent="0.25">
      <c r="A3503" s="127" t="s">
        <v>269</v>
      </c>
      <c r="B3503" s="127">
        <v>2008</v>
      </c>
      <c r="C3503" s="127" t="s">
        <v>103</v>
      </c>
      <c r="D3503" s="127">
        <v>5</v>
      </c>
      <c r="E3503" s="127">
        <v>83.6</v>
      </c>
      <c r="F3503" s="127">
        <v>37.700000000000003</v>
      </c>
    </row>
    <row r="3504" spans="1:6" hidden="1" x14ac:dyDescent="0.25">
      <c r="A3504" s="127" t="s">
        <v>269</v>
      </c>
      <c r="B3504" s="127">
        <v>2008</v>
      </c>
      <c r="C3504" s="127" t="s">
        <v>104</v>
      </c>
      <c r="D3504" s="127">
        <v>6</v>
      </c>
      <c r="E3504" s="127">
        <v>56.8</v>
      </c>
      <c r="F3504" s="127">
        <v>55.1</v>
      </c>
    </row>
    <row r="3505" spans="1:6" hidden="1" x14ac:dyDescent="0.25">
      <c r="A3505" s="127" t="s">
        <v>269</v>
      </c>
      <c r="B3505" s="127">
        <v>2008</v>
      </c>
      <c r="C3505" s="127" t="s">
        <v>105</v>
      </c>
      <c r="D3505" s="127">
        <v>7</v>
      </c>
      <c r="E3505" s="127">
        <v>40</v>
      </c>
      <c r="F3505" s="127">
        <v>81.900000000000006</v>
      </c>
    </row>
    <row r="3506" spans="1:6" hidden="1" x14ac:dyDescent="0.25">
      <c r="A3506" s="127" t="s">
        <v>269</v>
      </c>
      <c r="B3506" s="127">
        <v>2008</v>
      </c>
      <c r="C3506" s="127" t="s">
        <v>106</v>
      </c>
      <c r="D3506" s="127">
        <v>8</v>
      </c>
      <c r="E3506" s="127">
        <v>40.799999999999997</v>
      </c>
      <c r="F3506" s="127">
        <v>64.5</v>
      </c>
    </row>
    <row r="3507" spans="1:6" hidden="1" x14ac:dyDescent="0.25">
      <c r="A3507" s="127" t="s">
        <v>269</v>
      </c>
      <c r="B3507" s="127">
        <v>2008</v>
      </c>
      <c r="C3507" s="127" t="s">
        <v>107</v>
      </c>
      <c r="D3507" s="127">
        <v>9</v>
      </c>
      <c r="E3507" s="127">
        <v>108.5</v>
      </c>
      <c r="F3507" s="127">
        <v>15.6</v>
      </c>
    </row>
    <row r="3508" spans="1:6" hidden="1" x14ac:dyDescent="0.25">
      <c r="A3508" s="127" t="s">
        <v>269</v>
      </c>
      <c r="B3508" s="127">
        <v>2008</v>
      </c>
      <c r="C3508" s="127" t="s">
        <v>108</v>
      </c>
      <c r="D3508" s="127">
        <v>10</v>
      </c>
      <c r="E3508" s="127">
        <v>211</v>
      </c>
      <c r="F3508" s="127">
        <v>4.8</v>
      </c>
    </row>
    <row r="3509" spans="1:6" hidden="1" x14ac:dyDescent="0.25">
      <c r="A3509" s="127" t="s">
        <v>269</v>
      </c>
      <c r="B3509" s="127">
        <v>2008</v>
      </c>
      <c r="C3509" s="127" t="s">
        <v>109</v>
      </c>
      <c r="D3509" s="127">
        <v>11</v>
      </c>
      <c r="E3509" s="127">
        <v>284.89999999999998</v>
      </c>
      <c r="F3509" s="127">
        <v>0</v>
      </c>
    </row>
    <row r="3510" spans="1:6" hidden="1" x14ac:dyDescent="0.25">
      <c r="A3510" s="127" t="s">
        <v>269</v>
      </c>
      <c r="B3510" s="127">
        <v>2008</v>
      </c>
      <c r="C3510" s="127" t="s">
        <v>110</v>
      </c>
      <c r="D3510" s="127">
        <v>12</v>
      </c>
      <c r="E3510" s="127">
        <v>430.1</v>
      </c>
      <c r="F3510" s="127">
        <v>0</v>
      </c>
    </row>
    <row r="3511" spans="1:6" hidden="1" x14ac:dyDescent="0.25">
      <c r="A3511" s="127" t="s">
        <v>267</v>
      </c>
      <c r="B3511" s="127">
        <v>2008</v>
      </c>
      <c r="C3511" s="127" t="s">
        <v>99</v>
      </c>
      <c r="D3511" s="127">
        <v>1</v>
      </c>
      <c r="E3511" s="127">
        <v>344</v>
      </c>
      <c r="F3511" s="127">
        <v>0</v>
      </c>
    </row>
    <row r="3512" spans="1:6" hidden="1" x14ac:dyDescent="0.25">
      <c r="A3512" s="127" t="s">
        <v>267</v>
      </c>
      <c r="B3512" s="127">
        <v>2008</v>
      </c>
      <c r="C3512" s="127" t="s">
        <v>100</v>
      </c>
      <c r="D3512" s="127">
        <v>2</v>
      </c>
      <c r="E3512" s="127">
        <v>317</v>
      </c>
      <c r="F3512" s="127">
        <v>0</v>
      </c>
    </row>
    <row r="3513" spans="1:6" hidden="1" x14ac:dyDescent="0.25">
      <c r="A3513" s="127" t="s">
        <v>267</v>
      </c>
      <c r="B3513" s="127">
        <v>2008</v>
      </c>
      <c r="C3513" s="127" t="s">
        <v>101</v>
      </c>
      <c r="D3513" s="127">
        <v>3</v>
      </c>
      <c r="E3513" s="127">
        <v>323.39999999999998</v>
      </c>
      <c r="F3513" s="127">
        <v>0</v>
      </c>
    </row>
    <row r="3514" spans="1:6" hidden="1" x14ac:dyDescent="0.25">
      <c r="A3514" s="127" t="s">
        <v>267</v>
      </c>
      <c r="B3514" s="127">
        <v>2008</v>
      </c>
      <c r="C3514" s="127" t="s">
        <v>102</v>
      </c>
      <c r="D3514" s="127">
        <v>4</v>
      </c>
      <c r="E3514" s="127">
        <v>251.9</v>
      </c>
      <c r="F3514" s="127">
        <v>1.8</v>
      </c>
    </row>
    <row r="3515" spans="1:6" hidden="1" x14ac:dyDescent="0.25">
      <c r="A3515" s="127" t="s">
        <v>267</v>
      </c>
      <c r="B3515" s="127">
        <v>2008</v>
      </c>
      <c r="C3515" s="127" t="s">
        <v>103</v>
      </c>
      <c r="D3515" s="127">
        <v>5</v>
      </c>
      <c r="E3515" s="127">
        <v>98.3</v>
      </c>
      <c r="F3515" s="127">
        <v>27.7</v>
      </c>
    </row>
    <row r="3516" spans="1:6" hidden="1" x14ac:dyDescent="0.25">
      <c r="A3516" s="127" t="s">
        <v>267</v>
      </c>
      <c r="B3516" s="127">
        <v>2008</v>
      </c>
      <c r="C3516" s="127" t="s">
        <v>104</v>
      </c>
      <c r="D3516" s="127">
        <v>6</v>
      </c>
      <c r="E3516" s="127">
        <v>74.7</v>
      </c>
      <c r="F3516" s="127">
        <v>36</v>
      </c>
    </row>
    <row r="3517" spans="1:6" hidden="1" x14ac:dyDescent="0.25">
      <c r="A3517" s="127" t="s">
        <v>267</v>
      </c>
      <c r="B3517" s="127">
        <v>2008</v>
      </c>
      <c r="C3517" s="127" t="s">
        <v>105</v>
      </c>
      <c r="D3517" s="127">
        <v>7</v>
      </c>
      <c r="E3517" s="127">
        <v>54.7</v>
      </c>
      <c r="F3517" s="127">
        <v>55.9</v>
      </c>
    </row>
    <row r="3518" spans="1:6" hidden="1" x14ac:dyDescent="0.25">
      <c r="A3518" s="127" t="s">
        <v>267</v>
      </c>
      <c r="B3518" s="127">
        <v>2008</v>
      </c>
      <c r="C3518" s="127" t="s">
        <v>106</v>
      </c>
      <c r="D3518" s="127">
        <v>8</v>
      </c>
      <c r="E3518" s="127">
        <v>45.4</v>
      </c>
      <c r="F3518" s="127">
        <v>45.1</v>
      </c>
    </row>
    <row r="3519" spans="1:6" hidden="1" x14ac:dyDescent="0.25">
      <c r="A3519" s="127" t="s">
        <v>267</v>
      </c>
      <c r="B3519" s="127">
        <v>2008</v>
      </c>
      <c r="C3519" s="127" t="s">
        <v>107</v>
      </c>
      <c r="D3519" s="127">
        <v>9</v>
      </c>
      <c r="E3519" s="127">
        <v>120.7</v>
      </c>
      <c r="F3519" s="127">
        <v>9.4</v>
      </c>
    </row>
    <row r="3520" spans="1:6" hidden="1" x14ac:dyDescent="0.25">
      <c r="A3520" s="127" t="s">
        <v>267</v>
      </c>
      <c r="B3520" s="127">
        <v>2008</v>
      </c>
      <c r="C3520" s="127" t="s">
        <v>108</v>
      </c>
      <c r="D3520" s="127">
        <v>10</v>
      </c>
      <c r="E3520" s="127">
        <v>214.7</v>
      </c>
      <c r="F3520" s="127">
        <v>3.6</v>
      </c>
    </row>
    <row r="3521" spans="1:6" hidden="1" x14ac:dyDescent="0.25">
      <c r="A3521" s="127" t="s">
        <v>267</v>
      </c>
      <c r="B3521" s="127">
        <v>2008</v>
      </c>
      <c r="C3521" s="127" t="s">
        <v>109</v>
      </c>
      <c r="D3521" s="127">
        <v>11</v>
      </c>
      <c r="E3521" s="127">
        <v>285.60000000000002</v>
      </c>
      <c r="F3521" s="127">
        <v>0</v>
      </c>
    </row>
    <row r="3522" spans="1:6" hidden="1" x14ac:dyDescent="0.25">
      <c r="A3522" s="127" t="s">
        <v>267</v>
      </c>
      <c r="B3522" s="127">
        <v>2008</v>
      </c>
      <c r="C3522" s="127" t="s">
        <v>110</v>
      </c>
      <c r="D3522" s="127">
        <v>12</v>
      </c>
      <c r="E3522" s="127">
        <v>432.9</v>
      </c>
      <c r="F3522" s="127">
        <v>0</v>
      </c>
    </row>
    <row r="3523" spans="1:6" hidden="1" x14ac:dyDescent="0.25">
      <c r="A3523" s="127" t="s">
        <v>268</v>
      </c>
      <c r="B3523" s="127">
        <v>2008</v>
      </c>
      <c r="C3523" s="127" t="s">
        <v>99</v>
      </c>
      <c r="D3523" s="127">
        <v>1</v>
      </c>
      <c r="E3523" s="127">
        <v>319.3</v>
      </c>
      <c r="F3523" s="127">
        <v>0</v>
      </c>
    </row>
    <row r="3524" spans="1:6" hidden="1" x14ac:dyDescent="0.25">
      <c r="A3524" s="127" t="s">
        <v>268</v>
      </c>
      <c r="B3524" s="127">
        <v>2008</v>
      </c>
      <c r="C3524" s="127" t="s">
        <v>100</v>
      </c>
      <c r="D3524" s="127">
        <v>2</v>
      </c>
      <c r="E3524" s="127">
        <v>293.2</v>
      </c>
      <c r="F3524" s="127">
        <v>0</v>
      </c>
    </row>
    <row r="3525" spans="1:6" hidden="1" x14ac:dyDescent="0.25">
      <c r="A3525" s="127" t="s">
        <v>268</v>
      </c>
      <c r="B3525" s="127">
        <v>2008</v>
      </c>
      <c r="C3525" s="127" t="s">
        <v>101</v>
      </c>
      <c r="D3525" s="127">
        <v>3</v>
      </c>
      <c r="E3525" s="127">
        <v>307.8</v>
      </c>
      <c r="F3525" s="127">
        <v>0</v>
      </c>
    </row>
    <row r="3526" spans="1:6" hidden="1" x14ac:dyDescent="0.25">
      <c r="A3526" s="127" t="s">
        <v>268</v>
      </c>
      <c r="B3526" s="127">
        <v>2008</v>
      </c>
      <c r="C3526" s="127" t="s">
        <v>102</v>
      </c>
      <c r="D3526" s="127">
        <v>4</v>
      </c>
      <c r="E3526" s="127">
        <v>240.2</v>
      </c>
      <c r="F3526" s="127">
        <v>2.2000000000000002</v>
      </c>
    </row>
    <row r="3527" spans="1:6" hidden="1" x14ac:dyDescent="0.25">
      <c r="A3527" s="127" t="s">
        <v>268</v>
      </c>
      <c r="B3527" s="127">
        <v>2008</v>
      </c>
      <c r="C3527" s="127" t="s">
        <v>103</v>
      </c>
      <c r="D3527" s="127">
        <v>5</v>
      </c>
      <c r="E3527" s="127">
        <v>94.9</v>
      </c>
      <c r="F3527" s="127">
        <v>24.9</v>
      </c>
    </row>
    <row r="3528" spans="1:6" hidden="1" x14ac:dyDescent="0.25">
      <c r="A3528" s="127" t="s">
        <v>268</v>
      </c>
      <c r="B3528" s="127">
        <v>2008</v>
      </c>
      <c r="C3528" s="127" t="s">
        <v>104</v>
      </c>
      <c r="D3528" s="127">
        <v>6</v>
      </c>
      <c r="E3528" s="127">
        <v>72.900000000000006</v>
      </c>
      <c r="F3528" s="127">
        <v>37.299999999999997</v>
      </c>
    </row>
    <row r="3529" spans="1:6" hidden="1" x14ac:dyDescent="0.25">
      <c r="A3529" s="127" t="s">
        <v>268</v>
      </c>
      <c r="B3529" s="127">
        <v>2008</v>
      </c>
      <c r="C3529" s="127" t="s">
        <v>105</v>
      </c>
      <c r="D3529" s="127">
        <v>7</v>
      </c>
      <c r="E3529" s="127">
        <v>50.4</v>
      </c>
      <c r="F3529" s="127">
        <v>51.7</v>
      </c>
    </row>
    <row r="3530" spans="1:6" hidden="1" x14ac:dyDescent="0.25">
      <c r="A3530" s="127" t="s">
        <v>268</v>
      </c>
      <c r="B3530" s="127">
        <v>2008</v>
      </c>
      <c r="C3530" s="127" t="s">
        <v>106</v>
      </c>
      <c r="D3530" s="127">
        <v>8</v>
      </c>
      <c r="E3530" s="127">
        <v>42.1</v>
      </c>
      <c r="F3530" s="127">
        <v>45</v>
      </c>
    </row>
    <row r="3531" spans="1:6" hidden="1" x14ac:dyDescent="0.25">
      <c r="A3531" s="127" t="s">
        <v>268</v>
      </c>
      <c r="B3531" s="127">
        <v>2008</v>
      </c>
      <c r="C3531" s="127" t="s">
        <v>107</v>
      </c>
      <c r="D3531" s="127">
        <v>9</v>
      </c>
      <c r="E3531" s="127">
        <v>120.1</v>
      </c>
      <c r="F3531" s="127">
        <v>11.7</v>
      </c>
    </row>
    <row r="3532" spans="1:6" hidden="1" x14ac:dyDescent="0.25">
      <c r="A3532" s="127" t="s">
        <v>268</v>
      </c>
      <c r="B3532" s="127">
        <v>2008</v>
      </c>
      <c r="C3532" s="127" t="s">
        <v>108</v>
      </c>
      <c r="D3532" s="127">
        <v>10</v>
      </c>
      <c r="E3532" s="127">
        <v>193.2</v>
      </c>
      <c r="F3532" s="127">
        <v>4.2</v>
      </c>
    </row>
    <row r="3533" spans="1:6" hidden="1" x14ac:dyDescent="0.25">
      <c r="A3533" s="127" t="s">
        <v>268</v>
      </c>
      <c r="B3533" s="127">
        <v>2008</v>
      </c>
      <c r="C3533" s="127" t="s">
        <v>109</v>
      </c>
      <c r="D3533" s="127">
        <v>11</v>
      </c>
      <c r="E3533" s="127">
        <v>281.39999999999998</v>
      </c>
      <c r="F3533" s="127">
        <v>0</v>
      </c>
    </row>
    <row r="3534" spans="1:6" hidden="1" x14ac:dyDescent="0.25">
      <c r="A3534" s="127" t="s">
        <v>268</v>
      </c>
      <c r="B3534" s="127">
        <v>2008</v>
      </c>
      <c r="C3534" s="127" t="s">
        <v>110</v>
      </c>
      <c r="D3534" s="127">
        <v>12</v>
      </c>
      <c r="E3534" s="127">
        <v>412.2</v>
      </c>
      <c r="F3534" s="127">
        <v>0</v>
      </c>
    </row>
    <row r="3535" spans="1:6" hidden="1" x14ac:dyDescent="0.25">
      <c r="A3535" s="127" t="s">
        <v>269</v>
      </c>
      <c r="B3535" s="127">
        <v>2009</v>
      </c>
      <c r="C3535" s="127" t="s">
        <v>99</v>
      </c>
      <c r="D3535" s="127">
        <v>1</v>
      </c>
      <c r="E3535" s="127">
        <v>493</v>
      </c>
      <c r="F3535" s="127">
        <v>0</v>
      </c>
    </row>
    <row r="3536" spans="1:6" hidden="1" x14ac:dyDescent="0.25">
      <c r="A3536" s="127" t="s">
        <v>269</v>
      </c>
      <c r="B3536" s="127">
        <v>2009</v>
      </c>
      <c r="C3536" s="127" t="s">
        <v>100</v>
      </c>
      <c r="D3536" s="127">
        <v>2</v>
      </c>
      <c r="E3536" s="127">
        <v>371.6</v>
      </c>
      <c r="F3536" s="127">
        <v>0</v>
      </c>
    </row>
    <row r="3537" spans="1:6" hidden="1" x14ac:dyDescent="0.25">
      <c r="A3537" s="127" t="s">
        <v>269</v>
      </c>
      <c r="B3537" s="127">
        <v>2009</v>
      </c>
      <c r="C3537" s="127" t="s">
        <v>101</v>
      </c>
      <c r="D3537" s="127">
        <v>3</v>
      </c>
      <c r="E3537" s="127">
        <v>311</v>
      </c>
      <c r="F3537" s="127">
        <v>0.1</v>
      </c>
    </row>
    <row r="3538" spans="1:6" hidden="1" x14ac:dyDescent="0.25">
      <c r="A3538" s="127" t="s">
        <v>269</v>
      </c>
      <c r="B3538" s="127">
        <v>2009</v>
      </c>
      <c r="C3538" s="127" t="s">
        <v>102</v>
      </c>
      <c r="D3538" s="127">
        <v>4</v>
      </c>
      <c r="E3538" s="127">
        <v>184.2</v>
      </c>
      <c r="F3538" s="127">
        <v>3.4</v>
      </c>
    </row>
    <row r="3539" spans="1:6" hidden="1" x14ac:dyDescent="0.25">
      <c r="A3539" s="127" t="s">
        <v>269</v>
      </c>
      <c r="B3539" s="127">
        <v>2009</v>
      </c>
      <c r="C3539" s="127" t="s">
        <v>103</v>
      </c>
      <c r="D3539" s="127">
        <v>5</v>
      </c>
      <c r="E3539" s="127">
        <v>106.2</v>
      </c>
      <c r="F3539" s="127">
        <v>25.8</v>
      </c>
    </row>
    <row r="3540" spans="1:6" hidden="1" x14ac:dyDescent="0.25">
      <c r="A3540" s="127" t="s">
        <v>269</v>
      </c>
      <c r="B3540" s="127">
        <v>2009</v>
      </c>
      <c r="C3540" s="127" t="s">
        <v>104</v>
      </c>
      <c r="D3540" s="127">
        <v>6</v>
      </c>
      <c r="E3540" s="127">
        <v>59.2</v>
      </c>
      <c r="F3540" s="127">
        <v>64.400000000000006</v>
      </c>
    </row>
    <row r="3541" spans="1:6" hidden="1" x14ac:dyDescent="0.25">
      <c r="A3541" s="127" t="s">
        <v>269</v>
      </c>
      <c r="B3541" s="127">
        <v>2009</v>
      </c>
      <c r="C3541" s="127" t="s">
        <v>105</v>
      </c>
      <c r="D3541" s="127">
        <v>7</v>
      </c>
      <c r="E3541" s="127">
        <v>35.200000000000003</v>
      </c>
      <c r="F3541" s="127">
        <v>88.8</v>
      </c>
    </row>
    <row r="3542" spans="1:6" hidden="1" x14ac:dyDescent="0.25">
      <c r="A3542" s="127" t="s">
        <v>269</v>
      </c>
      <c r="B3542" s="127">
        <v>2009</v>
      </c>
      <c r="C3542" s="127" t="s">
        <v>106</v>
      </c>
      <c r="D3542" s="127">
        <v>8</v>
      </c>
      <c r="E3542" s="127">
        <v>26.5</v>
      </c>
      <c r="F3542" s="127">
        <v>115.9</v>
      </c>
    </row>
    <row r="3543" spans="1:6" hidden="1" x14ac:dyDescent="0.25">
      <c r="A3543" s="127" t="s">
        <v>269</v>
      </c>
      <c r="B3543" s="127">
        <v>2009</v>
      </c>
      <c r="C3543" s="127" t="s">
        <v>107</v>
      </c>
      <c r="D3543" s="127">
        <v>9</v>
      </c>
      <c r="E3543" s="127">
        <v>64.3</v>
      </c>
      <c r="F3543" s="127">
        <v>45.8</v>
      </c>
    </row>
    <row r="3544" spans="1:6" hidden="1" x14ac:dyDescent="0.25">
      <c r="A3544" s="127" t="s">
        <v>269</v>
      </c>
      <c r="B3544" s="127">
        <v>2009</v>
      </c>
      <c r="C3544" s="127" t="s">
        <v>108</v>
      </c>
      <c r="D3544" s="127">
        <v>10</v>
      </c>
      <c r="E3544" s="127">
        <v>163.9</v>
      </c>
      <c r="F3544" s="127">
        <v>12.2</v>
      </c>
    </row>
    <row r="3545" spans="1:6" hidden="1" x14ac:dyDescent="0.25">
      <c r="A3545" s="127" t="s">
        <v>269</v>
      </c>
      <c r="B3545" s="127">
        <v>2009</v>
      </c>
      <c r="C3545" s="127" t="s">
        <v>109</v>
      </c>
      <c r="D3545" s="127">
        <v>11</v>
      </c>
      <c r="E3545" s="127">
        <v>222.4</v>
      </c>
      <c r="F3545" s="127">
        <v>0</v>
      </c>
    </row>
    <row r="3546" spans="1:6" hidden="1" x14ac:dyDescent="0.25">
      <c r="A3546" s="127" t="s">
        <v>269</v>
      </c>
      <c r="B3546" s="127">
        <v>2009</v>
      </c>
      <c r="C3546" s="127" t="s">
        <v>110</v>
      </c>
      <c r="D3546" s="127">
        <v>12</v>
      </c>
      <c r="E3546" s="127">
        <v>415.1</v>
      </c>
      <c r="F3546" s="127">
        <v>0</v>
      </c>
    </row>
    <row r="3547" spans="1:6" hidden="1" x14ac:dyDescent="0.25">
      <c r="A3547" s="127" t="s">
        <v>267</v>
      </c>
      <c r="B3547" s="127">
        <v>2009</v>
      </c>
      <c r="C3547" s="127" t="s">
        <v>99</v>
      </c>
      <c r="D3547" s="127">
        <v>1</v>
      </c>
      <c r="E3547" s="127">
        <v>480.6</v>
      </c>
      <c r="F3547" s="127">
        <v>0</v>
      </c>
    </row>
    <row r="3548" spans="1:6" hidden="1" x14ac:dyDescent="0.25">
      <c r="A3548" s="127" t="s">
        <v>267</v>
      </c>
      <c r="B3548" s="127">
        <v>2009</v>
      </c>
      <c r="C3548" s="127" t="s">
        <v>100</v>
      </c>
      <c r="D3548" s="127">
        <v>2</v>
      </c>
      <c r="E3548" s="127">
        <v>364.9</v>
      </c>
      <c r="F3548" s="127">
        <v>0</v>
      </c>
    </row>
    <row r="3549" spans="1:6" hidden="1" x14ac:dyDescent="0.25">
      <c r="A3549" s="127" t="s">
        <v>267</v>
      </c>
      <c r="B3549" s="127">
        <v>2009</v>
      </c>
      <c r="C3549" s="127" t="s">
        <v>101</v>
      </c>
      <c r="D3549" s="127">
        <v>3</v>
      </c>
      <c r="E3549" s="127">
        <v>313.60000000000002</v>
      </c>
      <c r="F3549" s="127">
        <v>0</v>
      </c>
    </row>
    <row r="3550" spans="1:6" hidden="1" x14ac:dyDescent="0.25">
      <c r="A3550" s="127" t="s">
        <v>267</v>
      </c>
      <c r="B3550" s="127">
        <v>2009</v>
      </c>
      <c r="C3550" s="127" t="s">
        <v>102</v>
      </c>
      <c r="D3550" s="127">
        <v>4</v>
      </c>
      <c r="E3550" s="127">
        <v>211.8</v>
      </c>
      <c r="F3550" s="127">
        <v>1.6</v>
      </c>
    </row>
    <row r="3551" spans="1:6" hidden="1" x14ac:dyDescent="0.25">
      <c r="A3551" s="127" t="s">
        <v>267</v>
      </c>
      <c r="B3551" s="127">
        <v>2009</v>
      </c>
      <c r="C3551" s="127" t="s">
        <v>103</v>
      </c>
      <c r="D3551" s="127">
        <v>5</v>
      </c>
      <c r="E3551" s="127">
        <v>127.4</v>
      </c>
      <c r="F3551" s="127">
        <v>14.3</v>
      </c>
    </row>
    <row r="3552" spans="1:6" hidden="1" x14ac:dyDescent="0.25">
      <c r="A3552" s="127" t="s">
        <v>267</v>
      </c>
      <c r="B3552" s="127">
        <v>2009</v>
      </c>
      <c r="C3552" s="127" t="s">
        <v>104</v>
      </c>
      <c r="D3552" s="127">
        <v>6</v>
      </c>
      <c r="E3552" s="127">
        <v>73.599999999999994</v>
      </c>
      <c r="F3552" s="127">
        <v>48.6</v>
      </c>
    </row>
    <row r="3553" spans="1:6" hidden="1" x14ac:dyDescent="0.25">
      <c r="A3553" s="127" t="s">
        <v>267</v>
      </c>
      <c r="B3553" s="127">
        <v>2009</v>
      </c>
      <c r="C3553" s="127" t="s">
        <v>105</v>
      </c>
      <c r="D3553" s="127">
        <v>7</v>
      </c>
      <c r="E3553" s="127">
        <v>50.5</v>
      </c>
      <c r="F3553" s="127">
        <v>57.9</v>
      </c>
    </row>
    <row r="3554" spans="1:6" hidden="1" x14ac:dyDescent="0.25">
      <c r="A3554" s="127" t="s">
        <v>267</v>
      </c>
      <c r="B3554" s="127">
        <v>2009</v>
      </c>
      <c r="C3554" s="127" t="s">
        <v>106</v>
      </c>
      <c r="D3554" s="127">
        <v>8</v>
      </c>
      <c r="E3554" s="127">
        <v>41.6</v>
      </c>
      <c r="F3554" s="127">
        <v>77.5</v>
      </c>
    </row>
    <row r="3555" spans="1:6" hidden="1" x14ac:dyDescent="0.25">
      <c r="A3555" s="127" t="s">
        <v>267</v>
      </c>
      <c r="B3555" s="127">
        <v>2009</v>
      </c>
      <c r="C3555" s="127" t="s">
        <v>107</v>
      </c>
      <c r="D3555" s="127">
        <v>9</v>
      </c>
      <c r="E3555" s="127">
        <v>71.3</v>
      </c>
      <c r="F3555" s="127">
        <v>40.299999999999997</v>
      </c>
    </row>
    <row r="3556" spans="1:6" hidden="1" x14ac:dyDescent="0.25">
      <c r="A3556" s="127" t="s">
        <v>267</v>
      </c>
      <c r="B3556" s="127">
        <v>2009</v>
      </c>
      <c r="C3556" s="127" t="s">
        <v>108</v>
      </c>
      <c r="D3556" s="127">
        <v>10</v>
      </c>
      <c r="E3556" s="127">
        <v>161.19999999999999</v>
      </c>
      <c r="F3556" s="127">
        <v>8.6999999999999993</v>
      </c>
    </row>
    <row r="3557" spans="1:6" hidden="1" x14ac:dyDescent="0.25">
      <c r="A3557" s="127" t="s">
        <v>267</v>
      </c>
      <c r="B3557" s="127">
        <v>2009</v>
      </c>
      <c r="C3557" s="127" t="s">
        <v>109</v>
      </c>
      <c r="D3557" s="127">
        <v>11</v>
      </c>
      <c r="E3557" s="127">
        <v>234.9</v>
      </c>
      <c r="F3557" s="127">
        <v>0</v>
      </c>
    </row>
    <row r="3558" spans="1:6" hidden="1" x14ac:dyDescent="0.25">
      <c r="A3558" s="127" t="s">
        <v>267</v>
      </c>
      <c r="B3558" s="127">
        <v>2009</v>
      </c>
      <c r="C3558" s="127" t="s">
        <v>110</v>
      </c>
      <c r="D3558" s="127">
        <v>12</v>
      </c>
      <c r="E3558" s="127">
        <v>423</v>
      </c>
      <c r="F3558" s="127">
        <v>0</v>
      </c>
    </row>
    <row r="3559" spans="1:6" hidden="1" x14ac:dyDescent="0.25">
      <c r="A3559" s="127" t="s">
        <v>268</v>
      </c>
      <c r="B3559" s="127">
        <v>2009</v>
      </c>
      <c r="C3559" s="127" t="s">
        <v>99</v>
      </c>
      <c r="D3559" s="127">
        <v>1</v>
      </c>
      <c r="E3559" s="127">
        <v>443.9</v>
      </c>
      <c r="F3559" s="127">
        <v>0</v>
      </c>
    </row>
    <row r="3560" spans="1:6" hidden="1" x14ac:dyDescent="0.25">
      <c r="A3560" s="127" t="s">
        <v>268</v>
      </c>
      <c r="B3560" s="127">
        <v>2009</v>
      </c>
      <c r="C3560" s="127" t="s">
        <v>100</v>
      </c>
      <c r="D3560" s="127">
        <v>2</v>
      </c>
      <c r="E3560" s="127">
        <v>353.7</v>
      </c>
      <c r="F3560" s="127">
        <v>0</v>
      </c>
    </row>
    <row r="3561" spans="1:6" hidden="1" x14ac:dyDescent="0.25">
      <c r="A3561" s="127" t="s">
        <v>268</v>
      </c>
      <c r="B3561" s="127">
        <v>2009</v>
      </c>
      <c r="C3561" s="127" t="s">
        <v>101</v>
      </c>
      <c r="D3561" s="127">
        <v>3</v>
      </c>
      <c r="E3561" s="127">
        <v>311.10000000000002</v>
      </c>
      <c r="F3561" s="127">
        <v>0.4</v>
      </c>
    </row>
    <row r="3562" spans="1:6" hidden="1" x14ac:dyDescent="0.25">
      <c r="A3562" s="127" t="s">
        <v>268</v>
      </c>
      <c r="B3562" s="127">
        <v>2009</v>
      </c>
      <c r="C3562" s="127" t="s">
        <v>102</v>
      </c>
      <c r="D3562" s="127">
        <v>4</v>
      </c>
      <c r="E3562" s="127">
        <v>218.8</v>
      </c>
      <c r="F3562" s="127">
        <v>2</v>
      </c>
    </row>
    <row r="3563" spans="1:6" hidden="1" x14ac:dyDescent="0.25">
      <c r="A3563" s="127" t="s">
        <v>268</v>
      </c>
      <c r="B3563" s="127">
        <v>2009</v>
      </c>
      <c r="C3563" s="127" t="s">
        <v>103</v>
      </c>
      <c r="D3563" s="127">
        <v>5</v>
      </c>
      <c r="E3563" s="127">
        <v>118.5</v>
      </c>
      <c r="F3563" s="127">
        <v>19.5</v>
      </c>
    </row>
    <row r="3564" spans="1:6" hidden="1" x14ac:dyDescent="0.25">
      <c r="A3564" s="127" t="s">
        <v>268</v>
      </c>
      <c r="B3564" s="127">
        <v>2009</v>
      </c>
      <c r="C3564" s="127" t="s">
        <v>104</v>
      </c>
      <c r="D3564" s="127">
        <v>6</v>
      </c>
      <c r="E3564" s="127">
        <v>62.3</v>
      </c>
      <c r="F3564" s="127">
        <v>57.5</v>
      </c>
    </row>
    <row r="3565" spans="1:6" hidden="1" x14ac:dyDescent="0.25">
      <c r="A3565" s="127" t="s">
        <v>268</v>
      </c>
      <c r="B3565" s="127">
        <v>2009</v>
      </c>
      <c r="C3565" s="127" t="s">
        <v>105</v>
      </c>
      <c r="D3565" s="127">
        <v>7</v>
      </c>
      <c r="E3565" s="127">
        <v>45.1</v>
      </c>
      <c r="F3565" s="127">
        <v>54.9</v>
      </c>
    </row>
    <row r="3566" spans="1:6" hidden="1" x14ac:dyDescent="0.25">
      <c r="A3566" s="127" t="s">
        <v>268</v>
      </c>
      <c r="B3566" s="127">
        <v>2009</v>
      </c>
      <c r="C3566" s="127" t="s">
        <v>106</v>
      </c>
      <c r="D3566" s="127">
        <v>8</v>
      </c>
      <c r="E3566" s="127">
        <v>37.9</v>
      </c>
      <c r="F3566" s="127">
        <v>88.5</v>
      </c>
    </row>
    <row r="3567" spans="1:6" hidden="1" x14ac:dyDescent="0.25">
      <c r="A3567" s="127" t="s">
        <v>268</v>
      </c>
      <c r="B3567" s="127">
        <v>2009</v>
      </c>
      <c r="C3567" s="127" t="s">
        <v>107</v>
      </c>
      <c r="D3567" s="127">
        <v>9</v>
      </c>
      <c r="E3567" s="127">
        <v>63.9</v>
      </c>
      <c r="F3567" s="127">
        <v>48.6</v>
      </c>
    </row>
    <row r="3568" spans="1:6" hidden="1" x14ac:dyDescent="0.25">
      <c r="A3568" s="127" t="s">
        <v>268</v>
      </c>
      <c r="B3568" s="127">
        <v>2009</v>
      </c>
      <c r="C3568" s="127" t="s">
        <v>108</v>
      </c>
      <c r="D3568" s="127">
        <v>10</v>
      </c>
      <c r="E3568" s="127">
        <v>144.9</v>
      </c>
      <c r="F3568" s="127">
        <v>13.3</v>
      </c>
    </row>
    <row r="3569" spans="1:6" hidden="1" x14ac:dyDescent="0.25">
      <c r="A3569" s="127" t="s">
        <v>268</v>
      </c>
      <c r="B3569" s="127">
        <v>2009</v>
      </c>
      <c r="C3569" s="127" t="s">
        <v>109</v>
      </c>
      <c r="D3569" s="127">
        <v>11</v>
      </c>
      <c r="E3569" s="127">
        <v>207.5</v>
      </c>
      <c r="F3569" s="127">
        <v>0</v>
      </c>
    </row>
    <row r="3570" spans="1:6" hidden="1" x14ac:dyDescent="0.25">
      <c r="A3570" s="127" t="s">
        <v>268</v>
      </c>
      <c r="B3570" s="127">
        <v>2009</v>
      </c>
      <c r="C3570" s="127" t="s">
        <v>110</v>
      </c>
      <c r="D3570" s="127">
        <v>12</v>
      </c>
      <c r="E3570" s="127">
        <v>380.1</v>
      </c>
      <c r="F3570" s="127">
        <v>0</v>
      </c>
    </row>
    <row r="3571" spans="1:6" hidden="1" x14ac:dyDescent="0.25">
      <c r="A3571" s="127" t="s">
        <v>269</v>
      </c>
      <c r="B3571" s="127">
        <v>2010</v>
      </c>
      <c r="C3571" s="127" t="s">
        <v>99</v>
      </c>
      <c r="D3571" s="127">
        <v>1</v>
      </c>
      <c r="E3571" s="127">
        <v>487.6</v>
      </c>
      <c r="F3571" s="127">
        <v>0</v>
      </c>
    </row>
    <row r="3572" spans="1:6" hidden="1" x14ac:dyDescent="0.25">
      <c r="A3572" s="127" t="s">
        <v>269</v>
      </c>
      <c r="B3572" s="127">
        <v>2010</v>
      </c>
      <c r="C3572" s="127" t="s">
        <v>100</v>
      </c>
      <c r="D3572" s="127">
        <v>2</v>
      </c>
      <c r="E3572" s="127">
        <v>370.3</v>
      </c>
      <c r="F3572" s="127">
        <v>0</v>
      </c>
    </row>
    <row r="3573" spans="1:6" hidden="1" x14ac:dyDescent="0.25">
      <c r="A3573" s="127" t="s">
        <v>269</v>
      </c>
      <c r="B3573" s="127">
        <v>2010</v>
      </c>
      <c r="C3573" s="127" t="s">
        <v>101</v>
      </c>
      <c r="D3573" s="127">
        <v>3</v>
      </c>
      <c r="E3573" s="127">
        <v>312.8</v>
      </c>
      <c r="F3573" s="127">
        <v>1</v>
      </c>
    </row>
    <row r="3574" spans="1:6" hidden="1" x14ac:dyDescent="0.25">
      <c r="A3574" s="127" t="s">
        <v>269</v>
      </c>
      <c r="B3574" s="127">
        <v>2010</v>
      </c>
      <c r="C3574" s="127" t="s">
        <v>102</v>
      </c>
      <c r="D3574" s="127">
        <v>4</v>
      </c>
      <c r="E3574" s="127">
        <v>199.2</v>
      </c>
      <c r="F3574" s="127">
        <v>10.5</v>
      </c>
    </row>
    <row r="3575" spans="1:6" hidden="1" x14ac:dyDescent="0.25">
      <c r="A3575" s="127" t="s">
        <v>269</v>
      </c>
      <c r="B3575" s="127">
        <v>2010</v>
      </c>
      <c r="C3575" s="127" t="s">
        <v>103</v>
      </c>
      <c r="D3575" s="127">
        <v>5</v>
      </c>
      <c r="E3575" s="127">
        <v>155.4</v>
      </c>
      <c r="F3575" s="127">
        <v>22.5</v>
      </c>
    </row>
    <row r="3576" spans="1:6" hidden="1" x14ac:dyDescent="0.25">
      <c r="A3576" s="127" t="s">
        <v>269</v>
      </c>
      <c r="B3576" s="127">
        <v>2010</v>
      </c>
      <c r="C3576" s="127" t="s">
        <v>104</v>
      </c>
      <c r="D3576" s="127">
        <v>6</v>
      </c>
      <c r="E3576" s="127">
        <v>46.7</v>
      </c>
      <c r="F3576" s="127">
        <v>66.5</v>
      </c>
    </row>
    <row r="3577" spans="1:6" hidden="1" x14ac:dyDescent="0.25">
      <c r="A3577" s="127" t="s">
        <v>269</v>
      </c>
      <c r="B3577" s="127">
        <v>2010</v>
      </c>
      <c r="C3577" s="127" t="s">
        <v>105</v>
      </c>
      <c r="D3577" s="127">
        <v>7</v>
      </c>
      <c r="E3577" s="127">
        <v>22.2</v>
      </c>
      <c r="F3577" s="127">
        <v>128.80000000000001</v>
      </c>
    </row>
    <row r="3578" spans="1:6" hidden="1" x14ac:dyDescent="0.25">
      <c r="A3578" s="127" t="s">
        <v>269</v>
      </c>
      <c r="B3578" s="127">
        <v>2010</v>
      </c>
      <c r="C3578" s="127" t="s">
        <v>106</v>
      </c>
      <c r="D3578" s="127">
        <v>8</v>
      </c>
      <c r="E3578" s="127">
        <v>41.5</v>
      </c>
      <c r="F3578" s="127">
        <v>73.400000000000006</v>
      </c>
    </row>
    <row r="3579" spans="1:6" hidden="1" x14ac:dyDescent="0.25">
      <c r="A3579" s="127" t="s">
        <v>269</v>
      </c>
      <c r="B3579" s="127">
        <v>2010</v>
      </c>
      <c r="C3579" s="127" t="s">
        <v>107</v>
      </c>
      <c r="D3579" s="127">
        <v>9</v>
      </c>
      <c r="E3579" s="127">
        <v>95.4</v>
      </c>
      <c r="F3579" s="127">
        <v>37.700000000000003</v>
      </c>
    </row>
    <row r="3580" spans="1:6" hidden="1" x14ac:dyDescent="0.25">
      <c r="A3580" s="127" t="s">
        <v>269</v>
      </c>
      <c r="B3580" s="127">
        <v>2010</v>
      </c>
      <c r="C3580" s="127" t="s">
        <v>108</v>
      </c>
      <c r="D3580" s="127">
        <v>10</v>
      </c>
      <c r="E3580" s="127">
        <v>190.1</v>
      </c>
      <c r="F3580" s="127">
        <v>10</v>
      </c>
    </row>
    <row r="3581" spans="1:6" hidden="1" x14ac:dyDescent="0.25">
      <c r="A3581" s="127" t="s">
        <v>269</v>
      </c>
      <c r="B3581" s="127">
        <v>2010</v>
      </c>
      <c r="C3581" s="127" t="s">
        <v>109</v>
      </c>
      <c r="D3581" s="127">
        <v>11</v>
      </c>
      <c r="E3581" s="127">
        <v>320.89999999999998</v>
      </c>
      <c r="F3581" s="127">
        <v>0</v>
      </c>
    </row>
    <row r="3582" spans="1:6" hidden="1" x14ac:dyDescent="0.25">
      <c r="A3582" s="127" t="s">
        <v>269</v>
      </c>
      <c r="B3582" s="127">
        <v>2010</v>
      </c>
      <c r="C3582" s="127" t="s">
        <v>110</v>
      </c>
      <c r="D3582" s="127">
        <v>12</v>
      </c>
      <c r="E3582" s="127">
        <v>500.7</v>
      </c>
      <c r="F3582" s="127">
        <v>0</v>
      </c>
    </row>
    <row r="3583" spans="1:6" hidden="1" x14ac:dyDescent="0.25">
      <c r="A3583" s="127" t="s">
        <v>267</v>
      </c>
      <c r="B3583" s="127">
        <v>2010</v>
      </c>
      <c r="C3583" s="127" t="s">
        <v>99</v>
      </c>
      <c r="D3583" s="127">
        <v>1</v>
      </c>
      <c r="E3583" s="127">
        <v>497.7</v>
      </c>
      <c r="F3583" s="127">
        <v>0</v>
      </c>
    </row>
    <row r="3584" spans="1:6" hidden="1" x14ac:dyDescent="0.25">
      <c r="A3584" s="127" t="s">
        <v>267</v>
      </c>
      <c r="B3584" s="127">
        <v>2010</v>
      </c>
      <c r="C3584" s="127" t="s">
        <v>100</v>
      </c>
      <c r="D3584" s="127">
        <v>2</v>
      </c>
      <c r="E3584" s="127">
        <v>380.6</v>
      </c>
      <c r="F3584" s="127">
        <v>0</v>
      </c>
    </row>
    <row r="3585" spans="1:6" hidden="1" x14ac:dyDescent="0.25">
      <c r="A3585" s="127" t="s">
        <v>267</v>
      </c>
      <c r="B3585" s="127">
        <v>2010</v>
      </c>
      <c r="C3585" s="127" t="s">
        <v>101</v>
      </c>
      <c r="D3585" s="127">
        <v>3</v>
      </c>
      <c r="E3585" s="127">
        <v>324.89999999999998</v>
      </c>
      <c r="F3585" s="127">
        <v>0</v>
      </c>
    </row>
    <row r="3586" spans="1:6" hidden="1" x14ac:dyDescent="0.25">
      <c r="A3586" s="127" t="s">
        <v>267</v>
      </c>
      <c r="B3586" s="127">
        <v>2010</v>
      </c>
      <c r="C3586" s="127" t="s">
        <v>102</v>
      </c>
      <c r="D3586" s="127">
        <v>4</v>
      </c>
      <c r="E3586" s="127">
        <v>215.3</v>
      </c>
      <c r="F3586" s="127">
        <v>6.1</v>
      </c>
    </row>
    <row r="3587" spans="1:6" hidden="1" x14ac:dyDescent="0.25">
      <c r="A3587" s="127" t="s">
        <v>267</v>
      </c>
      <c r="B3587" s="127">
        <v>2010</v>
      </c>
      <c r="C3587" s="127" t="s">
        <v>103</v>
      </c>
      <c r="D3587" s="127">
        <v>5</v>
      </c>
      <c r="E3587" s="127">
        <v>178.3</v>
      </c>
      <c r="F3587" s="127">
        <v>17.2</v>
      </c>
    </row>
    <row r="3588" spans="1:6" hidden="1" x14ac:dyDescent="0.25">
      <c r="A3588" s="127" t="s">
        <v>267</v>
      </c>
      <c r="B3588" s="127">
        <v>2010</v>
      </c>
      <c r="C3588" s="127" t="s">
        <v>104</v>
      </c>
      <c r="D3588" s="127">
        <v>6</v>
      </c>
      <c r="E3588" s="127">
        <v>54</v>
      </c>
      <c r="F3588" s="127">
        <v>60.1</v>
      </c>
    </row>
    <row r="3589" spans="1:6" hidden="1" x14ac:dyDescent="0.25">
      <c r="A3589" s="127" t="s">
        <v>267</v>
      </c>
      <c r="B3589" s="127">
        <v>2010</v>
      </c>
      <c r="C3589" s="127" t="s">
        <v>105</v>
      </c>
      <c r="D3589" s="127">
        <v>7</v>
      </c>
      <c r="E3589" s="127">
        <v>24.9</v>
      </c>
      <c r="F3589" s="127">
        <v>110.6</v>
      </c>
    </row>
    <row r="3590" spans="1:6" hidden="1" x14ac:dyDescent="0.25">
      <c r="A3590" s="127" t="s">
        <v>267</v>
      </c>
      <c r="B3590" s="127">
        <v>2010</v>
      </c>
      <c r="C3590" s="127" t="s">
        <v>106</v>
      </c>
      <c r="D3590" s="127">
        <v>8</v>
      </c>
      <c r="E3590" s="127">
        <v>46.1</v>
      </c>
      <c r="F3590" s="127">
        <v>53.4</v>
      </c>
    </row>
    <row r="3591" spans="1:6" hidden="1" x14ac:dyDescent="0.25">
      <c r="A3591" s="127" t="s">
        <v>267</v>
      </c>
      <c r="B3591" s="127">
        <v>2010</v>
      </c>
      <c r="C3591" s="127" t="s">
        <v>107</v>
      </c>
      <c r="D3591" s="127">
        <v>9</v>
      </c>
      <c r="E3591" s="127">
        <v>94.6</v>
      </c>
      <c r="F3591" s="127">
        <v>31.4</v>
      </c>
    </row>
    <row r="3592" spans="1:6" hidden="1" x14ac:dyDescent="0.25">
      <c r="A3592" s="127" t="s">
        <v>267</v>
      </c>
      <c r="B3592" s="127">
        <v>2010</v>
      </c>
      <c r="C3592" s="127" t="s">
        <v>108</v>
      </c>
      <c r="D3592" s="127">
        <v>10</v>
      </c>
      <c r="E3592" s="127">
        <v>187.7</v>
      </c>
      <c r="F3592" s="127">
        <v>7</v>
      </c>
    </row>
    <row r="3593" spans="1:6" hidden="1" x14ac:dyDescent="0.25">
      <c r="A3593" s="127" t="s">
        <v>267</v>
      </c>
      <c r="B3593" s="127">
        <v>2010</v>
      </c>
      <c r="C3593" s="127" t="s">
        <v>109</v>
      </c>
      <c r="D3593" s="127">
        <v>11</v>
      </c>
      <c r="E3593" s="127">
        <v>324.89999999999998</v>
      </c>
      <c r="F3593" s="127">
        <v>0</v>
      </c>
    </row>
    <row r="3594" spans="1:6" hidden="1" x14ac:dyDescent="0.25">
      <c r="A3594" s="127" t="s">
        <v>267</v>
      </c>
      <c r="B3594" s="127">
        <v>2010</v>
      </c>
      <c r="C3594" s="127" t="s">
        <v>110</v>
      </c>
      <c r="D3594" s="127">
        <v>12</v>
      </c>
      <c r="E3594" s="127">
        <v>503.2</v>
      </c>
      <c r="F3594" s="127">
        <v>0</v>
      </c>
    </row>
    <row r="3595" spans="1:6" hidden="1" x14ac:dyDescent="0.25">
      <c r="A3595" s="127" t="s">
        <v>268</v>
      </c>
      <c r="B3595" s="127">
        <v>2010</v>
      </c>
      <c r="C3595" s="127" t="s">
        <v>99</v>
      </c>
      <c r="D3595" s="127">
        <v>1</v>
      </c>
      <c r="E3595" s="127">
        <v>477.5</v>
      </c>
      <c r="F3595" s="127">
        <v>0</v>
      </c>
    </row>
    <row r="3596" spans="1:6" hidden="1" x14ac:dyDescent="0.25">
      <c r="A3596" s="127" t="s">
        <v>268</v>
      </c>
      <c r="B3596" s="127">
        <v>2010</v>
      </c>
      <c r="C3596" s="127" t="s">
        <v>100</v>
      </c>
      <c r="D3596" s="127">
        <v>2</v>
      </c>
      <c r="E3596" s="127">
        <v>365.5</v>
      </c>
      <c r="F3596" s="127">
        <v>0</v>
      </c>
    </row>
    <row r="3597" spans="1:6" hidden="1" x14ac:dyDescent="0.25">
      <c r="A3597" s="127" t="s">
        <v>268</v>
      </c>
      <c r="B3597" s="127">
        <v>2010</v>
      </c>
      <c r="C3597" s="127" t="s">
        <v>101</v>
      </c>
      <c r="D3597" s="127">
        <v>3</v>
      </c>
      <c r="E3597" s="127">
        <v>325.5</v>
      </c>
      <c r="F3597" s="127">
        <v>0.2</v>
      </c>
    </row>
    <row r="3598" spans="1:6" hidden="1" x14ac:dyDescent="0.25">
      <c r="A3598" s="127" t="s">
        <v>268</v>
      </c>
      <c r="B3598" s="127">
        <v>2010</v>
      </c>
      <c r="C3598" s="127" t="s">
        <v>102</v>
      </c>
      <c r="D3598" s="127">
        <v>4</v>
      </c>
      <c r="E3598" s="127">
        <v>193.4</v>
      </c>
      <c r="F3598" s="127">
        <v>6.5</v>
      </c>
    </row>
    <row r="3599" spans="1:6" hidden="1" x14ac:dyDescent="0.25">
      <c r="A3599" s="127" t="s">
        <v>268</v>
      </c>
      <c r="B3599" s="127">
        <v>2010</v>
      </c>
      <c r="C3599" s="127" t="s">
        <v>103</v>
      </c>
      <c r="D3599" s="127">
        <v>5</v>
      </c>
      <c r="E3599" s="127">
        <v>168.9</v>
      </c>
      <c r="F3599" s="127">
        <v>16.8</v>
      </c>
    </row>
    <row r="3600" spans="1:6" hidden="1" x14ac:dyDescent="0.25">
      <c r="A3600" s="127" t="s">
        <v>268</v>
      </c>
      <c r="B3600" s="127">
        <v>2010</v>
      </c>
      <c r="C3600" s="127" t="s">
        <v>104</v>
      </c>
      <c r="D3600" s="127">
        <v>6</v>
      </c>
      <c r="E3600" s="127">
        <v>57.4</v>
      </c>
      <c r="F3600" s="127">
        <v>58.2</v>
      </c>
    </row>
    <row r="3601" spans="1:6" hidden="1" x14ac:dyDescent="0.25">
      <c r="A3601" s="127" t="s">
        <v>268</v>
      </c>
      <c r="B3601" s="127">
        <v>2010</v>
      </c>
      <c r="C3601" s="127" t="s">
        <v>105</v>
      </c>
      <c r="D3601" s="127">
        <v>7</v>
      </c>
      <c r="E3601" s="127">
        <v>26.6</v>
      </c>
      <c r="F3601" s="127">
        <v>101.5</v>
      </c>
    </row>
    <row r="3602" spans="1:6" hidden="1" x14ac:dyDescent="0.25">
      <c r="A3602" s="127" t="s">
        <v>268</v>
      </c>
      <c r="B3602" s="127">
        <v>2010</v>
      </c>
      <c r="C3602" s="127" t="s">
        <v>106</v>
      </c>
      <c r="D3602" s="127">
        <v>8</v>
      </c>
      <c r="E3602" s="127">
        <v>48.7</v>
      </c>
      <c r="F3602" s="127">
        <v>66.2</v>
      </c>
    </row>
    <row r="3603" spans="1:6" hidden="1" x14ac:dyDescent="0.25">
      <c r="A3603" s="127" t="s">
        <v>268</v>
      </c>
      <c r="B3603" s="127">
        <v>2010</v>
      </c>
      <c r="C3603" s="127" t="s">
        <v>107</v>
      </c>
      <c r="D3603" s="127">
        <v>9</v>
      </c>
      <c r="E3603" s="127">
        <v>94.8</v>
      </c>
      <c r="F3603" s="127">
        <v>40.5</v>
      </c>
    </row>
    <row r="3604" spans="1:6" hidden="1" x14ac:dyDescent="0.25">
      <c r="A3604" s="127" t="s">
        <v>268</v>
      </c>
      <c r="B3604" s="127">
        <v>2010</v>
      </c>
      <c r="C3604" s="127" t="s">
        <v>108</v>
      </c>
      <c r="D3604" s="127">
        <v>10</v>
      </c>
      <c r="E3604" s="127">
        <v>184.1</v>
      </c>
      <c r="F3604" s="127">
        <v>10.199999999999999</v>
      </c>
    </row>
    <row r="3605" spans="1:6" hidden="1" x14ac:dyDescent="0.25">
      <c r="A3605" s="127" t="s">
        <v>268</v>
      </c>
      <c r="B3605" s="127">
        <v>2010</v>
      </c>
      <c r="C3605" s="127" t="s">
        <v>109</v>
      </c>
      <c r="D3605" s="127">
        <v>11</v>
      </c>
      <c r="E3605" s="127">
        <v>299.8</v>
      </c>
      <c r="F3605" s="127">
        <v>0</v>
      </c>
    </row>
    <row r="3606" spans="1:6" hidden="1" x14ac:dyDescent="0.25">
      <c r="A3606" s="127" t="s">
        <v>268</v>
      </c>
      <c r="B3606" s="127">
        <v>2010</v>
      </c>
      <c r="C3606" s="127" t="s">
        <v>110</v>
      </c>
      <c r="D3606" s="127">
        <v>12</v>
      </c>
      <c r="E3606" s="127">
        <v>483.5</v>
      </c>
      <c r="F3606" s="127">
        <v>0</v>
      </c>
    </row>
    <row r="3607" spans="1:6" hidden="1" x14ac:dyDescent="0.25">
      <c r="A3607" s="127" t="s">
        <v>269</v>
      </c>
      <c r="B3607" s="127">
        <v>2011</v>
      </c>
      <c r="C3607" s="127" t="s">
        <v>99</v>
      </c>
      <c r="D3607" s="127">
        <v>1</v>
      </c>
      <c r="E3607" s="127">
        <v>392.2</v>
      </c>
      <c r="F3607" s="127">
        <v>0</v>
      </c>
    </row>
    <row r="3608" spans="1:6" hidden="1" x14ac:dyDescent="0.25">
      <c r="A3608" s="127" t="s">
        <v>269</v>
      </c>
      <c r="B3608" s="127">
        <v>2011</v>
      </c>
      <c r="C3608" s="127" t="s">
        <v>100</v>
      </c>
      <c r="D3608" s="127">
        <v>2</v>
      </c>
      <c r="E3608" s="127">
        <v>299.10000000000002</v>
      </c>
      <c r="F3608" s="127">
        <v>0</v>
      </c>
    </row>
    <row r="3609" spans="1:6" hidden="1" x14ac:dyDescent="0.25">
      <c r="A3609" s="127" t="s">
        <v>269</v>
      </c>
      <c r="B3609" s="127">
        <v>2011</v>
      </c>
      <c r="C3609" s="127" t="s">
        <v>101</v>
      </c>
      <c r="D3609" s="127">
        <v>3</v>
      </c>
      <c r="E3609" s="127">
        <v>266.5</v>
      </c>
      <c r="F3609" s="127">
        <v>2</v>
      </c>
    </row>
    <row r="3610" spans="1:6" hidden="1" x14ac:dyDescent="0.25">
      <c r="A3610" s="127" t="s">
        <v>269</v>
      </c>
      <c r="B3610" s="127">
        <v>2011</v>
      </c>
      <c r="C3610" s="127" t="s">
        <v>102</v>
      </c>
      <c r="D3610" s="127">
        <v>4</v>
      </c>
      <c r="E3610" s="127">
        <v>136.19999999999999</v>
      </c>
      <c r="F3610" s="127">
        <v>28.8</v>
      </c>
    </row>
    <row r="3611" spans="1:6" hidden="1" x14ac:dyDescent="0.25">
      <c r="A3611" s="127" t="s">
        <v>269</v>
      </c>
      <c r="B3611" s="127">
        <v>2011</v>
      </c>
      <c r="C3611" s="127" t="s">
        <v>103</v>
      </c>
      <c r="D3611" s="127">
        <v>5</v>
      </c>
      <c r="E3611" s="127">
        <v>91.9</v>
      </c>
      <c r="F3611" s="127">
        <v>38.6</v>
      </c>
    </row>
    <row r="3612" spans="1:6" hidden="1" x14ac:dyDescent="0.25">
      <c r="A3612" s="127" t="s">
        <v>269</v>
      </c>
      <c r="B3612" s="127">
        <v>2011</v>
      </c>
      <c r="C3612" s="127" t="s">
        <v>104</v>
      </c>
      <c r="D3612" s="127">
        <v>6</v>
      </c>
      <c r="E3612" s="127">
        <v>55.8</v>
      </c>
      <c r="F3612" s="127">
        <v>62.8</v>
      </c>
    </row>
    <row r="3613" spans="1:6" hidden="1" x14ac:dyDescent="0.25">
      <c r="A3613" s="127" t="s">
        <v>269</v>
      </c>
      <c r="B3613" s="127">
        <v>2011</v>
      </c>
      <c r="C3613" s="127" t="s">
        <v>105</v>
      </c>
      <c r="D3613" s="127">
        <v>7</v>
      </c>
      <c r="E3613" s="127">
        <v>50.8</v>
      </c>
      <c r="F3613" s="127">
        <v>53.8</v>
      </c>
    </row>
    <row r="3614" spans="1:6" hidden="1" x14ac:dyDescent="0.25">
      <c r="A3614" s="127" t="s">
        <v>269</v>
      </c>
      <c r="B3614" s="127">
        <v>2011</v>
      </c>
      <c r="C3614" s="127" t="s">
        <v>106</v>
      </c>
      <c r="D3614" s="127">
        <v>8</v>
      </c>
      <c r="E3614" s="127">
        <v>34.700000000000003</v>
      </c>
      <c r="F3614" s="127">
        <v>81.2</v>
      </c>
    </row>
    <row r="3615" spans="1:6" hidden="1" x14ac:dyDescent="0.25">
      <c r="A3615" s="127" t="s">
        <v>269</v>
      </c>
      <c r="B3615" s="127">
        <v>2011</v>
      </c>
      <c r="C3615" s="127" t="s">
        <v>107</v>
      </c>
      <c r="D3615" s="127">
        <v>9</v>
      </c>
      <c r="E3615" s="127">
        <v>51.3</v>
      </c>
      <c r="F3615" s="127">
        <v>58.1</v>
      </c>
    </row>
    <row r="3616" spans="1:6" hidden="1" x14ac:dyDescent="0.25">
      <c r="A3616" s="127" t="s">
        <v>269</v>
      </c>
      <c r="B3616" s="127">
        <v>2011</v>
      </c>
      <c r="C3616" s="127" t="s">
        <v>108</v>
      </c>
      <c r="D3616" s="127">
        <v>10</v>
      </c>
      <c r="E3616" s="127">
        <v>145.6</v>
      </c>
      <c r="F3616" s="127">
        <v>16.899999999999999</v>
      </c>
    </row>
    <row r="3617" spans="1:6" hidden="1" x14ac:dyDescent="0.25">
      <c r="A3617" s="127" t="s">
        <v>269</v>
      </c>
      <c r="B3617" s="127">
        <v>2011</v>
      </c>
      <c r="C3617" s="127" t="s">
        <v>109</v>
      </c>
      <c r="D3617" s="127">
        <v>11</v>
      </c>
      <c r="E3617" s="127">
        <v>205.3</v>
      </c>
      <c r="F3617" s="127">
        <v>0.4</v>
      </c>
    </row>
    <row r="3618" spans="1:6" hidden="1" x14ac:dyDescent="0.25">
      <c r="A3618" s="127" t="s">
        <v>269</v>
      </c>
      <c r="B3618" s="127">
        <v>2011</v>
      </c>
      <c r="C3618" s="127" t="s">
        <v>110</v>
      </c>
      <c r="D3618" s="127">
        <v>12</v>
      </c>
      <c r="E3618" s="127">
        <v>307.5</v>
      </c>
      <c r="F3618" s="127">
        <v>0</v>
      </c>
    </row>
    <row r="3619" spans="1:6" hidden="1" x14ac:dyDescent="0.25">
      <c r="A3619" s="127" t="s">
        <v>267</v>
      </c>
      <c r="B3619" s="127">
        <v>2011</v>
      </c>
      <c r="C3619" s="127" t="s">
        <v>99</v>
      </c>
      <c r="D3619" s="127">
        <v>1</v>
      </c>
      <c r="E3619" s="127">
        <v>394.8</v>
      </c>
      <c r="F3619" s="127">
        <v>0</v>
      </c>
    </row>
    <row r="3620" spans="1:6" hidden="1" x14ac:dyDescent="0.25">
      <c r="A3620" s="127" t="s">
        <v>267</v>
      </c>
      <c r="B3620" s="127">
        <v>2011</v>
      </c>
      <c r="C3620" s="127" t="s">
        <v>100</v>
      </c>
      <c r="D3620" s="127">
        <v>2</v>
      </c>
      <c r="E3620" s="127">
        <v>294.5</v>
      </c>
      <c r="F3620" s="127">
        <v>0</v>
      </c>
    </row>
    <row r="3621" spans="1:6" hidden="1" x14ac:dyDescent="0.25">
      <c r="A3621" s="127" t="s">
        <v>267</v>
      </c>
      <c r="B3621" s="127">
        <v>2011</v>
      </c>
      <c r="C3621" s="127" t="s">
        <v>101</v>
      </c>
      <c r="D3621" s="127">
        <v>3</v>
      </c>
      <c r="E3621" s="127">
        <v>281.8</v>
      </c>
      <c r="F3621" s="127">
        <v>0.2</v>
      </c>
    </row>
    <row r="3622" spans="1:6" hidden="1" x14ac:dyDescent="0.25">
      <c r="A3622" s="127" t="s">
        <v>267</v>
      </c>
      <c r="B3622" s="127">
        <v>2011</v>
      </c>
      <c r="C3622" s="127" t="s">
        <v>102</v>
      </c>
      <c r="D3622" s="127">
        <v>4</v>
      </c>
      <c r="E3622" s="127">
        <v>145.1</v>
      </c>
      <c r="F3622" s="127">
        <v>18.3</v>
      </c>
    </row>
    <row r="3623" spans="1:6" hidden="1" x14ac:dyDescent="0.25">
      <c r="A3623" s="127" t="s">
        <v>267</v>
      </c>
      <c r="B3623" s="127">
        <v>2011</v>
      </c>
      <c r="C3623" s="127" t="s">
        <v>103</v>
      </c>
      <c r="D3623" s="127">
        <v>5</v>
      </c>
      <c r="E3623" s="127">
        <v>103.8</v>
      </c>
      <c r="F3623" s="127">
        <v>14.6</v>
      </c>
    </row>
    <row r="3624" spans="1:6" hidden="1" x14ac:dyDescent="0.25">
      <c r="A3624" s="127" t="s">
        <v>267</v>
      </c>
      <c r="B3624" s="127">
        <v>2011</v>
      </c>
      <c r="C3624" s="127" t="s">
        <v>104</v>
      </c>
      <c r="D3624" s="127">
        <v>6</v>
      </c>
      <c r="E3624" s="127">
        <v>71.3</v>
      </c>
      <c r="F3624" s="127">
        <v>39.1</v>
      </c>
    </row>
    <row r="3625" spans="1:6" hidden="1" x14ac:dyDescent="0.25">
      <c r="A3625" s="127" t="s">
        <v>267</v>
      </c>
      <c r="B3625" s="127">
        <v>2011</v>
      </c>
      <c r="C3625" s="127" t="s">
        <v>105</v>
      </c>
      <c r="D3625" s="127">
        <v>7</v>
      </c>
      <c r="E3625" s="127">
        <v>65.900000000000006</v>
      </c>
      <c r="F3625" s="127">
        <v>37.200000000000003</v>
      </c>
    </row>
    <row r="3626" spans="1:6" hidden="1" x14ac:dyDescent="0.25">
      <c r="A3626" s="127" t="s">
        <v>267</v>
      </c>
      <c r="B3626" s="127">
        <v>2011</v>
      </c>
      <c r="C3626" s="127" t="s">
        <v>106</v>
      </c>
      <c r="D3626" s="127">
        <v>8</v>
      </c>
      <c r="E3626" s="127">
        <v>50.1</v>
      </c>
      <c r="F3626" s="127">
        <v>52</v>
      </c>
    </row>
    <row r="3627" spans="1:6" hidden="1" x14ac:dyDescent="0.25">
      <c r="A3627" s="127" t="s">
        <v>267</v>
      </c>
      <c r="B3627" s="127">
        <v>2011</v>
      </c>
      <c r="C3627" s="127" t="s">
        <v>107</v>
      </c>
      <c r="D3627" s="127">
        <v>9</v>
      </c>
      <c r="E3627" s="127">
        <v>68.7</v>
      </c>
      <c r="F3627" s="127">
        <v>35.700000000000003</v>
      </c>
    </row>
    <row r="3628" spans="1:6" hidden="1" x14ac:dyDescent="0.25">
      <c r="A3628" s="127" t="s">
        <v>267</v>
      </c>
      <c r="B3628" s="127">
        <v>2011</v>
      </c>
      <c r="C3628" s="127" t="s">
        <v>108</v>
      </c>
      <c r="D3628" s="127">
        <v>10</v>
      </c>
      <c r="E3628" s="127">
        <v>162.30000000000001</v>
      </c>
      <c r="F3628" s="127">
        <v>9.6999999999999993</v>
      </c>
    </row>
    <row r="3629" spans="1:6" hidden="1" x14ac:dyDescent="0.25">
      <c r="A3629" s="127" t="s">
        <v>267</v>
      </c>
      <c r="B3629" s="127">
        <v>2011</v>
      </c>
      <c r="C3629" s="127" t="s">
        <v>109</v>
      </c>
      <c r="D3629" s="127">
        <v>11</v>
      </c>
      <c r="E3629" s="127">
        <v>214.5</v>
      </c>
      <c r="F3629" s="127">
        <v>0</v>
      </c>
    </row>
    <row r="3630" spans="1:6" hidden="1" x14ac:dyDescent="0.25">
      <c r="A3630" s="127" t="s">
        <v>267</v>
      </c>
      <c r="B3630" s="127">
        <v>2011</v>
      </c>
      <c r="C3630" s="127" t="s">
        <v>110</v>
      </c>
      <c r="D3630" s="127">
        <v>12</v>
      </c>
      <c r="E3630" s="127">
        <v>317.3</v>
      </c>
      <c r="F3630" s="127">
        <v>0</v>
      </c>
    </row>
    <row r="3631" spans="1:6" hidden="1" x14ac:dyDescent="0.25">
      <c r="A3631" s="127" t="s">
        <v>268</v>
      </c>
      <c r="B3631" s="127">
        <v>2011</v>
      </c>
      <c r="C3631" s="127" t="s">
        <v>99</v>
      </c>
      <c r="D3631" s="127">
        <v>1</v>
      </c>
      <c r="E3631" s="127">
        <v>397.5</v>
      </c>
      <c r="F3631" s="127">
        <v>0</v>
      </c>
    </row>
    <row r="3632" spans="1:6" hidden="1" x14ac:dyDescent="0.25">
      <c r="A3632" s="127" t="s">
        <v>268</v>
      </c>
      <c r="B3632" s="127">
        <v>2011</v>
      </c>
      <c r="C3632" s="127" t="s">
        <v>100</v>
      </c>
      <c r="D3632" s="127">
        <v>2</v>
      </c>
      <c r="E3632" s="127">
        <v>282.8</v>
      </c>
      <c r="F3632" s="127">
        <v>0</v>
      </c>
    </row>
    <row r="3633" spans="1:6" hidden="1" x14ac:dyDescent="0.25">
      <c r="A3633" s="127" t="s">
        <v>268</v>
      </c>
      <c r="B3633" s="127">
        <v>2011</v>
      </c>
      <c r="C3633" s="127" t="s">
        <v>101</v>
      </c>
      <c r="D3633" s="127">
        <v>3</v>
      </c>
      <c r="E3633" s="127">
        <v>278</v>
      </c>
      <c r="F3633" s="127">
        <v>0.7</v>
      </c>
    </row>
    <row r="3634" spans="1:6" hidden="1" x14ac:dyDescent="0.25">
      <c r="A3634" s="127" t="s">
        <v>268</v>
      </c>
      <c r="B3634" s="127">
        <v>2011</v>
      </c>
      <c r="C3634" s="127" t="s">
        <v>102</v>
      </c>
      <c r="D3634" s="127">
        <v>4</v>
      </c>
      <c r="E3634" s="127">
        <v>141.9</v>
      </c>
      <c r="F3634" s="127">
        <v>19.600000000000001</v>
      </c>
    </row>
    <row r="3635" spans="1:6" hidden="1" x14ac:dyDescent="0.25">
      <c r="A3635" s="127" t="s">
        <v>268</v>
      </c>
      <c r="B3635" s="127">
        <v>2011</v>
      </c>
      <c r="C3635" s="127" t="s">
        <v>103</v>
      </c>
      <c r="D3635" s="127">
        <v>5</v>
      </c>
      <c r="E3635" s="127">
        <v>102.8</v>
      </c>
      <c r="F3635" s="127">
        <v>24.8</v>
      </c>
    </row>
    <row r="3636" spans="1:6" hidden="1" x14ac:dyDescent="0.25">
      <c r="A3636" s="127" t="s">
        <v>268</v>
      </c>
      <c r="B3636" s="127">
        <v>2011</v>
      </c>
      <c r="C3636" s="127" t="s">
        <v>104</v>
      </c>
      <c r="D3636" s="127">
        <v>6</v>
      </c>
      <c r="E3636" s="127">
        <v>68.900000000000006</v>
      </c>
      <c r="F3636" s="127">
        <v>41.3</v>
      </c>
    </row>
    <row r="3637" spans="1:6" hidden="1" x14ac:dyDescent="0.25">
      <c r="A3637" s="127" t="s">
        <v>268</v>
      </c>
      <c r="B3637" s="127">
        <v>2011</v>
      </c>
      <c r="C3637" s="127" t="s">
        <v>105</v>
      </c>
      <c r="D3637" s="127">
        <v>7</v>
      </c>
      <c r="E3637" s="127">
        <v>53.1</v>
      </c>
      <c r="F3637" s="127">
        <v>45.7</v>
      </c>
    </row>
    <row r="3638" spans="1:6" hidden="1" x14ac:dyDescent="0.25">
      <c r="A3638" s="127" t="s">
        <v>268</v>
      </c>
      <c r="B3638" s="127">
        <v>2011</v>
      </c>
      <c r="C3638" s="127" t="s">
        <v>106</v>
      </c>
      <c r="D3638" s="127">
        <v>8</v>
      </c>
      <c r="E3638" s="127">
        <v>37.6</v>
      </c>
      <c r="F3638" s="127">
        <v>64.3</v>
      </c>
    </row>
    <row r="3639" spans="1:6" hidden="1" x14ac:dyDescent="0.25">
      <c r="A3639" s="127" t="s">
        <v>268</v>
      </c>
      <c r="B3639" s="127">
        <v>2011</v>
      </c>
      <c r="C3639" s="127" t="s">
        <v>107</v>
      </c>
      <c r="D3639" s="127">
        <v>9</v>
      </c>
      <c r="E3639" s="127">
        <v>51.2</v>
      </c>
      <c r="F3639" s="127">
        <v>51</v>
      </c>
    </row>
    <row r="3640" spans="1:6" hidden="1" x14ac:dyDescent="0.25">
      <c r="A3640" s="127" t="s">
        <v>268</v>
      </c>
      <c r="B3640" s="127">
        <v>2011</v>
      </c>
      <c r="C3640" s="127" t="s">
        <v>108</v>
      </c>
      <c r="D3640" s="127">
        <v>10</v>
      </c>
      <c r="E3640" s="127">
        <v>133.19999999999999</v>
      </c>
      <c r="F3640" s="127">
        <v>18.600000000000001</v>
      </c>
    </row>
    <row r="3641" spans="1:6" hidden="1" x14ac:dyDescent="0.25">
      <c r="A3641" s="127" t="s">
        <v>268</v>
      </c>
      <c r="B3641" s="127">
        <v>2011</v>
      </c>
      <c r="C3641" s="127" t="s">
        <v>109</v>
      </c>
      <c r="D3641" s="127">
        <v>11</v>
      </c>
      <c r="E3641" s="127">
        <v>174.4</v>
      </c>
      <c r="F3641" s="127">
        <v>0.6</v>
      </c>
    </row>
    <row r="3642" spans="1:6" hidden="1" x14ac:dyDescent="0.25">
      <c r="A3642" s="127" t="s">
        <v>268</v>
      </c>
      <c r="B3642" s="127">
        <v>2011</v>
      </c>
      <c r="C3642" s="127" t="s">
        <v>110</v>
      </c>
      <c r="D3642" s="127">
        <v>12</v>
      </c>
      <c r="E3642" s="127">
        <v>289.39999999999998</v>
      </c>
      <c r="F3642" s="127">
        <v>0</v>
      </c>
    </row>
    <row r="3643" spans="1:6" hidden="1" x14ac:dyDescent="0.25">
      <c r="A3643" s="127" t="s">
        <v>269</v>
      </c>
      <c r="B3643" s="127">
        <v>2012</v>
      </c>
      <c r="C3643" s="127" t="s">
        <v>99</v>
      </c>
      <c r="D3643" s="127">
        <v>1</v>
      </c>
      <c r="E3643" s="127">
        <v>348.8</v>
      </c>
      <c r="F3643" s="127">
        <v>0</v>
      </c>
    </row>
    <row r="3644" spans="1:6" hidden="1" x14ac:dyDescent="0.25">
      <c r="A3644" s="127" t="s">
        <v>269</v>
      </c>
      <c r="B3644" s="127">
        <v>2012</v>
      </c>
      <c r="C3644" s="127" t="s">
        <v>100</v>
      </c>
      <c r="D3644" s="127">
        <v>2</v>
      </c>
      <c r="E3644" s="127">
        <v>469.8</v>
      </c>
      <c r="F3644" s="127">
        <v>0</v>
      </c>
    </row>
    <row r="3645" spans="1:6" hidden="1" x14ac:dyDescent="0.25">
      <c r="A3645" s="127" t="s">
        <v>269</v>
      </c>
      <c r="B3645" s="127">
        <v>2012</v>
      </c>
      <c r="C3645" s="127" t="s">
        <v>101</v>
      </c>
      <c r="D3645" s="127">
        <v>3</v>
      </c>
      <c r="E3645" s="127">
        <v>247.3</v>
      </c>
      <c r="F3645" s="127">
        <v>7.5</v>
      </c>
    </row>
    <row r="3646" spans="1:6" hidden="1" x14ac:dyDescent="0.25">
      <c r="A3646" s="127" t="s">
        <v>269</v>
      </c>
      <c r="B3646" s="127">
        <v>2012</v>
      </c>
      <c r="C3646" s="127" t="s">
        <v>102</v>
      </c>
      <c r="D3646" s="127">
        <v>4</v>
      </c>
      <c r="E3646" s="127">
        <v>253.8</v>
      </c>
      <c r="F3646" s="127">
        <v>0.1</v>
      </c>
    </row>
    <row r="3647" spans="1:6" hidden="1" x14ac:dyDescent="0.25">
      <c r="A3647" s="127" t="s">
        <v>269</v>
      </c>
      <c r="B3647" s="127">
        <v>2012</v>
      </c>
      <c r="C3647" s="127" t="s">
        <v>103</v>
      </c>
      <c r="D3647" s="127">
        <v>5</v>
      </c>
      <c r="E3647" s="127">
        <v>113.8</v>
      </c>
      <c r="F3647" s="127">
        <v>34.799999999999997</v>
      </c>
    </row>
    <row r="3648" spans="1:6" hidden="1" x14ac:dyDescent="0.25">
      <c r="A3648" s="127" t="s">
        <v>269</v>
      </c>
      <c r="B3648" s="127">
        <v>2012</v>
      </c>
      <c r="C3648" s="127" t="s">
        <v>104</v>
      </c>
      <c r="D3648" s="127">
        <v>6</v>
      </c>
      <c r="E3648" s="127">
        <v>59.4</v>
      </c>
      <c r="F3648" s="127">
        <v>40.5</v>
      </c>
    </row>
    <row r="3649" spans="1:6" hidden="1" x14ac:dyDescent="0.25">
      <c r="A3649" s="127" t="s">
        <v>269</v>
      </c>
      <c r="B3649" s="127">
        <v>2012</v>
      </c>
      <c r="C3649" s="127" t="s">
        <v>105</v>
      </c>
      <c r="D3649" s="127">
        <v>7</v>
      </c>
      <c r="E3649" s="127">
        <v>48.9</v>
      </c>
      <c r="F3649" s="127">
        <v>62.3</v>
      </c>
    </row>
    <row r="3650" spans="1:6" hidden="1" x14ac:dyDescent="0.25">
      <c r="A3650" s="127" t="s">
        <v>269</v>
      </c>
      <c r="B3650" s="127">
        <v>2012</v>
      </c>
      <c r="C3650" s="127" t="s">
        <v>106</v>
      </c>
      <c r="D3650" s="127">
        <v>8</v>
      </c>
      <c r="E3650" s="127">
        <v>28.8</v>
      </c>
      <c r="F3650" s="127">
        <v>105.1</v>
      </c>
    </row>
    <row r="3651" spans="1:6" hidden="1" x14ac:dyDescent="0.25">
      <c r="A3651" s="127" t="s">
        <v>269</v>
      </c>
      <c r="B3651" s="127">
        <v>2012</v>
      </c>
      <c r="C3651" s="127" t="s">
        <v>107</v>
      </c>
      <c r="D3651" s="127">
        <v>9</v>
      </c>
      <c r="E3651" s="127">
        <v>108.1</v>
      </c>
      <c r="F3651" s="127">
        <v>35.200000000000003</v>
      </c>
    </row>
    <row r="3652" spans="1:6" hidden="1" x14ac:dyDescent="0.25">
      <c r="A3652" s="127" t="s">
        <v>269</v>
      </c>
      <c r="B3652" s="127">
        <v>2012</v>
      </c>
      <c r="C3652" s="127" t="s">
        <v>108</v>
      </c>
      <c r="D3652" s="127">
        <v>10</v>
      </c>
      <c r="E3652" s="127">
        <v>161.69999999999999</v>
      </c>
      <c r="F3652" s="127">
        <v>4.2</v>
      </c>
    </row>
    <row r="3653" spans="1:6" hidden="1" x14ac:dyDescent="0.25">
      <c r="A3653" s="127" t="s">
        <v>269</v>
      </c>
      <c r="B3653" s="127">
        <v>2012</v>
      </c>
      <c r="C3653" s="127" t="s">
        <v>109</v>
      </c>
      <c r="D3653" s="127">
        <v>11</v>
      </c>
      <c r="E3653" s="127">
        <v>300.39999999999998</v>
      </c>
      <c r="F3653" s="127">
        <v>0</v>
      </c>
    </row>
    <row r="3654" spans="1:6" hidden="1" x14ac:dyDescent="0.25">
      <c r="A3654" s="127" t="s">
        <v>269</v>
      </c>
      <c r="B3654" s="127">
        <v>2012</v>
      </c>
      <c r="C3654" s="127" t="s">
        <v>110</v>
      </c>
      <c r="D3654" s="127">
        <v>12</v>
      </c>
      <c r="E3654" s="127">
        <v>333.7</v>
      </c>
      <c r="F3654" s="127">
        <v>0</v>
      </c>
    </row>
    <row r="3655" spans="1:6" hidden="1" x14ac:dyDescent="0.25">
      <c r="A3655" s="127" t="s">
        <v>267</v>
      </c>
      <c r="B3655" s="127">
        <v>2012</v>
      </c>
      <c r="C3655" s="127" t="s">
        <v>99</v>
      </c>
      <c r="D3655" s="127">
        <v>1</v>
      </c>
      <c r="E3655" s="127">
        <v>352.5</v>
      </c>
      <c r="F3655" s="127">
        <v>0</v>
      </c>
    </row>
    <row r="3656" spans="1:6" hidden="1" x14ac:dyDescent="0.25">
      <c r="A3656" s="127" t="s">
        <v>267</v>
      </c>
      <c r="B3656" s="127">
        <v>2012</v>
      </c>
      <c r="C3656" s="127" t="s">
        <v>100</v>
      </c>
      <c r="D3656" s="127">
        <v>2</v>
      </c>
      <c r="E3656" s="127">
        <v>387.9</v>
      </c>
      <c r="F3656" s="127">
        <v>0</v>
      </c>
    </row>
    <row r="3657" spans="1:6" hidden="1" x14ac:dyDescent="0.25">
      <c r="A3657" s="127" t="s">
        <v>267</v>
      </c>
      <c r="B3657" s="127">
        <v>2012</v>
      </c>
      <c r="C3657" s="127" t="s">
        <v>101</v>
      </c>
      <c r="D3657" s="127">
        <v>3</v>
      </c>
      <c r="E3657" s="127">
        <v>255.9</v>
      </c>
      <c r="F3657" s="127">
        <v>3.7</v>
      </c>
    </row>
    <row r="3658" spans="1:6" hidden="1" x14ac:dyDescent="0.25">
      <c r="A3658" s="127" t="s">
        <v>267</v>
      </c>
      <c r="B3658" s="127">
        <v>2012</v>
      </c>
      <c r="C3658" s="127" t="s">
        <v>102</v>
      </c>
      <c r="D3658" s="127">
        <v>4</v>
      </c>
      <c r="E3658" s="127">
        <v>262.39999999999998</v>
      </c>
      <c r="F3658" s="127">
        <v>0</v>
      </c>
    </row>
    <row r="3659" spans="1:6" hidden="1" x14ac:dyDescent="0.25">
      <c r="A3659" s="127" t="s">
        <v>267</v>
      </c>
      <c r="B3659" s="127">
        <v>2012</v>
      </c>
      <c r="C3659" s="127" t="s">
        <v>103</v>
      </c>
      <c r="D3659" s="127">
        <v>5</v>
      </c>
      <c r="E3659" s="127">
        <v>136.1</v>
      </c>
      <c r="F3659" s="127">
        <v>22</v>
      </c>
    </row>
    <row r="3660" spans="1:6" hidden="1" x14ac:dyDescent="0.25">
      <c r="A3660" s="127" t="s">
        <v>267</v>
      </c>
      <c r="B3660" s="127">
        <v>2012</v>
      </c>
      <c r="C3660" s="127" t="s">
        <v>104</v>
      </c>
      <c r="D3660" s="127">
        <v>6</v>
      </c>
      <c r="E3660" s="127">
        <v>77.8</v>
      </c>
      <c r="F3660" s="127">
        <v>25</v>
      </c>
    </row>
    <row r="3661" spans="1:6" hidden="1" x14ac:dyDescent="0.25">
      <c r="A3661" s="127" t="s">
        <v>267</v>
      </c>
      <c r="B3661" s="127">
        <v>2012</v>
      </c>
      <c r="C3661" s="127" t="s">
        <v>105</v>
      </c>
      <c r="D3661" s="127">
        <v>7</v>
      </c>
      <c r="E3661" s="127">
        <v>56.1</v>
      </c>
      <c r="F3661" s="127">
        <v>38.799999999999997</v>
      </c>
    </row>
    <row r="3662" spans="1:6" hidden="1" x14ac:dyDescent="0.25">
      <c r="A3662" s="127" t="s">
        <v>267</v>
      </c>
      <c r="B3662" s="127">
        <v>2012</v>
      </c>
      <c r="C3662" s="127" t="s">
        <v>106</v>
      </c>
      <c r="D3662" s="127">
        <v>8</v>
      </c>
      <c r="E3662" s="127">
        <v>36.4</v>
      </c>
      <c r="F3662" s="127">
        <v>73.400000000000006</v>
      </c>
    </row>
    <row r="3663" spans="1:6" hidden="1" x14ac:dyDescent="0.25">
      <c r="A3663" s="127" t="s">
        <v>267</v>
      </c>
      <c r="B3663" s="127">
        <v>2012</v>
      </c>
      <c r="C3663" s="127" t="s">
        <v>107</v>
      </c>
      <c r="D3663" s="127">
        <v>9</v>
      </c>
      <c r="E3663" s="127">
        <v>105.2</v>
      </c>
      <c r="F3663" s="127">
        <v>24.4</v>
      </c>
    </row>
    <row r="3664" spans="1:6" hidden="1" x14ac:dyDescent="0.25">
      <c r="A3664" s="127" t="s">
        <v>267</v>
      </c>
      <c r="B3664" s="127">
        <v>2012</v>
      </c>
      <c r="C3664" s="127" t="s">
        <v>108</v>
      </c>
      <c r="D3664" s="127">
        <v>10</v>
      </c>
      <c r="E3664" s="127">
        <v>167</v>
      </c>
      <c r="F3664" s="127">
        <v>1.5</v>
      </c>
    </row>
    <row r="3665" spans="1:6" hidden="1" x14ac:dyDescent="0.25">
      <c r="A3665" s="127" t="s">
        <v>267</v>
      </c>
      <c r="B3665" s="127">
        <v>2012</v>
      </c>
      <c r="C3665" s="127" t="s">
        <v>109</v>
      </c>
      <c r="D3665" s="127">
        <v>11</v>
      </c>
      <c r="E3665" s="127">
        <v>305</v>
      </c>
      <c r="F3665" s="127">
        <v>0</v>
      </c>
    </row>
    <row r="3666" spans="1:6" hidden="1" x14ac:dyDescent="0.25">
      <c r="A3666" s="127" t="s">
        <v>267</v>
      </c>
      <c r="B3666" s="127">
        <v>2012</v>
      </c>
      <c r="C3666" s="127" t="s">
        <v>110</v>
      </c>
      <c r="D3666" s="127">
        <v>12</v>
      </c>
      <c r="E3666" s="127">
        <v>332.6</v>
      </c>
      <c r="F3666" s="127">
        <v>0</v>
      </c>
    </row>
    <row r="3667" spans="1:6" hidden="1" x14ac:dyDescent="0.25">
      <c r="A3667" s="127" t="s">
        <v>268</v>
      </c>
      <c r="B3667" s="127">
        <v>2012</v>
      </c>
      <c r="C3667" s="127" t="s">
        <v>99</v>
      </c>
      <c r="D3667" s="127">
        <v>1</v>
      </c>
      <c r="E3667" s="127">
        <v>349.6</v>
      </c>
      <c r="F3667" s="127">
        <v>0</v>
      </c>
    </row>
    <row r="3668" spans="1:6" hidden="1" x14ac:dyDescent="0.25">
      <c r="A3668" s="127" t="s">
        <v>268</v>
      </c>
      <c r="B3668" s="127">
        <v>2012</v>
      </c>
      <c r="C3668" s="127" t="s">
        <v>100</v>
      </c>
      <c r="D3668" s="127">
        <v>2</v>
      </c>
      <c r="E3668" s="127">
        <v>451.1</v>
      </c>
      <c r="F3668" s="127">
        <v>0</v>
      </c>
    </row>
    <row r="3669" spans="1:6" hidden="1" x14ac:dyDescent="0.25">
      <c r="A3669" s="127" t="s">
        <v>268</v>
      </c>
      <c r="B3669" s="127">
        <v>2012</v>
      </c>
      <c r="C3669" s="127" t="s">
        <v>101</v>
      </c>
      <c r="D3669" s="127">
        <v>3</v>
      </c>
      <c r="E3669" s="127">
        <v>249.9</v>
      </c>
      <c r="F3669" s="127">
        <v>6.2</v>
      </c>
    </row>
    <row r="3670" spans="1:6" hidden="1" x14ac:dyDescent="0.25">
      <c r="A3670" s="127" t="s">
        <v>268</v>
      </c>
      <c r="B3670" s="127">
        <v>2012</v>
      </c>
      <c r="C3670" s="127" t="s">
        <v>102</v>
      </c>
      <c r="D3670" s="127">
        <v>4</v>
      </c>
      <c r="E3670" s="127">
        <v>262.3</v>
      </c>
      <c r="F3670" s="127">
        <v>0</v>
      </c>
    </row>
    <row r="3671" spans="1:6" hidden="1" x14ac:dyDescent="0.25">
      <c r="A3671" s="127" t="s">
        <v>268</v>
      </c>
      <c r="B3671" s="127">
        <v>2012</v>
      </c>
      <c r="C3671" s="127" t="s">
        <v>103</v>
      </c>
      <c r="D3671" s="127">
        <v>5</v>
      </c>
      <c r="E3671" s="127">
        <v>129.80000000000001</v>
      </c>
      <c r="F3671" s="127">
        <v>25.7</v>
      </c>
    </row>
    <row r="3672" spans="1:6" hidden="1" x14ac:dyDescent="0.25">
      <c r="A3672" s="127" t="s">
        <v>268</v>
      </c>
      <c r="B3672" s="127">
        <v>2012</v>
      </c>
      <c r="C3672" s="127" t="s">
        <v>104</v>
      </c>
      <c r="D3672" s="127">
        <v>6</v>
      </c>
      <c r="E3672" s="127">
        <v>65.400000000000006</v>
      </c>
      <c r="F3672" s="127">
        <v>31.7</v>
      </c>
    </row>
    <row r="3673" spans="1:6" hidden="1" x14ac:dyDescent="0.25">
      <c r="A3673" s="127" t="s">
        <v>268</v>
      </c>
      <c r="B3673" s="127">
        <v>2012</v>
      </c>
      <c r="C3673" s="127" t="s">
        <v>105</v>
      </c>
      <c r="D3673" s="127">
        <v>7</v>
      </c>
      <c r="E3673" s="127">
        <v>54.5</v>
      </c>
      <c r="F3673" s="127">
        <v>50.2</v>
      </c>
    </row>
    <row r="3674" spans="1:6" hidden="1" x14ac:dyDescent="0.25">
      <c r="A3674" s="127" t="s">
        <v>268</v>
      </c>
      <c r="B3674" s="127">
        <v>2012</v>
      </c>
      <c r="C3674" s="127" t="s">
        <v>106</v>
      </c>
      <c r="D3674" s="127">
        <v>8</v>
      </c>
      <c r="E3674" s="127">
        <v>33.200000000000003</v>
      </c>
      <c r="F3674" s="127">
        <v>91</v>
      </c>
    </row>
    <row r="3675" spans="1:6" hidden="1" x14ac:dyDescent="0.25">
      <c r="A3675" s="127" t="s">
        <v>268</v>
      </c>
      <c r="B3675" s="127">
        <v>2012</v>
      </c>
      <c r="C3675" s="127" t="s">
        <v>107</v>
      </c>
      <c r="D3675" s="127">
        <v>9</v>
      </c>
      <c r="E3675" s="127">
        <v>89.2</v>
      </c>
      <c r="F3675" s="127">
        <v>35.9</v>
      </c>
    </row>
    <row r="3676" spans="1:6" hidden="1" x14ac:dyDescent="0.25">
      <c r="A3676" s="127" t="s">
        <v>268</v>
      </c>
      <c r="B3676" s="127">
        <v>2012</v>
      </c>
      <c r="C3676" s="127" t="s">
        <v>108</v>
      </c>
      <c r="D3676" s="127">
        <v>10</v>
      </c>
      <c r="E3676" s="127">
        <v>152.19999999999999</v>
      </c>
      <c r="F3676" s="127">
        <v>4.8</v>
      </c>
    </row>
    <row r="3677" spans="1:6" hidden="1" x14ac:dyDescent="0.25">
      <c r="A3677" s="127" t="s">
        <v>268</v>
      </c>
      <c r="B3677" s="127">
        <v>2012</v>
      </c>
      <c r="C3677" s="127" t="s">
        <v>109</v>
      </c>
      <c r="D3677" s="127">
        <v>11</v>
      </c>
      <c r="E3677" s="127">
        <v>256.10000000000002</v>
      </c>
      <c r="F3677" s="127">
        <v>0</v>
      </c>
    </row>
    <row r="3678" spans="1:6" hidden="1" x14ac:dyDescent="0.25">
      <c r="A3678" s="127" t="s">
        <v>268</v>
      </c>
      <c r="B3678" s="127">
        <v>2012</v>
      </c>
      <c r="C3678" s="127" t="s">
        <v>110</v>
      </c>
      <c r="D3678" s="127">
        <v>12</v>
      </c>
      <c r="E3678" s="127">
        <v>316</v>
      </c>
      <c r="F3678" s="127">
        <v>0</v>
      </c>
    </row>
    <row r="3679" spans="1:6" hidden="1" x14ac:dyDescent="0.25">
      <c r="A3679" s="127" t="s">
        <v>269</v>
      </c>
      <c r="B3679" s="127">
        <v>2013</v>
      </c>
      <c r="C3679" s="127" t="s">
        <v>99</v>
      </c>
      <c r="D3679" s="127">
        <v>1</v>
      </c>
      <c r="E3679" s="127">
        <v>409.5</v>
      </c>
      <c r="F3679" s="127">
        <v>0</v>
      </c>
    </row>
    <row r="3680" spans="1:6" hidden="1" x14ac:dyDescent="0.25">
      <c r="A3680" s="127" t="s">
        <v>269</v>
      </c>
      <c r="B3680" s="127">
        <v>2013</v>
      </c>
      <c r="C3680" s="127" t="s">
        <v>100</v>
      </c>
      <c r="D3680" s="127">
        <v>2</v>
      </c>
      <c r="E3680" s="127">
        <v>389.8</v>
      </c>
      <c r="F3680" s="127">
        <v>0</v>
      </c>
    </row>
    <row r="3681" spans="1:6" hidden="1" x14ac:dyDescent="0.25">
      <c r="A3681" s="127" t="s">
        <v>269</v>
      </c>
      <c r="B3681" s="127">
        <v>2013</v>
      </c>
      <c r="C3681" s="127" t="s">
        <v>101</v>
      </c>
      <c r="D3681" s="127">
        <v>3</v>
      </c>
      <c r="E3681" s="127">
        <v>360.4</v>
      </c>
      <c r="F3681" s="127">
        <v>0</v>
      </c>
    </row>
    <row r="3682" spans="1:6" hidden="1" x14ac:dyDescent="0.25">
      <c r="A3682" s="127" t="s">
        <v>269</v>
      </c>
      <c r="B3682" s="127">
        <v>2013</v>
      </c>
      <c r="C3682" s="127" t="s">
        <v>102</v>
      </c>
      <c r="D3682" s="127">
        <v>4</v>
      </c>
      <c r="E3682" s="127">
        <v>247.2</v>
      </c>
      <c r="F3682" s="127">
        <v>8.1</v>
      </c>
    </row>
    <row r="3683" spans="1:6" hidden="1" x14ac:dyDescent="0.25">
      <c r="A3683" s="127" t="s">
        <v>269</v>
      </c>
      <c r="B3683" s="127">
        <v>2013</v>
      </c>
      <c r="C3683" s="127" t="s">
        <v>103</v>
      </c>
      <c r="D3683" s="127">
        <v>5</v>
      </c>
      <c r="E3683" s="127">
        <v>175.2</v>
      </c>
      <c r="F3683" s="127">
        <v>4.3</v>
      </c>
    </row>
    <row r="3684" spans="1:6" hidden="1" x14ac:dyDescent="0.25">
      <c r="A3684" s="127" t="s">
        <v>269</v>
      </c>
      <c r="B3684" s="127">
        <v>2013</v>
      </c>
      <c r="C3684" s="127" t="s">
        <v>104</v>
      </c>
      <c r="D3684" s="127">
        <v>6</v>
      </c>
      <c r="E3684" s="127">
        <v>68</v>
      </c>
      <c r="F3684" s="127">
        <v>37.799999999999997</v>
      </c>
    </row>
    <row r="3685" spans="1:6" hidden="1" x14ac:dyDescent="0.25">
      <c r="A3685" s="127" t="s">
        <v>269</v>
      </c>
      <c r="B3685" s="127">
        <v>2013</v>
      </c>
      <c r="C3685" s="127" t="s">
        <v>105</v>
      </c>
      <c r="D3685" s="127">
        <v>7</v>
      </c>
      <c r="E3685" s="127">
        <v>13.3</v>
      </c>
      <c r="F3685" s="127">
        <v>152.69999999999999</v>
      </c>
    </row>
    <row r="3686" spans="1:6" hidden="1" x14ac:dyDescent="0.25">
      <c r="A3686" s="127" t="s">
        <v>269</v>
      </c>
      <c r="B3686" s="127">
        <v>2013</v>
      </c>
      <c r="C3686" s="127" t="s">
        <v>106</v>
      </c>
      <c r="D3686" s="127">
        <v>8</v>
      </c>
      <c r="E3686" s="127">
        <v>38.5</v>
      </c>
      <c r="F3686" s="127">
        <v>96.9</v>
      </c>
    </row>
    <row r="3687" spans="1:6" hidden="1" x14ac:dyDescent="0.25">
      <c r="A3687" s="127" t="s">
        <v>269</v>
      </c>
      <c r="B3687" s="127">
        <v>2013</v>
      </c>
      <c r="C3687" s="127" t="s">
        <v>107</v>
      </c>
      <c r="D3687" s="127">
        <v>9</v>
      </c>
      <c r="E3687" s="127">
        <v>69.2</v>
      </c>
      <c r="F3687" s="127">
        <v>44.5</v>
      </c>
    </row>
    <row r="3688" spans="1:6" hidden="1" x14ac:dyDescent="0.25">
      <c r="A3688" s="127" t="s">
        <v>269</v>
      </c>
      <c r="B3688" s="127">
        <v>2013</v>
      </c>
      <c r="C3688" s="127" t="s">
        <v>108</v>
      </c>
      <c r="D3688" s="127">
        <v>10</v>
      </c>
      <c r="E3688" s="127">
        <v>122.6</v>
      </c>
      <c r="F3688" s="127">
        <v>11.3</v>
      </c>
    </row>
    <row r="3689" spans="1:6" hidden="1" x14ac:dyDescent="0.25">
      <c r="A3689" s="127" t="s">
        <v>269</v>
      </c>
      <c r="B3689" s="127">
        <v>2013</v>
      </c>
      <c r="C3689" s="127" t="s">
        <v>109</v>
      </c>
      <c r="D3689" s="127">
        <v>11</v>
      </c>
      <c r="E3689" s="127">
        <v>311.10000000000002</v>
      </c>
      <c r="F3689" s="127">
        <v>0</v>
      </c>
    </row>
    <row r="3690" spans="1:6" hidden="1" x14ac:dyDescent="0.25">
      <c r="A3690" s="127" t="s">
        <v>269</v>
      </c>
      <c r="B3690" s="127">
        <v>2013</v>
      </c>
      <c r="C3690" s="127" t="s">
        <v>110</v>
      </c>
      <c r="D3690" s="127">
        <v>12</v>
      </c>
      <c r="E3690" s="127">
        <v>380.4</v>
      </c>
      <c r="F3690" s="127">
        <v>0</v>
      </c>
    </row>
    <row r="3691" spans="1:6" hidden="1" x14ac:dyDescent="0.25">
      <c r="A3691" s="127" t="s">
        <v>267</v>
      </c>
      <c r="B3691" s="127">
        <v>2013</v>
      </c>
      <c r="C3691" s="127" t="s">
        <v>99</v>
      </c>
      <c r="D3691" s="127">
        <v>1</v>
      </c>
      <c r="E3691" s="127">
        <v>353.5</v>
      </c>
      <c r="F3691" s="127">
        <v>0</v>
      </c>
    </row>
    <row r="3692" spans="1:6" hidden="1" x14ac:dyDescent="0.25">
      <c r="A3692" s="127" t="s">
        <v>267</v>
      </c>
      <c r="B3692" s="127">
        <v>2013</v>
      </c>
      <c r="C3692" s="127" t="s">
        <v>100</v>
      </c>
      <c r="D3692" s="127">
        <v>2</v>
      </c>
      <c r="E3692" s="127">
        <v>391.1</v>
      </c>
      <c r="F3692" s="127">
        <v>0</v>
      </c>
    </row>
    <row r="3693" spans="1:6" hidden="1" x14ac:dyDescent="0.25">
      <c r="A3693" s="127" t="s">
        <v>267</v>
      </c>
      <c r="B3693" s="127">
        <v>2013</v>
      </c>
      <c r="C3693" s="127" t="s">
        <v>101</v>
      </c>
      <c r="D3693" s="127">
        <v>3</v>
      </c>
      <c r="E3693" s="127">
        <v>359.3</v>
      </c>
      <c r="F3693" s="127">
        <v>0</v>
      </c>
    </row>
    <row r="3694" spans="1:6" hidden="1" x14ac:dyDescent="0.25">
      <c r="A3694" s="127" t="s">
        <v>267</v>
      </c>
      <c r="B3694" s="127">
        <v>2013</v>
      </c>
      <c r="C3694" s="127" t="s">
        <v>102</v>
      </c>
      <c r="D3694" s="127">
        <v>4</v>
      </c>
      <c r="E3694" s="127">
        <v>263.60000000000002</v>
      </c>
      <c r="F3694" s="127">
        <v>4.8</v>
      </c>
    </row>
    <row r="3695" spans="1:6" hidden="1" x14ac:dyDescent="0.25">
      <c r="A3695" s="127" t="s">
        <v>267</v>
      </c>
      <c r="B3695" s="127">
        <v>2013</v>
      </c>
      <c r="C3695" s="127" t="s">
        <v>103</v>
      </c>
      <c r="D3695" s="127">
        <v>5</v>
      </c>
      <c r="E3695" s="127">
        <v>197.6</v>
      </c>
      <c r="F3695" s="127">
        <v>1.5</v>
      </c>
    </row>
    <row r="3696" spans="1:6" hidden="1" x14ac:dyDescent="0.25">
      <c r="A3696" s="127" t="s">
        <v>267</v>
      </c>
      <c r="B3696" s="127">
        <v>2013</v>
      </c>
      <c r="C3696" s="127" t="s">
        <v>104</v>
      </c>
      <c r="D3696" s="127">
        <v>6</v>
      </c>
      <c r="E3696" s="127">
        <v>86</v>
      </c>
      <c r="F3696" s="127">
        <v>24.3</v>
      </c>
    </row>
    <row r="3697" spans="1:6" hidden="1" x14ac:dyDescent="0.25">
      <c r="A3697" s="127" t="s">
        <v>267</v>
      </c>
      <c r="B3697" s="127">
        <v>2013</v>
      </c>
      <c r="C3697" s="127" t="s">
        <v>105</v>
      </c>
      <c r="D3697" s="127">
        <v>7</v>
      </c>
      <c r="E3697" s="127">
        <v>20.5</v>
      </c>
      <c r="F3697" s="127">
        <v>121.1</v>
      </c>
    </row>
    <row r="3698" spans="1:6" hidden="1" x14ac:dyDescent="0.25">
      <c r="A3698" s="127" t="s">
        <v>267</v>
      </c>
      <c r="B3698" s="127">
        <v>2013</v>
      </c>
      <c r="C3698" s="127" t="s">
        <v>106</v>
      </c>
      <c r="D3698" s="127">
        <v>8</v>
      </c>
      <c r="E3698" s="127">
        <v>37.4</v>
      </c>
      <c r="F3698" s="127">
        <v>74.8</v>
      </c>
    </row>
    <row r="3699" spans="1:6" hidden="1" x14ac:dyDescent="0.25">
      <c r="A3699" s="127" t="s">
        <v>267</v>
      </c>
      <c r="B3699" s="127">
        <v>2013</v>
      </c>
      <c r="C3699" s="127" t="s">
        <v>107</v>
      </c>
      <c r="D3699" s="127">
        <v>9</v>
      </c>
      <c r="E3699" s="127">
        <v>68.599999999999994</v>
      </c>
      <c r="F3699" s="127">
        <v>36.700000000000003</v>
      </c>
    </row>
    <row r="3700" spans="1:6" hidden="1" x14ac:dyDescent="0.25">
      <c r="A3700" s="127" t="s">
        <v>267</v>
      </c>
      <c r="B3700" s="127">
        <v>2013</v>
      </c>
      <c r="C3700" s="127" t="s">
        <v>108</v>
      </c>
      <c r="D3700" s="127">
        <v>10</v>
      </c>
      <c r="E3700" s="127">
        <v>123</v>
      </c>
      <c r="F3700" s="127">
        <v>8.1</v>
      </c>
    </row>
    <row r="3701" spans="1:6" hidden="1" x14ac:dyDescent="0.25">
      <c r="A3701" s="127" t="s">
        <v>267</v>
      </c>
      <c r="B3701" s="127">
        <v>2013</v>
      </c>
      <c r="C3701" s="127" t="s">
        <v>109</v>
      </c>
      <c r="D3701" s="127">
        <v>11</v>
      </c>
      <c r="E3701" s="127">
        <v>302.5</v>
      </c>
      <c r="F3701" s="127">
        <v>0</v>
      </c>
    </row>
    <row r="3702" spans="1:6" hidden="1" x14ac:dyDescent="0.25">
      <c r="A3702" s="127" t="s">
        <v>267</v>
      </c>
      <c r="B3702" s="127">
        <v>2013</v>
      </c>
      <c r="C3702" s="127" t="s">
        <v>110</v>
      </c>
      <c r="D3702" s="127">
        <v>12</v>
      </c>
      <c r="E3702" s="127">
        <v>370.9</v>
      </c>
      <c r="F3702" s="127">
        <v>0</v>
      </c>
    </row>
    <row r="3703" spans="1:6" hidden="1" x14ac:dyDescent="0.25">
      <c r="A3703" s="127" t="s">
        <v>268</v>
      </c>
      <c r="B3703" s="127">
        <v>2013</v>
      </c>
      <c r="C3703" s="127" t="s">
        <v>99</v>
      </c>
      <c r="D3703" s="127">
        <v>1</v>
      </c>
      <c r="E3703" s="127">
        <v>381</v>
      </c>
      <c r="F3703" s="127">
        <v>0</v>
      </c>
    </row>
    <row r="3704" spans="1:6" hidden="1" x14ac:dyDescent="0.25">
      <c r="A3704" s="127" t="s">
        <v>268</v>
      </c>
      <c r="B3704" s="127">
        <v>2013</v>
      </c>
      <c r="C3704" s="127" t="s">
        <v>100</v>
      </c>
      <c r="D3704" s="127">
        <v>2</v>
      </c>
      <c r="E3704" s="127">
        <v>371.8</v>
      </c>
      <c r="F3704" s="127">
        <v>0</v>
      </c>
    </row>
    <row r="3705" spans="1:6" hidden="1" x14ac:dyDescent="0.25">
      <c r="A3705" s="127" t="s">
        <v>268</v>
      </c>
      <c r="B3705" s="127">
        <v>2013</v>
      </c>
      <c r="C3705" s="127" t="s">
        <v>101</v>
      </c>
      <c r="D3705" s="127">
        <v>3</v>
      </c>
      <c r="E3705" s="127">
        <v>335.9</v>
      </c>
      <c r="F3705" s="127">
        <v>0</v>
      </c>
    </row>
    <row r="3706" spans="1:6" hidden="1" x14ac:dyDescent="0.25">
      <c r="A3706" s="127" t="s">
        <v>268</v>
      </c>
      <c r="B3706" s="127">
        <v>2013</v>
      </c>
      <c r="C3706" s="127" t="s">
        <v>102</v>
      </c>
      <c r="D3706" s="127">
        <v>4</v>
      </c>
      <c r="E3706" s="127">
        <v>256.39999999999998</v>
      </c>
      <c r="F3706" s="127">
        <v>4.9000000000000004</v>
      </c>
    </row>
    <row r="3707" spans="1:6" hidden="1" x14ac:dyDescent="0.25">
      <c r="A3707" s="127" t="s">
        <v>268</v>
      </c>
      <c r="B3707" s="127">
        <v>2013</v>
      </c>
      <c r="C3707" s="127" t="s">
        <v>103</v>
      </c>
      <c r="D3707" s="127">
        <v>5</v>
      </c>
      <c r="E3707" s="127">
        <v>189.6</v>
      </c>
      <c r="F3707" s="127">
        <v>2.8</v>
      </c>
    </row>
    <row r="3708" spans="1:6" hidden="1" x14ac:dyDescent="0.25">
      <c r="A3708" s="127" t="s">
        <v>268</v>
      </c>
      <c r="B3708" s="127">
        <v>2013</v>
      </c>
      <c r="C3708" s="127" t="s">
        <v>104</v>
      </c>
      <c r="D3708" s="127">
        <v>6</v>
      </c>
      <c r="E3708" s="127">
        <v>81.8</v>
      </c>
      <c r="F3708" s="127">
        <v>24.9</v>
      </c>
    </row>
    <row r="3709" spans="1:6" hidden="1" x14ac:dyDescent="0.25">
      <c r="A3709" s="127" t="s">
        <v>268</v>
      </c>
      <c r="B3709" s="127">
        <v>2013</v>
      </c>
      <c r="C3709" s="127" t="s">
        <v>105</v>
      </c>
      <c r="D3709" s="127">
        <v>7</v>
      </c>
      <c r="E3709" s="127">
        <v>16.100000000000001</v>
      </c>
      <c r="F3709" s="127">
        <v>126.3</v>
      </c>
    </row>
    <row r="3710" spans="1:6" hidden="1" x14ac:dyDescent="0.25">
      <c r="A3710" s="127" t="s">
        <v>268</v>
      </c>
      <c r="B3710" s="127">
        <v>2013</v>
      </c>
      <c r="C3710" s="127" t="s">
        <v>106</v>
      </c>
      <c r="D3710" s="127">
        <v>8</v>
      </c>
      <c r="E3710" s="127">
        <v>48</v>
      </c>
      <c r="F3710" s="127">
        <v>78.3</v>
      </c>
    </row>
    <row r="3711" spans="1:6" hidden="1" x14ac:dyDescent="0.25">
      <c r="A3711" s="127" t="s">
        <v>268</v>
      </c>
      <c r="B3711" s="127">
        <v>2013</v>
      </c>
      <c r="C3711" s="127" t="s">
        <v>107</v>
      </c>
      <c r="D3711" s="127">
        <v>9</v>
      </c>
      <c r="E3711" s="127">
        <v>67.400000000000006</v>
      </c>
      <c r="F3711" s="127">
        <v>46.8</v>
      </c>
    </row>
    <row r="3712" spans="1:6" hidden="1" x14ac:dyDescent="0.25">
      <c r="A3712" s="127" t="s">
        <v>268</v>
      </c>
      <c r="B3712" s="127">
        <v>2013</v>
      </c>
      <c r="C3712" s="127" t="s">
        <v>108</v>
      </c>
      <c r="D3712" s="127">
        <v>10</v>
      </c>
      <c r="E3712" s="127">
        <v>106.6</v>
      </c>
      <c r="F3712" s="127">
        <v>16</v>
      </c>
    </row>
    <row r="3713" spans="1:6" hidden="1" x14ac:dyDescent="0.25">
      <c r="A3713" s="127" t="s">
        <v>268</v>
      </c>
      <c r="B3713" s="127">
        <v>2013</v>
      </c>
      <c r="C3713" s="127" t="s">
        <v>109</v>
      </c>
      <c r="D3713" s="127">
        <v>11</v>
      </c>
      <c r="E3713" s="127">
        <v>290.60000000000002</v>
      </c>
      <c r="F3713" s="127">
        <v>0</v>
      </c>
    </row>
    <row r="3714" spans="1:6" hidden="1" x14ac:dyDescent="0.25">
      <c r="A3714" s="127" t="s">
        <v>268</v>
      </c>
      <c r="B3714" s="127">
        <v>2013</v>
      </c>
      <c r="C3714" s="127" t="s">
        <v>110</v>
      </c>
      <c r="D3714" s="127">
        <v>12</v>
      </c>
      <c r="E3714" s="127">
        <v>355.1</v>
      </c>
      <c r="F3714" s="127">
        <v>0</v>
      </c>
    </row>
    <row r="3715" spans="1:6" hidden="1" x14ac:dyDescent="0.25">
      <c r="A3715" s="127" t="s">
        <v>269</v>
      </c>
      <c r="B3715" s="127">
        <v>2014</v>
      </c>
      <c r="C3715" s="127" t="s">
        <v>99</v>
      </c>
      <c r="D3715" s="127">
        <v>1</v>
      </c>
      <c r="E3715" s="127">
        <v>320.5</v>
      </c>
      <c r="F3715" s="127">
        <v>0</v>
      </c>
    </row>
    <row r="3716" spans="1:6" hidden="1" x14ac:dyDescent="0.25">
      <c r="A3716" s="127" t="s">
        <v>269</v>
      </c>
      <c r="B3716" s="127">
        <v>2014</v>
      </c>
      <c r="C3716" s="127" t="s">
        <v>100</v>
      </c>
      <c r="D3716" s="127">
        <v>2</v>
      </c>
      <c r="E3716" s="127">
        <v>281.3</v>
      </c>
      <c r="F3716" s="127">
        <v>0</v>
      </c>
    </row>
    <row r="3717" spans="1:6" hidden="1" x14ac:dyDescent="0.25">
      <c r="A3717" s="127" t="s">
        <v>269</v>
      </c>
      <c r="B3717" s="127">
        <v>2014</v>
      </c>
      <c r="C3717" s="127" t="s">
        <v>101</v>
      </c>
      <c r="D3717" s="127">
        <v>3</v>
      </c>
      <c r="E3717" s="127">
        <v>263.89999999999998</v>
      </c>
      <c r="F3717" s="127">
        <v>2.6</v>
      </c>
    </row>
    <row r="3718" spans="1:6" hidden="1" x14ac:dyDescent="0.25">
      <c r="A3718" s="127" t="s">
        <v>269</v>
      </c>
      <c r="B3718" s="127">
        <v>2014</v>
      </c>
      <c r="C3718" s="127" t="s">
        <v>102</v>
      </c>
      <c r="D3718" s="127">
        <v>4</v>
      </c>
      <c r="E3718" s="127">
        <v>174.2</v>
      </c>
      <c r="F3718" s="127">
        <v>4.2</v>
      </c>
    </row>
    <row r="3719" spans="1:6" hidden="1" x14ac:dyDescent="0.25">
      <c r="A3719" s="127" t="s">
        <v>269</v>
      </c>
      <c r="B3719" s="127">
        <v>2014</v>
      </c>
      <c r="C3719" s="127" t="s">
        <v>103</v>
      </c>
      <c r="D3719" s="127">
        <v>5</v>
      </c>
      <c r="E3719" s="127">
        <v>134.5</v>
      </c>
      <c r="F3719" s="127">
        <v>10.8</v>
      </c>
    </row>
    <row r="3720" spans="1:6" hidden="1" x14ac:dyDescent="0.25">
      <c r="A3720" s="127" t="s">
        <v>269</v>
      </c>
      <c r="B3720" s="127">
        <v>2014</v>
      </c>
      <c r="C3720" s="127" t="s">
        <v>104</v>
      </c>
      <c r="D3720" s="127">
        <v>6</v>
      </c>
      <c r="E3720" s="127">
        <v>48.5</v>
      </c>
      <c r="F3720" s="127">
        <v>61.9</v>
      </c>
    </row>
    <row r="3721" spans="1:6" hidden="1" x14ac:dyDescent="0.25">
      <c r="A3721" s="127" t="s">
        <v>269</v>
      </c>
      <c r="B3721" s="127">
        <v>2014</v>
      </c>
      <c r="C3721" s="127" t="s">
        <v>105</v>
      </c>
      <c r="D3721" s="127">
        <v>7</v>
      </c>
      <c r="E3721" s="127">
        <v>22.6</v>
      </c>
      <c r="F3721" s="127">
        <v>105.7</v>
      </c>
    </row>
    <row r="3722" spans="1:6" hidden="1" x14ac:dyDescent="0.25">
      <c r="A3722" s="127" t="s">
        <v>269</v>
      </c>
      <c r="B3722" s="127">
        <v>2014</v>
      </c>
      <c r="C3722" s="127" t="s">
        <v>106</v>
      </c>
      <c r="D3722" s="127">
        <v>8</v>
      </c>
      <c r="E3722" s="127">
        <v>51.9</v>
      </c>
      <c r="F3722" s="127">
        <v>48.6</v>
      </c>
    </row>
    <row r="3723" spans="1:6" hidden="1" x14ac:dyDescent="0.25">
      <c r="A3723" s="127" t="s">
        <v>269</v>
      </c>
      <c r="B3723" s="127">
        <v>2014</v>
      </c>
      <c r="C3723" s="127" t="s">
        <v>107</v>
      </c>
      <c r="D3723" s="127">
        <v>9</v>
      </c>
      <c r="E3723" s="127">
        <v>54.3</v>
      </c>
      <c r="F3723" s="127">
        <v>63.6</v>
      </c>
    </row>
    <row r="3724" spans="1:6" hidden="1" x14ac:dyDescent="0.25">
      <c r="A3724" s="127" t="s">
        <v>269</v>
      </c>
      <c r="B3724" s="127">
        <v>2014</v>
      </c>
      <c r="C3724" s="127" t="s">
        <v>108</v>
      </c>
      <c r="D3724" s="127">
        <v>10</v>
      </c>
      <c r="E3724" s="127">
        <v>124.2</v>
      </c>
      <c r="F3724" s="127">
        <v>16.5</v>
      </c>
    </row>
    <row r="3725" spans="1:6" hidden="1" x14ac:dyDescent="0.25">
      <c r="A3725" s="127" t="s">
        <v>269</v>
      </c>
      <c r="B3725" s="127">
        <v>2014</v>
      </c>
      <c r="C3725" s="127" t="s">
        <v>109</v>
      </c>
      <c r="D3725" s="127">
        <v>11</v>
      </c>
      <c r="E3725" s="127">
        <v>219.5</v>
      </c>
      <c r="F3725" s="127">
        <v>0.3</v>
      </c>
    </row>
    <row r="3726" spans="1:6" hidden="1" x14ac:dyDescent="0.25">
      <c r="A3726" s="127" t="s">
        <v>269</v>
      </c>
      <c r="B3726" s="127">
        <v>2014</v>
      </c>
      <c r="C3726" s="127" t="s">
        <v>110</v>
      </c>
      <c r="D3726" s="127">
        <v>12</v>
      </c>
      <c r="E3726" s="127">
        <v>374.8</v>
      </c>
      <c r="F3726" s="127">
        <v>0</v>
      </c>
    </row>
    <row r="3727" spans="1:6" hidden="1" x14ac:dyDescent="0.25">
      <c r="A3727" s="127" t="s">
        <v>267</v>
      </c>
      <c r="B3727" s="127">
        <v>2014</v>
      </c>
      <c r="C3727" s="127" t="s">
        <v>99</v>
      </c>
      <c r="D3727" s="127">
        <v>1</v>
      </c>
      <c r="E3727" s="127">
        <v>337.3</v>
      </c>
      <c r="F3727" s="127">
        <v>0</v>
      </c>
    </row>
    <row r="3728" spans="1:6" hidden="1" x14ac:dyDescent="0.25">
      <c r="A3728" s="127" t="s">
        <v>267</v>
      </c>
      <c r="B3728" s="127">
        <v>2014</v>
      </c>
      <c r="C3728" s="127" t="s">
        <v>100</v>
      </c>
      <c r="D3728" s="127">
        <v>2</v>
      </c>
      <c r="E3728" s="127">
        <v>292.2</v>
      </c>
      <c r="F3728" s="127">
        <v>0</v>
      </c>
    </row>
    <row r="3729" spans="1:6" hidden="1" x14ac:dyDescent="0.25">
      <c r="A3729" s="127" t="s">
        <v>267</v>
      </c>
      <c r="B3729" s="127">
        <v>2014</v>
      </c>
      <c r="C3729" s="127" t="s">
        <v>101</v>
      </c>
      <c r="D3729" s="127">
        <v>3</v>
      </c>
      <c r="E3729" s="127">
        <v>270.89999999999998</v>
      </c>
      <c r="F3729" s="127">
        <v>0.4</v>
      </c>
    </row>
    <row r="3730" spans="1:6" hidden="1" x14ac:dyDescent="0.25">
      <c r="A3730" s="127" t="s">
        <v>267</v>
      </c>
      <c r="B3730" s="127">
        <v>2014</v>
      </c>
      <c r="C3730" s="127" t="s">
        <v>102</v>
      </c>
      <c r="D3730" s="127">
        <v>4</v>
      </c>
      <c r="E3730" s="127">
        <v>191.6</v>
      </c>
      <c r="F3730" s="127">
        <v>1</v>
      </c>
    </row>
    <row r="3731" spans="1:6" hidden="1" x14ac:dyDescent="0.25">
      <c r="A3731" s="127" t="s">
        <v>267</v>
      </c>
      <c r="B3731" s="127">
        <v>2014</v>
      </c>
      <c r="C3731" s="127" t="s">
        <v>103</v>
      </c>
      <c r="D3731" s="127">
        <v>5</v>
      </c>
      <c r="E3731" s="127">
        <v>150</v>
      </c>
      <c r="F3731" s="127">
        <v>5.2</v>
      </c>
    </row>
    <row r="3732" spans="1:6" hidden="1" x14ac:dyDescent="0.25">
      <c r="A3732" s="127" t="s">
        <v>267</v>
      </c>
      <c r="B3732" s="127">
        <v>2014</v>
      </c>
      <c r="C3732" s="127" t="s">
        <v>104</v>
      </c>
      <c r="D3732" s="127">
        <v>6</v>
      </c>
      <c r="E3732" s="127">
        <v>66.5</v>
      </c>
      <c r="F3732" s="127">
        <v>41.4</v>
      </c>
    </row>
    <row r="3733" spans="1:6" hidden="1" x14ac:dyDescent="0.25">
      <c r="A3733" s="127" t="s">
        <v>267</v>
      </c>
      <c r="B3733" s="127">
        <v>2014</v>
      </c>
      <c r="C3733" s="127" t="s">
        <v>105</v>
      </c>
      <c r="D3733" s="127">
        <v>7</v>
      </c>
      <c r="E3733" s="127">
        <v>27.7</v>
      </c>
      <c r="F3733" s="127">
        <v>84.8</v>
      </c>
    </row>
    <row r="3734" spans="1:6" hidden="1" x14ac:dyDescent="0.25">
      <c r="A3734" s="127" t="s">
        <v>267</v>
      </c>
      <c r="B3734" s="127">
        <v>2014</v>
      </c>
      <c r="C3734" s="127" t="s">
        <v>106</v>
      </c>
      <c r="D3734" s="127">
        <v>8</v>
      </c>
      <c r="E3734" s="127">
        <v>57</v>
      </c>
      <c r="F3734" s="127">
        <v>34</v>
      </c>
    </row>
    <row r="3735" spans="1:6" hidden="1" x14ac:dyDescent="0.25">
      <c r="A3735" s="127" t="s">
        <v>267</v>
      </c>
      <c r="B3735" s="127">
        <v>2014</v>
      </c>
      <c r="C3735" s="127" t="s">
        <v>107</v>
      </c>
      <c r="D3735" s="127">
        <v>9</v>
      </c>
      <c r="E3735" s="127">
        <v>59.3</v>
      </c>
      <c r="F3735" s="127">
        <v>49.6</v>
      </c>
    </row>
    <row r="3736" spans="1:6" hidden="1" x14ac:dyDescent="0.25">
      <c r="A3736" s="127" t="s">
        <v>267</v>
      </c>
      <c r="B3736" s="127">
        <v>2014</v>
      </c>
      <c r="C3736" s="127" t="s">
        <v>108</v>
      </c>
      <c r="D3736" s="127">
        <v>10</v>
      </c>
      <c r="E3736" s="127">
        <v>124.7</v>
      </c>
      <c r="F3736" s="127">
        <v>9.6999999999999993</v>
      </c>
    </row>
    <row r="3737" spans="1:6" hidden="1" x14ac:dyDescent="0.25">
      <c r="A3737" s="127" t="s">
        <v>267</v>
      </c>
      <c r="B3737" s="127">
        <v>2014</v>
      </c>
      <c r="C3737" s="127" t="s">
        <v>109</v>
      </c>
      <c r="D3737" s="127">
        <v>11</v>
      </c>
      <c r="E3737" s="127">
        <v>230.6</v>
      </c>
      <c r="F3737" s="127">
        <v>0.1</v>
      </c>
    </row>
    <row r="3738" spans="1:6" hidden="1" x14ac:dyDescent="0.25">
      <c r="A3738" s="127" t="s">
        <v>267</v>
      </c>
      <c r="B3738" s="127">
        <v>2014</v>
      </c>
      <c r="C3738" s="127" t="s">
        <v>110</v>
      </c>
      <c r="D3738" s="127">
        <v>12</v>
      </c>
      <c r="E3738" s="127">
        <v>366.7</v>
      </c>
      <c r="F3738" s="127">
        <v>0</v>
      </c>
    </row>
    <row r="3739" spans="1:6" hidden="1" x14ac:dyDescent="0.25">
      <c r="A3739" s="127" t="s">
        <v>268</v>
      </c>
      <c r="B3739" s="127">
        <v>2014</v>
      </c>
      <c r="C3739" s="127" t="s">
        <v>99</v>
      </c>
      <c r="D3739" s="127">
        <v>1</v>
      </c>
      <c r="E3739" s="127">
        <v>311.5</v>
      </c>
      <c r="F3739" s="127">
        <v>0</v>
      </c>
    </row>
    <row r="3740" spans="1:6" hidden="1" x14ac:dyDescent="0.25">
      <c r="A3740" s="127" t="s">
        <v>268</v>
      </c>
      <c r="B3740" s="127">
        <v>2014</v>
      </c>
      <c r="C3740" s="127" t="s">
        <v>100</v>
      </c>
      <c r="D3740" s="127">
        <v>2</v>
      </c>
      <c r="E3740" s="127">
        <v>279.8</v>
      </c>
      <c r="F3740" s="127">
        <v>0</v>
      </c>
    </row>
    <row r="3741" spans="1:6" hidden="1" x14ac:dyDescent="0.25">
      <c r="A3741" s="127" t="s">
        <v>268</v>
      </c>
      <c r="B3741" s="127">
        <v>2014</v>
      </c>
      <c r="C3741" s="127" t="s">
        <v>101</v>
      </c>
      <c r="D3741" s="127">
        <v>3</v>
      </c>
      <c r="E3741" s="127">
        <v>265.39999999999998</v>
      </c>
      <c r="F3741" s="127">
        <v>0.7</v>
      </c>
    </row>
    <row r="3742" spans="1:6" hidden="1" x14ac:dyDescent="0.25">
      <c r="A3742" s="127" t="s">
        <v>268</v>
      </c>
      <c r="B3742" s="127">
        <v>2014</v>
      </c>
      <c r="C3742" s="127" t="s">
        <v>102</v>
      </c>
      <c r="D3742" s="127">
        <v>4</v>
      </c>
      <c r="E3742" s="127">
        <v>193.2</v>
      </c>
      <c r="F3742" s="127">
        <v>1.1000000000000001</v>
      </c>
    </row>
    <row r="3743" spans="1:6" hidden="1" x14ac:dyDescent="0.25">
      <c r="A3743" s="127" t="s">
        <v>268</v>
      </c>
      <c r="B3743" s="127">
        <v>2014</v>
      </c>
      <c r="C3743" s="127" t="s">
        <v>103</v>
      </c>
      <c r="D3743" s="127">
        <v>5</v>
      </c>
      <c r="E3743" s="127">
        <v>160.19999999999999</v>
      </c>
      <c r="F3743" s="127">
        <v>6.2</v>
      </c>
    </row>
    <row r="3744" spans="1:6" hidden="1" x14ac:dyDescent="0.25">
      <c r="A3744" s="127" t="s">
        <v>268</v>
      </c>
      <c r="B3744" s="127">
        <v>2014</v>
      </c>
      <c r="C3744" s="127" t="s">
        <v>104</v>
      </c>
      <c r="D3744" s="127">
        <v>6</v>
      </c>
      <c r="E3744" s="127">
        <v>56.6</v>
      </c>
      <c r="F3744" s="127">
        <v>55.1</v>
      </c>
    </row>
    <row r="3745" spans="1:6" hidden="1" x14ac:dyDescent="0.25">
      <c r="A3745" s="127" t="s">
        <v>268</v>
      </c>
      <c r="B3745" s="127">
        <v>2014</v>
      </c>
      <c r="C3745" s="127" t="s">
        <v>105</v>
      </c>
      <c r="D3745" s="127">
        <v>7</v>
      </c>
      <c r="E3745" s="127">
        <v>32.799999999999997</v>
      </c>
      <c r="F3745" s="127">
        <v>89.8</v>
      </c>
    </row>
    <row r="3746" spans="1:6" hidden="1" x14ac:dyDescent="0.25">
      <c r="A3746" s="127" t="s">
        <v>268</v>
      </c>
      <c r="B3746" s="127">
        <v>2014</v>
      </c>
      <c r="C3746" s="127" t="s">
        <v>106</v>
      </c>
      <c r="D3746" s="127">
        <v>8</v>
      </c>
      <c r="E3746" s="127">
        <v>60.1</v>
      </c>
      <c r="F3746" s="127">
        <v>37.200000000000003</v>
      </c>
    </row>
    <row r="3747" spans="1:6" hidden="1" x14ac:dyDescent="0.25">
      <c r="A3747" s="127" t="s">
        <v>268</v>
      </c>
      <c r="B3747" s="127">
        <v>2014</v>
      </c>
      <c r="C3747" s="127" t="s">
        <v>107</v>
      </c>
      <c r="D3747" s="127">
        <v>9</v>
      </c>
      <c r="E3747" s="127">
        <v>53.4</v>
      </c>
      <c r="F3747" s="127">
        <v>67.400000000000006</v>
      </c>
    </row>
    <row r="3748" spans="1:6" hidden="1" x14ac:dyDescent="0.25">
      <c r="A3748" s="127" t="s">
        <v>268</v>
      </c>
      <c r="B3748" s="127">
        <v>2014</v>
      </c>
      <c r="C3748" s="127" t="s">
        <v>108</v>
      </c>
      <c r="D3748" s="127">
        <v>10</v>
      </c>
      <c r="E3748" s="127">
        <v>102.2</v>
      </c>
      <c r="F3748" s="127">
        <v>18.899999999999999</v>
      </c>
    </row>
    <row r="3749" spans="1:6" hidden="1" x14ac:dyDescent="0.25">
      <c r="A3749" s="127" t="s">
        <v>268</v>
      </c>
      <c r="B3749" s="127">
        <v>2014</v>
      </c>
      <c r="C3749" s="127" t="s">
        <v>109</v>
      </c>
      <c r="D3749" s="127">
        <v>11</v>
      </c>
      <c r="E3749" s="127">
        <v>198.2</v>
      </c>
      <c r="F3749" s="127">
        <v>0</v>
      </c>
    </row>
    <row r="3750" spans="1:6" hidden="1" x14ac:dyDescent="0.25">
      <c r="A3750" s="127" t="s">
        <v>268</v>
      </c>
      <c r="B3750" s="127">
        <v>2014</v>
      </c>
      <c r="C3750" s="127" t="s">
        <v>110</v>
      </c>
      <c r="D3750" s="127">
        <v>12</v>
      </c>
      <c r="E3750" s="127">
        <v>354.3</v>
      </c>
      <c r="F3750" s="127">
        <v>0</v>
      </c>
    </row>
    <row r="3751" spans="1:6" hidden="1" x14ac:dyDescent="0.25">
      <c r="A3751" s="127" t="s">
        <v>269</v>
      </c>
      <c r="B3751" s="127">
        <v>2015</v>
      </c>
      <c r="C3751" s="127" t="s">
        <v>99</v>
      </c>
      <c r="D3751" s="127">
        <v>1</v>
      </c>
      <c r="E3751" s="127">
        <v>392.1</v>
      </c>
      <c r="F3751" s="127">
        <v>0</v>
      </c>
    </row>
    <row r="3752" spans="1:6" hidden="1" x14ac:dyDescent="0.25">
      <c r="A3752" s="127" t="s">
        <v>269</v>
      </c>
      <c r="B3752" s="127">
        <v>2015</v>
      </c>
      <c r="C3752" s="127" t="s">
        <v>100</v>
      </c>
      <c r="D3752" s="127">
        <v>2</v>
      </c>
      <c r="E3752" s="127">
        <v>366.9</v>
      </c>
      <c r="F3752" s="127">
        <v>0</v>
      </c>
    </row>
    <row r="3753" spans="1:6" hidden="1" x14ac:dyDescent="0.25">
      <c r="A3753" s="127" t="s">
        <v>269</v>
      </c>
      <c r="B3753" s="127">
        <v>2015</v>
      </c>
      <c r="C3753" s="127" t="s">
        <v>101</v>
      </c>
      <c r="D3753" s="127">
        <v>3</v>
      </c>
      <c r="E3753" s="127">
        <v>303.8</v>
      </c>
      <c r="F3753" s="127">
        <v>0.3</v>
      </c>
    </row>
    <row r="3754" spans="1:6" hidden="1" x14ac:dyDescent="0.25">
      <c r="A3754" s="127" t="s">
        <v>269</v>
      </c>
      <c r="B3754" s="127">
        <v>2015</v>
      </c>
      <c r="C3754" s="127" t="s">
        <v>102</v>
      </c>
      <c r="D3754" s="127">
        <v>4</v>
      </c>
      <c r="E3754" s="127">
        <v>166.6</v>
      </c>
      <c r="F3754" s="127">
        <v>16.899999999999999</v>
      </c>
    </row>
    <row r="3755" spans="1:6" hidden="1" x14ac:dyDescent="0.25">
      <c r="A3755" s="127" t="s">
        <v>269</v>
      </c>
      <c r="B3755" s="127">
        <v>2015</v>
      </c>
      <c r="C3755" s="127" t="s">
        <v>103</v>
      </c>
      <c r="D3755" s="127">
        <v>5</v>
      </c>
      <c r="E3755" s="127">
        <v>119.9</v>
      </c>
      <c r="F3755" s="127">
        <v>16.5</v>
      </c>
    </row>
    <row r="3756" spans="1:6" hidden="1" x14ac:dyDescent="0.25">
      <c r="A3756" s="127" t="s">
        <v>269</v>
      </c>
      <c r="B3756" s="127">
        <v>2015</v>
      </c>
      <c r="C3756" s="127" t="s">
        <v>104</v>
      </c>
      <c r="D3756" s="127">
        <v>6</v>
      </c>
      <c r="E3756" s="127">
        <v>51.8</v>
      </c>
      <c r="F3756" s="127">
        <v>75.8</v>
      </c>
    </row>
    <row r="3757" spans="1:6" hidden="1" x14ac:dyDescent="0.25">
      <c r="A3757" s="127" t="s">
        <v>269</v>
      </c>
      <c r="B3757" s="127">
        <v>2015</v>
      </c>
      <c r="C3757" s="127" t="s">
        <v>105</v>
      </c>
      <c r="D3757" s="127">
        <v>7</v>
      </c>
      <c r="E3757" s="127">
        <v>29</v>
      </c>
      <c r="F3757" s="127">
        <v>126.8</v>
      </c>
    </row>
    <row r="3758" spans="1:6" hidden="1" x14ac:dyDescent="0.25">
      <c r="A3758" s="127" t="s">
        <v>269</v>
      </c>
      <c r="B3758" s="127">
        <v>2015</v>
      </c>
      <c r="C3758" s="127" t="s">
        <v>106</v>
      </c>
      <c r="D3758" s="127">
        <v>8</v>
      </c>
      <c r="E3758" s="127">
        <v>32</v>
      </c>
      <c r="F3758" s="127">
        <v>115.3</v>
      </c>
    </row>
    <row r="3759" spans="1:6" hidden="1" x14ac:dyDescent="0.25">
      <c r="A3759" s="127" t="s">
        <v>269</v>
      </c>
      <c r="B3759" s="127">
        <v>2015</v>
      </c>
      <c r="C3759" s="127" t="s">
        <v>107</v>
      </c>
      <c r="D3759" s="127">
        <v>9</v>
      </c>
      <c r="E3759" s="127">
        <v>96.9</v>
      </c>
      <c r="F3759" s="127">
        <v>16.8</v>
      </c>
    </row>
    <row r="3760" spans="1:6" hidden="1" x14ac:dyDescent="0.25">
      <c r="A3760" s="127" t="s">
        <v>269</v>
      </c>
      <c r="B3760" s="127">
        <v>2015</v>
      </c>
      <c r="C3760" s="127" t="s">
        <v>108</v>
      </c>
      <c r="D3760" s="127">
        <v>10</v>
      </c>
      <c r="E3760" s="127">
        <v>181.1</v>
      </c>
      <c r="F3760" s="127">
        <v>3</v>
      </c>
    </row>
    <row r="3761" spans="1:6" hidden="1" x14ac:dyDescent="0.25">
      <c r="A3761" s="127" t="s">
        <v>269</v>
      </c>
      <c r="B3761" s="127">
        <v>2015</v>
      </c>
      <c r="C3761" s="127" t="s">
        <v>109</v>
      </c>
      <c r="D3761" s="127">
        <v>11</v>
      </c>
      <c r="E3761" s="127">
        <v>191.1</v>
      </c>
      <c r="F3761" s="127">
        <v>3.1</v>
      </c>
    </row>
    <row r="3762" spans="1:6" hidden="1" x14ac:dyDescent="0.25">
      <c r="A3762" s="127" t="s">
        <v>269</v>
      </c>
      <c r="B3762" s="127">
        <v>2015</v>
      </c>
      <c r="C3762" s="127" t="s">
        <v>110</v>
      </c>
      <c r="D3762" s="127">
        <v>12</v>
      </c>
      <c r="E3762" s="127">
        <v>258.5</v>
      </c>
      <c r="F3762" s="127">
        <v>0</v>
      </c>
    </row>
    <row r="3763" spans="1:6" hidden="1" x14ac:dyDescent="0.25">
      <c r="A3763" s="127" t="s">
        <v>267</v>
      </c>
      <c r="B3763" s="127">
        <v>2015</v>
      </c>
      <c r="C3763" s="127" t="s">
        <v>99</v>
      </c>
      <c r="D3763" s="127">
        <v>1</v>
      </c>
      <c r="E3763" s="127">
        <v>391.4</v>
      </c>
      <c r="F3763" s="127">
        <v>0</v>
      </c>
    </row>
    <row r="3764" spans="1:6" hidden="1" x14ac:dyDescent="0.25">
      <c r="A3764" s="127" t="s">
        <v>267</v>
      </c>
      <c r="B3764" s="127">
        <v>2015</v>
      </c>
      <c r="C3764" s="127" t="s">
        <v>100</v>
      </c>
      <c r="D3764" s="127">
        <v>2</v>
      </c>
      <c r="E3764" s="127">
        <v>371.5</v>
      </c>
      <c r="F3764" s="127">
        <v>0</v>
      </c>
    </row>
    <row r="3765" spans="1:6" hidden="1" x14ac:dyDescent="0.25">
      <c r="A3765" s="127" t="s">
        <v>267</v>
      </c>
      <c r="B3765" s="127">
        <v>2015</v>
      </c>
      <c r="C3765" s="127" t="s">
        <v>101</v>
      </c>
      <c r="D3765" s="127">
        <v>3</v>
      </c>
      <c r="E3765" s="127">
        <v>303.39999999999998</v>
      </c>
      <c r="F3765" s="127">
        <v>0</v>
      </c>
    </row>
    <row r="3766" spans="1:6" hidden="1" x14ac:dyDescent="0.25">
      <c r="A3766" s="127" t="s">
        <v>267</v>
      </c>
      <c r="B3766" s="127">
        <v>2015</v>
      </c>
      <c r="C3766" s="127" t="s">
        <v>102</v>
      </c>
      <c r="D3766" s="127">
        <v>4</v>
      </c>
      <c r="E3766" s="127">
        <v>189.4</v>
      </c>
      <c r="F3766" s="127">
        <v>9</v>
      </c>
    </row>
    <row r="3767" spans="1:6" hidden="1" x14ac:dyDescent="0.25">
      <c r="A3767" s="127" t="s">
        <v>267</v>
      </c>
      <c r="B3767" s="127">
        <v>2015</v>
      </c>
      <c r="C3767" s="127" t="s">
        <v>103</v>
      </c>
      <c r="D3767" s="127">
        <v>5</v>
      </c>
      <c r="E3767" s="127">
        <v>144.19999999999999</v>
      </c>
      <c r="F3767" s="127">
        <v>7</v>
      </c>
    </row>
    <row r="3768" spans="1:6" hidden="1" x14ac:dyDescent="0.25">
      <c r="A3768" s="127" t="s">
        <v>267</v>
      </c>
      <c r="B3768" s="127">
        <v>2015</v>
      </c>
      <c r="C3768" s="127" t="s">
        <v>104</v>
      </c>
      <c r="D3768" s="127">
        <v>6</v>
      </c>
      <c r="E3768" s="127">
        <v>67.2</v>
      </c>
      <c r="F3768" s="127">
        <v>53</v>
      </c>
    </row>
    <row r="3769" spans="1:6" hidden="1" x14ac:dyDescent="0.25">
      <c r="A3769" s="127" t="s">
        <v>267</v>
      </c>
      <c r="B3769" s="127">
        <v>2015</v>
      </c>
      <c r="C3769" s="127" t="s">
        <v>105</v>
      </c>
      <c r="D3769" s="127">
        <v>7</v>
      </c>
      <c r="E3769" s="127">
        <v>35.700000000000003</v>
      </c>
      <c r="F3769" s="127">
        <v>90.4</v>
      </c>
    </row>
    <row r="3770" spans="1:6" hidden="1" x14ac:dyDescent="0.25">
      <c r="A3770" s="127" t="s">
        <v>267</v>
      </c>
      <c r="B3770" s="127">
        <v>2015</v>
      </c>
      <c r="C3770" s="127" t="s">
        <v>106</v>
      </c>
      <c r="D3770" s="127">
        <v>8</v>
      </c>
      <c r="E3770" s="127">
        <v>37.9</v>
      </c>
      <c r="F3770" s="127">
        <v>89.3</v>
      </c>
    </row>
    <row r="3771" spans="1:6" hidden="1" x14ac:dyDescent="0.25">
      <c r="A3771" s="127" t="s">
        <v>267</v>
      </c>
      <c r="B3771" s="127">
        <v>2015</v>
      </c>
      <c r="C3771" s="127" t="s">
        <v>107</v>
      </c>
      <c r="D3771" s="127">
        <v>9</v>
      </c>
      <c r="E3771" s="127">
        <v>109.5</v>
      </c>
      <c r="F3771" s="127">
        <v>9.8000000000000007</v>
      </c>
    </row>
    <row r="3772" spans="1:6" hidden="1" x14ac:dyDescent="0.25">
      <c r="A3772" s="127" t="s">
        <v>267</v>
      </c>
      <c r="B3772" s="127">
        <v>2015</v>
      </c>
      <c r="C3772" s="127" t="s">
        <v>108</v>
      </c>
      <c r="D3772" s="127">
        <v>10</v>
      </c>
      <c r="E3772" s="127">
        <v>189.5</v>
      </c>
      <c r="F3772" s="127">
        <v>1.3</v>
      </c>
    </row>
    <row r="3773" spans="1:6" hidden="1" x14ac:dyDescent="0.25">
      <c r="A3773" s="127" t="s">
        <v>267</v>
      </c>
      <c r="B3773" s="127">
        <v>2015</v>
      </c>
      <c r="C3773" s="127" t="s">
        <v>109</v>
      </c>
      <c r="D3773" s="127">
        <v>11</v>
      </c>
      <c r="E3773" s="127">
        <v>196.2</v>
      </c>
      <c r="F3773" s="127">
        <v>1.3</v>
      </c>
    </row>
    <row r="3774" spans="1:6" hidden="1" x14ac:dyDescent="0.25">
      <c r="A3774" s="127" t="s">
        <v>267</v>
      </c>
      <c r="B3774" s="127">
        <v>2015</v>
      </c>
      <c r="C3774" s="127" t="s">
        <v>110</v>
      </c>
      <c r="D3774" s="127">
        <v>12</v>
      </c>
      <c r="E3774" s="127">
        <v>266.10000000000002</v>
      </c>
      <c r="F3774" s="127">
        <v>0</v>
      </c>
    </row>
    <row r="3775" spans="1:6" hidden="1" x14ac:dyDescent="0.25">
      <c r="A3775" s="127" t="s">
        <v>268</v>
      </c>
      <c r="B3775" s="127">
        <v>2015</v>
      </c>
      <c r="C3775" s="127" t="s">
        <v>99</v>
      </c>
      <c r="D3775" s="127">
        <v>1</v>
      </c>
      <c r="E3775" s="127">
        <v>368</v>
      </c>
      <c r="F3775" s="127">
        <v>0</v>
      </c>
    </row>
    <row r="3776" spans="1:6" hidden="1" x14ac:dyDescent="0.25">
      <c r="A3776" s="127" t="s">
        <v>268</v>
      </c>
      <c r="B3776" s="127">
        <v>2015</v>
      </c>
      <c r="C3776" s="127" t="s">
        <v>100</v>
      </c>
      <c r="D3776" s="127">
        <v>2</v>
      </c>
      <c r="E3776" s="127">
        <v>364.5</v>
      </c>
      <c r="F3776" s="127">
        <v>0</v>
      </c>
    </row>
    <row r="3777" spans="1:6" hidden="1" x14ac:dyDescent="0.25">
      <c r="A3777" s="127" t="s">
        <v>268</v>
      </c>
      <c r="B3777" s="127">
        <v>2015</v>
      </c>
      <c r="C3777" s="127" t="s">
        <v>101</v>
      </c>
      <c r="D3777" s="127">
        <v>3</v>
      </c>
      <c r="E3777" s="127">
        <v>291.5</v>
      </c>
      <c r="F3777" s="127">
        <v>0.1</v>
      </c>
    </row>
    <row r="3778" spans="1:6" hidden="1" x14ac:dyDescent="0.25">
      <c r="A3778" s="127" t="s">
        <v>268</v>
      </c>
      <c r="B3778" s="127">
        <v>2015</v>
      </c>
      <c r="C3778" s="127" t="s">
        <v>102</v>
      </c>
      <c r="D3778" s="127">
        <v>4</v>
      </c>
      <c r="E3778" s="127">
        <v>183.3</v>
      </c>
      <c r="F3778" s="127">
        <v>9.8000000000000007</v>
      </c>
    </row>
    <row r="3779" spans="1:6" hidden="1" x14ac:dyDescent="0.25">
      <c r="A3779" s="127" t="s">
        <v>268</v>
      </c>
      <c r="B3779" s="127">
        <v>2015</v>
      </c>
      <c r="C3779" s="127" t="s">
        <v>103</v>
      </c>
      <c r="D3779" s="127">
        <v>5</v>
      </c>
      <c r="E3779" s="127">
        <v>128.4</v>
      </c>
      <c r="F3779" s="127">
        <v>11.4</v>
      </c>
    </row>
    <row r="3780" spans="1:6" hidden="1" x14ac:dyDescent="0.25">
      <c r="A3780" s="127" t="s">
        <v>268</v>
      </c>
      <c r="B3780" s="127">
        <v>2015</v>
      </c>
      <c r="C3780" s="127" t="s">
        <v>104</v>
      </c>
      <c r="D3780" s="127">
        <v>6</v>
      </c>
      <c r="E3780" s="127">
        <v>56.8</v>
      </c>
      <c r="F3780" s="127">
        <v>60.5</v>
      </c>
    </row>
    <row r="3781" spans="1:6" hidden="1" x14ac:dyDescent="0.25">
      <c r="A3781" s="127" t="s">
        <v>268</v>
      </c>
      <c r="B3781" s="127">
        <v>2015</v>
      </c>
      <c r="C3781" s="127" t="s">
        <v>105</v>
      </c>
      <c r="D3781" s="127">
        <v>7</v>
      </c>
      <c r="E3781" s="127">
        <v>34.200000000000003</v>
      </c>
      <c r="F3781" s="127">
        <v>83.9</v>
      </c>
    </row>
    <row r="3782" spans="1:6" hidden="1" x14ac:dyDescent="0.25">
      <c r="A3782" s="127" t="s">
        <v>268</v>
      </c>
      <c r="B3782" s="127">
        <v>2015</v>
      </c>
      <c r="C3782" s="127" t="s">
        <v>106</v>
      </c>
      <c r="D3782" s="127">
        <v>8</v>
      </c>
      <c r="E3782" s="127">
        <v>40.1</v>
      </c>
      <c r="F3782" s="127">
        <v>81.900000000000006</v>
      </c>
    </row>
    <row r="3783" spans="1:6" hidden="1" x14ac:dyDescent="0.25">
      <c r="A3783" s="127" t="s">
        <v>268</v>
      </c>
      <c r="B3783" s="127">
        <v>2015</v>
      </c>
      <c r="C3783" s="127" t="s">
        <v>107</v>
      </c>
      <c r="D3783" s="127">
        <v>9</v>
      </c>
      <c r="E3783" s="127">
        <v>105.6</v>
      </c>
      <c r="F3783" s="127">
        <v>14.1</v>
      </c>
    </row>
    <row r="3784" spans="1:6" hidden="1" x14ac:dyDescent="0.25">
      <c r="A3784" s="127" t="s">
        <v>268</v>
      </c>
      <c r="B3784" s="127">
        <v>2015</v>
      </c>
      <c r="C3784" s="127" t="s">
        <v>108</v>
      </c>
      <c r="D3784" s="127">
        <v>10</v>
      </c>
      <c r="E3784" s="127">
        <v>187.3</v>
      </c>
      <c r="F3784" s="127">
        <v>1.7</v>
      </c>
    </row>
    <row r="3785" spans="1:6" hidden="1" x14ac:dyDescent="0.25">
      <c r="A3785" s="127" t="s">
        <v>268</v>
      </c>
      <c r="B3785" s="127">
        <v>2015</v>
      </c>
      <c r="C3785" s="127" t="s">
        <v>109</v>
      </c>
      <c r="D3785" s="127">
        <v>11</v>
      </c>
      <c r="E3785" s="127">
        <v>173.9</v>
      </c>
      <c r="F3785" s="127">
        <v>1.6</v>
      </c>
    </row>
    <row r="3786" spans="1:6" hidden="1" x14ac:dyDescent="0.25">
      <c r="A3786" s="127" t="s">
        <v>268</v>
      </c>
      <c r="B3786" s="127">
        <v>2015</v>
      </c>
      <c r="C3786" s="127" t="s">
        <v>110</v>
      </c>
      <c r="D3786" s="127">
        <v>12</v>
      </c>
      <c r="E3786" s="127">
        <v>255</v>
      </c>
      <c r="F3786" s="127">
        <v>0</v>
      </c>
    </row>
    <row r="3787" spans="1:6" hidden="1" x14ac:dyDescent="0.25">
      <c r="A3787" s="127" t="s">
        <v>269</v>
      </c>
      <c r="B3787" s="127">
        <v>2016</v>
      </c>
      <c r="C3787" s="127" t="s">
        <v>99</v>
      </c>
      <c r="D3787" s="127">
        <v>1</v>
      </c>
      <c r="E3787" s="127">
        <v>348.4</v>
      </c>
      <c r="F3787" s="127">
        <v>0</v>
      </c>
    </row>
    <row r="3788" spans="1:6" hidden="1" x14ac:dyDescent="0.25">
      <c r="A3788" s="127" t="s">
        <v>269</v>
      </c>
      <c r="B3788" s="127">
        <v>2016</v>
      </c>
      <c r="C3788" s="127" t="s">
        <v>100</v>
      </c>
      <c r="D3788" s="127">
        <v>2</v>
      </c>
      <c r="E3788" s="127">
        <v>321.2</v>
      </c>
      <c r="F3788" s="127">
        <v>0</v>
      </c>
    </row>
    <row r="3789" spans="1:6" hidden="1" x14ac:dyDescent="0.25">
      <c r="A3789" s="127" t="s">
        <v>269</v>
      </c>
      <c r="B3789" s="127">
        <v>2016</v>
      </c>
      <c r="C3789" s="127" t="s">
        <v>101</v>
      </c>
      <c r="D3789" s="127">
        <v>3</v>
      </c>
      <c r="E3789" s="127">
        <v>328.3</v>
      </c>
      <c r="F3789" s="127">
        <v>0</v>
      </c>
    </row>
    <row r="3790" spans="1:6" hidden="1" x14ac:dyDescent="0.25">
      <c r="A3790" s="127" t="s">
        <v>269</v>
      </c>
      <c r="B3790" s="127">
        <v>2016</v>
      </c>
      <c r="C3790" s="127" t="s">
        <v>102</v>
      </c>
      <c r="D3790" s="127">
        <v>4</v>
      </c>
      <c r="E3790" s="127">
        <v>252.6</v>
      </c>
      <c r="F3790" s="127">
        <v>1.7</v>
      </c>
    </row>
    <row r="3791" spans="1:6" hidden="1" x14ac:dyDescent="0.25">
      <c r="A3791" s="127" t="s">
        <v>269</v>
      </c>
      <c r="B3791" s="127">
        <v>2016</v>
      </c>
      <c r="C3791" s="127" t="s">
        <v>103</v>
      </c>
      <c r="D3791" s="127">
        <v>5</v>
      </c>
      <c r="E3791" s="127">
        <v>124.3</v>
      </c>
      <c r="F3791" s="127">
        <v>19.2</v>
      </c>
    </row>
    <row r="3792" spans="1:6" hidden="1" x14ac:dyDescent="0.25">
      <c r="A3792" s="127" t="s">
        <v>269</v>
      </c>
      <c r="B3792" s="127">
        <v>2016</v>
      </c>
      <c r="C3792" s="127" t="s">
        <v>104</v>
      </c>
      <c r="D3792" s="127">
        <v>6</v>
      </c>
      <c r="E3792" s="127">
        <v>47.7</v>
      </c>
      <c r="F3792" s="127">
        <v>41.9</v>
      </c>
    </row>
    <row r="3793" spans="1:6" hidden="1" x14ac:dyDescent="0.25">
      <c r="A3793" s="127" t="s">
        <v>269</v>
      </c>
      <c r="B3793" s="127">
        <v>2016</v>
      </c>
      <c r="C3793" s="127" t="s">
        <v>105</v>
      </c>
      <c r="D3793" s="127">
        <v>7</v>
      </c>
      <c r="E3793" s="127">
        <v>32.299999999999997</v>
      </c>
      <c r="F3793" s="127">
        <v>107.5</v>
      </c>
    </row>
    <row r="3794" spans="1:6" hidden="1" x14ac:dyDescent="0.25">
      <c r="A3794" s="127" t="s">
        <v>269</v>
      </c>
      <c r="B3794" s="127">
        <v>2016</v>
      </c>
      <c r="C3794" s="127" t="s">
        <v>106</v>
      </c>
      <c r="D3794" s="127">
        <v>8</v>
      </c>
      <c r="E3794" s="127">
        <v>33.799999999999997</v>
      </c>
      <c r="F3794" s="127">
        <v>130.30000000000001</v>
      </c>
    </row>
    <row r="3795" spans="1:6" hidden="1" x14ac:dyDescent="0.25">
      <c r="A3795" s="127" t="s">
        <v>269</v>
      </c>
      <c r="B3795" s="127">
        <v>2016</v>
      </c>
      <c r="C3795" s="127" t="s">
        <v>107</v>
      </c>
      <c r="D3795" s="127">
        <v>9</v>
      </c>
      <c r="E3795" s="127">
        <v>43.5</v>
      </c>
      <c r="F3795" s="127">
        <v>78.5</v>
      </c>
    </row>
    <row r="3796" spans="1:6" hidden="1" x14ac:dyDescent="0.25">
      <c r="A3796" s="127" t="s">
        <v>269</v>
      </c>
      <c r="B3796" s="127">
        <v>2016</v>
      </c>
      <c r="C3796" s="127" t="s">
        <v>108</v>
      </c>
      <c r="D3796" s="127">
        <v>10</v>
      </c>
      <c r="E3796" s="127">
        <v>202.6</v>
      </c>
      <c r="F3796" s="127">
        <v>2.1</v>
      </c>
    </row>
    <row r="3797" spans="1:6" hidden="1" x14ac:dyDescent="0.25">
      <c r="A3797" s="127" t="s">
        <v>269</v>
      </c>
      <c r="B3797" s="127">
        <v>2016</v>
      </c>
      <c r="C3797" s="127" t="s">
        <v>109</v>
      </c>
      <c r="D3797" s="127">
        <v>11</v>
      </c>
      <c r="E3797" s="127">
        <v>289.2</v>
      </c>
      <c r="F3797" s="127">
        <v>0</v>
      </c>
    </row>
    <row r="3798" spans="1:6" hidden="1" x14ac:dyDescent="0.25">
      <c r="A3798" s="127" t="s">
        <v>269</v>
      </c>
      <c r="B3798" s="127">
        <v>2016</v>
      </c>
      <c r="C3798" s="127" t="s">
        <v>110</v>
      </c>
      <c r="D3798" s="127">
        <v>12</v>
      </c>
      <c r="E3798" s="127">
        <v>370.4</v>
      </c>
      <c r="F3798" s="127">
        <v>0</v>
      </c>
    </row>
    <row r="3799" spans="1:6" hidden="1" x14ac:dyDescent="0.25">
      <c r="A3799" s="127" t="s">
        <v>267</v>
      </c>
      <c r="B3799" s="127">
        <v>2016</v>
      </c>
      <c r="C3799" s="127" t="s">
        <v>99</v>
      </c>
      <c r="D3799" s="127">
        <v>1</v>
      </c>
      <c r="E3799" s="127">
        <v>356.4</v>
      </c>
      <c r="F3799" s="127">
        <v>0</v>
      </c>
    </row>
    <row r="3800" spans="1:6" hidden="1" x14ac:dyDescent="0.25">
      <c r="A3800" s="127" t="s">
        <v>267</v>
      </c>
      <c r="B3800" s="127">
        <v>2016</v>
      </c>
      <c r="C3800" s="127" t="s">
        <v>100</v>
      </c>
      <c r="D3800" s="127">
        <v>2</v>
      </c>
      <c r="E3800" s="127">
        <v>331</v>
      </c>
      <c r="F3800" s="127">
        <v>0</v>
      </c>
    </row>
    <row r="3801" spans="1:6" hidden="1" x14ac:dyDescent="0.25">
      <c r="A3801" s="127" t="s">
        <v>267</v>
      </c>
      <c r="B3801" s="127">
        <v>2016</v>
      </c>
      <c r="C3801" s="127" t="s">
        <v>101</v>
      </c>
      <c r="D3801" s="127">
        <v>3</v>
      </c>
      <c r="E3801" s="127">
        <v>339.4</v>
      </c>
      <c r="F3801" s="127">
        <v>0</v>
      </c>
    </row>
    <row r="3802" spans="1:6" hidden="1" x14ac:dyDescent="0.25">
      <c r="A3802" s="127" t="s">
        <v>267</v>
      </c>
      <c r="B3802" s="127">
        <v>2016</v>
      </c>
      <c r="C3802" s="127" t="s">
        <v>102</v>
      </c>
      <c r="D3802" s="127">
        <v>4</v>
      </c>
      <c r="E3802" s="127">
        <v>268.2</v>
      </c>
      <c r="F3802" s="127">
        <v>0</v>
      </c>
    </row>
    <row r="3803" spans="1:6" hidden="1" x14ac:dyDescent="0.25">
      <c r="A3803" s="127" t="s">
        <v>267</v>
      </c>
      <c r="B3803" s="127">
        <v>2016</v>
      </c>
      <c r="C3803" s="127" t="s">
        <v>103</v>
      </c>
      <c r="D3803" s="127">
        <v>5</v>
      </c>
      <c r="E3803" s="127">
        <v>138.9</v>
      </c>
      <c r="F3803" s="127">
        <v>10.9</v>
      </c>
    </row>
    <row r="3804" spans="1:6" hidden="1" x14ac:dyDescent="0.25">
      <c r="A3804" s="127" t="s">
        <v>267</v>
      </c>
      <c r="B3804" s="127">
        <v>2016</v>
      </c>
      <c r="C3804" s="127" t="s">
        <v>104</v>
      </c>
      <c r="D3804" s="127">
        <v>6</v>
      </c>
      <c r="E3804" s="127">
        <v>61.1</v>
      </c>
      <c r="F3804" s="127">
        <v>30</v>
      </c>
    </row>
    <row r="3805" spans="1:6" hidden="1" x14ac:dyDescent="0.25">
      <c r="A3805" s="127" t="s">
        <v>267</v>
      </c>
      <c r="B3805" s="127">
        <v>2016</v>
      </c>
      <c r="C3805" s="127" t="s">
        <v>105</v>
      </c>
      <c r="D3805" s="127">
        <v>7</v>
      </c>
      <c r="E3805" s="127">
        <v>38.799999999999997</v>
      </c>
      <c r="F3805" s="127">
        <v>77.8</v>
      </c>
    </row>
    <row r="3806" spans="1:6" hidden="1" x14ac:dyDescent="0.25">
      <c r="A3806" s="127" t="s">
        <v>267</v>
      </c>
      <c r="B3806" s="127">
        <v>2016</v>
      </c>
      <c r="C3806" s="127" t="s">
        <v>106</v>
      </c>
      <c r="D3806" s="127">
        <v>8</v>
      </c>
      <c r="E3806" s="127">
        <v>34.700000000000003</v>
      </c>
      <c r="F3806" s="127">
        <v>106.1</v>
      </c>
    </row>
    <row r="3807" spans="1:6" hidden="1" x14ac:dyDescent="0.25">
      <c r="A3807" s="127" t="s">
        <v>267</v>
      </c>
      <c r="B3807" s="127">
        <v>2016</v>
      </c>
      <c r="C3807" s="127" t="s">
        <v>107</v>
      </c>
      <c r="D3807" s="127">
        <v>9</v>
      </c>
      <c r="E3807" s="127">
        <v>42.4</v>
      </c>
      <c r="F3807" s="127">
        <v>60.5</v>
      </c>
    </row>
    <row r="3808" spans="1:6" hidden="1" x14ac:dyDescent="0.25">
      <c r="A3808" s="127" t="s">
        <v>267</v>
      </c>
      <c r="B3808" s="127">
        <v>2016</v>
      </c>
      <c r="C3808" s="127" t="s">
        <v>108</v>
      </c>
      <c r="D3808" s="127">
        <v>10</v>
      </c>
      <c r="E3808" s="30">
        <v>121.4</v>
      </c>
      <c r="F3808" s="30">
        <v>7</v>
      </c>
    </row>
    <row r="3809" spans="1:6" hidden="1" x14ac:dyDescent="0.25">
      <c r="A3809" s="127" t="s">
        <v>267</v>
      </c>
      <c r="B3809" s="127">
        <v>2016</v>
      </c>
      <c r="C3809" s="127" t="s">
        <v>109</v>
      </c>
      <c r="D3809" s="127">
        <v>11</v>
      </c>
      <c r="E3809" s="30">
        <v>287.5</v>
      </c>
      <c r="F3809" s="30">
        <v>0</v>
      </c>
    </row>
    <row r="3810" spans="1:6" hidden="1" x14ac:dyDescent="0.25">
      <c r="A3810" s="127" t="s">
        <v>267</v>
      </c>
      <c r="B3810" s="127">
        <v>2016</v>
      </c>
      <c r="C3810" s="127" t="s">
        <v>110</v>
      </c>
      <c r="D3810" s="127">
        <v>12</v>
      </c>
      <c r="E3810" s="30">
        <v>349.3</v>
      </c>
      <c r="F3810" s="30">
        <v>0</v>
      </c>
    </row>
    <row r="3811" spans="1:6" hidden="1" x14ac:dyDescent="0.25">
      <c r="A3811" s="127" t="s">
        <v>268</v>
      </c>
      <c r="B3811" s="127">
        <v>2016</v>
      </c>
      <c r="C3811" s="127" t="s">
        <v>99</v>
      </c>
      <c r="D3811" s="127">
        <v>1</v>
      </c>
      <c r="E3811" s="127">
        <v>319.10000000000002</v>
      </c>
      <c r="F3811" s="127">
        <v>0</v>
      </c>
    </row>
    <row r="3812" spans="1:6" hidden="1" x14ac:dyDescent="0.25">
      <c r="A3812" s="127" t="s">
        <v>268</v>
      </c>
      <c r="B3812" s="127">
        <v>2016</v>
      </c>
      <c r="C3812" s="127" t="s">
        <v>100</v>
      </c>
      <c r="D3812" s="127">
        <v>2</v>
      </c>
      <c r="E3812" s="127">
        <v>312.8</v>
      </c>
      <c r="F3812" s="127">
        <v>0</v>
      </c>
    </row>
    <row r="3813" spans="1:6" hidden="1" x14ac:dyDescent="0.25">
      <c r="A3813" s="127" t="s">
        <v>268</v>
      </c>
      <c r="B3813" s="127">
        <v>2016</v>
      </c>
      <c r="C3813" s="127" t="s">
        <v>101</v>
      </c>
      <c r="D3813" s="127">
        <v>3</v>
      </c>
      <c r="E3813" s="127">
        <v>318.5</v>
      </c>
      <c r="F3813" s="127">
        <v>0</v>
      </c>
    </row>
    <row r="3814" spans="1:6" hidden="1" x14ac:dyDescent="0.25">
      <c r="A3814" s="127" t="s">
        <v>268</v>
      </c>
      <c r="B3814" s="127">
        <v>2016</v>
      </c>
      <c r="C3814" s="127" t="s">
        <v>102</v>
      </c>
      <c r="D3814" s="127">
        <v>4</v>
      </c>
      <c r="E3814" s="127">
        <v>250.2</v>
      </c>
      <c r="F3814" s="127">
        <v>0.1</v>
      </c>
    </row>
    <row r="3815" spans="1:6" hidden="1" x14ac:dyDescent="0.25">
      <c r="A3815" s="127" t="s">
        <v>268</v>
      </c>
      <c r="B3815" s="127">
        <v>2016</v>
      </c>
      <c r="C3815" s="127" t="s">
        <v>103</v>
      </c>
      <c r="D3815" s="127">
        <v>5</v>
      </c>
      <c r="E3815" s="127">
        <v>135.5</v>
      </c>
      <c r="F3815" s="127">
        <v>12.6</v>
      </c>
    </row>
    <row r="3816" spans="1:6" hidden="1" x14ac:dyDescent="0.25">
      <c r="A3816" s="127" t="s">
        <v>268</v>
      </c>
      <c r="B3816" s="127">
        <v>2016</v>
      </c>
      <c r="C3816" s="127" t="s">
        <v>104</v>
      </c>
      <c r="D3816" s="127">
        <v>6</v>
      </c>
      <c r="E3816" s="127">
        <v>56.3</v>
      </c>
      <c r="F3816" s="127">
        <v>33.5</v>
      </c>
    </row>
    <row r="3817" spans="1:6" hidden="1" x14ac:dyDescent="0.25">
      <c r="A3817" s="127" t="s">
        <v>268</v>
      </c>
      <c r="B3817" s="127">
        <v>2016</v>
      </c>
      <c r="C3817" s="127" t="s">
        <v>105</v>
      </c>
      <c r="D3817" s="127">
        <v>7</v>
      </c>
      <c r="E3817" s="127">
        <v>40</v>
      </c>
      <c r="F3817" s="127">
        <v>85.3</v>
      </c>
    </row>
    <row r="3818" spans="1:6" hidden="1" x14ac:dyDescent="0.25">
      <c r="A3818" s="127" t="s">
        <v>268</v>
      </c>
      <c r="B3818" s="127">
        <v>2016</v>
      </c>
      <c r="C3818" s="127" t="s">
        <v>106</v>
      </c>
      <c r="D3818" s="127">
        <v>8</v>
      </c>
      <c r="E3818" s="127">
        <v>31.6</v>
      </c>
      <c r="F3818" s="127">
        <v>116.7</v>
      </c>
    </row>
    <row r="3819" spans="1:6" hidden="1" x14ac:dyDescent="0.25">
      <c r="A3819" s="127" t="s">
        <v>268</v>
      </c>
      <c r="B3819" s="127">
        <v>2016</v>
      </c>
      <c r="C3819" s="127" t="s">
        <v>107</v>
      </c>
      <c r="D3819" s="127">
        <v>9</v>
      </c>
      <c r="E3819" s="127">
        <v>48</v>
      </c>
      <c r="F3819" s="127">
        <v>66.900000000000006</v>
      </c>
    </row>
    <row r="3820" spans="1:6" hidden="1" x14ac:dyDescent="0.25">
      <c r="A3820" s="127" t="s">
        <v>268</v>
      </c>
      <c r="B3820" s="127">
        <v>2016</v>
      </c>
      <c r="C3820" s="127" t="s">
        <v>108</v>
      </c>
      <c r="D3820" s="127">
        <v>10</v>
      </c>
      <c r="E3820" s="127">
        <v>182</v>
      </c>
      <c r="F3820" s="127">
        <v>2.8</v>
      </c>
    </row>
    <row r="3821" spans="1:6" hidden="1" x14ac:dyDescent="0.25">
      <c r="A3821" s="127" t="s">
        <v>268</v>
      </c>
      <c r="B3821" s="127">
        <v>2016</v>
      </c>
      <c r="C3821" s="127" t="s">
        <v>109</v>
      </c>
      <c r="D3821" s="127">
        <v>11</v>
      </c>
      <c r="E3821" s="127">
        <v>268.60000000000002</v>
      </c>
      <c r="F3821" s="127">
        <v>0.2</v>
      </c>
    </row>
    <row r="3822" spans="1:6" hidden="1" x14ac:dyDescent="0.25">
      <c r="A3822" s="127" t="s">
        <v>268</v>
      </c>
      <c r="B3822" s="127">
        <v>2016</v>
      </c>
      <c r="C3822" s="127" t="s">
        <v>110</v>
      </c>
      <c r="D3822" s="127">
        <v>12</v>
      </c>
      <c r="E3822" s="127">
        <v>343.6</v>
      </c>
      <c r="F3822" s="127">
        <v>0</v>
      </c>
    </row>
    <row r="3823" spans="1:6" hidden="1" x14ac:dyDescent="0.25">
      <c r="A3823" s="127" t="s">
        <v>269</v>
      </c>
      <c r="B3823" s="127">
        <v>2017</v>
      </c>
      <c r="C3823" s="127" t="s">
        <v>99</v>
      </c>
      <c r="D3823" s="127">
        <v>1</v>
      </c>
      <c r="E3823" s="127">
        <v>451.9</v>
      </c>
      <c r="F3823" s="127">
        <v>0</v>
      </c>
    </row>
    <row r="3824" spans="1:6" hidden="1" x14ac:dyDescent="0.25">
      <c r="A3824" s="127" t="s">
        <v>269</v>
      </c>
      <c r="B3824" s="127">
        <v>2017</v>
      </c>
      <c r="C3824" s="127" t="s">
        <v>100</v>
      </c>
      <c r="D3824" s="127">
        <v>2</v>
      </c>
      <c r="E3824" s="127">
        <v>287.8</v>
      </c>
      <c r="F3824" s="127">
        <v>0</v>
      </c>
    </row>
    <row r="3825" spans="1:6" hidden="1" x14ac:dyDescent="0.25">
      <c r="A3825" s="127" t="s">
        <v>269</v>
      </c>
      <c r="B3825" s="127">
        <v>2017</v>
      </c>
      <c r="C3825" s="127" t="s">
        <v>101</v>
      </c>
      <c r="D3825" s="127">
        <v>3</v>
      </c>
      <c r="E3825" s="127">
        <v>226.3</v>
      </c>
      <c r="F3825" s="127">
        <v>3.6</v>
      </c>
    </row>
    <row r="3826" spans="1:6" hidden="1" x14ac:dyDescent="0.25">
      <c r="A3826" s="127" t="s">
        <v>269</v>
      </c>
      <c r="B3826" s="127">
        <v>2017</v>
      </c>
      <c r="C3826" s="127" t="s">
        <v>102</v>
      </c>
      <c r="D3826" s="127">
        <v>4</v>
      </c>
      <c r="E3826" s="127">
        <v>227.8</v>
      </c>
      <c r="F3826" s="127">
        <v>5.6</v>
      </c>
    </row>
    <row r="3827" spans="1:6" hidden="1" x14ac:dyDescent="0.25">
      <c r="A3827" s="127" t="s">
        <v>269</v>
      </c>
      <c r="B3827" s="127">
        <v>2017</v>
      </c>
      <c r="C3827" s="127" t="s">
        <v>103</v>
      </c>
      <c r="D3827" s="127">
        <v>5</v>
      </c>
      <c r="E3827" s="127">
        <v>98</v>
      </c>
      <c r="F3827" s="127">
        <v>48.6</v>
      </c>
    </row>
    <row r="3828" spans="1:6" hidden="1" x14ac:dyDescent="0.25">
      <c r="A3828" s="127" t="s">
        <v>269</v>
      </c>
      <c r="B3828" s="127">
        <v>2017</v>
      </c>
      <c r="C3828" s="127" t="s">
        <v>104</v>
      </c>
      <c r="D3828" s="127">
        <v>6</v>
      </c>
      <c r="E3828" s="127">
        <v>30.9</v>
      </c>
      <c r="F3828" s="127">
        <v>118</v>
      </c>
    </row>
    <row r="3829" spans="1:6" hidden="1" x14ac:dyDescent="0.25">
      <c r="A3829" s="127" t="s">
        <v>269</v>
      </c>
      <c r="B3829" s="127">
        <v>2017</v>
      </c>
      <c r="C3829" s="127" t="s">
        <v>105</v>
      </c>
      <c r="D3829" s="127">
        <v>7</v>
      </c>
      <c r="E3829" s="127">
        <v>23.6</v>
      </c>
      <c r="F3829" s="127">
        <v>112.6</v>
      </c>
    </row>
    <row r="3830" spans="1:6" hidden="1" x14ac:dyDescent="0.25">
      <c r="A3830" s="127" t="s">
        <v>269</v>
      </c>
      <c r="B3830" s="127">
        <v>2017</v>
      </c>
      <c r="C3830" s="127" t="s">
        <v>106</v>
      </c>
      <c r="D3830" s="127">
        <v>8</v>
      </c>
      <c r="E3830" s="127">
        <v>32.200000000000003</v>
      </c>
      <c r="F3830" s="127">
        <v>99.9</v>
      </c>
    </row>
    <row r="3831" spans="1:6" hidden="1" x14ac:dyDescent="0.25">
      <c r="A3831" s="127" t="s">
        <v>269</v>
      </c>
      <c r="B3831" s="127">
        <v>2017</v>
      </c>
      <c r="C3831" s="127" t="s">
        <v>107</v>
      </c>
      <c r="D3831" s="127">
        <v>9</v>
      </c>
      <c r="E3831" s="127">
        <v>82.3</v>
      </c>
      <c r="F3831" s="127">
        <v>19.5</v>
      </c>
    </row>
    <row r="3832" spans="1:6" hidden="1" x14ac:dyDescent="0.25">
      <c r="A3832" s="127" t="s">
        <v>269</v>
      </c>
      <c r="B3832" s="127">
        <v>2017</v>
      </c>
      <c r="C3832" s="127" t="s">
        <v>108</v>
      </c>
      <c r="D3832" s="127">
        <v>10</v>
      </c>
      <c r="E3832" s="127">
        <v>126.4</v>
      </c>
      <c r="F3832" s="127">
        <v>13.7</v>
      </c>
    </row>
    <row r="3833" spans="1:6" hidden="1" x14ac:dyDescent="0.25">
      <c r="A3833" s="127" t="s">
        <v>269</v>
      </c>
      <c r="B3833" s="127">
        <v>2017</v>
      </c>
      <c r="C3833" s="127" t="s">
        <v>109</v>
      </c>
      <c r="D3833" s="127">
        <v>11</v>
      </c>
      <c r="E3833" s="127">
        <v>289.89999999999998</v>
      </c>
      <c r="F3833" s="127">
        <v>0</v>
      </c>
    </row>
    <row r="3834" spans="1:6" hidden="1" x14ac:dyDescent="0.25">
      <c r="A3834" s="127" t="s">
        <v>269</v>
      </c>
      <c r="B3834" s="127">
        <v>2017</v>
      </c>
      <c r="C3834" s="127" t="s">
        <v>110</v>
      </c>
      <c r="D3834" s="127">
        <v>12</v>
      </c>
      <c r="E3834" s="127">
        <v>366.2</v>
      </c>
      <c r="F3834" s="127">
        <v>0</v>
      </c>
    </row>
    <row r="3835" spans="1:6" hidden="1" x14ac:dyDescent="0.25">
      <c r="A3835" s="127" t="s">
        <v>267</v>
      </c>
      <c r="B3835" s="127">
        <v>2017</v>
      </c>
      <c r="C3835" s="127" t="s">
        <v>99</v>
      </c>
      <c r="D3835" s="127">
        <v>1</v>
      </c>
      <c r="E3835" s="30">
        <v>300.10000000000002</v>
      </c>
      <c r="F3835" s="30">
        <v>0</v>
      </c>
    </row>
    <row r="3836" spans="1:6" hidden="1" x14ac:dyDescent="0.25">
      <c r="A3836" s="127" t="s">
        <v>267</v>
      </c>
      <c r="B3836" s="127">
        <v>2017</v>
      </c>
      <c r="C3836" s="127" t="s">
        <v>100</v>
      </c>
      <c r="D3836" s="127">
        <v>2</v>
      </c>
      <c r="E3836" s="30">
        <v>407.3</v>
      </c>
      <c r="F3836" s="30">
        <v>0</v>
      </c>
    </row>
    <row r="3837" spans="1:6" hidden="1" x14ac:dyDescent="0.25">
      <c r="A3837" s="127" t="s">
        <v>267</v>
      </c>
      <c r="B3837" s="127">
        <v>2017</v>
      </c>
      <c r="C3837" s="127" t="s">
        <v>101</v>
      </c>
      <c r="D3837" s="127">
        <v>3</v>
      </c>
      <c r="E3837" s="30">
        <v>320</v>
      </c>
      <c r="F3837" s="30">
        <v>0</v>
      </c>
    </row>
    <row r="3838" spans="1:6" hidden="1" x14ac:dyDescent="0.25">
      <c r="A3838" s="127" t="s">
        <v>267</v>
      </c>
      <c r="B3838" s="127">
        <v>2017</v>
      </c>
      <c r="C3838" s="127" t="s">
        <v>102</v>
      </c>
      <c r="D3838" s="127">
        <v>4</v>
      </c>
      <c r="E3838" s="30">
        <v>169</v>
      </c>
      <c r="F3838" s="30">
        <v>15.5</v>
      </c>
    </row>
    <row r="3839" spans="1:6" hidden="1" x14ac:dyDescent="0.25">
      <c r="A3839" s="127" t="s">
        <v>267</v>
      </c>
      <c r="B3839" s="127">
        <v>2017</v>
      </c>
      <c r="C3839" s="127" t="s">
        <v>103</v>
      </c>
      <c r="D3839" s="127">
        <v>5</v>
      </c>
      <c r="E3839" s="127">
        <v>38.299999999999997</v>
      </c>
      <c r="F3839" s="127">
        <v>29.8</v>
      </c>
    </row>
    <row r="3840" spans="1:6" hidden="1" x14ac:dyDescent="0.25">
      <c r="A3840" s="127" t="s">
        <v>267</v>
      </c>
      <c r="B3840" s="127">
        <v>2017</v>
      </c>
      <c r="C3840" s="127" t="s">
        <v>104</v>
      </c>
      <c r="D3840" s="127">
        <v>6</v>
      </c>
      <c r="E3840" s="127">
        <v>45.2</v>
      </c>
      <c r="F3840" s="127">
        <v>90</v>
      </c>
    </row>
    <row r="3841" spans="1:6" hidden="1" x14ac:dyDescent="0.25">
      <c r="A3841" s="127" t="s">
        <v>267</v>
      </c>
      <c r="B3841" s="127">
        <v>2017</v>
      </c>
      <c r="C3841" s="127" t="s">
        <v>105</v>
      </c>
      <c r="D3841" s="127">
        <v>7</v>
      </c>
      <c r="E3841" s="127">
        <v>29.9</v>
      </c>
      <c r="F3841" s="127">
        <v>88</v>
      </c>
    </row>
    <row r="3842" spans="1:6" hidden="1" x14ac:dyDescent="0.25">
      <c r="A3842" s="127" t="s">
        <v>267</v>
      </c>
      <c r="B3842" s="127">
        <v>2017</v>
      </c>
      <c r="C3842" s="127" t="s">
        <v>106</v>
      </c>
      <c r="D3842" s="127">
        <v>8</v>
      </c>
      <c r="E3842" s="127">
        <v>38.5</v>
      </c>
      <c r="F3842" s="127">
        <v>75.5</v>
      </c>
    </row>
    <row r="3843" spans="1:6" hidden="1" x14ac:dyDescent="0.25">
      <c r="A3843" s="127" t="s">
        <v>267</v>
      </c>
      <c r="B3843" s="127">
        <v>2017</v>
      </c>
      <c r="C3843" s="127" t="s">
        <v>107</v>
      </c>
      <c r="D3843" s="127">
        <v>9</v>
      </c>
      <c r="E3843" s="127">
        <v>98</v>
      </c>
      <c r="F3843" s="127">
        <v>10.7</v>
      </c>
    </row>
    <row r="3844" spans="1:6" hidden="1" x14ac:dyDescent="0.25">
      <c r="A3844" s="127" t="s">
        <v>267</v>
      </c>
      <c r="B3844" s="127">
        <v>2017</v>
      </c>
      <c r="C3844" s="127" t="s">
        <v>108</v>
      </c>
      <c r="D3844" s="127">
        <v>10</v>
      </c>
      <c r="E3844" s="127">
        <v>130.6</v>
      </c>
      <c r="F3844" s="127">
        <v>7.7</v>
      </c>
    </row>
    <row r="3845" spans="1:6" hidden="1" x14ac:dyDescent="0.25">
      <c r="A3845" s="127" t="s">
        <v>267</v>
      </c>
      <c r="B3845" s="127">
        <v>2017</v>
      </c>
      <c r="C3845" s="127" t="s">
        <v>109</v>
      </c>
      <c r="D3845" s="127">
        <v>11</v>
      </c>
      <c r="E3845" s="127">
        <v>297.2</v>
      </c>
      <c r="F3845" s="127">
        <v>0</v>
      </c>
    </row>
    <row r="3846" spans="1:6" hidden="1" x14ac:dyDescent="0.25">
      <c r="A3846" s="127" t="s">
        <v>267</v>
      </c>
      <c r="B3846" s="127">
        <v>2017</v>
      </c>
      <c r="C3846" s="127" t="s">
        <v>110</v>
      </c>
      <c r="D3846" s="127">
        <v>12</v>
      </c>
      <c r="E3846" s="127">
        <v>355.5</v>
      </c>
      <c r="F3846" s="127">
        <v>0</v>
      </c>
    </row>
    <row r="3847" spans="1:6" hidden="1" x14ac:dyDescent="0.25">
      <c r="A3847" s="127" t="s">
        <v>268</v>
      </c>
      <c r="B3847" s="127">
        <v>2017</v>
      </c>
      <c r="C3847" s="127" t="s">
        <v>99</v>
      </c>
      <c r="D3847" s="127">
        <v>1</v>
      </c>
      <c r="E3847" s="127">
        <v>439.4</v>
      </c>
      <c r="F3847" s="127">
        <v>0</v>
      </c>
    </row>
    <row r="3848" spans="1:6" hidden="1" x14ac:dyDescent="0.25">
      <c r="A3848" s="127" t="s">
        <v>268</v>
      </c>
      <c r="B3848" s="127">
        <v>2017</v>
      </c>
      <c r="C3848" s="127" t="s">
        <v>100</v>
      </c>
      <c r="D3848" s="127">
        <v>2</v>
      </c>
      <c r="E3848" s="127">
        <v>280.60000000000002</v>
      </c>
      <c r="F3848" s="127">
        <v>0</v>
      </c>
    </row>
    <row r="3849" spans="1:6" hidden="1" x14ac:dyDescent="0.25">
      <c r="A3849" s="127" t="s">
        <v>268</v>
      </c>
      <c r="B3849" s="127">
        <v>2017</v>
      </c>
      <c r="C3849" s="127" t="s">
        <v>101</v>
      </c>
      <c r="D3849" s="127">
        <v>3</v>
      </c>
      <c r="E3849" s="127">
        <v>237</v>
      </c>
      <c r="F3849" s="127">
        <v>2.2999999999999998</v>
      </c>
    </row>
    <row r="3850" spans="1:6" hidden="1" x14ac:dyDescent="0.25">
      <c r="A3850" s="127" t="s">
        <v>268</v>
      </c>
      <c r="B3850" s="127">
        <v>2017</v>
      </c>
      <c r="C3850" s="127" t="s">
        <v>102</v>
      </c>
      <c r="D3850" s="127">
        <v>4</v>
      </c>
      <c r="E3850" s="127">
        <v>230.4</v>
      </c>
      <c r="F3850" s="127">
        <v>5.3</v>
      </c>
    </row>
    <row r="3851" spans="1:6" hidden="1" x14ac:dyDescent="0.25">
      <c r="A3851" s="127" t="s">
        <v>268</v>
      </c>
      <c r="B3851" s="127">
        <v>2017</v>
      </c>
      <c r="C3851" s="127" t="s">
        <v>103</v>
      </c>
      <c r="D3851" s="127">
        <v>5</v>
      </c>
      <c r="E3851" s="127">
        <v>108.4</v>
      </c>
      <c r="F3851" s="127">
        <v>45.9</v>
      </c>
    </row>
    <row r="3852" spans="1:6" hidden="1" x14ac:dyDescent="0.25">
      <c r="A3852" s="127" t="s">
        <v>268</v>
      </c>
      <c r="B3852" s="127">
        <v>2017</v>
      </c>
      <c r="C3852" s="127" t="s">
        <v>104</v>
      </c>
      <c r="D3852" s="127">
        <v>6</v>
      </c>
      <c r="E3852" s="127">
        <v>43.3</v>
      </c>
      <c r="F3852" s="127">
        <v>86.5</v>
      </c>
    </row>
    <row r="3853" spans="1:6" hidden="1" x14ac:dyDescent="0.25">
      <c r="A3853" s="127" t="s">
        <v>268</v>
      </c>
      <c r="B3853" s="127">
        <v>2017</v>
      </c>
      <c r="C3853" s="127" t="s">
        <v>105</v>
      </c>
      <c r="D3853" s="127">
        <v>7</v>
      </c>
      <c r="E3853" s="127">
        <v>26.9</v>
      </c>
      <c r="F3853" s="127">
        <v>88.7</v>
      </c>
    </row>
    <row r="3854" spans="1:6" hidden="1" x14ac:dyDescent="0.25">
      <c r="A3854" s="127" t="s">
        <v>268</v>
      </c>
      <c r="B3854" s="127">
        <v>2017</v>
      </c>
      <c r="C3854" s="127" t="s">
        <v>106</v>
      </c>
      <c r="D3854" s="127">
        <v>8</v>
      </c>
      <c r="E3854" s="127">
        <v>41.8</v>
      </c>
      <c r="F3854" s="127">
        <v>85</v>
      </c>
    </row>
    <row r="3855" spans="1:6" hidden="1" x14ac:dyDescent="0.25">
      <c r="A3855" s="127" t="s">
        <v>268</v>
      </c>
      <c r="B3855" s="127">
        <v>2017</v>
      </c>
      <c r="C3855" s="127" t="s">
        <v>107</v>
      </c>
      <c r="D3855" s="127">
        <v>9</v>
      </c>
      <c r="E3855" s="127">
        <v>93.4</v>
      </c>
      <c r="F3855" s="127">
        <v>18.600000000000001</v>
      </c>
    </row>
    <row r="3856" spans="1:6" hidden="1" x14ac:dyDescent="0.25">
      <c r="A3856" s="127" t="s">
        <v>268</v>
      </c>
      <c r="B3856" s="127">
        <v>2017</v>
      </c>
      <c r="C3856" s="127" t="s">
        <v>108</v>
      </c>
      <c r="D3856" s="127">
        <v>10</v>
      </c>
      <c r="E3856" s="127">
        <v>111.1</v>
      </c>
      <c r="F3856" s="127">
        <v>16.100000000000001</v>
      </c>
    </row>
    <row r="3857" spans="1:6" hidden="1" x14ac:dyDescent="0.25">
      <c r="A3857" s="127" t="s">
        <v>268</v>
      </c>
      <c r="B3857" s="127">
        <v>2017</v>
      </c>
      <c r="C3857" s="127" t="s">
        <v>109</v>
      </c>
      <c r="D3857" s="127">
        <v>11</v>
      </c>
      <c r="E3857" s="127">
        <v>287</v>
      </c>
      <c r="F3857" s="127">
        <v>0.4</v>
      </c>
    </row>
    <row r="3858" spans="1:6" hidden="1" x14ac:dyDescent="0.25">
      <c r="A3858" s="127" t="s">
        <v>268</v>
      </c>
      <c r="B3858" s="127">
        <v>2017</v>
      </c>
      <c r="C3858" s="127" t="s">
        <v>110</v>
      </c>
      <c r="D3858" s="127">
        <v>12</v>
      </c>
      <c r="E3858" s="127">
        <v>354.1</v>
      </c>
      <c r="F3858" s="127">
        <v>0</v>
      </c>
    </row>
    <row r="3859" spans="1:6" hidden="1" x14ac:dyDescent="0.25">
      <c r="A3859" s="127" t="s">
        <v>269</v>
      </c>
      <c r="B3859" s="127">
        <v>2018</v>
      </c>
      <c r="C3859" s="127" t="s">
        <v>99</v>
      </c>
      <c r="D3859" s="127">
        <v>1</v>
      </c>
      <c r="E3859" s="127">
        <v>298.60000000000002</v>
      </c>
      <c r="F3859" s="127">
        <v>0</v>
      </c>
    </row>
    <row r="3860" spans="1:6" hidden="1" x14ac:dyDescent="0.25">
      <c r="A3860" s="127" t="s">
        <v>269</v>
      </c>
      <c r="B3860" s="127">
        <v>2018</v>
      </c>
      <c r="C3860" s="127" t="s">
        <v>100</v>
      </c>
      <c r="D3860" s="127">
        <v>2</v>
      </c>
      <c r="E3860" s="127">
        <v>415.2</v>
      </c>
      <c r="F3860" s="127">
        <v>0</v>
      </c>
    </row>
    <row r="3861" spans="1:6" hidden="1" x14ac:dyDescent="0.25">
      <c r="A3861" s="127" t="s">
        <v>269</v>
      </c>
      <c r="B3861" s="127">
        <v>2018</v>
      </c>
      <c r="C3861" s="127" t="s">
        <v>101</v>
      </c>
      <c r="D3861" s="127">
        <v>3</v>
      </c>
      <c r="E3861" s="127">
        <v>305.39999999999998</v>
      </c>
      <c r="F3861" s="127">
        <v>0</v>
      </c>
    </row>
    <row r="3862" spans="1:6" hidden="1" x14ac:dyDescent="0.25">
      <c r="A3862" s="127" t="s">
        <v>269</v>
      </c>
      <c r="B3862" s="127">
        <v>2018</v>
      </c>
      <c r="C3862" s="127" t="s">
        <v>102</v>
      </c>
      <c r="D3862" s="127">
        <v>4</v>
      </c>
      <c r="E3862" s="127">
        <v>152.19999999999999</v>
      </c>
      <c r="F3862" s="127">
        <v>20.3</v>
      </c>
    </row>
    <row r="3863" spans="1:6" hidden="1" x14ac:dyDescent="0.25">
      <c r="A3863" s="127" t="s">
        <v>269</v>
      </c>
      <c r="B3863" s="127">
        <v>2018</v>
      </c>
      <c r="C3863" s="127" t="s">
        <v>103</v>
      </c>
      <c r="D3863" s="127">
        <v>5</v>
      </c>
      <c r="E3863" s="127">
        <v>95.8</v>
      </c>
      <c r="F3863" s="127">
        <v>49</v>
      </c>
    </row>
    <row r="3864" spans="1:6" hidden="1" x14ac:dyDescent="0.25">
      <c r="A3864" s="127" t="s">
        <v>269</v>
      </c>
      <c r="B3864" s="127">
        <v>2018</v>
      </c>
      <c r="C3864" s="127" t="s">
        <v>104</v>
      </c>
      <c r="D3864" s="127">
        <v>6</v>
      </c>
      <c r="E3864" s="127">
        <v>25.4</v>
      </c>
      <c r="F3864" s="127">
        <v>82.1</v>
      </c>
    </row>
    <row r="3865" spans="1:6" hidden="1" x14ac:dyDescent="0.25">
      <c r="A3865" s="127" t="s">
        <v>269</v>
      </c>
      <c r="B3865" s="127">
        <v>2018</v>
      </c>
      <c r="C3865" s="127" t="s">
        <v>105</v>
      </c>
      <c r="D3865" s="127">
        <v>7</v>
      </c>
      <c r="E3865" s="127">
        <v>5.9</v>
      </c>
      <c r="F3865" s="127">
        <v>169</v>
      </c>
    </row>
    <row r="3866" spans="1:6" hidden="1" x14ac:dyDescent="0.25">
      <c r="A3866" s="127" t="s">
        <v>269</v>
      </c>
      <c r="B3866" s="127">
        <v>2018</v>
      </c>
      <c r="C3866" s="127" t="s">
        <v>106</v>
      </c>
      <c r="D3866" s="127">
        <v>8</v>
      </c>
      <c r="E3866" s="127">
        <v>26</v>
      </c>
      <c r="F3866" s="127">
        <v>126</v>
      </c>
    </row>
    <row r="3867" spans="1:6" hidden="1" x14ac:dyDescent="0.25">
      <c r="A3867" s="127" t="s">
        <v>269</v>
      </c>
      <c r="B3867" s="127">
        <v>2018</v>
      </c>
      <c r="C3867" s="127" t="s">
        <v>107</v>
      </c>
      <c r="D3867" s="127">
        <v>9</v>
      </c>
      <c r="E3867" s="127">
        <v>73.599999999999994</v>
      </c>
      <c r="F3867" s="127">
        <v>59.5</v>
      </c>
    </row>
    <row r="3868" spans="1:6" hidden="1" x14ac:dyDescent="0.25">
      <c r="A3868" s="127" t="s">
        <v>269</v>
      </c>
      <c r="B3868" s="127">
        <v>2018</v>
      </c>
      <c r="C3868" s="127" t="s">
        <v>108</v>
      </c>
      <c r="D3868" s="127">
        <v>10</v>
      </c>
      <c r="E3868" s="127">
        <v>157.5</v>
      </c>
      <c r="F3868" s="127">
        <v>23.6</v>
      </c>
    </row>
    <row r="3869" spans="1:6" hidden="1" x14ac:dyDescent="0.25">
      <c r="A3869" s="127" t="s">
        <v>269</v>
      </c>
      <c r="B3869" s="127">
        <v>2018</v>
      </c>
      <c r="C3869" s="127" t="s">
        <v>109</v>
      </c>
      <c r="D3869" s="127">
        <v>11</v>
      </c>
      <c r="E3869" s="127">
        <v>278</v>
      </c>
      <c r="F3869" s="127">
        <v>0</v>
      </c>
    </row>
    <row r="3870" spans="1:6" hidden="1" x14ac:dyDescent="0.25">
      <c r="A3870" s="127" t="s">
        <v>269</v>
      </c>
      <c r="B3870" s="127">
        <v>2018</v>
      </c>
      <c r="C3870" s="127" t="s">
        <v>110</v>
      </c>
      <c r="D3870" s="127">
        <v>12</v>
      </c>
      <c r="E3870" s="127">
        <v>319.2</v>
      </c>
      <c r="F3870" s="127">
        <v>0</v>
      </c>
    </row>
    <row r="3871" spans="1:6" hidden="1" x14ac:dyDescent="0.25">
      <c r="A3871" s="127" t="s">
        <v>267</v>
      </c>
      <c r="B3871" s="127">
        <v>2018</v>
      </c>
      <c r="C3871" s="127" t="s">
        <v>99</v>
      </c>
      <c r="D3871" s="127">
        <v>1</v>
      </c>
      <c r="E3871" s="127">
        <v>306.2</v>
      </c>
      <c r="F3871" s="127">
        <v>0</v>
      </c>
    </row>
    <row r="3872" spans="1:6" hidden="1" x14ac:dyDescent="0.25">
      <c r="A3872" s="127" t="s">
        <v>267</v>
      </c>
      <c r="B3872" s="127">
        <v>2018</v>
      </c>
      <c r="C3872" s="127" t="s">
        <v>100</v>
      </c>
      <c r="D3872" s="127">
        <v>2</v>
      </c>
      <c r="E3872" s="127">
        <v>410.7</v>
      </c>
      <c r="F3872" s="127">
        <v>0</v>
      </c>
    </row>
    <row r="3873" spans="1:6" hidden="1" x14ac:dyDescent="0.25">
      <c r="A3873" s="127" t="s">
        <v>267</v>
      </c>
      <c r="B3873" s="127">
        <v>2018</v>
      </c>
      <c r="C3873" s="127" t="s">
        <v>101</v>
      </c>
      <c r="D3873" s="127">
        <v>3</v>
      </c>
      <c r="E3873" s="127">
        <v>304.10000000000002</v>
      </c>
      <c r="F3873" s="127">
        <v>0</v>
      </c>
    </row>
    <row r="3874" spans="1:6" hidden="1" x14ac:dyDescent="0.25">
      <c r="A3874" s="127" t="s">
        <v>267</v>
      </c>
      <c r="B3874" s="127">
        <v>2018</v>
      </c>
      <c r="C3874" s="127" t="s">
        <v>102</v>
      </c>
      <c r="D3874" s="127">
        <v>4</v>
      </c>
      <c r="E3874" s="127">
        <v>179.2</v>
      </c>
      <c r="F3874" s="127">
        <v>13</v>
      </c>
    </row>
    <row r="3875" spans="1:6" hidden="1" x14ac:dyDescent="0.25">
      <c r="A3875" s="127" t="s">
        <v>267</v>
      </c>
      <c r="B3875" s="127">
        <v>2018</v>
      </c>
      <c r="C3875" s="127" t="s">
        <v>103</v>
      </c>
      <c r="D3875" s="127">
        <v>5</v>
      </c>
      <c r="E3875" s="127">
        <v>114.1</v>
      </c>
      <c r="F3875" s="127">
        <v>35.700000000000003</v>
      </c>
    </row>
    <row r="3876" spans="1:6" hidden="1" x14ac:dyDescent="0.25">
      <c r="A3876" s="127" t="s">
        <v>267</v>
      </c>
      <c r="B3876" s="127">
        <v>2018</v>
      </c>
      <c r="C3876" s="127" t="s">
        <v>104</v>
      </c>
      <c r="D3876" s="127">
        <v>6</v>
      </c>
      <c r="E3876" s="127">
        <v>36.299999999999997</v>
      </c>
      <c r="F3876" s="127">
        <v>64.099999999999994</v>
      </c>
    </row>
    <row r="3877" spans="1:6" hidden="1" x14ac:dyDescent="0.25">
      <c r="A3877" s="127" t="s">
        <v>267</v>
      </c>
      <c r="B3877" s="127">
        <v>2018</v>
      </c>
      <c r="C3877" s="127" t="s">
        <v>105</v>
      </c>
      <c r="D3877" s="127">
        <v>7</v>
      </c>
      <c r="E3877" s="127">
        <v>11.8</v>
      </c>
      <c r="F3877" s="127">
        <v>127.2</v>
      </c>
    </row>
    <row r="3878" spans="1:6" hidden="1" x14ac:dyDescent="0.25">
      <c r="A3878" s="127" t="s">
        <v>267</v>
      </c>
      <c r="B3878" s="127">
        <v>2018</v>
      </c>
      <c r="C3878" s="127" t="s">
        <v>106</v>
      </c>
      <c r="D3878" s="127">
        <v>8</v>
      </c>
      <c r="E3878" s="127">
        <v>33.799999999999997</v>
      </c>
      <c r="F3878" s="127">
        <v>97.1</v>
      </c>
    </row>
    <row r="3879" spans="1:6" hidden="1" x14ac:dyDescent="0.25">
      <c r="A3879" s="127" t="s">
        <v>267</v>
      </c>
      <c r="B3879" s="127">
        <v>2018</v>
      </c>
      <c r="C3879" s="127" t="s">
        <v>107</v>
      </c>
      <c r="D3879" s="127">
        <v>9</v>
      </c>
      <c r="E3879" s="127">
        <v>76.2</v>
      </c>
      <c r="F3879" s="127">
        <v>47.9</v>
      </c>
    </row>
    <row r="3880" spans="1:6" hidden="1" x14ac:dyDescent="0.25">
      <c r="A3880" s="127" t="s">
        <v>267</v>
      </c>
      <c r="B3880" s="127">
        <v>2018</v>
      </c>
      <c r="C3880" s="127" t="s">
        <v>108</v>
      </c>
      <c r="D3880" s="127">
        <v>10</v>
      </c>
      <c r="E3880" s="127">
        <v>160.80000000000001</v>
      </c>
      <c r="F3880" s="127">
        <v>14.7</v>
      </c>
    </row>
    <row r="3881" spans="1:6" hidden="1" x14ac:dyDescent="0.25">
      <c r="A3881" s="127" t="s">
        <v>267</v>
      </c>
      <c r="B3881" s="127">
        <v>2018</v>
      </c>
      <c r="C3881" s="127" t="s">
        <v>109</v>
      </c>
      <c r="D3881" s="127">
        <v>11</v>
      </c>
      <c r="E3881" s="127">
        <v>291.39999999999998</v>
      </c>
      <c r="F3881" s="127">
        <v>0</v>
      </c>
    </row>
    <row r="3882" spans="1:6" hidden="1" x14ac:dyDescent="0.25">
      <c r="A3882" s="127" t="s">
        <v>267</v>
      </c>
      <c r="B3882" s="127">
        <v>2018</v>
      </c>
      <c r="C3882" s="127" t="s">
        <v>110</v>
      </c>
      <c r="D3882" s="127">
        <v>12</v>
      </c>
      <c r="E3882" s="127">
        <v>317.5</v>
      </c>
      <c r="F3882" s="127">
        <v>0</v>
      </c>
    </row>
    <row r="3883" spans="1:6" hidden="1" x14ac:dyDescent="0.25">
      <c r="A3883" s="127" t="s">
        <v>268</v>
      </c>
      <c r="B3883" s="127">
        <v>2018</v>
      </c>
      <c r="C3883" s="127" t="s">
        <v>99</v>
      </c>
      <c r="D3883" s="127">
        <v>1</v>
      </c>
      <c r="E3883" s="127">
        <v>286.5</v>
      </c>
      <c r="F3883" s="127">
        <v>0</v>
      </c>
    </row>
    <row r="3884" spans="1:6" hidden="1" x14ac:dyDescent="0.25">
      <c r="A3884" s="127" t="s">
        <v>268</v>
      </c>
      <c r="B3884" s="127">
        <v>2018</v>
      </c>
      <c r="C3884" s="127" t="s">
        <v>100</v>
      </c>
      <c r="D3884" s="127">
        <v>2</v>
      </c>
      <c r="E3884" s="127">
        <v>390.6</v>
      </c>
      <c r="F3884" s="127">
        <v>0</v>
      </c>
    </row>
    <row r="3885" spans="1:6" hidden="1" x14ac:dyDescent="0.25">
      <c r="A3885" s="127" t="s">
        <v>268</v>
      </c>
      <c r="B3885" s="127">
        <v>2018</v>
      </c>
      <c r="C3885" s="127" t="s">
        <v>101</v>
      </c>
      <c r="D3885" s="127">
        <v>3</v>
      </c>
      <c r="E3885" s="127">
        <v>307.39999999999998</v>
      </c>
      <c r="F3885" s="127">
        <v>0</v>
      </c>
    </row>
    <row r="3886" spans="1:6" hidden="1" x14ac:dyDescent="0.25">
      <c r="A3886" s="127" t="s">
        <v>268</v>
      </c>
      <c r="B3886" s="127">
        <v>2018</v>
      </c>
      <c r="C3886" s="127" t="s">
        <v>102</v>
      </c>
      <c r="D3886" s="127">
        <v>4</v>
      </c>
      <c r="E3886" s="127">
        <v>165.6</v>
      </c>
      <c r="F3886" s="127">
        <v>12.2</v>
      </c>
    </row>
    <row r="3887" spans="1:6" hidden="1" x14ac:dyDescent="0.25">
      <c r="A3887" s="127" t="s">
        <v>268</v>
      </c>
      <c r="B3887" s="127">
        <v>2018</v>
      </c>
      <c r="C3887" s="127" t="s">
        <v>103</v>
      </c>
      <c r="D3887" s="127">
        <v>5</v>
      </c>
      <c r="E3887" s="127">
        <v>108.2</v>
      </c>
      <c r="F3887" s="127">
        <v>32</v>
      </c>
    </row>
    <row r="3888" spans="1:6" hidden="1" x14ac:dyDescent="0.25">
      <c r="A3888" s="127" t="s">
        <v>268</v>
      </c>
      <c r="B3888" s="127">
        <v>2018</v>
      </c>
      <c r="C3888" s="127" t="s">
        <v>104</v>
      </c>
      <c r="D3888" s="127">
        <v>6</v>
      </c>
      <c r="E3888" s="127">
        <v>30.5</v>
      </c>
      <c r="F3888" s="127">
        <v>77.5</v>
      </c>
    </row>
    <row r="3889" spans="1:6" hidden="1" x14ac:dyDescent="0.25">
      <c r="A3889" s="127" t="s">
        <v>268</v>
      </c>
      <c r="B3889" s="127">
        <v>2018</v>
      </c>
      <c r="C3889" s="127" t="s">
        <v>105</v>
      </c>
      <c r="D3889" s="127">
        <v>7</v>
      </c>
      <c r="E3889" s="127">
        <v>14.6</v>
      </c>
      <c r="F3889" s="127">
        <v>129.1</v>
      </c>
    </row>
    <row r="3890" spans="1:6" hidden="1" x14ac:dyDescent="0.25">
      <c r="A3890" s="127" t="s">
        <v>268</v>
      </c>
      <c r="B3890" s="127">
        <v>2018</v>
      </c>
      <c r="C3890" s="127" t="s">
        <v>106</v>
      </c>
      <c r="D3890" s="127">
        <v>8</v>
      </c>
      <c r="E3890" s="127">
        <v>29.2</v>
      </c>
      <c r="F3890" s="127">
        <v>124.7</v>
      </c>
    </row>
    <row r="3891" spans="1:6" hidden="1" x14ac:dyDescent="0.25">
      <c r="A3891" s="127" t="s">
        <v>268</v>
      </c>
      <c r="B3891" s="127">
        <v>2018</v>
      </c>
      <c r="C3891" s="127" t="s">
        <v>107</v>
      </c>
      <c r="D3891" s="127">
        <v>9</v>
      </c>
      <c r="E3891" s="127">
        <v>65.7</v>
      </c>
      <c r="F3891" s="127">
        <v>64.3</v>
      </c>
    </row>
    <row r="3892" spans="1:6" hidden="1" x14ac:dyDescent="0.25">
      <c r="A3892" s="127" t="s">
        <v>268</v>
      </c>
      <c r="B3892" s="127">
        <v>2018</v>
      </c>
      <c r="C3892" s="127" t="s">
        <v>108</v>
      </c>
      <c r="D3892" s="127">
        <v>10</v>
      </c>
      <c r="E3892" s="127">
        <v>152.4</v>
      </c>
      <c r="F3892" s="127">
        <v>19.8</v>
      </c>
    </row>
    <row r="3893" spans="1:6" hidden="1" x14ac:dyDescent="0.25">
      <c r="A3893" s="127" t="s">
        <v>268</v>
      </c>
      <c r="B3893" s="127">
        <v>2018</v>
      </c>
      <c r="C3893" s="127" t="s">
        <v>109</v>
      </c>
      <c r="D3893" s="127">
        <v>11</v>
      </c>
      <c r="E3893" s="127">
        <v>267.3</v>
      </c>
      <c r="F3893" s="127">
        <v>0.2</v>
      </c>
    </row>
    <row r="3894" spans="1:6" hidden="1" x14ac:dyDescent="0.25">
      <c r="A3894" s="127" t="s">
        <v>268</v>
      </c>
      <c r="B3894" s="127">
        <v>2018</v>
      </c>
      <c r="C3894" s="127" t="s">
        <v>110</v>
      </c>
      <c r="D3894" s="127">
        <v>12</v>
      </c>
      <c r="E3894" s="127">
        <v>295.8</v>
      </c>
      <c r="F3894" s="127">
        <v>0</v>
      </c>
    </row>
    <row r="3895" spans="1:6" hidden="1" x14ac:dyDescent="0.25">
      <c r="A3895" s="127" t="s">
        <v>269</v>
      </c>
      <c r="B3895" s="127">
        <v>2019</v>
      </c>
      <c r="C3895" s="127" t="s">
        <v>99</v>
      </c>
      <c r="D3895" s="127">
        <v>1</v>
      </c>
      <c r="E3895" s="127">
        <v>402.2</v>
      </c>
      <c r="F3895" s="127">
        <v>0</v>
      </c>
    </row>
    <row r="3896" spans="1:6" hidden="1" x14ac:dyDescent="0.25">
      <c r="A3896" s="127" t="s">
        <v>269</v>
      </c>
      <c r="B3896" s="127">
        <v>2019</v>
      </c>
      <c r="C3896" s="127" t="s">
        <v>100</v>
      </c>
      <c r="D3896" s="127">
        <v>2</v>
      </c>
      <c r="E3896" s="127">
        <v>297.3</v>
      </c>
      <c r="F3896" s="127">
        <v>0.8</v>
      </c>
    </row>
    <row r="3897" spans="1:6" hidden="1" x14ac:dyDescent="0.25">
      <c r="A3897" s="127" t="s">
        <v>269</v>
      </c>
      <c r="B3897" s="127">
        <v>2019</v>
      </c>
      <c r="C3897" s="127" t="s">
        <v>101</v>
      </c>
      <c r="D3897" s="127">
        <v>3</v>
      </c>
      <c r="E3897" s="127">
        <v>260.39999999999998</v>
      </c>
      <c r="F3897" s="127">
        <v>0.7</v>
      </c>
    </row>
    <row r="3898" spans="1:6" hidden="1" x14ac:dyDescent="0.25">
      <c r="A3898" s="127" t="s">
        <v>269</v>
      </c>
      <c r="B3898" s="127">
        <v>2019</v>
      </c>
      <c r="C3898" s="127" t="s">
        <v>102</v>
      </c>
      <c r="D3898" s="127">
        <v>4</v>
      </c>
      <c r="E3898" s="127">
        <v>201.4</v>
      </c>
      <c r="F3898" s="127">
        <v>11.4</v>
      </c>
    </row>
    <row r="3899" spans="1:6" hidden="1" x14ac:dyDescent="0.25">
      <c r="A3899" s="127" t="s">
        <v>269</v>
      </c>
      <c r="B3899" s="127">
        <v>2019</v>
      </c>
      <c r="C3899" s="127" t="s">
        <v>103</v>
      </c>
      <c r="D3899" s="127">
        <v>5</v>
      </c>
      <c r="E3899" s="127">
        <v>147.9</v>
      </c>
      <c r="F3899" s="127">
        <v>13.8</v>
      </c>
    </row>
    <row r="3900" spans="1:6" hidden="1" x14ac:dyDescent="0.25">
      <c r="A3900" s="127" t="s">
        <v>269</v>
      </c>
      <c r="B3900" s="127">
        <v>2019</v>
      </c>
      <c r="C3900" s="127" t="s">
        <v>104</v>
      </c>
      <c r="D3900" s="127">
        <v>6</v>
      </c>
      <c r="E3900" s="127">
        <v>54.1</v>
      </c>
      <c r="F3900" s="127">
        <v>102.6</v>
      </c>
    </row>
    <row r="3901" spans="1:6" hidden="1" x14ac:dyDescent="0.25">
      <c r="A3901" s="127" t="s">
        <v>269</v>
      </c>
      <c r="B3901" s="127">
        <v>2019</v>
      </c>
      <c r="C3901" s="127" t="s">
        <v>105</v>
      </c>
      <c r="D3901" s="127">
        <v>7</v>
      </c>
      <c r="E3901" s="127">
        <v>15.5</v>
      </c>
      <c r="F3901" s="127">
        <v>157.80000000000001</v>
      </c>
    </row>
    <row r="3902" spans="1:6" hidden="1" x14ac:dyDescent="0.25">
      <c r="A3902" s="127" t="s">
        <v>269</v>
      </c>
      <c r="B3902" s="127">
        <v>2019</v>
      </c>
      <c r="C3902" s="127" t="s">
        <v>106</v>
      </c>
      <c r="D3902" s="127">
        <v>8</v>
      </c>
      <c r="E3902" s="127">
        <v>30.2</v>
      </c>
      <c r="F3902" s="127">
        <v>107.7</v>
      </c>
    </row>
    <row r="3903" spans="1:6" hidden="1" x14ac:dyDescent="0.25">
      <c r="A3903" s="127" t="s">
        <v>269</v>
      </c>
      <c r="B3903" s="127">
        <v>2019</v>
      </c>
      <c r="C3903" s="127" t="s">
        <v>107</v>
      </c>
      <c r="D3903" s="127">
        <v>9</v>
      </c>
      <c r="E3903" s="127">
        <v>64.7</v>
      </c>
      <c r="F3903" s="127">
        <v>46.8</v>
      </c>
    </row>
    <row r="3904" spans="1:6" hidden="1" x14ac:dyDescent="0.25">
      <c r="A3904" s="127" t="s">
        <v>269</v>
      </c>
      <c r="B3904" s="127">
        <v>2019</v>
      </c>
      <c r="C3904" s="127" t="s">
        <v>108</v>
      </c>
      <c r="D3904" s="127">
        <v>10</v>
      </c>
      <c r="E3904" s="127">
        <v>128.80000000000001</v>
      </c>
      <c r="F3904" s="127">
        <v>8.8000000000000007</v>
      </c>
    </row>
    <row r="3905" spans="1:6" hidden="1" x14ac:dyDescent="0.25">
      <c r="A3905" s="127" t="s">
        <v>269</v>
      </c>
      <c r="B3905" s="127">
        <v>2019</v>
      </c>
      <c r="C3905" s="127" t="s">
        <v>109</v>
      </c>
      <c r="D3905" s="127">
        <v>11</v>
      </c>
      <c r="E3905" s="127">
        <v>293.10000000000002</v>
      </c>
      <c r="F3905" s="127">
        <v>0</v>
      </c>
    </row>
    <row r="3906" spans="1:6" hidden="1" x14ac:dyDescent="0.25">
      <c r="A3906" s="127" t="s">
        <v>269</v>
      </c>
      <c r="B3906" s="127">
        <v>2019</v>
      </c>
      <c r="C3906" s="127" t="s">
        <v>110</v>
      </c>
      <c r="D3906" s="127">
        <v>12</v>
      </c>
      <c r="E3906" s="127">
        <v>323</v>
      </c>
      <c r="F3906" s="127">
        <v>0</v>
      </c>
    </row>
    <row r="3907" spans="1:6" hidden="1" x14ac:dyDescent="0.25">
      <c r="A3907" s="127" t="s">
        <v>267</v>
      </c>
      <c r="B3907" s="127">
        <v>2019</v>
      </c>
      <c r="C3907" s="127" t="s">
        <v>99</v>
      </c>
      <c r="D3907" s="127">
        <v>1</v>
      </c>
      <c r="E3907" s="127">
        <v>399.7</v>
      </c>
      <c r="F3907" s="127">
        <v>0</v>
      </c>
    </row>
    <row r="3908" spans="1:6" hidden="1" x14ac:dyDescent="0.25">
      <c r="A3908" s="127" t="s">
        <v>267</v>
      </c>
      <c r="B3908" s="127">
        <v>2019</v>
      </c>
      <c r="C3908" s="127" t="s">
        <v>100</v>
      </c>
      <c r="D3908" s="127">
        <v>2</v>
      </c>
      <c r="E3908" s="127">
        <v>302.39999999999998</v>
      </c>
      <c r="F3908" s="127">
        <v>0.2</v>
      </c>
    </row>
    <row r="3909" spans="1:6" hidden="1" x14ac:dyDescent="0.25">
      <c r="A3909" s="127" t="s">
        <v>267</v>
      </c>
      <c r="B3909" s="127">
        <v>2019</v>
      </c>
      <c r="C3909" s="127" t="s">
        <v>101</v>
      </c>
      <c r="D3909" s="127">
        <v>3</v>
      </c>
      <c r="E3909" s="127">
        <v>271</v>
      </c>
      <c r="F3909" s="127">
        <v>0.3</v>
      </c>
    </row>
    <row r="3910" spans="1:6" hidden="1" x14ac:dyDescent="0.25">
      <c r="A3910" s="127" t="s">
        <v>267</v>
      </c>
      <c r="B3910" s="127">
        <v>2019</v>
      </c>
      <c r="C3910" s="127" t="s">
        <v>102</v>
      </c>
      <c r="D3910" s="127">
        <v>4</v>
      </c>
      <c r="E3910" s="127">
        <v>228.3</v>
      </c>
      <c r="F3910" s="127">
        <v>6.8</v>
      </c>
    </row>
    <row r="3911" spans="1:6" hidden="1" x14ac:dyDescent="0.25">
      <c r="A3911" s="127" t="s">
        <v>267</v>
      </c>
      <c r="B3911" s="127">
        <v>2019</v>
      </c>
      <c r="C3911" s="127" t="s">
        <v>103</v>
      </c>
      <c r="D3911" s="127">
        <v>5</v>
      </c>
      <c r="E3911" s="127">
        <v>154.5</v>
      </c>
      <c r="F3911" s="127">
        <v>8</v>
      </c>
    </row>
    <row r="3912" spans="1:6" hidden="1" x14ac:dyDescent="0.25">
      <c r="A3912" s="127" t="s">
        <v>267</v>
      </c>
      <c r="B3912" s="127">
        <v>2019</v>
      </c>
      <c r="C3912" s="127" t="s">
        <v>104</v>
      </c>
      <c r="D3912" s="127">
        <v>6</v>
      </c>
      <c r="E3912" s="127">
        <v>69.5</v>
      </c>
      <c r="F3912" s="127">
        <v>74.3</v>
      </c>
    </row>
    <row r="3913" spans="1:6" hidden="1" x14ac:dyDescent="0.25">
      <c r="A3913" s="127" t="s">
        <v>267</v>
      </c>
      <c r="B3913" s="127">
        <v>2019</v>
      </c>
      <c r="C3913" s="127" t="s">
        <v>105</v>
      </c>
      <c r="D3913" s="127">
        <v>7</v>
      </c>
      <c r="E3913" s="127">
        <v>25.7</v>
      </c>
      <c r="F3913" s="127">
        <v>123.5</v>
      </c>
    </row>
    <row r="3914" spans="1:6" hidden="1" x14ac:dyDescent="0.25">
      <c r="A3914" s="127" t="s">
        <v>267</v>
      </c>
      <c r="B3914" s="127">
        <v>2019</v>
      </c>
      <c r="C3914" s="127" t="s">
        <v>106</v>
      </c>
      <c r="D3914" s="127">
        <v>8</v>
      </c>
      <c r="E3914" s="127">
        <v>35.299999999999997</v>
      </c>
      <c r="F3914" s="127">
        <v>84.9</v>
      </c>
    </row>
    <row r="3915" spans="1:6" hidden="1" x14ac:dyDescent="0.25">
      <c r="A3915" s="127" t="s">
        <v>267</v>
      </c>
      <c r="B3915" s="127">
        <v>2019</v>
      </c>
      <c r="C3915" s="127" t="s">
        <v>107</v>
      </c>
      <c r="D3915" s="127">
        <v>9</v>
      </c>
      <c r="E3915" s="127">
        <v>68.099999999999994</v>
      </c>
      <c r="F3915" s="127">
        <v>34.299999999999997</v>
      </c>
    </row>
    <row r="3916" spans="1:6" hidden="1" x14ac:dyDescent="0.25">
      <c r="A3916" s="127" t="s">
        <v>267</v>
      </c>
      <c r="B3916" s="127">
        <v>2019</v>
      </c>
      <c r="C3916" s="127" t="s">
        <v>108</v>
      </c>
      <c r="D3916" s="127">
        <v>10</v>
      </c>
      <c r="E3916" s="127">
        <v>144.4</v>
      </c>
      <c r="F3916" s="127">
        <v>2.9</v>
      </c>
    </row>
    <row r="3917" spans="1:6" hidden="1" x14ac:dyDescent="0.25">
      <c r="A3917" s="127" t="s">
        <v>267</v>
      </c>
      <c r="B3917" s="127">
        <v>2019</v>
      </c>
      <c r="C3917" s="127" t="s">
        <v>109</v>
      </c>
      <c r="D3917" s="127">
        <v>11</v>
      </c>
      <c r="E3917" s="127">
        <v>297.7</v>
      </c>
      <c r="F3917" s="127">
        <v>0</v>
      </c>
    </row>
    <row r="3918" spans="1:6" hidden="1" x14ac:dyDescent="0.25">
      <c r="A3918" s="127" t="s">
        <v>267</v>
      </c>
      <c r="B3918" s="127">
        <v>2019</v>
      </c>
      <c r="C3918" s="127" t="s">
        <v>110</v>
      </c>
      <c r="D3918" s="127">
        <v>12</v>
      </c>
      <c r="E3918" s="127">
        <v>336.2</v>
      </c>
      <c r="F3918" s="127">
        <v>0</v>
      </c>
    </row>
    <row r="3919" spans="1:6" hidden="1" x14ac:dyDescent="0.25">
      <c r="A3919" s="127" t="s">
        <v>268</v>
      </c>
      <c r="B3919" s="127">
        <v>2019</v>
      </c>
      <c r="C3919" s="127" t="s">
        <v>99</v>
      </c>
      <c r="D3919" s="127">
        <v>1</v>
      </c>
      <c r="E3919" s="127">
        <v>392.4</v>
      </c>
      <c r="F3919" s="127">
        <v>0</v>
      </c>
    </row>
    <row r="3920" spans="1:6" hidden="1" x14ac:dyDescent="0.25">
      <c r="A3920" s="127" t="s">
        <v>268</v>
      </c>
      <c r="B3920" s="127">
        <v>2019</v>
      </c>
      <c r="C3920" s="127" t="s">
        <v>100</v>
      </c>
      <c r="D3920" s="127">
        <v>2</v>
      </c>
      <c r="E3920" s="127">
        <v>267.7</v>
      </c>
      <c r="F3920" s="127">
        <v>1.2</v>
      </c>
    </row>
    <row r="3921" spans="1:6" hidden="1" x14ac:dyDescent="0.25">
      <c r="A3921" s="127" t="s">
        <v>268</v>
      </c>
      <c r="B3921" s="127">
        <v>2019</v>
      </c>
      <c r="C3921" s="127" t="s">
        <v>101</v>
      </c>
      <c r="D3921" s="127">
        <v>3</v>
      </c>
      <c r="E3921" s="127">
        <v>265.89999999999998</v>
      </c>
      <c r="F3921" s="127">
        <v>0.8</v>
      </c>
    </row>
    <row r="3922" spans="1:6" hidden="1" x14ac:dyDescent="0.25">
      <c r="A3922" s="127" t="s">
        <v>268</v>
      </c>
      <c r="B3922" s="127">
        <v>2019</v>
      </c>
      <c r="C3922" s="127" t="s">
        <v>102</v>
      </c>
      <c r="D3922" s="127">
        <v>4</v>
      </c>
      <c r="E3922" s="127">
        <v>217.3</v>
      </c>
      <c r="F3922" s="127">
        <v>5.0999999999999996</v>
      </c>
    </row>
    <row r="3923" spans="1:6" hidden="1" x14ac:dyDescent="0.25">
      <c r="A3923" s="127" t="s">
        <v>268</v>
      </c>
      <c r="B3923" s="127">
        <v>2019</v>
      </c>
      <c r="C3923" s="127" t="s">
        <v>103</v>
      </c>
      <c r="D3923" s="127">
        <v>5</v>
      </c>
      <c r="E3923" s="127">
        <v>158.19999999999999</v>
      </c>
      <c r="F3923" s="127">
        <v>10.4</v>
      </c>
    </row>
    <row r="3924" spans="1:6" hidden="1" x14ac:dyDescent="0.25">
      <c r="A3924" s="127" t="s">
        <v>268</v>
      </c>
      <c r="B3924" s="127">
        <v>2019</v>
      </c>
      <c r="C3924" s="127" t="s">
        <v>104</v>
      </c>
      <c r="D3924" s="127">
        <v>6</v>
      </c>
      <c r="E3924" s="127">
        <v>68</v>
      </c>
      <c r="F3924" s="127">
        <v>75.8</v>
      </c>
    </row>
    <row r="3925" spans="1:6" hidden="1" x14ac:dyDescent="0.25">
      <c r="A3925" s="127" t="s">
        <v>268</v>
      </c>
      <c r="B3925" s="127">
        <v>2019</v>
      </c>
      <c r="C3925" s="127" t="s">
        <v>105</v>
      </c>
      <c r="D3925" s="127">
        <v>7</v>
      </c>
      <c r="E3925" s="127">
        <v>23</v>
      </c>
      <c r="F3925" s="127">
        <v>130.30000000000001</v>
      </c>
    </row>
    <row r="3926" spans="1:6" hidden="1" x14ac:dyDescent="0.25">
      <c r="A3926" s="127" t="s">
        <v>268</v>
      </c>
      <c r="B3926" s="127">
        <v>2019</v>
      </c>
      <c r="C3926" s="127" t="s">
        <v>106</v>
      </c>
      <c r="D3926" s="127">
        <v>8</v>
      </c>
      <c r="E3926" s="127">
        <v>34.799999999999997</v>
      </c>
      <c r="F3926" s="127">
        <v>86.1</v>
      </c>
    </row>
    <row r="3927" spans="1:6" hidden="1" x14ac:dyDescent="0.25">
      <c r="A3927" s="127" t="s">
        <v>268</v>
      </c>
      <c r="B3927" s="127">
        <v>2019</v>
      </c>
      <c r="C3927" s="127" t="s">
        <v>107</v>
      </c>
      <c r="D3927" s="127">
        <v>9</v>
      </c>
      <c r="E3927" s="127">
        <v>61.7</v>
      </c>
      <c r="F3927" s="127">
        <v>47.9</v>
      </c>
    </row>
    <row r="3928" spans="1:6" hidden="1" x14ac:dyDescent="0.25">
      <c r="A3928" s="127" t="s">
        <v>268</v>
      </c>
      <c r="B3928" s="127">
        <v>2019</v>
      </c>
      <c r="C3928" s="127" t="s">
        <v>108</v>
      </c>
      <c r="D3928" s="127">
        <v>10</v>
      </c>
      <c r="E3928" s="127">
        <v>113.6</v>
      </c>
      <c r="F3928" s="127">
        <v>4.5999999999999996</v>
      </c>
    </row>
    <row r="3929" spans="1:6" hidden="1" x14ac:dyDescent="0.25">
      <c r="A3929" s="127" t="s">
        <v>268</v>
      </c>
      <c r="B3929" s="127">
        <v>2019</v>
      </c>
      <c r="C3929" s="127" t="s">
        <v>109</v>
      </c>
      <c r="D3929" s="127">
        <v>11</v>
      </c>
      <c r="E3929" s="127">
        <v>284.60000000000002</v>
      </c>
      <c r="F3929" s="127">
        <v>0</v>
      </c>
    </row>
    <row r="3930" spans="1:6" hidden="1" x14ac:dyDescent="0.25">
      <c r="A3930" s="127" t="s">
        <v>268</v>
      </c>
      <c r="B3930" s="127">
        <v>2019</v>
      </c>
      <c r="C3930" s="127" t="s">
        <v>110</v>
      </c>
      <c r="D3930" s="127">
        <v>12</v>
      </c>
      <c r="E3930" s="127">
        <v>307.39999999999998</v>
      </c>
      <c r="F3930" s="127">
        <v>0</v>
      </c>
    </row>
    <row r="3931" spans="1:6" hidden="1" x14ac:dyDescent="0.25">
      <c r="A3931" s="127" t="s">
        <v>269</v>
      </c>
      <c r="B3931" s="127">
        <v>2020</v>
      </c>
      <c r="C3931" s="127" t="s">
        <v>99</v>
      </c>
      <c r="D3931" s="127">
        <v>1</v>
      </c>
      <c r="E3931" s="127">
        <v>331.5</v>
      </c>
      <c r="F3931" s="127">
        <v>0</v>
      </c>
    </row>
    <row r="3932" spans="1:6" hidden="1" x14ac:dyDescent="0.25">
      <c r="A3932" s="127" t="s">
        <v>269</v>
      </c>
      <c r="B3932" s="127">
        <v>2020</v>
      </c>
      <c r="C3932" s="127" t="s">
        <v>100</v>
      </c>
      <c r="D3932" s="127">
        <v>2</v>
      </c>
      <c r="E3932" s="127">
        <v>251.6</v>
      </c>
      <c r="F3932" s="127">
        <v>0</v>
      </c>
    </row>
    <row r="3933" spans="1:6" hidden="1" x14ac:dyDescent="0.25">
      <c r="A3933" s="127" t="s">
        <v>269</v>
      </c>
      <c r="B3933" s="127">
        <v>2020</v>
      </c>
      <c r="C3933" s="127" t="s">
        <v>101</v>
      </c>
      <c r="D3933" s="127">
        <v>3</v>
      </c>
      <c r="E3933" s="127">
        <v>272.60000000000002</v>
      </c>
      <c r="F3933" s="127">
        <v>1.3</v>
      </c>
    </row>
    <row r="3934" spans="1:6" hidden="1" x14ac:dyDescent="0.25">
      <c r="A3934" s="127" t="s">
        <v>269</v>
      </c>
      <c r="B3934" s="127">
        <v>2020</v>
      </c>
      <c r="C3934" s="127" t="s">
        <v>102</v>
      </c>
      <c r="D3934" s="127">
        <v>4</v>
      </c>
      <c r="E3934" s="127">
        <v>126.3</v>
      </c>
      <c r="F3934" s="127">
        <v>27.4</v>
      </c>
    </row>
    <row r="3935" spans="1:6" hidden="1" x14ac:dyDescent="0.25">
      <c r="A3935" s="127" t="s">
        <v>269</v>
      </c>
      <c r="B3935" s="127">
        <v>2020</v>
      </c>
      <c r="C3935" s="127" t="s">
        <v>103</v>
      </c>
      <c r="D3935" s="127">
        <v>5</v>
      </c>
      <c r="E3935" s="127">
        <v>91.8</v>
      </c>
      <c r="F3935" s="127">
        <v>45.4</v>
      </c>
    </row>
    <row r="3936" spans="1:6" hidden="1" x14ac:dyDescent="0.25">
      <c r="A3936" s="127" t="s">
        <v>269</v>
      </c>
      <c r="B3936" s="127">
        <v>2020</v>
      </c>
      <c r="C3936" s="127" t="s">
        <v>104</v>
      </c>
      <c r="D3936" s="127">
        <v>6</v>
      </c>
      <c r="E3936" s="127">
        <v>55.6</v>
      </c>
      <c r="F3936" s="127">
        <v>58.6</v>
      </c>
    </row>
    <row r="3937" spans="1:6" hidden="1" x14ac:dyDescent="0.25">
      <c r="A3937" s="127" t="s">
        <v>269</v>
      </c>
      <c r="B3937" s="127">
        <v>2020</v>
      </c>
      <c r="C3937" s="127" t="s">
        <v>105</v>
      </c>
      <c r="D3937" s="127">
        <v>7</v>
      </c>
      <c r="E3937" s="127">
        <v>32.299999999999997</v>
      </c>
      <c r="F3937" s="127">
        <v>107</v>
      </c>
    </row>
    <row r="3938" spans="1:6" hidden="1" x14ac:dyDescent="0.25">
      <c r="A3938" s="127" t="s">
        <v>269</v>
      </c>
      <c r="B3938" s="127">
        <v>2020</v>
      </c>
      <c r="C3938" s="127" t="s">
        <v>106</v>
      </c>
      <c r="D3938" s="127">
        <v>8</v>
      </c>
      <c r="E3938" s="127">
        <v>27.8</v>
      </c>
      <c r="F3938" s="127">
        <v>143.1</v>
      </c>
    </row>
    <row r="3939" spans="1:6" hidden="1" x14ac:dyDescent="0.25">
      <c r="A3939" s="127" t="s">
        <v>269</v>
      </c>
      <c r="B3939" s="127">
        <v>2020</v>
      </c>
      <c r="C3939" s="127" t="s">
        <v>107</v>
      </c>
      <c r="D3939" s="127">
        <v>9</v>
      </c>
      <c r="E3939" s="127">
        <v>56.6</v>
      </c>
      <c r="F3939" s="127">
        <v>84.1</v>
      </c>
    </row>
    <row r="3940" spans="1:6" hidden="1" x14ac:dyDescent="0.25">
      <c r="A3940" s="127" t="s">
        <v>269</v>
      </c>
      <c r="B3940" s="127">
        <v>2020</v>
      </c>
      <c r="C3940" s="127" t="s">
        <v>108</v>
      </c>
      <c r="D3940" s="127">
        <v>10</v>
      </c>
      <c r="E3940" s="127">
        <v>159.30000000000001</v>
      </c>
      <c r="F3940" s="127">
        <v>1.7</v>
      </c>
    </row>
    <row r="3941" spans="1:6" hidden="1" x14ac:dyDescent="0.25">
      <c r="A3941" s="127" t="s">
        <v>269</v>
      </c>
      <c r="B3941" s="127">
        <v>2020</v>
      </c>
      <c r="C3941" s="127" t="s">
        <v>109</v>
      </c>
      <c r="D3941" s="127">
        <v>11</v>
      </c>
      <c r="E3941" s="127">
        <v>237.3</v>
      </c>
      <c r="F3941" s="127">
        <v>0</v>
      </c>
    </row>
    <row r="3942" spans="1:6" hidden="1" x14ac:dyDescent="0.25">
      <c r="A3942" s="127" t="s">
        <v>269</v>
      </c>
      <c r="B3942" s="127">
        <v>2020</v>
      </c>
      <c r="C3942" s="127" t="s">
        <v>110</v>
      </c>
      <c r="D3942" s="127">
        <v>12</v>
      </c>
      <c r="E3942" s="127">
        <v>334.4</v>
      </c>
      <c r="F3942" s="127">
        <v>0</v>
      </c>
    </row>
    <row r="3943" spans="1:6" hidden="1" x14ac:dyDescent="0.25">
      <c r="A3943" s="127" t="s">
        <v>267</v>
      </c>
      <c r="B3943" s="127">
        <v>2020</v>
      </c>
      <c r="C3943" s="127" t="s">
        <v>99</v>
      </c>
      <c r="D3943" s="127">
        <v>1</v>
      </c>
      <c r="E3943" s="127">
        <v>340</v>
      </c>
      <c r="F3943" s="127">
        <v>0</v>
      </c>
    </row>
    <row r="3944" spans="1:6" hidden="1" x14ac:dyDescent="0.25">
      <c r="A3944" s="127" t="s">
        <v>267</v>
      </c>
      <c r="B3944" s="127">
        <v>2020</v>
      </c>
      <c r="C3944" s="127" t="s">
        <v>100</v>
      </c>
      <c r="D3944" s="127">
        <v>2</v>
      </c>
      <c r="E3944" s="127">
        <v>266</v>
      </c>
      <c r="F3944" s="127">
        <v>0</v>
      </c>
    </row>
    <row r="3945" spans="1:6" hidden="1" x14ac:dyDescent="0.25">
      <c r="A3945" s="127" t="s">
        <v>267</v>
      </c>
      <c r="B3945" s="127">
        <v>2020</v>
      </c>
      <c r="C3945" s="127" t="s">
        <v>101</v>
      </c>
      <c r="D3945" s="127">
        <v>3</v>
      </c>
      <c r="E3945" s="127">
        <v>292.2</v>
      </c>
      <c r="F3945" s="127">
        <v>0.3</v>
      </c>
    </row>
    <row r="3946" spans="1:6" hidden="1" x14ac:dyDescent="0.25">
      <c r="A3946" s="127" t="s">
        <v>267</v>
      </c>
      <c r="B3946" s="127">
        <v>2020</v>
      </c>
      <c r="C3946" s="127" t="s">
        <v>102</v>
      </c>
      <c r="D3946" s="127">
        <v>4</v>
      </c>
      <c r="E3946" s="127">
        <v>135.9</v>
      </c>
      <c r="F3946" s="127">
        <v>19.100000000000001</v>
      </c>
    </row>
    <row r="3947" spans="1:6" hidden="1" x14ac:dyDescent="0.25">
      <c r="A3947" s="127" t="s">
        <v>267</v>
      </c>
      <c r="B3947" s="127">
        <v>2020</v>
      </c>
      <c r="C3947" s="127" t="s">
        <v>103</v>
      </c>
      <c r="D3947" s="127">
        <v>5</v>
      </c>
      <c r="E3947" s="127">
        <v>109.4</v>
      </c>
      <c r="F3947" s="127">
        <v>37</v>
      </c>
    </row>
    <row r="3948" spans="1:6" hidden="1" x14ac:dyDescent="0.25">
      <c r="A3948" s="127" t="s">
        <v>267</v>
      </c>
      <c r="B3948" s="127">
        <v>2020</v>
      </c>
      <c r="C3948" s="127" t="s">
        <v>104</v>
      </c>
      <c r="D3948" s="127">
        <v>6</v>
      </c>
      <c r="E3948" s="127">
        <v>71.5</v>
      </c>
      <c r="F3948" s="127">
        <v>42</v>
      </c>
    </row>
    <row r="3949" spans="1:6" hidden="1" x14ac:dyDescent="0.25">
      <c r="A3949" s="127" t="s">
        <v>267</v>
      </c>
      <c r="B3949" s="127">
        <v>2020</v>
      </c>
      <c r="C3949" s="127" t="s">
        <v>105</v>
      </c>
      <c r="D3949" s="127">
        <v>7</v>
      </c>
      <c r="E3949" s="127">
        <v>45.7</v>
      </c>
      <c r="F3949" s="127">
        <v>78.400000000000006</v>
      </c>
    </row>
    <row r="3950" spans="1:6" hidden="1" x14ac:dyDescent="0.25">
      <c r="A3950" s="127" t="s">
        <v>267</v>
      </c>
      <c r="B3950" s="127">
        <v>2020</v>
      </c>
      <c r="C3950" s="127" t="s">
        <v>106</v>
      </c>
      <c r="D3950" s="127">
        <v>8</v>
      </c>
      <c r="E3950" s="127">
        <v>27.7</v>
      </c>
      <c r="F3950" s="127">
        <v>112.8</v>
      </c>
    </row>
    <row r="3951" spans="1:6" hidden="1" x14ac:dyDescent="0.25">
      <c r="A3951" s="127" t="s">
        <v>267</v>
      </c>
      <c r="B3951" s="127">
        <v>2020</v>
      </c>
      <c r="C3951" s="127" t="s">
        <v>107</v>
      </c>
      <c r="D3951" s="127">
        <v>9</v>
      </c>
      <c r="E3951" s="127">
        <v>62.4</v>
      </c>
      <c r="F3951" s="127">
        <v>64.7</v>
      </c>
    </row>
    <row r="3952" spans="1:6" hidden="1" x14ac:dyDescent="0.25">
      <c r="A3952" s="127" t="s">
        <v>267</v>
      </c>
      <c r="B3952" s="127">
        <v>2020</v>
      </c>
      <c r="C3952" s="127" t="s">
        <v>108</v>
      </c>
      <c r="D3952" s="127">
        <v>10</v>
      </c>
      <c r="E3952" s="127">
        <v>180.4</v>
      </c>
      <c r="F3952" s="127">
        <v>0.1</v>
      </c>
    </row>
    <row r="3953" spans="1:6" hidden="1" x14ac:dyDescent="0.25">
      <c r="A3953" s="127" t="s">
        <v>267</v>
      </c>
      <c r="B3953" s="127">
        <v>2020</v>
      </c>
      <c r="C3953" s="127" t="s">
        <v>109</v>
      </c>
      <c r="D3953" s="127">
        <v>11</v>
      </c>
      <c r="E3953" s="127">
        <v>244.7</v>
      </c>
      <c r="F3953" s="127">
        <v>0</v>
      </c>
    </row>
    <row r="3954" spans="1:6" hidden="1" x14ac:dyDescent="0.25">
      <c r="A3954" s="127" t="s">
        <v>267</v>
      </c>
      <c r="B3954" s="127">
        <v>2020</v>
      </c>
      <c r="C3954" s="127" t="s">
        <v>110</v>
      </c>
      <c r="D3954" s="127">
        <v>12</v>
      </c>
      <c r="E3954" s="127">
        <v>341.8</v>
      </c>
      <c r="F3954" s="127">
        <v>0</v>
      </c>
    </row>
    <row r="3955" spans="1:6" hidden="1" x14ac:dyDescent="0.25">
      <c r="A3955" s="127" t="s">
        <v>268</v>
      </c>
      <c r="B3955" s="127">
        <v>2020</v>
      </c>
      <c r="C3955" s="127" t="s">
        <v>99</v>
      </c>
      <c r="D3955" s="127">
        <v>1</v>
      </c>
      <c r="E3955" s="127">
        <v>311.8</v>
      </c>
      <c r="F3955" s="127">
        <v>0</v>
      </c>
    </row>
    <row r="3956" spans="1:6" hidden="1" x14ac:dyDescent="0.25">
      <c r="A3956" s="127" t="s">
        <v>268</v>
      </c>
      <c r="B3956" s="127">
        <v>2020</v>
      </c>
      <c r="C3956" s="127" t="s">
        <v>100</v>
      </c>
      <c r="D3956" s="127">
        <v>2</v>
      </c>
      <c r="E3956" s="127">
        <v>249.8</v>
      </c>
      <c r="F3956" s="127">
        <v>0</v>
      </c>
    </row>
    <row r="3957" spans="1:6" hidden="1" x14ac:dyDescent="0.25">
      <c r="A3957" s="127" t="s">
        <v>268</v>
      </c>
      <c r="B3957" s="127">
        <v>2020</v>
      </c>
      <c r="C3957" s="127" t="s">
        <v>101</v>
      </c>
      <c r="D3957" s="127">
        <v>3</v>
      </c>
      <c r="E3957" s="127">
        <v>271.5</v>
      </c>
      <c r="F3957" s="127">
        <v>0.8</v>
      </c>
    </row>
    <row r="3958" spans="1:6" hidden="1" x14ac:dyDescent="0.25">
      <c r="A3958" s="127" t="s">
        <v>268</v>
      </c>
      <c r="B3958" s="127">
        <v>2020</v>
      </c>
      <c r="C3958" s="127" t="s">
        <v>102</v>
      </c>
      <c r="D3958" s="127">
        <v>4</v>
      </c>
      <c r="E3958" s="127">
        <v>139.19999999999999</v>
      </c>
      <c r="F3958" s="127">
        <v>15.6</v>
      </c>
    </row>
    <row r="3959" spans="1:6" hidden="1" x14ac:dyDescent="0.25">
      <c r="A3959" s="127" t="s">
        <v>268</v>
      </c>
      <c r="B3959" s="127">
        <v>2020</v>
      </c>
      <c r="C3959" s="127" t="s">
        <v>103</v>
      </c>
      <c r="D3959" s="127">
        <v>5</v>
      </c>
      <c r="E3959" s="127">
        <v>100.3</v>
      </c>
      <c r="F3959" s="127">
        <v>40.4</v>
      </c>
    </row>
    <row r="3960" spans="1:6" hidden="1" x14ac:dyDescent="0.25">
      <c r="A3960" s="127" t="s">
        <v>268</v>
      </c>
      <c r="B3960" s="127">
        <v>2020</v>
      </c>
      <c r="C3960" s="127" t="s">
        <v>104</v>
      </c>
      <c r="D3960" s="127">
        <v>6</v>
      </c>
      <c r="E3960" s="127">
        <v>69.7</v>
      </c>
      <c r="F3960" s="127">
        <v>33.4</v>
      </c>
    </row>
    <row r="3961" spans="1:6" hidden="1" x14ac:dyDescent="0.25">
      <c r="A3961" s="127" t="s">
        <v>268</v>
      </c>
      <c r="B3961" s="127">
        <v>2020</v>
      </c>
      <c r="C3961" s="127" t="s">
        <v>105</v>
      </c>
      <c r="D3961" s="127">
        <v>7</v>
      </c>
      <c r="E3961" s="127">
        <v>40.200000000000003</v>
      </c>
      <c r="F3961" s="127">
        <v>84</v>
      </c>
    </row>
    <row r="3962" spans="1:6" hidden="1" x14ac:dyDescent="0.25">
      <c r="A3962" s="127" t="s">
        <v>268</v>
      </c>
      <c r="B3962" s="127">
        <v>2020</v>
      </c>
      <c r="C3962" s="127" t="s">
        <v>106</v>
      </c>
      <c r="D3962" s="127">
        <v>8</v>
      </c>
      <c r="E3962" s="127">
        <v>30.8</v>
      </c>
      <c r="F3962" s="127">
        <v>110.1</v>
      </c>
    </row>
    <row r="3963" spans="1:6" hidden="1" x14ac:dyDescent="0.25">
      <c r="A3963" s="127" t="s">
        <v>268</v>
      </c>
      <c r="B3963" s="127">
        <v>2020</v>
      </c>
      <c r="C3963" s="127" t="s">
        <v>107</v>
      </c>
      <c r="D3963" s="127">
        <v>9</v>
      </c>
      <c r="E3963" s="127">
        <v>62.5</v>
      </c>
      <c r="F3963" s="127">
        <v>72.7</v>
      </c>
    </row>
    <row r="3964" spans="1:6" hidden="1" x14ac:dyDescent="0.25">
      <c r="A3964" s="127" t="s">
        <v>268</v>
      </c>
      <c r="B3964" s="127">
        <v>2020</v>
      </c>
      <c r="C3964" s="127" t="s">
        <v>108</v>
      </c>
      <c r="D3964" s="127">
        <v>10</v>
      </c>
      <c r="E3964" s="127">
        <v>172.6</v>
      </c>
      <c r="F3964" s="127">
        <v>0.7</v>
      </c>
    </row>
    <row r="3965" spans="1:6" hidden="1" x14ac:dyDescent="0.25">
      <c r="A3965" s="127" t="s">
        <v>268</v>
      </c>
      <c r="B3965" s="127">
        <v>2020</v>
      </c>
      <c r="C3965" s="127" t="s">
        <v>109</v>
      </c>
      <c r="D3965" s="127">
        <v>11</v>
      </c>
      <c r="E3965" s="127">
        <v>218.3</v>
      </c>
      <c r="F3965" s="127">
        <v>0.3</v>
      </c>
    </row>
    <row r="3966" spans="1:6" hidden="1" x14ac:dyDescent="0.25">
      <c r="A3966" s="127" t="s">
        <v>268</v>
      </c>
      <c r="B3966" s="127">
        <v>2020</v>
      </c>
      <c r="C3966" s="127" t="s">
        <v>110</v>
      </c>
      <c r="D3966" s="127">
        <v>12</v>
      </c>
      <c r="E3966" s="127">
        <v>326.60000000000002</v>
      </c>
      <c r="F3966" s="127">
        <v>0</v>
      </c>
    </row>
    <row r="3967" spans="1:6" hidden="1" x14ac:dyDescent="0.25">
      <c r="A3967" s="127" t="s">
        <v>269</v>
      </c>
      <c r="B3967" s="127">
        <v>2021</v>
      </c>
      <c r="C3967" s="127" t="s">
        <v>99</v>
      </c>
      <c r="D3967" s="127">
        <v>1</v>
      </c>
      <c r="E3967" s="127">
        <v>380.1</v>
      </c>
      <c r="F3967" s="127">
        <v>0</v>
      </c>
    </row>
    <row r="3968" spans="1:6" hidden="1" x14ac:dyDescent="0.25">
      <c r="A3968" s="127" t="s">
        <v>269</v>
      </c>
      <c r="B3968" s="127">
        <v>2021</v>
      </c>
      <c r="C3968" s="127" t="s">
        <v>100</v>
      </c>
      <c r="D3968" s="127">
        <v>2</v>
      </c>
      <c r="E3968" s="127">
        <v>299.5</v>
      </c>
      <c r="F3968" s="127">
        <v>0.5</v>
      </c>
    </row>
    <row r="3969" spans="1:6" hidden="1" x14ac:dyDescent="0.25">
      <c r="A3969" s="127" t="s">
        <v>269</v>
      </c>
      <c r="B3969" s="127">
        <v>2021</v>
      </c>
      <c r="C3969" s="127" t="s">
        <v>101</v>
      </c>
      <c r="D3969" s="127">
        <v>3</v>
      </c>
      <c r="E3969" s="127">
        <v>303.89999999999998</v>
      </c>
      <c r="F3969" s="127">
        <v>4.5999999999999996</v>
      </c>
    </row>
    <row r="3970" spans="1:6" hidden="1" x14ac:dyDescent="0.25">
      <c r="A3970" s="127" t="s">
        <v>269</v>
      </c>
      <c r="B3970" s="127">
        <v>2021</v>
      </c>
      <c r="C3970" s="127" t="s">
        <v>102</v>
      </c>
      <c r="D3970" s="127">
        <v>4</v>
      </c>
      <c r="E3970" s="127">
        <v>242.8</v>
      </c>
      <c r="F3970" s="127">
        <v>5.6</v>
      </c>
    </row>
    <row r="3971" spans="1:6" hidden="1" x14ac:dyDescent="0.25">
      <c r="A3971" s="127" t="s">
        <v>269</v>
      </c>
      <c r="B3971" s="127">
        <v>2021</v>
      </c>
      <c r="C3971" s="127" t="s">
        <v>103</v>
      </c>
      <c r="D3971" s="127">
        <v>5</v>
      </c>
      <c r="E3971" s="127">
        <v>159.4</v>
      </c>
      <c r="F3971" s="127">
        <v>10.7</v>
      </c>
    </row>
    <row r="3972" spans="1:6" hidden="1" x14ac:dyDescent="0.25">
      <c r="A3972" s="127" t="s">
        <v>269</v>
      </c>
      <c r="B3972" s="127">
        <v>2021</v>
      </c>
      <c r="C3972" s="127" t="s">
        <v>104</v>
      </c>
      <c r="D3972" s="127">
        <v>6</v>
      </c>
      <c r="E3972" s="127">
        <v>29.9</v>
      </c>
      <c r="F3972" s="127">
        <v>91.2</v>
      </c>
    </row>
    <row r="3973" spans="1:6" hidden="1" x14ac:dyDescent="0.25">
      <c r="A3973" s="127" t="s">
        <v>269</v>
      </c>
      <c r="B3973" s="127">
        <v>2021</v>
      </c>
      <c r="C3973" s="127" t="s">
        <v>105</v>
      </c>
      <c r="D3973" s="127">
        <v>7</v>
      </c>
      <c r="E3973" s="127">
        <v>22.4</v>
      </c>
      <c r="F3973" s="127">
        <v>87</v>
      </c>
    </row>
    <row r="3974" spans="1:6" hidden="1" x14ac:dyDescent="0.25">
      <c r="A3974" s="127" t="s">
        <v>269</v>
      </c>
      <c r="B3974" s="127">
        <v>2021</v>
      </c>
      <c r="C3974" s="127" t="s">
        <v>106</v>
      </c>
      <c r="D3974" s="127">
        <v>8</v>
      </c>
      <c r="E3974" s="127">
        <v>35.9</v>
      </c>
      <c r="F3974" s="127">
        <v>61.4</v>
      </c>
    </row>
    <row r="3975" spans="1:6" hidden="1" x14ac:dyDescent="0.25">
      <c r="A3975" s="127" t="s">
        <v>269</v>
      </c>
      <c r="B3975" s="127">
        <v>2021</v>
      </c>
      <c r="C3975" s="127" t="s">
        <v>107</v>
      </c>
      <c r="D3975" s="127">
        <v>9</v>
      </c>
      <c r="E3975" s="127">
        <v>47.8</v>
      </c>
      <c r="F3975" s="127">
        <v>73.5</v>
      </c>
    </row>
    <row r="3976" spans="1:6" hidden="1" x14ac:dyDescent="0.25">
      <c r="A3976" s="127" t="s">
        <v>269</v>
      </c>
      <c r="B3976" s="127">
        <v>2021</v>
      </c>
      <c r="C3976" s="127" t="s">
        <v>108</v>
      </c>
      <c r="D3976" s="127">
        <v>10</v>
      </c>
      <c r="E3976" s="127">
        <v>170.5</v>
      </c>
      <c r="F3976" s="127">
        <v>4.9000000000000004</v>
      </c>
    </row>
    <row r="3977" spans="1:6" hidden="1" x14ac:dyDescent="0.25">
      <c r="A3977" s="127" t="s">
        <v>269</v>
      </c>
      <c r="B3977" s="127">
        <v>2021</v>
      </c>
      <c r="C3977" s="127" t="s">
        <v>109</v>
      </c>
      <c r="D3977" s="127">
        <v>11</v>
      </c>
      <c r="E3977" s="127">
        <v>326.8</v>
      </c>
      <c r="F3977" s="127">
        <v>0</v>
      </c>
    </row>
    <row r="3978" spans="1:6" hidden="1" x14ac:dyDescent="0.25">
      <c r="A3978" s="127" t="s">
        <v>269</v>
      </c>
      <c r="B3978" s="127">
        <v>2021</v>
      </c>
      <c r="C3978" s="127" t="s">
        <v>110</v>
      </c>
      <c r="D3978" s="127">
        <v>12</v>
      </c>
      <c r="E3978" s="127">
        <v>336.7</v>
      </c>
      <c r="F3978" s="127">
        <v>0</v>
      </c>
    </row>
    <row r="3979" spans="1:6" hidden="1" x14ac:dyDescent="0.25">
      <c r="A3979" s="127" t="s">
        <v>267</v>
      </c>
      <c r="B3979" s="127">
        <v>2021</v>
      </c>
      <c r="C3979" s="127" t="s">
        <v>99</v>
      </c>
      <c r="D3979" s="127">
        <v>1</v>
      </c>
      <c r="E3979" s="127">
        <v>408.7</v>
      </c>
      <c r="F3979" s="127">
        <v>0</v>
      </c>
    </row>
    <row r="3980" spans="1:6" hidden="1" x14ac:dyDescent="0.25">
      <c r="A3980" s="127" t="s">
        <v>267</v>
      </c>
      <c r="B3980" s="127">
        <v>2021</v>
      </c>
      <c r="C3980" s="127" t="s">
        <v>100</v>
      </c>
      <c r="D3980" s="127">
        <v>2</v>
      </c>
      <c r="E3980" s="127">
        <v>315.60000000000002</v>
      </c>
      <c r="F3980" s="127">
        <v>0</v>
      </c>
    </row>
    <row r="3981" spans="1:6" hidden="1" x14ac:dyDescent="0.25">
      <c r="A3981" s="127" t="s">
        <v>267</v>
      </c>
      <c r="B3981" s="127">
        <v>2021</v>
      </c>
      <c r="C3981" s="127" t="s">
        <v>101</v>
      </c>
      <c r="D3981" s="127">
        <v>3</v>
      </c>
      <c r="E3981" s="127">
        <v>311.5</v>
      </c>
      <c r="F3981" s="127">
        <v>2.6</v>
      </c>
    </row>
    <row r="3982" spans="1:6" hidden="1" x14ac:dyDescent="0.25">
      <c r="A3982" s="127" t="s">
        <v>267</v>
      </c>
      <c r="B3982" s="127">
        <v>2021</v>
      </c>
      <c r="C3982" s="127" t="s">
        <v>102</v>
      </c>
      <c r="D3982" s="127">
        <v>4</v>
      </c>
      <c r="E3982" s="127">
        <v>265.39999999999998</v>
      </c>
      <c r="F3982" s="127">
        <v>3.1</v>
      </c>
    </row>
    <row r="3983" spans="1:6" hidden="1" x14ac:dyDescent="0.25">
      <c r="A3983" s="127" t="s">
        <v>267</v>
      </c>
      <c r="B3983" s="127">
        <v>2021</v>
      </c>
      <c r="C3983" s="127" t="s">
        <v>103</v>
      </c>
      <c r="D3983" s="127">
        <v>5</v>
      </c>
      <c r="E3983" s="127">
        <v>159.69999999999999</v>
      </c>
      <c r="F3983" s="127">
        <v>6.2</v>
      </c>
    </row>
    <row r="3984" spans="1:6" hidden="1" x14ac:dyDescent="0.25">
      <c r="A3984" s="127" t="s">
        <v>267</v>
      </c>
      <c r="B3984" s="127">
        <v>2021</v>
      </c>
      <c r="C3984" s="127" t="s">
        <v>104</v>
      </c>
      <c r="D3984" s="127">
        <v>6</v>
      </c>
      <c r="E3984" s="127">
        <v>54.8</v>
      </c>
      <c r="F3984" s="127">
        <v>52.1</v>
      </c>
    </row>
    <row r="3985" spans="1:6" hidden="1" x14ac:dyDescent="0.25">
      <c r="A3985" s="127" t="s">
        <v>267</v>
      </c>
      <c r="B3985" s="127">
        <v>2021</v>
      </c>
      <c r="C3985" s="127" t="s">
        <v>105</v>
      </c>
      <c r="D3985" s="127">
        <v>7</v>
      </c>
      <c r="E3985" s="127">
        <v>34</v>
      </c>
      <c r="F3985" s="127">
        <v>63.1</v>
      </c>
    </row>
    <row r="3986" spans="1:6" hidden="1" x14ac:dyDescent="0.25">
      <c r="A3986" s="127" t="s">
        <v>267</v>
      </c>
      <c r="B3986" s="127">
        <v>2021</v>
      </c>
      <c r="C3986" s="127" t="s">
        <v>106</v>
      </c>
      <c r="D3986" s="127">
        <v>8</v>
      </c>
      <c r="E3986" s="127">
        <v>49.7</v>
      </c>
      <c r="F3986" s="127">
        <v>40.4</v>
      </c>
    </row>
    <row r="3987" spans="1:6" hidden="1" x14ac:dyDescent="0.25">
      <c r="A3987" s="127" t="s">
        <v>267</v>
      </c>
      <c r="B3987" s="127">
        <v>2021</v>
      </c>
      <c r="C3987" s="127" t="s">
        <v>107</v>
      </c>
      <c r="D3987" s="127">
        <v>9</v>
      </c>
      <c r="E3987" s="127">
        <v>56.7</v>
      </c>
      <c r="F3987" s="127">
        <v>56.1</v>
      </c>
    </row>
    <row r="3988" spans="1:6" hidden="1" x14ac:dyDescent="0.25">
      <c r="A3988" s="127" t="s">
        <v>267</v>
      </c>
      <c r="B3988" s="127">
        <v>2021</v>
      </c>
      <c r="C3988" s="127" t="s">
        <v>108</v>
      </c>
      <c r="D3988" s="127">
        <v>10</v>
      </c>
      <c r="E3988" s="127">
        <v>165.8</v>
      </c>
      <c r="F3988" s="127">
        <v>2.8</v>
      </c>
    </row>
    <row r="3989" spans="1:6" hidden="1" x14ac:dyDescent="0.25">
      <c r="A3989" s="127" t="s">
        <v>267</v>
      </c>
      <c r="B3989" s="127">
        <v>2021</v>
      </c>
      <c r="C3989" s="127" t="s">
        <v>109</v>
      </c>
      <c r="D3989" s="127">
        <v>11</v>
      </c>
      <c r="E3989" s="127">
        <v>332.4</v>
      </c>
      <c r="F3989" s="127">
        <v>0</v>
      </c>
    </row>
    <row r="3990" spans="1:6" hidden="1" x14ac:dyDescent="0.25">
      <c r="A3990" s="127" t="s">
        <v>267</v>
      </c>
      <c r="B3990" s="127">
        <v>2021</v>
      </c>
      <c r="C3990" s="127" t="s">
        <v>110</v>
      </c>
      <c r="D3990" s="127">
        <v>12</v>
      </c>
      <c r="E3990" s="127">
        <v>341.9</v>
      </c>
      <c r="F3990" s="127">
        <v>0</v>
      </c>
    </row>
    <row r="3991" spans="1:6" hidden="1" x14ac:dyDescent="0.25">
      <c r="A3991" s="127" t="s">
        <v>268</v>
      </c>
      <c r="B3991" s="127">
        <v>2021</v>
      </c>
      <c r="C3991" s="127" t="s">
        <v>99</v>
      </c>
      <c r="D3991" s="127">
        <v>1</v>
      </c>
      <c r="E3991" s="127">
        <v>407.4</v>
      </c>
      <c r="F3991" s="127">
        <v>0</v>
      </c>
    </row>
    <row r="3992" spans="1:6" hidden="1" x14ac:dyDescent="0.25">
      <c r="A3992" s="127" t="s">
        <v>268</v>
      </c>
      <c r="B3992" s="127">
        <v>2021</v>
      </c>
      <c r="C3992" s="127" t="s">
        <v>100</v>
      </c>
      <c r="D3992" s="127">
        <v>2</v>
      </c>
      <c r="E3992" s="127">
        <v>286.10000000000002</v>
      </c>
      <c r="F3992" s="127">
        <v>0</v>
      </c>
    </row>
    <row r="3993" spans="1:6" hidden="1" x14ac:dyDescent="0.25">
      <c r="A3993" s="127" t="s">
        <v>268</v>
      </c>
      <c r="B3993" s="127">
        <v>2021</v>
      </c>
      <c r="C3993" s="127" t="s">
        <v>101</v>
      </c>
      <c r="D3993" s="127">
        <v>3</v>
      </c>
      <c r="E3993" s="127">
        <v>298.39999999999998</v>
      </c>
      <c r="F3993" s="127">
        <v>3.5</v>
      </c>
    </row>
    <row r="3994" spans="1:6" hidden="1" x14ac:dyDescent="0.25">
      <c r="A3994" s="127" t="s">
        <v>268</v>
      </c>
      <c r="B3994" s="127">
        <v>2021</v>
      </c>
      <c r="C3994" s="127" t="s">
        <v>102</v>
      </c>
      <c r="D3994" s="127">
        <v>4</v>
      </c>
      <c r="E3994" s="127">
        <v>241.4</v>
      </c>
      <c r="F3994" s="127">
        <v>7.6</v>
      </c>
    </row>
    <row r="3995" spans="1:6" hidden="1" x14ac:dyDescent="0.25">
      <c r="A3995" s="127" t="s">
        <v>268</v>
      </c>
      <c r="B3995" s="127">
        <v>2021</v>
      </c>
      <c r="C3995" s="127" t="s">
        <v>103</v>
      </c>
      <c r="D3995" s="127">
        <v>5</v>
      </c>
      <c r="E3995" s="127">
        <v>169.1</v>
      </c>
      <c r="F3995" s="127">
        <v>11</v>
      </c>
    </row>
    <row r="3996" spans="1:6" hidden="1" x14ac:dyDescent="0.25">
      <c r="A3996" s="127" t="s">
        <v>268</v>
      </c>
      <c r="B3996" s="127">
        <v>2021</v>
      </c>
      <c r="C3996" s="127" t="s">
        <v>104</v>
      </c>
      <c r="D3996" s="127">
        <v>6</v>
      </c>
      <c r="E3996" s="127">
        <v>42.2</v>
      </c>
      <c r="F3996" s="127">
        <v>70.7</v>
      </c>
    </row>
    <row r="3997" spans="1:6" hidden="1" x14ac:dyDescent="0.25">
      <c r="A3997" s="127" t="s">
        <v>268</v>
      </c>
      <c r="B3997" s="127">
        <v>2021</v>
      </c>
      <c r="C3997" s="127" t="s">
        <v>105</v>
      </c>
      <c r="D3997" s="127">
        <v>7</v>
      </c>
      <c r="E3997" s="127">
        <v>36.1</v>
      </c>
      <c r="F3997" s="127">
        <v>67.400000000000006</v>
      </c>
    </row>
    <row r="3998" spans="1:6" hidden="1" x14ac:dyDescent="0.25">
      <c r="A3998" s="127" t="s">
        <v>268</v>
      </c>
      <c r="B3998" s="127">
        <v>2021</v>
      </c>
      <c r="C3998" s="127" t="s">
        <v>106</v>
      </c>
      <c r="D3998" s="127">
        <v>8</v>
      </c>
      <c r="E3998" s="127">
        <v>47.6</v>
      </c>
      <c r="F3998" s="127">
        <v>55.5</v>
      </c>
    </row>
    <row r="3999" spans="1:6" hidden="1" x14ac:dyDescent="0.25">
      <c r="A3999" s="127" t="s">
        <v>268</v>
      </c>
      <c r="B3999" s="127">
        <v>2021</v>
      </c>
      <c r="C3999" s="127" t="s">
        <v>107</v>
      </c>
      <c r="D3999" s="127">
        <v>9</v>
      </c>
      <c r="E3999" s="127">
        <v>46</v>
      </c>
      <c r="F3999" s="127">
        <v>78</v>
      </c>
    </row>
    <row r="4000" spans="1:6" hidden="1" x14ac:dyDescent="0.25">
      <c r="A4000" s="127" t="s">
        <v>268</v>
      </c>
      <c r="B4000" s="127">
        <v>2021</v>
      </c>
      <c r="C4000" s="127" t="s">
        <v>108</v>
      </c>
      <c r="D4000" s="127">
        <v>10</v>
      </c>
      <c r="E4000" s="127">
        <v>160.69999999999999</v>
      </c>
      <c r="F4000" s="127">
        <v>3.1</v>
      </c>
    </row>
    <row r="4001" spans="1:6" hidden="1" x14ac:dyDescent="0.25">
      <c r="A4001" s="127" t="s">
        <v>268</v>
      </c>
      <c r="B4001" s="127">
        <v>2021</v>
      </c>
      <c r="C4001" s="127" t="s">
        <v>109</v>
      </c>
      <c r="D4001" s="127">
        <v>11</v>
      </c>
      <c r="E4001" s="127">
        <v>323.60000000000002</v>
      </c>
      <c r="F4001" s="127">
        <v>0</v>
      </c>
    </row>
    <row r="4002" spans="1:6" hidden="1" x14ac:dyDescent="0.25">
      <c r="A4002" s="127" t="s">
        <v>268</v>
      </c>
      <c r="B4002" s="127">
        <v>2021</v>
      </c>
      <c r="C4002" s="127" t="s">
        <v>110</v>
      </c>
      <c r="D4002" s="127">
        <v>12</v>
      </c>
      <c r="E4002" s="127">
        <v>328.4</v>
      </c>
      <c r="F4002" s="127">
        <v>0</v>
      </c>
    </row>
    <row r="4003" spans="1:6" hidden="1" x14ac:dyDescent="0.25">
      <c r="A4003" s="127" t="s">
        <v>269</v>
      </c>
      <c r="B4003" s="127">
        <v>2022</v>
      </c>
      <c r="C4003" s="127" t="s">
        <v>99</v>
      </c>
      <c r="D4003" s="127">
        <v>1</v>
      </c>
      <c r="E4003" s="127">
        <v>396.3</v>
      </c>
      <c r="F4003" s="127">
        <v>0</v>
      </c>
    </row>
    <row r="4004" spans="1:6" hidden="1" x14ac:dyDescent="0.25">
      <c r="A4004" s="127" t="s">
        <v>269</v>
      </c>
      <c r="B4004" s="127">
        <v>2022</v>
      </c>
      <c r="C4004" s="127" t="s">
        <v>100</v>
      </c>
      <c r="D4004" s="127">
        <v>2</v>
      </c>
      <c r="E4004" s="127">
        <v>286.10000000000002</v>
      </c>
      <c r="F4004" s="127">
        <v>0</v>
      </c>
    </row>
    <row r="4005" spans="1:6" hidden="1" x14ac:dyDescent="0.25">
      <c r="A4005" s="127" t="s">
        <v>269</v>
      </c>
      <c r="B4005" s="127">
        <v>2022</v>
      </c>
      <c r="C4005" s="127" t="s">
        <v>101</v>
      </c>
      <c r="D4005" s="127">
        <v>3</v>
      </c>
      <c r="E4005" s="127">
        <v>239.8</v>
      </c>
      <c r="F4005" s="127">
        <v>3.1</v>
      </c>
    </row>
    <row r="4006" spans="1:6" hidden="1" x14ac:dyDescent="0.25">
      <c r="A4006" s="127" t="s">
        <v>269</v>
      </c>
      <c r="B4006" s="127">
        <v>2022</v>
      </c>
      <c r="C4006" s="127" t="s">
        <v>102</v>
      </c>
      <c r="D4006" s="127">
        <v>4</v>
      </c>
      <c r="E4006" s="127">
        <v>192.3</v>
      </c>
      <c r="F4006" s="127">
        <v>8.1</v>
      </c>
    </row>
    <row r="4007" spans="1:6" hidden="1" x14ac:dyDescent="0.25">
      <c r="A4007" s="127" t="s">
        <v>269</v>
      </c>
      <c r="B4007" s="127">
        <v>2022</v>
      </c>
      <c r="C4007" s="127" t="s">
        <v>103</v>
      </c>
      <c r="D4007" s="127">
        <v>5</v>
      </c>
      <c r="E4007" s="127">
        <v>81.8</v>
      </c>
      <c r="F4007" s="127">
        <v>50.2</v>
      </c>
    </row>
    <row r="4008" spans="1:6" hidden="1" x14ac:dyDescent="0.25">
      <c r="A4008" s="127" t="s">
        <v>269</v>
      </c>
      <c r="B4008" s="127">
        <v>2022</v>
      </c>
      <c r="C4008" s="127" t="s">
        <v>104</v>
      </c>
      <c r="D4008" s="127">
        <v>6</v>
      </c>
      <c r="E4008" s="127">
        <v>35.5</v>
      </c>
      <c r="F4008" s="127">
        <v>92.6</v>
      </c>
    </row>
    <row r="4009" spans="1:6" hidden="1" x14ac:dyDescent="0.25">
      <c r="A4009" s="127" t="s">
        <v>269</v>
      </c>
      <c r="B4009" s="127">
        <v>2022</v>
      </c>
      <c r="C4009" s="127" t="s">
        <v>105</v>
      </c>
      <c r="D4009" s="127">
        <v>7</v>
      </c>
      <c r="E4009" s="127">
        <v>18.8</v>
      </c>
      <c r="F4009" s="127">
        <v>166.9</v>
      </c>
    </row>
    <row r="4010" spans="1:6" hidden="1" x14ac:dyDescent="0.25">
      <c r="A4010" s="127" t="s">
        <v>269</v>
      </c>
      <c r="B4010" s="127">
        <v>2022</v>
      </c>
      <c r="C4010" s="127" t="s">
        <v>106</v>
      </c>
      <c r="D4010" s="127">
        <v>8</v>
      </c>
      <c r="E4010" s="127">
        <v>10.7</v>
      </c>
      <c r="F4010" s="127">
        <v>163.80000000000001</v>
      </c>
    </row>
    <row r="4011" spans="1:6" hidden="1" x14ac:dyDescent="0.25">
      <c r="A4011" s="127" t="s">
        <v>269</v>
      </c>
      <c r="B4011" s="127">
        <v>2022</v>
      </c>
      <c r="C4011" s="127" t="s">
        <v>107</v>
      </c>
      <c r="D4011" s="127">
        <v>9</v>
      </c>
      <c r="E4011" s="127">
        <v>74.7</v>
      </c>
      <c r="F4011" s="127">
        <v>59.2</v>
      </c>
    </row>
    <row r="4012" spans="1:6" hidden="1" x14ac:dyDescent="0.25">
      <c r="A4012" s="127" t="s">
        <v>269</v>
      </c>
      <c r="B4012" s="127">
        <v>2022</v>
      </c>
      <c r="C4012" s="127" t="s">
        <v>108</v>
      </c>
      <c r="D4012" s="127">
        <v>10</v>
      </c>
      <c r="E4012" s="127">
        <v>73</v>
      </c>
      <c r="F4012" s="127">
        <v>28.5</v>
      </c>
    </row>
    <row r="4013" spans="1:6" hidden="1" x14ac:dyDescent="0.25">
      <c r="A4013" s="127" t="s">
        <v>269</v>
      </c>
      <c r="B4013" s="127">
        <v>2022</v>
      </c>
      <c r="C4013" s="127" t="s">
        <v>109</v>
      </c>
      <c r="D4013" s="127">
        <v>11</v>
      </c>
      <c r="E4013" s="127">
        <v>227.5</v>
      </c>
      <c r="F4013" s="127">
        <v>0.3</v>
      </c>
    </row>
    <row r="4014" spans="1:6" hidden="1" x14ac:dyDescent="0.25">
      <c r="A4014" s="127" t="s">
        <v>269</v>
      </c>
      <c r="B4014" s="127">
        <v>2022</v>
      </c>
      <c r="C4014" s="127" t="s">
        <v>110</v>
      </c>
      <c r="D4014" s="127">
        <v>12</v>
      </c>
      <c r="E4014" s="127">
        <v>380.8</v>
      </c>
      <c r="F4014" s="127">
        <v>0</v>
      </c>
    </row>
    <row r="4015" spans="1:6" hidden="1" x14ac:dyDescent="0.25">
      <c r="A4015" s="127" t="s">
        <v>267</v>
      </c>
      <c r="B4015" s="127">
        <v>2022</v>
      </c>
      <c r="C4015" s="127" t="s">
        <v>99</v>
      </c>
      <c r="D4015" s="127">
        <v>1</v>
      </c>
      <c r="E4015" s="127">
        <v>398</v>
      </c>
      <c r="F4015" s="127">
        <v>0</v>
      </c>
    </row>
    <row r="4016" spans="1:6" hidden="1" x14ac:dyDescent="0.25">
      <c r="A4016" s="127" t="s">
        <v>267</v>
      </c>
      <c r="B4016" s="127">
        <v>2022</v>
      </c>
      <c r="C4016" s="127" t="s">
        <v>100</v>
      </c>
      <c r="D4016" s="127">
        <v>2</v>
      </c>
      <c r="E4016" s="127">
        <v>297.39999999999998</v>
      </c>
      <c r="F4016" s="127">
        <v>0</v>
      </c>
    </row>
    <row r="4017" spans="1:6" hidden="1" x14ac:dyDescent="0.25">
      <c r="A4017" s="127" t="s">
        <v>267</v>
      </c>
      <c r="B4017" s="127">
        <v>2022</v>
      </c>
      <c r="C4017" s="127" t="s">
        <v>101</v>
      </c>
      <c r="D4017" s="127">
        <v>3</v>
      </c>
      <c r="E4017" s="127">
        <v>264</v>
      </c>
      <c r="F4017" s="127">
        <v>1.2</v>
      </c>
    </row>
    <row r="4018" spans="1:6" hidden="1" x14ac:dyDescent="0.25">
      <c r="A4018" s="127" t="s">
        <v>267</v>
      </c>
      <c r="B4018" s="127">
        <v>2022</v>
      </c>
      <c r="C4018" s="127" t="s">
        <v>102</v>
      </c>
      <c r="D4018" s="127">
        <v>4</v>
      </c>
      <c r="E4018" s="127">
        <v>212.7</v>
      </c>
      <c r="F4018" s="127">
        <v>4.4000000000000004</v>
      </c>
    </row>
    <row r="4019" spans="1:6" hidden="1" x14ac:dyDescent="0.25">
      <c r="A4019" s="127" t="s">
        <v>267</v>
      </c>
      <c r="B4019" s="127">
        <v>2022</v>
      </c>
      <c r="C4019" s="127" t="s">
        <v>103</v>
      </c>
      <c r="D4019" s="127">
        <v>5</v>
      </c>
      <c r="E4019" s="127">
        <v>102.1</v>
      </c>
      <c r="F4019" s="127">
        <v>25.6</v>
      </c>
    </row>
    <row r="4020" spans="1:6" hidden="1" x14ac:dyDescent="0.25">
      <c r="A4020" s="127" t="s">
        <v>267</v>
      </c>
      <c r="B4020" s="127">
        <v>2022</v>
      </c>
      <c r="C4020" s="127" t="s">
        <v>104</v>
      </c>
      <c r="D4020" s="127">
        <v>6</v>
      </c>
      <c r="E4020" s="127">
        <v>48</v>
      </c>
      <c r="F4020" s="127">
        <v>69.5</v>
      </c>
    </row>
    <row r="4021" spans="1:6" hidden="1" x14ac:dyDescent="0.25">
      <c r="A4021" s="127" t="s">
        <v>267</v>
      </c>
      <c r="B4021" s="127">
        <v>2022</v>
      </c>
      <c r="C4021" s="127" t="s">
        <v>105</v>
      </c>
      <c r="D4021" s="127">
        <v>7</v>
      </c>
      <c r="E4021" s="127">
        <v>30</v>
      </c>
      <c r="F4021" s="127">
        <v>134.69999999999999</v>
      </c>
    </row>
    <row r="4022" spans="1:6" hidden="1" x14ac:dyDescent="0.25">
      <c r="A4022" s="127" t="s">
        <v>267</v>
      </c>
      <c r="B4022" s="127">
        <v>2022</v>
      </c>
      <c r="C4022" s="127" t="s">
        <v>106</v>
      </c>
      <c r="D4022" s="127">
        <v>8</v>
      </c>
      <c r="E4022" s="127">
        <v>15.8</v>
      </c>
      <c r="F4022" s="127">
        <v>134.4</v>
      </c>
    </row>
    <row r="4023" spans="1:6" hidden="1" x14ac:dyDescent="0.25">
      <c r="A4023" s="127" t="s">
        <v>267</v>
      </c>
      <c r="B4023" s="127">
        <v>2022</v>
      </c>
      <c r="C4023" s="127" t="s">
        <v>107</v>
      </c>
      <c r="D4023" s="127">
        <v>9</v>
      </c>
      <c r="E4023" s="127">
        <v>82.1</v>
      </c>
      <c r="F4023" s="127">
        <v>40.4</v>
      </c>
    </row>
    <row r="4024" spans="1:6" hidden="1" x14ac:dyDescent="0.25">
      <c r="A4024" s="127" t="s">
        <v>267</v>
      </c>
      <c r="B4024" s="127">
        <v>2022</v>
      </c>
      <c r="C4024" s="127" t="s">
        <v>108</v>
      </c>
      <c r="D4024" s="127">
        <v>10</v>
      </c>
      <c r="E4024" s="127">
        <v>80.2</v>
      </c>
      <c r="F4024" s="127">
        <v>15.7</v>
      </c>
    </row>
    <row r="4025" spans="1:6" hidden="1" x14ac:dyDescent="0.25">
      <c r="A4025" s="127" t="s">
        <v>267</v>
      </c>
      <c r="B4025" s="127">
        <v>2022</v>
      </c>
      <c r="C4025" s="127" t="s">
        <v>109</v>
      </c>
      <c r="D4025" s="127">
        <v>11</v>
      </c>
      <c r="E4025" s="127">
        <v>231</v>
      </c>
      <c r="F4025" s="127">
        <v>0</v>
      </c>
    </row>
    <row r="4026" spans="1:6" hidden="1" x14ac:dyDescent="0.25">
      <c r="A4026" s="127" t="s">
        <v>267</v>
      </c>
      <c r="B4026" s="127">
        <v>2022</v>
      </c>
      <c r="C4026" s="127" t="s">
        <v>110</v>
      </c>
      <c r="D4026" s="127">
        <v>12</v>
      </c>
      <c r="E4026" s="127">
        <v>395.6</v>
      </c>
      <c r="F4026" s="127">
        <v>0</v>
      </c>
    </row>
    <row r="4027" spans="1:6" hidden="1" x14ac:dyDescent="0.25">
      <c r="A4027" s="127" t="s">
        <v>268</v>
      </c>
      <c r="B4027" s="127">
        <v>2022</v>
      </c>
      <c r="C4027" s="127" t="s">
        <v>99</v>
      </c>
      <c r="D4027" s="127">
        <v>1</v>
      </c>
      <c r="E4027" s="127">
        <v>399.3</v>
      </c>
      <c r="F4027" s="127">
        <v>0</v>
      </c>
    </row>
    <row r="4028" spans="1:6" hidden="1" x14ac:dyDescent="0.25">
      <c r="A4028" s="127" t="s">
        <v>268</v>
      </c>
      <c r="B4028" s="127">
        <v>2022</v>
      </c>
      <c r="C4028" s="127" t="s">
        <v>100</v>
      </c>
      <c r="D4028" s="127">
        <v>2</v>
      </c>
      <c r="E4028" s="127">
        <v>278.89999999999998</v>
      </c>
      <c r="F4028" s="127">
        <v>0</v>
      </c>
    </row>
    <row r="4029" spans="1:6" hidden="1" x14ac:dyDescent="0.25">
      <c r="A4029" s="127" t="s">
        <v>268</v>
      </c>
      <c r="B4029" s="127">
        <v>2022</v>
      </c>
      <c r="C4029" s="127" t="s">
        <v>101</v>
      </c>
      <c r="D4029" s="127">
        <v>3</v>
      </c>
      <c r="E4029" s="127">
        <v>244.3</v>
      </c>
      <c r="F4029" s="127">
        <v>1.4</v>
      </c>
    </row>
    <row r="4030" spans="1:6" hidden="1" x14ac:dyDescent="0.25">
      <c r="A4030" s="127" t="s">
        <v>268</v>
      </c>
      <c r="B4030" s="127">
        <v>2022</v>
      </c>
      <c r="C4030" s="127" t="s">
        <v>102</v>
      </c>
      <c r="D4030" s="127">
        <v>4</v>
      </c>
      <c r="E4030" s="127">
        <v>202</v>
      </c>
      <c r="F4030" s="127">
        <v>6.5</v>
      </c>
    </row>
    <row r="4031" spans="1:6" hidden="1" x14ac:dyDescent="0.25">
      <c r="A4031" s="127" t="s">
        <v>268</v>
      </c>
      <c r="B4031" s="127">
        <v>2022</v>
      </c>
      <c r="C4031" s="127" t="s">
        <v>103</v>
      </c>
      <c r="D4031" s="127">
        <v>5</v>
      </c>
      <c r="E4031" s="127">
        <v>88.3</v>
      </c>
      <c r="F4031" s="127">
        <v>49.4</v>
      </c>
    </row>
    <row r="4032" spans="1:6" hidden="1" x14ac:dyDescent="0.25">
      <c r="A4032" s="127" t="s">
        <v>268</v>
      </c>
      <c r="B4032" s="127">
        <v>2022</v>
      </c>
      <c r="C4032" s="127" t="s">
        <v>104</v>
      </c>
      <c r="D4032" s="127">
        <v>6</v>
      </c>
      <c r="E4032" s="127">
        <v>43</v>
      </c>
      <c r="F4032" s="127">
        <v>81.900000000000006</v>
      </c>
    </row>
    <row r="4033" spans="1:6" hidden="1" x14ac:dyDescent="0.25">
      <c r="A4033" s="127" t="s">
        <v>268</v>
      </c>
      <c r="B4033" s="127">
        <v>2022</v>
      </c>
      <c r="C4033" s="127" t="s">
        <v>105</v>
      </c>
      <c r="D4033" s="127">
        <v>7</v>
      </c>
      <c r="E4033" s="127">
        <v>24.8</v>
      </c>
      <c r="F4033" s="127">
        <v>154.4</v>
      </c>
    </row>
    <row r="4034" spans="1:6" hidden="1" x14ac:dyDescent="0.25">
      <c r="A4034" s="127" t="s">
        <v>268</v>
      </c>
      <c r="B4034" s="127">
        <v>2022</v>
      </c>
      <c r="C4034" s="127" t="s">
        <v>106</v>
      </c>
      <c r="D4034" s="127">
        <v>8</v>
      </c>
      <c r="E4034" s="127">
        <v>10.199999999999999</v>
      </c>
      <c r="F4034" s="127">
        <v>163.80000000000001</v>
      </c>
    </row>
    <row r="4035" spans="1:6" hidden="1" x14ac:dyDescent="0.25">
      <c r="A4035" s="127" t="s">
        <v>268</v>
      </c>
      <c r="B4035" s="127">
        <v>2022</v>
      </c>
      <c r="C4035" s="127" t="s">
        <v>107</v>
      </c>
      <c r="D4035" s="127">
        <v>9</v>
      </c>
      <c r="E4035" s="127">
        <v>69.3</v>
      </c>
      <c r="F4035" s="127">
        <v>58.8</v>
      </c>
    </row>
    <row r="4036" spans="1:6" hidden="1" x14ac:dyDescent="0.25">
      <c r="A4036" s="127" t="s">
        <v>268</v>
      </c>
      <c r="B4036" s="127">
        <v>2022</v>
      </c>
      <c r="C4036" s="127" t="s">
        <v>108</v>
      </c>
      <c r="D4036" s="127">
        <v>10</v>
      </c>
      <c r="E4036" s="127">
        <v>62.9</v>
      </c>
      <c r="F4036" s="127">
        <v>25.9</v>
      </c>
    </row>
    <row r="4037" spans="1:6" hidden="1" x14ac:dyDescent="0.25">
      <c r="A4037" s="127" t="s">
        <v>268</v>
      </c>
      <c r="B4037" s="127">
        <v>2022</v>
      </c>
      <c r="C4037" s="127" t="s">
        <v>109</v>
      </c>
      <c r="D4037" s="127">
        <v>11</v>
      </c>
      <c r="E4037" s="127">
        <v>204.3</v>
      </c>
      <c r="F4037" s="127">
        <v>0.5</v>
      </c>
    </row>
    <row r="4038" spans="1:6" hidden="1" x14ac:dyDescent="0.25">
      <c r="A4038" s="127" t="s">
        <v>268</v>
      </c>
      <c r="B4038" s="127">
        <v>2022</v>
      </c>
      <c r="C4038" s="127" t="s">
        <v>110</v>
      </c>
      <c r="D4038" s="127">
        <v>12</v>
      </c>
      <c r="E4038" s="127">
        <v>364.2</v>
      </c>
      <c r="F4038" s="127">
        <v>0</v>
      </c>
    </row>
    <row r="4039" spans="1:6" hidden="1" x14ac:dyDescent="0.25">
      <c r="A4039" s="30" t="s">
        <v>438</v>
      </c>
      <c r="B4039" s="30">
        <v>2001</v>
      </c>
      <c r="C4039" s="30" t="s">
        <v>99</v>
      </c>
      <c r="D4039">
        <v>1</v>
      </c>
      <c r="E4039" s="30">
        <v>408.8</v>
      </c>
      <c r="F4039" s="30">
        <v>0</v>
      </c>
    </row>
    <row r="4040" spans="1:6" hidden="1" x14ac:dyDescent="0.25">
      <c r="A4040" t="s">
        <v>438</v>
      </c>
      <c r="B4040">
        <v>2001</v>
      </c>
      <c r="C4040" t="s">
        <v>100</v>
      </c>
      <c r="D4040">
        <v>2</v>
      </c>
      <c r="E4040">
        <v>345</v>
      </c>
      <c r="F4040">
        <v>0</v>
      </c>
    </row>
    <row r="4041" spans="1:6" hidden="1" x14ac:dyDescent="0.25">
      <c r="A4041" t="s">
        <v>438</v>
      </c>
      <c r="B4041">
        <v>2001</v>
      </c>
      <c r="C4041" t="s">
        <v>101</v>
      </c>
      <c r="D4041">
        <v>3</v>
      </c>
      <c r="E4041">
        <v>293.60000000000002</v>
      </c>
      <c r="F4041">
        <v>0</v>
      </c>
    </row>
    <row r="4042" spans="1:6" hidden="1" x14ac:dyDescent="0.25">
      <c r="A4042" t="s">
        <v>438</v>
      </c>
      <c r="B4042">
        <v>2001</v>
      </c>
      <c r="C4042" t="s">
        <v>102</v>
      </c>
      <c r="D4042">
        <v>4</v>
      </c>
      <c r="E4042">
        <v>272.8</v>
      </c>
      <c r="F4042">
        <v>0.4</v>
      </c>
    </row>
    <row r="4043" spans="1:6" hidden="1" x14ac:dyDescent="0.25">
      <c r="A4043" t="s">
        <v>438</v>
      </c>
      <c r="B4043">
        <v>2001</v>
      </c>
      <c r="C4043" t="s">
        <v>103</v>
      </c>
      <c r="D4043">
        <v>5</v>
      </c>
      <c r="E4043">
        <v>138.80000000000001</v>
      </c>
      <c r="F4043">
        <v>23.4</v>
      </c>
    </row>
    <row r="4044" spans="1:6" hidden="1" x14ac:dyDescent="0.25">
      <c r="A4044" t="s">
        <v>438</v>
      </c>
      <c r="B4044">
        <v>2001</v>
      </c>
      <c r="C4044" t="s">
        <v>104</v>
      </c>
      <c r="D4044">
        <v>6</v>
      </c>
      <c r="E4044">
        <v>99.4</v>
      </c>
      <c r="F4044">
        <v>39.6</v>
      </c>
    </row>
    <row r="4045" spans="1:6" hidden="1" x14ac:dyDescent="0.25">
      <c r="A4045" t="s">
        <v>438</v>
      </c>
      <c r="B4045">
        <v>2001</v>
      </c>
      <c r="C4045" t="s">
        <v>105</v>
      </c>
      <c r="D4045">
        <v>7</v>
      </c>
      <c r="E4045">
        <v>51.9</v>
      </c>
      <c r="F4045">
        <v>70.900000000000006</v>
      </c>
    </row>
    <row r="4046" spans="1:6" hidden="1" x14ac:dyDescent="0.25">
      <c r="A4046" t="s">
        <v>438</v>
      </c>
      <c r="B4046">
        <v>2001</v>
      </c>
      <c r="C4046" t="s">
        <v>106</v>
      </c>
      <c r="D4046">
        <v>8</v>
      </c>
      <c r="E4046">
        <v>40.700000000000003</v>
      </c>
      <c r="F4046">
        <v>81.5</v>
      </c>
    </row>
    <row r="4047" spans="1:6" hidden="1" x14ac:dyDescent="0.25">
      <c r="A4047" t="s">
        <v>438</v>
      </c>
      <c r="B4047">
        <v>2001</v>
      </c>
      <c r="C4047" t="s">
        <v>107</v>
      </c>
      <c r="D4047">
        <v>9</v>
      </c>
      <c r="E4047">
        <v>128</v>
      </c>
      <c r="F4047">
        <v>5.9</v>
      </c>
    </row>
    <row r="4048" spans="1:6" hidden="1" x14ac:dyDescent="0.25">
      <c r="A4048" t="s">
        <v>438</v>
      </c>
      <c r="B4048">
        <v>2001</v>
      </c>
      <c r="C4048" t="s">
        <v>108</v>
      </c>
      <c r="D4048">
        <v>10</v>
      </c>
      <c r="E4048">
        <v>106.2</v>
      </c>
      <c r="F4048">
        <v>8.6999999999999993</v>
      </c>
    </row>
    <row r="4049" spans="1:6" hidden="1" x14ac:dyDescent="0.25">
      <c r="A4049" t="s">
        <v>438</v>
      </c>
      <c r="B4049">
        <v>2001</v>
      </c>
      <c r="C4049" t="s">
        <v>109</v>
      </c>
      <c r="D4049">
        <v>11</v>
      </c>
      <c r="E4049">
        <v>338.9</v>
      </c>
      <c r="F4049">
        <v>0</v>
      </c>
    </row>
    <row r="4050" spans="1:6" hidden="1" x14ac:dyDescent="0.25">
      <c r="A4050" t="s">
        <v>438</v>
      </c>
      <c r="B4050">
        <v>2001</v>
      </c>
      <c r="C4050" t="s">
        <v>110</v>
      </c>
      <c r="D4050">
        <v>12</v>
      </c>
      <c r="E4050">
        <v>459.7</v>
      </c>
      <c r="F4050">
        <v>0</v>
      </c>
    </row>
    <row r="4051" spans="1:6" hidden="1" x14ac:dyDescent="0.25">
      <c r="A4051" t="s">
        <v>438</v>
      </c>
      <c r="B4051">
        <v>2002</v>
      </c>
      <c r="C4051" t="s">
        <v>99</v>
      </c>
      <c r="D4051">
        <v>1</v>
      </c>
      <c r="E4051">
        <v>371.3</v>
      </c>
      <c r="F4051">
        <v>0</v>
      </c>
    </row>
    <row r="4052" spans="1:6" hidden="1" x14ac:dyDescent="0.25">
      <c r="A4052" t="s">
        <v>438</v>
      </c>
      <c r="B4052">
        <v>2002</v>
      </c>
      <c r="C4052" t="s">
        <v>100</v>
      </c>
      <c r="D4052">
        <v>2</v>
      </c>
      <c r="E4052">
        <v>287</v>
      </c>
      <c r="F4052">
        <v>0</v>
      </c>
    </row>
    <row r="4053" spans="1:6" hidden="1" x14ac:dyDescent="0.25">
      <c r="A4053" t="s">
        <v>438</v>
      </c>
      <c r="B4053">
        <v>2002</v>
      </c>
      <c r="C4053" t="s">
        <v>101</v>
      </c>
      <c r="D4053">
        <v>3</v>
      </c>
      <c r="E4053">
        <v>300.8</v>
      </c>
      <c r="F4053">
        <v>0</v>
      </c>
    </row>
    <row r="4054" spans="1:6" hidden="1" x14ac:dyDescent="0.25">
      <c r="A4054" t="s">
        <v>438</v>
      </c>
      <c r="B4054">
        <v>2002</v>
      </c>
      <c r="C4054" t="s">
        <v>102</v>
      </c>
      <c r="D4054">
        <v>4</v>
      </c>
      <c r="E4054">
        <v>238.8</v>
      </c>
      <c r="F4054">
        <v>2.5</v>
      </c>
    </row>
    <row r="4055" spans="1:6" hidden="1" x14ac:dyDescent="0.25">
      <c r="A4055" t="s">
        <v>438</v>
      </c>
      <c r="B4055">
        <v>2002</v>
      </c>
      <c r="C4055" t="s">
        <v>103</v>
      </c>
      <c r="D4055">
        <v>5</v>
      </c>
      <c r="E4055">
        <v>167.9</v>
      </c>
      <c r="F4055">
        <v>9.6</v>
      </c>
    </row>
    <row r="4056" spans="1:6" hidden="1" x14ac:dyDescent="0.25">
      <c r="A4056" t="s">
        <v>438</v>
      </c>
      <c r="B4056">
        <v>2002</v>
      </c>
      <c r="C4056" t="s">
        <v>104</v>
      </c>
      <c r="D4056">
        <v>6</v>
      </c>
      <c r="E4056">
        <v>84.8</v>
      </c>
      <c r="F4056">
        <v>34.1</v>
      </c>
    </row>
    <row r="4057" spans="1:6" hidden="1" x14ac:dyDescent="0.25">
      <c r="A4057" t="s">
        <v>438</v>
      </c>
      <c r="B4057">
        <v>2002</v>
      </c>
      <c r="C4057" t="s">
        <v>105</v>
      </c>
      <c r="D4057">
        <v>7</v>
      </c>
      <c r="E4057">
        <v>67</v>
      </c>
      <c r="F4057">
        <v>47.2</v>
      </c>
    </row>
    <row r="4058" spans="1:6" hidden="1" x14ac:dyDescent="0.25">
      <c r="A4058" t="s">
        <v>438</v>
      </c>
      <c r="B4058">
        <v>2002</v>
      </c>
      <c r="C4058" t="s">
        <v>106</v>
      </c>
      <c r="D4058">
        <v>8</v>
      </c>
      <c r="E4058">
        <v>53.9</v>
      </c>
      <c r="F4058">
        <v>47.9</v>
      </c>
    </row>
    <row r="4059" spans="1:6" hidden="1" x14ac:dyDescent="0.25">
      <c r="A4059" t="s">
        <v>438</v>
      </c>
      <c r="B4059">
        <v>2002</v>
      </c>
      <c r="C4059" t="s">
        <v>107</v>
      </c>
      <c r="D4059">
        <v>9</v>
      </c>
      <c r="E4059">
        <v>108.5</v>
      </c>
      <c r="F4059">
        <v>15.6</v>
      </c>
    </row>
    <row r="4060" spans="1:6" hidden="1" x14ac:dyDescent="0.25">
      <c r="A4060" t="s">
        <v>438</v>
      </c>
      <c r="B4060">
        <v>2002</v>
      </c>
      <c r="C4060" t="s">
        <v>108</v>
      </c>
      <c r="D4060">
        <v>10</v>
      </c>
      <c r="E4060">
        <v>184.7</v>
      </c>
      <c r="F4060">
        <v>2.1</v>
      </c>
    </row>
    <row r="4061" spans="1:6" hidden="1" x14ac:dyDescent="0.25">
      <c r="A4061" t="s">
        <v>438</v>
      </c>
      <c r="B4061">
        <v>2002</v>
      </c>
      <c r="C4061" t="s">
        <v>109</v>
      </c>
      <c r="D4061">
        <v>11</v>
      </c>
      <c r="E4061">
        <v>265.5</v>
      </c>
      <c r="F4061">
        <v>0</v>
      </c>
    </row>
    <row r="4062" spans="1:6" hidden="1" x14ac:dyDescent="0.25">
      <c r="A4062" t="s">
        <v>438</v>
      </c>
      <c r="B4062">
        <v>2002</v>
      </c>
      <c r="C4062" t="s">
        <v>110</v>
      </c>
      <c r="D4062">
        <v>12</v>
      </c>
      <c r="E4062">
        <v>338.4</v>
      </c>
      <c r="F4062">
        <v>0</v>
      </c>
    </row>
    <row r="4063" spans="1:6" hidden="1" x14ac:dyDescent="0.25">
      <c r="A4063" t="s">
        <v>438</v>
      </c>
      <c r="B4063">
        <v>2003</v>
      </c>
      <c r="C4063" t="s">
        <v>99</v>
      </c>
      <c r="D4063">
        <v>1</v>
      </c>
      <c r="E4063">
        <v>461</v>
      </c>
      <c r="F4063">
        <v>0</v>
      </c>
    </row>
    <row r="4064" spans="1:6" hidden="1" x14ac:dyDescent="0.25">
      <c r="A4064" t="s">
        <v>438</v>
      </c>
      <c r="B4064">
        <v>2003</v>
      </c>
      <c r="C4064" t="s">
        <v>100</v>
      </c>
      <c r="D4064">
        <v>2</v>
      </c>
      <c r="E4064">
        <v>388.2</v>
      </c>
      <c r="F4064">
        <v>0</v>
      </c>
    </row>
    <row r="4065" spans="1:6" hidden="1" x14ac:dyDescent="0.25">
      <c r="A4065" t="s">
        <v>438</v>
      </c>
      <c r="B4065">
        <v>2003</v>
      </c>
      <c r="C4065" t="s">
        <v>101</v>
      </c>
      <c r="D4065">
        <v>3</v>
      </c>
      <c r="E4065">
        <v>256.10000000000002</v>
      </c>
      <c r="F4065">
        <v>2.9</v>
      </c>
    </row>
    <row r="4066" spans="1:6" hidden="1" x14ac:dyDescent="0.25">
      <c r="A4066" t="s">
        <v>438</v>
      </c>
      <c r="B4066">
        <v>2003</v>
      </c>
      <c r="C4066" t="s">
        <v>102</v>
      </c>
      <c r="D4066">
        <v>4</v>
      </c>
      <c r="E4066">
        <v>224.5</v>
      </c>
      <c r="F4066">
        <v>9.3000000000000007</v>
      </c>
    </row>
    <row r="4067" spans="1:6" hidden="1" x14ac:dyDescent="0.25">
      <c r="A4067" t="s">
        <v>438</v>
      </c>
      <c r="B4067">
        <v>2003</v>
      </c>
      <c r="C4067" t="s">
        <v>103</v>
      </c>
      <c r="D4067">
        <v>5</v>
      </c>
      <c r="E4067">
        <v>156.9</v>
      </c>
      <c r="F4067">
        <v>16.600000000000001</v>
      </c>
    </row>
    <row r="4068" spans="1:6" hidden="1" x14ac:dyDescent="0.25">
      <c r="A4068" t="s">
        <v>438</v>
      </c>
      <c r="B4068">
        <v>2003</v>
      </c>
      <c r="C4068" t="s">
        <v>104</v>
      </c>
      <c r="D4068">
        <v>6</v>
      </c>
      <c r="E4068">
        <v>35.5</v>
      </c>
      <c r="F4068">
        <v>78</v>
      </c>
    </row>
    <row r="4069" spans="1:6" hidden="1" x14ac:dyDescent="0.25">
      <c r="A4069" t="s">
        <v>438</v>
      </c>
      <c r="B4069">
        <v>2003</v>
      </c>
      <c r="C4069" t="s">
        <v>105</v>
      </c>
      <c r="D4069">
        <v>7</v>
      </c>
      <c r="E4069">
        <v>38.799999999999997</v>
      </c>
      <c r="F4069">
        <v>73.5</v>
      </c>
    </row>
    <row r="4070" spans="1:6" hidden="1" x14ac:dyDescent="0.25">
      <c r="A4070" t="s">
        <v>438</v>
      </c>
      <c r="B4070">
        <v>2003</v>
      </c>
      <c r="C4070" t="s">
        <v>106</v>
      </c>
      <c r="D4070">
        <v>8</v>
      </c>
      <c r="E4070">
        <v>27.2</v>
      </c>
      <c r="F4070">
        <v>162.4</v>
      </c>
    </row>
    <row r="4071" spans="1:6" hidden="1" x14ac:dyDescent="0.25">
      <c r="A4071" t="s">
        <v>438</v>
      </c>
      <c r="B4071">
        <v>2003</v>
      </c>
      <c r="C4071" t="s">
        <v>107</v>
      </c>
      <c r="D4071">
        <v>9</v>
      </c>
      <c r="E4071">
        <v>104.6</v>
      </c>
      <c r="F4071">
        <v>38.9</v>
      </c>
    </row>
    <row r="4072" spans="1:6" hidden="1" x14ac:dyDescent="0.25">
      <c r="A4072" t="s">
        <v>438</v>
      </c>
      <c r="B4072">
        <v>2003</v>
      </c>
      <c r="C4072" t="s">
        <v>108</v>
      </c>
      <c r="D4072">
        <v>10</v>
      </c>
      <c r="E4072">
        <v>260.8</v>
      </c>
      <c r="F4072">
        <v>2.5</v>
      </c>
    </row>
    <row r="4073" spans="1:6" hidden="1" x14ac:dyDescent="0.25">
      <c r="A4073" t="s">
        <v>438</v>
      </c>
      <c r="B4073">
        <v>2003</v>
      </c>
      <c r="C4073" t="s">
        <v>109</v>
      </c>
      <c r="D4073">
        <v>11</v>
      </c>
      <c r="E4073">
        <v>279.8</v>
      </c>
      <c r="F4073">
        <v>0</v>
      </c>
    </row>
    <row r="4074" spans="1:6" hidden="1" x14ac:dyDescent="0.25">
      <c r="A4074" t="s">
        <v>438</v>
      </c>
      <c r="B4074">
        <v>2003</v>
      </c>
      <c r="C4074" t="s">
        <v>110</v>
      </c>
      <c r="D4074">
        <v>12</v>
      </c>
      <c r="E4074">
        <v>404.4</v>
      </c>
      <c r="F4074">
        <v>0</v>
      </c>
    </row>
    <row r="4075" spans="1:6" hidden="1" x14ac:dyDescent="0.25">
      <c r="A4075" t="s">
        <v>438</v>
      </c>
      <c r="B4075">
        <v>2004</v>
      </c>
      <c r="C4075" t="s">
        <v>99</v>
      </c>
      <c r="D4075">
        <v>1</v>
      </c>
      <c r="E4075">
        <v>392.8</v>
      </c>
      <c r="F4075">
        <v>0</v>
      </c>
    </row>
    <row r="4076" spans="1:6" hidden="1" x14ac:dyDescent="0.25">
      <c r="A4076" t="s">
        <v>438</v>
      </c>
      <c r="B4076">
        <v>2004</v>
      </c>
      <c r="C4076" t="s">
        <v>100</v>
      </c>
      <c r="D4076">
        <v>2</v>
      </c>
      <c r="E4076">
        <v>369.5</v>
      </c>
      <c r="F4076">
        <v>0</v>
      </c>
    </row>
    <row r="4077" spans="1:6" hidden="1" x14ac:dyDescent="0.25">
      <c r="A4077" t="s">
        <v>438</v>
      </c>
      <c r="B4077">
        <v>2004</v>
      </c>
      <c r="C4077" t="s">
        <v>101</v>
      </c>
      <c r="D4077">
        <v>3</v>
      </c>
      <c r="E4077">
        <v>364.4</v>
      </c>
      <c r="F4077">
        <v>0.6</v>
      </c>
    </row>
    <row r="4078" spans="1:6" hidden="1" x14ac:dyDescent="0.25">
      <c r="A4078" t="s">
        <v>438</v>
      </c>
      <c r="B4078">
        <v>2004</v>
      </c>
      <c r="C4078" t="s">
        <v>102</v>
      </c>
      <c r="D4078">
        <v>4</v>
      </c>
      <c r="E4078">
        <v>250.7</v>
      </c>
      <c r="F4078">
        <v>0.7</v>
      </c>
    </row>
    <row r="4079" spans="1:6" hidden="1" x14ac:dyDescent="0.25">
      <c r="A4079" t="s">
        <v>438</v>
      </c>
      <c r="B4079">
        <v>2004</v>
      </c>
      <c r="C4079" t="s">
        <v>103</v>
      </c>
      <c r="D4079">
        <v>5</v>
      </c>
      <c r="E4079">
        <v>186.6</v>
      </c>
      <c r="F4079">
        <v>10.6</v>
      </c>
    </row>
    <row r="4080" spans="1:6" hidden="1" x14ac:dyDescent="0.25">
      <c r="A4080" t="s">
        <v>438</v>
      </c>
      <c r="B4080">
        <v>2004</v>
      </c>
      <c r="C4080" t="s">
        <v>104</v>
      </c>
      <c r="D4080">
        <v>6</v>
      </c>
      <c r="E4080">
        <v>81.900000000000006</v>
      </c>
      <c r="F4080">
        <v>37.700000000000003</v>
      </c>
    </row>
    <row r="4081" spans="1:6" hidden="1" x14ac:dyDescent="0.25">
      <c r="A4081" t="s">
        <v>438</v>
      </c>
      <c r="B4081">
        <v>2004</v>
      </c>
      <c r="C4081" t="s">
        <v>105</v>
      </c>
      <c r="D4081">
        <v>7</v>
      </c>
      <c r="E4081">
        <v>65.599999999999994</v>
      </c>
      <c r="F4081">
        <v>51.9</v>
      </c>
    </row>
    <row r="4082" spans="1:6" hidden="1" x14ac:dyDescent="0.25">
      <c r="A4082" t="s">
        <v>438</v>
      </c>
      <c r="B4082">
        <v>2004</v>
      </c>
      <c r="C4082" t="s">
        <v>106</v>
      </c>
      <c r="D4082">
        <v>8</v>
      </c>
      <c r="E4082">
        <v>39.700000000000003</v>
      </c>
      <c r="F4082">
        <v>71.3</v>
      </c>
    </row>
    <row r="4083" spans="1:6" hidden="1" x14ac:dyDescent="0.25">
      <c r="A4083" t="s">
        <v>438</v>
      </c>
      <c r="B4083">
        <v>2004</v>
      </c>
      <c r="C4083" t="s">
        <v>107</v>
      </c>
      <c r="D4083">
        <v>9</v>
      </c>
      <c r="E4083">
        <v>90.8</v>
      </c>
      <c r="F4083">
        <v>43.5</v>
      </c>
    </row>
    <row r="4084" spans="1:6" hidden="1" x14ac:dyDescent="0.25">
      <c r="A4084" t="s">
        <v>438</v>
      </c>
      <c r="B4084">
        <v>2004</v>
      </c>
      <c r="C4084" t="s">
        <v>108</v>
      </c>
      <c r="D4084">
        <v>10</v>
      </c>
      <c r="E4084">
        <v>188</v>
      </c>
      <c r="F4084">
        <v>2.8</v>
      </c>
    </row>
    <row r="4085" spans="1:6" hidden="1" x14ac:dyDescent="0.25">
      <c r="A4085" t="s">
        <v>438</v>
      </c>
      <c r="B4085">
        <v>2004</v>
      </c>
      <c r="C4085" t="s">
        <v>109</v>
      </c>
      <c r="D4085">
        <v>11</v>
      </c>
      <c r="E4085">
        <v>311.8</v>
      </c>
      <c r="F4085">
        <v>0</v>
      </c>
    </row>
    <row r="4086" spans="1:6" hidden="1" x14ac:dyDescent="0.25">
      <c r="A4086" t="s">
        <v>438</v>
      </c>
      <c r="B4086">
        <v>2004</v>
      </c>
      <c r="C4086" t="s">
        <v>110</v>
      </c>
      <c r="D4086">
        <v>12</v>
      </c>
      <c r="E4086">
        <v>443.1</v>
      </c>
      <c r="F4086">
        <v>0</v>
      </c>
    </row>
    <row r="4087" spans="1:6" hidden="1" x14ac:dyDescent="0.25">
      <c r="A4087" t="s">
        <v>438</v>
      </c>
      <c r="B4087">
        <v>2005</v>
      </c>
      <c r="C4087" t="s">
        <v>99</v>
      </c>
      <c r="D4087">
        <v>1</v>
      </c>
      <c r="E4087">
        <v>385.2</v>
      </c>
      <c r="F4087">
        <v>0</v>
      </c>
    </row>
    <row r="4088" spans="1:6" hidden="1" x14ac:dyDescent="0.25">
      <c r="A4088" t="s">
        <v>438</v>
      </c>
      <c r="B4088">
        <v>2005</v>
      </c>
      <c r="C4088" t="s">
        <v>100</v>
      </c>
      <c r="D4088">
        <v>2</v>
      </c>
      <c r="E4088">
        <v>412.1</v>
      </c>
      <c r="F4088">
        <v>0</v>
      </c>
    </row>
    <row r="4089" spans="1:6" hidden="1" x14ac:dyDescent="0.25">
      <c r="A4089" t="s">
        <v>438</v>
      </c>
      <c r="B4089">
        <v>2005</v>
      </c>
      <c r="C4089" t="s">
        <v>101</v>
      </c>
      <c r="D4089">
        <v>3</v>
      </c>
      <c r="E4089">
        <v>343.9</v>
      </c>
      <c r="F4089">
        <v>1.9</v>
      </c>
    </row>
    <row r="4090" spans="1:6" hidden="1" x14ac:dyDescent="0.25">
      <c r="A4090" t="s">
        <v>438</v>
      </c>
      <c r="B4090">
        <v>2005</v>
      </c>
      <c r="C4090" t="s">
        <v>102</v>
      </c>
      <c r="D4090">
        <v>4</v>
      </c>
      <c r="E4090">
        <v>238.1</v>
      </c>
      <c r="F4090">
        <v>3</v>
      </c>
    </row>
    <row r="4091" spans="1:6" hidden="1" x14ac:dyDescent="0.25">
      <c r="A4091" t="s">
        <v>438</v>
      </c>
      <c r="B4091">
        <v>2005</v>
      </c>
      <c r="C4091" t="s">
        <v>103</v>
      </c>
      <c r="D4091">
        <v>5</v>
      </c>
      <c r="E4091">
        <v>163.19999999999999</v>
      </c>
      <c r="F4091">
        <v>15.2</v>
      </c>
    </row>
    <row r="4092" spans="1:6" hidden="1" x14ac:dyDescent="0.25">
      <c r="A4092" t="s">
        <v>438</v>
      </c>
      <c r="B4092">
        <v>2005</v>
      </c>
      <c r="C4092" t="s">
        <v>104</v>
      </c>
      <c r="D4092">
        <v>6</v>
      </c>
      <c r="E4092">
        <v>72.7</v>
      </c>
      <c r="F4092">
        <v>71.599999999999994</v>
      </c>
    </row>
    <row r="4093" spans="1:6" hidden="1" x14ac:dyDescent="0.25">
      <c r="A4093" t="s">
        <v>438</v>
      </c>
      <c r="B4093">
        <v>2005</v>
      </c>
      <c r="C4093" t="s">
        <v>105</v>
      </c>
      <c r="D4093">
        <v>7</v>
      </c>
      <c r="E4093">
        <v>41.3</v>
      </c>
      <c r="F4093">
        <v>71.099999999999994</v>
      </c>
    </row>
    <row r="4094" spans="1:6" hidden="1" x14ac:dyDescent="0.25">
      <c r="A4094" t="s">
        <v>438</v>
      </c>
      <c r="B4094">
        <v>2005</v>
      </c>
      <c r="C4094" t="s">
        <v>106</v>
      </c>
      <c r="D4094">
        <v>8</v>
      </c>
      <c r="E4094">
        <v>69.5</v>
      </c>
      <c r="F4094">
        <v>57.7</v>
      </c>
    </row>
    <row r="4095" spans="1:6" hidden="1" x14ac:dyDescent="0.25">
      <c r="A4095" t="s">
        <v>438</v>
      </c>
      <c r="B4095">
        <v>2005</v>
      </c>
      <c r="C4095" t="s">
        <v>107</v>
      </c>
      <c r="D4095">
        <v>9</v>
      </c>
      <c r="E4095">
        <v>91.7</v>
      </c>
      <c r="F4095">
        <v>47.1</v>
      </c>
    </row>
    <row r="4096" spans="1:6" hidden="1" x14ac:dyDescent="0.25">
      <c r="A4096" t="s">
        <v>438</v>
      </c>
      <c r="B4096">
        <v>2005</v>
      </c>
      <c r="C4096" t="s">
        <v>108</v>
      </c>
      <c r="D4096">
        <v>10</v>
      </c>
      <c r="E4096">
        <v>107.6</v>
      </c>
      <c r="F4096">
        <v>13.5</v>
      </c>
    </row>
    <row r="4097" spans="1:6" hidden="1" x14ac:dyDescent="0.25">
      <c r="A4097" t="s">
        <v>438</v>
      </c>
      <c r="B4097">
        <v>2005</v>
      </c>
      <c r="C4097" t="s">
        <v>109</v>
      </c>
      <c r="D4097">
        <v>11</v>
      </c>
      <c r="E4097">
        <v>345.7</v>
      </c>
      <c r="F4097">
        <v>0</v>
      </c>
    </row>
    <row r="4098" spans="1:6" hidden="1" x14ac:dyDescent="0.25">
      <c r="A4098" t="s">
        <v>438</v>
      </c>
      <c r="B4098">
        <v>2005</v>
      </c>
      <c r="C4098" t="s">
        <v>110</v>
      </c>
      <c r="D4098">
        <v>12</v>
      </c>
      <c r="E4098">
        <v>451</v>
      </c>
      <c r="F4098">
        <v>0</v>
      </c>
    </row>
    <row r="4099" spans="1:6" hidden="1" x14ac:dyDescent="0.25">
      <c r="A4099" t="s">
        <v>438</v>
      </c>
      <c r="B4099">
        <v>2006</v>
      </c>
      <c r="C4099" t="s">
        <v>99</v>
      </c>
      <c r="D4099">
        <v>1</v>
      </c>
      <c r="E4099">
        <v>454.8</v>
      </c>
      <c r="F4099">
        <v>0</v>
      </c>
    </row>
    <row r="4100" spans="1:6" hidden="1" x14ac:dyDescent="0.25">
      <c r="A4100" t="s">
        <v>438</v>
      </c>
      <c r="B4100">
        <v>2006</v>
      </c>
      <c r="C4100" t="s">
        <v>100</v>
      </c>
      <c r="D4100">
        <v>2</v>
      </c>
      <c r="E4100">
        <v>415.7</v>
      </c>
      <c r="F4100">
        <v>0</v>
      </c>
    </row>
    <row r="4101" spans="1:6" hidden="1" x14ac:dyDescent="0.25">
      <c r="A4101" t="s">
        <v>438</v>
      </c>
      <c r="B4101">
        <v>2006</v>
      </c>
      <c r="C4101" t="s">
        <v>101</v>
      </c>
      <c r="D4101">
        <v>3</v>
      </c>
      <c r="E4101">
        <v>371.6</v>
      </c>
      <c r="F4101">
        <v>0</v>
      </c>
    </row>
    <row r="4102" spans="1:6" hidden="1" x14ac:dyDescent="0.25">
      <c r="A4102" t="s">
        <v>438</v>
      </c>
      <c r="B4102">
        <v>2006</v>
      </c>
      <c r="C4102" t="s">
        <v>102</v>
      </c>
      <c r="D4102">
        <v>4</v>
      </c>
      <c r="E4102">
        <v>255.6</v>
      </c>
      <c r="F4102">
        <v>2.2999999999999998</v>
      </c>
    </row>
    <row r="4103" spans="1:6" hidden="1" x14ac:dyDescent="0.25">
      <c r="A4103" t="s">
        <v>438</v>
      </c>
      <c r="B4103">
        <v>2006</v>
      </c>
      <c r="C4103" t="s">
        <v>103</v>
      </c>
      <c r="D4103">
        <v>5</v>
      </c>
      <c r="E4103">
        <v>134</v>
      </c>
      <c r="F4103">
        <v>11.8</v>
      </c>
    </row>
    <row r="4104" spans="1:6" hidden="1" x14ac:dyDescent="0.25">
      <c r="A4104" t="s">
        <v>438</v>
      </c>
      <c r="B4104">
        <v>2006</v>
      </c>
      <c r="C4104" t="s">
        <v>104</v>
      </c>
      <c r="D4104">
        <v>6</v>
      </c>
      <c r="E4104">
        <v>71.400000000000006</v>
      </c>
      <c r="F4104">
        <v>58.7</v>
      </c>
    </row>
    <row r="4105" spans="1:6" hidden="1" x14ac:dyDescent="0.25">
      <c r="A4105" t="s">
        <v>438</v>
      </c>
      <c r="B4105">
        <v>2006</v>
      </c>
      <c r="C4105" t="s">
        <v>105</v>
      </c>
      <c r="D4105">
        <v>7</v>
      </c>
      <c r="E4105">
        <v>15.3</v>
      </c>
      <c r="F4105">
        <v>144.30000000000001</v>
      </c>
    </row>
    <row r="4106" spans="1:6" hidden="1" x14ac:dyDescent="0.25">
      <c r="A4106" t="s">
        <v>438</v>
      </c>
      <c r="B4106">
        <v>2006</v>
      </c>
      <c r="C4106" t="s">
        <v>106</v>
      </c>
      <c r="D4106">
        <v>8</v>
      </c>
      <c r="E4106">
        <v>66.3</v>
      </c>
      <c r="F4106">
        <v>37</v>
      </c>
    </row>
    <row r="4107" spans="1:6" hidden="1" x14ac:dyDescent="0.25">
      <c r="A4107" t="s">
        <v>438</v>
      </c>
      <c r="B4107">
        <v>2006</v>
      </c>
      <c r="C4107" t="s">
        <v>107</v>
      </c>
      <c r="D4107">
        <v>9</v>
      </c>
      <c r="E4107">
        <v>47.9</v>
      </c>
      <c r="F4107">
        <v>57.3</v>
      </c>
    </row>
    <row r="4108" spans="1:6" hidden="1" x14ac:dyDescent="0.25">
      <c r="A4108" t="s">
        <v>438</v>
      </c>
      <c r="B4108">
        <v>2006</v>
      </c>
      <c r="C4108" t="s">
        <v>108</v>
      </c>
      <c r="D4108">
        <v>10</v>
      </c>
      <c r="E4108">
        <v>122</v>
      </c>
      <c r="F4108">
        <v>3</v>
      </c>
    </row>
    <row r="4109" spans="1:6" hidden="1" x14ac:dyDescent="0.25">
      <c r="A4109" t="s">
        <v>438</v>
      </c>
      <c r="B4109">
        <v>2006</v>
      </c>
      <c r="C4109" t="s">
        <v>109</v>
      </c>
      <c r="D4109">
        <v>11</v>
      </c>
      <c r="E4109">
        <v>288.3</v>
      </c>
      <c r="F4109">
        <v>0</v>
      </c>
    </row>
    <row r="4110" spans="1:6" hidden="1" x14ac:dyDescent="0.25">
      <c r="A4110" t="s">
        <v>438</v>
      </c>
      <c r="B4110">
        <v>2006</v>
      </c>
      <c r="C4110" t="s">
        <v>110</v>
      </c>
      <c r="D4110">
        <v>12</v>
      </c>
      <c r="E4110">
        <v>407.8</v>
      </c>
      <c r="F4110">
        <v>0</v>
      </c>
    </row>
    <row r="4111" spans="1:6" hidden="1" x14ac:dyDescent="0.25">
      <c r="A4111" t="s">
        <v>438</v>
      </c>
      <c r="B4111">
        <v>2007</v>
      </c>
      <c r="C4111" t="s">
        <v>99</v>
      </c>
      <c r="D4111">
        <v>1</v>
      </c>
      <c r="E4111">
        <v>346.7</v>
      </c>
      <c r="F4111">
        <v>0</v>
      </c>
    </row>
    <row r="4112" spans="1:6" hidden="1" x14ac:dyDescent="0.25">
      <c r="A4112" t="s">
        <v>438</v>
      </c>
      <c r="B4112">
        <v>2007</v>
      </c>
      <c r="C4112" t="s">
        <v>100</v>
      </c>
      <c r="D4112">
        <v>2</v>
      </c>
      <c r="E4112">
        <v>285.5</v>
      </c>
      <c r="F4112">
        <v>0</v>
      </c>
    </row>
    <row r="4113" spans="1:6" hidden="1" x14ac:dyDescent="0.25">
      <c r="A4113" t="s">
        <v>438</v>
      </c>
      <c r="B4113">
        <v>2007</v>
      </c>
      <c r="C4113" t="s">
        <v>101</v>
      </c>
      <c r="D4113">
        <v>3</v>
      </c>
      <c r="E4113">
        <v>327.39999999999998</v>
      </c>
      <c r="F4113">
        <v>0</v>
      </c>
    </row>
    <row r="4114" spans="1:6" hidden="1" x14ac:dyDescent="0.25">
      <c r="A4114" t="s">
        <v>438</v>
      </c>
      <c r="B4114">
        <v>2007</v>
      </c>
      <c r="C4114" t="s">
        <v>102</v>
      </c>
      <c r="D4114">
        <v>4</v>
      </c>
      <c r="E4114">
        <v>150</v>
      </c>
      <c r="F4114">
        <v>20.5</v>
      </c>
    </row>
    <row r="4115" spans="1:6" hidden="1" x14ac:dyDescent="0.25">
      <c r="A4115" t="s">
        <v>438</v>
      </c>
      <c r="B4115">
        <v>2007</v>
      </c>
      <c r="C4115" t="s">
        <v>103</v>
      </c>
      <c r="D4115">
        <v>5</v>
      </c>
      <c r="E4115">
        <v>124.6</v>
      </c>
      <c r="F4115">
        <v>11.5</v>
      </c>
    </row>
    <row r="4116" spans="1:6" hidden="1" x14ac:dyDescent="0.25">
      <c r="A4116" t="s">
        <v>438</v>
      </c>
      <c r="B4116">
        <v>2007</v>
      </c>
      <c r="C4116" t="s">
        <v>104</v>
      </c>
      <c r="D4116">
        <v>6</v>
      </c>
      <c r="E4116">
        <v>68.8</v>
      </c>
      <c r="F4116">
        <v>28.3</v>
      </c>
    </row>
    <row r="4117" spans="1:6" hidden="1" x14ac:dyDescent="0.25">
      <c r="A4117" t="s">
        <v>438</v>
      </c>
      <c r="B4117">
        <v>2007</v>
      </c>
      <c r="C4117" t="s">
        <v>105</v>
      </c>
      <c r="D4117">
        <v>7</v>
      </c>
      <c r="E4117">
        <v>57.5</v>
      </c>
      <c r="F4117">
        <v>32.1</v>
      </c>
    </row>
    <row r="4118" spans="1:6" hidden="1" x14ac:dyDescent="0.25">
      <c r="A4118" t="s">
        <v>438</v>
      </c>
      <c r="B4118">
        <v>2007</v>
      </c>
      <c r="C4118" t="s">
        <v>106</v>
      </c>
      <c r="D4118">
        <v>8</v>
      </c>
      <c r="E4118">
        <v>69.900000000000006</v>
      </c>
      <c r="F4118">
        <v>29.6</v>
      </c>
    </row>
    <row r="4119" spans="1:6" hidden="1" x14ac:dyDescent="0.25">
      <c r="A4119" t="s">
        <v>438</v>
      </c>
      <c r="B4119">
        <v>2007</v>
      </c>
      <c r="C4119" t="s">
        <v>107</v>
      </c>
      <c r="D4119">
        <v>9</v>
      </c>
      <c r="E4119">
        <v>135.69999999999999</v>
      </c>
      <c r="F4119">
        <v>13.3</v>
      </c>
    </row>
    <row r="4120" spans="1:6" hidden="1" x14ac:dyDescent="0.25">
      <c r="A4120" t="s">
        <v>438</v>
      </c>
      <c r="B4120">
        <v>2007</v>
      </c>
      <c r="C4120" t="s">
        <v>108</v>
      </c>
      <c r="D4120">
        <v>10</v>
      </c>
      <c r="E4120">
        <v>222.8</v>
      </c>
      <c r="F4120">
        <v>2.4</v>
      </c>
    </row>
    <row r="4121" spans="1:6" hidden="1" x14ac:dyDescent="0.25">
      <c r="A4121" t="s">
        <v>438</v>
      </c>
      <c r="B4121">
        <v>2007</v>
      </c>
      <c r="C4121" t="s">
        <v>109</v>
      </c>
      <c r="D4121">
        <v>11</v>
      </c>
      <c r="E4121">
        <v>332.7</v>
      </c>
      <c r="F4121">
        <v>0</v>
      </c>
    </row>
    <row r="4122" spans="1:6" hidden="1" x14ac:dyDescent="0.25">
      <c r="A4122" t="s">
        <v>438</v>
      </c>
      <c r="B4122">
        <v>2007</v>
      </c>
      <c r="C4122" t="s">
        <v>110</v>
      </c>
      <c r="D4122">
        <v>12</v>
      </c>
      <c r="E4122">
        <v>427.2</v>
      </c>
      <c r="F4122">
        <v>0</v>
      </c>
    </row>
    <row r="4123" spans="1:6" hidden="1" x14ac:dyDescent="0.25">
      <c r="A4123" t="s">
        <v>438</v>
      </c>
      <c r="B4123">
        <v>2008</v>
      </c>
      <c r="C4123" t="s">
        <v>99</v>
      </c>
      <c r="D4123">
        <v>1</v>
      </c>
      <c r="E4123">
        <v>362.3</v>
      </c>
      <c r="F4123">
        <v>0</v>
      </c>
    </row>
    <row r="4124" spans="1:6" hidden="1" x14ac:dyDescent="0.25">
      <c r="A4124" t="s">
        <v>438</v>
      </c>
      <c r="B4124">
        <v>2008</v>
      </c>
      <c r="C4124" t="s">
        <v>100</v>
      </c>
      <c r="D4124">
        <v>2</v>
      </c>
      <c r="E4124">
        <v>342.2</v>
      </c>
      <c r="F4124">
        <v>0</v>
      </c>
    </row>
    <row r="4125" spans="1:6" hidden="1" x14ac:dyDescent="0.25">
      <c r="A4125" t="s">
        <v>438</v>
      </c>
      <c r="B4125">
        <v>2008</v>
      </c>
      <c r="C4125" t="s">
        <v>101</v>
      </c>
      <c r="D4125">
        <v>3</v>
      </c>
      <c r="E4125">
        <v>340.3</v>
      </c>
      <c r="F4125">
        <v>0</v>
      </c>
    </row>
    <row r="4126" spans="1:6" hidden="1" x14ac:dyDescent="0.25">
      <c r="A4126" t="s">
        <v>438</v>
      </c>
      <c r="B4126">
        <v>2008</v>
      </c>
      <c r="C4126" t="s">
        <v>102</v>
      </c>
      <c r="D4126">
        <v>4</v>
      </c>
      <c r="E4126">
        <v>265.2</v>
      </c>
      <c r="F4126">
        <v>1.4</v>
      </c>
    </row>
    <row r="4127" spans="1:6" hidden="1" x14ac:dyDescent="0.25">
      <c r="A4127" t="s">
        <v>438</v>
      </c>
      <c r="B4127">
        <v>2008</v>
      </c>
      <c r="C4127" t="s">
        <v>103</v>
      </c>
      <c r="D4127">
        <v>5</v>
      </c>
      <c r="E4127">
        <v>108.7</v>
      </c>
      <c r="F4127">
        <v>23.9</v>
      </c>
    </row>
    <row r="4128" spans="1:6" hidden="1" x14ac:dyDescent="0.25">
      <c r="A4128" t="s">
        <v>438</v>
      </c>
      <c r="B4128">
        <v>2008</v>
      </c>
      <c r="C4128" t="s">
        <v>104</v>
      </c>
      <c r="D4128">
        <v>6</v>
      </c>
      <c r="E4128">
        <v>84.6</v>
      </c>
      <c r="F4128">
        <v>30.2</v>
      </c>
    </row>
    <row r="4129" spans="1:6" hidden="1" x14ac:dyDescent="0.25">
      <c r="A4129" t="s">
        <v>438</v>
      </c>
      <c r="B4129">
        <v>2008</v>
      </c>
      <c r="C4129" t="s">
        <v>105</v>
      </c>
      <c r="D4129">
        <v>7</v>
      </c>
      <c r="E4129">
        <v>63.3</v>
      </c>
      <c r="F4129">
        <v>51.4</v>
      </c>
    </row>
    <row r="4130" spans="1:6" hidden="1" x14ac:dyDescent="0.25">
      <c r="A4130" t="s">
        <v>438</v>
      </c>
      <c r="B4130">
        <v>2008</v>
      </c>
      <c r="C4130" t="s">
        <v>106</v>
      </c>
      <c r="D4130">
        <v>8</v>
      </c>
      <c r="E4130">
        <v>53.5</v>
      </c>
      <c r="F4130">
        <v>42.3</v>
      </c>
    </row>
    <row r="4131" spans="1:6" hidden="1" x14ac:dyDescent="0.25">
      <c r="A4131" t="s">
        <v>438</v>
      </c>
      <c r="B4131">
        <v>2008</v>
      </c>
      <c r="C4131" t="s">
        <v>107</v>
      </c>
      <c r="D4131">
        <v>9</v>
      </c>
      <c r="E4131">
        <v>141.4</v>
      </c>
      <c r="F4131">
        <v>4.8</v>
      </c>
    </row>
    <row r="4132" spans="1:6" hidden="1" x14ac:dyDescent="0.25">
      <c r="A4132" t="s">
        <v>438</v>
      </c>
      <c r="B4132">
        <v>2008</v>
      </c>
      <c r="C4132" t="s">
        <v>108</v>
      </c>
      <c r="D4132">
        <v>10</v>
      </c>
      <c r="E4132">
        <v>245.3</v>
      </c>
      <c r="F4132">
        <v>2.1</v>
      </c>
    </row>
    <row r="4133" spans="1:6" hidden="1" x14ac:dyDescent="0.25">
      <c r="A4133" t="s">
        <v>438</v>
      </c>
      <c r="B4133">
        <v>2008</v>
      </c>
      <c r="C4133" t="s">
        <v>109</v>
      </c>
      <c r="D4133">
        <v>11</v>
      </c>
      <c r="E4133">
        <v>299.60000000000002</v>
      </c>
      <c r="F4133">
        <v>0</v>
      </c>
    </row>
    <row r="4134" spans="1:6" hidden="1" x14ac:dyDescent="0.25">
      <c r="A4134" t="s">
        <v>438</v>
      </c>
      <c r="B4134">
        <v>2008</v>
      </c>
      <c r="C4134" t="s">
        <v>110</v>
      </c>
      <c r="D4134">
        <v>12</v>
      </c>
      <c r="E4134">
        <v>456.2</v>
      </c>
      <c r="F4134">
        <v>0</v>
      </c>
    </row>
    <row r="4135" spans="1:6" hidden="1" x14ac:dyDescent="0.25">
      <c r="A4135" t="s">
        <v>438</v>
      </c>
      <c r="B4135">
        <v>2009</v>
      </c>
      <c r="C4135" t="s">
        <v>99</v>
      </c>
      <c r="D4135">
        <v>1</v>
      </c>
      <c r="E4135">
        <v>515.5</v>
      </c>
      <c r="F4135">
        <v>0</v>
      </c>
    </row>
    <row r="4136" spans="1:6" hidden="1" x14ac:dyDescent="0.25">
      <c r="A4136" t="s">
        <v>438</v>
      </c>
      <c r="B4136">
        <v>2009</v>
      </c>
      <c r="C4136" t="s">
        <v>100</v>
      </c>
      <c r="D4136">
        <v>2</v>
      </c>
      <c r="E4136">
        <v>387</v>
      </c>
      <c r="F4136">
        <v>0</v>
      </c>
    </row>
    <row r="4137" spans="1:6" hidden="1" x14ac:dyDescent="0.25">
      <c r="A4137" t="s">
        <v>438</v>
      </c>
      <c r="B4137">
        <v>2009</v>
      </c>
      <c r="C4137" t="s">
        <v>101</v>
      </c>
      <c r="D4137">
        <v>3</v>
      </c>
      <c r="E4137">
        <v>341.3</v>
      </c>
      <c r="F4137">
        <v>0</v>
      </c>
    </row>
    <row r="4138" spans="1:6" hidden="1" x14ac:dyDescent="0.25">
      <c r="A4138" t="s">
        <v>438</v>
      </c>
      <c r="B4138">
        <v>2009</v>
      </c>
      <c r="C4138" t="s">
        <v>102</v>
      </c>
      <c r="D4138">
        <v>4</v>
      </c>
      <c r="E4138">
        <v>218.2</v>
      </c>
      <c r="F4138">
        <v>0.7</v>
      </c>
    </row>
    <row r="4139" spans="1:6" hidden="1" x14ac:dyDescent="0.25">
      <c r="A4139" t="s">
        <v>438</v>
      </c>
      <c r="B4139">
        <v>2009</v>
      </c>
      <c r="C4139" t="s">
        <v>103</v>
      </c>
      <c r="D4139">
        <v>5</v>
      </c>
      <c r="E4139">
        <v>151.5</v>
      </c>
      <c r="F4139">
        <v>12.9</v>
      </c>
    </row>
    <row r="4140" spans="1:6" hidden="1" x14ac:dyDescent="0.25">
      <c r="A4140" t="s">
        <v>438</v>
      </c>
      <c r="B4140">
        <v>2009</v>
      </c>
      <c r="C4140" t="s">
        <v>104</v>
      </c>
      <c r="D4140">
        <v>6</v>
      </c>
      <c r="E4140">
        <v>87.7</v>
      </c>
      <c r="F4140">
        <v>41.8</v>
      </c>
    </row>
    <row r="4141" spans="1:6" hidden="1" x14ac:dyDescent="0.25">
      <c r="A4141" t="s">
        <v>438</v>
      </c>
      <c r="B4141">
        <v>2009</v>
      </c>
      <c r="C4141" t="s">
        <v>105</v>
      </c>
      <c r="D4141">
        <v>7</v>
      </c>
      <c r="E4141">
        <v>49.7</v>
      </c>
      <c r="F4141">
        <v>56</v>
      </c>
    </row>
    <row r="4142" spans="1:6" hidden="1" x14ac:dyDescent="0.25">
      <c r="A4142" t="s">
        <v>438</v>
      </c>
      <c r="B4142">
        <v>2009</v>
      </c>
      <c r="C4142" t="s">
        <v>106</v>
      </c>
      <c r="D4142">
        <v>8</v>
      </c>
      <c r="E4142">
        <v>48.4</v>
      </c>
      <c r="F4142">
        <v>73.7</v>
      </c>
    </row>
    <row r="4143" spans="1:6" hidden="1" x14ac:dyDescent="0.25">
      <c r="A4143" t="s">
        <v>438</v>
      </c>
      <c r="B4143">
        <v>2009</v>
      </c>
      <c r="C4143" t="s">
        <v>107</v>
      </c>
      <c r="D4143">
        <v>9</v>
      </c>
      <c r="E4143">
        <v>86.4</v>
      </c>
      <c r="F4143">
        <v>34.6</v>
      </c>
    </row>
    <row r="4144" spans="1:6" hidden="1" x14ac:dyDescent="0.25">
      <c r="A4144" t="s">
        <v>438</v>
      </c>
      <c r="B4144">
        <v>2009</v>
      </c>
      <c r="C4144" t="s">
        <v>108</v>
      </c>
      <c r="D4144">
        <v>10</v>
      </c>
      <c r="E4144">
        <v>193.6</v>
      </c>
      <c r="F4144">
        <v>6.9</v>
      </c>
    </row>
    <row r="4145" spans="1:6" hidden="1" x14ac:dyDescent="0.25">
      <c r="A4145" t="s">
        <v>438</v>
      </c>
      <c r="B4145">
        <v>2009</v>
      </c>
      <c r="C4145" t="s">
        <v>109</v>
      </c>
      <c r="D4145">
        <v>11</v>
      </c>
      <c r="E4145">
        <v>251.2</v>
      </c>
      <c r="F4145">
        <v>0</v>
      </c>
    </row>
    <row r="4146" spans="1:6" hidden="1" x14ac:dyDescent="0.25">
      <c r="A4146" t="s">
        <v>438</v>
      </c>
      <c r="B4146">
        <v>2009</v>
      </c>
      <c r="C4146" t="s">
        <v>110</v>
      </c>
      <c r="D4146">
        <v>12</v>
      </c>
      <c r="E4146">
        <v>450.7</v>
      </c>
      <c r="F4146">
        <v>0</v>
      </c>
    </row>
    <row r="4147" spans="1:6" hidden="1" x14ac:dyDescent="0.25">
      <c r="A4147" t="s">
        <v>438</v>
      </c>
      <c r="B4147">
        <v>2010</v>
      </c>
      <c r="C4147" t="s">
        <v>99</v>
      </c>
      <c r="D4147">
        <v>1</v>
      </c>
      <c r="E4147">
        <v>535.1</v>
      </c>
      <c r="F4147">
        <v>0</v>
      </c>
    </row>
    <row r="4148" spans="1:6" hidden="1" x14ac:dyDescent="0.25">
      <c r="A4148" t="s">
        <v>438</v>
      </c>
      <c r="B4148">
        <v>2010</v>
      </c>
      <c r="C4148" t="s">
        <v>100</v>
      </c>
      <c r="D4148">
        <v>2</v>
      </c>
      <c r="E4148">
        <v>394.1</v>
      </c>
      <c r="F4148">
        <v>0</v>
      </c>
    </row>
    <row r="4149" spans="1:6" hidden="1" x14ac:dyDescent="0.25">
      <c r="A4149" t="s">
        <v>438</v>
      </c>
      <c r="B4149">
        <v>2010</v>
      </c>
      <c r="C4149" t="s">
        <v>101</v>
      </c>
      <c r="D4149">
        <v>3</v>
      </c>
      <c r="E4149">
        <v>345.9</v>
      </c>
      <c r="F4149">
        <v>0.1</v>
      </c>
    </row>
    <row r="4150" spans="1:6" hidden="1" x14ac:dyDescent="0.25">
      <c r="A4150" t="s">
        <v>438</v>
      </c>
      <c r="B4150">
        <v>2010</v>
      </c>
      <c r="C4150" t="s">
        <v>102</v>
      </c>
      <c r="D4150">
        <v>4</v>
      </c>
      <c r="E4150">
        <v>243.1</v>
      </c>
      <c r="F4150">
        <v>5.0999999999999996</v>
      </c>
    </row>
    <row r="4151" spans="1:6" hidden="1" x14ac:dyDescent="0.25">
      <c r="A4151" t="s">
        <v>438</v>
      </c>
      <c r="B4151">
        <v>2010</v>
      </c>
      <c r="C4151" t="s">
        <v>103</v>
      </c>
      <c r="D4151">
        <v>5</v>
      </c>
      <c r="E4151">
        <v>204.1</v>
      </c>
      <c r="F4151">
        <v>13</v>
      </c>
    </row>
    <row r="4152" spans="1:6" hidden="1" x14ac:dyDescent="0.25">
      <c r="A4152" t="s">
        <v>438</v>
      </c>
      <c r="B4152">
        <v>2010</v>
      </c>
      <c r="C4152" t="s">
        <v>104</v>
      </c>
      <c r="D4152">
        <v>6</v>
      </c>
      <c r="E4152">
        <v>75.900000000000006</v>
      </c>
      <c r="F4152">
        <v>43.8</v>
      </c>
    </row>
    <row r="4153" spans="1:6" hidden="1" x14ac:dyDescent="0.25">
      <c r="A4153" t="s">
        <v>438</v>
      </c>
      <c r="B4153">
        <v>2010</v>
      </c>
      <c r="C4153" t="s">
        <v>105</v>
      </c>
      <c r="D4153">
        <v>7</v>
      </c>
      <c r="E4153">
        <v>36.1</v>
      </c>
      <c r="F4153">
        <v>97</v>
      </c>
    </row>
    <row r="4154" spans="1:6" hidden="1" x14ac:dyDescent="0.25">
      <c r="A4154" t="s">
        <v>438</v>
      </c>
      <c r="B4154">
        <v>2010</v>
      </c>
      <c r="C4154" t="s">
        <v>106</v>
      </c>
      <c r="D4154">
        <v>8</v>
      </c>
      <c r="E4154">
        <v>66.900000000000006</v>
      </c>
      <c r="F4154">
        <v>46.5</v>
      </c>
    </row>
    <row r="4155" spans="1:6" hidden="1" x14ac:dyDescent="0.25">
      <c r="A4155" t="s">
        <v>438</v>
      </c>
      <c r="B4155">
        <v>2010</v>
      </c>
      <c r="C4155" t="s">
        <v>107</v>
      </c>
      <c r="D4155">
        <v>9</v>
      </c>
      <c r="E4155">
        <v>117.6</v>
      </c>
      <c r="F4155">
        <v>27.3</v>
      </c>
    </row>
    <row r="4156" spans="1:6" hidden="1" x14ac:dyDescent="0.25">
      <c r="A4156" t="s">
        <v>438</v>
      </c>
      <c r="B4156">
        <v>2010</v>
      </c>
      <c r="C4156" t="s">
        <v>108</v>
      </c>
      <c r="D4156">
        <v>10</v>
      </c>
      <c r="E4156">
        <v>210.1</v>
      </c>
      <c r="F4156">
        <v>7.1</v>
      </c>
    </row>
    <row r="4157" spans="1:6" hidden="1" x14ac:dyDescent="0.25">
      <c r="A4157" t="s">
        <v>438</v>
      </c>
      <c r="B4157">
        <v>2010</v>
      </c>
      <c r="C4157" t="s">
        <v>109</v>
      </c>
      <c r="D4157">
        <v>11</v>
      </c>
      <c r="E4157">
        <v>347.3</v>
      </c>
      <c r="F4157">
        <v>0</v>
      </c>
    </row>
    <row r="4158" spans="1:6" hidden="1" x14ac:dyDescent="0.25">
      <c r="A4158" t="s">
        <v>438</v>
      </c>
      <c r="B4158">
        <v>2010</v>
      </c>
      <c r="C4158" t="s">
        <v>110</v>
      </c>
      <c r="D4158">
        <v>12</v>
      </c>
      <c r="E4158">
        <v>537</v>
      </c>
      <c r="F4158">
        <v>0</v>
      </c>
    </row>
    <row r="4159" spans="1:6" hidden="1" x14ac:dyDescent="0.25">
      <c r="A4159" t="s">
        <v>438</v>
      </c>
      <c r="B4159">
        <v>2011</v>
      </c>
      <c r="C4159" t="s">
        <v>99</v>
      </c>
      <c r="D4159">
        <v>1</v>
      </c>
      <c r="E4159">
        <v>423.6</v>
      </c>
      <c r="F4159">
        <v>0</v>
      </c>
    </row>
    <row r="4160" spans="1:6" hidden="1" x14ac:dyDescent="0.25">
      <c r="A4160" t="s">
        <v>438</v>
      </c>
      <c r="B4160">
        <v>2011</v>
      </c>
      <c r="C4160" t="s">
        <v>100</v>
      </c>
      <c r="D4160">
        <v>2</v>
      </c>
      <c r="E4160">
        <v>317.7</v>
      </c>
      <c r="F4160">
        <v>0</v>
      </c>
    </row>
    <row r="4161" spans="1:6" hidden="1" x14ac:dyDescent="0.25">
      <c r="A4161" t="s">
        <v>438</v>
      </c>
      <c r="B4161">
        <v>2011</v>
      </c>
      <c r="C4161" t="s">
        <v>101</v>
      </c>
      <c r="D4161">
        <v>3</v>
      </c>
      <c r="E4161">
        <v>302.89999999999998</v>
      </c>
      <c r="F4161">
        <v>0.5</v>
      </c>
    </row>
    <row r="4162" spans="1:6" hidden="1" x14ac:dyDescent="0.25">
      <c r="A4162" t="s">
        <v>438</v>
      </c>
      <c r="B4162">
        <v>2011</v>
      </c>
      <c r="C4162" t="s">
        <v>102</v>
      </c>
      <c r="D4162">
        <v>4</v>
      </c>
      <c r="E4162">
        <v>166.6</v>
      </c>
      <c r="F4162">
        <v>17</v>
      </c>
    </row>
    <row r="4163" spans="1:6" hidden="1" x14ac:dyDescent="0.25">
      <c r="A4163" t="s">
        <v>438</v>
      </c>
      <c r="B4163">
        <v>2011</v>
      </c>
      <c r="C4163" t="s">
        <v>103</v>
      </c>
      <c r="D4163">
        <v>5</v>
      </c>
      <c r="E4163">
        <v>139.30000000000001</v>
      </c>
      <c r="F4163">
        <v>19</v>
      </c>
    </row>
    <row r="4164" spans="1:6" hidden="1" x14ac:dyDescent="0.25">
      <c r="A4164" t="s">
        <v>438</v>
      </c>
      <c r="B4164">
        <v>2011</v>
      </c>
      <c r="C4164" t="s">
        <v>104</v>
      </c>
      <c r="D4164">
        <v>6</v>
      </c>
      <c r="E4164">
        <v>87</v>
      </c>
      <c r="F4164">
        <v>39</v>
      </c>
    </row>
    <row r="4165" spans="1:6" hidden="1" x14ac:dyDescent="0.25">
      <c r="A4165" t="s">
        <v>438</v>
      </c>
      <c r="B4165">
        <v>2011</v>
      </c>
      <c r="C4165" t="s">
        <v>105</v>
      </c>
      <c r="D4165">
        <v>7</v>
      </c>
      <c r="E4165">
        <v>73.900000000000006</v>
      </c>
      <c r="F4165">
        <v>33.700000000000003</v>
      </c>
    </row>
    <row r="4166" spans="1:6" hidden="1" x14ac:dyDescent="0.25">
      <c r="A4166" t="s">
        <v>438</v>
      </c>
      <c r="B4166">
        <v>2011</v>
      </c>
      <c r="C4166" t="s">
        <v>106</v>
      </c>
      <c r="D4166">
        <v>8</v>
      </c>
      <c r="E4166">
        <v>56.7</v>
      </c>
      <c r="F4166">
        <v>48.9</v>
      </c>
    </row>
    <row r="4167" spans="1:6" hidden="1" x14ac:dyDescent="0.25">
      <c r="A4167" t="s">
        <v>438</v>
      </c>
      <c r="B4167">
        <v>2011</v>
      </c>
      <c r="C4167" t="s">
        <v>107</v>
      </c>
      <c r="D4167">
        <v>9</v>
      </c>
      <c r="E4167">
        <v>77.099999999999994</v>
      </c>
      <c r="F4167">
        <v>37.9</v>
      </c>
    </row>
    <row r="4168" spans="1:6" hidden="1" x14ac:dyDescent="0.25">
      <c r="A4168" t="s">
        <v>438</v>
      </c>
      <c r="B4168">
        <v>2011</v>
      </c>
      <c r="C4168" t="s">
        <v>108</v>
      </c>
      <c r="D4168">
        <v>10</v>
      </c>
      <c r="E4168">
        <v>175.3</v>
      </c>
      <c r="F4168">
        <v>10.7</v>
      </c>
    </row>
    <row r="4169" spans="1:6" hidden="1" x14ac:dyDescent="0.25">
      <c r="A4169" t="s">
        <v>438</v>
      </c>
      <c r="B4169">
        <v>2011</v>
      </c>
      <c r="C4169" t="s">
        <v>109</v>
      </c>
      <c r="D4169">
        <v>11</v>
      </c>
      <c r="E4169">
        <v>247.4</v>
      </c>
      <c r="F4169">
        <v>0</v>
      </c>
    </row>
    <row r="4170" spans="1:6" hidden="1" x14ac:dyDescent="0.25">
      <c r="A4170" t="s">
        <v>438</v>
      </c>
      <c r="B4170">
        <v>2011</v>
      </c>
      <c r="C4170" t="s">
        <v>110</v>
      </c>
      <c r="D4170">
        <v>12</v>
      </c>
      <c r="E4170">
        <v>339.9</v>
      </c>
      <c r="F4170">
        <v>0</v>
      </c>
    </row>
    <row r="4171" spans="1:6" hidden="1" x14ac:dyDescent="0.25">
      <c r="A4171" t="s">
        <v>438</v>
      </c>
      <c r="B4171">
        <v>2012</v>
      </c>
      <c r="C4171" t="s">
        <v>99</v>
      </c>
      <c r="D4171">
        <v>1</v>
      </c>
      <c r="E4171">
        <v>372.6</v>
      </c>
      <c r="F4171">
        <v>0</v>
      </c>
    </row>
    <row r="4172" spans="1:6" hidden="1" x14ac:dyDescent="0.25">
      <c r="A4172" t="s">
        <v>438</v>
      </c>
      <c r="B4172">
        <v>2012</v>
      </c>
      <c r="C4172" t="s">
        <v>100</v>
      </c>
      <c r="D4172">
        <v>2</v>
      </c>
      <c r="E4172">
        <v>470.5</v>
      </c>
      <c r="F4172">
        <v>0</v>
      </c>
    </row>
    <row r="4173" spans="1:6" hidden="1" x14ac:dyDescent="0.25">
      <c r="A4173" t="s">
        <v>438</v>
      </c>
      <c r="B4173">
        <v>2012</v>
      </c>
      <c r="C4173" t="s">
        <v>101</v>
      </c>
      <c r="D4173">
        <v>3</v>
      </c>
      <c r="E4173">
        <v>276</v>
      </c>
      <c r="F4173">
        <v>3</v>
      </c>
    </row>
    <row r="4174" spans="1:6" hidden="1" x14ac:dyDescent="0.25">
      <c r="A4174" t="s">
        <v>438</v>
      </c>
      <c r="B4174">
        <v>2012</v>
      </c>
      <c r="C4174" t="s">
        <v>102</v>
      </c>
      <c r="D4174">
        <v>4</v>
      </c>
      <c r="E4174">
        <v>292.8</v>
      </c>
      <c r="F4174">
        <v>0</v>
      </c>
    </row>
    <row r="4175" spans="1:6" hidden="1" x14ac:dyDescent="0.25">
      <c r="A4175" t="s">
        <v>438</v>
      </c>
      <c r="B4175">
        <v>2012</v>
      </c>
      <c r="C4175" t="s">
        <v>103</v>
      </c>
      <c r="D4175">
        <v>5</v>
      </c>
      <c r="E4175">
        <v>159.80000000000001</v>
      </c>
      <c r="F4175">
        <v>20.399999999999999</v>
      </c>
    </row>
    <row r="4176" spans="1:6" hidden="1" x14ac:dyDescent="0.25">
      <c r="A4176" t="s">
        <v>438</v>
      </c>
      <c r="B4176">
        <v>2012</v>
      </c>
      <c r="C4176" t="s">
        <v>104</v>
      </c>
      <c r="D4176">
        <v>6</v>
      </c>
      <c r="E4176">
        <v>87.3</v>
      </c>
      <c r="F4176">
        <v>23.1</v>
      </c>
    </row>
    <row r="4177" spans="1:6" hidden="1" x14ac:dyDescent="0.25">
      <c r="A4177" t="s">
        <v>438</v>
      </c>
      <c r="B4177">
        <v>2012</v>
      </c>
      <c r="C4177" t="s">
        <v>105</v>
      </c>
      <c r="D4177">
        <v>7</v>
      </c>
      <c r="E4177">
        <v>71.400000000000006</v>
      </c>
      <c r="F4177">
        <v>41.3</v>
      </c>
    </row>
    <row r="4178" spans="1:6" hidden="1" x14ac:dyDescent="0.25">
      <c r="A4178" t="s">
        <v>438</v>
      </c>
      <c r="B4178">
        <v>2012</v>
      </c>
      <c r="C4178" t="s">
        <v>106</v>
      </c>
      <c r="D4178">
        <v>8</v>
      </c>
      <c r="E4178">
        <v>50.2</v>
      </c>
      <c r="F4178">
        <v>70.8</v>
      </c>
    </row>
    <row r="4179" spans="1:6" hidden="1" x14ac:dyDescent="0.25">
      <c r="A4179" t="s">
        <v>438</v>
      </c>
      <c r="B4179">
        <v>2012</v>
      </c>
      <c r="C4179" t="s">
        <v>107</v>
      </c>
      <c r="D4179">
        <v>9</v>
      </c>
      <c r="E4179">
        <v>123.9</v>
      </c>
      <c r="F4179">
        <v>19.7</v>
      </c>
    </row>
    <row r="4180" spans="1:6" hidden="1" x14ac:dyDescent="0.25">
      <c r="A4180" t="s">
        <v>438</v>
      </c>
      <c r="B4180">
        <v>2012</v>
      </c>
      <c r="C4180" t="s">
        <v>108</v>
      </c>
      <c r="D4180">
        <v>10</v>
      </c>
      <c r="E4180">
        <v>188.4</v>
      </c>
      <c r="F4180">
        <v>1.2</v>
      </c>
    </row>
    <row r="4181" spans="1:6" hidden="1" x14ac:dyDescent="0.25">
      <c r="A4181" t="s">
        <v>438</v>
      </c>
      <c r="B4181">
        <v>2012</v>
      </c>
      <c r="C4181" t="s">
        <v>109</v>
      </c>
      <c r="D4181">
        <v>11</v>
      </c>
      <c r="E4181">
        <v>326.8</v>
      </c>
      <c r="F4181">
        <v>0</v>
      </c>
    </row>
    <row r="4182" spans="1:6" hidden="1" x14ac:dyDescent="0.25">
      <c r="A4182" t="s">
        <v>438</v>
      </c>
      <c r="B4182">
        <v>2012</v>
      </c>
      <c r="C4182" t="s">
        <v>110</v>
      </c>
      <c r="D4182">
        <v>12</v>
      </c>
      <c r="E4182">
        <v>362.6</v>
      </c>
      <c r="F4182">
        <v>0</v>
      </c>
    </row>
    <row r="4183" spans="1:6" hidden="1" x14ac:dyDescent="0.25">
      <c r="A4183" t="s">
        <v>438</v>
      </c>
      <c r="B4183">
        <v>2013</v>
      </c>
      <c r="C4183" t="s">
        <v>99</v>
      </c>
      <c r="D4183">
        <v>1</v>
      </c>
      <c r="E4183">
        <v>432.5</v>
      </c>
      <c r="F4183">
        <v>0</v>
      </c>
    </row>
    <row r="4184" spans="1:6" hidden="1" x14ac:dyDescent="0.25">
      <c r="A4184" t="s">
        <v>438</v>
      </c>
      <c r="B4184">
        <v>2013</v>
      </c>
      <c r="C4184" t="s">
        <v>100</v>
      </c>
      <c r="D4184">
        <v>2</v>
      </c>
      <c r="E4184">
        <v>414.1</v>
      </c>
      <c r="F4184">
        <v>0</v>
      </c>
    </row>
    <row r="4185" spans="1:6" hidden="1" x14ac:dyDescent="0.25">
      <c r="A4185" t="s">
        <v>438</v>
      </c>
      <c r="B4185">
        <v>2013</v>
      </c>
      <c r="C4185" t="s">
        <v>101</v>
      </c>
      <c r="D4185">
        <v>3</v>
      </c>
      <c r="E4185">
        <v>408.6</v>
      </c>
      <c r="F4185">
        <v>0</v>
      </c>
    </row>
    <row r="4186" spans="1:6" hidden="1" x14ac:dyDescent="0.25">
      <c r="A4186" t="s">
        <v>438</v>
      </c>
      <c r="B4186">
        <v>2013</v>
      </c>
      <c r="C4186" t="s">
        <v>102</v>
      </c>
      <c r="D4186">
        <v>4</v>
      </c>
      <c r="E4186">
        <v>275.89999999999998</v>
      </c>
      <c r="F4186">
        <v>5.3</v>
      </c>
    </row>
    <row r="4187" spans="1:6" hidden="1" x14ac:dyDescent="0.25">
      <c r="A4187" t="s">
        <v>438</v>
      </c>
      <c r="B4187">
        <v>2013</v>
      </c>
      <c r="C4187" t="s">
        <v>103</v>
      </c>
      <c r="D4187">
        <v>5</v>
      </c>
      <c r="E4187">
        <v>217.2</v>
      </c>
      <c r="F4187">
        <v>1.6</v>
      </c>
    </row>
    <row r="4188" spans="1:6" hidden="1" x14ac:dyDescent="0.25">
      <c r="A4188" t="s">
        <v>438</v>
      </c>
      <c r="B4188">
        <v>2013</v>
      </c>
      <c r="C4188" t="s">
        <v>104</v>
      </c>
      <c r="D4188">
        <v>6</v>
      </c>
      <c r="E4188">
        <v>92</v>
      </c>
      <c r="F4188">
        <v>23.6</v>
      </c>
    </row>
    <row r="4189" spans="1:6" hidden="1" x14ac:dyDescent="0.25">
      <c r="A4189" t="s">
        <v>438</v>
      </c>
      <c r="B4189">
        <v>2013</v>
      </c>
      <c r="C4189" t="s">
        <v>105</v>
      </c>
      <c r="D4189">
        <v>7</v>
      </c>
      <c r="E4189">
        <v>27</v>
      </c>
      <c r="F4189">
        <v>113.8</v>
      </c>
    </row>
    <row r="4190" spans="1:6" hidden="1" x14ac:dyDescent="0.25">
      <c r="A4190" t="s">
        <v>438</v>
      </c>
      <c r="B4190">
        <v>2013</v>
      </c>
      <c r="C4190" t="s">
        <v>106</v>
      </c>
      <c r="D4190">
        <v>8</v>
      </c>
      <c r="E4190">
        <v>54.9</v>
      </c>
      <c r="F4190">
        <v>71.900000000000006</v>
      </c>
    </row>
    <row r="4191" spans="1:6" hidden="1" x14ac:dyDescent="0.25">
      <c r="A4191" t="s">
        <v>438</v>
      </c>
      <c r="B4191">
        <v>2013</v>
      </c>
      <c r="C4191" t="s">
        <v>107</v>
      </c>
      <c r="D4191">
        <v>9</v>
      </c>
      <c r="E4191">
        <v>87.4</v>
      </c>
      <c r="F4191">
        <v>31.9</v>
      </c>
    </row>
    <row r="4192" spans="1:6" hidden="1" x14ac:dyDescent="0.25">
      <c r="A4192" t="s">
        <v>438</v>
      </c>
      <c r="B4192">
        <v>2013</v>
      </c>
      <c r="C4192" t="s">
        <v>108</v>
      </c>
      <c r="D4192">
        <v>10</v>
      </c>
      <c r="E4192">
        <v>150</v>
      </c>
      <c r="F4192">
        <v>5.5</v>
      </c>
    </row>
    <row r="4193" spans="1:6" hidden="1" x14ac:dyDescent="0.25">
      <c r="A4193" t="s">
        <v>438</v>
      </c>
      <c r="B4193">
        <v>2013</v>
      </c>
      <c r="C4193" t="s">
        <v>109</v>
      </c>
      <c r="D4193">
        <v>11</v>
      </c>
      <c r="E4193">
        <v>327.7</v>
      </c>
      <c r="F4193">
        <v>0</v>
      </c>
    </row>
    <row r="4194" spans="1:6" hidden="1" x14ac:dyDescent="0.25">
      <c r="A4194" t="s">
        <v>438</v>
      </c>
      <c r="B4194">
        <v>2013</v>
      </c>
      <c r="C4194" t="s">
        <v>110</v>
      </c>
      <c r="D4194">
        <v>12</v>
      </c>
      <c r="E4194">
        <v>402</v>
      </c>
      <c r="F4194">
        <v>0</v>
      </c>
    </row>
    <row r="4195" spans="1:6" hidden="1" x14ac:dyDescent="0.25">
      <c r="A4195" t="s">
        <v>438</v>
      </c>
      <c r="B4195">
        <v>2014</v>
      </c>
      <c r="C4195" t="s">
        <v>99</v>
      </c>
      <c r="D4195">
        <v>1</v>
      </c>
      <c r="E4195">
        <v>352.1</v>
      </c>
      <c r="F4195">
        <v>0</v>
      </c>
    </row>
    <row r="4196" spans="1:6" hidden="1" x14ac:dyDescent="0.25">
      <c r="A4196" t="s">
        <v>438</v>
      </c>
      <c r="B4196">
        <v>2014</v>
      </c>
      <c r="C4196" t="s">
        <v>100</v>
      </c>
      <c r="D4196">
        <v>2</v>
      </c>
      <c r="E4196">
        <v>316</v>
      </c>
      <c r="F4196">
        <v>0</v>
      </c>
    </row>
    <row r="4197" spans="1:6" hidden="1" x14ac:dyDescent="0.25">
      <c r="A4197" t="s">
        <v>438</v>
      </c>
      <c r="B4197">
        <v>2014</v>
      </c>
      <c r="C4197" t="s">
        <v>101</v>
      </c>
      <c r="D4197">
        <v>3</v>
      </c>
      <c r="E4197">
        <v>290.8</v>
      </c>
      <c r="F4197">
        <v>0.8</v>
      </c>
    </row>
    <row r="4198" spans="1:6" hidden="1" x14ac:dyDescent="0.25">
      <c r="A4198" t="s">
        <v>438</v>
      </c>
      <c r="B4198">
        <v>2014</v>
      </c>
      <c r="C4198" t="s">
        <v>102</v>
      </c>
      <c r="D4198">
        <v>4</v>
      </c>
      <c r="E4198">
        <v>211.9</v>
      </c>
      <c r="F4198">
        <v>1.2</v>
      </c>
    </row>
    <row r="4199" spans="1:6" hidden="1" x14ac:dyDescent="0.25">
      <c r="A4199" t="s">
        <v>438</v>
      </c>
      <c r="B4199">
        <v>2014</v>
      </c>
      <c r="C4199" t="s">
        <v>103</v>
      </c>
      <c r="D4199">
        <v>5</v>
      </c>
      <c r="E4199">
        <v>164.7</v>
      </c>
      <c r="F4199">
        <v>4.5999999999999996</v>
      </c>
    </row>
    <row r="4200" spans="1:6" hidden="1" x14ac:dyDescent="0.25">
      <c r="A4200" t="s">
        <v>438</v>
      </c>
      <c r="B4200">
        <v>2014</v>
      </c>
      <c r="C4200" t="s">
        <v>104</v>
      </c>
      <c r="D4200">
        <v>6</v>
      </c>
      <c r="E4200">
        <v>74.7</v>
      </c>
      <c r="F4200">
        <v>34.299999999999997</v>
      </c>
    </row>
    <row r="4201" spans="1:6" hidden="1" x14ac:dyDescent="0.25">
      <c r="A4201" t="s">
        <v>438</v>
      </c>
      <c r="B4201">
        <v>2014</v>
      </c>
      <c r="C4201" t="s">
        <v>105</v>
      </c>
      <c r="D4201">
        <v>7</v>
      </c>
      <c r="E4201">
        <v>40.1</v>
      </c>
      <c r="F4201">
        <v>68.8</v>
      </c>
    </row>
    <row r="4202" spans="1:6" hidden="1" x14ac:dyDescent="0.25">
      <c r="A4202" t="s">
        <v>438</v>
      </c>
      <c r="B4202">
        <v>2014</v>
      </c>
      <c r="C4202" t="s">
        <v>106</v>
      </c>
      <c r="D4202">
        <v>8</v>
      </c>
      <c r="E4202">
        <v>75.2</v>
      </c>
      <c r="F4202">
        <v>25.5</v>
      </c>
    </row>
    <row r="4203" spans="1:6" hidden="1" x14ac:dyDescent="0.25">
      <c r="A4203" t="s">
        <v>438</v>
      </c>
      <c r="B4203">
        <v>2014</v>
      </c>
      <c r="C4203" t="s">
        <v>107</v>
      </c>
      <c r="D4203">
        <v>9</v>
      </c>
      <c r="E4203">
        <v>60.2</v>
      </c>
      <c r="F4203">
        <v>34.299999999999997</v>
      </c>
    </row>
    <row r="4204" spans="1:6" hidden="1" x14ac:dyDescent="0.25">
      <c r="A4204" t="s">
        <v>438</v>
      </c>
      <c r="B4204">
        <v>2014</v>
      </c>
      <c r="C4204" t="s">
        <v>108</v>
      </c>
      <c r="D4204">
        <v>10</v>
      </c>
      <c r="E4204">
        <v>162.4</v>
      </c>
      <c r="F4204">
        <v>7.1</v>
      </c>
    </row>
    <row r="4205" spans="1:6" hidden="1" x14ac:dyDescent="0.25">
      <c r="A4205" t="s">
        <v>438</v>
      </c>
      <c r="B4205">
        <v>2014</v>
      </c>
      <c r="C4205" t="s">
        <v>109</v>
      </c>
      <c r="D4205">
        <v>11</v>
      </c>
      <c r="E4205">
        <v>248</v>
      </c>
      <c r="F4205">
        <v>0</v>
      </c>
    </row>
    <row r="4206" spans="1:6" hidden="1" x14ac:dyDescent="0.25">
      <c r="A4206" t="s">
        <v>438</v>
      </c>
      <c r="B4206">
        <v>2014</v>
      </c>
      <c r="C4206" t="s">
        <v>110</v>
      </c>
      <c r="D4206">
        <v>12</v>
      </c>
      <c r="E4206">
        <v>389.3</v>
      </c>
      <c r="F4206">
        <v>0</v>
      </c>
    </row>
    <row r="4207" spans="1:6" hidden="1" x14ac:dyDescent="0.25">
      <c r="A4207" t="s">
        <v>438</v>
      </c>
      <c r="B4207">
        <v>2015</v>
      </c>
      <c r="C4207" t="s">
        <v>99</v>
      </c>
      <c r="D4207">
        <v>1</v>
      </c>
      <c r="E4207">
        <v>414.4</v>
      </c>
      <c r="F4207">
        <v>0</v>
      </c>
    </row>
    <row r="4208" spans="1:6" hidden="1" x14ac:dyDescent="0.25">
      <c r="A4208" t="s">
        <v>438</v>
      </c>
      <c r="B4208">
        <v>2015</v>
      </c>
      <c r="C4208" t="s">
        <v>100</v>
      </c>
      <c r="D4208">
        <v>2</v>
      </c>
      <c r="E4208">
        <v>392.8</v>
      </c>
      <c r="F4208">
        <v>0</v>
      </c>
    </row>
    <row r="4209" spans="1:6" hidden="1" x14ac:dyDescent="0.25">
      <c r="A4209" t="s">
        <v>438</v>
      </c>
      <c r="B4209">
        <v>2015</v>
      </c>
      <c r="C4209" t="s">
        <v>101</v>
      </c>
      <c r="D4209">
        <v>3</v>
      </c>
      <c r="E4209">
        <v>329.9</v>
      </c>
      <c r="F4209">
        <v>0.1</v>
      </c>
    </row>
    <row r="4210" spans="1:6" hidden="1" x14ac:dyDescent="0.25">
      <c r="A4210" t="s">
        <v>438</v>
      </c>
      <c r="B4210">
        <v>2015</v>
      </c>
      <c r="C4210" t="s">
        <v>102</v>
      </c>
      <c r="D4210">
        <v>4</v>
      </c>
      <c r="E4210">
        <v>207.5</v>
      </c>
      <c r="F4210">
        <v>8.8000000000000007</v>
      </c>
    </row>
    <row r="4211" spans="1:6" hidden="1" x14ac:dyDescent="0.25">
      <c r="A4211" t="s">
        <v>438</v>
      </c>
      <c r="B4211">
        <v>2015</v>
      </c>
      <c r="C4211" t="s">
        <v>103</v>
      </c>
      <c r="D4211">
        <v>5</v>
      </c>
      <c r="E4211">
        <v>157.30000000000001</v>
      </c>
      <c r="F4211">
        <v>6.6</v>
      </c>
    </row>
    <row r="4212" spans="1:6" hidden="1" x14ac:dyDescent="0.25">
      <c r="A4212" t="s">
        <v>438</v>
      </c>
      <c r="B4212">
        <v>2015</v>
      </c>
      <c r="C4212" t="s">
        <v>104</v>
      </c>
      <c r="D4212">
        <v>6</v>
      </c>
      <c r="E4212">
        <v>79.599999999999994</v>
      </c>
      <c r="F4212">
        <v>45.5</v>
      </c>
    </row>
    <row r="4213" spans="1:6" hidden="1" x14ac:dyDescent="0.25">
      <c r="A4213" t="s">
        <v>438</v>
      </c>
      <c r="B4213">
        <v>2015</v>
      </c>
      <c r="C4213" t="s">
        <v>105</v>
      </c>
      <c r="D4213">
        <v>7</v>
      </c>
      <c r="E4213">
        <v>46.7</v>
      </c>
      <c r="F4213">
        <v>83.7</v>
      </c>
    </row>
    <row r="4214" spans="1:6" hidden="1" x14ac:dyDescent="0.25">
      <c r="A4214" t="s">
        <v>438</v>
      </c>
      <c r="B4214">
        <v>2015</v>
      </c>
      <c r="C4214" t="s">
        <v>106</v>
      </c>
      <c r="D4214">
        <v>8</v>
      </c>
      <c r="E4214">
        <v>50.7</v>
      </c>
      <c r="F4214">
        <v>82</v>
      </c>
    </row>
    <row r="4215" spans="1:6" hidden="1" x14ac:dyDescent="0.25">
      <c r="A4215" t="s">
        <v>438</v>
      </c>
      <c r="B4215">
        <v>2015</v>
      </c>
      <c r="C4215" t="s">
        <v>107</v>
      </c>
      <c r="D4215">
        <v>9</v>
      </c>
      <c r="E4215">
        <v>126</v>
      </c>
      <c r="F4215">
        <v>6.1</v>
      </c>
    </row>
    <row r="4216" spans="1:6" hidden="1" x14ac:dyDescent="0.25">
      <c r="A4216" t="s">
        <v>438</v>
      </c>
      <c r="B4216">
        <v>2015</v>
      </c>
      <c r="C4216" t="s">
        <v>108</v>
      </c>
      <c r="D4216">
        <v>10</v>
      </c>
      <c r="E4216">
        <v>210.8</v>
      </c>
      <c r="F4216">
        <v>1.3</v>
      </c>
    </row>
    <row r="4217" spans="1:6" hidden="1" x14ac:dyDescent="0.25">
      <c r="A4217" t="s">
        <v>438</v>
      </c>
      <c r="B4217">
        <v>2015</v>
      </c>
      <c r="C4217" t="s">
        <v>109</v>
      </c>
      <c r="D4217">
        <v>11</v>
      </c>
      <c r="E4217">
        <v>214.6</v>
      </c>
      <c r="F4217">
        <v>1</v>
      </c>
    </row>
    <row r="4218" spans="1:6" hidden="1" x14ac:dyDescent="0.25">
      <c r="A4218" t="s">
        <v>438</v>
      </c>
      <c r="B4218">
        <v>2015</v>
      </c>
      <c r="C4218" t="s">
        <v>110</v>
      </c>
      <c r="D4218">
        <v>12</v>
      </c>
      <c r="E4218">
        <v>285.2</v>
      </c>
      <c r="F4218">
        <v>0</v>
      </c>
    </row>
    <row r="4219" spans="1:6" hidden="1" x14ac:dyDescent="0.25">
      <c r="A4219" t="s">
        <v>438</v>
      </c>
      <c r="B4219">
        <v>2016</v>
      </c>
      <c r="C4219" t="s">
        <v>99</v>
      </c>
      <c r="D4219">
        <v>1</v>
      </c>
      <c r="E4219">
        <v>388.5</v>
      </c>
      <c r="F4219">
        <v>0</v>
      </c>
    </row>
    <row r="4220" spans="1:6" hidden="1" x14ac:dyDescent="0.25">
      <c r="A4220" t="s">
        <v>438</v>
      </c>
      <c r="B4220">
        <v>2016</v>
      </c>
      <c r="C4220" t="s">
        <v>100</v>
      </c>
      <c r="D4220">
        <v>2</v>
      </c>
      <c r="E4220">
        <v>351.3</v>
      </c>
      <c r="F4220">
        <v>0</v>
      </c>
    </row>
    <row r="4221" spans="1:6" hidden="1" x14ac:dyDescent="0.25">
      <c r="A4221" t="s">
        <v>438</v>
      </c>
      <c r="B4221">
        <v>2016</v>
      </c>
      <c r="C4221" t="s">
        <v>101</v>
      </c>
      <c r="D4221">
        <v>3</v>
      </c>
      <c r="E4221">
        <v>358.1</v>
      </c>
      <c r="F4221">
        <v>0</v>
      </c>
    </row>
    <row r="4222" spans="1:6" hidden="1" x14ac:dyDescent="0.25">
      <c r="A4222" t="s">
        <v>438</v>
      </c>
      <c r="B4222">
        <v>2016</v>
      </c>
      <c r="C4222" t="s">
        <v>102</v>
      </c>
      <c r="D4222">
        <v>4</v>
      </c>
      <c r="E4222">
        <v>284.5</v>
      </c>
      <c r="F4222">
        <v>0.7</v>
      </c>
    </row>
    <row r="4223" spans="1:6" hidden="1" x14ac:dyDescent="0.25">
      <c r="A4223" t="s">
        <v>438</v>
      </c>
      <c r="B4223">
        <v>2016</v>
      </c>
      <c r="C4223" t="s">
        <v>103</v>
      </c>
      <c r="D4223">
        <v>5</v>
      </c>
      <c r="E4223">
        <v>155.80000000000001</v>
      </c>
      <c r="F4223">
        <v>8.9</v>
      </c>
    </row>
    <row r="4224" spans="1:6" hidden="1" x14ac:dyDescent="0.25">
      <c r="A4224" t="s">
        <v>438</v>
      </c>
      <c r="B4224">
        <v>2016</v>
      </c>
      <c r="C4224" t="s">
        <v>104</v>
      </c>
      <c r="D4224">
        <v>6</v>
      </c>
      <c r="E4224">
        <v>73.5</v>
      </c>
      <c r="F4224">
        <v>25.5</v>
      </c>
    </row>
    <row r="4225" spans="1:6" hidden="1" x14ac:dyDescent="0.25">
      <c r="A4225" t="s">
        <v>438</v>
      </c>
      <c r="B4225">
        <v>2016</v>
      </c>
      <c r="C4225" t="s">
        <v>105</v>
      </c>
      <c r="D4225">
        <v>7</v>
      </c>
      <c r="E4225">
        <v>49.3</v>
      </c>
      <c r="F4225">
        <v>70.099999999999994</v>
      </c>
    </row>
    <row r="4226" spans="1:6" hidden="1" x14ac:dyDescent="0.25">
      <c r="A4226" t="s">
        <v>438</v>
      </c>
      <c r="B4226">
        <v>2016</v>
      </c>
      <c r="C4226" t="s">
        <v>106</v>
      </c>
      <c r="D4226">
        <v>8</v>
      </c>
      <c r="E4226">
        <v>47.5</v>
      </c>
      <c r="F4226">
        <v>90.4</v>
      </c>
    </row>
    <row r="4227" spans="1:6" hidden="1" x14ac:dyDescent="0.25">
      <c r="A4227" t="s">
        <v>438</v>
      </c>
      <c r="B4227">
        <v>2016</v>
      </c>
      <c r="C4227" t="s">
        <v>107</v>
      </c>
      <c r="D4227">
        <v>9</v>
      </c>
      <c r="E4227">
        <v>61.4</v>
      </c>
      <c r="F4227">
        <v>52</v>
      </c>
    </row>
    <row r="4228" spans="1:6" hidden="1" x14ac:dyDescent="0.25">
      <c r="A4228" t="s">
        <v>438</v>
      </c>
      <c r="B4228">
        <v>2016</v>
      </c>
      <c r="C4228" t="s">
        <v>108</v>
      </c>
      <c r="D4228">
        <v>10</v>
      </c>
      <c r="E4228">
        <v>228.7</v>
      </c>
      <c r="F4228">
        <v>0.6</v>
      </c>
    </row>
    <row r="4229" spans="1:6" hidden="1" x14ac:dyDescent="0.25">
      <c r="A4229" t="s">
        <v>438</v>
      </c>
      <c r="B4229">
        <v>2016</v>
      </c>
      <c r="C4229" t="s">
        <v>109</v>
      </c>
      <c r="D4229">
        <v>11</v>
      </c>
      <c r="E4229">
        <v>312.10000000000002</v>
      </c>
      <c r="F4229">
        <v>0</v>
      </c>
    </row>
    <row r="4230" spans="1:6" hidden="1" x14ac:dyDescent="0.25">
      <c r="A4230" t="s">
        <v>438</v>
      </c>
      <c r="B4230">
        <v>2016</v>
      </c>
      <c r="C4230" t="s">
        <v>110</v>
      </c>
      <c r="D4230">
        <v>12</v>
      </c>
      <c r="E4230">
        <v>431.7</v>
      </c>
      <c r="F4230">
        <v>0</v>
      </c>
    </row>
    <row r="4231" spans="1:6" hidden="1" x14ac:dyDescent="0.25">
      <c r="A4231" t="s">
        <v>438</v>
      </c>
      <c r="B4231">
        <v>2017</v>
      </c>
      <c r="C4231" t="s">
        <v>99</v>
      </c>
      <c r="D4231">
        <v>1</v>
      </c>
      <c r="E4231">
        <v>484.7</v>
      </c>
      <c r="F4231">
        <v>0</v>
      </c>
    </row>
    <row r="4232" spans="1:6" hidden="1" x14ac:dyDescent="0.25">
      <c r="A4232" t="s">
        <v>438</v>
      </c>
      <c r="B4232">
        <v>2017</v>
      </c>
      <c r="C4232" t="s">
        <v>100</v>
      </c>
      <c r="D4232">
        <v>2</v>
      </c>
      <c r="E4232">
        <v>314.8</v>
      </c>
      <c r="F4232">
        <v>0</v>
      </c>
    </row>
    <row r="4233" spans="1:6" hidden="1" x14ac:dyDescent="0.25">
      <c r="A4233" t="s">
        <v>438</v>
      </c>
      <c r="B4233">
        <v>2017</v>
      </c>
      <c r="C4233" t="s">
        <v>101</v>
      </c>
      <c r="D4233">
        <v>3</v>
      </c>
      <c r="E4233">
        <v>258.39999999999998</v>
      </c>
      <c r="F4233">
        <v>1.4</v>
      </c>
    </row>
    <row r="4234" spans="1:6" hidden="1" x14ac:dyDescent="0.25">
      <c r="A4234" t="s">
        <v>438</v>
      </c>
      <c r="B4234">
        <v>2017</v>
      </c>
      <c r="C4234" t="s">
        <v>102</v>
      </c>
      <c r="D4234">
        <v>4</v>
      </c>
      <c r="E4234">
        <v>265.2</v>
      </c>
      <c r="F4234">
        <v>2.8</v>
      </c>
    </row>
    <row r="4235" spans="1:6" hidden="1" x14ac:dyDescent="0.25">
      <c r="A4235" t="s">
        <v>438</v>
      </c>
      <c r="B4235">
        <v>2017</v>
      </c>
      <c r="C4235" t="s">
        <v>103</v>
      </c>
      <c r="D4235">
        <v>5</v>
      </c>
      <c r="E4235">
        <v>127.4</v>
      </c>
      <c r="F4235">
        <v>30.9</v>
      </c>
    </row>
    <row r="4236" spans="1:6" hidden="1" x14ac:dyDescent="0.25">
      <c r="A4236" t="s">
        <v>438</v>
      </c>
      <c r="B4236">
        <v>2017</v>
      </c>
      <c r="C4236" t="s">
        <v>104</v>
      </c>
      <c r="D4236">
        <v>6</v>
      </c>
      <c r="E4236">
        <v>54.3</v>
      </c>
      <c r="F4236">
        <v>78.7</v>
      </c>
    </row>
    <row r="4237" spans="1:6" hidden="1" x14ac:dyDescent="0.25">
      <c r="A4237" t="s">
        <v>438</v>
      </c>
      <c r="B4237">
        <v>2017</v>
      </c>
      <c r="C4237" t="s">
        <v>105</v>
      </c>
      <c r="D4237">
        <v>7</v>
      </c>
      <c r="E4237">
        <v>38.9</v>
      </c>
      <c r="F4237">
        <v>85.4</v>
      </c>
    </row>
    <row r="4238" spans="1:6" hidden="1" x14ac:dyDescent="0.25">
      <c r="A4238" t="s">
        <v>438</v>
      </c>
      <c r="B4238">
        <v>2017</v>
      </c>
      <c r="C4238" t="s">
        <v>106</v>
      </c>
      <c r="D4238">
        <v>8</v>
      </c>
      <c r="E4238">
        <v>50.9</v>
      </c>
      <c r="F4238">
        <v>66.900000000000006</v>
      </c>
    </row>
    <row r="4239" spans="1:6" hidden="1" x14ac:dyDescent="0.25">
      <c r="A4239" t="s">
        <v>438</v>
      </c>
      <c r="B4239">
        <v>2017</v>
      </c>
      <c r="C4239" t="s">
        <v>107</v>
      </c>
      <c r="D4239">
        <v>9</v>
      </c>
      <c r="E4239">
        <v>117.5</v>
      </c>
      <c r="F4239">
        <v>8.1</v>
      </c>
    </row>
    <row r="4240" spans="1:6" hidden="1" x14ac:dyDescent="0.25">
      <c r="A4240" t="s">
        <v>438</v>
      </c>
      <c r="B4240">
        <v>2017</v>
      </c>
      <c r="C4240" t="s">
        <v>108</v>
      </c>
      <c r="D4240">
        <v>10</v>
      </c>
      <c r="E4240">
        <v>146.5</v>
      </c>
      <c r="F4240">
        <v>6.9</v>
      </c>
    </row>
    <row r="4241" spans="1:6" hidden="1" x14ac:dyDescent="0.25">
      <c r="A4241" t="s">
        <v>438</v>
      </c>
      <c r="B4241">
        <v>2017</v>
      </c>
      <c r="C4241" t="s">
        <v>109</v>
      </c>
      <c r="D4241">
        <v>11</v>
      </c>
      <c r="E4241">
        <v>311.60000000000002</v>
      </c>
      <c r="F4241">
        <v>0</v>
      </c>
    </row>
    <row r="4242" spans="1:6" hidden="1" x14ac:dyDescent="0.25">
      <c r="A4242" t="s">
        <v>438</v>
      </c>
      <c r="B4242">
        <v>2017</v>
      </c>
      <c r="C4242" t="s">
        <v>110</v>
      </c>
      <c r="D4242">
        <v>12</v>
      </c>
      <c r="E4242">
        <v>384.1</v>
      </c>
      <c r="F4242">
        <v>0</v>
      </c>
    </row>
    <row r="4243" spans="1:6" hidden="1" x14ac:dyDescent="0.25">
      <c r="A4243" t="s">
        <v>438</v>
      </c>
      <c r="B4243">
        <v>2018</v>
      </c>
      <c r="C4243" t="s">
        <v>99</v>
      </c>
      <c r="D4243">
        <v>1</v>
      </c>
      <c r="E4243">
        <v>331.1</v>
      </c>
      <c r="F4243">
        <v>0</v>
      </c>
    </row>
    <row r="4244" spans="1:6" hidden="1" x14ac:dyDescent="0.25">
      <c r="A4244" t="s">
        <v>438</v>
      </c>
      <c r="B4244">
        <v>2018</v>
      </c>
      <c r="C4244" t="s">
        <v>100</v>
      </c>
      <c r="D4244">
        <v>2</v>
      </c>
      <c r="E4244">
        <v>443.8</v>
      </c>
      <c r="F4244">
        <v>0</v>
      </c>
    </row>
    <row r="4245" spans="1:6" hidden="1" x14ac:dyDescent="0.25">
      <c r="A4245" t="s">
        <v>438</v>
      </c>
      <c r="B4245">
        <v>2018</v>
      </c>
      <c r="C4245" t="s">
        <v>101</v>
      </c>
      <c r="D4245">
        <v>3</v>
      </c>
      <c r="E4245">
        <v>344.3</v>
      </c>
      <c r="F4245">
        <v>0</v>
      </c>
    </row>
    <row r="4246" spans="1:6" hidden="1" x14ac:dyDescent="0.25">
      <c r="A4246" t="s">
        <v>438</v>
      </c>
      <c r="B4246">
        <v>2018</v>
      </c>
      <c r="C4246" t="s">
        <v>102</v>
      </c>
      <c r="D4246">
        <v>4</v>
      </c>
      <c r="E4246">
        <v>185.8</v>
      </c>
      <c r="F4246">
        <v>12.5</v>
      </c>
    </row>
    <row r="4247" spans="1:6" hidden="1" x14ac:dyDescent="0.25">
      <c r="A4247" t="s">
        <v>438</v>
      </c>
      <c r="B4247">
        <v>2018</v>
      </c>
      <c r="C4247" t="s">
        <v>103</v>
      </c>
      <c r="D4247">
        <v>5</v>
      </c>
      <c r="E4247">
        <v>118.1</v>
      </c>
      <c r="F4247">
        <v>33.5</v>
      </c>
    </row>
    <row r="4248" spans="1:6" hidden="1" x14ac:dyDescent="0.25">
      <c r="A4248" t="s">
        <v>438</v>
      </c>
      <c r="B4248">
        <v>2018</v>
      </c>
      <c r="C4248" t="s">
        <v>104</v>
      </c>
      <c r="D4248">
        <v>6</v>
      </c>
      <c r="E4248">
        <v>42.2</v>
      </c>
      <c r="F4248">
        <v>56</v>
      </c>
    </row>
    <row r="4249" spans="1:6" hidden="1" x14ac:dyDescent="0.25">
      <c r="A4249" t="s">
        <v>438</v>
      </c>
      <c r="B4249">
        <v>2018</v>
      </c>
      <c r="C4249" t="s">
        <v>105</v>
      </c>
      <c r="D4249">
        <v>7</v>
      </c>
      <c r="E4249">
        <v>13.3</v>
      </c>
      <c r="F4249">
        <v>131.30000000000001</v>
      </c>
    </row>
    <row r="4250" spans="1:6" hidden="1" x14ac:dyDescent="0.25">
      <c r="A4250" t="s">
        <v>438</v>
      </c>
      <c r="B4250">
        <v>2018</v>
      </c>
      <c r="C4250" t="s">
        <v>106</v>
      </c>
      <c r="D4250">
        <v>8</v>
      </c>
      <c r="E4250">
        <v>39.4</v>
      </c>
      <c r="F4250">
        <v>100.4</v>
      </c>
    </row>
    <row r="4251" spans="1:6" hidden="1" x14ac:dyDescent="0.25">
      <c r="A4251" t="s">
        <v>438</v>
      </c>
      <c r="B4251">
        <v>2018</v>
      </c>
      <c r="C4251" t="s">
        <v>107</v>
      </c>
      <c r="D4251">
        <v>9</v>
      </c>
      <c r="E4251">
        <v>102.4</v>
      </c>
      <c r="F4251">
        <v>39.799999999999997</v>
      </c>
    </row>
    <row r="4252" spans="1:6" hidden="1" x14ac:dyDescent="0.25">
      <c r="A4252" t="s">
        <v>438</v>
      </c>
      <c r="B4252">
        <v>2018</v>
      </c>
      <c r="C4252" t="s">
        <v>108</v>
      </c>
      <c r="D4252">
        <v>10</v>
      </c>
      <c r="E4252">
        <v>186.8</v>
      </c>
      <c r="F4252">
        <v>13.7</v>
      </c>
    </row>
    <row r="4253" spans="1:6" hidden="1" x14ac:dyDescent="0.25">
      <c r="A4253" t="s">
        <v>438</v>
      </c>
      <c r="B4253">
        <v>2018</v>
      </c>
      <c r="C4253" t="s">
        <v>109</v>
      </c>
      <c r="D4253">
        <v>11</v>
      </c>
      <c r="E4253">
        <v>314.60000000000002</v>
      </c>
      <c r="F4253">
        <v>0</v>
      </c>
    </row>
    <row r="4254" spans="1:6" hidden="1" x14ac:dyDescent="0.25">
      <c r="A4254" t="s">
        <v>438</v>
      </c>
      <c r="B4254">
        <v>2018</v>
      </c>
      <c r="C4254" t="s">
        <v>110</v>
      </c>
      <c r="D4254">
        <v>12</v>
      </c>
      <c r="E4254">
        <v>347</v>
      </c>
      <c r="F4254">
        <v>0</v>
      </c>
    </row>
    <row r="4255" spans="1:6" hidden="1" x14ac:dyDescent="0.25">
      <c r="A4255" t="s">
        <v>438</v>
      </c>
      <c r="B4255">
        <v>2019</v>
      </c>
      <c r="C4255" t="s">
        <v>99</v>
      </c>
      <c r="D4255">
        <v>1</v>
      </c>
      <c r="E4255">
        <v>424.4</v>
      </c>
      <c r="F4255">
        <v>0</v>
      </c>
    </row>
    <row r="4256" spans="1:6" hidden="1" x14ac:dyDescent="0.25">
      <c r="A4256" t="s">
        <v>438</v>
      </c>
      <c r="B4256">
        <v>2019</v>
      </c>
      <c r="C4256" t="s">
        <v>100</v>
      </c>
      <c r="D4256">
        <v>2</v>
      </c>
      <c r="E4256">
        <v>324.39999999999998</v>
      </c>
      <c r="F4256">
        <v>0.5</v>
      </c>
    </row>
    <row r="4257" spans="1:6" hidden="1" x14ac:dyDescent="0.25">
      <c r="A4257" t="s">
        <v>438</v>
      </c>
      <c r="B4257">
        <v>2019</v>
      </c>
      <c r="C4257" t="s">
        <v>101</v>
      </c>
      <c r="D4257">
        <v>3</v>
      </c>
      <c r="E4257">
        <v>285.8</v>
      </c>
      <c r="F4257">
        <v>0.3</v>
      </c>
    </row>
    <row r="4258" spans="1:6" hidden="1" x14ac:dyDescent="0.25">
      <c r="A4258" t="s">
        <v>438</v>
      </c>
      <c r="B4258">
        <v>2019</v>
      </c>
      <c r="C4258" t="s">
        <v>102</v>
      </c>
      <c r="D4258">
        <v>4</v>
      </c>
      <c r="E4258">
        <v>240.8</v>
      </c>
      <c r="F4258">
        <v>7.3</v>
      </c>
    </row>
    <row r="4259" spans="1:6" hidden="1" x14ac:dyDescent="0.25">
      <c r="A4259" t="s">
        <v>438</v>
      </c>
      <c r="B4259">
        <v>2019</v>
      </c>
      <c r="C4259" t="s">
        <v>103</v>
      </c>
      <c r="D4259">
        <v>5</v>
      </c>
      <c r="E4259">
        <v>179.3</v>
      </c>
      <c r="F4259">
        <v>6.2</v>
      </c>
    </row>
    <row r="4260" spans="1:6" hidden="1" x14ac:dyDescent="0.25">
      <c r="A4260" t="s">
        <v>438</v>
      </c>
      <c r="B4260">
        <v>2019</v>
      </c>
      <c r="C4260" t="s">
        <v>104</v>
      </c>
      <c r="D4260">
        <v>6</v>
      </c>
      <c r="E4260">
        <v>72.900000000000006</v>
      </c>
      <c r="F4260">
        <v>68.400000000000006</v>
      </c>
    </row>
    <row r="4261" spans="1:6" hidden="1" x14ac:dyDescent="0.25">
      <c r="A4261" t="s">
        <v>438</v>
      </c>
      <c r="B4261">
        <v>2019</v>
      </c>
      <c r="C4261" t="s">
        <v>105</v>
      </c>
      <c r="D4261">
        <v>7</v>
      </c>
      <c r="E4261">
        <v>36.799999999999997</v>
      </c>
      <c r="F4261">
        <v>111.6</v>
      </c>
    </row>
    <row r="4262" spans="1:6" hidden="1" x14ac:dyDescent="0.25">
      <c r="A4262" t="s">
        <v>438</v>
      </c>
      <c r="B4262">
        <v>2019</v>
      </c>
      <c r="C4262" t="s">
        <v>106</v>
      </c>
      <c r="D4262">
        <v>8</v>
      </c>
      <c r="E4262">
        <v>45.3</v>
      </c>
      <c r="F4262">
        <v>81.900000000000006</v>
      </c>
    </row>
    <row r="4263" spans="1:6" hidden="1" x14ac:dyDescent="0.25">
      <c r="A4263" t="s">
        <v>438</v>
      </c>
      <c r="B4263">
        <v>2019</v>
      </c>
      <c r="C4263" t="s">
        <v>107</v>
      </c>
      <c r="D4263">
        <v>9</v>
      </c>
      <c r="E4263">
        <v>84.6</v>
      </c>
      <c r="F4263">
        <v>30.7</v>
      </c>
    </row>
    <row r="4264" spans="1:6" hidden="1" x14ac:dyDescent="0.25">
      <c r="A4264" t="s">
        <v>438</v>
      </c>
      <c r="B4264">
        <v>2019</v>
      </c>
      <c r="C4264" t="s">
        <v>108</v>
      </c>
      <c r="D4264">
        <v>10</v>
      </c>
      <c r="E4264">
        <v>162.4</v>
      </c>
      <c r="F4264">
        <v>2.7</v>
      </c>
    </row>
    <row r="4265" spans="1:6" hidden="1" x14ac:dyDescent="0.25">
      <c r="A4265" t="s">
        <v>438</v>
      </c>
      <c r="B4265">
        <v>2019</v>
      </c>
      <c r="C4265" t="s">
        <v>109</v>
      </c>
      <c r="D4265">
        <v>11</v>
      </c>
      <c r="E4265">
        <v>313.89999999999998</v>
      </c>
      <c r="F4265">
        <v>0</v>
      </c>
    </row>
    <row r="4266" spans="1:6" hidden="1" x14ac:dyDescent="0.25">
      <c r="A4266" t="s">
        <v>438</v>
      </c>
      <c r="B4266">
        <v>2019</v>
      </c>
      <c r="C4266" t="s">
        <v>110</v>
      </c>
      <c r="D4266">
        <v>12</v>
      </c>
      <c r="E4266">
        <v>355.9</v>
      </c>
      <c r="F4266">
        <v>0</v>
      </c>
    </row>
    <row r="4267" spans="1:6" hidden="1" x14ac:dyDescent="0.25">
      <c r="A4267" t="s">
        <v>438</v>
      </c>
      <c r="B4267">
        <v>2020</v>
      </c>
      <c r="C4267" t="s">
        <v>99</v>
      </c>
      <c r="D4267">
        <v>1</v>
      </c>
      <c r="E4267">
        <v>365.7</v>
      </c>
      <c r="F4267">
        <v>0</v>
      </c>
    </row>
    <row r="4268" spans="1:6" hidden="1" x14ac:dyDescent="0.25">
      <c r="A4268" t="s">
        <v>438</v>
      </c>
      <c r="B4268">
        <v>2020</v>
      </c>
      <c r="C4268" t="s">
        <v>100</v>
      </c>
      <c r="D4268">
        <v>2</v>
      </c>
      <c r="E4268">
        <v>286</v>
      </c>
      <c r="F4268">
        <v>0</v>
      </c>
    </row>
    <row r="4269" spans="1:6" hidden="1" x14ac:dyDescent="0.25">
      <c r="A4269" t="s">
        <v>438</v>
      </c>
      <c r="B4269">
        <v>2020</v>
      </c>
      <c r="C4269" t="s">
        <v>101</v>
      </c>
      <c r="D4269">
        <v>3</v>
      </c>
      <c r="E4269">
        <v>310.60000000000002</v>
      </c>
      <c r="F4269">
        <v>0.1</v>
      </c>
    </row>
    <row r="4270" spans="1:6" hidden="1" x14ac:dyDescent="0.25">
      <c r="A4270" t="s">
        <v>438</v>
      </c>
      <c r="B4270">
        <v>2020</v>
      </c>
      <c r="C4270" t="s">
        <v>102</v>
      </c>
      <c r="D4270">
        <v>4</v>
      </c>
      <c r="E4270">
        <v>157.30000000000001</v>
      </c>
      <c r="F4270">
        <v>18.8</v>
      </c>
    </row>
    <row r="4271" spans="1:6" hidden="1" x14ac:dyDescent="0.25">
      <c r="A4271" t="s">
        <v>438</v>
      </c>
      <c r="B4271">
        <v>2020</v>
      </c>
      <c r="C4271" t="s">
        <v>103</v>
      </c>
      <c r="D4271">
        <v>5</v>
      </c>
      <c r="E4271">
        <v>133.6</v>
      </c>
      <c r="F4271">
        <v>29.6</v>
      </c>
    </row>
    <row r="4272" spans="1:6" hidden="1" x14ac:dyDescent="0.25">
      <c r="A4272" t="s">
        <v>438</v>
      </c>
      <c r="B4272">
        <v>2020</v>
      </c>
      <c r="C4272" t="s">
        <v>104</v>
      </c>
      <c r="D4272">
        <v>6</v>
      </c>
      <c r="E4272">
        <v>78.3</v>
      </c>
      <c r="F4272">
        <v>40.799999999999997</v>
      </c>
    </row>
    <row r="4273" spans="1:6" hidden="1" x14ac:dyDescent="0.25">
      <c r="A4273" t="s">
        <v>438</v>
      </c>
      <c r="B4273">
        <v>2020</v>
      </c>
      <c r="C4273" t="s">
        <v>105</v>
      </c>
      <c r="D4273">
        <v>7</v>
      </c>
      <c r="E4273">
        <v>52.4</v>
      </c>
      <c r="F4273">
        <v>73.900000000000006</v>
      </c>
    </row>
    <row r="4274" spans="1:6" hidden="1" x14ac:dyDescent="0.25">
      <c r="A4274" t="s">
        <v>438</v>
      </c>
      <c r="B4274">
        <v>2020</v>
      </c>
      <c r="C4274" t="s">
        <v>106</v>
      </c>
      <c r="D4274">
        <v>8</v>
      </c>
      <c r="E4274">
        <v>37.200000000000003</v>
      </c>
      <c r="F4274">
        <v>114</v>
      </c>
    </row>
    <row r="4275" spans="1:6" hidden="1" x14ac:dyDescent="0.25">
      <c r="A4275" t="s">
        <v>438</v>
      </c>
      <c r="B4275">
        <v>2020</v>
      </c>
      <c r="C4275" t="s">
        <v>107</v>
      </c>
      <c r="D4275">
        <v>9</v>
      </c>
      <c r="E4275">
        <v>72.400000000000006</v>
      </c>
      <c r="F4275">
        <v>64.900000000000006</v>
      </c>
    </row>
    <row r="4276" spans="1:6" hidden="1" x14ac:dyDescent="0.25">
      <c r="A4276" t="s">
        <v>438</v>
      </c>
      <c r="B4276">
        <v>2020</v>
      </c>
      <c r="C4276" t="s">
        <v>108</v>
      </c>
      <c r="D4276">
        <v>10</v>
      </c>
      <c r="E4276">
        <v>191.1</v>
      </c>
      <c r="F4276">
        <v>0.2</v>
      </c>
    </row>
    <row r="4277" spans="1:6" hidden="1" x14ac:dyDescent="0.25">
      <c r="A4277" t="s">
        <v>438</v>
      </c>
      <c r="B4277">
        <v>2020</v>
      </c>
      <c r="C4277" t="s">
        <v>109</v>
      </c>
      <c r="D4277">
        <v>11</v>
      </c>
      <c r="E4277">
        <v>254.2</v>
      </c>
      <c r="F4277">
        <v>0</v>
      </c>
    </row>
    <row r="4278" spans="1:6" hidden="1" x14ac:dyDescent="0.25">
      <c r="A4278" t="s">
        <v>438</v>
      </c>
      <c r="B4278">
        <v>2020</v>
      </c>
      <c r="C4278" t="s">
        <v>110</v>
      </c>
      <c r="D4278">
        <v>12</v>
      </c>
      <c r="E4278">
        <v>355.3</v>
      </c>
      <c r="F4278">
        <v>0</v>
      </c>
    </row>
    <row r="4279" spans="1:6" hidden="1" x14ac:dyDescent="0.25">
      <c r="A4279" t="s">
        <v>438</v>
      </c>
      <c r="B4279">
        <v>2021</v>
      </c>
      <c r="C4279" t="s">
        <v>99</v>
      </c>
      <c r="D4279">
        <v>1</v>
      </c>
      <c r="E4279">
        <v>430.5</v>
      </c>
      <c r="F4279">
        <v>0</v>
      </c>
    </row>
    <row r="4280" spans="1:6" hidden="1" x14ac:dyDescent="0.25">
      <c r="A4280" t="s">
        <v>438</v>
      </c>
      <c r="B4280">
        <v>2021</v>
      </c>
      <c r="C4280" t="s">
        <v>100</v>
      </c>
      <c r="D4280">
        <v>2</v>
      </c>
      <c r="E4280">
        <v>339.4</v>
      </c>
      <c r="F4280">
        <v>0</v>
      </c>
    </row>
    <row r="4281" spans="1:6" hidden="1" x14ac:dyDescent="0.25">
      <c r="A4281" t="s">
        <v>438</v>
      </c>
      <c r="B4281">
        <v>2021</v>
      </c>
      <c r="C4281" t="s">
        <v>101</v>
      </c>
      <c r="D4281">
        <v>3</v>
      </c>
      <c r="E4281">
        <v>328.8</v>
      </c>
      <c r="F4281">
        <v>2.7</v>
      </c>
    </row>
    <row r="4282" spans="1:6" hidden="1" x14ac:dyDescent="0.25">
      <c r="A4282" t="s">
        <v>438</v>
      </c>
      <c r="B4282">
        <v>2021</v>
      </c>
      <c r="C4282" t="s">
        <v>102</v>
      </c>
      <c r="D4282">
        <v>4</v>
      </c>
      <c r="E4282">
        <v>290.5</v>
      </c>
      <c r="F4282">
        <v>2.2999999999999998</v>
      </c>
    </row>
    <row r="4283" spans="1:6" hidden="1" x14ac:dyDescent="0.25">
      <c r="A4283" t="s">
        <v>438</v>
      </c>
      <c r="B4283">
        <v>2021</v>
      </c>
      <c r="C4283" t="s">
        <v>103</v>
      </c>
      <c r="D4283">
        <v>5</v>
      </c>
      <c r="E4283">
        <v>193.6</v>
      </c>
      <c r="F4283">
        <v>6.2</v>
      </c>
    </row>
    <row r="4284" spans="1:6" hidden="1" x14ac:dyDescent="0.25">
      <c r="A4284" t="s">
        <v>438</v>
      </c>
      <c r="B4284">
        <v>2021</v>
      </c>
      <c r="C4284" t="s">
        <v>104</v>
      </c>
      <c r="D4284">
        <v>6</v>
      </c>
      <c r="E4284">
        <v>56.3</v>
      </c>
      <c r="F4284">
        <v>47.6</v>
      </c>
    </row>
    <row r="4285" spans="1:6" hidden="1" x14ac:dyDescent="0.25">
      <c r="A4285" t="s">
        <v>438</v>
      </c>
      <c r="B4285">
        <v>2021</v>
      </c>
      <c r="C4285" t="s">
        <v>105</v>
      </c>
      <c r="D4285">
        <v>7</v>
      </c>
      <c r="E4285">
        <v>35.6</v>
      </c>
      <c r="F4285">
        <v>58.9</v>
      </c>
    </row>
    <row r="4286" spans="1:6" hidden="1" x14ac:dyDescent="0.25">
      <c r="A4286" t="s">
        <v>438</v>
      </c>
      <c r="B4286">
        <v>2021</v>
      </c>
      <c r="C4286" t="s">
        <v>106</v>
      </c>
      <c r="D4286">
        <v>8</v>
      </c>
      <c r="E4286">
        <v>56.1</v>
      </c>
      <c r="F4286">
        <v>37.1</v>
      </c>
    </row>
    <row r="4287" spans="1:6" hidden="1" x14ac:dyDescent="0.25">
      <c r="A4287" t="s">
        <v>438</v>
      </c>
      <c r="B4287">
        <v>2021</v>
      </c>
      <c r="C4287" t="s">
        <v>107</v>
      </c>
      <c r="D4287">
        <v>9</v>
      </c>
      <c r="E4287">
        <v>65.3</v>
      </c>
      <c r="F4287">
        <v>48.5</v>
      </c>
    </row>
    <row r="4288" spans="1:6" hidden="1" x14ac:dyDescent="0.25">
      <c r="A4288" t="s">
        <v>438</v>
      </c>
      <c r="B4288">
        <v>2021</v>
      </c>
      <c r="C4288" t="s">
        <v>108</v>
      </c>
      <c r="D4288">
        <v>10</v>
      </c>
      <c r="E4288">
        <v>189.7</v>
      </c>
      <c r="F4288">
        <v>2.1</v>
      </c>
    </row>
    <row r="4289" spans="1:6" hidden="1" x14ac:dyDescent="0.25">
      <c r="A4289" t="s">
        <v>438</v>
      </c>
      <c r="B4289">
        <v>2021</v>
      </c>
      <c r="C4289" t="s">
        <v>109</v>
      </c>
      <c r="D4289">
        <v>11</v>
      </c>
      <c r="E4289">
        <v>344.8</v>
      </c>
      <c r="F4289">
        <v>0</v>
      </c>
    </row>
    <row r="4290" spans="1:6" hidden="1" x14ac:dyDescent="0.25">
      <c r="A4290" t="s">
        <v>438</v>
      </c>
      <c r="B4290">
        <v>2021</v>
      </c>
      <c r="C4290" t="s">
        <v>110</v>
      </c>
      <c r="D4290">
        <v>12</v>
      </c>
      <c r="E4290">
        <v>355.3</v>
      </c>
      <c r="F4290">
        <v>0</v>
      </c>
    </row>
    <row r="4291" spans="1:6" hidden="1" x14ac:dyDescent="0.25">
      <c r="A4291" t="s">
        <v>438</v>
      </c>
      <c r="B4291">
        <v>2022</v>
      </c>
      <c r="C4291" t="s">
        <v>99</v>
      </c>
      <c r="D4291">
        <v>1</v>
      </c>
      <c r="E4291">
        <v>407.5</v>
      </c>
      <c r="F4291">
        <v>0</v>
      </c>
    </row>
    <row r="4292" spans="1:6" hidden="1" x14ac:dyDescent="0.25">
      <c r="A4292" t="s">
        <v>438</v>
      </c>
      <c r="B4292">
        <v>2022</v>
      </c>
      <c r="C4292" t="s">
        <v>100</v>
      </c>
      <c r="D4292">
        <v>2</v>
      </c>
      <c r="E4292">
        <v>307.8</v>
      </c>
      <c r="F4292">
        <v>0</v>
      </c>
    </row>
    <row r="4293" spans="1:6" hidden="1" x14ac:dyDescent="0.25">
      <c r="A4293" t="s">
        <v>438</v>
      </c>
      <c r="B4293">
        <v>2022</v>
      </c>
      <c r="C4293" t="s">
        <v>101</v>
      </c>
      <c r="D4293">
        <v>3</v>
      </c>
      <c r="E4293">
        <v>271.5</v>
      </c>
      <c r="F4293">
        <v>1.2</v>
      </c>
    </row>
    <row r="4294" spans="1:6" hidden="1" x14ac:dyDescent="0.25">
      <c r="A4294" t="s">
        <v>438</v>
      </c>
      <c r="B4294">
        <v>2022</v>
      </c>
      <c r="C4294" t="s">
        <v>102</v>
      </c>
      <c r="D4294">
        <v>4</v>
      </c>
      <c r="E4294">
        <v>230</v>
      </c>
      <c r="F4294">
        <v>3.1</v>
      </c>
    </row>
    <row r="4295" spans="1:6" hidden="1" x14ac:dyDescent="0.25">
      <c r="A4295" t="s">
        <v>438</v>
      </c>
      <c r="B4295">
        <v>2022</v>
      </c>
      <c r="C4295" t="s">
        <v>103</v>
      </c>
      <c r="D4295">
        <v>5</v>
      </c>
      <c r="E4295">
        <v>117.5</v>
      </c>
      <c r="F4295">
        <v>26.9</v>
      </c>
    </row>
    <row r="4296" spans="1:6" hidden="1" x14ac:dyDescent="0.25">
      <c r="A4296" t="s">
        <v>438</v>
      </c>
      <c r="B4296">
        <v>2022</v>
      </c>
      <c r="C4296" t="s">
        <v>104</v>
      </c>
      <c r="D4296">
        <v>6</v>
      </c>
      <c r="E4296">
        <v>57.3</v>
      </c>
      <c r="F4296">
        <v>58.6</v>
      </c>
    </row>
    <row r="4297" spans="1:6" hidden="1" x14ac:dyDescent="0.25">
      <c r="A4297" t="s">
        <v>438</v>
      </c>
      <c r="B4297">
        <v>2022</v>
      </c>
      <c r="C4297" t="s">
        <v>105</v>
      </c>
      <c r="D4297">
        <v>7</v>
      </c>
      <c r="E4297">
        <v>38.5</v>
      </c>
      <c r="F4297">
        <v>120.7</v>
      </c>
    </row>
    <row r="4298" spans="1:6" hidden="1" x14ac:dyDescent="0.25">
      <c r="A4298" t="s">
        <v>438</v>
      </c>
      <c r="B4298">
        <v>2022</v>
      </c>
      <c r="C4298" t="s">
        <v>106</v>
      </c>
      <c r="D4298">
        <v>8</v>
      </c>
      <c r="E4298">
        <v>21.7</v>
      </c>
      <c r="F4298">
        <v>125.2</v>
      </c>
    </row>
    <row r="4299" spans="1:6" hidden="1" x14ac:dyDescent="0.25">
      <c r="A4299" t="s">
        <v>438</v>
      </c>
      <c r="B4299">
        <v>2022</v>
      </c>
      <c r="C4299" t="s">
        <v>107</v>
      </c>
      <c r="D4299">
        <v>9</v>
      </c>
      <c r="E4299">
        <v>97.3</v>
      </c>
      <c r="F4299">
        <v>38.6</v>
      </c>
    </row>
    <row r="4300" spans="1:6" hidden="1" x14ac:dyDescent="0.25">
      <c r="A4300" t="s">
        <v>438</v>
      </c>
      <c r="B4300">
        <v>2022</v>
      </c>
      <c r="C4300" t="s">
        <v>108</v>
      </c>
      <c r="D4300">
        <v>10</v>
      </c>
      <c r="E4300">
        <v>102.9</v>
      </c>
      <c r="F4300">
        <v>11.8</v>
      </c>
    </row>
    <row r="4301" spans="1:6" hidden="1" x14ac:dyDescent="0.25">
      <c r="A4301" t="s">
        <v>438</v>
      </c>
      <c r="B4301">
        <v>2022</v>
      </c>
      <c r="C4301" t="s">
        <v>109</v>
      </c>
      <c r="D4301">
        <v>11</v>
      </c>
      <c r="E4301">
        <v>259.39999999999998</v>
      </c>
      <c r="F4301">
        <v>0</v>
      </c>
    </row>
    <row r="4302" spans="1:6" hidden="1" x14ac:dyDescent="0.25">
      <c r="A4302" t="s">
        <v>438</v>
      </c>
      <c r="B4302">
        <v>2022</v>
      </c>
      <c r="C4302" t="s">
        <v>110</v>
      </c>
      <c r="D4302">
        <v>12</v>
      </c>
      <c r="E4302">
        <v>410</v>
      </c>
      <c r="F4302">
        <v>0</v>
      </c>
    </row>
    <row r="4303" spans="1:6" hidden="1" x14ac:dyDescent="0.25">
      <c r="A4303" s="274" t="s">
        <v>438</v>
      </c>
      <c r="B4303" s="274">
        <v>2023</v>
      </c>
      <c r="C4303" s="274" t="s">
        <v>99</v>
      </c>
      <c r="D4303" s="276">
        <v>1</v>
      </c>
      <c r="E4303" s="274">
        <v>378.1</v>
      </c>
      <c r="F4303" s="274">
        <v>0</v>
      </c>
    </row>
    <row r="4304" spans="1:6" hidden="1" x14ac:dyDescent="0.25">
      <c r="A4304" s="275" t="s">
        <v>438</v>
      </c>
      <c r="B4304" s="275">
        <v>2023</v>
      </c>
      <c r="C4304" s="275" t="s">
        <v>100</v>
      </c>
      <c r="D4304" s="276">
        <v>2</v>
      </c>
      <c r="E4304" s="275">
        <v>338.1</v>
      </c>
      <c r="F4304" s="275">
        <v>0</v>
      </c>
    </row>
    <row r="4305" spans="1:6" hidden="1" x14ac:dyDescent="0.25">
      <c r="A4305" s="275" t="s">
        <v>438</v>
      </c>
      <c r="B4305" s="275">
        <v>2023</v>
      </c>
      <c r="C4305" s="275" t="s">
        <v>101</v>
      </c>
      <c r="D4305" s="276">
        <v>3</v>
      </c>
      <c r="E4305" s="275">
        <v>284.39999999999998</v>
      </c>
      <c r="F4305" s="275">
        <v>0.1</v>
      </c>
    </row>
    <row r="4306" spans="1:6" hidden="1" x14ac:dyDescent="0.25">
      <c r="A4306" s="275" t="s">
        <v>438</v>
      </c>
      <c r="B4306" s="275">
        <v>2023</v>
      </c>
      <c r="C4306" s="275" t="s">
        <v>102</v>
      </c>
      <c r="D4306" s="276">
        <v>4</v>
      </c>
      <c r="E4306" s="275">
        <v>240.6</v>
      </c>
      <c r="F4306" s="275">
        <v>0.9</v>
      </c>
    </row>
    <row r="4307" spans="1:6" hidden="1" x14ac:dyDescent="0.25">
      <c r="A4307" s="275" t="s">
        <v>438</v>
      </c>
      <c r="B4307" s="275">
        <v>2023</v>
      </c>
      <c r="C4307" s="275" t="s">
        <v>103</v>
      </c>
      <c r="D4307" s="276">
        <v>5</v>
      </c>
      <c r="E4307" s="275">
        <v>123.9</v>
      </c>
      <c r="F4307" s="275">
        <v>15.8</v>
      </c>
    </row>
    <row r="4308" spans="1:6" hidden="1" x14ac:dyDescent="0.25">
      <c r="A4308" s="275" t="s">
        <v>438</v>
      </c>
      <c r="B4308" s="275">
        <v>2023</v>
      </c>
      <c r="C4308" s="275" t="s">
        <v>104</v>
      </c>
      <c r="D4308" s="276">
        <v>6</v>
      </c>
      <c r="E4308" s="275">
        <v>33</v>
      </c>
      <c r="F4308" s="275">
        <v>89.1</v>
      </c>
    </row>
    <row r="4309" spans="1:6" hidden="1" x14ac:dyDescent="0.25">
      <c r="A4309" s="275" t="s">
        <v>438</v>
      </c>
      <c r="B4309" s="275">
        <v>2023</v>
      </c>
      <c r="C4309" s="275" t="s">
        <v>105</v>
      </c>
      <c r="D4309" s="276">
        <v>7</v>
      </c>
      <c r="E4309" s="275">
        <v>39.6</v>
      </c>
      <c r="F4309" s="275">
        <v>64.2</v>
      </c>
    </row>
    <row r="4310" spans="1:6" hidden="1" x14ac:dyDescent="0.25">
      <c r="A4310" s="275" t="s">
        <v>438</v>
      </c>
      <c r="B4310" s="275">
        <v>2023</v>
      </c>
      <c r="C4310" s="275" t="s">
        <v>106</v>
      </c>
      <c r="D4310" s="276">
        <v>8</v>
      </c>
      <c r="E4310" s="275">
        <v>35.4</v>
      </c>
      <c r="F4310" s="275">
        <v>72.5</v>
      </c>
    </row>
    <row r="4311" spans="1:6" hidden="1" x14ac:dyDescent="0.25">
      <c r="A4311" s="275" t="s">
        <v>438</v>
      </c>
      <c r="B4311" s="275">
        <v>2023</v>
      </c>
      <c r="C4311" s="275" t="s">
        <v>107</v>
      </c>
      <c r="D4311" s="276">
        <v>9</v>
      </c>
      <c r="E4311" s="275">
        <v>40.6</v>
      </c>
      <c r="F4311" s="275">
        <v>84.8</v>
      </c>
    </row>
    <row r="4312" spans="1:6" hidden="1" x14ac:dyDescent="0.25">
      <c r="A4312" s="275" t="s">
        <v>438</v>
      </c>
      <c r="B4312" s="275">
        <v>2023</v>
      </c>
      <c r="C4312" s="275" t="s">
        <v>108</v>
      </c>
      <c r="D4312" s="276">
        <v>10</v>
      </c>
      <c r="E4312" s="275">
        <v>148</v>
      </c>
      <c r="F4312" s="275">
        <v>20.3</v>
      </c>
    </row>
    <row r="4313" spans="1:6" hidden="1" x14ac:dyDescent="0.25">
      <c r="A4313" s="275" t="s">
        <v>438</v>
      </c>
      <c r="B4313" s="275">
        <v>2023</v>
      </c>
      <c r="C4313" s="275" t="s">
        <v>109</v>
      </c>
      <c r="D4313" s="276">
        <v>11</v>
      </c>
      <c r="E4313" s="275">
        <v>263.8</v>
      </c>
      <c r="F4313" s="275">
        <v>0</v>
      </c>
    </row>
    <row r="4314" spans="1:6" hidden="1" x14ac:dyDescent="0.25">
      <c r="A4314" s="275" t="s">
        <v>438</v>
      </c>
      <c r="B4314" s="275">
        <v>2023</v>
      </c>
      <c r="C4314" s="275" t="s">
        <v>110</v>
      </c>
      <c r="D4314" s="276">
        <v>12</v>
      </c>
      <c r="E4314" s="275">
        <v>326</v>
      </c>
      <c r="F4314" s="275">
        <v>0</v>
      </c>
    </row>
    <row r="4315" spans="1:6" hidden="1" x14ac:dyDescent="0.25">
      <c r="A4315" s="277" t="s">
        <v>145</v>
      </c>
      <c r="B4315" s="275">
        <v>2023</v>
      </c>
      <c r="C4315" s="275" t="s">
        <v>99</v>
      </c>
      <c r="D4315" s="276">
        <v>1</v>
      </c>
      <c r="E4315" s="275">
        <v>343.2</v>
      </c>
      <c r="F4315" s="275">
        <v>0</v>
      </c>
    </row>
    <row r="4316" spans="1:6" hidden="1" x14ac:dyDescent="0.25">
      <c r="A4316" s="275" t="s">
        <v>145</v>
      </c>
      <c r="B4316" s="275">
        <v>2023</v>
      </c>
      <c r="C4316" s="275" t="s">
        <v>100</v>
      </c>
      <c r="D4316" s="276">
        <v>2</v>
      </c>
      <c r="E4316" s="275">
        <v>313.7</v>
      </c>
      <c r="F4316" s="275">
        <v>0</v>
      </c>
    </row>
    <row r="4317" spans="1:6" hidden="1" x14ac:dyDescent="0.25">
      <c r="A4317" s="275" t="s">
        <v>145</v>
      </c>
      <c r="B4317" s="275">
        <v>2023</v>
      </c>
      <c r="C4317" s="275" t="s">
        <v>101</v>
      </c>
      <c r="D4317" s="276">
        <v>3</v>
      </c>
      <c r="E4317" s="275">
        <v>246</v>
      </c>
      <c r="F4317" s="275">
        <v>1.3</v>
      </c>
    </row>
    <row r="4318" spans="1:6" hidden="1" x14ac:dyDescent="0.25">
      <c r="A4318" s="275" t="s">
        <v>145</v>
      </c>
      <c r="B4318" s="275">
        <v>2023</v>
      </c>
      <c r="C4318" s="275" t="s">
        <v>102</v>
      </c>
      <c r="D4318" s="276">
        <v>4</v>
      </c>
      <c r="E4318" s="275">
        <v>202.7</v>
      </c>
      <c r="F4318" s="275">
        <v>2.1</v>
      </c>
    </row>
    <row r="4319" spans="1:6" hidden="1" x14ac:dyDescent="0.25">
      <c r="A4319" s="275" t="s">
        <v>145</v>
      </c>
      <c r="B4319" s="275">
        <v>2023</v>
      </c>
      <c r="C4319" s="275" t="s">
        <v>103</v>
      </c>
      <c r="D4319" s="276">
        <v>5</v>
      </c>
      <c r="E4319" s="275">
        <v>95.8</v>
      </c>
      <c r="F4319" s="275">
        <v>28.4</v>
      </c>
    </row>
    <row r="4320" spans="1:6" hidden="1" x14ac:dyDescent="0.25">
      <c r="A4320" s="275" t="s">
        <v>145</v>
      </c>
      <c r="B4320" s="275">
        <v>2023</v>
      </c>
      <c r="C4320" s="275" t="s">
        <v>104</v>
      </c>
      <c r="D4320" s="276">
        <v>6</v>
      </c>
      <c r="E4320" s="275">
        <v>20.7</v>
      </c>
      <c r="F4320" s="275">
        <v>114.9</v>
      </c>
    </row>
    <row r="4321" spans="1:6" hidden="1" x14ac:dyDescent="0.25">
      <c r="A4321" s="275" t="s">
        <v>145</v>
      </c>
      <c r="B4321" s="275">
        <v>2023</v>
      </c>
      <c r="C4321" s="275" t="s">
        <v>105</v>
      </c>
      <c r="D4321" s="276">
        <v>7</v>
      </c>
      <c r="E4321" s="275">
        <v>24.6</v>
      </c>
      <c r="F4321" s="275">
        <v>94</v>
      </c>
    </row>
    <row r="4322" spans="1:6" hidden="1" x14ac:dyDescent="0.25">
      <c r="A4322" s="275" t="s">
        <v>145</v>
      </c>
      <c r="B4322" s="275">
        <v>2023</v>
      </c>
      <c r="C4322" s="275" t="s">
        <v>106</v>
      </c>
      <c r="D4322" s="276">
        <v>8</v>
      </c>
      <c r="E4322" s="275">
        <v>22.1</v>
      </c>
      <c r="F4322" s="275">
        <v>107.2</v>
      </c>
    </row>
    <row r="4323" spans="1:6" hidden="1" x14ac:dyDescent="0.25">
      <c r="A4323" s="275" t="s">
        <v>145</v>
      </c>
      <c r="B4323" s="275">
        <v>2023</v>
      </c>
      <c r="C4323" s="275" t="s">
        <v>107</v>
      </c>
      <c r="D4323" s="276">
        <v>9</v>
      </c>
      <c r="E4323" s="275">
        <v>27.7</v>
      </c>
      <c r="F4323" s="275">
        <v>113.8</v>
      </c>
    </row>
    <row r="4324" spans="1:6" hidden="1" x14ac:dyDescent="0.25">
      <c r="A4324" s="275" t="s">
        <v>145</v>
      </c>
      <c r="B4324" s="275">
        <v>2023</v>
      </c>
      <c r="C4324" s="275" t="s">
        <v>108</v>
      </c>
      <c r="D4324" s="276">
        <v>10</v>
      </c>
      <c r="E4324" s="275">
        <v>107.2</v>
      </c>
      <c r="F4324" s="275">
        <v>35.9</v>
      </c>
    </row>
    <row r="4325" spans="1:6" hidden="1" x14ac:dyDescent="0.25">
      <c r="A4325" s="275" t="s">
        <v>145</v>
      </c>
      <c r="B4325" s="275">
        <v>2023</v>
      </c>
      <c r="C4325" s="275" t="s">
        <v>109</v>
      </c>
      <c r="D4325" s="276">
        <v>11</v>
      </c>
      <c r="E4325" s="275">
        <v>223.8</v>
      </c>
      <c r="F4325" s="275">
        <v>0</v>
      </c>
    </row>
    <row r="4326" spans="1:6" hidden="1" x14ac:dyDescent="0.25">
      <c r="A4326" s="275" t="s">
        <v>145</v>
      </c>
      <c r="B4326" s="275">
        <v>2023</v>
      </c>
      <c r="C4326" s="275" t="s">
        <v>110</v>
      </c>
      <c r="D4326" s="276">
        <v>12</v>
      </c>
      <c r="E4326" s="275">
        <v>288.10000000000002</v>
      </c>
      <c r="F4326" s="275">
        <v>0</v>
      </c>
    </row>
    <row r="4327" spans="1:6" hidden="1" x14ac:dyDescent="0.25">
      <c r="A4327" s="275" t="s">
        <v>111</v>
      </c>
      <c r="B4327" s="275">
        <v>2023</v>
      </c>
      <c r="C4327" s="275" t="s">
        <v>99</v>
      </c>
      <c r="D4327" s="276">
        <v>1</v>
      </c>
      <c r="E4327" s="275">
        <v>329.5</v>
      </c>
      <c r="F4327" s="275">
        <v>0</v>
      </c>
    </row>
    <row r="4328" spans="1:6" hidden="1" x14ac:dyDescent="0.25">
      <c r="A4328" s="275" t="s">
        <v>111</v>
      </c>
      <c r="B4328" s="275">
        <v>2023</v>
      </c>
      <c r="C4328" s="275" t="s">
        <v>100</v>
      </c>
      <c r="D4328" s="276">
        <v>2</v>
      </c>
      <c r="E4328" s="275">
        <v>291.39999999999998</v>
      </c>
      <c r="F4328" s="275">
        <v>0</v>
      </c>
    </row>
    <row r="4329" spans="1:6" hidden="1" x14ac:dyDescent="0.25">
      <c r="A4329" s="275" t="s">
        <v>111</v>
      </c>
      <c r="B4329" s="275">
        <v>2023</v>
      </c>
      <c r="C4329" s="275" t="s">
        <v>101</v>
      </c>
      <c r="D4329" s="276">
        <v>3</v>
      </c>
      <c r="E4329" s="275">
        <v>272.2</v>
      </c>
      <c r="F4329" s="275">
        <v>0</v>
      </c>
    </row>
    <row r="4330" spans="1:6" hidden="1" x14ac:dyDescent="0.25">
      <c r="A4330" s="275" t="s">
        <v>111</v>
      </c>
      <c r="B4330" s="275">
        <v>2023</v>
      </c>
      <c r="C4330" s="275" t="s">
        <v>102</v>
      </c>
      <c r="D4330" s="276">
        <v>4</v>
      </c>
      <c r="E4330" s="275">
        <v>223.2</v>
      </c>
      <c r="F4330" s="275">
        <v>0</v>
      </c>
    </row>
    <row r="4331" spans="1:6" hidden="1" x14ac:dyDescent="0.25">
      <c r="A4331" s="275" t="s">
        <v>111</v>
      </c>
      <c r="B4331" s="275">
        <v>2023</v>
      </c>
      <c r="C4331" s="275" t="s">
        <v>103</v>
      </c>
      <c r="D4331" s="276">
        <v>5</v>
      </c>
      <c r="E4331" s="275">
        <v>140.80000000000001</v>
      </c>
      <c r="F4331" s="275">
        <v>3.2</v>
      </c>
    </row>
    <row r="4332" spans="1:6" hidden="1" x14ac:dyDescent="0.25">
      <c r="A4332" s="275" t="s">
        <v>111</v>
      </c>
      <c r="B4332" s="275">
        <v>2023</v>
      </c>
      <c r="C4332" s="275" t="s">
        <v>104</v>
      </c>
      <c r="D4332" s="276">
        <v>6</v>
      </c>
      <c r="E4332" s="275">
        <v>46.9</v>
      </c>
      <c r="F4332" s="275">
        <v>42</v>
      </c>
    </row>
    <row r="4333" spans="1:6" hidden="1" x14ac:dyDescent="0.25">
      <c r="A4333" s="275" t="s">
        <v>111</v>
      </c>
      <c r="B4333" s="275">
        <v>2023</v>
      </c>
      <c r="C4333" s="275" t="s">
        <v>105</v>
      </c>
      <c r="D4333" s="276">
        <v>7</v>
      </c>
      <c r="E4333" s="275">
        <v>53</v>
      </c>
      <c r="F4333" s="275">
        <v>18.2</v>
      </c>
    </row>
    <row r="4334" spans="1:6" hidden="1" x14ac:dyDescent="0.25">
      <c r="A4334" s="275" t="s">
        <v>111</v>
      </c>
      <c r="B4334" s="275">
        <v>2023</v>
      </c>
      <c r="C4334" s="275" t="s">
        <v>106</v>
      </c>
      <c r="D4334" s="276">
        <v>8</v>
      </c>
      <c r="E4334" s="275">
        <v>55.6</v>
      </c>
      <c r="F4334" s="275">
        <v>29.2</v>
      </c>
    </row>
    <row r="4335" spans="1:6" hidden="1" x14ac:dyDescent="0.25">
      <c r="A4335" s="275" t="s">
        <v>111</v>
      </c>
      <c r="B4335" s="275">
        <v>2023</v>
      </c>
      <c r="C4335" s="275" t="s">
        <v>107</v>
      </c>
      <c r="D4335" s="276">
        <v>9</v>
      </c>
      <c r="E4335" s="275">
        <v>51.6</v>
      </c>
      <c r="F4335" s="275">
        <v>51.8</v>
      </c>
    </row>
    <row r="4336" spans="1:6" hidden="1" x14ac:dyDescent="0.25">
      <c r="A4336" s="275" t="s">
        <v>111</v>
      </c>
      <c r="B4336" s="275">
        <v>2023</v>
      </c>
      <c r="C4336" s="275" t="s">
        <v>108</v>
      </c>
      <c r="D4336" s="276">
        <v>10</v>
      </c>
      <c r="E4336" s="275">
        <v>127.3</v>
      </c>
      <c r="F4336" s="275">
        <v>13.5</v>
      </c>
    </row>
    <row r="4337" spans="1:6" hidden="1" x14ac:dyDescent="0.25">
      <c r="A4337" s="275" t="s">
        <v>111</v>
      </c>
      <c r="B4337" s="275">
        <v>2023</v>
      </c>
      <c r="C4337" s="275" t="s">
        <v>109</v>
      </c>
      <c r="D4337" s="276">
        <v>11</v>
      </c>
      <c r="E4337" s="275">
        <v>232.2</v>
      </c>
      <c r="F4337" s="275">
        <v>0</v>
      </c>
    </row>
    <row r="4338" spans="1:6" hidden="1" x14ac:dyDescent="0.25">
      <c r="A4338" s="275" t="s">
        <v>111</v>
      </c>
      <c r="B4338" s="275">
        <v>2023</v>
      </c>
      <c r="C4338" s="275" t="s">
        <v>110</v>
      </c>
      <c r="D4338" s="276">
        <v>12</v>
      </c>
      <c r="E4338" s="275">
        <v>251.6</v>
      </c>
      <c r="F4338" s="275">
        <v>0</v>
      </c>
    </row>
    <row r="4339" spans="1:6" hidden="1" x14ac:dyDescent="0.25">
      <c r="A4339" s="275" t="s">
        <v>114</v>
      </c>
      <c r="B4339" s="275">
        <v>2023</v>
      </c>
      <c r="C4339" s="275" t="s">
        <v>99</v>
      </c>
      <c r="D4339" s="276">
        <v>1</v>
      </c>
      <c r="E4339" s="275">
        <v>329.5</v>
      </c>
      <c r="F4339" s="275">
        <v>0</v>
      </c>
    </row>
    <row r="4340" spans="1:6" hidden="1" x14ac:dyDescent="0.25">
      <c r="A4340" s="275" t="s">
        <v>114</v>
      </c>
      <c r="B4340" s="275">
        <v>2023</v>
      </c>
      <c r="C4340" s="275" t="s">
        <v>100</v>
      </c>
      <c r="D4340" s="276">
        <v>2</v>
      </c>
      <c r="E4340" s="275">
        <v>298.2</v>
      </c>
      <c r="F4340" s="275">
        <v>0</v>
      </c>
    </row>
    <row r="4341" spans="1:6" hidden="1" x14ac:dyDescent="0.25">
      <c r="A4341" s="275" t="s">
        <v>114</v>
      </c>
      <c r="B4341" s="275">
        <v>2023</v>
      </c>
      <c r="C4341" s="275" t="s">
        <v>101</v>
      </c>
      <c r="D4341" s="276">
        <v>3</v>
      </c>
      <c r="E4341" s="275">
        <v>254.5</v>
      </c>
      <c r="F4341" s="275">
        <v>0.1</v>
      </c>
    </row>
    <row r="4342" spans="1:6" hidden="1" x14ac:dyDescent="0.25">
      <c r="A4342" s="275" t="s">
        <v>114</v>
      </c>
      <c r="B4342" s="275">
        <v>2023</v>
      </c>
      <c r="C4342" s="275" t="s">
        <v>102</v>
      </c>
      <c r="D4342" s="276">
        <v>4</v>
      </c>
      <c r="E4342" s="275">
        <v>222</v>
      </c>
      <c r="F4342" s="275">
        <v>0</v>
      </c>
    </row>
    <row r="4343" spans="1:6" hidden="1" x14ac:dyDescent="0.25">
      <c r="A4343" s="275" t="s">
        <v>114</v>
      </c>
      <c r="B4343" s="275">
        <v>2023</v>
      </c>
      <c r="C4343" s="275" t="s">
        <v>103</v>
      </c>
      <c r="D4343" s="276">
        <v>5</v>
      </c>
      <c r="E4343" s="275">
        <v>136.9</v>
      </c>
      <c r="F4343" s="275">
        <v>3.1</v>
      </c>
    </row>
    <row r="4344" spans="1:6" hidden="1" x14ac:dyDescent="0.25">
      <c r="A4344" s="275" t="s">
        <v>114</v>
      </c>
      <c r="B4344" s="275">
        <v>2023</v>
      </c>
      <c r="C4344" s="275" t="s">
        <v>104</v>
      </c>
      <c r="D4344" s="276">
        <v>6</v>
      </c>
      <c r="E4344" s="275">
        <v>47.4</v>
      </c>
      <c r="F4344" s="275">
        <v>44.9</v>
      </c>
    </row>
    <row r="4345" spans="1:6" hidden="1" x14ac:dyDescent="0.25">
      <c r="A4345" s="275" t="s">
        <v>114</v>
      </c>
      <c r="B4345" s="275">
        <v>2023</v>
      </c>
      <c r="C4345" s="275" t="s">
        <v>105</v>
      </c>
      <c r="D4345" s="276">
        <v>7</v>
      </c>
      <c r="E4345" s="275">
        <v>42</v>
      </c>
      <c r="F4345" s="275">
        <v>43.2</v>
      </c>
    </row>
    <row r="4346" spans="1:6" hidden="1" x14ac:dyDescent="0.25">
      <c r="A4346" s="275" t="s">
        <v>114</v>
      </c>
      <c r="B4346" s="275">
        <v>2023</v>
      </c>
      <c r="C4346" s="275" t="s">
        <v>106</v>
      </c>
      <c r="D4346" s="276">
        <v>8</v>
      </c>
      <c r="E4346" s="275">
        <v>37.5</v>
      </c>
      <c r="F4346" s="275">
        <v>43.1</v>
      </c>
    </row>
    <row r="4347" spans="1:6" hidden="1" x14ac:dyDescent="0.25">
      <c r="A4347" s="275" t="s">
        <v>114</v>
      </c>
      <c r="B4347" s="275">
        <v>2023</v>
      </c>
      <c r="C4347" s="275" t="s">
        <v>107</v>
      </c>
      <c r="D4347" s="276">
        <v>9</v>
      </c>
      <c r="E4347" s="275">
        <v>35.9</v>
      </c>
      <c r="F4347" s="275">
        <v>69.599999999999994</v>
      </c>
    </row>
    <row r="4348" spans="1:6" hidden="1" x14ac:dyDescent="0.25">
      <c r="A4348" s="275" t="s">
        <v>114</v>
      </c>
      <c r="B4348" s="275">
        <v>2023</v>
      </c>
      <c r="C4348" s="275" t="s">
        <v>108</v>
      </c>
      <c r="D4348" s="276">
        <v>10</v>
      </c>
      <c r="E4348" s="275">
        <v>117.1</v>
      </c>
      <c r="F4348" s="275">
        <v>25.6</v>
      </c>
    </row>
    <row r="4349" spans="1:6" hidden="1" x14ac:dyDescent="0.25">
      <c r="A4349" s="275" t="s">
        <v>114</v>
      </c>
      <c r="B4349" s="275">
        <v>2023</v>
      </c>
      <c r="C4349" s="275" t="s">
        <v>109</v>
      </c>
      <c r="D4349" s="276">
        <v>11</v>
      </c>
      <c r="E4349" s="275">
        <v>234.3</v>
      </c>
      <c r="F4349" s="275">
        <v>0</v>
      </c>
    </row>
    <row r="4350" spans="1:6" hidden="1" x14ac:dyDescent="0.25">
      <c r="A4350" s="275" t="s">
        <v>114</v>
      </c>
      <c r="B4350" s="275">
        <v>2023</v>
      </c>
      <c r="C4350" s="275" t="s">
        <v>110</v>
      </c>
      <c r="D4350" s="276">
        <v>12</v>
      </c>
      <c r="E4350" s="275">
        <v>279.39999999999998</v>
      </c>
      <c r="F4350" s="275">
        <v>0</v>
      </c>
    </row>
    <row r="4351" spans="1:6" hidden="1" x14ac:dyDescent="0.25">
      <c r="A4351" s="275" t="s">
        <v>268</v>
      </c>
      <c r="B4351" s="275">
        <v>2023</v>
      </c>
      <c r="C4351" s="275" t="s">
        <v>99</v>
      </c>
      <c r="D4351" s="276">
        <v>1</v>
      </c>
      <c r="E4351" s="275">
        <v>356.9</v>
      </c>
      <c r="F4351" s="275">
        <v>0</v>
      </c>
    </row>
    <row r="4352" spans="1:6" hidden="1" x14ac:dyDescent="0.25">
      <c r="A4352" s="275" t="s">
        <v>268</v>
      </c>
      <c r="B4352" s="275">
        <v>2023</v>
      </c>
      <c r="C4352" s="275" t="s">
        <v>100</v>
      </c>
      <c r="D4352" s="276">
        <v>2</v>
      </c>
      <c r="E4352" s="275">
        <v>311.3</v>
      </c>
      <c r="F4352" s="275">
        <v>0</v>
      </c>
    </row>
    <row r="4353" spans="1:6" hidden="1" x14ac:dyDescent="0.25">
      <c r="A4353" s="275" t="s">
        <v>268</v>
      </c>
      <c r="B4353" s="275">
        <v>2023</v>
      </c>
      <c r="C4353" s="275" t="s">
        <v>101</v>
      </c>
      <c r="D4353" s="276">
        <v>3</v>
      </c>
      <c r="E4353" s="275">
        <v>257.8</v>
      </c>
      <c r="F4353" s="275">
        <v>0.5</v>
      </c>
    </row>
    <row r="4354" spans="1:6" hidden="1" x14ac:dyDescent="0.25">
      <c r="A4354" s="275" t="s">
        <v>268</v>
      </c>
      <c r="B4354" s="275">
        <v>2023</v>
      </c>
      <c r="C4354" s="275" t="s">
        <v>102</v>
      </c>
      <c r="D4354" s="276">
        <v>4</v>
      </c>
      <c r="E4354" s="275">
        <v>212.7</v>
      </c>
      <c r="F4354" s="275">
        <v>1.7</v>
      </c>
    </row>
    <row r="4355" spans="1:6" hidden="1" x14ac:dyDescent="0.25">
      <c r="A4355" s="275" t="s">
        <v>268</v>
      </c>
      <c r="B4355" s="275">
        <v>2023</v>
      </c>
      <c r="C4355" s="275" t="s">
        <v>103</v>
      </c>
      <c r="D4355" s="276">
        <v>5</v>
      </c>
      <c r="E4355" s="275">
        <v>101.4</v>
      </c>
      <c r="F4355" s="275">
        <v>27.9</v>
      </c>
    </row>
    <row r="4356" spans="1:6" hidden="1" x14ac:dyDescent="0.25">
      <c r="A4356" s="275" t="s">
        <v>268</v>
      </c>
      <c r="B4356" s="275">
        <v>2023</v>
      </c>
      <c r="C4356" s="275" t="s">
        <v>104</v>
      </c>
      <c r="D4356" s="276">
        <v>6</v>
      </c>
      <c r="E4356" s="275">
        <v>18.899999999999999</v>
      </c>
      <c r="F4356" s="275">
        <v>109.1</v>
      </c>
    </row>
    <row r="4357" spans="1:6" hidden="1" x14ac:dyDescent="0.25">
      <c r="A4357" s="275" t="s">
        <v>268</v>
      </c>
      <c r="B4357" s="275">
        <v>2023</v>
      </c>
      <c r="C4357" s="275" t="s">
        <v>105</v>
      </c>
      <c r="D4357" s="276">
        <v>7</v>
      </c>
      <c r="E4357" s="275">
        <v>33.9</v>
      </c>
      <c r="F4357" s="275">
        <v>71.8</v>
      </c>
    </row>
    <row r="4358" spans="1:6" hidden="1" x14ac:dyDescent="0.25">
      <c r="A4358" s="275" t="s">
        <v>268</v>
      </c>
      <c r="B4358" s="275">
        <v>2023</v>
      </c>
      <c r="C4358" s="275" t="s">
        <v>106</v>
      </c>
      <c r="D4358" s="276">
        <v>8</v>
      </c>
      <c r="E4358" s="275">
        <v>31.5</v>
      </c>
      <c r="F4358" s="275">
        <v>99.7</v>
      </c>
    </row>
    <row r="4359" spans="1:6" hidden="1" x14ac:dyDescent="0.25">
      <c r="A4359" s="275" t="s">
        <v>268</v>
      </c>
      <c r="B4359" s="275">
        <v>2023</v>
      </c>
      <c r="C4359" s="275" t="s">
        <v>107</v>
      </c>
      <c r="D4359" s="276">
        <v>9</v>
      </c>
      <c r="E4359" s="275">
        <v>26.2</v>
      </c>
      <c r="F4359" s="275">
        <v>113.3</v>
      </c>
    </row>
    <row r="4360" spans="1:6" hidden="1" x14ac:dyDescent="0.25">
      <c r="A4360" s="275" t="s">
        <v>268</v>
      </c>
      <c r="B4360" s="275">
        <v>2023</v>
      </c>
      <c r="C4360" s="275" t="s">
        <v>108</v>
      </c>
      <c r="D4360" s="276">
        <v>10</v>
      </c>
      <c r="E4360" s="275">
        <v>94.8</v>
      </c>
      <c r="F4360" s="275">
        <v>38.9</v>
      </c>
    </row>
    <row r="4361" spans="1:6" hidden="1" x14ac:dyDescent="0.25">
      <c r="A4361" s="275" t="s">
        <v>268</v>
      </c>
      <c r="B4361" s="275">
        <v>2023</v>
      </c>
      <c r="C4361" s="275" t="s">
        <v>109</v>
      </c>
      <c r="D4361" s="276">
        <v>11</v>
      </c>
      <c r="E4361" s="275">
        <v>227.5</v>
      </c>
      <c r="F4361" s="275">
        <v>0</v>
      </c>
    </row>
    <row r="4362" spans="1:6" hidden="1" x14ac:dyDescent="0.25">
      <c r="A4362" s="275" t="s">
        <v>268</v>
      </c>
      <c r="B4362" s="275">
        <v>2023</v>
      </c>
      <c r="C4362" s="275" t="s">
        <v>110</v>
      </c>
      <c r="D4362" s="276">
        <v>12</v>
      </c>
      <c r="E4362" s="275">
        <v>295.5</v>
      </c>
      <c r="F4362" s="275">
        <v>0</v>
      </c>
    </row>
    <row r="4363" spans="1:6" hidden="1" x14ac:dyDescent="0.25">
      <c r="A4363" s="275" t="s">
        <v>267</v>
      </c>
      <c r="B4363" s="275">
        <v>2023</v>
      </c>
      <c r="C4363" s="275" t="s">
        <v>99</v>
      </c>
      <c r="D4363" s="276">
        <v>1</v>
      </c>
      <c r="E4363" s="275">
        <v>363.3</v>
      </c>
      <c r="F4363" s="275">
        <v>0</v>
      </c>
    </row>
    <row r="4364" spans="1:6" hidden="1" x14ac:dyDescent="0.25">
      <c r="A4364" s="275" t="s">
        <v>267</v>
      </c>
      <c r="B4364" s="275">
        <v>2023</v>
      </c>
      <c r="C4364" s="275" t="s">
        <v>100</v>
      </c>
      <c r="D4364" s="276">
        <v>2</v>
      </c>
      <c r="E4364" s="275">
        <v>326.39999999999998</v>
      </c>
      <c r="F4364" s="275">
        <v>0</v>
      </c>
    </row>
    <row r="4365" spans="1:6" hidden="1" x14ac:dyDescent="0.25">
      <c r="A4365" s="275" t="s">
        <v>267</v>
      </c>
      <c r="B4365" s="275">
        <v>2023</v>
      </c>
      <c r="C4365" s="275" t="s">
        <v>101</v>
      </c>
      <c r="D4365" s="276">
        <v>3</v>
      </c>
      <c r="E4365" s="275">
        <v>267.89999999999998</v>
      </c>
      <c r="F4365" s="275">
        <v>0.2</v>
      </c>
    </row>
    <row r="4366" spans="1:6" hidden="1" x14ac:dyDescent="0.25">
      <c r="A4366" s="275" t="s">
        <v>267</v>
      </c>
      <c r="B4366" s="275">
        <v>2023</v>
      </c>
      <c r="C4366" s="275" t="s">
        <v>102</v>
      </c>
      <c r="D4366" s="276">
        <v>4</v>
      </c>
      <c r="E4366" s="275">
        <v>220.5</v>
      </c>
      <c r="F4366" s="275">
        <v>1.2</v>
      </c>
    </row>
    <row r="4367" spans="1:6" hidden="1" x14ac:dyDescent="0.25">
      <c r="A4367" s="275" t="s">
        <v>267</v>
      </c>
      <c r="B4367" s="275">
        <v>2023</v>
      </c>
      <c r="C4367" s="275" t="s">
        <v>103</v>
      </c>
      <c r="D4367" s="276">
        <v>5</v>
      </c>
      <c r="E4367" s="275">
        <v>103</v>
      </c>
      <c r="F4367" s="275">
        <v>16.899999999999999</v>
      </c>
    </row>
    <row r="4368" spans="1:6" hidden="1" x14ac:dyDescent="0.25">
      <c r="A4368" s="275" t="s">
        <v>267</v>
      </c>
      <c r="B4368" s="275">
        <v>2023</v>
      </c>
      <c r="C4368" s="275" t="s">
        <v>104</v>
      </c>
      <c r="D4368" s="276">
        <v>6</v>
      </c>
      <c r="E4368" s="275">
        <v>27.2</v>
      </c>
      <c r="F4368" s="275">
        <v>99.5</v>
      </c>
    </row>
    <row r="4369" spans="1:6" hidden="1" x14ac:dyDescent="0.25">
      <c r="A4369" s="275" t="s">
        <v>267</v>
      </c>
      <c r="B4369" s="275">
        <v>2023</v>
      </c>
      <c r="C4369" s="275" t="s">
        <v>105</v>
      </c>
      <c r="D4369" s="276">
        <v>7</v>
      </c>
      <c r="E4369" s="275">
        <v>34.6</v>
      </c>
      <c r="F4369" s="275">
        <v>69.099999999999994</v>
      </c>
    </row>
    <row r="4370" spans="1:6" hidden="1" x14ac:dyDescent="0.25">
      <c r="A4370" s="275" t="s">
        <v>267</v>
      </c>
      <c r="B4370" s="275">
        <v>2023</v>
      </c>
      <c r="C4370" s="275" t="s">
        <v>106</v>
      </c>
      <c r="D4370" s="276">
        <v>8</v>
      </c>
      <c r="E4370" s="275">
        <v>29.2</v>
      </c>
      <c r="F4370" s="275">
        <v>62.1</v>
      </c>
    </row>
    <row r="4371" spans="1:6" hidden="1" x14ac:dyDescent="0.25">
      <c r="A4371" s="275" t="s">
        <v>267</v>
      </c>
      <c r="B4371" s="275">
        <v>2023</v>
      </c>
      <c r="C4371" s="275" t="s">
        <v>107</v>
      </c>
      <c r="D4371" s="276">
        <v>9</v>
      </c>
      <c r="E4371" s="275">
        <v>33.700000000000003</v>
      </c>
      <c r="F4371" s="275">
        <v>96.6</v>
      </c>
    </row>
    <row r="4372" spans="1:6" hidden="1" x14ac:dyDescent="0.25">
      <c r="A4372" s="275" t="s">
        <v>267</v>
      </c>
      <c r="B4372" s="275">
        <v>2023</v>
      </c>
      <c r="C4372" s="275" t="s">
        <v>108</v>
      </c>
      <c r="D4372" s="276">
        <v>10</v>
      </c>
      <c r="E4372" s="275">
        <v>114.2</v>
      </c>
      <c r="F4372" s="275">
        <v>27.1</v>
      </c>
    </row>
    <row r="4373" spans="1:6" hidden="1" x14ac:dyDescent="0.25">
      <c r="A4373" s="275" t="s">
        <v>267</v>
      </c>
      <c r="B4373" s="275">
        <v>2023</v>
      </c>
      <c r="C4373" s="275" t="s">
        <v>109</v>
      </c>
      <c r="D4373" s="276">
        <v>11</v>
      </c>
      <c r="E4373" s="275">
        <v>208.2</v>
      </c>
      <c r="F4373" s="275">
        <v>0</v>
      </c>
    </row>
    <row r="4374" spans="1:6" hidden="1" x14ac:dyDescent="0.25">
      <c r="A4374" s="275" t="s">
        <v>267</v>
      </c>
      <c r="B4374" s="275">
        <v>2023</v>
      </c>
      <c r="C4374" s="275" t="s">
        <v>110</v>
      </c>
      <c r="D4374" s="276">
        <v>12</v>
      </c>
      <c r="E4374" s="275">
        <v>305.89999999999998</v>
      </c>
      <c r="F4374" s="275">
        <v>0</v>
      </c>
    </row>
    <row r="4375" spans="1:6" hidden="1" x14ac:dyDescent="0.25">
      <c r="A4375" s="275" t="s">
        <v>269</v>
      </c>
      <c r="B4375" s="275">
        <v>2023</v>
      </c>
      <c r="C4375" s="275" t="s">
        <v>99</v>
      </c>
      <c r="D4375" s="276">
        <v>1</v>
      </c>
      <c r="E4375" s="275">
        <v>356.1</v>
      </c>
      <c r="F4375" s="275">
        <v>0</v>
      </c>
    </row>
    <row r="4376" spans="1:6" hidden="1" x14ac:dyDescent="0.25">
      <c r="A4376" s="275" t="s">
        <v>269</v>
      </c>
      <c r="B4376" s="275">
        <v>2023</v>
      </c>
      <c r="C4376" s="275" t="s">
        <v>100</v>
      </c>
      <c r="D4376" s="276">
        <v>2</v>
      </c>
      <c r="E4376" s="275">
        <v>314.10000000000002</v>
      </c>
      <c r="F4376" s="275">
        <v>0</v>
      </c>
    </row>
    <row r="4377" spans="1:6" hidden="1" x14ac:dyDescent="0.25">
      <c r="A4377" s="275" t="s">
        <v>269</v>
      </c>
      <c r="B4377" s="275">
        <v>2023</v>
      </c>
      <c r="C4377" s="275" t="s">
        <v>101</v>
      </c>
      <c r="D4377" s="276">
        <v>3</v>
      </c>
      <c r="E4377" s="275">
        <v>251.3</v>
      </c>
      <c r="F4377" s="275">
        <v>1.6</v>
      </c>
    </row>
    <row r="4378" spans="1:6" hidden="1" x14ac:dyDescent="0.25">
      <c r="A4378" s="275" t="s">
        <v>269</v>
      </c>
      <c r="B4378" s="275">
        <v>2023</v>
      </c>
      <c r="C4378" s="275" t="s">
        <v>102</v>
      </c>
      <c r="D4378" s="276">
        <v>4</v>
      </c>
      <c r="E4378" s="275">
        <v>198</v>
      </c>
      <c r="F4378" s="275">
        <v>2.8</v>
      </c>
    </row>
    <row r="4379" spans="1:6" hidden="1" x14ac:dyDescent="0.25">
      <c r="A4379" s="275" t="s">
        <v>269</v>
      </c>
      <c r="B4379" s="275">
        <v>2023</v>
      </c>
      <c r="C4379" s="275" t="s">
        <v>103</v>
      </c>
      <c r="D4379" s="276">
        <v>5</v>
      </c>
      <c r="E4379" s="275">
        <v>86.4</v>
      </c>
      <c r="F4379" s="275">
        <v>31.2</v>
      </c>
    </row>
    <row r="4380" spans="1:6" hidden="1" x14ac:dyDescent="0.25">
      <c r="A4380" s="275" t="s">
        <v>269</v>
      </c>
      <c r="B4380" s="275">
        <v>2023</v>
      </c>
      <c r="C4380" s="275" t="s">
        <v>104</v>
      </c>
      <c r="D4380" s="276">
        <v>6</v>
      </c>
      <c r="E4380" s="275">
        <v>17.3</v>
      </c>
      <c r="F4380" s="275">
        <v>133.19999999999999</v>
      </c>
    </row>
    <row r="4381" spans="1:6" hidden="1" x14ac:dyDescent="0.25">
      <c r="A4381" s="275" t="s">
        <v>269</v>
      </c>
      <c r="B4381" s="275">
        <v>2023</v>
      </c>
      <c r="C4381" s="275" t="s">
        <v>105</v>
      </c>
      <c r="D4381" s="276">
        <v>7</v>
      </c>
      <c r="E4381" s="275">
        <v>24.1</v>
      </c>
      <c r="F4381" s="275">
        <v>98.9</v>
      </c>
    </row>
    <row r="4382" spans="1:6" hidden="1" x14ac:dyDescent="0.25">
      <c r="A4382" s="275" t="s">
        <v>269</v>
      </c>
      <c r="B4382" s="275">
        <v>2023</v>
      </c>
      <c r="C4382" s="275" t="s">
        <v>106</v>
      </c>
      <c r="D4382" s="276">
        <v>8</v>
      </c>
      <c r="E4382" s="275">
        <v>27.9</v>
      </c>
      <c r="F4382" s="275">
        <v>107.7</v>
      </c>
    </row>
    <row r="4383" spans="1:6" hidden="1" x14ac:dyDescent="0.25">
      <c r="A4383" s="275" t="s">
        <v>269</v>
      </c>
      <c r="B4383" s="275">
        <v>2023</v>
      </c>
      <c r="C4383" s="275" t="s">
        <v>107</v>
      </c>
      <c r="D4383" s="276">
        <v>9</v>
      </c>
      <c r="E4383" s="275">
        <v>30.5</v>
      </c>
      <c r="F4383" s="275">
        <v>113.5</v>
      </c>
    </row>
    <row r="4384" spans="1:6" hidden="1" x14ac:dyDescent="0.25">
      <c r="A4384" s="275" t="s">
        <v>269</v>
      </c>
      <c r="B4384" s="275">
        <v>2023</v>
      </c>
      <c r="C4384" s="275" t="s">
        <v>108</v>
      </c>
      <c r="D4384" s="276">
        <v>10</v>
      </c>
      <c r="E4384" s="275">
        <v>115.8</v>
      </c>
      <c r="F4384" s="275">
        <v>33.4</v>
      </c>
    </row>
    <row r="4385" spans="1:6" hidden="1" x14ac:dyDescent="0.25">
      <c r="A4385" s="275" t="s">
        <v>269</v>
      </c>
      <c r="B4385" s="275">
        <v>2023</v>
      </c>
      <c r="C4385" s="275" t="s">
        <v>109</v>
      </c>
      <c r="D4385" s="276">
        <v>11</v>
      </c>
      <c r="E4385" s="275">
        <v>239.8</v>
      </c>
      <c r="F4385" s="275">
        <v>0</v>
      </c>
    </row>
    <row r="4386" spans="1:6" hidden="1" x14ac:dyDescent="0.25">
      <c r="A4386" s="275" t="s">
        <v>269</v>
      </c>
      <c r="B4386" s="275">
        <v>2023</v>
      </c>
      <c r="C4386" s="275" t="s">
        <v>110</v>
      </c>
      <c r="D4386" s="276">
        <v>12</v>
      </c>
      <c r="E4386" s="275">
        <v>300.89999999999998</v>
      </c>
      <c r="F4386" s="275">
        <v>0</v>
      </c>
    </row>
    <row r="4387" spans="1:6" hidden="1" x14ac:dyDescent="0.25">
      <c r="A4387" s="275" t="s">
        <v>115</v>
      </c>
      <c r="B4387" s="275">
        <v>2023</v>
      </c>
      <c r="C4387" s="275" t="s">
        <v>99</v>
      </c>
      <c r="D4387" s="276">
        <v>1</v>
      </c>
      <c r="E4387" s="275">
        <v>332</v>
      </c>
      <c r="F4387" s="275">
        <v>0</v>
      </c>
    </row>
    <row r="4388" spans="1:6" hidden="1" x14ac:dyDescent="0.25">
      <c r="A4388" s="275" t="s">
        <v>115</v>
      </c>
      <c r="B4388" s="275">
        <v>2023</v>
      </c>
      <c r="C4388" s="275" t="s">
        <v>100</v>
      </c>
      <c r="D4388" s="276">
        <v>2</v>
      </c>
      <c r="E4388" s="275">
        <v>304</v>
      </c>
      <c r="F4388" s="275">
        <v>0</v>
      </c>
    </row>
    <row r="4389" spans="1:6" hidden="1" x14ac:dyDescent="0.25">
      <c r="A4389" s="275" t="s">
        <v>115</v>
      </c>
      <c r="B4389" s="275">
        <v>2023</v>
      </c>
      <c r="C4389" s="275" t="s">
        <v>101</v>
      </c>
      <c r="D4389" s="276">
        <v>3</v>
      </c>
      <c r="E4389" s="275">
        <v>258.39999999999998</v>
      </c>
      <c r="F4389" s="275">
        <v>0</v>
      </c>
    </row>
    <row r="4390" spans="1:6" hidden="1" x14ac:dyDescent="0.25">
      <c r="A4390" s="275" t="s">
        <v>115</v>
      </c>
      <c r="B4390" s="275">
        <v>2023</v>
      </c>
      <c r="C4390" s="275" t="s">
        <v>102</v>
      </c>
      <c r="D4390" s="276">
        <v>4</v>
      </c>
      <c r="E4390" s="275">
        <v>211.5</v>
      </c>
      <c r="F4390" s="275">
        <v>0.3</v>
      </c>
    </row>
    <row r="4391" spans="1:6" hidden="1" x14ac:dyDescent="0.25">
      <c r="A4391" s="275" t="s">
        <v>115</v>
      </c>
      <c r="B4391" s="275">
        <v>2023</v>
      </c>
      <c r="C4391" s="275" t="s">
        <v>103</v>
      </c>
      <c r="D4391" s="276">
        <v>5</v>
      </c>
      <c r="E4391" s="275">
        <v>112.8</v>
      </c>
      <c r="F4391" s="275">
        <v>15.3</v>
      </c>
    </row>
    <row r="4392" spans="1:6" hidden="1" x14ac:dyDescent="0.25">
      <c r="A4392" s="275" t="s">
        <v>115</v>
      </c>
      <c r="B4392" s="275">
        <v>2023</v>
      </c>
      <c r="C4392" s="275" t="s">
        <v>104</v>
      </c>
      <c r="D4392" s="276">
        <v>6</v>
      </c>
      <c r="E4392" s="275">
        <v>36.299999999999997</v>
      </c>
      <c r="F4392" s="275">
        <v>59.8</v>
      </c>
    </row>
    <row r="4393" spans="1:6" hidden="1" x14ac:dyDescent="0.25">
      <c r="A4393" s="275" t="s">
        <v>115</v>
      </c>
      <c r="B4393" s="275">
        <v>2023</v>
      </c>
      <c r="C4393" s="275" t="s">
        <v>105</v>
      </c>
      <c r="D4393" s="276">
        <v>7</v>
      </c>
      <c r="E4393" s="275">
        <v>46.3</v>
      </c>
      <c r="F4393" s="275">
        <v>24.7</v>
      </c>
    </row>
    <row r="4394" spans="1:6" hidden="1" x14ac:dyDescent="0.25">
      <c r="A4394" s="275" t="s">
        <v>115</v>
      </c>
      <c r="B4394" s="275">
        <v>2023</v>
      </c>
      <c r="C4394" s="275" t="s">
        <v>106</v>
      </c>
      <c r="D4394" s="276">
        <v>8</v>
      </c>
      <c r="E4394" s="275">
        <v>46.8</v>
      </c>
      <c r="F4394" s="275">
        <v>40.200000000000003</v>
      </c>
    </row>
    <row r="4395" spans="1:6" hidden="1" x14ac:dyDescent="0.25">
      <c r="A4395" s="275" t="s">
        <v>115</v>
      </c>
      <c r="B4395" s="275">
        <v>2023</v>
      </c>
      <c r="C4395" s="275" t="s">
        <v>107</v>
      </c>
      <c r="D4395" s="276">
        <v>9</v>
      </c>
      <c r="E4395" s="275">
        <v>35.5</v>
      </c>
      <c r="F4395" s="275">
        <v>67.400000000000006</v>
      </c>
    </row>
    <row r="4396" spans="1:6" hidden="1" x14ac:dyDescent="0.25">
      <c r="A4396" s="275" t="s">
        <v>115</v>
      </c>
      <c r="B4396" s="275">
        <v>2023</v>
      </c>
      <c r="C4396" s="275" t="s">
        <v>108</v>
      </c>
      <c r="D4396" s="276">
        <v>10</v>
      </c>
      <c r="E4396" s="275">
        <v>112.2</v>
      </c>
      <c r="F4396" s="275">
        <v>16.7</v>
      </c>
    </row>
    <row r="4397" spans="1:6" hidden="1" x14ac:dyDescent="0.25">
      <c r="A4397" s="275" t="s">
        <v>115</v>
      </c>
      <c r="B4397" s="275">
        <v>2023</v>
      </c>
      <c r="C4397" s="275" t="s">
        <v>109</v>
      </c>
      <c r="D4397" s="276">
        <v>11</v>
      </c>
      <c r="E4397" s="275">
        <v>221.9</v>
      </c>
      <c r="F4397" s="275">
        <v>0</v>
      </c>
    </row>
    <row r="4398" spans="1:6" hidden="1" x14ac:dyDescent="0.25">
      <c r="A4398" s="275" t="s">
        <v>115</v>
      </c>
      <c r="B4398" s="275">
        <v>2023</v>
      </c>
      <c r="C4398" s="275" t="s">
        <v>110</v>
      </c>
      <c r="D4398" s="276">
        <v>12</v>
      </c>
      <c r="E4398" s="275">
        <v>251.9</v>
      </c>
      <c r="F4398" s="275">
        <v>0</v>
      </c>
    </row>
    <row r="4399" spans="1:6" hidden="1" x14ac:dyDescent="0.25">
      <c r="A4399" s="275" t="s">
        <v>237</v>
      </c>
      <c r="B4399" s="275">
        <v>2023</v>
      </c>
      <c r="C4399" s="275" t="s">
        <v>99</v>
      </c>
      <c r="D4399" s="276">
        <v>1</v>
      </c>
      <c r="E4399" s="275">
        <v>319</v>
      </c>
      <c r="F4399" s="275">
        <v>0.1</v>
      </c>
    </row>
    <row r="4400" spans="1:6" hidden="1" x14ac:dyDescent="0.25">
      <c r="A4400" s="275" t="s">
        <v>237</v>
      </c>
      <c r="B4400" s="275">
        <v>2023</v>
      </c>
      <c r="C4400" s="275" t="s">
        <v>100</v>
      </c>
      <c r="D4400" s="276">
        <v>2</v>
      </c>
      <c r="E4400" s="275">
        <v>271.10000000000002</v>
      </c>
      <c r="F4400" s="275">
        <v>0.1</v>
      </c>
    </row>
    <row r="4401" spans="1:6" hidden="1" x14ac:dyDescent="0.25">
      <c r="A4401" s="275" t="s">
        <v>237</v>
      </c>
      <c r="B4401" s="275">
        <v>2023</v>
      </c>
      <c r="C4401" s="275" t="s">
        <v>101</v>
      </c>
      <c r="D4401" s="276">
        <v>3</v>
      </c>
      <c r="E4401" s="275">
        <v>190.6</v>
      </c>
      <c r="F4401" s="275">
        <v>2.7</v>
      </c>
    </row>
    <row r="4402" spans="1:6" hidden="1" x14ac:dyDescent="0.25">
      <c r="A4402" s="275" t="s">
        <v>237</v>
      </c>
      <c r="B4402" s="275">
        <v>2023</v>
      </c>
      <c r="C4402" s="275" t="s">
        <v>102</v>
      </c>
      <c r="D4402" s="276">
        <v>4</v>
      </c>
      <c r="E4402" s="275">
        <v>114.2</v>
      </c>
      <c r="F4402" s="275">
        <v>20.2</v>
      </c>
    </row>
    <row r="4403" spans="1:6" hidden="1" x14ac:dyDescent="0.25">
      <c r="A4403" s="275" t="s">
        <v>237</v>
      </c>
      <c r="B4403" s="275">
        <v>2023</v>
      </c>
      <c r="C4403" s="275" t="s">
        <v>103</v>
      </c>
      <c r="D4403" s="276">
        <v>5</v>
      </c>
      <c r="E4403" s="275">
        <v>36.200000000000003</v>
      </c>
      <c r="F4403" s="275">
        <v>69.099999999999994</v>
      </c>
    </row>
    <row r="4404" spans="1:6" hidden="1" x14ac:dyDescent="0.25">
      <c r="A4404" s="275" t="s">
        <v>237</v>
      </c>
      <c r="B4404" s="275">
        <v>2023</v>
      </c>
      <c r="C4404" s="275" t="s">
        <v>104</v>
      </c>
      <c r="D4404" s="276">
        <v>6</v>
      </c>
      <c r="E4404" s="275">
        <v>2.4</v>
      </c>
      <c r="F4404" s="275">
        <v>189</v>
      </c>
    </row>
    <row r="4405" spans="1:6" hidden="1" x14ac:dyDescent="0.25">
      <c r="A4405" s="275" t="s">
        <v>237</v>
      </c>
      <c r="B4405" s="275">
        <v>2023</v>
      </c>
      <c r="C4405" s="275" t="s">
        <v>105</v>
      </c>
      <c r="D4405" s="276">
        <v>7</v>
      </c>
      <c r="E4405" s="275">
        <v>0</v>
      </c>
      <c r="F4405" s="275">
        <v>283.5</v>
      </c>
    </row>
    <row r="4406" spans="1:6" hidden="1" x14ac:dyDescent="0.25">
      <c r="A4406" s="275" t="s">
        <v>237</v>
      </c>
      <c r="B4406" s="275">
        <v>2023</v>
      </c>
      <c r="C4406" s="275" t="s">
        <v>106</v>
      </c>
      <c r="D4406" s="276">
        <v>8</v>
      </c>
      <c r="E4406" s="275">
        <v>1.6</v>
      </c>
      <c r="F4406" s="275">
        <v>234.3</v>
      </c>
    </row>
    <row r="4407" spans="1:6" hidden="1" x14ac:dyDescent="0.25">
      <c r="A4407" s="275" t="s">
        <v>237</v>
      </c>
      <c r="B4407" s="275">
        <v>2023</v>
      </c>
      <c r="C4407" s="275" t="s">
        <v>107</v>
      </c>
      <c r="D4407" s="276">
        <v>9</v>
      </c>
      <c r="E4407" s="275">
        <v>9.8000000000000007</v>
      </c>
      <c r="F4407" s="275">
        <v>162.19999999999999</v>
      </c>
    </row>
    <row r="4408" spans="1:6" hidden="1" x14ac:dyDescent="0.25">
      <c r="A4408" s="275" t="s">
        <v>237</v>
      </c>
      <c r="B4408" s="275">
        <v>2023</v>
      </c>
      <c r="C4408" s="275" t="s">
        <v>108</v>
      </c>
      <c r="D4408" s="276">
        <v>10</v>
      </c>
      <c r="E4408" s="275">
        <v>29.3</v>
      </c>
      <c r="F4408" s="275">
        <v>77.400000000000006</v>
      </c>
    </row>
    <row r="4409" spans="1:6" hidden="1" x14ac:dyDescent="0.25">
      <c r="A4409" s="275" t="s">
        <v>237</v>
      </c>
      <c r="B4409" s="275">
        <v>2023</v>
      </c>
      <c r="C4409" s="275" t="s">
        <v>109</v>
      </c>
      <c r="D4409" s="276">
        <v>11</v>
      </c>
      <c r="E4409" s="275">
        <v>197.5</v>
      </c>
      <c r="F4409" s="275">
        <v>3.2</v>
      </c>
    </row>
    <row r="4410" spans="1:6" hidden="1" x14ac:dyDescent="0.25">
      <c r="A4410" s="275" t="s">
        <v>237</v>
      </c>
      <c r="B4410" s="275">
        <v>2023</v>
      </c>
      <c r="C4410" s="275" t="s">
        <v>110</v>
      </c>
      <c r="D4410" s="276">
        <v>12</v>
      </c>
      <c r="E4410" s="275">
        <v>272.8</v>
      </c>
      <c r="F4410" s="275">
        <v>0</v>
      </c>
    </row>
    <row r="4411" spans="1:6" hidden="1" x14ac:dyDescent="0.25">
      <c r="A4411" s="275" t="s">
        <v>144</v>
      </c>
      <c r="B4411" s="275">
        <v>2023</v>
      </c>
      <c r="C4411" s="275" t="s">
        <v>99</v>
      </c>
      <c r="D4411" s="276">
        <v>1</v>
      </c>
      <c r="E4411" s="275">
        <v>338.1</v>
      </c>
      <c r="F4411" s="275">
        <v>0</v>
      </c>
    </row>
    <row r="4412" spans="1:6" hidden="1" x14ac:dyDescent="0.25">
      <c r="A4412" s="275" t="s">
        <v>144</v>
      </c>
      <c r="B4412" s="275">
        <v>2023</v>
      </c>
      <c r="C4412" s="275" t="s">
        <v>100</v>
      </c>
      <c r="D4412" s="276">
        <v>2</v>
      </c>
      <c r="E4412" s="275">
        <v>297.8</v>
      </c>
      <c r="F4412" s="275">
        <v>0</v>
      </c>
    </row>
    <row r="4413" spans="1:6" hidden="1" x14ac:dyDescent="0.25">
      <c r="A4413" s="275" t="s">
        <v>144</v>
      </c>
      <c r="B4413" s="275">
        <v>2023</v>
      </c>
      <c r="C4413" s="275" t="s">
        <v>101</v>
      </c>
      <c r="D4413" s="276">
        <v>3</v>
      </c>
      <c r="E4413" s="275">
        <v>242</v>
      </c>
      <c r="F4413" s="275">
        <v>0.6</v>
      </c>
    </row>
    <row r="4414" spans="1:6" hidden="1" x14ac:dyDescent="0.25">
      <c r="A4414" s="275" t="s">
        <v>144</v>
      </c>
      <c r="B4414" s="275">
        <v>2023</v>
      </c>
      <c r="C4414" s="275" t="s">
        <v>102</v>
      </c>
      <c r="D4414" s="276">
        <v>4</v>
      </c>
      <c r="E4414" s="275">
        <v>196.7</v>
      </c>
      <c r="F4414" s="275">
        <v>2</v>
      </c>
    </row>
    <row r="4415" spans="1:6" hidden="1" x14ac:dyDescent="0.25">
      <c r="A4415" s="275" t="s">
        <v>144</v>
      </c>
      <c r="B4415" s="275">
        <v>2023</v>
      </c>
      <c r="C4415" s="275" t="s">
        <v>103</v>
      </c>
      <c r="D4415" s="276">
        <v>5</v>
      </c>
      <c r="E4415" s="275">
        <v>87.3</v>
      </c>
      <c r="F4415" s="275">
        <v>29.5</v>
      </c>
    </row>
    <row r="4416" spans="1:6" hidden="1" x14ac:dyDescent="0.25">
      <c r="A4416" s="275" t="s">
        <v>144</v>
      </c>
      <c r="B4416" s="275">
        <v>2023</v>
      </c>
      <c r="C4416" s="275" t="s">
        <v>104</v>
      </c>
      <c r="D4416" s="276">
        <v>6</v>
      </c>
      <c r="E4416" s="275">
        <v>14.4</v>
      </c>
      <c r="F4416" s="275">
        <v>120.2</v>
      </c>
    </row>
    <row r="4417" spans="1:6" hidden="1" x14ac:dyDescent="0.25">
      <c r="A4417" s="275" t="s">
        <v>144</v>
      </c>
      <c r="B4417" s="275">
        <v>2023</v>
      </c>
      <c r="C4417" s="275" t="s">
        <v>105</v>
      </c>
      <c r="D4417" s="276">
        <v>7</v>
      </c>
      <c r="E4417" s="275">
        <v>30.6</v>
      </c>
      <c r="F4417" s="275">
        <v>80.3</v>
      </c>
    </row>
    <row r="4418" spans="1:6" hidden="1" x14ac:dyDescent="0.25">
      <c r="A4418" s="275" t="s">
        <v>144</v>
      </c>
      <c r="B4418" s="275">
        <v>2023</v>
      </c>
      <c r="C4418" s="275" t="s">
        <v>106</v>
      </c>
      <c r="D4418" s="276">
        <v>8</v>
      </c>
      <c r="E4418" s="275">
        <v>27.1</v>
      </c>
      <c r="F4418" s="275">
        <v>95.9</v>
      </c>
    </row>
    <row r="4419" spans="1:6" hidden="1" x14ac:dyDescent="0.25">
      <c r="A4419" s="275" t="s">
        <v>144</v>
      </c>
      <c r="B4419" s="275">
        <v>2023</v>
      </c>
      <c r="C4419" s="275" t="s">
        <v>107</v>
      </c>
      <c r="D4419" s="276">
        <v>9</v>
      </c>
      <c r="E4419" s="275">
        <v>24.4</v>
      </c>
      <c r="F4419" s="275">
        <v>120</v>
      </c>
    </row>
    <row r="4420" spans="1:6" hidden="1" x14ac:dyDescent="0.25">
      <c r="A4420" s="275" t="s">
        <v>144</v>
      </c>
      <c r="B4420" s="275">
        <v>2023</v>
      </c>
      <c r="C4420" s="275" t="s">
        <v>108</v>
      </c>
      <c r="D4420" s="276">
        <v>10</v>
      </c>
      <c r="E4420" s="275">
        <v>92.7</v>
      </c>
      <c r="F4420" s="275">
        <v>38.299999999999997</v>
      </c>
    </row>
    <row r="4421" spans="1:6" hidden="1" x14ac:dyDescent="0.25">
      <c r="A4421" s="275" t="s">
        <v>144</v>
      </c>
      <c r="B4421" s="275">
        <v>2023</v>
      </c>
      <c r="C4421" s="275" t="s">
        <v>109</v>
      </c>
      <c r="D4421" s="276">
        <v>11</v>
      </c>
      <c r="E4421" s="275">
        <v>217.8</v>
      </c>
      <c r="F4421" s="275">
        <v>0</v>
      </c>
    </row>
    <row r="4422" spans="1:6" hidden="1" x14ac:dyDescent="0.25">
      <c r="A4422" s="275" t="s">
        <v>144</v>
      </c>
      <c r="B4422" s="275">
        <v>2023</v>
      </c>
      <c r="C4422" s="275" t="s">
        <v>110</v>
      </c>
      <c r="D4422" s="276">
        <v>12</v>
      </c>
      <c r="E4422" s="275">
        <v>277.8</v>
      </c>
      <c r="F4422" s="275">
        <v>0</v>
      </c>
    </row>
    <row r="4423" spans="1:6" hidden="1" x14ac:dyDescent="0.25">
      <c r="A4423" s="275" t="s">
        <v>146</v>
      </c>
      <c r="B4423" s="275">
        <v>2023</v>
      </c>
      <c r="C4423" s="275" t="s">
        <v>99</v>
      </c>
      <c r="D4423" s="276">
        <v>1</v>
      </c>
      <c r="E4423" s="275">
        <v>362.2</v>
      </c>
      <c r="F4423" s="275">
        <v>0</v>
      </c>
    </row>
    <row r="4424" spans="1:6" hidden="1" x14ac:dyDescent="0.25">
      <c r="A4424" s="275" t="s">
        <v>146</v>
      </c>
      <c r="B4424" s="275">
        <v>2023</v>
      </c>
      <c r="C4424" s="275" t="s">
        <v>100</v>
      </c>
      <c r="D4424" s="276">
        <v>2</v>
      </c>
      <c r="E4424" s="275">
        <v>311.2</v>
      </c>
      <c r="F4424" s="275">
        <v>0</v>
      </c>
    </row>
    <row r="4425" spans="1:6" hidden="1" x14ac:dyDescent="0.25">
      <c r="A4425" s="275" t="s">
        <v>146</v>
      </c>
      <c r="B4425" s="275">
        <v>2023</v>
      </c>
      <c r="C4425" s="275" t="s">
        <v>101</v>
      </c>
      <c r="D4425" s="276">
        <v>3</v>
      </c>
      <c r="E4425" s="275">
        <v>246.4</v>
      </c>
      <c r="F4425" s="275">
        <v>0.9</v>
      </c>
    </row>
    <row r="4426" spans="1:6" hidden="1" x14ac:dyDescent="0.25">
      <c r="A4426" s="275" t="s">
        <v>146</v>
      </c>
      <c r="B4426" s="275">
        <v>2023</v>
      </c>
      <c r="C4426" s="275" t="s">
        <v>102</v>
      </c>
      <c r="D4426" s="276">
        <v>4</v>
      </c>
      <c r="E4426" s="275">
        <v>196.9</v>
      </c>
      <c r="F4426" s="275">
        <v>5.9</v>
      </c>
    </row>
    <row r="4427" spans="1:6" hidden="1" x14ac:dyDescent="0.25">
      <c r="A4427" s="275" t="s">
        <v>146</v>
      </c>
      <c r="B4427" s="275">
        <v>2023</v>
      </c>
      <c r="C4427" s="275" t="s">
        <v>103</v>
      </c>
      <c r="D4427" s="276">
        <v>5</v>
      </c>
      <c r="E4427" s="275">
        <v>92.8</v>
      </c>
      <c r="F4427" s="275">
        <v>35.9</v>
      </c>
    </row>
    <row r="4428" spans="1:6" hidden="1" x14ac:dyDescent="0.25">
      <c r="A4428" s="275" t="s">
        <v>146</v>
      </c>
      <c r="B4428" s="275">
        <v>2023</v>
      </c>
      <c r="C4428" s="275" t="s">
        <v>104</v>
      </c>
      <c r="D4428" s="276">
        <v>6</v>
      </c>
      <c r="E4428" s="275">
        <v>15</v>
      </c>
      <c r="F4428" s="275">
        <v>121.6</v>
      </c>
    </row>
    <row r="4429" spans="1:6" hidden="1" x14ac:dyDescent="0.25">
      <c r="A4429" s="275" t="s">
        <v>146</v>
      </c>
      <c r="B4429" s="275">
        <v>2023</v>
      </c>
      <c r="C4429" s="275" t="s">
        <v>105</v>
      </c>
      <c r="D4429" s="276">
        <v>7</v>
      </c>
      <c r="E4429" s="275">
        <v>29.2</v>
      </c>
      <c r="F4429" s="275">
        <v>95.1</v>
      </c>
    </row>
    <row r="4430" spans="1:6" hidden="1" x14ac:dyDescent="0.25">
      <c r="A4430" s="275" t="s">
        <v>146</v>
      </c>
      <c r="B4430" s="275">
        <v>2023</v>
      </c>
      <c r="C4430" s="275" t="s">
        <v>106</v>
      </c>
      <c r="D4430" s="276">
        <v>8</v>
      </c>
      <c r="E4430" s="275">
        <v>31</v>
      </c>
      <c r="F4430" s="275">
        <v>130.5</v>
      </c>
    </row>
    <row r="4431" spans="1:6" hidden="1" x14ac:dyDescent="0.25">
      <c r="A4431" s="275" t="s">
        <v>146</v>
      </c>
      <c r="B4431" s="275">
        <v>2023</v>
      </c>
      <c r="C4431" s="275" t="s">
        <v>107</v>
      </c>
      <c r="D4431" s="276">
        <v>9</v>
      </c>
      <c r="E4431" s="275">
        <v>24.2</v>
      </c>
      <c r="F4431" s="275">
        <v>130.1</v>
      </c>
    </row>
    <row r="4432" spans="1:6" hidden="1" x14ac:dyDescent="0.25">
      <c r="A4432" s="275" t="s">
        <v>146</v>
      </c>
      <c r="B4432" s="275">
        <v>2023</v>
      </c>
      <c r="C4432" s="275" t="s">
        <v>108</v>
      </c>
      <c r="D4432" s="276">
        <v>10</v>
      </c>
      <c r="E4432" s="275">
        <v>93</v>
      </c>
      <c r="F4432" s="275">
        <v>42.6</v>
      </c>
    </row>
    <row r="4433" spans="1:6" hidden="1" x14ac:dyDescent="0.25">
      <c r="A4433" s="275" t="s">
        <v>146</v>
      </c>
      <c r="B4433" s="275">
        <v>2023</v>
      </c>
      <c r="C4433" s="275" t="s">
        <v>109</v>
      </c>
      <c r="D4433" s="276">
        <v>11</v>
      </c>
      <c r="E4433" s="275">
        <v>227.9</v>
      </c>
      <c r="F4433" s="275">
        <v>0</v>
      </c>
    </row>
    <row r="4434" spans="1:6" hidden="1" x14ac:dyDescent="0.25">
      <c r="A4434" s="275" t="s">
        <v>146</v>
      </c>
      <c r="B4434" s="275">
        <v>2023</v>
      </c>
      <c r="C4434" s="275" t="s">
        <v>110</v>
      </c>
      <c r="D4434" s="276">
        <v>12</v>
      </c>
      <c r="E4434" s="275">
        <v>304.5</v>
      </c>
      <c r="F4434" s="275">
        <v>0</v>
      </c>
    </row>
    <row r="4435" spans="1:6" hidden="1" x14ac:dyDescent="0.25">
      <c r="A4435" s="275" t="s">
        <v>236</v>
      </c>
      <c r="B4435" s="275">
        <v>2023</v>
      </c>
      <c r="C4435" s="275" t="s">
        <v>99</v>
      </c>
      <c r="D4435" s="276">
        <v>1</v>
      </c>
      <c r="E4435" s="275">
        <v>357.9</v>
      </c>
      <c r="F4435" s="275">
        <v>0</v>
      </c>
    </row>
    <row r="4436" spans="1:6" hidden="1" x14ac:dyDescent="0.25">
      <c r="A4436" s="275" t="s">
        <v>236</v>
      </c>
      <c r="B4436" s="275">
        <v>2023</v>
      </c>
      <c r="C4436" s="275" t="s">
        <v>100</v>
      </c>
      <c r="D4436" s="276">
        <v>2</v>
      </c>
      <c r="E4436" s="275">
        <v>294.8</v>
      </c>
      <c r="F4436" s="275">
        <v>0</v>
      </c>
    </row>
    <row r="4437" spans="1:6" hidden="1" x14ac:dyDescent="0.25">
      <c r="A4437" s="275" t="s">
        <v>236</v>
      </c>
      <c r="B4437" s="275">
        <v>2023</v>
      </c>
      <c r="C4437" s="275" t="s">
        <v>101</v>
      </c>
      <c r="D4437" s="276">
        <v>3</v>
      </c>
      <c r="E4437" s="275">
        <v>250.5</v>
      </c>
      <c r="F4437" s="275">
        <v>0.6</v>
      </c>
    </row>
    <row r="4438" spans="1:6" hidden="1" x14ac:dyDescent="0.25">
      <c r="A4438" s="275" t="s">
        <v>236</v>
      </c>
      <c r="B4438" s="275">
        <v>2023</v>
      </c>
      <c r="C4438" s="275" t="s">
        <v>102</v>
      </c>
      <c r="D4438" s="276">
        <v>4</v>
      </c>
      <c r="E4438" s="275">
        <v>197.2</v>
      </c>
      <c r="F4438" s="275">
        <v>2.5</v>
      </c>
    </row>
    <row r="4439" spans="1:6" hidden="1" x14ac:dyDescent="0.25">
      <c r="A4439" s="275" t="s">
        <v>236</v>
      </c>
      <c r="B4439" s="275">
        <v>2023</v>
      </c>
      <c r="C4439" s="275" t="s">
        <v>103</v>
      </c>
      <c r="D4439" s="276">
        <v>5</v>
      </c>
      <c r="E4439" s="275">
        <v>88.2</v>
      </c>
      <c r="F4439" s="275">
        <v>28.2</v>
      </c>
    </row>
    <row r="4440" spans="1:6" hidden="1" x14ac:dyDescent="0.25">
      <c r="A4440" s="275" t="s">
        <v>236</v>
      </c>
      <c r="B4440" s="275">
        <v>2023</v>
      </c>
      <c r="C4440" s="275" t="s">
        <v>104</v>
      </c>
      <c r="D4440" s="276">
        <v>6</v>
      </c>
      <c r="E4440" s="275">
        <v>10.8</v>
      </c>
      <c r="F4440" s="275">
        <v>142.5</v>
      </c>
    </row>
    <row r="4441" spans="1:6" hidden="1" x14ac:dyDescent="0.25">
      <c r="A4441" s="275" t="s">
        <v>236</v>
      </c>
      <c r="B4441" s="275">
        <v>2023</v>
      </c>
      <c r="C4441" s="275" t="s">
        <v>105</v>
      </c>
      <c r="D4441" s="276">
        <v>7</v>
      </c>
      <c r="E4441" s="275">
        <v>13</v>
      </c>
      <c r="F4441" s="275">
        <v>111.9</v>
      </c>
    </row>
    <row r="4442" spans="1:6" hidden="1" x14ac:dyDescent="0.25">
      <c r="A4442" s="275" t="s">
        <v>236</v>
      </c>
      <c r="B4442" s="275">
        <v>2023</v>
      </c>
      <c r="C4442" s="275" t="s">
        <v>106</v>
      </c>
      <c r="D4442" s="276">
        <v>8</v>
      </c>
      <c r="E4442" s="275">
        <v>17.2</v>
      </c>
      <c r="F4442" s="275">
        <v>105.9</v>
      </c>
    </row>
    <row r="4443" spans="1:6" hidden="1" x14ac:dyDescent="0.25">
      <c r="A4443" s="275" t="s">
        <v>236</v>
      </c>
      <c r="B4443" s="275">
        <v>2023</v>
      </c>
      <c r="C4443" s="275" t="s">
        <v>107</v>
      </c>
      <c r="D4443" s="276">
        <v>9</v>
      </c>
      <c r="E4443" s="275">
        <v>22</v>
      </c>
      <c r="F4443" s="275">
        <v>122.9</v>
      </c>
    </row>
    <row r="4444" spans="1:6" hidden="1" x14ac:dyDescent="0.25">
      <c r="A4444" s="275" t="s">
        <v>236</v>
      </c>
      <c r="B4444" s="275">
        <v>2023</v>
      </c>
      <c r="C4444" s="275" t="s">
        <v>108</v>
      </c>
      <c r="D4444" s="276">
        <v>10</v>
      </c>
      <c r="E4444" s="275">
        <v>106.5</v>
      </c>
      <c r="F4444" s="275">
        <v>30.8</v>
      </c>
    </row>
    <row r="4445" spans="1:6" hidden="1" x14ac:dyDescent="0.25">
      <c r="A4445" s="275" t="s">
        <v>236</v>
      </c>
      <c r="B4445" s="275">
        <v>2023</v>
      </c>
      <c r="C4445" s="275" t="s">
        <v>109</v>
      </c>
      <c r="D4445" s="276">
        <v>11</v>
      </c>
      <c r="E4445" s="275">
        <v>245.6</v>
      </c>
      <c r="F4445" s="275">
        <v>0</v>
      </c>
    </row>
    <row r="4446" spans="1:6" hidden="1" x14ac:dyDescent="0.25">
      <c r="A4446" s="275" t="s">
        <v>236</v>
      </c>
      <c r="B4446" s="275">
        <v>2023</v>
      </c>
      <c r="C4446" s="275" t="s">
        <v>110</v>
      </c>
      <c r="D4446" s="276">
        <v>12</v>
      </c>
      <c r="E4446" s="275">
        <v>306.60000000000002</v>
      </c>
      <c r="F4446" s="275">
        <v>0</v>
      </c>
    </row>
    <row r="4447" spans="1:6" hidden="1" x14ac:dyDescent="0.25">
      <c r="A4447" s="275" t="s">
        <v>112</v>
      </c>
      <c r="B4447" s="275">
        <v>2023</v>
      </c>
      <c r="C4447" s="275" t="s">
        <v>99</v>
      </c>
      <c r="D4447" s="276">
        <v>1</v>
      </c>
      <c r="E4447" s="275">
        <v>323.60000000000002</v>
      </c>
      <c r="F4447" s="275">
        <v>0</v>
      </c>
    </row>
    <row r="4448" spans="1:6" hidden="1" x14ac:dyDescent="0.25">
      <c r="A4448" s="275" t="s">
        <v>112</v>
      </c>
      <c r="B4448" s="275">
        <v>2023</v>
      </c>
      <c r="C4448" s="275" t="s">
        <v>100</v>
      </c>
      <c r="D4448" s="276">
        <v>2</v>
      </c>
      <c r="E4448" s="275">
        <v>288</v>
      </c>
      <c r="F4448" s="275">
        <v>0</v>
      </c>
    </row>
    <row r="4449" spans="1:6" hidden="1" x14ac:dyDescent="0.25">
      <c r="A4449" s="275" t="s">
        <v>112</v>
      </c>
      <c r="B4449" s="275">
        <v>2023</v>
      </c>
      <c r="C4449" s="275" t="s">
        <v>101</v>
      </c>
      <c r="D4449" s="276">
        <v>3</v>
      </c>
      <c r="E4449" s="275">
        <v>260.10000000000002</v>
      </c>
      <c r="F4449" s="275">
        <v>0</v>
      </c>
    </row>
    <row r="4450" spans="1:6" hidden="1" x14ac:dyDescent="0.25">
      <c r="A4450" s="275" t="s">
        <v>112</v>
      </c>
      <c r="B4450" s="275">
        <v>2023</v>
      </c>
      <c r="C4450" s="275" t="s">
        <v>102</v>
      </c>
      <c r="D4450" s="276">
        <v>4</v>
      </c>
      <c r="E4450" s="275">
        <v>210.1</v>
      </c>
      <c r="F4450" s="275">
        <v>0.8</v>
      </c>
    </row>
    <row r="4451" spans="1:6" hidden="1" x14ac:dyDescent="0.25">
      <c r="A4451" s="275" t="s">
        <v>112</v>
      </c>
      <c r="B4451" s="275">
        <v>2023</v>
      </c>
      <c r="C4451" s="275" t="s">
        <v>103</v>
      </c>
      <c r="D4451" s="276">
        <v>5</v>
      </c>
      <c r="E4451" s="275">
        <v>114.3</v>
      </c>
      <c r="F4451" s="275">
        <v>14.7</v>
      </c>
    </row>
    <row r="4452" spans="1:6" hidden="1" x14ac:dyDescent="0.25">
      <c r="A4452" s="275" t="s">
        <v>112</v>
      </c>
      <c r="B4452" s="275">
        <v>2023</v>
      </c>
      <c r="C4452" s="275" t="s">
        <v>104</v>
      </c>
      <c r="D4452" s="276">
        <v>6</v>
      </c>
      <c r="E4452" s="275">
        <v>38.299999999999997</v>
      </c>
      <c r="F4452" s="275">
        <v>63.1</v>
      </c>
    </row>
    <row r="4453" spans="1:6" hidden="1" x14ac:dyDescent="0.25">
      <c r="A4453" s="275" t="s">
        <v>112</v>
      </c>
      <c r="B4453" s="275">
        <v>2023</v>
      </c>
      <c r="C4453" s="275" t="s">
        <v>105</v>
      </c>
      <c r="D4453" s="276">
        <v>7</v>
      </c>
      <c r="E4453" s="275">
        <v>47.3</v>
      </c>
      <c r="F4453" s="275">
        <v>23.5</v>
      </c>
    </row>
    <row r="4454" spans="1:6" hidden="1" x14ac:dyDescent="0.25">
      <c r="A4454" s="275" t="s">
        <v>112</v>
      </c>
      <c r="B4454" s="275">
        <v>2023</v>
      </c>
      <c r="C4454" s="275" t="s">
        <v>106</v>
      </c>
      <c r="D4454" s="276">
        <v>8</v>
      </c>
      <c r="E4454" s="275">
        <v>43.4</v>
      </c>
      <c r="F4454" s="275">
        <v>35.200000000000003</v>
      </c>
    </row>
    <row r="4455" spans="1:6" hidden="1" x14ac:dyDescent="0.25">
      <c r="A4455" s="275" t="s">
        <v>112</v>
      </c>
      <c r="B4455" s="275">
        <v>2023</v>
      </c>
      <c r="C4455" s="275" t="s">
        <v>107</v>
      </c>
      <c r="D4455" s="276">
        <v>9</v>
      </c>
      <c r="E4455" s="275">
        <v>41.3</v>
      </c>
      <c r="F4455" s="275">
        <v>58.6</v>
      </c>
    </row>
    <row r="4456" spans="1:6" hidden="1" x14ac:dyDescent="0.25">
      <c r="A4456" s="275" t="s">
        <v>112</v>
      </c>
      <c r="B4456" s="275">
        <v>2023</v>
      </c>
      <c r="C4456" s="275" t="s">
        <v>108</v>
      </c>
      <c r="D4456" s="276">
        <v>10</v>
      </c>
      <c r="E4456" s="275">
        <v>120.5</v>
      </c>
      <c r="F4456" s="275">
        <v>13.9</v>
      </c>
    </row>
    <row r="4457" spans="1:6" hidden="1" x14ac:dyDescent="0.25">
      <c r="A4457" s="275" t="s">
        <v>112</v>
      </c>
      <c r="B4457" s="275">
        <v>2023</v>
      </c>
      <c r="C4457" s="275" t="s">
        <v>109</v>
      </c>
      <c r="D4457" s="276">
        <v>11</v>
      </c>
      <c r="E4457" s="275">
        <v>222</v>
      </c>
      <c r="F4457" s="275">
        <v>0</v>
      </c>
    </row>
    <row r="4458" spans="1:6" hidden="1" x14ac:dyDescent="0.25">
      <c r="A4458" s="275" t="s">
        <v>112</v>
      </c>
      <c r="B4458" s="275">
        <v>2023</v>
      </c>
      <c r="C4458" s="275" t="s">
        <v>110</v>
      </c>
      <c r="D4458" s="276">
        <v>12</v>
      </c>
      <c r="E4458" s="275">
        <v>244.5</v>
      </c>
      <c r="F4458" s="275">
        <v>0</v>
      </c>
    </row>
    <row r="4459" spans="1:6" hidden="1" x14ac:dyDescent="0.25">
      <c r="A4459" s="275" t="s">
        <v>113</v>
      </c>
      <c r="B4459" s="275">
        <v>2023</v>
      </c>
      <c r="C4459" s="275" t="s">
        <v>99</v>
      </c>
      <c r="D4459" s="276">
        <v>1</v>
      </c>
      <c r="E4459" s="275">
        <v>338.4</v>
      </c>
      <c r="F4459" s="275">
        <v>0</v>
      </c>
    </row>
    <row r="4460" spans="1:6" hidden="1" x14ac:dyDescent="0.25">
      <c r="A4460" s="275" t="s">
        <v>113</v>
      </c>
      <c r="B4460" s="275">
        <v>2023</v>
      </c>
      <c r="C4460" s="275" t="s">
        <v>100</v>
      </c>
      <c r="D4460" s="276">
        <v>2</v>
      </c>
      <c r="E4460" s="275">
        <v>309.5</v>
      </c>
      <c r="F4460" s="275">
        <v>0</v>
      </c>
    </row>
    <row r="4461" spans="1:6" hidden="1" x14ac:dyDescent="0.25">
      <c r="A4461" s="275" t="s">
        <v>113</v>
      </c>
      <c r="B4461" s="275">
        <v>2023</v>
      </c>
      <c r="C4461" s="275" t="s">
        <v>101</v>
      </c>
      <c r="D4461" s="276">
        <v>3</v>
      </c>
      <c r="E4461" s="275">
        <v>244.3</v>
      </c>
      <c r="F4461" s="275">
        <v>0.6</v>
      </c>
    </row>
    <row r="4462" spans="1:6" hidden="1" x14ac:dyDescent="0.25">
      <c r="A4462" s="275" t="s">
        <v>113</v>
      </c>
      <c r="B4462" s="275">
        <v>2023</v>
      </c>
      <c r="C4462" s="275" t="s">
        <v>102</v>
      </c>
      <c r="D4462" s="276">
        <v>4</v>
      </c>
      <c r="E4462" s="275">
        <v>203.2</v>
      </c>
      <c r="F4462" s="275">
        <v>1.8</v>
      </c>
    </row>
    <row r="4463" spans="1:6" hidden="1" x14ac:dyDescent="0.25">
      <c r="A4463" s="275" t="s">
        <v>113</v>
      </c>
      <c r="B4463" s="275">
        <v>2023</v>
      </c>
      <c r="C4463" s="275" t="s">
        <v>103</v>
      </c>
      <c r="D4463" s="276">
        <v>5</v>
      </c>
      <c r="E4463" s="275">
        <v>114.9</v>
      </c>
      <c r="F4463" s="275">
        <v>19.100000000000001</v>
      </c>
    </row>
    <row r="4464" spans="1:6" hidden="1" x14ac:dyDescent="0.25">
      <c r="A4464" s="275" t="s">
        <v>113</v>
      </c>
      <c r="B4464" s="275">
        <v>2023</v>
      </c>
      <c r="C4464" s="275" t="s">
        <v>104</v>
      </c>
      <c r="D4464" s="276">
        <v>6</v>
      </c>
      <c r="E4464" s="275">
        <v>32</v>
      </c>
      <c r="F4464" s="275">
        <v>103.6</v>
      </c>
    </row>
    <row r="4465" spans="1:6" hidden="1" x14ac:dyDescent="0.25">
      <c r="A4465" s="275" t="s">
        <v>113</v>
      </c>
      <c r="B4465" s="275">
        <v>2023</v>
      </c>
      <c r="C4465" s="275" t="s">
        <v>105</v>
      </c>
      <c r="D4465" s="276">
        <v>7</v>
      </c>
      <c r="E4465" s="275">
        <v>33.299999999999997</v>
      </c>
      <c r="F4465" s="275">
        <v>72.5</v>
      </c>
    </row>
    <row r="4466" spans="1:6" hidden="1" x14ac:dyDescent="0.25">
      <c r="A4466" s="275" t="s">
        <v>113</v>
      </c>
      <c r="B4466" s="275">
        <v>2023</v>
      </c>
      <c r="C4466" s="275" t="s">
        <v>106</v>
      </c>
      <c r="D4466" s="276">
        <v>8</v>
      </c>
      <c r="E4466" s="275">
        <v>32.799999999999997</v>
      </c>
      <c r="F4466" s="275">
        <v>74.400000000000006</v>
      </c>
    </row>
    <row r="4467" spans="1:6" hidden="1" x14ac:dyDescent="0.25">
      <c r="A4467" s="275" t="s">
        <v>113</v>
      </c>
      <c r="B4467" s="275">
        <v>2023</v>
      </c>
      <c r="C4467" s="275" t="s">
        <v>107</v>
      </c>
      <c r="D4467" s="276">
        <v>9</v>
      </c>
      <c r="E4467" s="275">
        <v>33.299999999999997</v>
      </c>
      <c r="F4467" s="275">
        <v>101.8</v>
      </c>
    </row>
    <row r="4468" spans="1:6" hidden="1" x14ac:dyDescent="0.25">
      <c r="A4468" s="275" t="s">
        <v>113</v>
      </c>
      <c r="B4468" s="275">
        <v>2023</v>
      </c>
      <c r="C4468" s="275" t="s">
        <v>108</v>
      </c>
      <c r="D4468" s="276">
        <v>10</v>
      </c>
      <c r="E4468" s="275">
        <v>114.9</v>
      </c>
      <c r="F4468" s="275">
        <v>30.7</v>
      </c>
    </row>
    <row r="4469" spans="1:6" hidden="1" x14ac:dyDescent="0.25">
      <c r="A4469" s="275" t="s">
        <v>113</v>
      </c>
      <c r="B4469" s="275">
        <v>2023</v>
      </c>
      <c r="C4469" s="275" t="s">
        <v>109</v>
      </c>
      <c r="D4469" s="276">
        <v>11</v>
      </c>
      <c r="E4469" s="275">
        <v>232.1</v>
      </c>
      <c r="F4469" s="275">
        <v>0</v>
      </c>
    </row>
    <row r="4470" spans="1:6" hidden="1" x14ac:dyDescent="0.25">
      <c r="A4470" s="275" t="s">
        <v>113</v>
      </c>
      <c r="B4470" s="275">
        <v>2023</v>
      </c>
      <c r="C4470" s="275" t="s">
        <v>110</v>
      </c>
      <c r="D4470" s="276">
        <v>12</v>
      </c>
      <c r="E4470" s="275">
        <v>285.10000000000002</v>
      </c>
      <c r="F4470" s="275">
        <v>0</v>
      </c>
    </row>
    <row r="4471" spans="1:6" hidden="1" x14ac:dyDescent="0.25">
      <c r="A4471" s="275" t="s">
        <v>98</v>
      </c>
      <c r="B4471" s="275">
        <v>2023</v>
      </c>
      <c r="C4471" s="275" t="s">
        <v>99</v>
      </c>
      <c r="D4471" s="276">
        <v>1</v>
      </c>
      <c r="E4471" s="275">
        <v>337.1</v>
      </c>
      <c r="F4471" s="275">
        <v>0</v>
      </c>
    </row>
    <row r="4472" spans="1:6" hidden="1" x14ac:dyDescent="0.25">
      <c r="A4472" s="275" t="s">
        <v>98</v>
      </c>
      <c r="B4472" s="275">
        <v>2023</v>
      </c>
      <c r="C4472" s="275" t="s">
        <v>100</v>
      </c>
      <c r="D4472" s="276">
        <v>2</v>
      </c>
      <c r="E4472" s="275">
        <v>304.60000000000002</v>
      </c>
      <c r="F4472" s="275">
        <v>0</v>
      </c>
    </row>
    <row r="4473" spans="1:6" hidden="1" x14ac:dyDescent="0.25">
      <c r="A4473" s="275" t="s">
        <v>98</v>
      </c>
      <c r="B4473" s="275">
        <v>2023</v>
      </c>
      <c r="C4473" s="275" t="s">
        <v>101</v>
      </c>
      <c r="D4473" s="276">
        <v>3</v>
      </c>
      <c r="E4473" s="275">
        <v>257.7</v>
      </c>
      <c r="F4473" s="275">
        <v>0</v>
      </c>
    </row>
    <row r="4474" spans="1:6" hidden="1" x14ac:dyDescent="0.25">
      <c r="A4474" s="275" t="s">
        <v>98</v>
      </c>
      <c r="B4474" s="275">
        <v>2023</v>
      </c>
      <c r="C4474" s="275" t="s">
        <v>102</v>
      </c>
      <c r="D4474" s="276">
        <v>4</v>
      </c>
      <c r="E4474" s="275">
        <v>228.8</v>
      </c>
      <c r="F4474" s="275">
        <v>0</v>
      </c>
    </row>
    <row r="4475" spans="1:6" hidden="1" x14ac:dyDescent="0.25">
      <c r="A4475" s="275" t="s">
        <v>98</v>
      </c>
      <c r="B4475" s="275">
        <v>2023</v>
      </c>
      <c r="C4475" s="275" t="s">
        <v>103</v>
      </c>
      <c r="D4475" s="276">
        <v>5</v>
      </c>
      <c r="E4475" s="275">
        <v>159.5</v>
      </c>
      <c r="F4475" s="275">
        <v>0.6</v>
      </c>
    </row>
    <row r="4476" spans="1:6" hidden="1" x14ac:dyDescent="0.25">
      <c r="A4476" s="275" t="s">
        <v>98</v>
      </c>
      <c r="B4476" s="275">
        <v>2023</v>
      </c>
      <c r="C4476" s="275" t="s">
        <v>104</v>
      </c>
      <c r="D4476" s="276">
        <v>6</v>
      </c>
      <c r="E4476" s="275">
        <v>57.4</v>
      </c>
      <c r="F4476" s="275">
        <v>33.200000000000003</v>
      </c>
    </row>
    <row r="4477" spans="1:6" hidden="1" x14ac:dyDescent="0.25">
      <c r="A4477" s="275" t="s">
        <v>98</v>
      </c>
      <c r="B4477" s="275">
        <v>2023</v>
      </c>
      <c r="C4477" s="275" t="s">
        <v>105</v>
      </c>
      <c r="D4477" s="276">
        <v>7</v>
      </c>
      <c r="E4477" s="275">
        <v>42.7</v>
      </c>
      <c r="F4477" s="275">
        <v>35.9</v>
      </c>
    </row>
    <row r="4478" spans="1:6" hidden="1" x14ac:dyDescent="0.25">
      <c r="A4478" s="275" t="s">
        <v>98</v>
      </c>
      <c r="B4478" s="275">
        <v>2023</v>
      </c>
      <c r="C4478" s="275" t="s">
        <v>106</v>
      </c>
      <c r="D4478" s="276">
        <v>8</v>
      </c>
      <c r="E4478" s="275">
        <v>45.8</v>
      </c>
      <c r="F4478" s="275">
        <v>38.4</v>
      </c>
    </row>
    <row r="4479" spans="1:6" hidden="1" x14ac:dyDescent="0.25">
      <c r="A4479" s="275" t="s">
        <v>98</v>
      </c>
      <c r="B4479" s="275">
        <v>2023</v>
      </c>
      <c r="C4479" s="275" t="s">
        <v>107</v>
      </c>
      <c r="D4479" s="276">
        <v>9</v>
      </c>
      <c r="E4479" s="275">
        <v>37.9</v>
      </c>
      <c r="F4479" s="275">
        <v>62.3</v>
      </c>
    </row>
    <row r="4480" spans="1:6" hidden="1" x14ac:dyDescent="0.25">
      <c r="A4480" s="275" t="s">
        <v>98</v>
      </c>
      <c r="B4480" s="275">
        <v>2023</v>
      </c>
      <c r="C4480" s="275" t="s">
        <v>108</v>
      </c>
      <c r="D4480" s="276">
        <v>10</v>
      </c>
      <c r="E4480" s="275">
        <v>117.2</v>
      </c>
      <c r="F4480" s="275">
        <v>27</v>
      </c>
    </row>
    <row r="4481" spans="1:6" hidden="1" x14ac:dyDescent="0.25">
      <c r="A4481" s="275" t="s">
        <v>98</v>
      </c>
      <c r="B4481" s="275">
        <v>2023</v>
      </c>
      <c r="C4481" s="275" t="s">
        <v>109</v>
      </c>
      <c r="D4481" s="276">
        <v>11</v>
      </c>
      <c r="E4481" s="275">
        <v>236.5</v>
      </c>
      <c r="F4481" s="275">
        <v>0</v>
      </c>
    </row>
    <row r="4482" spans="1:6" hidden="1" x14ac:dyDescent="0.25">
      <c r="A4482" s="275" t="s">
        <v>98</v>
      </c>
      <c r="B4482" s="275">
        <v>2023</v>
      </c>
      <c r="C4482" s="275" t="s">
        <v>110</v>
      </c>
      <c r="D4482" s="276">
        <v>12</v>
      </c>
      <c r="E4482" s="275">
        <v>270.3</v>
      </c>
      <c r="F4482" s="275">
        <v>0</v>
      </c>
    </row>
    <row r="4483" spans="1:6" x14ac:dyDescent="0.25">
      <c r="A4483" s="275" t="s">
        <v>116</v>
      </c>
      <c r="B4483" s="275">
        <v>2023</v>
      </c>
      <c r="C4483" s="275" t="s">
        <v>99</v>
      </c>
      <c r="D4483" s="276">
        <v>1</v>
      </c>
      <c r="E4483" s="275">
        <v>322.8</v>
      </c>
      <c r="F4483" s="275">
        <v>0</v>
      </c>
    </row>
    <row r="4484" spans="1:6" x14ac:dyDescent="0.25">
      <c r="A4484" s="275" t="s">
        <v>116</v>
      </c>
      <c r="B4484" s="275">
        <v>2023</v>
      </c>
      <c r="C4484" s="275" t="s">
        <v>100</v>
      </c>
      <c r="D4484" s="276">
        <v>2</v>
      </c>
      <c r="E4484" s="275">
        <v>299</v>
      </c>
      <c r="F4484" s="275">
        <v>0</v>
      </c>
    </row>
    <row r="4485" spans="1:6" x14ac:dyDescent="0.25">
      <c r="A4485" s="275" t="s">
        <v>116</v>
      </c>
      <c r="B4485" s="275">
        <v>2023</v>
      </c>
      <c r="C4485" s="275" t="s">
        <v>101</v>
      </c>
      <c r="D4485" s="276">
        <v>3</v>
      </c>
      <c r="E4485" s="275">
        <v>241.4</v>
      </c>
      <c r="F4485" s="275">
        <v>0</v>
      </c>
    </row>
    <row r="4486" spans="1:6" x14ac:dyDescent="0.25">
      <c r="A4486" s="275" t="s">
        <v>116</v>
      </c>
      <c r="B4486" s="275">
        <v>2023</v>
      </c>
      <c r="C4486" s="275" t="s">
        <v>102</v>
      </c>
      <c r="D4486" s="276">
        <v>4</v>
      </c>
      <c r="E4486" s="275">
        <v>187.5</v>
      </c>
      <c r="F4486" s="275">
        <v>1.8</v>
      </c>
    </row>
    <row r="4487" spans="1:6" x14ac:dyDescent="0.25">
      <c r="A4487" s="275" t="s">
        <v>116</v>
      </c>
      <c r="B4487" s="275">
        <v>2023</v>
      </c>
      <c r="C4487" s="275" t="s">
        <v>103</v>
      </c>
      <c r="D4487" s="276">
        <v>5</v>
      </c>
      <c r="E4487" s="275">
        <v>92.1</v>
      </c>
      <c r="F4487" s="275">
        <v>22.5</v>
      </c>
    </row>
    <row r="4488" spans="1:6" x14ac:dyDescent="0.25">
      <c r="A4488" s="275" t="s">
        <v>116</v>
      </c>
      <c r="B4488" s="275">
        <v>2023</v>
      </c>
      <c r="C4488" s="275" t="s">
        <v>104</v>
      </c>
      <c r="D4488" s="276">
        <v>6</v>
      </c>
      <c r="E4488" s="275">
        <v>28.5</v>
      </c>
      <c r="F4488" s="275">
        <v>91.5</v>
      </c>
    </row>
    <row r="4489" spans="1:6" x14ac:dyDescent="0.25">
      <c r="A4489" s="275" t="s">
        <v>116</v>
      </c>
      <c r="B4489" s="275">
        <v>2023</v>
      </c>
      <c r="C4489" s="275" t="s">
        <v>105</v>
      </c>
      <c r="D4489" s="276">
        <v>7</v>
      </c>
      <c r="E4489" s="275">
        <v>28.5</v>
      </c>
      <c r="F4489" s="275">
        <v>57.4</v>
      </c>
    </row>
    <row r="4490" spans="1:6" x14ac:dyDescent="0.25">
      <c r="A4490" s="275" t="s">
        <v>116</v>
      </c>
      <c r="B4490" s="275">
        <v>2023</v>
      </c>
      <c r="C4490" s="275" t="s">
        <v>106</v>
      </c>
      <c r="D4490" s="276">
        <v>8</v>
      </c>
      <c r="E4490" s="275">
        <v>31.7</v>
      </c>
      <c r="F4490" s="275">
        <v>66.900000000000006</v>
      </c>
    </row>
    <row r="4491" spans="1:6" x14ac:dyDescent="0.25">
      <c r="A4491" s="275" t="s">
        <v>116</v>
      </c>
      <c r="B4491" s="275">
        <v>2023</v>
      </c>
      <c r="C4491" s="275" t="s">
        <v>107</v>
      </c>
      <c r="D4491" s="276">
        <v>9</v>
      </c>
      <c r="E4491" s="275">
        <v>32.299999999999997</v>
      </c>
      <c r="F4491" s="275">
        <v>90.3</v>
      </c>
    </row>
    <row r="4492" spans="1:6" x14ac:dyDescent="0.25">
      <c r="A4492" s="275" t="s">
        <v>116</v>
      </c>
      <c r="B4492" s="275">
        <v>2023</v>
      </c>
      <c r="C4492" s="275" t="s">
        <v>108</v>
      </c>
      <c r="D4492" s="276">
        <v>10</v>
      </c>
      <c r="E4492" s="275">
        <v>99.6</v>
      </c>
      <c r="F4492" s="275">
        <v>27.4</v>
      </c>
    </row>
    <row r="4493" spans="1:6" x14ac:dyDescent="0.25">
      <c r="A4493" s="275" t="s">
        <v>116</v>
      </c>
      <c r="B4493" s="275">
        <v>2023</v>
      </c>
      <c r="C4493" s="275" t="s">
        <v>109</v>
      </c>
      <c r="D4493" s="276">
        <v>11</v>
      </c>
      <c r="E4493" s="275">
        <v>216.3</v>
      </c>
      <c r="F4493" s="275">
        <v>0</v>
      </c>
    </row>
    <row r="4494" spans="1:6" x14ac:dyDescent="0.25">
      <c r="A4494" s="275" t="s">
        <v>116</v>
      </c>
      <c r="B4494" s="275">
        <v>2023</v>
      </c>
      <c r="C4494" s="275" t="s">
        <v>110</v>
      </c>
      <c r="D4494" s="276">
        <v>12</v>
      </c>
      <c r="E4494" s="275">
        <v>258.10000000000002</v>
      </c>
      <c r="F4494" s="275">
        <v>0</v>
      </c>
    </row>
  </sheetData>
  <pageMargins left="0.7" right="0.7" top="0.75" bottom="0.75" header="0.3" footer="0.3"/>
  <tableParts count="1">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K33"/>
  <sheetViews>
    <sheetView topLeftCell="A4" workbookViewId="0"/>
  </sheetViews>
  <sheetFormatPr baseColWidth="10" defaultColWidth="0" defaultRowHeight="15" zeroHeight="1" x14ac:dyDescent="0.25"/>
  <cols>
    <col min="1" max="11" width="11.42578125" customWidth="1"/>
    <col min="12" max="16384" width="11.42578125" hidden="1"/>
  </cols>
  <sheetData>
    <row r="1" spans="1:11" x14ac:dyDescent="0.25">
      <c r="A1" s="42"/>
      <c r="B1" s="42"/>
      <c r="C1" s="42"/>
      <c r="D1" s="42"/>
      <c r="E1" s="42"/>
      <c r="F1" s="42"/>
      <c r="G1" s="42"/>
      <c r="H1" s="42"/>
      <c r="I1" s="42"/>
      <c r="J1" s="42"/>
      <c r="K1" s="42"/>
    </row>
    <row r="2" spans="1:11" x14ac:dyDescent="0.25">
      <c r="A2" s="42"/>
      <c r="B2" s="42"/>
      <c r="C2" s="42"/>
      <c r="D2" s="42"/>
      <c r="E2" s="42"/>
      <c r="F2" s="42"/>
      <c r="G2" s="42"/>
      <c r="H2" s="42"/>
      <c r="I2" s="42"/>
      <c r="J2" s="42"/>
      <c r="K2" s="42"/>
    </row>
    <row r="3" spans="1:11" x14ac:dyDescent="0.25">
      <c r="A3" s="42"/>
      <c r="B3" s="147" t="s">
        <v>198</v>
      </c>
      <c r="C3" s="323">
        <f>Site!C2</f>
        <v>0</v>
      </c>
      <c r="D3" s="323"/>
      <c r="E3" s="323"/>
      <c r="F3" s="42"/>
      <c r="G3" s="146" t="s">
        <v>276</v>
      </c>
      <c r="H3" s="92">
        <f>'CALCUL DEET'!R14</f>
        <v>2020</v>
      </c>
      <c r="I3" s="42"/>
      <c r="J3" s="42"/>
      <c r="K3" s="42"/>
    </row>
    <row r="4" spans="1:11" x14ac:dyDescent="0.25">
      <c r="A4" s="42"/>
      <c r="B4" s="42"/>
      <c r="C4" s="146" t="s">
        <v>162</v>
      </c>
      <c r="D4" s="92" t="str">
        <f>BDD_DJU!I11</f>
        <v>Le Mans</v>
      </c>
      <c r="E4" s="42"/>
      <c r="F4" s="42"/>
      <c r="G4" s="146" t="s">
        <v>312</v>
      </c>
      <c r="H4" s="92" t="str">
        <f>'CALCUL DEET'!C7</f>
        <v>Année</v>
      </c>
      <c r="I4" s="42"/>
      <c r="J4" s="42"/>
      <c r="K4" s="42"/>
    </row>
    <row r="5" spans="1:11" x14ac:dyDescent="0.25">
      <c r="A5" s="42"/>
      <c r="B5" s="42"/>
      <c r="E5" s="42"/>
      <c r="F5" s="42"/>
      <c r="G5" s="42"/>
      <c r="H5" s="42"/>
      <c r="I5" s="42"/>
      <c r="J5" s="42"/>
      <c r="K5" s="42"/>
    </row>
    <row r="6" spans="1:11" x14ac:dyDescent="0.25">
      <c r="A6" s="42"/>
      <c r="B6" s="42"/>
      <c r="E6" s="42"/>
      <c r="F6" s="42"/>
      <c r="G6" s="42"/>
      <c r="H6" s="42"/>
      <c r="I6" s="42"/>
      <c r="J6" s="42"/>
      <c r="K6" s="42"/>
    </row>
    <row r="7" spans="1:11" x14ac:dyDescent="0.25">
      <c r="A7" s="42"/>
      <c r="B7" s="42"/>
      <c r="C7" s="42"/>
      <c r="D7" s="42"/>
      <c r="E7" s="42"/>
      <c r="F7" s="42"/>
      <c r="G7" s="42"/>
      <c r="H7" s="42"/>
      <c r="I7" s="42"/>
      <c r="J7" s="42"/>
      <c r="K7" s="42"/>
    </row>
    <row r="8" spans="1:11" x14ac:dyDescent="0.25">
      <c r="A8" s="42"/>
      <c r="B8" s="42"/>
      <c r="C8" s="42"/>
      <c r="D8" s="42"/>
      <c r="E8" s="42"/>
      <c r="F8" s="42"/>
      <c r="G8" s="42"/>
      <c r="H8" s="42"/>
      <c r="I8" s="42"/>
      <c r="J8" s="42"/>
      <c r="K8" s="42"/>
    </row>
    <row r="9" spans="1:11" x14ac:dyDescent="0.25">
      <c r="A9" s="42"/>
      <c r="B9" s="42"/>
      <c r="C9" s="42"/>
      <c r="D9" s="42"/>
      <c r="E9" s="42"/>
      <c r="F9" s="42"/>
      <c r="G9" s="42"/>
      <c r="H9" s="42"/>
      <c r="I9" s="42"/>
      <c r="J9" s="42"/>
      <c r="K9" s="42"/>
    </row>
    <row r="10" spans="1:11" x14ac:dyDescent="0.25">
      <c r="A10" s="42"/>
      <c r="B10" s="42"/>
      <c r="C10" s="42"/>
      <c r="D10" s="42"/>
      <c r="E10" s="42"/>
      <c r="F10" s="42"/>
      <c r="G10" s="42"/>
      <c r="H10" s="42"/>
      <c r="I10" s="42"/>
      <c r="J10" s="42"/>
      <c r="K10" s="42"/>
    </row>
    <row r="11" spans="1:11" x14ac:dyDescent="0.25">
      <c r="A11" s="42"/>
      <c r="B11" s="42"/>
      <c r="C11" s="42"/>
      <c r="D11" s="42"/>
      <c r="E11" s="42"/>
      <c r="F11" s="42"/>
      <c r="G11" s="42"/>
      <c r="H11" s="42"/>
      <c r="I11" s="42"/>
      <c r="J11" s="42"/>
      <c r="K11" s="42"/>
    </row>
    <row r="12" spans="1:11" x14ac:dyDescent="0.25">
      <c r="A12" s="42"/>
      <c r="B12" s="42"/>
      <c r="C12" s="42"/>
      <c r="D12" s="42"/>
      <c r="E12" s="42"/>
      <c r="F12" s="42"/>
      <c r="G12" s="42"/>
      <c r="H12" s="42"/>
      <c r="I12" s="42"/>
      <c r="J12" s="42"/>
      <c r="K12" s="42"/>
    </row>
    <row r="13" spans="1:11" x14ac:dyDescent="0.25">
      <c r="A13" s="42"/>
      <c r="B13" s="42"/>
      <c r="C13" s="42"/>
      <c r="D13" s="42"/>
      <c r="E13" s="42"/>
      <c r="F13" s="42"/>
      <c r="G13" s="42"/>
      <c r="H13" s="42"/>
      <c r="I13" s="42"/>
      <c r="J13" s="42"/>
      <c r="K13" s="42"/>
    </row>
    <row r="14" spans="1:11" x14ac:dyDescent="0.25">
      <c r="A14" s="42"/>
      <c r="B14" s="42"/>
      <c r="C14" s="42"/>
      <c r="D14" s="42"/>
      <c r="E14" s="42"/>
      <c r="F14" s="42"/>
      <c r="G14" s="42"/>
      <c r="H14" s="42"/>
      <c r="I14" s="42"/>
      <c r="J14" s="42"/>
      <c r="K14" s="42"/>
    </row>
    <row r="15" spans="1:11" x14ac:dyDescent="0.25">
      <c r="A15" s="42"/>
      <c r="B15" s="42"/>
      <c r="C15" s="42"/>
      <c r="D15" s="42"/>
      <c r="E15" s="42"/>
      <c r="F15" s="42"/>
      <c r="G15" s="42"/>
      <c r="H15" s="42"/>
      <c r="I15" s="42"/>
      <c r="J15" s="42"/>
      <c r="K15" s="42"/>
    </row>
    <row r="16" spans="1:11" x14ac:dyDescent="0.25">
      <c r="A16" s="42"/>
      <c r="B16" s="42"/>
      <c r="C16" s="42"/>
      <c r="D16" s="42"/>
      <c r="E16" s="42"/>
      <c r="F16" s="42"/>
      <c r="G16" s="42"/>
      <c r="H16" s="42"/>
      <c r="I16" s="42"/>
      <c r="J16" s="42"/>
      <c r="K16" s="42"/>
    </row>
    <row r="17" spans="1:11" x14ac:dyDescent="0.25">
      <c r="A17" s="42"/>
      <c r="B17" s="42"/>
      <c r="C17" s="42"/>
      <c r="D17" s="42"/>
      <c r="E17" s="42"/>
      <c r="F17" s="42"/>
      <c r="G17" s="42"/>
      <c r="H17" s="42"/>
      <c r="I17" s="42"/>
      <c r="J17" s="42"/>
      <c r="K17" s="42"/>
    </row>
    <row r="18" spans="1:11" x14ac:dyDescent="0.25">
      <c r="A18" s="42"/>
      <c r="B18" s="42"/>
      <c r="C18" s="42"/>
      <c r="D18" s="42"/>
      <c r="E18" s="42"/>
      <c r="F18" s="42"/>
      <c r="G18" s="42"/>
      <c r="H18" s="42"/>
      <c r="I18" s="42"/>
      <c r="J18" s="42"/>
      <c r="K18" s="42"/>
    </row>
    <row r="19" spans="1:11" x14ac:dyDescent="0.25">
      <c r="A19" s="42"/>
      <c r="B19" s="42"/>
      <c r="C19" s="42"/>
      <c r="D19" s="42"/>
      <c r="E19" s="42"/>
      <c r="F19" s="42"/>
      <c r="G19" s="42"/>
      <c r="H19" s="42"/>
      <c r="I19" s="42"/>
      <c r="J19" s="42"/>
      <c r="K19" s="42"/>
    </row>
    <row r="20" spans="1:11" x14ac:dyDescent="0.25">
      <c r="A20" s="42"/>
      <c r="B20" s="42"/>
      <c r="C20" s="42"/>
      <c r="D20" s="42"/>
      <c r="E20" s="42"/>
      <c r="F20" s="42"/>
      <c r="G20" s="42"/>
      <c r="H20" s="42"/>
      <c r="I20" s="42"/>
      <c r="J20" s="42"/>
      <c r="K20" s="42"/>
    </row>
    <row r="21" spans="1:11" x14ac:dyDescent="0.25">
      <c r="A21" s="42"/>
      <c r="B21" s="42"/>
      <c r="C21" s="42"/>
      <c r="D21" s="42"/>
      <c r="E21" s="42"/>
      <c r="F21" s="42"/>
      <c r="G21" s="42"/>
      <c r="H21" s="42"/>
      <c r="I21" s="42"/>
      <c r="J21" s="42"/>
      <c r="K21" s="42"/>
    </row>
    <row r="22" spans="1:11" x14ac:dyDescent="0.25">
      <c r="A22" s="42"/>
      <c r="B22" s="42"/>
      <c r="C22" s="42"/>
      <c r="D22" s="42"/>
      <c r="E22" s="42"/>
      <c r="F22" s="42"/>
      <c r="G22" s="42"/>
      <c r="H22" s="42"/>
      <c r="I22" s="42"/>
      <c r="J22" s="42"/>
      <c r="K22" s="42"/>
    </row>
    <row r="23" spans="1:11" x14ac:dyDescent="0.25">
      <c r="A23" s="42"/>
      <c r="B23" s="42"/>
      <c r="C23" s="42"/>
      <c r="D23" s="42"/>
      <c r="E23" s="42"/>
      <c r="F23" s="42"/>
      <c r="G23" s="42"/>
      <c r="H23" s="42"/>
      <c r="I23" s="42"/>
      <c r="J23" s="42"/>
      <c r="K23" s="42"/>
    </row>
    <row r="24" spans="1:11" x14ac:dyDescent="0.25">
      <c r="A24" s="42"/>
      <c r="B24" s="42"/>
      <c r="C24" s="42"/>
      <c r="D24" s="42"/>
      <c r="E24" s="42"/>
      <c r="F24" s="42"/>
      <c r="G24" s="42"/>
      <c r="H24" s="42"/>
      <c r="I24" s="42"/>
      <c r="J24" s="42"/>
      <c r="K24" s="42"/>
    </row>
    <row r="25" spans="1:11" x14ac:dyDescent="0.25">
      <c r="A25" s="42"/>
      <c r="B25" s="42"/>
      <c r="C25" s="42"/>
      <c r="D25" s="42"/>
      <c r="E25" s="42"/>
      <c r="F25" s="42"/>
      <c r="G25" s="42"/>
      <c r="H25" s="42"/>
      <c r="I25" s="42"/>
      <c r="J25" s="42"/>
      <c r="K25" s="42"/>
    </row>
    <row r="26" spans="1:11" x14ac:dyDescent="0.25">
      <c r="A26" s="42"/>
      <c r="B26" s="42"/>
      <c r="C26" s="42"/>
      <c r="D26" s="42"/>
      <c r="E26" s="42"/>
      <c r="F26" s="42"/>
      <c r="G26" s="42"/>
      <c r="H26" s="42"/>
      <c r="I26" s="42"/>
      <c r="J26" s="42"/>
      <c r="K26" s="42"/>
    </row>
    <row r="27" spans="1:11" x14ac:dyDescent="0.25">
      <c r="A27" s="42"/>
      <c r="B27" s="42"/>
      <c r="C27" s="42"/>
      <c r="D27" s="42"/>
      <c r="E27" s="42"/>
      <c r="F27" s="42"/>
      <c r="G27" s="42"/>
      <c r="H27" s="42"/>
      <c r="I27" s="42"/>
      <c r="J27" s="42"/>
      <c r="K27" s="42"/>
    </row>
    <row r="28" spans="1:11" x14ac:dyDescent="0.25">
      <c r="A28" s="42"/>
      <c r="B28" s="42"/>
      <c r="C28" s="42"/>
      <c r="D28" s="42"/>
      <c r="E28" s="42"/>
      <c r="F28" s="42"/>
      <c r="G28" s="42"/>
      <c r="H28" s="42"/>
      <c r="I28" s="42"/>
      <c r="J28" s="42"/>
      <c r="K28" s="42"/>
    </row>
    <row r="29" spans="1:11" x14ac:dyDescent="0.25">
      <c r="A29" s="42"/>
      <c r="B29" s="42"/>
      <c r="C29" s="42"/>
      <c r="D29" s="42"/>
      <c r="E29" s="42"/>
      <c r="F29" s="42"/>
      <c r="G29" s="42"/>
      <c r="H29" s="42"/>
      <c r="I29" s="42"/>
      <c r="J29" s="42"/>
      <c r="K29" s="42"/>
    </row>
    <row r="30" spans="1:11" x14ac:dyDescent="0.25">
      <c r="A30" s="42"/>
      <c r="B30" s="42"/>
      <c r="C30" s="42"/>
      <c r="D30" s="42"/>
      <c r="E30" s="42"/>
      <c r="F30" s="42"/>
      <c r="G30" s="42"/>
      <c r="H30" s="42"/>
      <c r="I30" s="42"/>
      <c r="J30" s="42"/>
      <c r="K30" s="42"/>
    </row>
    <row r="31" spans="1:11" x14ac:dyDescent="0.25">
      <c r="A31" s="42"/>
      <c r="B31" s="42"/>
      <c r="C31" s="42"/>
      <c r="D31" s="42"/>
      <c r="E31" s="42"/>
      <c r="F31" s="42"/>
      <c r="G31" s="42"/>
      <c r="H31" s="42"/>
      <c r="I31" s="42"/>
      <c r="J31" s="42"/>
      <c r="K31" s="42"/>
    </row>
    <row r="32" spans="1:11" x14ac:dyDescent="0.25">
      <c r="A32" s="42"/>
      <c r="B32" s="42"/>
      <c r="C32" s="42"/>
      <c r="D32" s="42"/>
      <c r="E32" s="42"/>
      <c r="F32" s="42"/>
      <c r="G32" s="42"/>
      <c r="H32" s="42"/>
      <c r="I32" s="42"/>
      <c r="J32" s="42"/>
      <c r="K32" s="42"/>
    </row>
    <row r="33" spans="1:11" x14ac:dyDescent="0.25">
      <c r="A33" s="42"/>
      <c r="B33" s="42"/>
      <c r="C33" s="42"/>
      <c r="D33" s="42"/>
      <c r="E33" s="42"/>
      <c r="F33" s="42"/>
      <c r="G33" s="42"/>
      <c r="H33" s="42"/>
      <c r="I33" s="42"/>
      <c r="J33" s="42"/>
      <c r="K33" s="42"/>
    </row>
  </sheetData>
  <sheetProtection sheet="1" objects="1" scenarios="1"/>
  <protectedRanges>
    <protectedRange sqref="C3:E3" name="Plage1"/>
  </protectedRanges>
  <mergeCells count="1">
    <mergeCell ref="C3:E3"/>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34"/>
  <sheetViews>
    <sheetView showGridLines="0" workbookViewId="0">
      <selection activeCell="B14" sqref="B14:E14"/>
    </sheetView>
  </sheetViews>
  <sheetFormatPr baseColWidth="10" defaultColWidth="0" defaultRowHeight="15" customHeight="1" zeroHeight="1" x14ac:dyDescent="0.25"/>
  <cols>
    <col min="1" max="1" width="11.42578125" style="231" customWidth="1"/>
    <col min="2" max="2" width="21" style="231" customWidth="1"/>
    <col min="3" max="3" width="22.140625" style="231" customWidth="1"/>
    <col min="4" max="9" width="11.42578125" style="231" customWidth="1"/>
    <col min="10" max="11" width="11.42578125" style="231" hidden="1" customWidth="1"/>
    <col min="12" max="16384" width="11.42578125" style="231" hidden="1"/>
  </cols>
  <sheetData>
    <row r="1" spans="1:11" x14ac:dyDescent="0.25">
      <c r="A1" s="42"/>
      <c r="B1" s="42"/>
      <c r="C1" s="42"/>
      <c r="D1" s="42"/>
      <c r="E1" s="42"/>
      <c r="F1" s="42"/>
      <c r="G1" s="42"/>
      <c r="H1" s="42"/>
      <c r="I1" s="42"/>
      <c r="J1" s="42"/>
      <c r="K1" s="42"/>
    </row>
    <row r="2" spans="1:11" x14ac:dyDescent="0.25">
      <c r="A2" s="42"/>
      <c r="B2" s="42"/>
      <c r="C2" s="42"/>
      <c r="D2" s="42"/>
      <c r="E2" s="42"/>
      <c r="F2" s="42"/>
      <c r="G2" s="42"/>
      <c r="H2" s="42"/>
      <c r="I2" s="42"/>
      <c r="J2" s="42"/>
      <c r="K2" s="42"/>
    </row>
    <row r="3" spans="1:11" x14ac:dyDescent="0.25">
      <c r="A3" s="42"/>
      <c r="B3" s="147" t="s">
        <v>198</v>
      </c>
      <c r="C3" s="323">
        <f>Site!C2</f>
        <v>0</v>
      </c>
      <c r="D3" s="323"/>
      <c r="E3" s="323"/>
      <c r="F3" s="42"/>
      <c r="G3" s="146"/>
      <c r="H3" s="92"/>
      <c r="I3" s="42"/>
      <c r="J3" s="42"/>
      <c r="K3" s="42"/>
    </row>
    <row r="4" spans="1:11" x14ac:dyDescent="0.25">
      <c r="A4" s="42"/>
      <c r="B4" s="42"/>
      <c r="C4" s="146" t="s">
        <v>162</v>
      </c>
      <c r="D4" s="92" t="str">
        <f>BDD_DJU!I11</f>
        <v>Le Mans</v>
      </c>
      <c r="E4" s="42"/>
      <c r="F4" s="42"/>
      <c r="G4" s="146"/>
      <c r="H4" s="92"/>
      <c r="I4" s="42"/>
      <c r="J4" s="42"/>
      <c r="K4" s="42"/>
    </row>
    <row r="5" spans="1:11" x14ac:dyDescent="0.25">
      <c r="A5" s="42"/>
      <c r="B5" s="42"/>
      <c r="E5" s="42"/>
      <c r="F5" s="42"/>
      <c r="G5" s="42"/>
      <c r="H5" s="42"/>
      <c r="I5" s="42"/>
      <c r="J5" s="42"/>
      <c r="K5" s="42"/>
    </row>
    <row r="6" spans="1:11" x14ac:dyDescent="0.25">
      <c r="A6" s="42"/>
      <c r="B6" s="42"/>
      <c r="E6" s="42"/>
      <c r="F6" s="42" t="s">
        <v>476</v>
      </c>
      <c r="G6" s="42"/>
      <c r="H6" s="42"/>
      <c r="I6" s="42"/>
      <c r="J6" s="42"/>
      <c r="K6" s="42"/>
    </row>
    <row r="7" spans="1:11" x14ac:dyDescent="0.25">
      <c r="A7" s="42"/>
      <c r="B7" s="42"/>
      <c r="C7" s="42"/>
      <c r="D7" s="42"/>
      <c r="E7" s="42"/>
      <c r="F7" s="42"/>
      <c r="G7" s="42"/>
      <c r="H7" s="42"/>
      <c r="I7" s="42"/>
      <c r="J7" s="42"/>
      <c r="K7" s="42"/>
    </row>
    <row r="8" spans="1:11" ht="34.5" customHeight="1" x14ac:dyDescent="0.25">
      <c r="A8" s="42"/>
      <c r="B8" s="324" t="s">
        <v>477</v>
      </c>
      <c r="C8" s="325"/>
      <c r="D8" s="325"/>
      <c r="E8" s="325"/>
      <c r="F8" s="42"/>
      <c r="G8" s="42"/>
      <c r="H8" s="42"/>
      <c r="I8" s="42"/>
      <c r="J8" s="42"/>
      <c r="K8" s="42"/>
    </row>
    <row r="9" spans="1:11" x14ac:dyDescent="0.25">
      <c r="A9" s="42"/>
      <c r="B9" s="177"/>
      <c r="C9" s="270"/>
      <c r="D9" s="270"/>
      <c r="E9" s="270"/>
      <c r="F9" s="42"/>
      <c r="G9" s="42"/>
      <c r="H9" s="42"/>
      <c r="I9" s="42"/>
      <c r="J9" s="42"/>
      <c r="K9" s="42"/>
    </row>
    <row r="10" spans="1:11" x14ac:dyDescent="0.25">
      <c r="A10" s="42"/>
      <c r="B10" s="269" t="s">
        <v>479</v>
      </c>
      <c r="D10"/>
      <c r="E10" s="42"/>
      <c r="F10" s="42"/>
      <c r="G10" s="42"/>
      <c r="H10" s="42"/>
      <c r="I10" s="42"/>
      <c r="J10" s="42"/>
      <c r="K10" s="42"/>
    </row>
    <row r="11" spans="1:11" ht="16.5" customHeight="1" x14ac:dyDescent="0.25">
      <c r="A11" s="42"/>
      <c r="B11" s="268" t="s">
        <v>478</v>
      </c>
      <c r="D11"/>
      <c r="E11" s="42"/>
      <c r="F11" s="42"/>
      <c r="G11" s="42"/>
      <c r="H11" s="42"/>
      <c r="I11" s="42"/>
      <c r="J11" s="42"/>
      <c r="K11" s="42"/>
    </row>
    <row r="12" spans="1:11" ht="12.75" customHeight="1" x14ac:dyDescent="0.25">
      <c r="A12" s="42"/>
      <c r="F12" s="42"/>
      <c r="G12" s="42"/>
      <c r="H12" s="42"/>
      <c r="I12" s="42"/>
      <c r="J12" s="42"/>
      <c r="K12" s="42"/>
    </row>
    <row r="13" spans="1:11" x14ac:dyDescent="0.25">
      <c r="A13" s="42"/>
      <c r="F13" s="42"/>
      <c r="G13" s="42"/>
      <c r="H13" s="42"/>
      <c r="I13" s="42"/>
      <c r="J13" s="42"/>
      <c r="K13" s="42"/>
    </row>
    <row r="14" spans="1:11" ht="27" customHeight="1" x14ac:dyDescent="0.25">
      <c r="A14" s="42"/>
      <c r="B14" s="326" t="s">
        <v>500</v>
      </c>
      <c r="C14" s="325"/>
      <c r="D14" s="325"/>
      <c r="E14" s="325"/>
      <c r="F14" s="42"/>
      <c r="G14" s="42"/>
      <c r="I14" s="42"/>
      <c r="J14" s="42"/>
      <c r="K14" s="42"/>
    </row>
    <row r="15" spans="1:11" x14ac:dyDescent="0.25">
      <c r="A15" s="42"/>
      <c r="B15"/>
      <c r="C15"/>
      <c r="D15"/>
      <c r="E15" s="42"/>
      <c r="F15" s="42"/>
      <c r="G15" s="42"/>
      <c r="H15" s="42"/>
      <c r="I15" s="42"/>
      <c r="J15" s="42"/>
      <c r="K15" s="42"/>
    </row>
    <row r="16" spans="1:11" x14ac:dyDescent="0.25">
      <c r="A16" s="42"/>
      <c r="B16" s="232" t="s">
        <v>34</v>
      </c>
      <c r="C16" t="s">
        <v>475</v>
      </c>
      <c r="D16"/>
      <c r="E16" s="42"/>
      <c r="F16" s="42"/>
      <c r="G16" s="42"/>
      <c r="H16" s="42"/>
      <c r="I16" s="42"/>
      <c r="J16" s="42"/>
      <c r="K16" s="42"/>
    </row>
    <row r="17" spans="1:11" x14ac:dyDescent="0.25">
      <c r="A17" s="42"/>
      <c r="B17" s="233"/>
      <c r="C17" s="271">
        <v>0</v>
      </c>
      <c r="D17"/>
      <c r="E17" s="42"/>
      <c r="F17" s="42"/>
      <c r="G17" s="42"/>
      <c r="H17" s="42"/>
      <c r="I17" s="42"/>
      <c r="J17" s="42"/>
      <c r="K17" s="42"/>
    </row>
    <row r="18" spans="1:11" x14ac:dyDescent="0.25">
      <c r="A18" s="42"/>
      <c r="B18"/>
      <c r="C18"/>
      <c r="D18"/>
      <c r="E18" s="42"/>
      <c r="F18" s="42"/>
      <c r="G18" s="42"/>
      <c r="H18" s="42"/>
      <c r="I18" s="42"/>
      <c r="J18" s="42"/>
      <c r="K18" s="42"/>
    </row>
    <row r="19" spans="1:11" x14ac:dyDescent="0.25">
      <c r="A19" s="42"/>
      <c r="B19"/>
      <c r="C19"/>
      <c r="D19"/>
      <c r="E19" s="42"/>
      <c r="F19" s="42"/>
      <c r="G19" s="42"/>
      <c r="H19" s="42"/>
      <c r="I19" s="42"/>
      <c r="J19" s="42"/>
      <c r="K19" s="42"/>
    </row>
    <row r="20" spans="1:11" x14ac:dyDescent="0.25">
      <c r="A20" s="42"/>
      <c r="B20"/>
      <c r="C20"/>
      <c r="D20"/>
      <c r="E20" s="42"/>
      <c r="F20" s="42"/>
      <c r="G20" s="42"/>
      <c r="H20" s="42"/>
      <c r="I20" s="42"/>
      <c r="J20" s="42"/>
      <c r="K20" s="42"/>
    </row>
    <row r="21" spans="1:11" x14ac:dyDescent="0.25">
      <c r="A21" s="42"/>
      <c r="B21"/>
      <c r="C21"/>
      <c r="D21"/>
      <c r="E21" s="42"/>
      <c r="F21" s="42"/>
      <c r="G21" s="42"/>
      <c r="H21" s="42"/>
      <c r="I21" s="42"/>
      <c r="J21" s="42"/>
      <c r="K21" s="42"/>
    </row>
    <row r="22" spans="1:11" x14ac:dyDescent="0.25">
      <c r="A22" s="42"/>
      <c r="C22"/>
      <c r="D22"/>
      <c r="E22" s="42"/>
      <c r="F22" s="42"/>
      <c r="G22" s="42"/>
      <c r="H22" s="42"/>
      <c r="I22" s="42"/>
      <c r="J22" s="42"/>
      <c r="K22" s="42"/>
    </row>
    <row r="23" spans="1:11" x14ac:dyDescent="0.25">
      <c r="A23" s="42"/>
      <c r="B23"/>
      <c r="C23"/>
      <c r="D23"/>
      <c r="E23" s="42"/>
      <c r="F23" s="42"/>
      <c r="G23" s="42"/>
      <c r="H23" s="42"/>
      <c r="I23" s="42"/>
      <c r="J23" s="42"/>
      <c r="K23" s="42"/>
    </row>
    <row r="24" spans="1:11" x14ac:dyDescent="0.25">
      <c r="A24" s="42"/>
      <c r="B24"/>
      <c r="C24"/>
      <c r="D24"/>
      <c r="E24" s="42"/>
      <c r="F24" s="42"/>
      <c r="G24" s="42"/>
      <c r="H24" s="42"/>
      <c r="I24" s="42"/>
      <c r="J24" s="42"/>
      <c r="K24" s="42"/>
    </row>
    <row r="25" spans="1:11" x14ac:dyDescent="0.25">
      <c r="A25" s="42"/>
      <c r="B25"/>
      <c r="C25"/>
      <c r="D25"/>
      <c r="E25" s="42"/>
      <c r="F25" s="42"/>
      <c r="G25" s="42"/>
      <c r="H25" s="42"/>
      <c r="I25" s="42"/>
      <c r="J25" s="42"/>
      <c r="K25" s="42"/>
    </row>
    <row r="26" spans="1:11" x14ac:dyDescent="0.25">
      <c r="A26" s="42"/>
      <c r="B26"/>
      <c r="C26"/>
      <c r="D26"/>
      <c r="E26" s="42"/>
      <c r="F26" s="42"/>
      <c r="G26" s="42"/>
      <c r="H26" s="42"/>
      <c r="I26" s="42"/>
      <c r="J26" s="42"/>
      <c r="K26" s="42"/>
    </row>
    <row r="27" spans="1:11" x14ac:dyDescent="0.25">
      <c r="A27" s="42"/>
      <c r="B27" s="42"/>
      <c r="C27" s="42"/>
      <c r="D27" s="42"/>
      <c r="E27" s="42"/>
      <c r="F27" s="42"/>
      <c r="G27" s="42"/>
      <c r="H27" s="42"/>
      <c r="I27" s="42"/>
      <c r="J27" s="42"/>
      <c r="K27" s="42"/>
    </row>
    <row r="28" spans="1:11" x14ac:dyDescent="0.25">
      <c r="A28" s="42"/>
      <c r="B28" s="42"/>
      <c r="C28" s="42"/>
      <c r="D28" s="42"/>
      <c r="E28" s="42"/>
      <c r="F28" s="42"/>
      <c r="G28" s="42"/>
      <c r="H28" s="42"/>
      <c r="I28" s="42"/>
      <c r="J28" s="42"/>
      <c r="K28" s="42"/>
    </row>
    <row r="29" spans="1:11" x14ac:dyDescent="0.25">
      <c r="A29" s="42"/>
      <c r="B29" s="42"/>
      <c r="C29" s="42"/>
      <c r="D29" s="42"/>
      <c r="E29" s="42"/>
      <c r="F29" s="42"/>
      <c r="G29" s="42"/>
      <c r="H29" s="42"/>
      <c r="I29" s="42"/>
      <c r="J29" s="42"/>
      <c r="K29" s="42"/>
    </row>
    <row r="30" spans="1:11" x14ac:dyDescent="0.25">
      <c r="A30" s="42"/>
      <c r="B30" s="42"/>
      <c r="C30" s="42"/>
      <c r="D30" s="42"/>
      <c r="E30" s="42"/>
      <c r="F30" s="42"/>
      <c r="G30" s="42"/>
      <c r="H30" s="42"/>
      <c r="I30" s="42"/>
      <c r="J30" s="42"/>
      <c r="K30" s="42"/>
    </row>
    <row r="31" spans="1:11" x14ac:dyDescent="0.25">
      <c r="A31" s="42"/>
      <c r="B31" s="42"/>
      <c r="C31" s="42"/>
      <c r="D31" s="42"/>
      <c r="E31" s="42"/>
      <c r="F31" s="42"/>
      <c r="G31" s="42"/>
      <c r="H31" s="42"/>
      <c r="I31" s="42"/>
      <c r="J31" s="42"/>
      <c r="K31" s="42"/>
    </row>
    <row r="32" spans="1:11" x14ac:dyDescent="0.25">
      <c r="A32" s="42"/>
      <c r="B32" s="42"/>
      <c r="C32" s="42"/>
      <c r="D32" s="42"/>
      <c r="E32" s="42"/>
      <c r="F32" s="42"/>
      <c r="G32" s="42"/>
      <c r="H32" s="42"/>
      <c r="I32" s="42"/>
      <c r="J32" s="42"/>
      <c r="K32" s="42"/>
    </row>
    <row r="33" spans="1:11" x14ac:dyDescent="0.25">
      <c r="A33" s="42"/>
      <c r="B33" s="42"/>
      <c r="C33" s="42"/>
      <c r="D33" s="42"/>
      <c r="E33" s="42"/>
      <c r="F33" s="42"/>
      <c r="G33" s="42"/>
      <c r="H33" s="42"/>
      <c r="I33" s="42"/>
      <c r="J33" s="42"/>
      <c r="K33" s="42"/>
    </row>
    <row r="34" spans="1:11" ht="15" customHeight="1" x14ac:dyDescent="0.25"/>
  </sheetData>
  <sheetProtection autoFilter="0" pivotTables="0"/>
  <protectedRanges>
    <protectedRange sqref="C3:E3" name="Plage1"/>
  </protectedRanges>
  <mergeCells count="3">
    <mergeCell ref="C3:E3"/>
    <mergeCell ref="B8:E8"/>
    <mergeCell ref="B14:E14"/>
  </mergeCells>
  <hyperlinks>
    <hyperlink ref="B11" r:id="rId2" location="/public/signin"/>
  </hyperlinks>
  <pageMargins left="0.7" right="0.7" top="0.75" bottom="0.75" header="0.3" footer="0.3"/>
  <pageSetup paperSize="9" orientation="landscape" r:id="rId3"/>
  <drawing r:id="rId4"/>
  <extLst>
    <ext xmlns:x14="http://schemas.microsoft.com/office/spreadsheetml/2009/9/main" uri="{A8765BA9-456A-4dab-B4F3-ACF838C121DE}">
      <x14:slicerList>
        <x14:slicer r:id="rId5"/>
      </x14:slicerList>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N41"/>
  <sheetViews>
    <sheetView workbookViewId="0"/>
  </sheetViews>
  <sheetFormatPr baseColWidth="10" defaultColWidth="0" defaultRowHeight="15" customHeight="1" zeroHeight="1" x14ac:dyDescent="0.25"/>
  <cols>
    <col min="1" max="11" width="11.42578125" style="42" customWidth="1"/>
    <col min="12" max="16384" width="11.42578125" hidden="1"/>
  </cols>
  <sheetData>
    <row r="1" spans="2:5" x14ac:dyDescent="0.25"/>
    <row r="2" spans="2:5" x14ac:dyDescent="0.25">
      <c r="B2" s="147" t="s">
        <v>198</v>
      </c>
      <c r="C2" s="328">
        <f>Site!C2</f>
        <v>0</v>
      </c>
      <c r="D2" s="328"/>
      <c r="E2" s="328"/>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row r="21" spans="9:14" x14ac:dyDescent="0.25"/>
    <row r="22" spans="9:14" x14ac:dyDescent="0.25"/>
    <row r="23" spans="9:14" x14ac:dyDescent="0.25"/>
    <row r="24" spans="9:14" x14ac:dyDescent="0.25"/>
    <row r="25" spans="9:14" x14ac:dyDescent="0.25"/>
    <row r="26" spans="9:14" x14ac:dyDescent="0.25">
      <c r="I26" s="327" t="s">
        <v>310</v>
      </c>
      <c r="J26" s="327"/>
      <c r="K26" s="327"/>
      <c r="L26" s="327"/>
      <c r="M26" s="327"/>
      <c r="N26" s="327"/>
    </row>
    <row r="27" spans="9:14" x14ac:dyDescent="0.25">
      <c r="I27" s="327"/>
      <c r="J27" s="327"/>
      <c r="K27" s="327"/>
      <c r="L27" s="327"/>
      <c r="M27" s="327"/>
      <c r="N27" s="327"/>
    </row>
    <row r="28" spans="9:14" x14ac:dyDescent="0.25">
      <c r="I28" s="327"/>
      <c r="J28" s="327"/>
      <c r="K28" s="327"/>
      <c r="L28" s="327"/>
      <c r="M28" s="327"/>
      <c r="N28" s="327"/>
    </row>
    <row r="29" spans="9:14" x14ac:dyDescent="0.25">
      <c r="I29" s="327"/>
      <c r="J29" s="327"/>
      <c r="K29" s="327"/>
      <c r="L29" s="327"/>
      <c r="M29" s="327"/>
      <c r="N29" s="327"/>
    </row>
    <row r="30" spans="9:14" x14ac:dyDescent="0.25">
      <c r="I30" s="327"/>
      <c r="J30" s="327"/>
      <c r="K30" s="327"/>
      <c r="L30" s="327"/>
      <c r="M30" s="327"/>
      <c r="N30" s="327"/>
    </row>
    <row r="31" spans="9:14" x14ac:dyDescent="0.25">
      <c r="I31" s="327"/>
      <c r="J31" s="327"/>
      <c r="K31" s="327"/>
      <c r="L31" s="327"/>
      <c r="M31" s="327"/>
      <c r="N31" s="327"/>
    </row>
    <row r="32" spans="9:14" x14ac:dyDescent="0.25">
      <c r="I32" s="327"/>
      <c r="J32" s="327"/>
      <c r="K32" s="327"/>
      <c r="L32" s="327"/>
      <c r="M32" s="327"/>
      <c r="N32" s="327"/>
    </row>
    <row r="33" spans="9:14" x14ac:dyDescent="0.25">
      <c r="I33" s="327"/>
      <c r="J33" s="327"/>
      <c r="K33" s="327"/>
      <c r="L33" s="327"/>
      <c r="M33" s="327"/>
      <c r="N33" s="327"/>
    </row>
    <row r="34" spans="9:14" ht="15" hidden="1" customHeight="1" x14ac:dyDescent="0.25">
      <c r="I34" s="327"/>
      <c r="J34" s="327"/>
      <c r="K34" s="327"/>
      <c r="L34" s="327"/>
      <c r="M34" s="327"/>
      <c r="N34" s="327"/>
    </row>
    <row r="35" spans="9:14" ht="15" hidden="1" customHeight="1" x14ac:dyDescent="0.25">
      <c r="I35" s="327"/>
      <c r="J35" s="327"/>
      <c r="K35" s="327"/>
      <c r="L35" s="327"/>
      <c r="M35" s="327"/>
      <c r="N35" s="327"/>
    </row>
    <row r="36" spans="9:14" ht="15" hidden="1" customHeight="1" x14ac:dyDescent="0.25">
      <c r="I36" s="327"/>
      <c r="J36" s="327"/>
      <c r="K36" s="327"/>
      <c r="L36" s="327"/>
      <c r="M36" s="327"/>
      <c r="N36" s="327"/>
    </row>
    <row r="37" spans="9:14" ht="15" hidden="1" customHeight="1" x14ac:dyDescent="0.25">
      <c r="I37" s="327"/>
      <c r="J37" s="327"/>
      <c r="K37" s="327"/>
      <c r="L37" s="327"/>
      <c r="M37" s="327"/>
      <c r="N37" s="327"/>
    </row>
    <row r="38" spans="9:14" ht="15" hidden="1" customHeight="1" x14ac:dyDescent="0.25">
      <c r="I38" s="327"/>
      <c r="J38" s="327"/>
      <c r="K38" s="327"/>
      <c r="L38" s="327"/>
      <c r="M38" s="327"/>
      <c r="N38" s="327"/>
    </row>
    <row r="39" spans="9:14" ht="15" hidden="1" customHeight="1" x14ac:dyDescent="0.25">
      <c r="I39" s="327"/>
      <c r="J39" s="327"/>
      <c r="K39" s="327"/>
      <c r="L39" s="327"/>
      <c r="M39" s="327"/>
      <c r="N39" s="327"/>
    </row>
    <row r="40" spans="9:14" ht="15" hidden="1" customHeight="1" x14ac:dyDescent="0.25">
      <c r="I40" s="327"/>
      <c r="J40" s="327"/>
      <c r="K40" s="327"/>
      <c r="L40" s="327"/>
      <c r="M40" s="327"/>
      <c r="N40" s="327"/>
    </row>
    <row r="41" spans="9:14" ht="15" hidden="1" customHeight="1" x14ac:dyDescent="0.25">
      <c r="I41" s="327"/>
      <c r="J41" s="327"/>
      <c r="K41" s="327"/>
      <c r="L41" s="327"/>
      <c r="M41" s="327"/>
      <c r="N41" s="327"/>
    </row>
  </sheetData>
  <sheetProtection sheet="1" objects="1" scenarios="1"/>
  <protectedRanges>
    <protectedRange sqref="C2:E2" name="Plage1"/>
  </protectedRanges>
  <mergeCells count="2">
    <mergeCell ref="I26:N41"/>
    <mergeCell ref="C2:E2"/>
  </mergeCells>
  <pageMargins left="0.7" right="0.7" top="0.75" bottom="0.75"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Drop Down 1">
              <controlPr defaultSize="0" autoLine="0" autoPict="0">
                <anchor moveWithCells="1">
                  <from>
                    <xdr:col>8</xdr:col>
                    <xdr:colOff>552450</xdr:colOff>
                    <xdr:row>18</xdr:row>
                    <xdr:rowOff>9525</xdr:rowOff>
                  </from>
                  <to>
                    <xdr:col>10</xdr:col>
                    <xdr:colOff>276225</xdr:colOff>
                    <xdr:row>19</xdr:row>
                    <xdr:rowOff>57150</xdr:rowOff>
                  </to>
                </anchor>
              </controlPr>
            </control>
          </mc:Choice>
        </mc:AlternateContent>
        <mc:AlternateContent xmlns:mc="http://schemas.openxmlformats.org/markup-compatibility/2006">
          <mc:Choice Requires="x14">
            <control shapeId="32770" r:id="rId5" name="Drop Down 2">
              <controlPr defaultSize="0" autoLine="0" autoPict="0">
                <anchor moveWithCells="1">
                  <from>
                    <xdr:col>8</xdr:col>
                    <xdr:colOff>561975</xdr:colOff>
                    <xdr:row>20</xdr:row>
                    <xdr:rowOff>19050</xdr:rowOff>
                  </from>
                  <to>
                    <xdr:col>10</xdr:col>
                    <xdr:colOff>285750</xdr:colOff>
                    <xdr:row>21</xdr:row>
                    <xdr:rowOff>76200</xdr:rowOff>
                  </to>
                </anchor>
              </controlPr>
            </control>
          </mc:Choice>
        </mc:AlternateContent>
        <mc:AlternateContent xmlns:mc="http://schemas.openxmlformats.org/markup-compatibility/2006">
          <mc:Choice Requires="x14">
            <control shapeId="32771" r:id="rId6" name="Drop Down 3">
              <controlPr defaultSize="0" autoLine="0" autoPict="0">
                <anchor moveWithCells="1">
                  <from>
                    <xdr:col>8</xdr:col>
                    <xdr:colOff>561975</xdr:colOff>
                    <xdr:row>22</xdr:row>
                    <xdr:rowOff>47625</xdr:rowOff>
                  </from>
                  <to>
                    <xdr:col>10</xdr:col>
                    <xdr:colOff>285750</xdr:colOff>
                    <xdr:row>23</xdr:row>
                    <xdr:rowOff>104775</xdr:rowOff>
                  </to>
                </anchor>
              </controlPr>
            </control>
          </mc:Choice>
        </mc:AlternateContent>
      </controls>
    </mc:Choice>
  </mc:AlternateContent>
  <extLst>
    <ext xmlns:x14="http://schemas.microsoft.com/office/spreadsheetml/2009/9/main" uri="{A8765BA9-456A-4dab-B4F3-ACF838C121DE}">
      <x14:slicerList>
        <x14:slicer r:id="rId7"/>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33"/>
  <sheetViews>
    <sheetView workbookViewId="0"/>
  </sheetViews>
  <sheetFormatPr baseColWidth="10" defaultColWidth="0" defaultRowHeight="15" zeroHeight="1" x14ac:dyDescent="0.25"/>
  <cols>
    <col min="1" max="11" width="11.42578125" customWidth="1"/>
    <col min="12" max="16384" width="11.42578125" hidden="1"/>
  </cols>
  <sheetData>
    <row r="1" spans="1:11" x14ac:dyDescent="0.25">
      <c r="A1" s="42"/>
      <c r="B1" s="329"/>
      <c r="C1" s="329"/>
      <c r="D1" s="329"/>
      <c r="E1" s="329"/>
      <c r="F1" s="329"/>
      <c r="G1" s="329"/>
      <c r="H1" s="42"/>
      <c r="I1" s="42"/>
      <c r="J1" s="42"/>
      <c r="K1" s="42"/>
    </row>
    <row r="2" spans="1:11" x14ac:dyDescent="0.25">
      <c r="A2" s="42"/>
      <c r="B2" s="329"/>
      <c r="C2" s="329"/>
      <c r="D2" s="329"/>
      <c r="E2" s="329"/>
      <c r="F2" s="329"/>
      <c r="G2" s="329"/>
      <c r="H2" s="42"/>
      <c r="I2" s="42"/>
      <c r="J2" s="42"/>
      <c r="K2" s="42"/>
    </row>
    <row r="3" spans="1:11" x14ac:dyDescent="0.25">
      <c r="A3" s="42"/>
      <c r="B3" s="147" t="s">
        <v>198</v>
      </c>
      <c r="C3" s="328">
        <f>Site!C2</f>
        <v>0</v>
      </c>
      <c r="D3" s="328"/>
      <c r="E3" s="328"/>
      <c r="F3" s="42"/>
      <c r="G3" s="42"/>
      <c r="H3" s="42"/>
      <c r="I3" s="42"/>
      <c r="J3" s="42"/>
      <c r="K3" s="42"/>
    </row>
    <row r="4" spans="1:11" x14ac:dyDescent="0.25">
      <c r="A4" s="42"/>
      <c r="B4" s="147" t="s">
        <v>328</v>
      </c>
      <c r="C4" s="42" t="str">
        <f>Controle_des_données!A38</f>
        <v>TTC</v>
      </c>
      <c r="D4" s="42"/>
      <c r="E4" s="42"/>
      <c r="F4" s="42"/>
      <c r="G4" s="42"/>
      <c r="H4" s="42"/>
      <c r="I4" s="42"/>
      <c r="J4" s="42"/>
      <c r="K4" s="42"/>
    </row>
    <row r="5" spans="1:11" x14ac:dyDescent="0.25">
      <c r="A5" s="42"/>
      <c r="B5" s="42"/>
      <c r="C5" s="42"/>
      <c r="D5" s="42"/>
      <c r="E5" s="42"/>
      <c r="F5" s="42"/>
      <c r="G5" s="42"/>
      <c r="H5" s="42"/>
      <c r="I5" s="42"/>
      <c r="J5" s="42"/>
      <c r="K5" s="42"/>
    </row>
    <row r="6" spans="1:11" x14ac:dyDescent="0.25">
      <c r="A6" s="42"/>
      <c r="B6" s="42"/>
      <c r="C6" s="42"/>
      <c r="D6" s="42"/>
      <c r="E6" s="42"/>
      <c r="F6" s="42"/>
      <c r="G6" s="42"/>
      <c r="H6" s="42"/>
      <c r="I6" s="42"/>
      <c r="J6" s="42"/>
      <c r="K6" s="42"/>
    </row>
    <row r="7" spans="1:11" x14ac:dyDescent="0.25">
      <c r="A7" s="42"/>
      <c r="B7" s="42"/>
      <c r="C7" s="42"/>
      <c r="D7" s="42"/>
      <c r="E7" s="42"/>
      <c r="F7" s="42"/>
      <c r="G7" s="42"/>
      <c r="H7" s="42"/>
      <c r="I7" s="42"/>
      <c r="J7" s="42"/>
      <c r="K7" s="42"/>
    </row>
    <row r="8" spans="1:11" x14ac:dyDescent="0.25">
      <c r="A8" s="42"/>
      <c r="B8" s="42"/>
      <c r="C8" s="42"/>
      <c r="D8" s="42"/>
      <c r="E8" s="42"/>
      <c r="F8" s="42"/>
      <c r="G8" s="42"/>
      <c r="H8" s="42"/>
      <c r="I8" s="42"/>
      <c r="J8" s="42"/>
      <c r="K8" s="42"/>
    </row>
    <row r="9" spans="1:11" x14ac:dyDescent="0.25">
      <c r="A9" s="42"/>
      <c r="B9" s="42"/>
      <c r="C9" s="42"/>
      <c r="D9" s="42"/>
      <c r="E9" s="42"/>
      <c r="F9" s="42"/>
      <c r="G9" s="42"/>
      <c r="H9" s="42"/>
      <c r="I9" s="42"/>
      <c r="J9" s="42"/>
      <c r="K9" s="42"/>
    </row>
    <row r="10" spans="1:11" x14ac:dyDescent="0.25">
      <c r="A10" s="42"/>
      <c r="B10" s="42"/>
      <c r="C10" s="42"/>
      <c r="D10" s="42"/>
      <c r="E10" s="42"/>
      <c r="F10" s="42"/>
      <c r="G10" s="42"/>
      <c r="H10" s="42"/>
      <c r="I10" s="42"/>
      <c r="J10" s="42"/>
      <c r="K10" s="42"/>
    </row>
    <row r="11" spans="1:11" x14ac:dyDescent="0.25">
      <c r="A11" s="42"/>
      <c r="B11" s="42"/>
      <c r="C11" s="42"/>
      <c r="D11" s="42"/>
      <c r="E11" s="42"/>
      <c r="F11" s="42"/>
      <c r="G11" s="42"/>
      <c r="H11" s="42"/>
      <c r="I11" s="42"/>
      <c r="J11" s="42"/>
      <c r="K11" s="42"/>
    </row>
    <row r="12" spans="1:11" x14ac:dyDescent="0.25">
      <c r="A12" s="42"/>
      <c r="B12" s="42"/>
      <c r="C12" s="42"/>
      <c r="D12" s="42"/>
      <c r="E12" s="42"/>
      <c r="F12" s="42"/>
      <c r="G12" s="42"/>
      <c r="H12" s="42"/>
      <c r="I12" s="42"/>
      <c r="J12" s="42"/>
      <c r="K12" s="42"/>
    </row>
    <row r="13" spans="1:11" x14ac:dyDescent="0.25">
      <c r="A13" s="42"/>
      <c r="B13" s="42"/>
      <c r="C13" s="42"/>
      <c r="D13" s="42"/>
      <c r="E13" s="42"/>
      <c r="F13" s="42"/>
      <c r="G13" s="42"/>
      <c r="H13" s="42"/>
      <c r="I13" s="42"/>
      <c r="J13" s="42"/>
      <c r="K13" s="42"/>
    </row>
    <row r="14" spans="1:11" x14ac:dyDescent="0.25">
      <c r="A14" s="42"/>
      <c r="B14" s="42"/>
      <c r="C14" s="42"/>
      <c r="D14" s="42"/>
      <c r="E14" s="42"/>
      <c r="F14" s="42"/>
      <c r="G14" s="42"/>
      <c r="H14" s="42"/>
      <c r="I14" s="42"/>
      <c r="J14" s="42"/>
      <c r="K14" s="42"/>
    </row>
    <row r="15" spans="1:11" x14ac:dyDescent="0.25">
      <c r="A15" s="42"/>
      <c r="B15" s="42"/>
      <c r="C15" s="42"/>
      <c r="D15" s="42"/>
      <c r="E15" s="42"/>
      <c r="F15" s="42"/>
      <c r="G15" s="42"/>
      <c r="H15" s="42"/>
      <c r="I15" s="42"/>
      <c r="J15" s="42"/>
      <c r="K15" s="42"/>
    </row>
    <row r="16" spans="1:11" x14ac:dyDescent="0.25">
      <c r="A16" s="42"/>
      <c r="B16" s="42"/>
      <c r="C16" s="42"/>
      <c r="D16" s="42"/>
      <c r="E16" s="42"/>
      <c r="F16" s="42"/>
      <c r="G16" s="42"/>
      <c r="H16" s="42"/>
      <c r="I16" s="42"/>
      <c r="J16" s="42"/>
      <c r="K16" s="42"/>
    </row>
    <row r="17" spans="1:11" x14ac:dyDescent="0.25">
      <c r="A17" s="42"/>
      <c r="B17" s="42"/>
      <c r="C17" s="42"/>
      <c r="D17" s="42"/>
      <c r="E17" s="42"/>
      <c r="F17" s="42"/>
      <c r="G17" s="42"/>
      <c r="H17" s="42"/>
      <c r="I17" s="42"/>
      <c r="J17" s="42"/>
      <c r="K17" s="42"/>
    </row>
    <row r="18" spans="1:11" x14ac:dyDescent="0.25">
      <c r="A18" s="42"/>
      <c r="B18" s="42"/>
      <c r="C18" s="42"/>
      <c r="D18" s="42"/>
      <c r="E18" s="42"/>
      <c r="F18" s="42"/>
      <c r="G18" s="42"/>
      <c r="H18" s="42"/>
      <c r="I18" s="42"/>
      <c r="J18" s="42"/>
      <c r="K18" s="42"/>
    </row>
    <row r="19" spans="1:11" x14ac:dyDescent="0.25">
      <c r="A19" s="42"/>
      <c r="B19" s="42"/>
      <c r="C19" s="42"/>
      <c r="D19" s="42"/>
      <c r="E19" s="42"/>
      <c r="F19" s="42"/>
      <c r="G19" s="42"/>
      <c r="H19" s="42"/>
      <c r="I19" s="42"/>
      <c r="J19" s="42"/>
      <c r="K19" s="42"/>
    </row>
    <row r="20" spans="1:11" x14ac:dyDescent="0.25">
      <c r="A20" s="42"/>
      <c r="B20" s="42"/>
      <c r="C20" s="42"/>
      <c r="D20" s="42"/>
      <c r="E20" s="42"/>
      <c r="F20" s="42"/>
      <c r="G20" s="42"/>
      <c r="H20" s="42"/>
      <c r="I20" s="42"/>
      <c r="J20" s="42"/>
      <c r="K20" s="42"/>
    </row>
    <row r="21" spans="1:11" x14ac:dyDescent="0.25">
      <c r="A21" s="42"/>
      <c r="B21" s="42"/>
      <c r="C21" s="42"/>
      <c r="D21" s="42"/>
      <c r="E21" s="42"/>
      <c r="F21" s="42"/>
      <c r="G21" s="42"/>
      <c r="H21" s="42"/>
      <c r="I21" s="42"/>
      <c r="J21" s="42"/>
      <c r="K21" s="42"/>
    </row>
    <row r="22" spans="1:11" x14ac:dyDescent="0.25">
      <c r="A22" s="42"/>
      <c r="B22" s="42"/>
      <c r="C22" s="42"/>
      <c r="D22" s="42"/>
      <c r="E22" s="42"/>
      <c r="F22" s="42"/>
      <c r="G22" s="42"/>
      <c r="H22" s="42"/>
      <c r="I22" s="42"/>
      <c r="J22" s="42"/>
      <c r="K22" s="42"/>
    </row>
    <row r="23" spans="1:11" x14ac:dyDescent="0.25">
      <c r="A23" s="42"/>
      <c r="B23" s="42"/>
      <c r="C23" s="42"/>
      <c r="D23" s="42"/>
      <c r="E23" s="42"/>
      <c r="F23" s="42"/>
      <c r="G23" s="42"/>
      <c r="H23" s="42"/>
      <c r="I23" s="42"/>
      <c r="J23" s="42"/>
      <c r="K23" s="42"/>
    </row>
    <row r="24" spans="1:11" x14ac:dyDescent="0.25">
      <c r="A24" s="42"/>
      <c r="B24" s="42"/>
      <c r="C24" s="42"/>
      <c r="D24" s="42"/>
      <c r="E24" s="42"/>
      <c r="F24" s="42"/>
      <c r="G24" s="42"/>
      <c r="H24" s="42"/>
      <c r="I24" s="42"/>
      <c r="J24" s="42"/>
      <c r="K24" s="42"/>
    </row>
    <row r="25" spans="1:11" x14ac:dyDescent="0.25">
      <c r="A25" s="42"/>
      <c r="B25" s="42"/>
      <c r="C25" s="42"/>
      <c r="D25" s="42"/>
      <c r="E25" s="42"/>
      <c r="F25" s="42"/>
      <c r="G25" s="42"/>
      <c r="H25" s="42"/>
      <c r="I25" s="42"/>
      <c r="J25" s="42"/>
      <c r="K25" s="42"/>
    </row>
    <row r="26" spans="1:11" x14ac:dyDescent="0.25">
      <c r="A26" s="42"/>
      <c r="B26" s="42"/>
      <c r="C26" s="42"/>
      <c r="D26" s="42"/>
      <c r="E26" s="42"/>
      <c r="F26" s="42"/>
      <c r="G26" s="42"/>
      <c r="H26" s="42"/>
      <c r="I26" s="42"/>
      <c r="J26" s="42"/>
      <c r="K26" s="42"/>
    </row>
    <row r="27" spans="1:11" x14ac:dyDescent="0.25">
      <c r="A27" s="42"/>
      <c r="B27" s="42"/>
      <c r="C27" s="42"/>
      <c r="D27" s="42"/>
      <c r="E27" s="42"/>
      <c r="F27" s="42"/>
      <c r="G27" s="42"/>
      <c r="H27" s="42"/>
      <c r="I27" s="42"/>
      <c r="J27" s="42"/>
      <c r="K27" s="42"/>
    </row>
    <row r="28" spans="1:11" x14ac:dyDescent="0.25">
      <c r="A28" s="42"/>
      <c r="B28" s="42"/>
      <c r="C28" s="42"/>
      <c r="D28" s="42"/>
      <c r="E28" s="42"/>
      <c r="F28" s="42"/>
      <c r="G28" s="42"/>
      <c r="H28" s="42"/>
      <c r="I28" s="42"/>
      <c r="J28" s="42"/>
      <c r="K28" s="42"/>
    </row>
    <row r="29" spans="1:11" x14ac:dyDescent="0.25">
      <c r="A29" s="42"/>
      <c r="B29" s="42"/>
      <c r="C29" s="42"/>
      <c r="D29" s="42"/>
      <c r="E29" s="42"/>
      <c r="F29" s="42"/>
      <c r="G29" s="42"/>
      <c r="H29" s="42"/>
      <c r="I29" s="42"/>
      <c r="J29" s="42"/>
      <c r="K29" s="42"/>
    </row>
    <row r="30" spans="1:11" x14ac:dyDescent="0.25">
      <c r="A30" s="42"/>
      <c r="B30" s="42"/>
      <c r="C30" s="42"/>
      <c r="D30" s="42"/>
      <c r="E30" s="42"/>
      <c r="F30" s="42"/>
      <c r="G30" s="42"/>
      <c r="H30" s="42"/>
      <c r="I30" s="42"/>
      <c r="J30" s="42"/>
      <c r="K30" s="42"/>
    </row>
    <row r="31" spans="1:11" x14ac:dyDescent="0.25">
      <c r="A31" s="42"/>
      <c r="B31" s="42"/>
      <c r="C31" s="42"/>
      <c r="D31" s="42"/>
      <c r="E31" s="42"/>
      <c r="F31" s="42"/>
      <c r="G31" s="42"/>
      <c r="H31" s="42"/>
      <c r="I31" s="42"/>
      <c r="J31" s="42"/>
      <c r="K31" s="42"/>
    </row>
    <row r="32" spans="1:11" x14ac:dyDescent="0.25">
      <c r="A32" s="42"/>
      <c r="B32" s="42"/>
      <c r="C32" s="42"/>
      <c r="D32" s="42"/>
      <c r="E32" s="42"/>
      <c r="F32" s="42"/>
      <c r="G32" s="42"/>
      <c r="H32" s="42"/>
      <c r="I32" s="42"/>
      <c r="J32" s="42"/>
      <c r="K32" s="42"/>
    </row>
    <row r="33" spans="1:11" x14ac:dyDescent="0.25">
      <c r="A33" s="92" t="s">
        <v>213</v>
      </c>
      <c r="B33" s="42"/>
      <c r="C33" s="42"/>
      <c r="D33" s="42"/>
      <c r="E33" s="42"/>
      <c r="F33" s="42"/>
      <c r="G33" s="42"/>
      <c r="H33" s="42"/>
      <c r="I33" s="42"/>
      <c r="J33" s="42"/>
      <c r="K33" s="42"/>
    </row>
  </sheetData>
  <sheetProtection sheet="1" pivotTables="0"/>
  <protectedRanges>
    <protectedRange sqref="C3:E3" name="Plage1"/>
  </protectedRanges>
  <mergeCells count="2">
    <mergeCell ref="B1:G2"/>
    <mergeCell ref="C3:E3"/>
  </mergeCells>
  <pageMargins left="0.7" right="0.7" top="0.75" bottom="0.75" header="0.3" footer="0.3"/>
  <pageSetup paperSize="9" orientation="landscape" r:id="rId1"/>
  <drawing r:id="rId2"/>
  <extLst>
    <ext xmlns:x15="http://schemas.microsoft.com/office/spreadsheetml/2010/11/main" uri="{7E03D99C-DC04-49d9-9315-930204A7B6E9}">
      <x15:timelineRefs>
        <x15:timelineRef r:id="rId3"/>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K33"/>
  <sheetViews>
    <sheetView workbookViewId="0"/>
  </sheetViews>
  <sheetFormatPr baseColWidth="10" defaultColWidth="0" defaultRowHeight="15" zeroHeight="1" x14ac:dyDescent="0.25"/>
  <cols>
    <col min="1" max="11" width="11.42578125" style="42" customWidth="1"/>
    <col min="12" max="16384" width="11.42578125"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41"/>
  <sheetViews>
    <sheetView workbookViewId="0"/>
  </sheetViews>
  <sheetFormatPr baseColWidth="10" defaultColWidth="0" defaultRowHeight="15" customHeight="1" zeroHeight="1" x14ac:dyDescent="0.25"/>
  <cols>
    <col min="1" max="11" width="11.42578125" style="42" customWidth="1"/>
    <col min="12" max="16384" width="11.42578125" hidden="1"/>
  </cols>
  <sheetData>
    <row r="1" spans="2:5" x14ac:dyDescent="0.25"/>
    <row r="2" spans="2:5" x14ac:dyDescent="0.25">
      <c r="B2" s="147" t="s">
        <v>198</v>
      </c>
      <c r="C2" s="328">
        <f>Site!C2</f>
        <v>0</v>
      </c>
      <c r="D2" s="328"/>
      <c r="E2" s="328"/>
    </row>
    <row r="3" spans="2:5" x14ac:dyDescent="0.25"/>
    <row r="4" spans="2:5" x14ac:dyDescent="0.25"/>
    <row r="5" spans="2:5" x14ac:dyDescent="0.25"/>
    <row r="6" spans="2:5" x14ac:dyDescent="0.25"/>
    <row r="7" spans="2:5" x14ac:dyDescent="0.25"/>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spans="9:14" x14ac:dyDescent="0.25"/>
    <row r="18" spans="9:14" x14ac:dyDescent="0.25"/>
    <row r="19" spans="9:14" x14ac:dyDescent="0.25"/>
    <row r="20" spans="9:14" x14ac:dyDescent="0.25"/>
    <row r="21" spans="9:14" x14ac:dyDescent="0.25"/>
    <row r="22" spans="9:14" x14ac:dyDescent="0.25">
      <c r="I22" s="160" t="s">
        <v>371</v>
      </c>
    </row>
    <row r="23" spans="9:14" x14ac:dyDescent="0.25">
      <c r="I23" s="149" t="str">
        <f>TCD_compteur!C2</f>
        <v>Type</v>
      </c>
      <c r="J23" s="42" t="e">
        <f>TCD_compteur!D2</f>
        <v>#N/A</v>
      </c>
    </row>
    <row r="24" spans="9:14" x14ac:dyDescent="0.25">
      <c r="I24" s="149" t="str">
        <f>TCD_compteur!C3</f>
        <v>Source</v>
      </c>
      <c r="J24" s="42" t="e">
        <f>TCD_compteur!D3</f>
        <v>#N/A</v>
      </c>
    </row>
    <row r="25" spans="9:14" x14ac:dyDescent="0.25">
      <c r="I25" s="149" t="str">
        <f>TCD_compteur!C4</f>
        <v>Detail usage</v>
      </c>
      <c r="J25" s="42" t="e">
        <f>TCD_compteur!D4</f>
        <v>#N/A</v>
      </c>
    </row>
    <row r="26" spans="9:14" x14ac:dyDescent="0.25">
      <c r="I26" s="149" t="str">
        <f>TCD_compteur!C5</f>
        <v>Combustible</v>
      </c>
      <c r="J26" s="42" t="e">
        <f>TCD_compteur!D5</f>
        <v>#N/A</v>
      </c>
      <c r="K26" s="159"/>
      <c r="L26" s="159"/>
      <c r="M26" s="159"/>
      <c r="N26" s="159"/>
    </row>
    <row r="27" spans="9:14" x14ac:dyDescent="0.25">
      <c r="I27"/>
      <c r="K27" s="159"/>
      <c r="L27" s="159"/>
      <c r="M27" s="159"/>
      <c r="N27" s="159"/>
    </row>
    <row r="28" spans="9:14" x14ac:dyDescent="0.25">
      <c r="I28" s="159"/>
      <c r="J28" s="159"/>
      <c r="K28" s="159"/>
      <c r="L28" s="159"/>
      <c r="M28" s="159"/>
      <c r="N28" s="159"/>
    </row>
    <row r="29" spans="9:14" x14ac:dyDescent="0.25">
      <c r="I29" s="159"/>
      <c r="J29" s="159"/>
      <c r="K29" s="159"/>
      <c r="L29" s="159"/>
      <c r="M29" s="159"/>
      <c r="N29" s="159"/>
    </row>
    <row r="30" spans="9:14" x14ac:dyDescent="0.25">
      <c r="I30" s="159"/>
      <c r="J30" s="159"/>
      <c r="K30" s="159"/>
      <c r="L30" s="159"/>
      <c r="M30" s="159"/>
      <c r="N30" s="159"/>
    </row>
    <row r="31" spans="9:14" x14ac:dyDescent="0.25">
      <c r="I31" s="159"/>
      <c r="J31" s="159"/>
      <c r="K31" s="159"/>
      <c r="L31" s="159"/>
      <c r="M31" s="159"/>
      <c r="N31" s="159"/>
    </row>
    <row r="32" spans="9:14" x14ac:dyDescent="0.25">
      <c r="I32" s="159"/>
      <c r="J32" s="159"/>
      <c r="K32" s="159"/>
      <c r="L32" s="159"/>
      <c r="M32" s="159"/>
      <c r="N32" s="159"/>
    </row>
    <row r="33" spans="9:14" x14ac:dyDescent="0.25">
      <c r="I33" s="159"/>
      <c r="J33" s="159"/>
      <c r="K33" s="159"/>
      <c r="L33" s="159"/>
      <c r="M33" s="159"/>
      <c r="N33" s="159"/>
    </row>
    <row r="34" spans="9:14" ht="15" hidden="1" customHeight="1" x14ac:dyDescent="0.25">
      <c r="I34" s="159"/>
      <c r="J34" s="159"/>
      <c r="K34" s="159"/>
      <c r="L34" s="159"/>
      <c r="M34" s="159"/>
      <c r="N34" s="159"/>
    </row>
    <row r="35" spans="9:14" ht="15" hidden="1" customHeight="1" x14ac:dyDescent="0.25">
      <c r="I35" s="159"/>
      <c r="J35" s="159"/>
      <c r="K35" s="159"/>
      <c r="L35" s="159"/>
      <c r="M35" s="159"/>
      <c r="N35" s="159"/>
    </row>
    <row r="36" spans="9:14" ht="15" hidden="1" customHeight="1" x14ac:dyDescent="0.25">
      <c r="I36" s="159"/>
      <c r="J36" s="159"/>
      <c r="K36" s="159"/>
      <c r="L36" s="159"/>
      <c r="M36" s="159"/>
      <c r="N36" s="159"/>
    </row>
    <row r="37" spans="9:14" ht="15" hidden="1" customHeight="1" x14ac:dyDescent="0.25">
      <c r="I37" s="159"/>
      <c r="J37" s="159"/>
      <c r="K37" s="159"/>
      <c r="L37" s="159"/>
      <c r="M37" s="159"/>
      <c r="N37" s="159"/>
    </row>
    <row r="38" spans="9:14" ht="15" hidden="1" customHeight="1" x14ac:dyDescent="0.25">
      <c r="I38" s="159"/>
      <c r="J38" s="159"/>
      <c r="K38" s="159"/>
      <c r="L38" s="159"/>
      <c r="M38" s="159"/>
      <c r="N38" s="159"/>
    </row>
    <row r="39" spans="9:14" ht="15" hidden="1" customHeight="1" x14ac:dyDescent="0.25">
      <c r="I39" s="159"/>
      <c r="J39" s="159"/>
      <c r="K39" s="159"/>
      <c r="L39" s="159"/>
      <c r="M39" s="159"/>
      <c r="N39" s="159"/>
    </row>
    <row r="40" spans="9:14" ht="15" hidden="1" customHeight="1" x14ac:dyDescent="0.25">
      <c r="I40" s="159"/>
      <c r="J40" s="159"/>
      <c r="K40" s="159"/>
      <c r="L40" s="159"/>
      <c r="M40" s="159"/>
      <c r="N40" s="159"/>
    </row>
    <row r="41" spans="9:14" ht="15" hidden="1" customHeight="1" x14ac:dyDescent="0.25">
      <c r="I41" s="159"/>
      <c r="J41" s="159"/>
      <c r="K41" s="159"/>
      <c r="L41" s="159"/>
      <c r="M41" s="159"/>
      <c r="N41" s="159"/>
    </row>
  </sheetData>
  <sheetProtection sheet="1" pivotTables="0"/>
  <protectedRanges>
    <protectedRange sqref="C2:E2" name="Plage1"/>
  </protectedRanges>
  <mergeCells count="1">
    <mergeCell ref="C2:E2"/>
  </mergeCells>
  <pageMargins left="0.7" right="0.7" top="0.75" bottom="0.75" header="0.3" footer="0.3"/>
  <pageSetup paperSize="9" orientation="landscape" r:id="rId1"/>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0efc2f2-ed42-4ad2-8b88-4bd24066a63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B6669FF9A6C2E45B6E34480CBECE584" ma:contentTypeVersion="13" ma:contentTypeDescription="Create a new document." ma:contentTypeScope="" ma:versionID="b8266ce63108914797cb1cd63414adb2">
  <xsd:schema xmlns:xsd="http://www.w3.org/2001/XMLSchema" xmlns:xs="http://www.w3.org/2001/XMLSchema" xmlns:p="http://schemas.microsoft.com/office/2006/metadata/properties" xmlns:ns3="50efc2f2-ed42-4ad2-8b88-4bd24066a633" xmlns:ns4="e11cf51e-129a-4273-89ec-3acd2dfe0f03" targetNamespace="http://schemas.microsoft.com/office/2006/metadata/properties" ma:root="true" ma:fieldsID="f1d45bbc50a82642f6ddf554782e739b" ns3:_="" ns4:_="">
    <xsd:import namespace="50efc2f2-ed42-4ad2-8b88-4bd24066a633"/>
    <xsd:import namespace="e11cf51e-129a-4273-89ec-3acd2dfe0f03"/>
    <xsd:element name="properties">
      <xsd:complexType>
        <xsd:sequence>
          <xsd:element name="documentManagement">
            <xsd:complexType>
              <xsd:all>
                <xsd:element ref="ns3:_activity" minOccurs="0"/>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ObjectDetectorVersions" minOccurs="0"/>
                <xsd:element ref="ns3:MediaServiceAutoTags" minOccurs="0"/>
                <xsd:element ref="ns3:MediaLengthInSecond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0efc2f2-ed42-4ad2-8b88-4bd24066a633" elementFormDefault="qualified">
    <xsd:import namespace="http://schemas.microsoft.com/office/2006/documentManagement/types"/>
    <xsd:import namespace="http://schemas.microsoft.com/office/infopath/2007/PartnerControls"/>
    <xsd:element name="_activity" ma:index="8" nillable="true" ma:displayName="_activity" ma:hidden="true" ma:internalName="_activity">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11cf51e-129a-4273-89ec-3acd2dfe0f0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445B7A-4EDA-4B7F-9990-7134D61BCB3F}">
  <ds:schemaRefs>
    <ds:schemaRef ds:uri="http://schemas.microsoft.com/sharepoint/v3/contenttype/forms"/>
  </ds:schemaRefs>
</ds:datastoreItem>
</file>

<file path=customXml/itemProps2.xml><?xml version="1.0" encoding="utf-8"?>
<ds:datastoreItem xmlns:ds="http://schemas.openxmlformats.org/officeDocument/2006/customXml" ds:itemID="{96CCAA3B-10F4-42E1-A538-E06CD77D91D2}">
  <ds:schemaRefs>
    <ds:schemaRef ds:uri="http://purl.org/dc/elements/1.1/"/>
    <ds:schemaRef ds:uri="http://schemas.microsoft.com/office/2006/documentManagement/types"/>
    <ds:schemaRef ds:uri="50efc2f2-ed42-4ad2-8b88-4bd24066a633"/>
    <ds:schemaRef ds:uri="http://schemas.openxmlformats.org/package/2006/metadata/core-properties"/>
    <ds:schemaRef ds:uri="http://schemas.microsoft.com/office/infopath/2007/PartnerControls"/>
    <ds:schemaRef ds:uri="http://purl.org/dc/dcmitype/"/>
    <ds:schemaRef ds:uri="http://schemas.microsoft.com/office/2006/metadata/properties"/>
    <ds:schemaRef ds:uri="e11cf51e-129a-4273-89ec-3acd2dfe0f03"/>
    <ds:schemaRef ds:uri="http://www.w3.org/XML/1998/namespace"/>
    <ds:schemaRef ds:uri="http://purl.org/dc/terms/"/>
  </ds:schemaRefs>
</ds:datastoreItem>
</file>

<file path=customXml/itemProps3.xml><?xml version="1.0" encoding="utf-8"?>
<ds:datastoreItem xmlns:ds="http://schemas.openxmlformats.org/officeDocument/2006/customXml" ds:itemID="{D80C001C-40AC-45DB-A8EA-C3F0DC3AE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0efc2f2-ed42-4ad2-8b88-4bd24066a633"/>
    <ds:schemaRef ds:uri="e11cf51e-129a-4273-89ec-3acd2dfe0f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31</vt:i4>
      </vt:variant>
      <vt:variant>
        <vt:lpstr>Plages nommées</vt:lpstr>
      </vt:variant>
      <vt:variant>
        <vt:i4>16</vt:i4>
      </vt:variant>
    </vt:vector>
  </HeadingPairs>
  <TitlesOfParts>
    <vt:vector size="47" baseType="lpstr">
      <vt:lpstr>Site</vt:lpstr>
      <vt:lpstr>Synthèse</vt:lpstr>
      <vt:lpstr>Choix DEET</vt:lpstr>
      <vt:lpstr>Suivi DEET</vt:lpstr>
      <vt:lpstr>Déclaration OPERAT</vt:lpstr>
      <vt:lpstr>Rigueur Climat.</vt:lpstr>
      <vt:lpstr>Coût Energie</vt:lpstr>
      <vt:lpstr>Suivi Production</vt:lpstr>
      <vt:lpstr>Suivi Compteur</vt:lpstr>
      <vt:lpstr>TCD_souscompteur</vt:lpstr>
      <vt:lpstr>TCD_compteur</vt:lpstr>
      <vt:lpstr>Calculs_Consos</vt:lpstr>
      <vt:lpstr>Suivi Sous_compteur</vt:lpstr>
      <vt:lpstr>Aide CME</vt:lpstr>
      <vt:lpstr>Liste</vt:lpstr>
      <vt:lpstr>Ouverture</vt:lpstr>
      <vt:lpstr>Calcul_Bilan_Energie</vt:lpstr>
      <vt:lpstr>Controle_des_données</vt:lpstr>
      <vt:lpstr>CALCUL DEET</vt:lpstr>
      <vt:lpstr>Analyse_Chauffage</vt:lpstr>
      <vt:lpstr>Estimation_ECS</vt:lpstr>
      <vt:lpstr>Compteur_1</vt:lpstr>
      <vt:lpstr>Compteur_2</vt:lpstr>
      <vt:lpstr>Compteur_3</vt:lpstr>
      <vt:lpstr>Compteur_4</vt:lpstr>
      <vt:lpstr>Compteur_5</vt:lpstr>
      <vt:lpstr>Compteur_6</vt:lpstr>
      <vt:lpstr>Compteur_7</vt:lpstr>
      <vt:lpstr>Compteur_8</vt:lpstr>
      <vt:lpstr>Notes_Versions</vt:lpstr>
      <vt:lpstr>BDD_DJU</vt:lpstr>
      <vt:lpstr>Chaleur</vt:lpstr>
      <vt:lpstr>Cogénération</vt:lpstr>
      <vt:lpstr>Collecteurs_solaires</vt:lpstr>
      <vt:lpstr>Combustibles</vt:lpstr>
      <vt:lpstr>Consommation</vt:lpstr>
      <vt:lpstr>Eau</vt:lpstr>
      <vt:lpstr>Electricité</vt:lpstr>
      <vt:lpstr>Liste_Type_compteur</vt:lpstr>
      <vt:lpstr>Photovolaïque</vt:lpstr>
      <vt:lpstr>Process</vt:lpstr>
      <vt:lpstr>Production</vt:lpstr>
      <vt:lpstr>Sous_comptage</vt:lpstr>
      <vt:lpstr>Sous_comptage_Chaleur</vt:lpstr>
      <vt:lpstr>Sous_comptage_eau</vt:lpstr>
      <vt:lpstr>Sous_comptage_elec</vt:lpstr>
      <vt:lpstr>Site!Zone_d_impression</vt:lpstr>
    </vt:vector>
  </TitlesOfParts>
  <Company>Fondation St Jean de Dieu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Fabien Rouault</dc:creator>
  <cp:lastModifiedBy>FAVERAIS Laurent</cp:lastModifiedBy>
  <cp:lastPrinted>2023-12-05T09:12:24Z</cp:lastPrinted>
  <dcterms:created xsi:type="dcterms:W3CDTF">2023-03-24T10:58:55Z</dcterms:created>
  <dcterms:modified xsi:type="dcterms:W3CDTF">2024-01-17T09:40:39Z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0x010100BB6669FF9A6C2E45B6E34480CBECE584</vt:lpwstr>
  </property>
</Properties>
</file>